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2.xml" ContentType="application/vnd.openxmlformats-officedocument.spreadsheetml.comments+xml"/>
  <Override PartName="/xl/worksheets/sheet5.xml" ContentType="application/vnd.openxmlformats-officedocument.spreadsheetml.worksheet+xml"/>
  <Override PartName="/xl/comments/comment3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omments/comment4.xml" ContentType="application/vnd.openxmlformats-officedocument.spreadsheetml.comment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57840" windowHeight="31920" tabRatio="799" firstSheet="0" activeTab="9" autoFilterDateGrouping="1"/>
  </bookViews>
  <sheets>
    <sheet name="銘柄管理" sheetId="1" state="visible" r:id="rId1"/>
    <sheet name="買抽出v13" sheetId="2" state="visible" r:id="rId2"/>
    <sheet name="ダッシュボード" sheetId="3" state="visible" r:id="rId3"/>
    <sheet name="分析" sheetId="4" state="visible" r:id="rId4"/>
    <sheet name="売分析" sheetId="5" state="visible" r:id="rId5"/>
    <sheet name="売ダッシュボード" sheetId="6" state="visible" r:id="rId6"/>
    <sheet name="売抽出v13" sheetId="7" state="visible" r:id="rId7"/>
    <sheet name="始値" sheetId="8" state="visible" r:id="rId8"/>
    <sheet name="高値" sheetId="9" state="visible" r:id="rId9"/>
    <sheet name="安値" sheetId="10" state="visible" r:id="rId10"/>
    <sheet name="終値" sheetId="11" state="visible" r:id="rId11"/>
    <sheet name="出来高" sheetId="12" state="visible" r:id="rId12"/>
    <sheet name="データ取込" sheetId="13" state="visible" r:id="rId13"/>
    <sheet name="自動注文決済" sheetId="14" state="visible" r:id="rId14"/>
    <sheet name="取扱説明書" sheetId="15" state="visible" r:id="rId15"/>
    <sheet name="管理" sheetId="16" state="visible" r:id="rId16"/>
    <sheet name="海外指標" sheetId="17" state="visible" r:id="rId17"/>
    <sheet name="Sheet1" sheetId="18" state="hidden" r:id="rId18"/>
  </sheets>
  <definedNames>
    <definedName name="B93b204">銘柄管理!$B$93</definedName>
    <definedName name="_xlnm._FilterDatabase" localSheetId="2" hidden="1">'ダッシュボード'!$A$2:$Z$502</definedName>
    <definedName name="_xlnm._FilterDatabase" localSheetId="3" hidden="1">'分析'!$A$2:$AA$204</definedName>
  </definedNames>
  <calcPr calcId="191029" fullCalcOnLoad="1"/>
</workbook>
</file>

<file path=xl/styles.xml><?xml version="1.0" encoding="utf-8"?>
<styleSheet xmlns="http://schemas.openxmlformats.org/spreadsheetml/2006/main">
  <numFmts count="18">
    <numFmt numFmtId="164" formatCode="0000"/>
    <numFmt numFmtId="165" formatCode="\+#,##0;\-#,##0;\-"/>
    <numFmt numFmtId="166" formatCode="0.0"/>
    <numFmt numFmtId="167" formatCode="#,##0.0"/>
    <numFmt numFmtId="168" formatCode="#,##0;\-#,##0;0"/>
    <numFmt numFmtId="169" formatCode="yyyy/m/d;@"/>
    <numFmt numFmtId="170" formatCode="0_);[Red]\(0\)"/>
    <numFmt numFmtId="171" formatCode="m/d;@"/>
    <numFmt numFmtId="172" formatCode="0&quot;日&quot;"/>
    <numFmt numFmtId="173" formatCode="0.00&quot;倍&quot;"/>
    <numFmt numFmtId="174" formatCode="0.0&quot;%&quot;"/>
    <numFmt numFmtId="175" formatCode="0.00&quot;%&quot;"/>
    <numFmt numFmtId="176" formatCode="m/d"/>
    <numFmt numFmtId="177" formatCode="0_ "/>
    <numFmt numFmtId="178" formatCode="yyyy/mm/dd"/>
    <numFmt numFmtId="179" formatCode="h:mm;@"/>
    <numFmt numFmtId="180" formatCode="\+0.0&quot;%&quot;;\-0.0&quot;%&quot;;0.0&quot;%&quot;"/>
    <numFmt numFmtId="181" formatCode="\+0;\-0;0"/>
  </numFmts>
  <fonts count="177">
    <font>
      <name val="ＭＳ Ｐゴシック"/>
      <family val="2"/>
      <color theme="1"/>
      <sz val="11"/>
      <scheme val="minor"/>
    </font>
    <font>
      <name val="ＭＳ Ｐゴシック"/>
      <charset val="128"/>
      <family val="2"/>
      <color theme="1"/>
      <sz val="14"/>
      <scheme val="minor"/>
    </font>
    <font>
      <name val="ＭＳ Ｐゴシック"/>
      <charset val="128"/>
      <family val="2"/>
      <color theme="1"/>
      <sz val="14"/>
      <scheme val="minor"/>
    </font>
    <font>
      <name val="Meiryo UI"/>
      <charset val="128"/>
      <family val="3"/>
      <b val="1"/>
      <color rgb="FFFFFFFF"/>
      <sz val="16"/>
    </font>
    <font>
      <name val="Meiryo UI"/>
      <charset val="128"/>
      <family val="3"/>
      <color rgb="FFFFFFFF"/>
      <sz val="9"/>
    </font>
    <font>
      <name val="Meiryo UI"/>
      <charset val="128"/>
      <family val="3"/>
      <b val="1"/>
      <color rgb="FFFFFFFF"/>
      <sz val="10"/>
    </font>
    <font>
      <name val="Meiryo UI"/>
      <charset val="128"/>
      <family val="3"/>
      <b val="1"/>
      <color rgb="FF595959"/>
      <sz val="10"/>
    </font>
    <font>
      <name val="Meiryo UI"/>
      <charset val="128"/>
      <family val="3"/>
      <b val="1"/>
      <color rgb="FFFFFFFF"/>
      <sz val="13"/>
    </font>
    <font>
      <name val="Meiryo UI"/>
      <charset val="128"/>
      <family val="3"/>
      <b val="1"/>
      <color rgb="FFFFFFFF"/>
      <sz val="9"/>
    </font>
    <font>
      <name val="Meiryo UI"/>
      <charset val="128"/>
      <family val="3"/>
      <color rgb="FFFFFFFF"/>
      <sz val="7"/>
    </font>
    <font>
      <name val="Meiryo UI"/>
      <charset val="128"/>
      <family val="3"/>
      <b val="1"/>
      <color rgb="FF595959"/>
      <sz val="8"/>
    </font>
    <font>
      <name val="Meiryo UI"/>
      <charset val="128"/>
      <family val="3"/>
      <color rgb="FF595959"/>
      <sz val="8"/>
    </font>
    <font>
      <name val="Meiryo UI"/>
      <charset val="128"/>
      <family val="3"/>
      <color rgb="FF595959"/>
      <sz val="9"/>
    </font>
    <font>
      <name val="Meiryo UI"/>
      <charset val="128"/>
      <family val="3"/>
      <color rgb="FF404040"/>
      <sz val="8"/>
    </font>
    <font>
      <name val="Consolas"/>
      <family val="3"/>
      <b val="1"/>
      <color rgb="FFC00000"/>
      <sz val="10"/>
    </font>
    <font>
      <name val="Meiryo UI"/>
      <charset val="128"/>
      <family val="3"/>
      <b val="1"/>
      <color rgb="FF375623"/>
      <sz val="10"/>
    </font>
    <font>
      <name val="ＭＳ Ｐゴシック"/>
      <charset val="128"/>
      <family val="3"/>
      <sz val="6"/>
      <scheme val="minor"/>
    </font>
    <font>
      <name val="Meiryo UI"/>
      <charset val="128"/>
      <family val="3"/>
      <b val="1"/>
      <color rgb="FF000000"/>
      <sz val="20"/>
    </font>
    <font>
      <name val="ＭＳ Ｐゴシック"/>
      <family val="2"/>
      <color theme="10"/>
      <sz val="11"/>
      <u val="single"/>
      <scheme val="minor"/>
    </font>
    <font>
      <name val="ＭＳ Ｐゴシック"/>
      <charset val="128"/>
      <family val="3"/>
      <b val="1"/>
      <color theme="1"/>
      <sz val="14"/>
      <scheme val="minor"/>
    </font>
    <font>
      <name val="ＭＳ Ｐゴシック"/>
      <family val="2"/>
      <color theme="1"/>
      <sz val="18"/>
      <scheme val="minor"/>
    </font>
    <font>
      <name val="ＭＳ Ｐゴシック"/>
      <family val="2"/>
      <b val="1"/>
      <color theme="1"/>
      <sz val="11"/>
      <scheme val="minor"/>
    </font>
    <font>
      <name val="Meiryo UI"/>
      <charset val="128"/>
      <family val="3"/>
      <b val="1"/>
      <color rgb="FFFFFFFF"/>
      <sz val="7"/>
    </font>
    <font>
      <name val="Meiryo UI"/>
      <charset val="128"/>
      <family val="3"/>
      <b val="1"/>
      <color rgb="FF595959"/>
      <sz val="9"/>
    </font>
    <font>
      <name val="Meiryo UI"/>
      <charset val="128"/>
      <family val="3"/>
      <b val="1"/>
      <color rgb="FF404040"/>
      <sz val="8"/>
    </font>
    <font>
      <name val="ＭＳ Ｐゴシック"/>
      <family val="2"/>
      <color theme="1" tint="0.0499893185216834"/>
      <sz val="11"/>
      <scheme val="minor"/>
    </font>
    <font>
      <name val="ＭＳ Ｐゴシック"/>
      <family val="2"/>
      <b val="1"/>
      <color theme="1"/>
      <sz val="16"/>
      <scheme val="minor"/>
    </font>
    <font>
      <name val="Meiryo UI"/>
      <charset val="128"/>
      <family val="3"/>
      <color rgb="FF595959"/>
      <sz val="14"/>
    </font>
    <font>
      <name val="Meiryo UI"/>
      <charset val="128"/>
      <family val="3"/>
      <b val="1"/>
      <color rgb="FFD4AF37"/>
      <sz val="16"/>
    </font>
    <font>
      <name val="Meiryo UI"/>
      <charset val="128"/>
      <family val="3"/>
      <b val="1"/>
      <color rgb="FF202020"/>
      <sz val="9"/>
    </font>
    <font>
      <name val="ＭＳ Ｐゴシック"/>
      <charset val="128"/>
      <family val="3"/>
      <b val="1"/>
      <color rgb="FF333333"/>
      <sz val="11"/>
    </font>
    <font>
      <name val="ＭＳ Ｐゴシック"/>
      <charset val="128"/>
      <family val="3"/>
      <color rgb="FF333333"/>
      <sz val="11"/>
    </font>
    <font>
      <name val="ＭＳ Ｐゴシック"/>
      <charset val="128"/>
      <family val="3"/>
      <color theme="1"/>
      <sz val="11"/>
    </font>
    <font>
      <name val="Meiryo UI"/>
      <charset val="128"/>
      <family val="3"/>
      <b val="1"/>
      <color rgb="FFFFFFFF"/>
      <sz val="20"/>
    </font>
    <font>
      <name val="ＭＳ Ｐゴシック"/>
      <charset val="128"/>
      <family val="3"/>
      <color theme="1"/>
      <sz val="18"/>
      <scheme val="minor"/>
    </font>
    <font>
      <name val="Meiryo UI"/>
      <charset val="128"/>
      <family val="3"/>
      <b val="1"/>
      <color theme="1"/>
      <sz val="9"/>
    </font>
    <font>
      <name val="ＭＳ Ｐゴシック"/>
      <family val="2"/>
      <color theme="1"/>
      <sz val="14"/>
      <scheme val="minor"/>
    </font>
    <font>
      <name val="ＭＳ Ｐゴシック"/>
      <family val="2"/>
      <color theme="1"/>
      <sz val="16"/>
      <scheme val="minor"/>
    </font>
    <font>
      <name val="ＭＳ Ｐゴシック"/>
      <family val="2"/>
      <color theme="3" tint="-0.249977111117893"/>
      <sz val="11"/>
      <scheme val="minor"/>
    </font>
    <font>
      <name val="ＭＳ Ｐゴシック"/>
      <charset val="128"/>
      <family val="3"/>
      <color theme="2" tint="-0.499984740745262"/>
      <sz val="18"/>
      <scheme val="minor"/>
    </font>
    <font>
      <name val="ＭＳ Ｐゴシック"/>
      <charset val="128"/>
      <family val="3"/>
      <b val="1"/>
      <color theme="1"/>
      <sz val="11"/>
    </font>
    <font>
      <name val="ＭＳ Ｐゴシック"/>
      <charset val="128"/>
      <family val="3"/>
      <color rgb="FF333333"/>
      <sz val="8"/>
    </font>
    <font>
      <name val="ＭＳ Ｐゴシック"/>
      <charset val="128"/>
      <family val="3"/>
      <color theme="1"/>
      <sz val="8"/>
    </font>
    <font>
      <name val="ＭＳ Ｐゴシック"/>
      <family val="2"/>
      <sz val="14"/>
      <scheme val="minor"/>
    </font>
    <font>
      <name val="ＭＳ Ｐゴシック"/>
      <charset val="128"/>
      <family val="3"/>
      <b val="1"/>
      <color theme="1"/>
      <sz val="11"/>
      <scheme val="minor"/>
    </font>
    <font>
      <name val="Arial Unicode MS"/>
      <family val="2"/>
      <color theme="1"/>
      <sz val="10"/>
    </font>
    <font>
      <name val="ＭＳ Ｐゴシック"/>
      <charset val="128"/>
      <family val="3"/>
      <b val="1"/>
      <color rgb="FFC00000"/>
      <sz val="11"/>
      <scheme val="minor"/>
    </font>
    <font>
      <name val="ＭＳ Ｐゴシック"/>
      <family val="2"/>
      <color theme="1"/>
      <sz val="20"/>
      <scheme val="minor"/>
    </font>
    <font>
      <name val="ＭＳ Ｐゴシック"/>
      <charset val="128"/>
      <family val="3"/>
      <color rgb="FF333333"/>
      <sz val="10"/>
      <scheme val="minor"/>
    </font>
    <font>
      <name val="ＭＳ Ｐゴシック"/>
      <charset val="128"/>
      <family val="3"/>
      <color rgb="FF404040"/>
      <sz val="10"/>
      <scheme val="minor"/>
    </font>
    <font>
      <name val="ＭＳ Ｐゴシック"/>
      <charset val="128"/>
      <family val="3"/>
      <color theme="1"/>
      <sz val="10"/>
      <scheme val="minor"/>
    </font>
    <font>
      <name val="ＭＳ Ｐゴシック"/>
      <charset val="128"/>
      <family val="3"/>
      <color rgb="FF595959"/>
      <sz val="10"/>
      <scheme val="minor"/>
    </font>
    <font>
      <name val="Meiryo UI"/>
      <charset val="128"/>
      <family val="3"/>
      <b val="1"/>
      <color rgb="FFFFFFFF"/>
      <sz val="11"/>
    </font>
    <font>
      <name val="Meiryo UI"/>
      <charset val="128"/>
      <family val="3"/>
      <color theme="1"/>
      <sz val="12"/>
    </font>
    <font>
      <name val="Meiryo UI"/>
      <charset val="128"/>
      <family val="3"/>
      <b val="1"/>
      <color rgb="FF004494"/>
      <sz val="12"/>
      <u val="single"/>
    </font>
    <font>
      <name val="Meiryo UI"/>
      <charset val="128"/>
      <family val="3"/>
      <b val="1"/>
      <color rgb="FFC00000"/>
      <sz val="12"/>
    </font>
    <font>
      <name val="Meiryo UI"/>
      <charset val="128"/>
      <family val="3"/>
      <b val="1"/>
      <color rgb="FF595959"/>
      <sz val="12"/>
    </font>
    <font>
      <name val="Meiryo UI"/>
      <charset val="128"/>
      <family val="3"/>
      <b val="1"/>
      <color rgb="FFFFFFFF"/>
      <sz val="12"/>
    </font>
    <font>
      <name val="ＭＳ Ｐゴシック"/>
      <charset val="128"/>
      <family val="3"/>
      <b val="1"/>
      <sz val="11"/>
      <scheme val="minor"/>
    </font>
    <font>
      <name val="Meiryo UI"/>
      <charset val="128"/>
      <family val="3"/>
      <color rgb="FF375623"/>
      <sz val="10"/>
    </font>
    <font>
      <name val="Meiryo UI"/>
      <charset val="128"/>
      <family val="3"/>
      <b val="1"/>
      <color rgb="FFFFFFFF"/>
      <sz val="18"/>
    </font>
    <font>
      <name val="Meiryo UI"/>
      <charset val="128"/>
      <family val="3"/>
      <b val="1"/>
      <color rgb="FFFFD700"/>
      <sz val="10"/>
    </font>
    <font>
      <name val="Meiryo UI"/>
      <charset val="128"/>
      <family val="3"/>
      <b val="1"/>
      <color rgb="FFFFFFFF"/>
      <sz val="10"/>
      <u val="single"/>
    </font>
    <font>
      <name val="Meiryo UI"/>
      <charset val="128"/>
      <family val="3"/>
      <color theme="1"/>
      <sz val="10"/>
    </font>
    <font>
      <name val="Meiryo UI"/>
      <charset val="128"/>
      <family val="3"/>
      <color rgb="FF0066CC"/>
      <sz val="10"/>
      <u val="single"/>
    </font>
    <font>
      <name val="Meiryo UI"/>
      <charset val="128"/>
      <family val="3"/>
      <b val="1"/>
      <color theme="1"/>
      <sz val="10"/>
    </font>
    <font>
      <name val="ＭＳ Ｐゴシック"/>
      <charset val="128"/>
      <family val="3"/>
      <b val="1"/>
      <color rgb="FF646464"/>
      <sz val="12"/>
      <scheme val="minor"/>
    </font>
    <font>
      <name val="ＭＳ Ｐゴシック"/>
      <family val="2"/>
      <b val="1"/>
      <color theme="1"/>
      <sz val="12"/>
      <scheme val="minor"/>
    </font>
    <font>
      <name val="ＭＳ Ｐゴシック"/>
      <charset val="128"/>
      <family val="3"/>
      <b val="1"/>
      <color rgb="FFC00000"/>
      <sz val="12"/>
      <scheme val="minor"/>
    </font>
    <font>
      <name val="Consolas"/>
      <family val="3"/>
      <b val="1"/>
      <color rgb="FFC00000"/>
      <sz val="14"/>
    </font>
    <font>
      <name val="ＭＳ Ｐゴシック"/>
      <charset val="128"/>
      <family val="3"/>
      <b val="1"/>
      <color rgb="FFC00000"/>
      <sz val="14"/>
      <scheme val="minor"/>
    </font>
    <font>
      <name val="Meiryo UI"/>
      <charset val="128"/>
      <family val="3"/>
      <color rgb="FFFFFFFF"/>
      <sz val="10"/>
    </font>
    <font>
      <name val="ＭＳ Ｐゴシック"/>
      <charset val="128"/>
      <family val="3"/>
      <b val="1"/>
      <color rgb="FFFFFFFF"/>
      <sz val="14"/>
      <scheme val="minor"/>
    </font>
    <font>
      <name val="MS P ゴシック"/>
      <charset val="128"/>
      <family val="3"/>
      <color indexed="81"/>
      <sz val="9"/>
    </font>
    <font>
      <name val="MS P ゴシック"/>
      <charset val="128"/>
      <family val="3"/>
      <b val="1"/>
      <color indexed="81"/>
      <sz val="9"/>
    </font>
    <font>
      <name val="ＭＳ Ｐゴシック"/>
      <charset val="128"/>
      <family val="3"/>
      <color theme="1"/>
      <sz val="12"/>
      <scheme val="minor"/>
    </font>
    <font>
      <name val="Segoe UI Emoji"/>
      <family val="2"/>
      <b val="1"/>
      <color rgb="FFFFFFFF"/>
      <sz val="13"/>
    </font>
    <font>
      <name val="Meiryo UI"/>
      <charset val="128"/>
      <family val="3"/>
      <color theme="1"/>
      <sz val="11"/>
    </font>
    <font>
      <name val="ＭＳ Ｐゴシック"/>
      <family val="2"/>
      <b val="1"/>
      <color rgb="FFFFFFFF"/>
      <sz val="11"/>
      <scheme val="minor"/>
    </font>
    <font>
      <name val="ＭＳ Ｐゴシック"/>
      <family val="2"/>
      <color theme="1"/>
      <sz val="10"/>
      <scheme val="minor"/>
    </font>
    <font>
      <name val="ＭＳ Ｐゴシック"/>
      <family val="2"/>
      <b val="1"/>
      <color theme="1"/>
      <sz val="18"/>
      <scheme val="minor"/>
    </font>
    <font>
      <name val="ＭＳ Ｐゴシック"/>
      <family val="2"/>
      <b val="1"/>
      <color rgb="FFFFFFFF"/>
      <sz val="14"/>
      <scheme val="minor"/>
    </font>
    <font>
      <name val="ＭＳ Ｐゴシック"/>
      <family val="2"/>
      <color rgb="FF595959"/>
      <sz val="10"/>
      <scheme val="minor"/>
    </font>
    <font>
      <name val="ＭＳ Ｐゴシック"/>
      <family val="2"/>
      <b val="1"/>
      <color rgb="FF1F4E79"/>
      <sz val="22"/>
      <scheme val="minor"/>
    </font>
    <font>
      <name val="Meiryo UI"/>
      <charset val="128"/>
      <family val="3"/>
      <color rgb="FFFFFFFF"/>
      <sz val="10"/>
      <u val="single"/>
    </font>
    <font>
      <name val="ＭＳ Ｐゴシック"/>
      <charset val="128"/>
      <family val="3"/>
      <b val="1"/>
      <color rgb="FFFFFFFF"/>
      <sz val="16"/>
      <scheme val="minor"/>
    </font>
    <font>
      <name val="ＭＳ Ｐゴシック"/>
      <charset val="128"/>
      <family val="3"/>
      <b val="1"/>
      <color rgb="FFFFFFFF"/>
      <sz val="13"/>
      <scheme val="minor"/>
    </font>
    <font>
      <name val="ＭＳ Ｐゴシック"/>
      <charset val="128"/>
      <family val="2"/>
      <sz val="7"/>
      <scheme val="minor"/>
    </font>
    <font>
      <name val="ＭＳ Ｐゴシック"/>
      <charset val="128"/>
      <family val="3"/>
      <color theme="1"/>
      <sz val="13"/>
      <scheme val="minor"/>
    </font>
    <font>
      <name val="ＭＳ Ｐゴシック"/>
      <charset val="128"/>
      <family val="3"/>
      <b val="1"/>
      <color rgb="FF0000FF"/>
      <sz val="13"/>
      <scheme val="minor"/>
    </font>
    <font>
      <name val="ＭＳ Ｐゴシック"/>
      <charset val="128"/>
      <family val="3"/>
      <b val="1"/>
      <color rgb="FF008000"/>
      <sz val="13"/>
      <scheme val="minor"/>
    </font>
    <font>
      <name val="ＭＳ Ｐゴシック"/>
      <charset val="128"/>
      <family val="3"/>
      <b val="1"/>
      <color theme="1"/>
      <sz val="13"/>
      <scheme val="minor"/>
    </font>
    <font>
      <name val="ＭＳ Ｐゴシック"/>
      <charset val="128"/>
      <family val="3"/>
      <b val="1"/>
      <color rgb="FFFF0000"/>
      <sz val="13"/>
      <scheme val="minor"/>
    </font>
    <font>
      <name val="ＭＳ Ｐゴシック"/>
      <charset val="128"/>
      <family val="3"/>
      <b val="1"/>
      <color rgb="FF000000"/>
      <sz val="13"/>
      <scheme val="minor"/>
    </font>
    <font>
      <name val="ＭＳ Ｐゴシック"/>
      <charset val="128"/>
      <family val="3"/>
      <b val="1"/>
      <color theme="1"/>
      <sz val="16"/>
      <scheme val="minor"/>
    </font>
    <font>
      <name val="ＭＳ Ｐゴシック"/>
      <charset val="128"/>
      <family val="3"/>
      <color rgb="FF888888"/>
      <sz val="13"/>
      <scheme val="minor"/>
    </font>
    <font>
      <name val="ＭＳ Ｐゴシック"/>
      <charset val="128"/>
      <family val="3"/>
      <color rgb="FF888888"/>
      <sz val="12"/>
      <scheme val="minor"/>
    </font>
    <font>
      <name val="ＭＳ Ｐゴシック"/>
      <charset val="128"/>
      <family val="3"/>
      <b val="1"/>
      <color rgb="FFFFFFFF"/>
      <sz val="18"/>
      <scheme val="minor"/>
    </font>
    <font>
      <name val="ＭＳ Ｐゴシック"/>
      <charset val="128"/>
      <family val="3"/>
      <color rgb="FF666666"/>
      <sz val="11"/>
      <scheme val="minor"/>
    </font>
    <font>
      <name val="ＭＳ Ｐゴシック"/>
      <charset val="128"/>
      <family val="2"/>
      <color rgb="FFAAAAAA"/>
      <sz val="14"/>
      <scheme val="minor"/>
    </font>
    <font>
      <name val="ＭＳ Ｐゴシック"/>
      <charset val="128"/>
      <family val="3"/>
      <color rgb="FF9C0006"/>
      <sz val="12"/>
      <scheme val="minor"/>
    </font>
    <font>
      <name val="ＭＳ Ｐゴシック"/>
      <charset val="128"/>
      <family val="3"/>
      <color rgb="FF276221"/>
      <sz val="12"/>
      <scheme val="minor"/>
    </font>
    <font>
      <name val="ＭＳ Ｐゴシック"/>
      <charset val="128"/>
      <family val="3"/>
      <b val="1"/>
      <color theme="1"/>
      <sz val="12"/>
      <scheme val="minor"/>
    </font>
    <font>
      <name val="Courier New"/>
      <family val="3"/>
      <color rgb="FF0000FF"/>
      <sz val="12"/>
    </font>
    <font>
      <name val="ＭＳ Ｐゴシック"/>
      <charset val="128"/>
      <family val="3"/>
      <color rgb="FF276221"/>
      <sz val="11"/>
      <scheme val="minor"/>
    </font>
    <font>
      <name val="游ゴシック"/>
      <charset val="128"/>
      <family val="3"/>
      <b val="1"/>
      <color rgb="FFFFFFFF"/>
      <sz val="14"/>
    </font>
    <font>
      <name val="游ゴシック"/>
      <charset val="128"/>
      <family val="3"/>
      <b val="1"/>
      <color rgb="FF375623"/>
      <sz val="12"/>
    </font>
    <font>
      <name val="ＭＳ Ｐゴシック"/>
      <charset val="128"/>
      <family val="3"/>
      <color theme="1"/>
      <sz val="14"/>
      <scheme val="minor"/>
    </font>
    <font>
      <name val="ＭＳ Ｐゴシック"/>
      <charset val="128"/>
      <family val="2"/>
      <color theme="1"/>
      <sz val="12"/>
      <scheme val="minor"/>
    </font>
    <font>
      <name val="ＭＳ Ｐゴシック"/>
      <charset val="128"/>
      <family val="3"/>
      <b val="1"/>
      <color rgb="FF4A235A"/>
      <sz val="12"/>
      <scheme val="minor"/>
    </font>
    <font>
      <name val="ＭＳ Ｐゴシック"/>
      <charset val="128"/>
      <family val="3"/>
      <b val="1"/>
      <color rgb="FF7B2C2C"/>
      <sz val="12"/>
      <scheme val="minor"/>
    </font>
    <font>
      <name val="ＭＳ Ｐゴシック"/>
      <charset val="128"/>
      <family val="2"/>
      <b val="1"/>
      <color theme="1"/>
      <sz val="12"/>
      <scheme val="minor"/>
    </font>
    <font>
      <name val="ＭＳ Ｐゴシック"/>
      <charset val="128"/>
      <family val="3"/>
      <color theme="1"/>
      <sz val="11"/>
      <scheme val="minor"/>
    </font>
    <font>
      <name val="ＭＳ Ｐゴシック"/>
      <charset val="128"/>
      <family val="3"/>
      <b val="1"/>
      <color rgb="FF9C0006"/>
      <sz val="12"/>
      <scheme val="minor"/>
    </font>
    <font>
      <name val="ＭＳ Ｐゴシック"/>
      <charset val="128"/>
      <family val="3"/>
      <b val="1"/>
      <color theme="7"/>
      <sz val="14"/>
      <u val="single"/>
      <scheme val="minor"/>
    </font>
    <font>
      <name val="ＭＳ Ｐゴシック"/>
      <family val="2"/>
      <b val="1"/>
      <color theme="2"/>
      <sz val="20"/>
      <scheme val="minor"/>
    </font>
    <font>
      <name val="ＭＳ Ｐゴシック"/>
      <family val="2"/>
      <b val="1"/>
      <color rgb="FFD4AF37"/>
      <sz val="16"/>
      <scheme val="minor"/>
    </font>
    <font>
      <name val="ＭＳ Ｐゴシック"/>
      <family val="2"/>
      <b val="1"/>
      <color rgb="FFFFFFFF"/>
      <sz val="9"/>
      <scheme val="minor"/>
    </font>
    <font>
      <name val="ＭＳ Ｐゴシック"/>
      <family val="2"/>
      <b val="1"/>
      <color rgb="FFFFFFFF"/>
      <sz val="18"/>
      <scheme val="minor"/>
    </font>
    <font>
      <name val="ＭＳ Ｐゴシック"/>
      <family val="2"/>
      <b val="1"/>
      <color rgb="FFFFFFFF"/>
      <sz val="10"/>
      <scheme val="minor"/>
    </font>
    <font>
      <name val="ＭＳ Ｐゴシック"/>
      <charset val="128"/>
      <family val="2"/>
      <color rgb="FFFF0000"/>
      <sz val="14"/>
      <scheme val="minor"/>
    </font>
    <font>
      <name val="ＭＳ Ｐゴシック"/>
      <charset val="128"/>
      <family val="3"/>
      <color rgb="FFFF0000"/>
      <sz val="14"/>
      <scheme val="minor"/>
    </font>
    <font>
      <name val="ＭＳ Ｐゴシック"/>
      <charset val="128"/>
      <family val="2"/>
      <b val="1"/>
      <color rgb="FF0000FF"/>
      <sz val="14"/>
      <scheme val="minor"/>
    </font>
    <font>
      <name val="ＭＳ Ｐゴシック"/>
      <charset val="128"/>
      <family val="3"/>
      <b val="1"/>
      <color rgb="FF0000FF"/>
      <sz val="14"/>
      <scheme val="minor"/>
    </font>
    <font>
      <name val="ＭＳ Ｐゴシック"/>
      <charset val="128"/>
      <family val="3"/>
      <color rgb="FF888888"/>
      <sz val="14"/>
      <scheme val="minor"/>
    </font>
    <font>
      <name val="ＭＳ Ｐゴシック"/>
      <charset val="128"/>
      <family val="3"/>
      <b val="1"/>
      <color theme="9" tint="-0.249977111117893"/>
      <sz val="22"/>
      <scheme val="minor"/>
    </font>
    <font>
      <name val="Meiryo UI"/>
      <charset val="128"/>
      <family val="3"/>
      <sz val="18"/>
    </font>
    <font>
      <name val="Meiryo UI"/>
      <charset val="128"/>
      <family val="3"/>
      <sz val="18"/>
      <u val="single"/>
    </font>
    <font>
      <name val="ＭＳ Ｐゴシック"/>
      <family val="2"/>
      <sz val="16"/>
      <scheme val="minor"/>
    </font>
    <font>
      <name val="Meiryo UI"/>
      <charset val="128"/>
      <family val="3"/>
      <b val="1"/>
      <color rgb="FFFFFFFF"/>
      <sz val="8"/>
    </font>
    <font>
      <name val="MS P ゴシック"/>
      <charset val="128"/>
      <family val="3"/>
      <color indexed="81"/>
      <sz val="14"/>
    </font>
    <font>
      <name val="MS P ゴシック"/>
      <charset val="128"/>
      <family val="3"/>
      <b val="1"/>
      <color indexed="81"/>
      <sz val="14"/>
    </font>
    <font>
      <name val="ＭＳ Ｐゴシック"/>
      <charset val="128"/>
      <family val="3"/>
      <b val="1"/>
      <color rgb="FFFFFFFF"/>
      <sz val="9"/>
      <scheme val="minor"/>
    </font>
    <font>
      <name val="Meiryo UI"/>
      <charset val="128"/>
      <family val="3"/>
      <color theme="1"/>
      <sz val="9"/>
    </font>
    <font>
      <name val="ＭＳ Ｐゴシック"/>
      <charset val="128"/>
      <family val="3"/>
      <b val="1"/>
      <color rgb="FFFF0000"/>
      <sz val="20"/>
    </font>
    <font>
      <name val="ＭＳ Ｐゴシック"/>
      <charset val="128"/>
      <family val="3"/>
      <color rgb="FF000000"/>
      <sz val="11"/>
    </font>
    <font>
      <name val="ＭＳ Ｐゴシック"/>
      <charset val="128"/>
      <family val="3"/>
      <b val="1"/>
      <color rgb="FF000000"/>
      <sz val="14"/>
    </font>
    <font>
      <name val="ＭＳ Ｐゴシック"/>
      <family val="2"/>
      <color theme="1"/>
      <sz val="11"/>
      <scheme val="minor"/>
    </font>
    <font>
      <name val="Consolas"/>
      <family val="3"/>
      <b val="1"/>
      <color rgb="FFC00000"/>
      <sz val="12"/>
    </font>
    <font>
      <name val="ＭＳ Ｐゴシック"/>
      <charset val="128"/>
      <family val="3"/>
      <b val="1"/>
      <color rgb="FF9C0006"/>
      <sz val="14"/>
      <scheme val="minor"/>
    </font>
    <font>
      <name val="ＭＳ Ｐゴシック"/>
      <family val="2"/>
      <sz val="11"/>
      <scheme val="minor"/>
    </font>
    <font>
      <name val="ＭＳ Ｐゴシック"/>
      <charset val="128"/>
      <family val="3"/>
      <b val="1"/>
      <color rgb="FFD4AF37"/>
      <sz val="26"/>
      <scheme val="minor"/>
    </font>
    <font>
      <name val="ＭＳ Ｐゴシック"/>
      <charset val="128"/>
      <family val="3"/>
      <b val="1"/>
      <color theme="1"/>
      <sz val="26"/>
      <scheme val="minor"/>
    </font>
    <font>
      <name val="Meiryo UI"/>
      <charset val="128"/>
      <family val="3"/>
      <color rgb="FFFFD700"/>
      <sz val="11"/>
      <u val="single"/>
    </font>
    <font>
      <name val="ＭＳ Ｐゴシック"/>
      <family val="2"/>
      <b val="1"/>
      <color rgb="FFFFFFFF"/>
      <sz val="13"/>
      <scheme val="minor"/>
    </font>
    <font>
      <name val="ＭＳ Ｐゴシック"/>
      <family val="2"/>
      <b val="1"/>
      <color rgb="FFAACCFF"/>
      <sz val="11"/>
      <scheme val="minor"/>
    </font>
    <font>
      <name val="ＭＳ Ｐゴシック"/>
      <family val="2"/>
      <b val="1"/>
      <color rgb="FF856404"/>
      <sz val="11"/>
      <scheme val="minor"/>
    </font>
    <font>
      <name val="ＭＳ Ｐゴシック"/>
      <family val="2"/>
      <b val="1"/>
      <color rgb="FFCC0000"/>
      <sz val="11"/>
      <scheme val="minor"/>
    </font>
    <font>
      <name val="ＭＳ Ｐゴシック"/>
      <family val="2"/>
      <color rgb="FF007700"/>
      <sz val="11"/>
      <scheme val="minor"/>
    </font>
    <font>
      <name val="ＭＳ Ｐゴシック"/>
      <family val="2"/>
      <color rgb="FF005599"/>
      <sz val="11"/>
      <scheme val="minor"/>
    </font>
    <font>
      <name val="ＭＳ Ｐゴシック"/>
      <family val="2"/>
      <color rgb="FF993300"/>
      <sz val="11"/>
      <scheme val="minor"/>
    </font>
    <font>
      <name val="ＭＳ Ｐゴシック"/>
      <family val="2"/>
      <b val="1"/>
      <color rgb="FF155724"/>
      <sz val="11"/>
      <scheme val="minor"/>
    </font>
    <font>
      <name val="ＭＳ Ｐゴシック"/>
      <charset val="128"/>
      <family val="3"/>
      <b val="1"/>
      <color rgb="FFFFFFFF"/>
      <sz val="11"/>
      <scheme val="minor"/>
    </font>
    <font>
      <name val="ＭＳ Ｐゴシック"/>
      <charset val="128"/>
      <family val="3"/>
      <sz val="11"/>
      <scheme val="minor"/>
    </font>
    <font>
      <name val="ＭＳ Ｐゴシック"/>
      <charset val="128"/>
      <family val="3"/>
      <b val="1"/>
      <color theme="1"/>
      <sz val="18"/>
      <scheme val="minor"/>
    </font>
    <font>
      <name val="ＭＳ Ｐゴシック"/>
      <charset val="128"/>
      <family val="3"/>
      <sz val="18"/>
      <scheme val="minor"/>
    </font>
    <font>
      <name val="ＭＳ Ｐゴシック"/>
      <charset val="128"/>
      <family val="3"/>
      <sz val="18"/>
      <u val="single"/>
      <scheme val="minor"/>
    </font>
    <font>
      <name val="ＭＳ Ｐゴシック"/>
      <charset val="128"/>
      <family val="3"/>
      <b val="1"/>
      <color rgb="FF000000"/>
      <sz val="16"/>
    </font>
    <font>
      <name val="ＭＳ Ｐゴシック"/>
      <charset val="128"/>
      <family val="3"/>
      <sz val="11"/>
      <u val="single"/>
      <scheme val="minor"/>
    </font>
    <font>
      <name val="Meiryo UI"/>
      <charset val="128"/>
      <family val="3"/>
      <sz val="28"/>
    </font>
    <font>
      <name val="Meiryo UI"/>
      <charset val="128"/>
      <family val="3"/>
      <sz val="28"/>
      <u val="single"/>
    </font>
    <font>
      <name val="ＭＳ Ｐゴシック"/>
      <charset val="128"/>
      <family val="3"/>
      <b val="1"/>
      <color rgb="FF000000"/>
      <sz val="36"/>
    </font>
    <font>
      <name val="ＭＳ Ｐゴシック"/>
      <charset val="128"/>
      <family val="3"/>
      <b val="1"/>
      <color rgb="FF000000"/>
      <sz val="26"/>
    </font>
    <font>
      <name val="ＭＳ Ｐゴシック"/>
      <charset val="128"/>
      <family val="3"/>
      <b val="1"/>
      <color rgb="FF000000"/>
      <sz val="22"/>
    </font>
    <font>
      <name val="Meiryo UI"/>
      <charset val="128"/>
      <family val="3"/>
      <b val="1"/>
      <color rgb="FFFFFFFF"/>
      <sz val="24"/>
      <u val="single"/>
    </font>
    <font>
      <name val="Meiryo UI"/>
      <charset val="128"/>
      <family val="3"/>
      <b val="1"/>
      <color rgb="FFFFFFFF"/>
      <sz val="24"/>
    </font>
    <font>
      <name val="ＭＳ Ｐゴシック"/>
      <family val="2"/>
      <color theme="1"/>
      <sz val="24"/>
      <scheme val="minor"/>
    </font>
    <font>
      <name val="ＭＳ Ｐゴシック"/>
      <charset val="128"/>
      <family val="3"/>
      <color theme="1"/>
      <sz val="24"/>
      <scheme val="minor"/>
    </font>
    <font>
      <name val="ＭＳ Ｐゴシック"/>
      <charset val="128"/>
      <family val="3"/>
      <b val="1"/>
      <color rgb="FFFFFFFF"/>
      <sz val="24"/>
      <u val="single"/>
      <scheme val="minor"/>
    </font>
    <font>
      <name val="Meiryo UI"/>
      <charset val="128"/>
      <family val="3"/>
      <sz val="24"/>
    </font>
    <font>
      <name val="Meiryo UI"/>
      <charset val="128"/>
      <family val="3"/>
      <b val="1"/>
      <sz val="24"/>
    </font>
    <font>
      <name val="ＭＳ Ｐゴシック"/>
      <charset val="128"/>
      <family val="3"/>
      <sz val="24"/>
      <u val="single"/>
      <scheme val="minor"/>
    </font>
    <font>
      <name val="ＭＳ Ｐゴシック"/>
      <charset val="128"/>
      <family val="3"/>
      <b val="1"/>
      <color rgb="FFFFFFFF"/>
      <sz val="11"/>
      <u val="single"/>
      <scheme val="minor"/>
    </font>
    <font>
      <name val="ＭＳ Ｐゴシック"/>
      <charset val="128"/>
      <family val="3"/>
      <color rgb="FF202020"/>
      <sz val="18"/>
      <scheme val="minor"/>
    </font>
    <font>
      <name val="ＭＳ Ｐゴシック"/>
      <charset val="128"/>
      <family val="3"/>
      <b val="1"/>
      <color rgb="FF202020"/>
      <sz val="18"/>
      <scheme val="minor"/>
    </font>
    <font>
      <name val="ＭＳ Ｐゴシック"/>
      <charset val="128"/>
      <family val="3"/>
      <color rgb="FF505050"/>
      <sz val="18"/>
      <scheme val="minor"/>
    </font>
    <font>
      <name val="ＭＳ Ｐゴシック"/>
      <charset val="128"/>
      <family val="3"/>
      <color rgb="FFFFFFFF"/>
      <sz val="18"/>
      <scheme val="minor"/>
    </font>
  </fonts>
  <fills count="68">
    <fill>
      <patternFill/>
    </fill>
    <fill>
      <patternFill patternType="gray125"/>
    </fill>
    <fill>
      <patternFill patternType="solid">
        <fgColor rgb="FF1F497D"/>
      </patternFill>
    </fill>
    <fill>
      <patternFill patternType="solid">
        <fgColor rgb="FF4472C4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C00000"/>
      </patternFill>
    </fill>
    <fill>
      <patternFill patternType="solid">
        <fgColor rgb="FFDCE6F1"/>
      </patternFill>
    </fill>
    <fill>
      <patternFill patternType="solid">
        <fgColor rgb="FF375623"/>
      </patternFill>
    </fill>
    <fill>
      <patternFill patternType="solid">
        <fgColor rgb="FF7030A0"/>
      </patternFill>
    </fill>
    <fill>
      <patternFill patternType="solid">
        <fgColor rgb="FF595959"/>
      </patternFill>
    </fill>
    <fill>
      <patternFill patternType="solid">
        <fgColor theme="1" tint="0.0499893185216834"/>
        <bgColor indexed="64"/>
      </patternFill>
    </fill>
    <fill>
      <patternFill patternType="solid">
        <fgColor rgb="FF00467F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0C8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F4E79"/>
        <bgColor indexed="64"/>
      </patternFill>
    </fill>
    <fill>
      <gradientFill type="linear" degree="90">
        <stop position="0">
          <color rgb="FF002040"/>
        </stop>
        <stop position="0.5">
          <color rgb="FF0070C0"/>
        </stop>
        <stop position="1">
          <color rgb="FF002040"/>
        </stop>
      </gradientFill>
    </fill>
    <fill>
      <patternFill patternType="solid">
        <fgColor rgb="FF14285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295F91"/>
        <bgColor indexed="64"/>
      </patternFill>
    </fill>
    <fill>
      <patternFill patternType="solid">
        <fgColor rgb="FF3370A8"/>
        <bgColor indexed="64"/>
      </patternFill>
    </fill>
    <fill>
      <patternFill patternType="solid">
        <fgColor rgb="FF3D82C0"/>
        <bgColor indexed="64"/>
      </patternFill>
    </fill>
    <fill>
      <patternFill patternType="solid">
        <fgColor rgb="FF009688"/>
        <bgColor indexed="64"/>
      </patternFill>
    </fill>
    <fill>
      <patternFill patternType="solid">
        <fgColor rgb="FFC05A00"/>
        <bgColor indexed="64"/>
      </patternFill>
    </fill>
    <fill>
      <gradientFill type="linear">
        <stop position="0">
          <color rgb="FFC00000"/>
        </stop>
        <stop position="1">
          <color rgb="FFFF8C00"/>
        </stop>
      </gradientFill>
    </fill>
    <fill>
      <patternFill patternType="solid">
        <fgColor rgb="FFEBF3FF"/>
        <bgColor indexed="64"/>
      </patternFill>
    </fill>
    <fill>
      <gradientFill type="linear">
        <stop position="0">
          <color rgb="FF323232"/>
        </stop>
        <stop position="1">
          <color rgb="FF5A5A5A"/>
        </stop>
      </gradientFill>
    </fill>
    <fill>
      <patternFill patternType="solid">
        <fgColor rgb="FF4472C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BF3F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7B2C2C"/>
        <bgColor indexed="64"/>
      </patternFill>
    </fill>
    <fill>
      <patternFill patternType="solid">
        <fgColor rgb="FF4A235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7B00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5C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00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28000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E8F4E8"/>
        <bgColor indexed="64"/>
      </patternFill>
    </fill>
    <fill>
      <patternFill patternType="solid">
        <fgColor rgb="FFF5F9FF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00"/>
        <bgColor indexed="64"/>
      </patternFill>
    </fill>
  </fills>
  <borders count="6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/>
      <right style="medium">
        <color rgb="FFCCCCCC"/>
      </right>
      <top/>
      <bottom/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 style="thin">
        <color rgb="FFC8C8C8"/>
      </right>
      <top/>
      <bottom/>
      <diagonal/>
    </border>
    <border>
      <left style="thin">
        <color rgb="FFC8C8C8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FFD700"/>
      </bottom>
      <diagonal/>
    </border>
    <border>
      <left style="thin">
        <color rgb="FF808080"/>
      </left>
      <right style="thin">
        <color rgb="FFC8C8C8"/>
      </right>
      <top style="thin">
        <color rgb="FF80808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808080"/>
      </top>
      <bottom style="thin">
        <color rgb="FFC8C8C8"/>
      </bottom>
      <diagonal/>
    </border>
    <border>
      <left style="thin">
        <color rgb="FF80808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808080"/>
      </right>
      <top style="thin">
        <color rgb="FFC8C8C8"/>
      </top>
      <bottom style="thin">
        <color rgb="FFC8C8C8"/>
      </bottom>
      <diagonal/>
    </border>
    <border>
      <left style="thin">
        <color rgb="FF808080"/>
      </left>
      <right style="thin">
        <color rgb="FFC8C8C8"/>
      </right>
      <top style="thin">
        <color rgb="FFC8C8C8"/>
      </top>
      <bottom style="thin">
        <color rgb="FF80808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808080"/>
      </bottom>
      <diagonal/>
    </border>
    <border>
      <left style="thin">
        <color rgb="FFC8C8C8"/>
      </left>
      <right style="thin">
        <color rgb="FF808080"/>
      </right>
      <top style="thin">
        <color rgb="FFC8C8C8"/>
      </top>
      <bottom style="thin">
        <color rgb="FF80808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double">
        <color rgb="FFFFD700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648CB4"/>
      </left>
      <right style="medium">
        <color rgb="FF00467F"/>
      </right>
      <top style="double">
        <color rgb="FFFFD700"/>
      </top>
      <bottom style="thin">
        <color rgb="FFB4B4B4"/>
      </bottom>
      <diagonal/>
    </border>
    <border>
      <left style="medium">
        <color rgb="FF648CB4"/>
      </left>
      <right style="medium">
        <color rgb="FF00467F"/>
      </right>
      <top style="thin">
        <color rgb="FFB4B4B4"/>
      </top>
      <bottom style="thin">
        <color rgb="FFB4B4B4"/>
      </bottom>
      <diagonal/>
    </border>
    <border>
      <left style="thin">
        <color rgb="FF2E75B6"/>
      </left>
      <right style="thin">
        <color rgb="FFBDD7EE"/>
      </right>
      <top style="thin">
        <color rgb="FF2E75B6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 style="thin">
        <color rgb="FF2E75B6"/>
      </top>
      <bottom style="thin">
        <color rgb="FFBDD7EE"/>
      </bottom>
      <diagonal/>
    </border>
    <border>
      <left style="thin">
        <color rgb="FFBDD7EE"/>
      </left>
      <right style="thin">
        <color rgb="FF2E75B6"/>
      </right>
      <top style="thin">
        <color rgb="FF2E75B6"/>
      </top>
      <bottom style="thin">
        <color rgb="FFBDD7EE"/>
      </bottom>
      <diagonal/>
    </border>
    <border>
      <left style="thin">
        <color rgb="FF2E75B6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2E75B6"/>
      </right>
      <top style="thin">
        <color rgb="FFBDD7EE"/>
      </top>
      <bottom style="thin">
        <color rgb="FFBDD7EE"/>
      </bottom>
      <diagonal/>
    </border>
    <border>
      <left style="thin">
        <color rgb="FF2E75B6"/>
      </left>
      <right style="thin">
        <color rgb="FFBDD7EE"/>
      </right>
      <top style="thin">
        <color rgb="FFBDD7EE"/>
      </top>
      <bottom style="thin">
        <color rgb="FF2E75B6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2E75B6"/>
      </bottom>
      <diagonal/>
    </border>
    <border>
      <left style="thin">
        <color rgb="FFBDD7EE"/>
      </left>
      <right style="thin">
        <color rgb="FF2E75B6"/>
      </right>
      <top style="thin">
        <color rgb="FFBDD7EE"/>
      </top>
      <bottom style="thin">
        <color rgb="FF2E75B6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D4AF37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137" fillId="0" borderId="0"/>
    <xf numFmtId="0" fontId="18" fillId="0" borderId="0"/>
    <xf numFmtId="0" fontId="2" fillId="0" borderId="0" applyAlignment="1">
      <alignment vertical="center"/>
    </xf>
    <xf numFmtId="38" fontId="137" fillId="0" borderId="0" applyAlignment="1">
      <alignment vertical="center"/>
    </xf>
  </cellStyleXfs>
  <cellXfs count="700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3" fontId="0" fillId="0" borderId="0" applyProtection="1" pivotButton="0" quotePrefix="0" xfId="0">
      <protection locked="0" hidden="0"/>
    </xf>
    <xf numFmtId="4" fontId="0" fillId="0" borderId="0" applyProtection="1" pivotButton="0" quotePrefix="0" xfId="0">
      <protection locked="0" hidden="0"/>
    </xf>
    <xf numFmtId="0" fontId="21" fillId="0" borderId="0" applyProtection="1" pivotButton="0" quotePrefix="0" xfId="0">
      <protection locked="0" hidden="0"/>
    </xf>
    <xf numFmtId="164" fontId="58" fillId="0" borderId="3" applyProtection="1" pivotButton="0" quotePrefix="0" xfId="0">
      <protection locked="0" hidden="0"/>
    </xf>
    <xf numFmtId="165" fontId="23" fillId="7" borderId="3" applyAlignment="1" applyProtection="1" pivotButton="0" quotePrefix="0" xfId="0">
      <alignment horizontal="right" vertical="center"/>
      <protection locked="0" hidden="0"/>
    </xf>
    <xf numFmtId="166" fontId="23" fillId="19" borderId="3" applyAlignment="1" applyProtection="1" pivotButton="0" quotePrefix="0" xfId="0">
      <alignment horizontal="right" vertical="center"/>
      <protection locked="0" hidden="0"/>
    </xf>
    <xf numFmtId="165" fontId="23" fillId="5" borderId="3" applyAlignment="1" applyProtection="1" pivotButton="0" quotePrefix="0" xfId="0">
      <alignment horizontal="right" vertical="center"/>
      <protection locked="0" hidden="0"/>
    </xf>
    <xf numFmtId="3" fontId="31" fillId="17" borderId="0" applyAlignment="1" applyProtection="1" pivotButton="0" quotePrefix="0" xfId="0">
      <alignment horizontal="right" vertical="center" wrapText="1"/>
      <protection locked="0" hidden="0"/>
    </xf>
    <xf numFmtId="3" fontId="24" fillId="5" borderId="0" applyAlignment="1" applyProtection="1" pivotButton="0" quotePrefix="0" xfId="0">
      <alignment horizontal="right" vertical="center"/>
      <protection locked="0" hidden="0"/>
    </xf>
    <xf numFmtId="3" fontId="30" fillId="0" borderId="0" applyAlignment="1" applyProtection="1" pivotButton="0" quotePrefix="0" xfId="0">
      <alignment horizontal="right" vertical="center" wrapText="1"/>
      <protection locked="0" hidden="0"/>
    </xf>
    <xf numFmtId="3" fontId="44" fillId="0" borderId="0" applyAlignment="1" applyProtection="1" pivotButton="0" quotePrefix="0" xfId="0">
      <alignment horizontal="center" vertical="center"/>
      <protection locked="0" hidden="0"/>
    </xf>
    <xf numFmtId="3" fontId="24" fillId="0" borderId="0" applyAlignment="1" applyProtection="1" pivotButton="0" quotePrefix="0" xfId="0">
      <alignment horizontal="right" vertical="center"/>
      <protection locked="0" hidden="0"/>
    </xf>
    <xf numFmtId="3" fontId="40" fillId="0" borderId="0" applyAlignment="1" applyProtection="1" pivotButton="0" quotePrefix="0" xfId="0">
      <alignment horizontal="right" vertical="center" wrapText="1"/>
      <protection locked="0" hidden="0"/>
    </xf>
    <xf numFmtId="167" fontId="23" fillId="0" borderId="3" applyAlignment="1" applyProtection="1" pivotButton="0" quotePrefix="0" xfId="0">
      <alignment horizontal="right" vertical="center"/>
      <protection locked="0" hidden="0"/>
    </xf>
    <xf numFmtId="168" fontId="0" fillId="0" borderId="0" applyProtection="1" pivotButton="0" quotePrefix="0" xfId="0">
      <protection locked="0" hidden="0"/>
    </xf>
    <xf numFmtId="0" fontId="12" fillId="5" borderId="0" applyAlignment="1" applyProtection="1" pivotButton="0" quotePrefix="0" xfId="0">
      <alignment horizontal="left" vertical="center"/>
      <protection locked="0" hidden="0"/>
    </xf>
    <xf numFmtId="3" fontId="15" fillId="19" borderId="0" applyAlignment="1" applyProtection="1" pivotButton="0" quotePrefix="0" xfId="0">
      <alignment horizontal="right" vertical="center"/>
      <protection locked="0" hidden="0"/>
    </xf>
    <xf numFmtId="165" fontId="12" fillId="5" borderId="0" applyAlignment="1" applyProtection="1" pivotButton="0" quotePrefix="0" xfId="0">
      <alignment horizontal="right" vertical="center"/>
      <protection locked="0" hidden="0"/>
    </xf>
    <xf numFmtId="3" fontId="13" fillId="5" borderId="0" applyAlignment="1" applyProtection="1" pivotButton="0" quotePrefix="0" xfId="0">
      <alignment horizontal="right" vertical="center"/>
      <protection locked="0" hidden="0"/>
    </xf>
    <xf numFmtId="3" fontId="31" fillId="0" borderId="0" applyAlignment="1" applyProtection="1" pivotButton="0" quotePrefix="0" xfId="0">
      <alignment horizontal="right" vertical="center" wrapText="1"/>
      <protection locked="0" hidden="0"/>
    </xf>
    <xf numFmtId="3" fontId="13" fillId="0" borderId="0" applyAlignment="1" applyProtection="1" pivotButton="0" quotePrefix="0" xfId="0">
      <alignment horizontal="right" vertical="center"/>
      <protection locked="0" hidden="0"/>
    </xf>
    <xf numFmtId="3" fontId="32" fillId="0" borderId="0" applyAlignment="1" applyProtection="1" pivotButton="0" quotePrefix="0" xfId="0">
      <alignment horizontal="right" vertical="center" wrapText="1"/>
      <protection locked="0" hidden="0"/>
    </xf>
    <xf numFmtId="167" fontId="15" fillId="19" borderId="0" applyAlignment="1" applyProtection="1" pivotButton="0" quotePrefix="0" xfId="0">
      <alignment horizontal="right" vertical="center"/>
      <protection locked="0" hidden="0"/>
    </xf>
    <xf numFmtId="168" fontId="45" fillId="0" borderId="0" applyProtection="1" pivotButton="0" quotePrefix="0" xfId="0">
      <protection locked="0" hidden="0"/>
    </xf>
    <xf numFmtId="167" fontId="15" fillId="0" borderId="0" applyAlignment="1" applyProtection="1" pivotButton="0" quotePrefix="0" xfId="0">
      <alignment horizontal="right" vertical="center"/>
      <protection locked="0" hidden="0"/>
    </xf>
    <xf numFmtId="164" fontId="14" fillId="5" borderId="1" applyAlignment="1" applyProtection="1" pivotButton="0" quotePrefix="0" xfId="0">
      <alignment horizontal="center" vertical="center"/>
      <protection locked="0" hidden="0"/>
    </xf>
    <xf numFmtId="0" fontId="51" fillId="5" borderId="1" applyAlignment="1" applyProtection="1" pivotButton="0" quotePrefix="0" xfId="0">
      <alignment horizontal="left" vertical="center"/>
      <protection locked="0" hidden="0"/>
    </xf>
    <xf numFmtId="0" fontId="50" fillId="19" borderId="0" applyProtection="1" pivotButton="0" quotePrefix="0" xfId="0">
      <protection locked="0" hidden="0"/>
    </xf>
    <xf numFmtId="165" fontId="51" fillId="5" borderId="1" applyAlignment="1" applyProtection="1" pivotButton="0" quotePrefix="0" xfId="0">
      <alignment horizontal="right" vertical="center"/>
      <protection locked="0" hidden="0"/>
    </xf>
    <xf numFmtId="3" fontId="48" fillId="0" borderId="7" applyAlignment="1" applyProtection="1" pivotButton="0" quotePrefix="0" xfId="0">
      <alignment horizontal="right" vertical="center" wrapText="1"/>
      <protection locked="0" hidden="0"/>
    </xf>
    <xf numFmtId="3" fontId="49" fillId="0" borderId="2" applyAlignment="1" applyProtection="1" pivotButton="0" quotePrefix="0" xfId="0">
      <alignment horizontal="right" vertical="center"/>
      <protection locked="0" hidden="0"/>
    </xf>
    <xf numFmtId="3" fontId="13" fillId="0" borderId="2" applyAlignment="1" applyProtection="1" pivotButton="0" quotePrefix="0" xfId="0">
      <alignment horizontal="right" vertical="center"/>
      <protection locked="0" hidden="0"/>
    </xf>
    <xf numFmtId="0" fontId="50" fillId="0" borderId="0" applyProtection="1" pivotButton="0" quotePrefix="0" xfId="0">
      <protection locked="0" hidden="0"/>
    </xf>
    <xf numFmtId="3" fontId="48" fillId="0" borderId="0" applyAlignment="1" applyProtection="1" pivotButton="0" quotePrefix="0" xfId="0">
      <alignment horizontal="right" vertical="center" wrapText="1"/>
      <protection locked="0" hidden="0"/>
    </xf>
    <xf numFmtId="3" fontId="49" fillId="0" borderId="0" applyAlignment="1" applyProtection="1" pivotButton="0" quotePrefix="0" xfId="0">
      <alignment horizontal="right" vertical="center"/>
      <protection locked="0" hidden="0"/>
    </xf>
    <xf numFmtId="3" fontId="49" fillId="0" borderId="6" applyAlignment="1" applyProtection="1" pivotButton="0" quotePrefix="0" xfId="0">
      <alignment horizontal="right" vertical="center"/>
      <protection locked="0" hidden="0"/>
    </xf>
    <xf numFmtId="3" fontId="50" fillId="0" borderId="0" applyAlignment="1" applyProtection="1" pivotButton="0" quotePrefix="0" xfId="0">
      <alignment horizontal="right" vertical="center" wrapText="1"/>
      <protection locked="0" hidden="0"/>
    </xf>
    <xf numFmtId="3" fontId="49" fillId="0" borderId="5" applyAlignment="1" applyProtection="1" pivotButton="0" quotePrefix="0" xfId="0">
      <alignment horizontal="right" vertical="center"/>
      <protection locked="0" hidden="0"/>
    </xf>
    <xf numFmtId="167" fontId="50" fillId="19" borderId="0" applyProtection="1" pivotButton="0" quotePrefix="0" xfId="0">
      <protection locked="0" hidden="0"/>
    </xf>
    <xf numFmtId="168" fontId="50" fillId="0" borderId="0" applyProtection="1" pivotButton="0" quotePrefix="0" xfId="0">
      <protection locked="0" hidden="0"/>
    </xf>
    <xf numFmtId="167" fontId="50" fillId="0" borderId="0" applyProtection="1" pivotButton="0" quotePrefix="0" xfId="0">
      <protection locked="0" hidden="0"/>
    </xf>
    <xf numFmtId="3" fontId="49" fillId="5" borderId="2" applyAlignment="1" applyProtection="1" pivotButton="0" quotePrefix="0" xfId="0">
      <alignment horizontal="right" vertical="center"/>
      <protection locked="0" hidden="0"/>
    </xf>
    <xf numFmtId="0" fontId="12" fillId="5" borderId="1" applyAlignment="1" applyProtection="1" pivotButton="0" quotePrefix="0" xfId="0">
      <alignment horizontal="left" vertical="center"/>
      <protection locked="0" hidden="0"/>
    </xf>
    <xf numFmtId="3" fontId="15" fillId="19" borderId="1" applyAlignment="1" applyProtection="1" pivotButton="0" quotePrefix="0" xfId="0">
      <alignment horizontal="right" vertical="center"/>
      <protection locked="0" hidden="0"/>
    </xf>
    <xf numFmtId="165" fontId="12" fillId="5" borderId="8" applyAlignment="1" applyProtection="1" pivotButton="0" quotePrefix="0" xfId="0">
      <alignment horizontal="right" vertical="center"/>
      <protection locked="0" hidden="0"/>
    </xf>
    <xf numFmtId="167" fontId="15" fillId="19" borderId="1" applyAlignment="1" applyProtection="1" pivotButton="0" quotePrefix="0" xfId="0">
      <alignment horizontal="right" vertical="center"/>
      <protection locked="0" hidden="0"/>
    </xf>
    <xf numFmtId="167" fontId="15" fillId="0" borderId="1" applyAlignment="1" applyProtection="1" pivotButton="0" quotePrefix="0" xfId="0">
      <alignment horizontal="right" vertical="center"/>
      <protection locked="0" hidden="0"/>
    </xf>
    <xf numFmtId="0" fontId="27" fillId="5" borderId="0" applyAlignment="1" applyProtection="1" pivotButton="0" quotePrefix="0" xfId="0">
      <alignment horizontal="left" vertical="center"/>
      <protection locked="0" hidden="0"/>
    </xf>
    <xf numFmtId="3" fontId="6" fillId="19" borderId="0" applyAlignment="1" applyProtection="1" pivotButton="0" quotePrefix="0" xfId="0">
      <alignment horizontal="right" vertical="center"/>
      <protection locked="0" hidden="0"/>
    </xf>
    <xf numFmtId="3" fontId="13" fillId="5" borderId="2" applyAlignment="1" applyProtection="1" pivotButton="0" quotePrefix="0" xfId="0">
      <alignment horizontal="right" vertical="center"/>
      <protection locked="0" hidden="0"/>
    </xf>
    <xf numFmtId="3" fontId="31" fillId="17" borderId="7" applyAlignment="1" applyProtection="1" pivotButton="0" quotePrefix="0" xfId="0">
      <alignment horizontal="right" vertical="center" wrapText="1"/>
      <protection locked="0" hidden="0"/>
    </xf>
    <xf numFmtId="3" fontId="6" fillId="0" borderId="0" applyAlignment="1" applyProtection="1" pivotButton="0" quotePrefix="0" xfId="0">
      <alignment horizontal="right" vertical="center"/>
      <protection locked="0" hidden="0"/>
    </xf>
    <xf numFmtId="3" fontId="11" fillId="0" borderId="0" applyAlignment="1" applyProtection="1" pivotButton="0" quotePrefix="0" xfId="0">
      <alignment horizontal="right" vertical="center"/>
      <protection locked="0" hidden="0"/>
    </xf>
    <xf numFmtId="3" fontId="41" fillId="0" borderId="0" applyAlignment="1" applyProtection="1" pivotButton="0" quotePrefix="0" xfId="0">
      <alignment horizontal="right" vertical="center" wrapText="1"/>
      <protection locked="0" hidden="0"/>
    </xf>
    <xf numFmtId="3" fontId="42" fillId="0" borderId="0" applyAlignment="1" applyProtection="1" pivotButton="0" quotePrefix="0" xfId="0">
      <alignment horizontal="right" vertical="center" wrapText="1"/>
      <protection locked="0" hidden="0"/>
    </xf>
    <xf numFmtId="167" fontId="0" fillId="0" borderId="0" applyProtection="1" pivotButton="0" quotePrefix="0" xfId="0">
      <protection locked="0" hidden="0"/>
    </xf>
    <xf numFmtId="167" fontId="21" fillId="0" borderId="0" applyProtection="1" pivotButton="0" quotePrefix="0" xfId="0">
      <protection locked="0" hidden="0"/>
    </xf>
    <xf numFmtId="168" fontId="21" fillId="0" borderId="0" applyProtection="1" pivotButton="0" quotePrefix="0" xfId="0">
      <protection locked="0" hidden="0"/>
    </xf>
    <xf numFmtId="49" fontId="55" fillId="0" borderId="16" applyAlignment="1" applyProtection="1" pivotButton="0" quotePrefix="0" xfId="0">
      <alignment horizontal="center" vertical="center"/>
      <protection locked="0" hidden="0"/>
    </xf>
    <xf numFmtId="49" fontId="55" fillId="0" borderId="18" applyAlignment="1" applyProtection="1" pivotButton="0" quotePrefix="0" xfId="0">
      <alignment horizontal="center" vertical="center"/>
      <protection locked="0" hidden="0"/>
    </xf>
    <xf numFmtId="49" fontId="55" fillId="0" borderId="18" applyAlignment="1" applyProtection="1" pivotButton="0" quotePrefix="0" xfId="0">
      <alignment horizontal="center"/>
      <protection locked="0" hidden="0"/>
    </xf>
    <xf numFmtId="49" fontId="55" fillId="0" borderId="21" applyAlignment="1" applyProtection="1" pivotButton="0" quotePrefix="0" xfId="0">
      <alignment horizontal="center"/>
      <protection locked="0" hidden="0"/>
    </xf>
    <xf numFmtId="49" fontId="46" fillId="0" borderId="3" applyProtection="1" pivotButton="0" quotePrefix="0" xfId="0">
      <protection locked="0" hidden="0"/>
    </xf>
    <xf numFmtId="49" fontId="46" fillId="0" borderId="0" applyProtection="1" pivotButton="0" quotePrefix="0" xfId="0">
      <protection locked="0" hidden="0"/>
    </xf>
    <xf numFmtId="49" fontId="21" fillId="0" borderId="0" applyProtection="1" pivotButton="0" quotePrefix="0" xfId="0">
      <protection locked="0" hidden="0"/>
    </xf>
    <xf numFmtId="49" fontId="0" fillId="0" borderId="0" applyProtection="1" pivotButton="0" quotePrefix="0" xfId="0">
      <protection locked="0" hidden="0"/>
    </xf>
    <xf numFmtId="49" fontId="14" fillId="5" borderId="1" applyAlignment="1" applyProtection="1" pivotButton="0" quotePrefix="0" xfId="0">
      <alignment horizontal="center" vertical="center"/>
      <protection locked="0" hidden="0"/>
    </xf>
    <xf numFmtId="14" fontId="0" fillId="0" borderId="0" applyProtection="1" pivotButton="0" quotePrefix="0" xfId="0">
      <protection locked="0" hidden="0"/>
    </xf>
    <xf numFmtId="3" fontId="21" fillId="0" borderId="0" applyProtection="1" pivotButton="0" quotePrefix="0" xfId="0">
      <protection locked="0" hidden="0"/>
    </xf>
    <xf numFmtId="169" fontId="0" fillId="0" borderId="0" applyProtection="1" pivotButton="0" quotePrefix="0" xfId="0">
      <protection locked="0" hidden="0"/>
    </xf>
    <xf numFmtId="3" fontId="50" fillId="0" borderId="0" applyProtection="1" pivotButton="0" quotePrefix="0" xfId="0">
      <protection locked="0" hidden="0"/>
    </xf>
    <xf numFmtId="170" fontId="59" fillId="0" borderId="0" applyAlignment="1" applyProtection="1" pivotButton="0" quotePrefix="0" xfId="0">
      <alignment horizontal="right" vertical="center"/>
      <protection locked="0" hidden="0"/>
    </xf>
    <xf numFmtId="170" fontId="13" fillId="0" borderId="0" applyAlignment="1" applyProtection="1" pivotButton="0" quotePrefix="0" xfId="0">
      <alignment horizontal="right" vertical="center"/>
      <protection locked="0" hidden="0"/>
    </xf>
    <xf numFmtId="170" fontId="0" fillId="0" borderId="0" applyProtection="1" pivotButton="0" quotePrefix="0" xfId="0">
      <protection locked="0" hidden="0"/>
    </xf>
    <xf numFmtId="3" fontId="59" fillId="0" borderId="0" applyAlignment="1" applyProtection="1" pivotButton="0" quotePrefix="0" xfId="0">
      <alignment horizontal="right" vertical="center"/>
      <protection locked="0" hidden="0"/>
    </xf>
    <xf numFmtId="49" fontId="68" fillId="0" borderId="0" applyProtection="1" pivotButton="0" quotePrefix="0" xfId="0">
      <protection locked="0" hidden="0"/>
    </xf>
    <xf numFmtId="49" fontId="67" fillId="0" borderId="0" applyProtection="1" pivotButton="0" quotePrefix="0" xfId="0">
      <protection locked="0" hidden="0"/>
    </xf>
    <xf numFmtId="0" fontId="67" fillId="0" borderId="0" applyProtection="1" pivotButton="0" quotePrefix="0" xfId="0">
      <protection locked="0" hidden="0"/>
    </xf>
    <xf numFmtId="164" fontId="69" fillId="5" borderId="0" applyAlignment="1" applyProtection="1" pivotButton="0" quotePrefix="0" xfId="0">
      <alignment horizontal="center" vertical="center"/>
      <protection locked="0" hidden="0"/>
    </xf>
    <xf numFmtId="49" fontId="69" fillId="5" borderId="0" applyAlignment="1" applyProtection="1" pivotButton="0" quotePrefix="0" xfId="0">
      <alignment horizontal="center" vertical="center"/>
      <protection locked="0" hidden="0"/>
    </xf>
    <xf numFmtId="49" fontId="70" fillId="0" borderId="0" applyAlignment="1" applyProtection="1" pivotButton="0" quotePrefix="0" xfId="0">
      <alignment horizontal="center" vertical="center"/>
      <protection locked="0" hidden="0"/>
    </xf>
    <xf numFmtId="0" fontId="75" fillId="0" borderId="0" applyProtection="1" pivotButton="0" quotePrefix="0" xfId="0">
      <protection locked="0" hidden="0"/>
    </xf>
    <xf numFmtId="3" fontId="75" fillId="0" borderId="0" applyProtection="1" pivotButton="0" quotePrefix="0" xfId="0">
      <protection locked="0" hidden="0"/>
    </xf>
    <xf numFmtId="168" fontId="75" fillId="0" borderId="0" applyProtection="1" pivotButton="0" quotePrefix="0" xfId="0">
      <protection locked="0" hidden="0"/>
    </xf>
    <xf numFmtId="0" fontId="0" fillId="20" borderId="0" applyProtection="1" pivotButton="0" quotePrefix="0" xfId="0">
      <protection locked="0" hidden="0"/>
    </xf>
    <xf numFmtId="0" fontId="67" fillId="11" borderId="0" applyProtection="1" pivotButton="0" quotePrefix="0" xfId="0">
      <protection locked="0" hidden="0"/>
    </xf>
    <xf numFmtId="0" fontId="0" fillId="11" borderId="0" applyProtection="1" pivotButton="0" quotePrefix="0" xfId="0">
      <protection locked="0" hidden="0"/>
    </xf>
    <xf numFmtId="0" fontId="67" fillId="0" borderId="3" applyProtection="1" pivotButton="0" quotePrefix="0" xfId="0">
      <protection locked="0" hidden="0"/>
    </xf>
    <xf numFmtId="0" fontId="33" fillId="2" borderId="4" applyAlignment="1" applyProtection="1" pivotButton="0" quotePrefix="0" xfId="0">
      <alignment horizontal="center" vertical="center"/>
      <protection locked="0" hidden="0"/>
    </xf>
    <xf numFmtId="0" fontId="5" fillId="2" borderId="4" applyAlignment="1" applyProtection="1" pivotButton="0" quotePrefix="0" xfId="0">
      <alignment horizontal="center" vertical="center"/>
      <protection locked="0" hidden="0"/>
    </xf>
    <xf numFmtId="0" fontId="67" fillId="5" borderId="4" applyProtection="1" pivotButton="0" quotePrefix="0" xfId="0">
      <protection locked="0" hidden="0"/>
    </xf>
    <xf numFmtId="0" fontId="34" fillId="18" borderId="4" applyProtection="1" pivotButton="0" quotePrefix="0" xfId="0">
      <protection locked="0" hidden="0"/>
    </xf>
    <xf numFmtId="0" fontId="53" fillId="18" borderId="4" applyAlignment="1" applyProtection="1" pivotButton="0" quotePrefix="0" xfId="0">
      <alignment horizontal="center"/>
      <protection locked="0" hidden="0"/>
    </xf>
    <xf numFmtId="0" fontId="39" fillId="18" borderId="13" applyProtection="1" pivotButton="0" quotePrefix="0" xfId="0">
      <protection locked="0" hidden="0"/>
    </xf>
    <xf numFmtId="0" fontId="39" fillId="20" borderId="3" applyProtection="1" pivotButton="0" quotePrefix="0" xfId="0">
      <protection locked="0" hidden="0"/>
    </xf>
    <xf numFmtId="0" fontId="66" fillId="0" borderId="15" applyAlignment="1" applyProtection="1" pivotButton="0" quotePrefix="0" xfId="0">
      <alignment horizontal="center"/>
      <protection locked="0" hidden="0"/>
    </xf>
    <xf numFmtId="0" fontId="56" fillId="0" borderId="16" applyAlignment="1" applyProtection="1" pivotButton="0" quotePrefix="0" xfId="0">
      <alignment horizontal="left" vertical="center"/>
      <protection locked="0" hidden="0"/>
    </xf>
    <xf numFmtId="0" fontId="54" fillId="0" borderId="19" applyAlignment="1" applyProtection="1" pivotButton="0" quotePrefix="0" xfId="0">
      <alignment horizontal="center"/>
      <protection locked="0" hidden="0"/>
    </xf>
    <xf numFmtId="0" fontId="0" fillId="15" borderId="0" applyProtection="1" pivotButton="0" quotePrefix="0" xfId="0">
      <protection locked="0" hidden="0"/>
    </xf>
    <xf numFmtId="0" fontId="66" fillId="0" borderId="17" applyAlignment="1" applyProtection="1" pivotButton="0" quotePrefix="0" xfId="0">
      <alignment horizontal="center"/>
      <protection locked="0" hidden="0"/>
    </xf>
    <xf numFmtId="0" fontId="25" fillId="15" borderId="0" applyProtection="1" pivotButton="0" quotePrefix="0" xfId="0">
      <protection locked="0" hidden="0"/>
    </xf>
    <xf numFmtId="0" fontId="54" fillId="0" borderId="19" applyAlignment="1" applyProtection="1" pivotButton="0" quotePrefix="0" xfId="1">
      <alignment horizontal="center"/>
      <protection locked="0" hidden="0"/>
    </xf>
    <xf numFmtId="0" fontId="66" fillId="0" borderId="20" applyAlignment="1" applyProtection="1" pivotButton="0" quotePrefix="0" xfId="0">
      <alignment horizontal="center"/>
      <protection locked="0" hidden="0"/>
    </xf>
    <xf numFmtId="0" fontId="54" fillId="0" borderId="22" applyAlignment="1" applyProtection="1" pivotButton="0" quotePrefix="0" xfId="0">
      <alignment horizontal="center"/>
      <protection locked="0" hidden="0"/>
    </xf>
    <xf numFmtId="0" fontId="29" fillId="0" borderId="3" applyAlignment="1" applyProtection="1" pivotButton="0" quotePrefix="0" xfId="0">
      <alignment horizontal="left" vertical="center"/>
      <protection locked="0" hidden="0"/>
    </xf>
    <xf numFmtId="0" fontId="71" fillId="33" borderId="0" applyProtection="1" pivotButton="0" quotePrefix="0" xfId="0">
      <protection locked="0" hidden="0"/>
    </xf>
    <xf numFmtId="3" fontId="71" fillId="33" borderId="0" applyProtection="1" pivotButton="0" quotePrefix="0" xfId="0">
      <protection locked="0" hidden="0"/>
    </xf>
    <xf numFmtId="0" fontId="5" fillId="16" borderId="23" applyAlignment="1" applyProtection="1" pivotButton="0" quotePrefix="0" xfId="0">
      <alignment horizontal="center" wrapText="1"/>
      <protection locked="0" hidden="0"/>
    </xf>
    <xf numFmtId="0" fontId="5" fillId="34" borderId="23" applyAlignment="1" applyProtection="1" pivotButton="0" quotePrefix="0" xfId="0">
      <alignment horizontal="center" wrapText="1"/>
      <protection locked="0" hidden="0"/>
    </xf>
    <xf numFmtId="0" fontId="19" fillId="0" borderId="23" applyProtection="1" pivotButton="0" quotePrefix="0" xfId="0">
      <protection locked="0" hidden="0"/>
    </xf>
    <xf numFmtId="171" fontId="19" fillId="0" borderId="23" applyProtection="1" pivotButton="0" quotePrefix="0" xfId="0">
      <protection locked="0" hidden="0"/>
    </xf>
    <xf numFmtId="3" fontId="19" fillId="0" borderId="23" applyProtection="1" pivotButton="0" quotePrefix="0" xfId="0">
      <protection locked="0" hidden="0"/>
    </xf>
    <xf numFmtId="10" fontId="19" fillId="0" borderId="23" applyProtection="1" pivotButton="0" quotePrefix="0" xfId="0">
      <protection locked="0" hidden="0"/>
    </xf>
    <xf numFmtId="0" fontId="19" fillId="0" borderId="23" applyAlignment="1" applyProtection="1" pivotButton="0" quotePrefix="0" xfId="0">
      <alignment horizontal="center"/>
      <protection locked="0" hidden="0"/>
    </xf>
    <xf numFmtId="172" fontId="19" fillId="0" borderId="23" applyProtection="1" pivotButton="0" quotePrefix="0" xfId="0">
      <protection locked="0" hidden="0"/>
    </xf>
    <xf numFmtId="0" fontId="5" fillId="23" borderId="23" applyAlignment="1" applyProtection="1" pivotButton="0" quotePrefix="0" xfId="0">
      <alignment horizontal="center" vertical="center" wrapText="1"/>
      <protection locked="0" hidden="0"/>
    </xf>
    <xf numFmtId="0" fontId="5" fillId="24" borderId="23" applyAlignment="1" applyProtection="1" pivotButton="0" quotePrefix="0" xfId="0">
      <alignment horizontal="center" vertical="center" wrapText="1"/>
      <protection locked="0" hidden="0"/>
    </xf>
    <xf numFmtId="0" fontId="5" fillId="21" borderId="23" applyAlignment="1" applyProtection="1" pivotButton="0" quotePrefix="0" xfId="0">
      <alignment horizontal="center" vertical="center" wrapText="1"/>
      <protection locked="0" hidden="0"/>
    </xf>
    <xf numFmtId="0" fontId="5" fillId="25" borderId="23" applyAlignment="1" applyProtection="1" pivotButton="0" quotePrefix="0" xfId="0">
      <alignment horizontal="center" vertical="center" wrapText="1"/>
      <protection locked="0" hidden="0"/>
    </xf>
    <xf numFmtId="0" fontId="5" fillId="26" borderId="23" applyAlignment="1" applyProtection="1" pivotButton="0" quotePrefix="0" xfId="0">
      <alignment horizontal="center" vertical="center" wrapText="1"/>
      <protection locked="0" hidden="0"/>
    </xf>
    <xf numFmtId="0" fontId="5" fillId="27" borderId="23" applyAlignment="1" applyProtection="1" pivotButton="0" quotePrefix="0" xfId="0">
      <alignment horizontal="center" vertical="center" wrapText="1"/>
      <protection locked="0" hidden="0"/>
    </xf>
    <xf numFmtId="0" fontId="5" fillId="28" borderId="23" applyAlignment="1" applyProtection="1" pivotButton="0" quotePrefix="0" xfId="0">
      <alignment horizontal="center" vertical="center" wrapText="1"/>
      <protection locked="0" hidden="0"/>
    </xf>
    <xf numFmtId="0" fontId="5" fillId="28" borderId="24" applyAlignment="1" applyProtection="1" pivotButton="0" quotePrefix="0" xfId="0">
      <alignment horizontal="center" vertical="center" wrapText="1"/>
      <protection locked="0" hidden="0"/>
    </xf>
    <xf numFmtId="0" fontId="5" fillId="29" borderId="27" applyAlignment="1" applyProtection="1" pivotButton="0" quotePrefix="0" xfId="0">
      <alignment horizontal="center" vertical="center" wrapText="1"/>
      <protection locked="0" hidden="0"/>
    </xf>
    <xf numFmtId="0" fontId="52" fillId="30" borderId="25" applyAlignment="1" applyProtection="1" pivotButton="0" quotePrefix="0" xfId="0">
      <alignment horizontal="center" vertical="center" wrapText="1"/>
      <protection locked="0" hidden="0"/>
    </xf>
    <xf numFmtId="0" fontId="61" fillId="32" borderId="23" applyAlignment="1" applyProtection="1" pivotButton="0" quotePrefix="0" xfId="0">
      <alignment horizontal="center"/>
      <protection locked="0" hidden="0"/>
    </xf>
    <xf numFmtId="0" fontId="62" fillId="32" borderId="23" applyAlignment="1" applyProtection="1" pivotButton="0" quotePrefix="0" xfId="0">
      <alignment horizontal="center"/>
      <protection locked="0" hidden="0"/>
    </xf>
    <xf numFmtId="164" fontId="5" fillId="32" borderId="23" applyAlignment="1" applyProtection="1" pivotButton="0" quotePrefix="0" xfId="0">
      <alignment horizontal="center"/>
      <protection locked="0" hidden="0"/>
    </xf>
    <xf numFmtId="0" fontId="5" fillId="32" borderId="23" applyProtection="1" pivotButton="0" quotePrefix="0" xfId="0">
      <protection locked="0" hidden="0"/>
    </xf>
    <xf numFmtId="3" fontId="5" fillId="32" borderId="23" applyProtection="1" pivotButton="0" quotePrefix="0" xfId="0">
      <protection locked="0" hidden="0"/>
    </xf>
    <xf numFmtId="0" fontId="5" fillId="32" borderId="23" applyAlignment="1" applyProtection="1" pivotButton="0" quotePrefix="0" xfId="0">
      <alignment horizontal="center"/>
      <protection locked="0" hidden="0"/>
    </xf>
    <xf numFmtId="173" fontId="5" fillId="32" borderId="23" applyAlignment="1" applyProtection="1" pivotButton="0" quotePrefix="0" xfId="0">
      <alignment horizontal="center"/>
      <protection locked="0" hidden="0"/>
    </xf>
    <xf numFmtId="2" fontId="5" fillId="32" borderId="23" applyProtection="1" pivotButton="0" quotePrefix="0" xfId="0">
      <protection locked="0" hidden="0"/>
    </xf>
    <xf numFmtId="174" fontId="5" fillId="32" borderId="23" applyProtection="1" pivotButton="0" quotePrefix="0" xfId="0">
      <protection locked="0" hidden="0"/>
    </xf>
    <xf numFmtId="175" fontId="5" fillId="32" borderId="23" applyProtection="1" pivotButton="0" quotePrefix="0" xfId="0">
      <protection locked="0" hidden="0"/>
    </xf>
    <xf numFmtId="166" fontId="5" fillId="32" borderId="23" applyProtection="1" pivotButton="0" quotePrefix="0" xfId="0">
      <protection locked="0" hidden="0"/>
    </xf>
    <xf numFmtId="0" fontId="5" fillId="32" borderId="24" applyAlignment="1" applyProtection="1" pivotButton="0" quotePrefix="0" xfId="0">
      <alignment horizontal="center"/>
      <protection locked="0" hidden="0"/>
    </xf>
    <xf numFmtId="0" fontId="5" fillId="32" borderId="28" applyAlignment="1" applyProtection="1" pivotButton="0" quotePrefix="0" xfId="0">
      <alignment horizontal="center"/>
      <protection locked="0" hidden="0"/>
    </xf>
    <xf numFmtId="0" fontId="5" fillId="32" borderId="26" applyAlignment="1" applyProtection="1" pivotButton="0" quotePrefix="0" xfId="0">
      <alignment horizontal="center"/>
      <protection locked="0" hidden="0"/>
    </xf>
    <xf numFmtId="0" fontId="63" fillId="31" borderId="23" applyAlignment="1" applyProtection="1" pivotButton="0" quotePrefix="0" xfId="0">
      <alignment horizontal="center"/>
      <protection locked="0" hidden="0"/>
    </xf>
    <xf numFmtId="0" fontId="64" fillId="31" borderId="23" applyAlignment="1" applyProtection="1" pivotButton="0" quotePrefix="0" xfId="0">
      <alignment horizontal="center"/>
      <protection locked="0" hidden="0"/>
    </xf>
    <xf numFmtId="164" fontId="63" fillId="31" borderId="23" applyAlignment="1" applyProtection="1" pivotButton="0" quotePrefix="0" xfId="0">
      <alignment horizontal="center"/>
      <protection locked="0" hidden="0"/>
    </xf>
    <xf numFmtId="0" fontId="63" fillId="31" borderId="23" applyProtection="1" pivotButton="0" quotePrefix="0" xfId="0">
      <protection locked="0" hidden="0"/>
    </xf>
    <xf numFmtId="3" fontId="65" fillId="31" borderId="23" applyProtection="1" pivotButton="0" quotePrefix="0" xfId="0">
      <protection locked="0" hidden="0"/>
    </xf>
    <xf numFmtId="3" fontId="63" fillId="31" borderId="23" applyProtection="1" pivotButton="0" quotePrefix="0" xfId="0">
      <protection locked="0" hidden="0"/>
    </xf>
    <xf numFmtId="173" fontId="63" fillId="31" borderId="23" applyAlignment="1" applyProtection="1" pivotButton="0" quotePrefix="0" xfId="0">
      <alignment horizontal="center"/>
      <protection locked="0" hidden="0"/>
    </xf>
    <xf numFmtId="2" fontId="63" fillId="31" borderId="23" applyProtection="1" pivotButton="0" quotePrefix="0" xfId="0">
      <protection locked="0" hidden="0"/>
    </xf>
    <xf numFmtId="174" fontId="63" fillId="31" borderId="23" applyProtection="1" pivotButton="0" quotePrefix="0" xfId="0">
      <protection locked="0" hidden="0"/>
    </xf>
    <xf numFmtId="175" fontId="63" fillId="31" borderId="23" applyProtection="1" pivotButton="0" quotePrefix="0" xfId="0">
      <protection locked="0" hidden="0"/>
    </xf>
    <xf numFmtId="166" fontId="63" fillId="31" borderId="23" applyProtection="1" pivotButton="0" quotePrefix="0" xfId="0">
      <protection locked="0" hidden="0"/>
    </xf>
    <xf numFmtId="0" fontId="65" fillId="31" borderId="23" applyAlignment="1" applyProtection="1" pivotButton="0" quotePrefix="0" xfId="0">
      <alignment horizontal="center"/>
      <protection locked="0" hidden="0"/>
    </xf>
    <xf numFmtId="0" fontId="65" fillId="31" borderId="24" applyAlignment="1" applyProtection="1" pivotButton="0" quotePrefix="0" xfId="0">
      <alignment horizontal="center"/>
      <protection locked="0" hidden="0"/>
    </xf>
    <xf numFmtId="0" fontId="65" fillId="31" borderId="28" applyAlignment="1" applyProtection="1" pivotButton="0" quotePrefix="0" xfId="0">
      <alignment horizontal="center"/>
      <protection locked="0" hidden="0"/>
    </xf>
    <xf numFmtId="0" fontId="65" fillId="17" borderId="26" applyAlignment="1" applyProtection="1" pivotButton="0" quotePrefix="0" xfId="0">
      <alignment horizontal="center"/>
      <protection locked="0" hidden="0"/>
    </xf>
    <xf numFmtId="0" fontId="63" fillId="0" borderId="23" applyAlignment="1" applyProtection="1" pivotButton="0" quotePrefix="0" xfId="0">
      <alignment horizontal="center"/>
      <protection locked="0" hidden="0"/>
    </xf>
    <xf numFmtId="0" fontId="64" fillId="0" borderId="23" applyAlignment="1" applyProtection="1" pivotButton="0" quotePrefix="0" xfId="0">
      <alignment horizontal="center"/>
      <protection locked="0" hidden="0"/>
    </xf>
    <xf numFmtId="164" fontId="63" fillId="0" borderId="23" applyAlignment="1" applyProtection="1" pivotButton="0" quotePrefix="0" xfId="0">
      <alignment horizontal="center"/>
      <protection locked="0" hidden="0"/>
    </xf>
    <xf numFmtId="0" fontId="63" fillId="0" borderId="23" applyProtection="1" pivotButton="0" quotePrefix="0" xfId="0">
      <protection locked="0" hidden="0"/>
    </xf>
    <xf numFmtId="3" fontId="65" fillId="0" borderId="23" applyProtection="1" pivotButton="0" quotePrefix="0" xfId="0">
      <protection locked="0" hidden="0"/>
    </xf>
    <xf numFmtId="3" fontId="63" fillId="0" borderId="23" applyProtection="1" pivotButton="0" quotePrefix="0" xfId="0">
      <protection locked="0" hidden="0"/>
    </xf>
    <xf numFmtId="173" fontId="63" fillId="0" borderId="23" applyAlignment="1" applyProtection="1" pivotButton="0" quotePrefix="0" xfId="0">
      <alignment horizontal="center"/>
      <protection locked="0" hidden="0"/>
    </xf>
    <xf numFmtId="2" fontId="63" fillId="0" borderId="23" applyProtection="1" pivotButton="0" quotePrefix="0" xfId="0">
      <protection locked="0" hidden="0"/>
    </xf>
    <xf numFmtId="174" fontId="63" fillId="0" borderId="23" applyProtection="1" pivotButton="0" quotePrefix="0" xfId="0">
      <protection locked="0" hidden="0"/>
    </xf>
    <xf numFmtId="175" fontId="63" fillId="0" borderId="23" applyProtection="1" pivotButton="0" quotePrefix="0" xfId="0">
      <protection locked="0" hidden="0"/>
    </xf>
    <xf numFmtId="166" fontId="63" fillId="0" borderId="23" applyProtection="1" pivotButton="0" quotePrefix="0" xfId="0">
      <protection locked="0" hidden="0"/>
    </xf>
    <xf numFmtId="0" fontId="65" fillId="0" borderId="23" applyAlignment="1" applyProtection="1" pivotButton="0" quotePrefix="0" xfId="0">
      <alignment horizontal="center"/>
      <protection locked="0" hidden="0"/>
    </xf>
    <xf numFmtId="0" fontId="65" fillId="0" borderId="24" applyAlignment="1" applyProtection="1" pivotButton="0" quotePrefix="0" xfId="0">
      <alignment horizontal="center"/>
      <protection locked="0" hidden="0"/>
    </xf>
    <xf numFmtId="0" fontId="65" fillId="0" borderId="28" applyAlignment="1" applyProtection="1" pivotButton="0" quotePrefix="0" xfId="0">
      <alignment horizontal="center"/>
      <protection locked="0" hidden="0"/>
    </xf>
    <xf numFmtId="0" fontId="20" fillId="0" borderId="0" applyProtection="1" pivotButton="0" quotePrefix="0" xfId="0">
      <protection locked="0" hidden="0"/>
    </xf>
    <xf numFmtId="0" fontId="26" fillId="0" borderId="0" applyProtection="1" pivotButton="0" quotePrefix="0" xfId="0">
      <protection locked="0" hidden="0"/>
    </xf>
    <xf numFmtId="0" fontId="38" fillId="20" borderId="0" applyProtection="1" pivotButton="0" quotePrefix="0" xfId="0">
      <protection locked="0" hidden="0"/>
    </xf>
    <xf numFmtId="0" fontId="8" fillId="12" borderId="9" applyAlignment="1" applyProtection="1" pivotButton="0" quotePrefix="0" xfId="0">
      <alignment horizontal="center" vertical="center" wrapText="1"/>
      <protection locked="0" hidden="0"/>
    </xf>
    <xf numFmtId="0" fontId="8" fillId="12" borderId="10" applyAlignment="1" applyProtection="1" pivotButton="0" quotePrefix="0" xfId="0">
      <alignment horizontal="center" vertical="center" wrapText="1"/>
      <protection locked="0" hidden="0"/>
    </xf>
    <xf numFmtId="0" fontId="8" fillId="12" borderId="11" applyAlignment="1" applyProtection="1" pivotButton="0" quotePrefix="0" xfId="0">
      <alignment horizontal="center" vertical="center" wrapText="1"/>
      <protection locked="0" hidden="0"/>
    </xf>
    <xf numFmtId="0" fontId="29" fillId="0" borderId="3" applyAlignment="1" applyProtection="1" pivotButton="0" quotePrefix="0" xfId="0">
      <alignment horizontal="center"/>
      <protection locked="0" hidden="0"/>
    </xf>
    <xf numFmtId="0" fontId="29" fillId="0" borderId="3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3" fontId="29" fillId="0" borderId="3" applyProtection="1" pivotButton="0" quotePrefix="0" xfId="0">
      <protection locked="0" hidden="0"/>
    </xf>
    <xf numFmtId="174" fontId="29" fillId="0" borderId="3" applyAlignment="1" applyProtection="1" pivotButton="0" quotePrefix="0" xfId="0">
      <alignment horizontal="center"/>
      <protection locked="0" hidden="0"/>
    </xf>
    <xf numFmtId="173" fontId="29" fillId="0" borderId="3" applyAlignment="1" applyProtection="1" pivotButton="0" quotePrefix="0" xfId="0">
      <alignment horizontal="center"/>
      <protection locked="0" hidden="0"/>
    </xf>
    <xf numFmtId="166" fontId="29" fillId="0" borderId="3" applyAlignment="1" applyProtection="1" pivotButton="0" quotePrefix="0" xfId="0">
      <alignment horizontal="center"/>
      <protection locked="0" hidden="0"/>
    </xf>
    <xf numFmtId="2" fontId="29" fillId="0" borderId="3" applyAlignment="1" applyProtection="1" pivotButton="0" quotePrefix="0" xfId="0">
      <alignment horizontal="center"/>
      <protection locked="0" hidden="0"/>
    </xf>
    <xf numFmtId="175" fontId="29" fillId="0" borderId="3" applyAlignment="1" applyProtection="1" pivotButton="0" quotePrefix="0" xfId="0">
      <alignment horizontal="center"/>
      <protection locked="0" hidden="0"/>
    </xf>
    <xf numFmtId="3" fontId="35" fillId="0" borderId="3" applyProtection="1" pivotButton="0" quotePrefix="0" xfId="0">
      <protection locked="0" hidden="0"/>
    </xf>
    <xf numFmtId="0" fontId="35" fillId="0" borderId="3" applyAlignment="1" applyProtection="1" pivotButton="0" quotePrefix="0" xfId="0">
      <alignment horizontal="center"/>
      <protection locked="0" hidden="0"/>
    </xf>
    <xf numFmtId="0" fontId="19" fillId="0" borderId="0" applyProtection="1" pivotButton="0" quotePrefix="0" xfId="0">
      <protection locked="0" hidden="0"/>
    </xf>
    <xf numFmtId="0" fontId="8" fillId="9" borderId="1" applyAlignment="1" applyProtection="1" pivotButton="0" quotePrefix="0" xfId="0">
      <alignment horizontal="center" vertical="center"/>
      <protection locked="0" hidden="0"/>
    </xf>
    <xf numFmtId="0" fontId="9" fillId="9" borderId="1" applyAlignment="1" applyProtection="1" pivotButton="0" quotePrefix="0" xfId="0">
      <alignment horizontal="center" vertical="center"/>
      <protection locked="0" hidden="0"/>
    </xf>
    <xf numFmtId="171" fontId="10" fillId="4" borderId="0" applyAlignment="1" applyProtection="1" pivotButton="0" quotePrefix="0" xfId="0">
      <alignment horizontal="center" vertical="center"/>
      <protection locked="0" hidden="0"/>
    </xf>
    <xf numFmtId="171" fontId="11" fillId="4" borderId="0" applyAlignment="1" applyProtection="1" pivotButton="0" quotePrefix="0" xfId="0">
      <alignment horizontal="center" vertical="center"/>
      <protection locked="0" hidden="0"/>
    </xf>
    <xf numFmtId="176" fontId="11" fillId="4" borderId="0" applyAlignment="1" applyProtection="1" pivotButton="0" quotePrefix="0" xfId="0">
      <alignment horizontal="center" vertical="center"/>
      <protection locked="0" hidden="0"/>
    </xf>
    <xf numFmtId="0" fontId="0" fillId="14" borderId="0" applyProtection="1" pivotButton="0" quotePrefix="0" xfId="0">
      <protection locked="0" hidden="0"/>
    </xf>
    <xf numFmtId="0" fontId="8" fillId="6" borderId="1" applyAlignment="1" applyProtection="1" pivotButton="0" quotePrefix="0" xfId="0">
      <alignment horizontal="center" vertical="center"/>
      <protection locked="0" hidden="0"/>
    </xf>
    <xf numFmtId="0" fontId="9" fillId="6" borderId="1" applyAlignment="1" applyProtection="1" pivotButton="0" quotePrefix="0" xfId="0">
      <alignment horizontal="center" vertical="center"/>
      <protection locked="0" hidden="0"/>
    </xf>
    <xf numFmtId="0" fontId="8" fillId="8" borderId="1" applyAlignment="1" applyProtection="1" pivotButton="0" quotePrefix="0" xfId="0">
      <alignment horizontal="center" vertical="center"/>
      <protection locked="0" hidden="0"/>
    </xf>
    <xf numFmtId="0" fontId="9" fillId="8" borderId="1" applyAlignment="1" applyProtection="1" pivotButton="0" quotePrefix="0" xfId="0">
      <alignment horizontal="center" vertical="center"/>
      <protection locked="0" hidden="0"/>
    </xf>
    <xf numFmtId="0" fontId="8" fillId="3" borderId="3" applyAlignment="1" applyProtection="1" pivotButton="0" quotePrefix="0" xfId="0">
      <alignment horizontal="center" vertical="center"/>
      <protection locked="0" hidden="0"/>
    </xf>
    <xf numFmtId="0" fontId="22" fillId="3" borderId="3" applyAlignment="1" applyProtection="1" pivotButton="0" quotePrefix="0" xfId="0">
      <alignment horizontal="center" vertical="center"/>
      <protection locked="0" hidden="0"/>
    </xf>
    <xf numFmtId="0" fontId="10" fillId="13" borderId="3" applyAlignment="1" applyProtection="1" pivotButton="0" quotePrefix="0" xfId="0">
      <alignment horizontal="center" vertical="center"/>
      <protection locked="0" hidden="0"/>
    </xf>
    <xf numFmtId="176" fontId="10" fillId="13" borderId="3" applyAlignment="1" applyProtection="1" pivotButton="0" quotePrefix="0" xfId="0">
      <alignment horizontal="center" vertical="center"/>
      <protection locked="0" hidden="0"/>
    </xf>
    <xf numFmtId="0" fontId="21" fillId="13" borderId="0" applyProtection="1" pivotButton="0" quotePrefix="0" xfId="0">
      <protection locked="0" hidden="0"/>
    </xf>
    <xf numFmtId="0" fontId="21" fillId="14" borderId="3" applyProtection="1" pivotButton="0" quotePrefix="0" xfId="0">
      <protection locked="0" hidden="0"/>
    </xf>
    <xf numFmtId="0" fontId="21" fillId="14" borderId="4" applyProtection="1" pivotButton="0" quotePrefix="0" xfId="0">
      <protection locked="0" hidden="0"/>
    </xf>
    <xf numFmtId="0" fontId="8" fillId="10" borderId="1" applyAlignment="1" applyProtection="1" pivotButton="0" quotePrefix="0" xfId="0">
      <alignment horizontal="center" vertical="center"/>
      <protection locked="0" hidden="0"/>
    </xf>
    <xf numFmtId="0" fontId="9" fillId="10" borderId="1" applyAlignment="1" applyProtection="1" pivotButton="0" quotePrefix="0" xfId="0">
      <alignment horizontal="center" vertical="center"/>
      <protection locked="0" hidden="0"/>
    </xf>
    <xf numFmtId="0" fontId="11" fillId="4" borderId="0" applyAlignment="1" applyProtection="1" pivotButton="0" quotePrefix="0" xfId="0">
      <alignment horizontal="center" vertical="center"/>
      <protection locked="0" hidden="0"/>
    </xf>
    <xf numFmtId="0" fontId="8" fillId="10" borderId="1" applyAlignment="1" applyProtection="1" pivotButton="0" quotePrefix="0" xfId="0">
      <alignment vertical="center"/>
      <protection locked="0" hidden="0"/>
    </xf>
    <xf numFmtId="0" fontId="11" fillId="4" borderId="0" applyAlignment="1" applyProtection="1" pivotButton="0" quotePrefix="0" xfId="0">
      <alignment vertical="center"/>
      <protection locked="0" hidden="0"/>
    </xf>
    <xf numFmtId="176" fontId="11" fillId="4" borderId="0" applyAlignment="1" applyProtection="1" pivotButton="0" quotePrefix="0" xfId="0">
      <alignment vertical="center"/>
      <protection locked="0" hidden="0"/>
    </xf>
    <xf numFmtId="165" fontId="12" fillId="5" borderId="0" applyAlignment="1" applyProtection="1" pivotButton="0" quotePrefix="0" xfId="0">
      <alignment vertical="center"/>
      <protection locked="0" hidden="0"/>
    </xf>
    <xf numFmtId="3" fontId="13" fillId="5" borderId="6" applyAlignment="1" applyProtection="1" pivotButton="0" quotePrefix="0" xfId="0">
      <alignment vertical="center"/>
      <protection locked="0" hidden="0"/>
    </xf>
    <xf numFmtId="3" fontId="13" fillId="0" borderId="0" applyAlignment="1" applyProtection="1" pivotButton="0" quotePrefix="0" xfId="0">
      <alignment vertical="center"/>
      <protection locked="0" hidden="0"/>
    </xf>
    <xf numFmtId="0" fontId="0" fillId="11" borderId="0" applyAlignment="1" applyProtection="1" pivotButton="0" quotePrefix="0" xfId="0">
      <alignment vertical="center"/>
      <protection locked="0" hidden="0"/>
    </xf>
    <xf numFmtId="168" fontId="0" fillId="0" borderId="0" applyAlignment="1" applyProtection="1" pivotButton="0" quotePrefix="0" xfId="0">
      <alignment vertical="center"/>
      <protection locked="0" hidden="0"/>
    </xf>
    <xf numFmtId="3" fontId="0" fillId="0" borderId="0" applyAlignment="1" applyProtection="1" pivotButton="0" quotePrefix="0" xfId="0">
      <alignment vertical="center"/>
      <protection locked="0" hidden="0"/>
    </xf>
    <xf numFmtId="56" fontId="9" fillId="10" borderId="1" applyAlignment="1" applyProtection="1" pivotButton="0" quotePrefix="0" xfId="0">
      <alignment vertical="center"/>
      <protection locked="0" hidden="0"/>
    </xf>
    <xf numFmtId="171" fontId="11" fillId="35" borderId="0" applyAlignment="1" applyProtection="1" pivotButton="0" quotePrefix="0" xfId="0">
      <alignment horizontal="center" vertical="center"/>
      <protection locked="0" hidden="0"/>
    </xf>
    <xf numFmtId="0" fontId="10" fillId="35" borderId="3" applyAlignment="1" applyProtection="1" pivotButton="0" quotePrefix="0" xfId="0">
      <alignment horizontal="center" vertical="center"/>
      <protection locked="0" hidden="0"/>
    </xf>
    <xf numFmtId="0" fontId="78" fillId="33" borderId="0" applyAlignment="1" pivotButton="0" quotePrefix="0" xfId="0">
      <alignment horizontal="center"/>
    </xf>
    <xf numFmtId="4" fontId="79" fillId="0" borderId="0" applyProtection="1" pivotButton="0" quotePrefix="0" xfId="0">
      <protection locked="0" hidden="0"/>
    </xf>
    <xf numFmtId="169" fontId="63" fillId="0" borderId="0" applyProtection="1" pivotButton="0" quotePrefix="0" xfId="0">
      <protection locked="0" hidden="0"/>
    </xf>
    <xf numFmtId="4" fontId="63" fillId="0" borderId="0" applyProtection="1" pivotButton="0" quotePrefix="0" xfId="0">
      <protection locked="0" hidden="0"/>
    </xf>
    <xf numFmtId="0" fontId="63" fillId="0" borderId="0" applyProtection="1" pivotButton="0" quotePrefix="0" xfId="0">
      <protection locked="0" hidden="0"/>
    </xf>
    <xf numFmtId="0" fontId="0" fillId="17" borderId="0" pivotButton="0" quotePrefix="0" xfId="0"/>
    <xf numFmtId="0" fontId="81" fillId="21" borderId="0" applyAlignment="1" pivotButton="0" quotePrefix="0" xfId="0">
      <alignment horizontal="center"/>
    </xf>
    <xf numFmtId="0" fontId="82" fillId="35" borderId="0" applyAlignment="1" pivotButton="0" quotePrefix="0" xfId="0">
      <alignment horizontal="center"/>
    </xf>
    <xf numFmtId="0" fontId="67" fillId="37" borderId="0" applyAlignment="1" pivotButton="0" quotePrefix="0" xfId="0">
      <alignment horizontal="center"/>
    </xf>
    <xf numFmtId="0" fontId="82" fillId="35" borderId="0" applyAlignment="1" applyProtection="1" pivotButton="0" quotePrefix="0" xfId="0">
      <alignment horizontal="center"/>
      <protection locked="0" hidden="0"/>
    </xf>
    <xf numFmtId="0" fontId="78" fillId="38" borderId="30" applyAlignment="1" pivotButton="0" quotePrefix="0" xfId="0">
      <alignment horizontal="center"/>
    </xf>
    <xf numFmtId="0" fontId="78" fillId="38" borderId="31" applyAlignment="1" pivotButton="0" quotePrefix="0" xfId="0">
      <alignment horizontal="center"/>
    </xf>
    <xf numFmtId="0" fontId="77" fillId="17" borderId="33" applyAlignment="1" pivotButton="0" quotePrefix="0" xfId="0">
      <alignment horizontal="right"/>
    </xf>
    <xf numFmtId="0" fontId="77" fillId="17" borderId="34" applyAlignment="1" pivotButton="0" quotePrefix="0" xfId="0">
      <alignment horizontal="right"/>
    </xf>
    <xf numFmtId="0" fontId="77" fillId="39" borderId="33" applyAlignment="1" pivotButton="0" quotePrefix="0" xfId="0">
      <alignment horizontal="right"/>
    </xf>
    <xf numFmtId="0" fontId="77" fillId="39" borderId="34" applyAlignment="1" pivotButton="0" quotePrefix="0" xfId="0">
      <alignment horizontal="right"/>
    </xf>
    <xf numFmtId="4" fontId="77" fillId="17" borderId="33" applyAlignment="1" applyProtection="1" pivotButton="0" quotePrefix="0" xfId="0">
      <alignment horizontal="right"/>
      <protection locked="0" hidden="0"/>
    </xf>
    <xf numFmtId="3" fontId="77" fillId="17" borderId="33" applyAlignment="1" applyProtection="1" pivotButton="0" quotePrefix="0" xfId="0">
      <alignment horizontal="right"/>
      <protection locked="0" hidden="0"/>
    </xf>
    <xf numFmtId="3" fontId="77" fillId="17" borderId="34" applyAlignment="1" applyProtection="1" pivotButton="0" quotePrefix="0" xfId="0">
      <alignment horizontal="right"/>
      <protection locked="0" hidden="0"/>
    </xf>
    <xf numFmtId="4" fontId="77" fillId="39" borderId="33" applyAlignment="1" applyProtection="1" pivotButton="0" quotePrefix="0" xfId="0">
      <alignment horizontal="right"/>
      <protection locked="0" hidden="0"/>
    </xf>
    <xf numFmtId="3" fontId="77" fillId="39" borderId="33" applyAlignment="1" applyProtection="1" pivotButton="0" quotePrefix="0" xfId="0">
      <alignment horizontal="right"/>
      <protection locked="0" hidden="0"/>
    </xf>
    <xf numFmtId="3" fontId="77" fillId="39" borderId="34" applyAlignment="1" applyProtection="1" pivotButton="0" quotePrefix="0" xfId="0">
      <alignment horizontal="right"/>
      <protection locked="0" hidden="0"/>
    </xf>
    <xf numFmtId="0" fontId="77" fillId="17" borderId="33" applyAlignment="1" applyProtection="1" pivotButton="0" quotePrefix="0" xfId="0">
      <alignment horizontal="right"/>
      <protection locked="0" hidden="0"/>
    </xf>
    <xf numFmtId="0" fontId="77" fillId="39" borderId="33" applyAlignment="1" applyProtection="1" pivotButton="0" quotePrefix="0" xfId="0">
      <alignment horizontal="right"/>
      <protection locked="0" hidden="0"/>
    </xf>
    <xf numFmtId="4" fontId="77" fillId="17" borderId="36" applyAlignment="1" applyProtection="1" pivotButton="0" quotePrefix="1" xfId="0">
      <alignment horizontal="right"/>
      <protection locked="0" hidden="0"/>
    </xf>
    <xf numFmtId="0" fontId="77" fillId="17" borderId="36" applyAlignment="1" applyProtection="1" pivotButton="0" quotePrefix="1" xfId="0">
      <alignment horizontal="right"/>
      <protection locked="0" hidden="0"/>
    </xf>
    <xf numFmtId="3" fontId="77" fillId="17" borderId="36" applyAlignment="1" applyProtection="1" pivotButton="0" quotePrefix="1" xfId="0">
      <alignment horizontal="right"/>
      <protection locked="0" hidden="0"/>
    </xf>
    <xf numFmtId="3" fontId="77" fillId="17" borderId="37" applyAlignment="1" applyProtection="1" pivotButton="0" quotePrefix="1" xfId="0">
      <alignment horizontal="right"/>
      <protection locked="0" hidden="0"/>
    </xf>
    <xf numFmtId="0" fontId="77" fillId="17" borderId="33" applyAlignment="1" pivotButton="0" quotePrefix="0" xfId="0">
      <alignment horizontal="left"/>
    </xf>
    <xf numFmtId="0" fontId="77" fillId="39" borderId="33" applyAlignment="1" pivotButton="0" quotePrefix="0" xfId="0">
      <alignment horizontal="left"/>
    </xf>
    <xf numFmtId="4" fontId="77" fillId="17" borderId="33" applyAlignment="1" applyProtection="1" pivotButton="0" quotePrefix="0" xfId="0">
      <alignment horizontal="left"/>
      <protection locked="0" hidden="0"/>
    </xf>
    <xf numFmtId="4" fontId="77" fillId="39" borderId="33" applyAlignment="1" applyProtection="1" pivotButton="0" quotePrefix="0" xfId="0">
      <alignment horizontal="left"/>
      <protection locked="0" hidden="0"/>
    </xf>
    <xf numFmtId="4" fontId="77" fillId="17" borderId="36" applyAlignment="1" applyProtection="1" pivotButton="0" quotePrefix="1" xfId="0">
      <alignment horizontal="left"/>
      <protection locked="0" hidden="0"/>
    </xf>
    <xf numFmtId="0" fontId="77" fillId="17" borderId="32" applyAlignment="1" pivotButton="0" quotePrefix="0" xfId="0">
      <alignment horizontal="left"/>
    </xf>
    <xf numFmtId="0" fontId="77" fillId="39" borderId="32" applyAlignment="1" pivotButton="0" quotePrefix="0" xfId="0">
      <alignment horizontal="left"/>
    </xf>
    <xf numFmtId="4" fontId="77" fillId="17" borderId="32" applyAlignment="1" applyProtection="1" pivotButton="0" quotePrefix="0" xfId="0">
      <alignment horizontal="left"/>
      <protection locked="0" hidden="0"/>
    </xf>
    <xf numFmtId="4" fontId="77" fillId="39" borderId="32" applyAlignment="1" applyProtection="1" pivotButton="0" quotePrefix="0" xfId="0">
      <alignment horizontal="left"/>
      <protection locked="0" hidden="0"/>
    </xf>
    <xf numFmtId="4" fontId="77" fillId="17" borderId="35" applyAlignment="1" applyProtection="1" pivotButton="0" quotePrefix="1" xfId="0">
      <alignment horizontal="left"/>
      <protection locked="0" hidden="0"/>
    </xf>
    <xf numFmtId="0" fontId="84" fillId="17" borderId="0" pivotButton="0" quotePrefix="0" xfId="1"/>
    <xf numFmtId="0" fontId="80" fillId="37" borderId="0" applyAlignment="1" applyProtection="1" pivotButton="0" quotePrefix="0" xfId="0">
      <alignment horizontal="center"/>
      <protection locked="0" hidden="0"/>
    </xf>
    <xf numFmtId="0" fontId="19" fillId="40" borderId="0" applyAlignment="1" pivotButton="0" quotePrefix="0" xfId="2">
      <alignment vertical="center"/>
    </xf>
    <xf numFmtId="0" fontId="2" fillId="0" borderId="0" applyAlignment="1" pivotButton="0" quotePrefix="0" xfId="2">
      <alignment vertical="center"/>
    </xf>
    <xf numFmtId="0" fontId="19" fillId="0" borderId="0" applyAlignment="1" pivotButton="0" quotePrefix="0" xfId="2">
      <alignment vertical="center"/>
    </xf>
    <xf numFmtId="0" fontId="86" fillId="38" borderId="0" applyAlignment="1" pivotButton="0" quotePrefix="0" xfId="2">
      <alignment horizontal="center" vertical="center"/>
    </xf>
    <xf numFmtId="0" fontId="88" fillId="0" borderId="38" applyAlignment="1" pivotButton="0" quotePrefix="0" xfId="2">
      <alignment horizontal="center" vertical="center"/>
    </xf>
    <xf numFmtId="0" fontId="89" fillId="41" borderId="39" applyAlignment="1" pivotButton="0" quotePrefix="0" xfId="2">
      <alignment horizontal="center" vertical="center"/>
    </xf>
    <xf numFmtId="0" fontId="88" fillId="0" borderId="40" applyAlignment="1" pivotButton="0" quotePrefix="0" xfId="2">
      <alignment horizontal="center" vertical="center"/>
    </xf>
    <xf numFmtId="0" fontId="88" fillId="0" borderId="3" applyAlignment="1" pivotButton="0" quotePrefix="0" xfId="2">
      <alignment horizontal="center" vertical="center"/>
    </xf>
    <xf numFmtId="0" fontId="75" fillId="0" borderId="41" applyAlignment="1" pivotButton="0" quotePrefix="0" xfId="2">
      <alignment vertical="center"/>
    </xf>
    <xf numFmtId="0" fontId="89" fillId="41" borderId="3" applyAlignment="1" pivotButton="0" quotePrefix="0" xfId="2">
      <alignment horizontal="center" vertical="center"/>
    </xf>
    <xf numFmtId="0" fontId="86" fillId="42" borderId="40" applyAlignment="1" pivotButton="0" quotePrefix="0" xfId="2">
      <alignment horizontal="center" vertical="center"/>
    </xf>
    <xf numFmtId="0" fontId="2" fillId="0" borderId="3" applyAlignment="1" pivotButton="0" quotePrefix="0" xfId="2">
      <alignment vertical="center"/>
    </xf>
    <xf numFmtId="0" fontId="2" fillId="0" borderId="41" applyAlignment="1" pivotButton="0" quotePrefix="0" xfId="2">
      <alignment vertical="center"/>
    </xf>
    <xf numFmtId="167" fontId="90" fillId="0" borderId="3" applyAlignment="1" pivotButton="0" quotePrefix="0" xfId="2">
      <alignment horizontal="center" vertical="center"/>
    </xf>
    <xf numFmtId="0" fontId="90" fillId="0" borderId="3" applyAlignment="1" pivotButton="0" quotePrefix="0" xfId="2">
      <alignment horizontal="center" vertical="center"/>
    </xf>
    <xf numFmtId="0" fontId="2" fillId="0" borderId="40" applyAlignment="1" pivotButton="0" quotePrefix="0" xfId="2">
      <alignment vertical="center"/>
    </xf>
    <xf numFmtId="0" fontId="86" fillId="43" borderId="40" applyAlignment="1" pivotButton="0" quotePrefix="0" xfId="2">
      <alignment horizontal="center" vertical="center"/>
    </xf>
    <xf numFmtId="174" fontId="89" fillId="41" borderId="3" applyAlignment="1" pivotButton="0" quotePrefix="0" xfId="2">
      <alignment horizontal="center" vertical="center"/>
    </xf>
    <xf numFmtId="172" fontId="89" fillId="41" borderId="3" applyAlignment="1" pivotButton="0" quotePrefix="0" xfId="2">
      <alignment horizontal="center" vertical="center"/>
    </xf>
    <xf numFmtId="177" fontId="89" fillId="41" borderId="3" applyAlignment="1" pivotButton="0" quotePrefix="0" xfId="2">
      <alignment horizontal="center" vertical="center"/>
    </xf>
    <xf numFmtId="0" fontId="86" fillId="44" borderId="40" applyAlignment="1" pivotButton="0" quotePrefix="0" xfId="2">
      <alignment horizontal="center" vertical="center"/>
    </xf>
    <xf numFmtId="3" fontId="91" fillId="0" borderId="3" applyAlignment="1" pivotButton="0" quotePrefix="0" xfId="2">
      <alignment horizontal="center" vertical="center"/>
    </xf>
    <xf numFmtId="172" fontId="91" fillId="0" borderId="3" applyAlignment="1" pivotButton="0" quotePrefix="0" xfId="2">
      <alignment horizontal="center" vertical="center"/>
    </xf>
    <xf numFmtId="175" fontId="91" fillId="0" borderId="3" applyAlignment="1" pivotButton="0" quotePrefix="0" xfId="2">
      <alignment horizontal="center" vertical="center"/>
    </xf>
    <xf numFmtId="3" fontId="92" fillId="36" borderId="3" applyAlignment="1" pivotButton="0" quotePrefix="0" xfId="2">
      <alignment horizontal="center" vertical="center"/>
    </xf>
    <xf numFmtId="0" fontId="92" fillId="36" borderId="3" applyAlignment="1" pivotButton="0" quotePrefix="0" xfId="2">
      <alignment horizontal="center" vertical="center"/>
    </xf>
    <xf numFmtId="175" fontId="92" fillId="36" borderId="3" applyAlignment="1" pivotButton="0" quotePrefix="0" xfId="2">
      <alignment horizontal="center" vertical="center"/>
    </xf>
    <xf numFmtId="167" fontId="93" fillId="17" borderId="3" applyAlignment="1" pivotButton="0" quotePrefix="0" xfId="2">
      <alignment horizontal="center" vertical="center"/>
    </xf>
    <xf numFmtId="0" fontId="91" fillId="36" borderId="3" applyAlignment="1" pivotButton="0" quotePrefix="0" xfId="2">
      <alignment horizontal="center" vertical="center"/>
    </xf>
    <xf numFmtId="0" fontId="86" fillId="21" borderId="40" applyAlignment="1" pivotButton="0" quotePrefix="0" xfId="2">
      <alignment horizontal="center" vertical="center"/>
    </xf>
    <xf numFmtId="3" fontId="91" fillId="36" borderId="3" applyAlignment="1" pivotButton="0" quotePrefix="0" xfId="2">
      <alignment horizontal="center" vertical="center"/>
    </xf>
    <xf numFmtId="178" fontId="91" fillId="0" borderId="3" applyAlignment="1" pivotButton="0" quotePrefix="0" xfId="2">
      <alignment horizontal="center" vertical="center"/>
    </xf>
    <xf numFmtId="0" fontId="91" fillId="0" borderId="3" applyAlignment="1" pivotButton="0" quotePrefix="0" xfId="2">
      <alignment horizontal="center" vertical="center"/>
    </xf>
    <xf numFmtId="1" fontId="94" fillId="36" borderId="3" applyAlignment="1" pivotButton="0" quotePrefix="0" xfId="2">
      <alignment horizontal="center" vertical="center"/>
    </xf>
    <xf numFmtId="0" fontId="90" fillId="41" borderId="3" applyAlignment="1" pivotButton="0" quotePrefix="0" xfId="2">
      <alignment horizontal="center" vertical="center"/>
    </xf>
    <xf numFmtId="0" fontId="95" fillId="0" borderId="40" applyAlignment="1" pivotButton="0" quotePrefix="0" xfId="2">
      <alignment horizontal="center" vertical="center"/>
    </xf>
    <xf numFmtId="0" fontId="96" fillId="0" borderId="41" applyAlignment="1" pivotButton="0" quotePrefix="0" xfId="2">
      <alignment vertical="center"/>
    </xf>
    <xf numFmtId="0" fontId="88" fillId="0" borderId="42" applyAlignment="1" pivotButton="0" quotePrefix="0" xfId="2">
      <alignment horizontal="center" vertical="center"/>
    </xf>
    <xf numFmtId="0" fontId="75" fillId="0" borderId="44" applyAlignment="1" pivotButton="0" quotePrefix="0" xfId="2">
      <alignment vertical="center"/>
    </xf>
    <xf numFmtId="0" fontId="97" fillId="21" borderId="0" applyAlignment="1" pivotButton="0" quotePrefix="0" xfId="2">
      <alignment vertical="center" wrapText="1"/>
    </xf>
    <xf numFmtId="0" fontId="98" fillId="0" borderId="0" applyAlignment="1" pivotButton="0" quotePrefix="0" xfId="2">
      <alignment vertical="center" wrapText="1"/>
    </xf>
    <xf numFmtId="0" fontId="99" fillId="0" borderId="0" applyAlignment="1" pivotButton="0" quotePrefix="0" xfId="2">
      <alignment vertical="center" wrapText="1"/>
    </xf>
    <xf numFmtId="0" fontId="72" fillId="42" borderId="0" applyAlignment="1" pivotButton="0" quotePrefix="0" xfId="2">
      <alignment vertical="center" wrapText="1"/>
    </xf>
    <xf numFmtId="0" fontId="2" fillId="0" borderId="0" applyAlignment="1" pivotButton="0" quotePrefix="0" xfId="2">
      <alignment horizontal="center" vertical="center"/>
    </xf>
    <xf numFmtId="0" fontId="75" fillId="0" borderId="0" applyAlignment="1" pivotButton="0" quotePrefix="0" xfId="2">
      <alignment vertical="center" wrapText="1"/>
    </xf>
    <xf numFmtId="0" fontId="100" fillId="0" borderId="0" applyAlignment="1" pivotButton="0" quotePrefix="0" xfId="2">
      <alignment horizontal="left" vertical="center" wrapText="1"/>
    </xf>
    <xf numFmtId="0" fontId="101" fillId="0" borderId="0" applyAlignment="1" pivotButton="0" quotePrefix="0" xfId="2">
      <alignment horizontal="center" vertical="center" wrapText="1"/>
    </xf>
    <xf numFmtId="0" fontId="72" fillId="43" borderId="0" applyAlignment="1" pivotButton="0" quotePrefix="0" xfId="2">
      <alignment vertical="center" wrapText="1"/>
    </xf>
    <xf numFmtId="0" fontId="102" fillId="45" borderId="0" applyAlignment="1" pivotButton="0" quotePrefix="0" xfId="2">
      <alignment horizontal="center" vertical="center" wrapText="1"/>
    </xf>
    <xf numFmtId="0" fontId="102" fillId="45" borderId="0" applyAlignment="1" pivotButton="0" quotePrefix="0" xfId="2">
      <alignment vertical="center"/>
    </xf>
    <xf numFmtId="0" fontId="103" fillId="41" borderId="0" applyAlignment="1" pivotButton="0" quotePrefix="0" xfId="2">
      <alignment horizontal="center" vertical="center" wrapText="1"/>
    </xf>
    <xf numFmtId="0" fontId="75" fillId="0" borderId="0" applyAlignment="1" pivotButton="0" quotePrefix="0" xfId="2">
      <alignment vertical="center"/>
    </xf>
    <xf numFmtId="0" fontId="98" fillId="0" borderId="0" applyAlignment="1" pivotButton="0" quotePrefix="0" xfId="2">
      <alignment vertical="center"/>
    </xf>
    <xf numFmtId="0" fontId="104" fillId="0" borderId="0" applyAlignment="1" pivotButton="0" quotePrefix="0" xfId="2">
      <alignment vertical="center"/>
    </xf>
    <xf numFmtId="0" fontId="105" fillId="44" borderId="0" applyAlignment="1" pivotButton="0" quotePrefix="0" xfId="2">
      <alignment horizontal="center" vertical="center" wrapText="1"/>
    </xf>
    <xf numFmtId="0" fontId="106" fillId="41" borderId="0" applyAlignment="1" pivotButton="0" quotePrefix="0" xfId="2">
      <alignment horizontal="center" vertical="center" wrapText="1"/>
    </xf>
    <xf numFmtId="0" fontId="109" fillId="0" borderId="0" applyAlignment="1" pivotButton="0" quotePrefix="0" xfId="2">
      <alignment vertical="center" wrapText="1"/>
    </xf>
    <xf numFmtId="0" fontId="110" fillId="0" borderId="0" applyAlignment="1" pivotButton="0" quotePrefix="0" xfId="2">
      <alignment vertical="center" wrapText="1"/>
    </xf>
    <xf numFmtId="0" fontId="112" fillId="0" borderId="0" applyAlignment="1" pivotButton="0" quotePrefix="0" xfId="2">
      <alignment vertical="center"/>
    </xf>
    <xf numFmtId="0" fontId="113" fillId="0" borderId="0" applyAlignment="1" pivotButton="0" quotePrefix="0" xfId="2">
      <alignment vertical="center" wrapText="1"/>
    </xf>
    <xf numFmtId="0" fontId="72" fillId="21" borderId="0" applyAlignment="1" pivotButton="0" quotePrefix="0" xfId="2">
      <alignment vertical="center" wrapText="1"/>
    </xf>
    <xf numFmtId="0" fontId="100" fillId="0" borderId="0" applyAlignment="1" pivotButton="0" quotePrefix="0" xfId="2">
      <alignment vertical="center" wrapText="1"/>
    </xf>
    <xf numFmtId="0" fontId="2" fillId="0" borderId="0" applyAlignment="1" pivotButton="0" quotePrefix="0" xfId="2">
      <alignment vertical="center" wrapText="1"/>
    </xf>
    <xf numFmtId="0" fontId="2" fillId="0" borderId="0" applyAlignment="1" pivotButton="0" quotePrefix="1" xfId="2">
      <alignment vertical="center"/>
    </xf>
    <xf numFmtId="179" fontId="89" fillId="0" borderId="3" applyAlignment="1" pivotButton="0" quotePrefix="0" xfId="2">
      <alignment horizontal="center" vertical="center"/>
    </xf>
    <xf numFmtId="4" fontId="0" fillId="0" borderId="0" applyProtection="1" pivotButton="0" quotePrefix="1" xfId="0">
      <protection locked="0" hidden="0"/>
    </xf>
    <xf numFmtId="0" fontId="0" fillId="0" borderId="0" applyProtection="1" pivotButton="0" quotePrefix="1" xfId="0">
      <protection locked="0" hidden="0"/>
    </xf>
    <xf numFmtId="3" fontId="0" fillId="0" borderId="0" applyProtection="1" pivotButton="0" quotePrefix="1" xfId="0">
      <protection locked="0" hidden="0"/>
    </xf>
    <xf numFmtId="0" fontId="78" fillId="38" borderId="30" applyAlignment="1" applyProtection="1" pivotButton="0" quotePrefix="0" xfId="0">
      <alignment horizontal="center"/>
      <protection locked="1" hidden="1"/>
    </xf>
    <xf numFmtId="0" fontId="77" fillId="17" borderId="33" applyAlignment="1" applyProtection="1" pivotButton="0" quotePrefix="0" xfId="0">
      <alignment horizontal="left"/>
      <protection locked="1" hidden="1"/>
    </xf>
    <xf numFmtId="0" fontId="57" fillId="21" borderId="0" applyAlignment="1" applyProtection="1" pivotButton="0" quotePrefix="0" xfId="0">
      <alignment horizontal="center"/>
      <protection locked="0" hidden="0"/>
    </xf>
    <xf numFmtId="49" fontId="83" fillId="36" borderId="0" applyAlignment="1" applyProtection="1" pivotButton="0" quotePrefix="0" xfId="0">
      <alignment horizontal="center" vertical="center"/>
      <protection locked="0" hidden="0"/>
    </xf>
    <xf numFmtId="0" fontId="77" fillId="39" borderId="32" applyAlignment="1" applyProtection="1" pivotButton="0" quotePrefix="0" xfId="0">
      <alignment horizontal="left"/>
      <protection locked="0" hidden="0"/>
    </xf>
    <xf numFmtId="0" fontId="78" fillId="38" borderId="29" applyAlignment="1" pivotButton="0" quotePrefix="0" xfId="0">
      <alignment horizontal="center"/>
    </xf>
    <xf numFmtId="0" fontId="115" fillId="20" borderId="0" applyAlignment="1" pivotButton="0" quotePrefix="0" xfId="0">
      <alignment vertical="center"/>
    </xf>
    <xf numFmtId="0" fontId="116" fillId="46" borderId="0" applyAlignment="1" pivotButton="0" quotePrefix="0" xfId="0">
      <alignment horizontal="center"/>
    </xf>
    <xf numFmtId="0" fontId="117" fillId="46" borderId="0" applyAlignment="1" pivotButton="0" quotePrefix="0" xfId="0">
      <alignment horizontal="center"/>
    </xf>
    <xf numFmtId="0" fontId="117" fillId="47" borderId="0" applyAlignment="1" pivotButton="0" quotePrefix="0" xfId="0">
      <alignment horizontal="center"/>
    </xf>
    <xf numFmtId="0" fontId="117" fillId="21" borderId="0" applyAlignment="1" pivotButton="0" quotePrefix="0" xfId="0">
      <alignment horizontal="center"/>
    </xf>
    <xf numFmtId="0" fontId="117" fillId="25" borderId="0" applyAlignment="1" pivotButton="0" quotePrefix="0" xfId="0">
      <alignment horizontal="center"/>
    </xf>
    <xf numFmtId="0" fontId="117" fillId="26" borderId="0" applyAlignment="1" pivotButton="0" quotePrefix="0" xfId="0">
      <alignment horizontal="center"/>
    </xf>
    <xf numFmtId="0" fontId="117" fillId="27" borderId="0" applyAlignment="1" pivotButton="0" quotePrefix="0" xfId="0">
      <alignment horizontal="center"/>
    </xf>
    <xf numFmtId="0" fontId="78" fillId="46" borderId="0" applyAlignment="1" pivotButton="0" quotePrefix="0" xfId="0">
      <alignment horizontal="center"/>
    </xf>
    <xf numFmtId="0" fontId="117" fillId="28" borderId="0" applyAlignment="1" pivotButton="0" quotePrefix="0" xfId="0">
      <alignment horizontal="center"/>
    </xf>
    <xf numFmtId="0" fontId="18" fillId="48" borderId="0" pivotButton="0" quotePrefix="0" xfId="1"/>
    <xf numFmtId="0" fontId="0" fillId="48" borderId="0" pivotButton="0" quotePrefix="0" xfId="0"/>
    <xf numFmtId="3" fontId="0" fillId="48" borderId="0" pivotButton="0" quotePrefix="0" xfId="0"/>
    <xf numFmtId="174" fontId="0" fillId="48" borderId="0" pivotButton="0" quotePrefix="0" xfId="0"/>
    <xf numFmtId="173" fontId="0" fillId="48" borderId="0" pivotButton="0" quotePrefix="0" xfId="0"/>
    <xf numFmtId="166" fontId="0" fillId="48" borderId="0" pivotButton="0" quotePrefix="0" xfId="0"/>
    <xf numFmtId="2" fontId="0" fillId="48" borderId="0" pivotButton="0" quotePrefix="0" xfId="0"/>
    <xf numFmtId="175" fontId="0" fillId="48" borderId="0" pivotButton="0" quotePrefix="0" xfId="0"/>
    <xf numFmtId="0" fontId="18" fillId="17" borderId="0" pivotButton="0" quotePrefix="0" xfId="1"/>
    <xf numFmtId="3" fontId="0" fillId="17" borderId="0" pivotButton="0" quotePrefix="0" xfId="0"/>
    <xf numFmtId="174" fontId="0" fillId="17" borderId="0" pivotButton="0" quotePrefix="0" xfId="0"/>
    <xf numFmtId="173" fontId="0" fillId="17" borderId="0" pivotButton="0" quotePrefix="0" xfId="0"/>
    <xf numFmtId="166" fontId="0" fillId="17" borderId="0" pivotButton="0" quotePrefix="0" xfId="0"/>
    <xf numFmtId="2" fontId="0" fillId="17" borderId="0" pivotButton="0" quotePrefix="0" xfId="0"/>
    <xf numFmtId="175" fontId="0" fillId="17" borderId="0" pivotButton="0" quotePrefix="0" xfId="0"/>
    <xf numFmtId="0" fontId="119" fillId="49" borderId="0" pivotButton="0" quotePrefix="0" xfId="0"/>
    <xf numFmtId="164" fontId="0" fillId="48" borderId="0" pivotButton="0" quotePrefix="0" xfId="0"/>
    <xf numFmtId="164" fontId="0" fillId="17" borderId="0" pivotButton="0" quotePrefix="0" xfId="0"/>
    <xf numFmtId="0" fontId="1" fillId="0" borderId="0" applyAlignment="1" pivotButton="0" quotePrefix="0" xfId="2">
      <alignment vertical="center"/>
    </xf>
    <xf numFmtId="0" fontId="120" fillId="41" borderId="45" applyAlignment="1" pivotButton="0" quotePrefix="0" xfId="2">
      <alignment vertical="center"/>
    </xf>
    <xf numFmtId="0" fontId="120" fillId="41" borderId="46" applyAlignment="1" pivotButton="0" quotePrefix="0" xfId="2">
      <alignment vertical="center"/>
    </xf>
    <xf numFmtId="0" fontId="121" fillId="41" borderId="47" applyAlignment="1" pivotButton="0" quotePrefix="0" xfId="2">
      <alignment vertical="center"/>
    </xf>
    <xf numFmtId="0" fontId="121" fillId="41" borderId="48" applyAlignment="1" pivotButton="0" quotePrefix="0" xfId="2">
      <alignment vertical="center"/>
    </xf>
    <xf numFmtId="0" fontId="121" fillId="41" borderId="0" applyAlignment="1" pivotButton="0" quotePrefix="0" xfId="2">
      <alignment vertical="center"/>
    </xf>
    <xf numFmtId="0" fontId="121" fillId="41" borderId="49" applyAlignment="1" pivotButton="0" quotePrefix="1" xfId="2">
      <alignment vertical="center"/>
    </xf>
    <xf numFmtId="0" fontId="121" fillId="41" borderId="49" applyAlignment="1" pivotButton="0" quotePrefix="0" xfId="2">
      <alignment vertical="center"/>
    </xf>
    <xf numFmtId="0" fontId="121" fillId="41" borderId="50" applyAlignment="1" pivotButton="0" quotePrefix="0" xfId="2">
      <alignment vertical="center"/>
    </xf>
    <xf numFmtId="0" fontId="121" fillId="41" borderId="51" applyAlignment="1" pivotButton="0" quotePrefix="0" xfId="2">
      <alignment vertical="center"/>
    </xf>
    <xf numFmtId="0" fontId="121" fillId="41" borderId="52" applyAlignment="1" pivotButton="0" quotePrefix="0" xfId="2">
      <alignment vertical="center"/>
    </xf>
    <xf numFmtId="0" fontId="75" fillId="0" borderId="53" applyAlignment="1" pivotButton="0" quotePrefix="0" xfId="2">
      <alignment vertical="center"/>
    </xf>
    <xf numFmtId="0" fontId="75" fillId="0" borderId="54" applyAlignment="1" pivotButton="0" quotePrefix="0" xfId="2">
      <alignment vertical="center"/>
    </xf>
    <xf numFmtId="0" fontId="122" fillId="41" borderId="55" applyAlignment="1" pivotButton="0" quotePrefix="0" xfId="2">
      <alignment horizontal="center" vertical="center"/>
    </xf>
    <xf numFmtId="0" fontId="123" fillId="41" borderId="56" applyAlignment="1" pivotButton="0" quotePrefix="0" xfId="2">
      <alignment horizontal="center" vertical="center"/>
    </xf>
    <xf numFmtId="0" fontId="124" fillId="0" borderId="57" applyAlignment="1" pivotButton="0" quotePrefix="0" xfId="2">
      <alignment horizontal="center" vertical="center"/>
    </xf>
    <xf numFmtId="0" fontId="85" fillId="21" borderId="0" applyAlignment="1" pivotButton="0" quotePrefix="0" xfId="2">
      <alignment vertical="center" wrapText="1"/>
    </xf>
    <xf numFmtId="0" fontId="93" fillId="17" borderId="43" applyAlignment="1" pivotButton="0" quotePrefix="0" xfId="2">
      <alignment horizontal="center" vertical="center"/>
    </xf>
    <xf numFmtId="0" fontId="90" fillId="17" borderId="3" applyAlignment="1" pivotButton="0" quotePrefix="0" xfId="2">
      <alignment horizontal="center" vertical="center"/>
    </xf>
    <xf numFmtId="178" fontId="90" fillId="17" borderId="3" applyAlignment="1" pivotButton="0" quotePrefix="0" xfId="2">
      <alignment horizontal="center" vertical="center"/>
    </xf>
    <xf numFmtId="0" fontId="34" fillId="0" borderId="0" pivotButton="0" quotePrefix="0" xfId="0"/>
    <xf numFmtId="0" fontId="8" fillId="12" borderId="0" applyAlignment="1" applyProtection="1" pivotButton="0" quotePrefix="0" xfId="0">
      <alignment horizontal="center"/>
      <protection locked="0" hidden="0"/>
    </xf>
    <xf numFmtId="0" fontId="8" fillId="51" borderId="0" applyAlignment="1" applyProtection="1" pivotButton="0" quotePrefix="0" xfId="0">
      <alignment horizontal="center"/>
      <protection locked="0" hidden="0"/>
    </xf>
    <xf numFmtId="0" fontId="35" fillId="0" borderId="0" applyAlignment="1" applyProtection="1" pivotButton="0" quotePrefix="0" xfId="0">
      <alignment horizontal="center"/>
      <protection locked="0" hidden="0"/>
    </xf>
    <xf numFmtId="174" fontId="35" fillId="0" borderId="0" applyAlignment="1" applyProtection="1" pivotButton="0" quotePrefix="0" xfId="0">
      <alignment horizontal="center"/>
      <protection locked="0" hidden="0"/>
    </xf>
    <xf numFmtId="180" fontId="35" fillId="0" borderId="0" applyAlignment="1" applyProtection="1" pivotButton="0" quotePrefix="0" xfId="0">
      <alignment horizontal="center"/>
      <protection locked="0" hidden="0"/>
    </xf>
    <xf numFmtId="0" fontId="129" fillId="52" borderId="0" applyAlignment="1" applyProtection="1" pivotButton="0" quotePrefix="0" xfId="0">
      <alignment horizontal="center"/>
      <protection locked="0" hidden="0"/>
    </xf>
    <xf numFmtId="0" fontId="65" fillId="0" borderId="0" applyAlignment="1" applyProtection="1" pivotButton="0" quotePrefix="0" xfId="0">
      <alignment horizontal="center"/>
      <protection locked="0" hidden="0"/>
    </xf>
    <xf numFmtId="0" fontId="8" fillId="21" borderId="0" applyAlignment="1" pivotButton="0" quotePrefix="0" xfId="0">
      <alignment horizontal="center"/>
    </xf>
    <xf numFmtId="0" fontId="8" fillId="51" borderId="0" applyAlignment="1" pivotButton="0" quotePrefix="0" xfId="0">
      <alignment horizontal="center"/>
    </xf>
    <xf numFmtId="0" fontId="129" fillId="52" borderId="0" applyAlignment="1" pivotButton="0" quotePrefix="0" xfId="0">
      <alignment horizontal="center"/>
    </xf>
    <xf numFmtId="0" fontId="65" fillId="0" borderId="0" applyAlignment="1" pivotButton="0" quotePrefix="0" xfId="0">
      <alignment horizontal="center"/>
    </xf>
    <xf numFmtId="0" fontId="35" fillId="0" borderId="0" applyAlignment="1" pivotButton="0" quotePrefix="0" xfId="0">
      <alignment horizontal="center"/>
    </xf>
    <xf numFmtId="174" fontId="35" fillId="0" borderId="0" applyAlignment="1" pivotButton="0" quotePrefix="0" xfId="0">
      <alignment horizontal="center"/>
    </xf>
    <xf numFmtId="180" fontId="35" fillId="0" borderId="0" applyAlignment="1" pivotButton="0" quotePrefix="0" xfId="0">
      <alignment horizontal="center"/>
    </xf>
    <xf numFmtId="0" fontId="132" fillId="29" borderId="0" applyAlignment="1" pivotButton="0" quotePrefix="0" xfId="0">
      <alignment horizontal="center"/>
    </xf>
    <xf numFmtId="0" fontId="133" fillId="0" borderId="0" applyAlignment="1" pivotButton="0" quotePrefix="0" xfId="0">
      <alignment horizontal="center"/>
    </xf>
    <xf numFmtId="181" fontId="133" fillId="0" borderId="0" applyAlignment="1" pivotButton="0" quotePrefix="0" xfId="0">
      <alignment horizontal="center"/>
    </xf>
    <xf numFmtId="0" fontId="88" fillId="0" borderId="58" applyAlignment="1" pivotButton="0" quotePrefix="0" xfId="2">
      <alignment horizontal="center" vertical="center"/>
    </xf>
    <xf numFmtId="0" fontId="75" fillId="0" borderId="59" applyAlignment="1" pivotButton="0" quotePrefix="0" xfId="2">
      <alignment vertical="center"/>
    </xf>
    <xf numFmtId="0" fontId="88" fillId="0" borderId="0" applyAlignment="1" pivotButton="0" quotePrefix="0" xfId="2">
      <alignment horizontal="center" vertical="center"/>
    </xf>
    <xf numFmtId="0" fontId="93" fillId="17" borderId="0" applyAlignment="1" pivotButton="0" quotePrefix="0" xfId="2">
      <alignment horizontal="center" vertical="center"/>
    </xf>
    <xf numFmtId="0" fontId="88" fillId="0" borderId="60" applyAlignment="1" pivotButton="0" quotePrefix="0" xfId="2">
      <alignment horizontal="center" vertical="center"/>
    </xf>
    <xf numFmtId="0" fontId="75" fillId="0" borderId="62" applyAlignment="1" pivotButton="0" quotePrefix="0" xfId="2">
      <alignment vertical="center"/>
    </xf>
    <xf numFmtId="0" fontId="93" fillId="41" borderId="61" applyAlignment="1" pivotButton="0" quotePrefix="0" xfId="2">
      <alignment horizontal="center" vertical="center"/>
    </xf>
    <xf numFmtId="0" fontId="93" fillId="41" borderId="4" applyAlignment="1" pivotButton="0" quotePrefix="0" xfId="2">
      <alignment horizontal="center" vertical="center"/>
    </xf>
    <xf numFmtId="0" fontId="18" fillId="0" borderId="0" pivotButton="0" quotePrefix="0" xfId="1"/>
    <xf numFmtId="0" fontId="72" fillId="49" borderId="0" applyAlignment="1" pivotButton="0" quotePrefix="0" xfId="0">
      <alignment horizontal="center"/>
    </xf>
    <xf numFmtId="0" fontId="19" fillId="48" borderId="0" applyAlignment="1" pivotButton="0" quotePrefix="0" xfId="0">
      <alignment horizontal="center"/>
    </xf>
    <xf numFmtId="0" fontId="19" fillId="17" borderId="0" applyAlignment="1" pivotButton="0" quotePrefix="0" xfId="0">
      <alignment horizontal="center"/>
    </xf>
    <xf numFmtId="0" fontId="19" fillId="0" borderId="0" applyAlignment="1" pivotButton="0" quotePrefix="0" xfId="0">
      <alignment horizontal="center"/>
    </xf>
    <xf numFmtId="0" fontId="57" fillId="10" borderId="1" applyAlignment="1" applyProtection="1" pivotButton="0" quotePrefix="0" xfId="0">
      <alignment horizontal="center" vertical="center"/>
      <protection locked="0" hidden="0"/>
    </xf>
    <xf numFmtId="0" fontId="56" fillId="4" borderId="0" applyAlignment="1" applyProtection="1" pivotButton="0" quotePrefix="0" xfId="0">
      <alignment horizontal="center" vertical="center"/>
      <protection locked="0" hidden="0"/>
    </xf>
    <xf numFmtId="164" fontId="138" fillId="5" borderId="0" applyAlignment="1" applyProtection="1" pivotButton="0" quotePrefix="0" xfId="0">
      <alignment horizontal="center" vertical="center"/>
      <protection locked="0" hidden="0"/>
    </xf>
    <xf numFmtId="49" fontId="138" fillId="5" borderId="0" applyAlignment="1" applyProtection="1" pivotButton="0" quotePrefix="0" xfId="0">
      <alignment horizontal="center" vertical="center"/>
      <protection locked="0" hidden="0"/>
    </xf>
    <xf numFmtId="49" fontId="68" fillId="0" borderId="0" applyAlignment="1" applyProtection="1" pivotButton="0" quotePrefix="0" xfId="0">
      <alignment horizontal="center" vertical="center"/>
      <protection locked="0" hidden="0"/>
    </xf>
    <xf numFmtId="164" fontId="67" fillId="11" borderId="0" applyAlignment="1" applyProtection="1" pivotButton="0" quotePrefix="0" xfId="0">
      <alignment horizontal="center" vertical="center"/>
      <protection locked="0" hidden="0"/>
    </xf>
    <xf numFmtId="49" fontId="67" fillId="0" borderId="0" applyAlignment="1" applyProtection="1" pivotButton="0" quotePrefix="0" xfId="0">
      <alignment horizontal="center" vertical="center"/>
      <protection locked="0" hidden="0"/>
    </xf>
    <xf numFmtId="0" fontId="67" fillId="0" borderId="0" applyAlignment="1" applyProtection="1" pivotButton="0" quotePrefix="0" xfId="0">
      <alignment horizontal="center" vertical="center"/>
      <protection locked="0" hidden="0"/>
    </xf>
    <xf numFmtId="0" fontId="139" fillId="53" borderId="23" applyAlignment="1" applyProtection="1" pivotButton="0" quotePrefix="0" xfId="0">
      <alignment horizontal="center"/>
      <protection locked="0" hidden="0"/>
    </xf>
    <xf numFmtId="0" fontId="5" fillId="54" borderId="23" applyAlignment="1" applyProtection="1" pivotButton="0" quotePrefix="0" xfId="0">
      <alignment horizontal="center" wrapText="1"/>
      <protection locked="0" hidden="0"/>
    </xf>
    <xf numFmtId="0" fontId="5" fillId="55" borderId="23" applyAlignment="1" applyProtection="1" pivotButton="0" quotePrefix="0" xfId="0">
      <alignment horizontal="center" wrapText="1"/>
      <protection locked="0" hidden="0"/>
    </xf>
    <xf numFmtId="38" fontId="71" fillId="33" borderId="0" applyProtection="1" pivotButton="0" quotePrefix="0" xfId="3">
      <protection locked="0" hidden="0"/>
    </xf>
    <xf numFmtId="38" fontId="5" fillId="16" borderId="23" applyAlignment="1" applyProtection="1" pivotButton="0" quotePrefix="0" xfId="3">
      <alignment horizontal="center" wrapText="1"/>
      <protection locked="0" hidden="0"/>
    </xf>
    <xf numFmtId="38" fontId="19" fillId="0" borderId="23" applyProtection="1" pivotButton="0" quotePrefix="0" xfId="3">
      <protection locked="0" hidden="0"/>
    </xf>
    <xf numFmtId="38" fontId="0" fillId="0" borderId="0" applyProtection="1" pivotButton="0" quotePrefix="0" xfId="3">
      <protection locked="0" hidden="0"/>
    </xf>
    <xf numFmtId="0" fontId="0" fillId="0" borderId="0" applyAlignment="1" pivotButton="0" quotePrefix="0" xfId="0">
      <alignment vertical="center"/>
    </xf>
    <xf numFmtId="0" fontId="34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left"/>
    </xf>
    <xf numFmtId="0" fontId="36" fillId="0" borderId="0" applyAlignment="1" pivotButton="0" quotePrefix="0" xfId="0">
      <alignment horizontal="left"/>
    </xf>
    <xf numFmtId="0" fontId="37" fillId="0" borderId="0" applyAlignment="1" pivotButton="0" quotePrefix="0" xfId="0">
      <alignment horizontal="right"/>
    </xf>
    <xf numFmtId="0" fontId="37" fillId="0" borderId="0" applyAlignment="1" pivotButton="0" quotePrefix="0" xfId="0">
      <alignment horizontal="right" vertical="center"/>
    </xf>
    <xf numFmtId="0" fontId="8" fillId="12" borderId="66" applyAlignment="1" applyProtection="1" pivotButton="0" quotePrefix="0" xfId="0">
      <alignment horizontal="center" vertical="center" wrapText="1"/>
      <protection locked="0" hidden="0"/>
    </xf>
    <xf numFmtId="3" fontId="35" fillId="17" borderId="65" applyProtection="1" pivotButton="0" quotePrefix="0" xfId="0">
      <protection locked="0" hidden="0"/>
    </xf>
    <xf numFmtId="0" fontId="35" fillId="17" borderId="65" applyAlignment="1" applyProtection="1" pivotButton="0" quotePrefix="0" xfId="0">
      <alignment horizontal="center"/>
      <protection locked="0" hidden="0"/>
    </xf>
    <xf numFmtId="3" fontId="35" fillId="31" borderId="3" applyProtection="1" pivotButton="0" quotePrefix="0" xfId="0">
      <protection locked="0" hidden="0"/>
    </xf>
    <xf numFmtId="0" fontId="35" fillId="31" borderId="3" applyAlignment="1" applyProtection="1" pivotButton="0" quotePrefix="0" xfId="0">
      <alignment horizontal="center"/>
      <protection locked="0" hidden="0"/>
    </xf>
    <xf numFmtId="3" fontId="35" fillId="17" borderId="3" applyProtection="1" pivotButton="0" quotePrefix="0" xfId="0">
      <protection locked="0" hidden="0"/>
    </xf>
    <xf numFmtId="0" fontId="35" fillId="17" borderId="3" applyAlignment="1" applyProtection="1" pivotButton="0" quotePrefix="0" xfId="0">
      <alignment horizontal="center"/>
      <protection locked="0" hidden="0"/>
    </xf>
    <xf numFmtId="0" fontId="144" fillId="12" borderId="0" pivotButton="0" quotePrefix="0" xfId="0"/>
    <xf numFmtId="0" fontId="145" fillId="60" borderId="0" applyAlignment="1" pivotButton="0" quotePrefix="0" xfId="0">
      <alignment horizontal="center"/>
    </xf>
    <xf numFmtId="0" fontId="146" fillId="61" borderId="0" pivotButton="0" quotePrefix="0" xfId="0"/>
    <xf numFmtId="0" fontId="147" fillId="0" borderId="0" pivotButton="0" quotePrefix="0" xfId="0"/>
    <xf numFmtId="0" fontId="148" fillId="0" borderId="0" pivotButton="0" quotePrefix="0" xfId="0"/>
    <xf numFmtId="0" fontId="149" fillId="0" borderId="0" pivotButton="0" quotePrefix="0" xfId="0"/>
    <xf numFmtId="0" fontId="150" fillId="0" borderId="0" pivotButton="0" quotePrefix="0" xfId="0"/>
    <xf numFmtId="0" fontId="151" fillId="62" borderId="0" pivotButton="0" quotePrefix="0" xfId="0"/>
    <xf numFmtId="0" fontId="0" fillId="12" borderId="0" pivotButton="0" quotePrefix="0" xfId="0"/>
    <xf numFmtId="0" fontId="78" fillId="12" borderId="3" applyAlignment="1" pivotButton="0" quotePrefix="0" xfId="0">
      <alignment horizontal="center"/>
    </xf>
    <xf numFmtId="0" fontId="21" fillId="63" borderId="3" pivotButton="0" quotePrefix="0" xfId="0"/>
    <xf numFmtId="0" fontId="0" fillId="63" borderId="3" pivotButton="0" quotePrefix="0" xfId="0"/>
    <xf numFmtId="0" fontId="21" fillId="17" borderId="3" pivotButton="0" quotePrefix="0" xfId="0"/>
    <xf numFmtId="0" fontId="0" fillId="17" borderId="3" pivotButton="0" quotePrefix="0" xfId="0"/>
    <xf numFmtId="0" fontId="0" fillId="61" borderId="0" pivotButton="0" quotePrefix="0" xfId="0"/>
    <xf numFmtId="0" fontId="0" fillId="62" borderId="0" pivotButton="0" quotePrefix="0" xfId="0"/>
    <xf numFmtId="0" fontId="0" fillId="0" borderId="0" pivotButton="0" quotePrefix="1" xfId="0"/>
    <xf numFmtId="0" fontId="71" fillId="20" borderId="0" applyProtection="1" pivotButton="0" quotePrefix="0" xfId="0">
      <protection locked="0" hidden="0"/>
    </xf>
    <xf numFmtId="0" fontId="5" fillId="20" borderId="23" applyAlignment="1" applyProtection="1" pivotButton="0" quotePrefix="0" xfId="0">
      <alignment horizontal="center" wrapText="1"/>
      <protection locked="0" hidden="0"/>
    </xf>
    <xf numFmtId="0" fontId="19" fillId="20" borderId="23" applyAlignment="1" applyProtection="1" pivotButton="0" quotePrefix="0" xfId="0">
      <alignment horizontal="center"/>
      <protection locked="0" hidden="0"/>
    </xf>
    <xf numFmtId="0" fontId="46" fillId="0" borderId="0" applyAlignment="1" applyProtection="1" pivotButton="0" quotePrefix="0" xfId="0">
      <alignment horizontal="center"/>
      <protection locked="0" hidden="0"/>
    </xf>
    <xf numFmtId="0" fontId="140" fillId="0" borderId="0" pivotButton="0" quotePrefix="0" xfId="0"/>
    <xf numFmtId="0" fontId="140" fillId="0" borderId="0" applyAlignment="1" pivotButton="0" quotePrefix="0" xfId="0">
      <alignment horizontal="right"/>
    </xf>
    <xf numFmtId="0" fontId="140" fillId="0" borderId="0" applyAlignment="1" pivotButton="0" quotePrefix="0" xfId="0">
      <alignment horizontal="left"/>
    </xf>
    <xf numFmtId="0" fontId="128" fillId="0" borderId="0" applyAlignment="1" pivotButton="0" quotePrefix="0" xfId="0">
      <alignment horizontal="right"/>
    </xf>
    <xf numFmtId="0" fontId="128" fillId="0" borderId="0" applyAlignment="1" pivotButton="0" quotePrefix="0" xfId="0">
      <alignment horizontal="right" vertical="center"/>
    </xf>
    <xf numFmtId="0" fontId="43" fillId="0" borderId="0" applyAlignment="1" pivotButton="0" quotePrefix="0" xfId="0">
      <alignment horizontal="left"/>
    </xf>
    <xf numFmtId="0" fontId="94" fillId="64" borderId="0" pivotButton="0" quotePrefix="0" xfId="0"/>
    <xf numFmtId="0" fontId="97" fillId="12" borderId="3" applyAlignment="1" pivotButton="0" quotePrefix="0" xfId="0">
      <alignment horizontal="center"/>
    </xf>
    <xf numFmtId="0" fontId="0" fillId="0" borderId="3" pivotButton="0" quotePrefix="0" xfId="0"/>
    <xf numFmtId="0" fontId="154" fillId="64" borderId="3" pivotButton="0" quotePrefix="0" xfId="0"/>
    <xf numFmtId="0" fontId="154" fillId="0" borderId="3" pivotButton="0" quotePrefix="0" xfId="0"/>
    <xf numFmtId="0" fontId="158" fillId="0" borderId="0" applyAlignment="1" pivotButton="0" quotePrefix="0" xfId="1">
      <alignment horizontal="center"/>
    </xf>
    <xf numFmtId="0" fontId="159" fillId="0" borderId="3" pivotButton="0" quotePrefix="0" xfId="0"/>
    <xf numFmtId="3" fontId="159" fillId="0" borderId="3" applyAlignment="1" pivotButton="0" quotePrefix="0" xfId="0">
      <alignment horizontal="right"/>
    </xf>
    <xf numFmtId="3" fontId="159" fillId="0" borderId="3" applyAlignment="1" pivotButton="0" quotePrefix="0" xfId="0">
      <alignment horizontal="right" vertical="center"/>
    </xf>
    <xf numFmtId="0" fontId="159" fillId="0" borderId="3" applyAlignment="1" pivotButton="0" quotePrefix="0" xfId="0">
      <alignment horizontal="right"/>
    </xf>
    <xf numFmtId="0" fontId="159" fillId="0" borderId="3" applyAlignment="1" pivotButton="0" quotePrefix="0" xfId="0">
      <alignment horizontal="center"/>
    </xf>
    <xf numFmtId="0" fontId="159" fillId="0" borderId="3" applyAlignment="1" pivotButton="0" quotePrefix="0" xfId="0">
      <alignment horizontal="left"/>
    </xf>
    <xf numFmtId="0" fontId="159" fillId="0" borderId="3" applyProtection="1" pivotButton="0" quotePrefix="0" xfId="0">
      <protection locked="1" hidden="1"/>
    </xf>
    <xf numFmtId="3" fontId="159" fillId="0" borderId="3" applyAlignment="1" applyProtection="1" pivotButton="0" quotePrefix="0" xfId="0">
      <alignment horizontal="right"/>
      <protection locked="1" hidden="1"/>
    </xf>
    <xf numFmtId="3" fontId="159" fillId="0" borderId="3" applyAlignment="1" applyProtection="1" pivotButton="0" quotePrefix="0" xfId="0">
      <alignment horizontal="right" vertical="center"/>
      <protection locked="1" hidden="1"/>
    </xf>
    <xf numFmtId="166" fontId="159" fillId="0" borderId="3" applyAlignment="1" applyProtection="1" pivotButton="0" quotePrefix="0" xfId="0">
      <alignment horizontal="right"/>
      <protection locked="1" hidden="1"/>
    </xf>
    <xf numFmtId="0" fontId="159" fillId="0" borderId="3" applyAlignment="1" applyProtection="1" pivotButton="0" quotePrefix="0" xfId="0">
      <alignment horizontal="center"/>
      <protection locked="1" hidden="1"/>
    </xf>
    <xf numFmtId="0" fontId="159" fillId="0" borderId="3" applyAlignment="1" applyProtection="1" pivotButton="0" quotePrefix="0" xfId="0">
      <alignment horizontal="right"/>
      <protection locked="1" hidden="1"/>
    </xf>
    <xf numFmtId="2" fontId="159" fillId="0" borderId="3" applyAlignment="1" applyProtection="1" pivotButton="0" quotePrefix="0" xfId="0">
      <alignment horizontal="right"/>
      <protection locked="1" hidden="1"/>
    </xf>
    <xf numFmtId="0" fontId="159" fillId="0" borderId="3" applyAlignment="1" applyProtection="1" pivotButton="0" quotePrefix="0" xfId="0">
      <alignment horizontal="left"/>
      <protection locked="1" hidden="1"/>
    </xf>
    <xf numFmtId="0" fontId="160" fillId="0" borderId="0" applyAlignment="1" pivotButton="0" quotePrefix="0" xfId="1">
      <alignment horizontal="center"/>
    </xf>
    <xf numFmtId="0" fontId="127" fillId="0" borderId="0" applyAlignment="1" pivotButton="0" quotePrefix="0" xfId="1">
      <alignment horizontal="center"/>
    </xf>
    <xf numFmtId="0" fontId="126" fillId="0" borderId="0" pivotButton="0" quotePrefix="0" xfId="0"/>
    <xf numFmtId="0" fontId="126" fillId="0" borderId="0" applyAlignment="1" pivotButton="0" quotePrefix="0" xfId="0">
      <alignment horizontal="left"/>
    </xf>
    <xf numFmtId="3" fontId="126" fillId="0" borderId="0" applyAlignment="1" pivotButton="0" quotePrefix="0" xfId="0">
      <alignment horizontal="right"/>
    </xf>
    <xf numFmtId="3" fontId="126" fillId="0" borderId="0" applyAlignment="1" pivotButton="0" quotePrefix="0" xfId="0">
      <alignment horizontal="right" vertical="center"/>
    </xf>
    <xf numFmtId="0" fontId="126" fillId="0" borderId="0" applyAlignment="1" pivotButton="0" quotePrefix="0" xfId="0">
      <alignment horizontal="right"/>
    </xf>
    <xf numFmtId="0" fontId="126" fillId="0" borderId="0" applyAlignment="1" pivotButton="0" quotePrefix="0" xfId="0">
      <alignment horizontal="center"/>
    </xf>
    <xf numFmtId="0" fontId="126" fillId="0" borderId="0" applyAlignment="1" pivotButton="0" quotePrefix="0" xfId="0">
      <alignment horizontal="center" wrapText="1"/>
    </xf>
    <xf numFmtId="0" fontId="126" fillId="0" borderId="0" applyAlignment="1" pivotButton="0" quotePrefix="0" xfId="0">
      <alignment horizontal="left" wrapText="1"/>
    </xf>
    <xf numFmtId="3" fontId="126" fillId="0" borderId="0" applyAlignment="1" pivotButton="0" quotePrefix="0" xfId="0">
      <alignment horizontal="right" wrapText="1"/>
    </xf>
    <xf numFmtId="3" fontId="126" fillId="0" borderId="0" applyAlignment="1" pivotButton="0" quotePrefix="0" xfId="0">
      <alignment horizontal="right" vertical="center" wrapText="1"/>
    </xf>
    <xf numFmtId="0" fontId="126" fillId="0" borderId="0" applyAlignment="1" pivotButton="0" quotePrefix="0" xfId="0">
      <alignment horizontal="right" wrapText="1"/>
    </xf>
    <xf numFmtId="0" fontId="126" fillId="0" borderId="0" applyAlignment="1" applyProtection="1" pivotButton="0" quotePrefix="0" xfId="0">
      <alignment horizontal="left" wrapText="1"/>
      <protection locked="1" hidden="1"/>
    </xf>
    <xf numFmtId="0" fontId="164" fillId="57" borderId="0" applyAlignment="1" pivotButton="0" quotePrefix="0" xfId="1">
      <alignment horizontal="center" wrapText="1"/>
    </xf>
    <xf numFmtId="0" fontId="165" fillId="57" borderId="3" applyAlignment="1" applyProtection="1" pivotButton="0" quotePrefix="0" xfId="0">
      <alignment horizontal="center" wrapText="1"/>
      <protection locked="1" hidden="1"/>
    </xf>
    <xf numFmtId="3" fontId="165" fillId="57" borderId="3" applyAlignment="1" applyProtection="1" pivotButton="0" quotePrefix="0" xfId="0">
      <alignment horizontal="center" wrapText="1"/>
      <protection locked="1" hidden="1"/>
    </xf>
    <xf numFmtId="2" fontId="165" fillId="57" borderId="3" applyAlignment="1" applyProtection="1" pivotButton="0" quotePrefix="0" xfId="0">
      <alignment horizontal="center" wrapText="1"/>
      <protection locked="1" hidden="1"/>
    </xf>
    <xf numFmtId="0" fontId="166" fillId="0" borderId="0" pivotButton="0" quotePrefix="0" xfId="0"/>
    <xf numFmtId="0" fontId="167" fillId="0" borderId="0" pivotButton="0" quotePrefix="0" xfId="0"/>
    <xf numFmtId="0" fontId="168" fillId="50" borderId="0" applyAlignment="1" pivotButton="0" quotePrefix="0" xfId="1">
      <alignment horizontal="center"/>
    </xf>
    <xf numFmtId="0" fontId="169" fillId="0" borderId="3" applyAlignment="1" pivotButton="0" quotePrefix="0" xfId="0">
      <alignment horizontal="center" wrapText="1"/>
    </xf>
    <xf numFmtId="0" fontId="170" fillId="0" borderId="3" applyAlignment="1" pivotButton="0" quotePrefix="0" xfId="0">
      <alignment horizontal="center" wrapText="1"/>
    </xf>
    <xf numFmtId="3" fontId="169" fillId="0" borderId="3" applyAlignment="1" pivotButton="0" quotePrefix="0" xfId="0">
      <alignment horizontal="center" wrapText="1"/>
    </xf>
    <xf numFmtId="0" fontId="165" fillId="56" borderId="3" applyAlignment="1" pivotButton="0" quotePrefix="0" xfId="0">
      <alignment horizontal="center" wrapText="1"/>
    </xf>
    <xf numFmtId="0" fontId="169" fillId="0" borderId="3" pivotButton="0" quotePrefix="0" xfId="0"/>
    <xf numFmtId="0" fontId="170" fillId="0" borderId="3" applyAlignment="1" pivotButton="0" quotePrefix="0" xfId="0">
      <alignment horizontal="left"/>
    </xf>
    <xf numFmtId="3" fontId="169" fillId="0" borderId="3" applyAlignment="1" pivotButton="0" quotePrefix="0" xfId="0">
      <alignment horizontal="right"/>
    </xf>
    <xf numFmtId="3" fontId="169" fillId="0" borderId="3" applyAlignment="1" pivotButton="0" quotePrefix="0" xfId="0">
      <alignment horizontal="right" vertical="center"/>
    </xf>
    <xf numFmtId="0" fontId="169" fillId="0" borderId="3" applyAlignment="1" pivotButton="0" quotePrefix="0" xfId="0">
      <alignment horizontal="right"/>
    </xf>
    <xf numFmtId="0" fontId="165" fillId="56" borderId="3" applyAlignment="1" pivotButton="0" quotePrefix="0" xfId="0">
      <alignment horizontal="right"/>
    </xf>
    <xf numFmtId="0" fontId="169" fillId="0" borderId="3" applyAlignment="1" pivotButton="0" quotePrefix="0" xfId="0">
      <alignment horizontal="center"/>
    </xf>
    <xf numFmtId="0" fontId="165" fillId="56" borderId="3" applyAlignment="1" pivotButton="0" quotePrefix="0" xfId="0">
      <alignment horizontal="center"/>
    </xf>
    <xf numFmtId="0" fontId="169" fillId="0" borderId="3" applyAlignment="1" pivotButton="0" quotePrefix="0" xfId="0">
      <alignment horizontal="left"/>
    </xf>
    <xf numFmtId="0" fontId="171" fillId="0" borderId="0" applyAlignment="1" pivotButton="0" quotePrefix="0" xfId="1">
      <alignment horizontal="center"/>
    </xf>
    <xf numFmtId="0" fontId="169" fillId="0" borderId="3" applyAlignment="1" applyProtection="1" pivotButton="0" quotePrefix="0" xfId="0">
      <alignment horizontal="center" wrapText="1"/>
      <protection locked="1" hidden="1"/>
    </xf>
    <xf numFmtId="3" fontId="169" fillId="0" borderId="3" applyAlignment="1" applyProtection="1" pivotButton="0" quotePrefix="0" xfId="0">
      <alignment horizontal="center" wrapText="1"/>
      <protection locked="1" hidden="1"/>
    </xf>
    <xf numFmtId="2" fontId="169" fillId="0" borderId="3" applyAlignment="1" applyProtection="1" pivotButton="0" quotePrefix="0" xfId="0">
      <alignment horizontal="center" wrapText="1"/>
      <protection locked="1" hidden="1"/>
    </xf>
    <xf numFmtId="0" fontId="169" fillId="0" borderId="3" applyProtection="1" pivotButton="0" quotePrefix="0" xfId="0">
      <protection locked="1" hidden="1"/>
    </xf>
    <xf numFmtId="0" fontId="169" fillId="0" borderId="3" applyAlignment="1" applyProtection="1" pivotButton="0" quotePrefix="0" xfId="0">
      <alignment horizontal="left"/>
      <protection locked="1" hidden="1"/>
    </xf>
    <xf numFmtId="3" fontId="169" fillId="0" borderId="3" applyAlignment="1" applyProtection="1" pivotButton="0" quotePrefix="0" xfId="0">
      <alignment horizontal="right"/>
      <protection locked="1" hidden="1"/>
    </xf>
    <xf numFmtId="3" fontId="169" fillId="0" borderId="3" applyAlignment="1" applyProtection="1" pivotButton="0" quotePrefix="0" xfId="0">
      <alignment horizontal="right" vertical="center"/>
      <protection locked="1" hidden="1"/>
    </xf>
    <xf numFmtId="166" fontId="169" fillId="0" borderId="3" applyAlignment="1" applyProtection="1" pivotButton="0" quotePrefix="0" xfId="0">
      <alignment horizontal="right"/>
      <protection locked="1" hidden="1"/>
    </xf>
    <xf numFmtId="0" fontId="169" fillId="0" borderId="3" applyAlignment="1" applyProtection="1" pivotButton="0" quotePrefix="0" xfId="0">
      <alignment horizontal="right"/>
      <protection locked="1" hidden="1"/>
    </xf>
    <xf numFmtId="0" fontId="169" fillId="0" borderId="3" applyAlignment="1" applyProtection="1" pivotButton="0" quotePrefix="0" xfId="0">
      <alignment horizontal="center"/>
      <protection locked="1" hidden="1"/>
    </xf>
    <xf numFmtId="2" fontId="169" fillId="0" borderId="3" applyAlignment="1" applyProtection="1" pivotButton="0" quotePrefix="0" xfId="0">
      <alignment horizontal="right"/>
      <protection locked="1" hidden="1"/>
    </xf>
    <xf numFmtId="0" fontId="169" fillId="0" borderId="0" applyAlignment="1" applyProtection="1" pivotButton="0" quotePrefix="0" xfId="0">
      <alignment horizontal="center"/>
      <protection locked="1" hidden="1"/>
    </xf>
    <xf numFmtId="0" fontId="169" fillId="0" borderId="3" applyAlignment="1" pivotButton="0" quotePrefix="0" xfId="0">
      <alignment wrapText="1"/>
    </xf>
    <xf numFmtId="0" fontId="169" fillId="0" borderId="3" applyAlignment="1" applyProtection="1" pivotButton="0" quotePrefix="0" xfId="0">
      <alignment wrapText="1"/>
      <protection locked="1" hidden="1"/>
    </xf>
    <xf numFmtId="164" fontId="165" fillId="57" borderId="3" applyAlignment="1" applyProtection="1" pivotButton="0" quotePrefix="0" xfId="0">
      <alignment horizontal="left" wrapText="1"/>
      <protection locked="1" hidden="1"/>
    </xf>
    <xf numFmtId="164" fontId="169" fillId="0" borderId="3" applyAlignment="1" pivotButton="0" quotePrefix="0" xfId="0">
      <alignment horizontal="left" wrapText="1"/>
    </xf>
    <xf numFmtId="164" fontId="169" fillId="0" borderId="3" applyAlignment="1" pivotButton="0" quotePrefix="0" xfId="0">
      <alignment horizontal="left"/>
    </xf>
    <xf numFmtId="164" fontId="169" fillId="0" borderId="3" applyAlignment="1" applyProtection="1" pivotButton="0" quotePrefix="0" xfId="0">
      <alignment horizontal="left" wrapText="1"/>
      <protection locked="1" hidden="1"/>
    </xf>
    <xf numFmtId="164" fontId="169" fillId="0" borderId="3" applyAlignment="1" applyProtection="1" pivotButton="0" quotePrefix="0" xfId="0">
      <alignment horizontal="left"/>
      <protection locked="1" hidden="1"/>
    </xf>
    <xf numFmtId="164" fontId="159" fillId="0" borderId="3" applyAlignment="1" pivotButton="0" quotePrefix="0" xfId="0">
      <alignment horizontal="left"/>
    </xf>
    <xf numFmtId="164" fontId="159" fillId="0" borderId="3" applyAlignment="1" applyProtection="1" pivotButton="0" quotePrefix="0" xfId="0">
      <alignment horizontal="left"/>
      <protection locked="1" hidden="1"/>
    </xf>
    <xf numFmtId="164" fontId="126" fillId="0" borderId="0" applyAlignment="1" pivotButton="0" quotePrefix="0" xfId="0">
      <alignment horizontal="left"/>
    </xf>
    <xf numFmtId="164" fontId="126" fillId="0" borderId="0" applyAlignment="1" pivotButton="0" quotePrefix="0" xfId="0">
      <alignment horizontal="left" wrapText="1"/>
    </xf>
    <xf numFmtId="3" fontId="165" fillId="57" borderId="3" applyAlignment="1" applyProtection="1" pivotButton="0" quotePrefix="0" xfId="0">
      <alignment horizontal="right" vertical="center" wrapText="1"/>
      <protection locked="1" hidden="1"/>
    </xf>
    <xf numFmtId="166" fontId="165" fillId="57" borderId="3" applyAlignment="1" applyProtection="1" pivotButton="0" quotePrefix="0" xfId="0">
      <alignment horizontal="right" vertical="center" wrapText="1"/>
      <protection locked="1" hidden="1"/>
    </xf>
    <xf numFmtId="3" fontId="169" fillId="0" borderId="3" applyAlignment="1" pivotButton="0" quotePrefix="0" xfId="0">
      <alignment horizontal="right" wrapText="1"/>
    </xf>
    <xf numFmtId="3" fontId="169" fillId="0" borderId="3" applyAlignment="1" pivotButton="0" quotePrefix="0" xfId="0">
      <alignment horizontal="right" vertical="center" wrapText="1"/>
    </xf>
    <xf numFmtId="0" fontId="169" fillId="0" borderId="3" applyAlignment="1" pivotButton="0" quotePrefix="0" xfId="0">
      <alignment horizontal="right" wrapText="1"/>
    </xf>
    <xf numFmtId="3" fontId="169" fillId="0" borderId="3" applyAlignment="1" applyProtection="1" pivotButton="0" quotePrefix="0" xfId="0">
      <alignment horizontal="right" wrapText="1"/>
      <protection locked="1" hidden="1"/>
    </xf>
    <xf numFmtId="3" fontId="169" fillId="0" borderId="3" applyAlignment="1" applyProtection="1" pivotButton="0" quotePrefix="0" xfId="0">
      <alignment horizontal="right" vertical="center" wrapText="1"/>
      <protection locked="1" hidden="1"/>
    </xf>
    <xf numFmtId="166" fontId="169" fillId="0" borderId="3" applyAlignment="1" applyProtection="1" pivotButton="0" quotePrefix="0" xfId="0">
      <alignment horizontal="right" wrapText="1"/>
      <protection locked="1" hidden="1"/>
    </xf>
    <xf numFmtId="0" fontId="155" fillId="0" borderId="3" pivotButton="0" quotePrefix="0" xfId="0"/>
    <xf numFmtId="3" fontId="155" fillId="0" borderId="3" pivotButton="0" quotePrefix="0" xfId="0"/>
    <xf numFmtId="0" fontId="156" fillId="0" borderId="3" applyAlignment="1" pivotButton="0" quotePrefix="0" xfId="1">
      <alignment horizontal="center"/>
    </xf>
    <xf numFmtId="0" fontId="153" fillId="0" borderId="3" pivotButton="0" quotePrefix="0" xfId="0"/>
    <xf numFmtId="0" fontId="153" fillId="0" borderId="0" pivotButton="0" quotePrefix="0" xfId="0"/>
    <xf numFmtId="0" fontId="172" fillId="16" borderId="0" applyAlignment="1" pivotButton="0" quotePrefix="0" xfId="1">
      <alignment horizontal="center"/>
    </xf>
    <xf numFmtId="0" fontId="173" fillId="0" borderId="3" pivotButton="0" quotePrefix="0" xfId="0"/>
    <xf numFmtId="164" fontId="173" fillId="0" borderId="3" pivotButton="0" quotePrefix="0" xfId="0"/>
    <xf numFmtId="0" fontId="174" fillId="0" borderId="3" applyAlignment="1" pivotButton="0" quotePrefix="0" xfId="0">
      <alignment horizontal="left"/>
    </xf>
    <xf numFmtId="3" fontId="173" fillId="0" borderId="3" pivotButton="0" quotePrefix="0" xfId="0"/>
    <xf numFmtId="0" fontId="173" fillId="65" borderId="3" pivotButton="0" quotePrefix="0" xfId="0"/>
    <xf numFmtId="0" fontId="175" fillId="0" borderId="3" pivotButton="0" quotePrefix="0" xfId="0"/>
    <xf numFmtId="0" fontId="97" fillId="66" borderId="3" pivotButton="0" quotePrefix="0" xfId="0"/>
    <xf numFmtId="0" fontId="176" fillId="67" borderId="3" pivotButton="0" quotePrefix="0" xfId="0"/>
    <xf numFmtId="0" fontId="7" fillId="8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0" fontId="3" fillId="2" borderId="0" applyAlignment="1" applyProtection="1" pivotButton="0" quotePrefix="0" xfId="0">
      <alignment horizontal="left" vertical="center"/>
      <protection locked="0" hidden="0"/>
    </xf>
    <xf numFmtId="0" fontId="4" fillId="3" borderId="0" applyAlignment="1" applyProtection="1" pivotButton="0" quotePrefix="0" xfId="0">
      <alignment horizontal="left" vertical="center"/>
      <protection locked="0" hidden="0"/>
    </xf>
    <xf numFmtId="0" fontId="152" fillId="12" borderId="0" pivotButton="0" quotePrefix="0" xfId="0"/>
    <xf numFmtId="0" fontId="0" fillId="0" borderId="0" pivotButton="0" quotePrefix="0" xfId="0"/>
    <xf numFmtId="0" fontId="34" fillId="0" borderId="67" pivotButton="0" quotePrefix="0" xfId="0"/>
    <xf numFmtId="0" fontId="60" fillId="22" borderId="14" applyAlignment="1" applyProtection="1" pivotButton="0" quotePrefix="0" xfId="0">
      <alignment horizontal="center" vertical="center"/>
      <protection locked="0" hidden="0"/>
    </xf>
    <xf numFmtId="0" fontId="60" fillId="22" borderId="0" applyAlignment="1" applyProtection="1" pivotButton="0" quotePrefix="0" xfId="0">
      <alignment horizontal="center" vertical="center"/>
      <protection locked="0" hidden="0"/>
    </xf>
    <xf numFmtId="0" fontId="28" fillId="16" borderId="0" applyAlignment="1" applyProtection="1" pivotButton="0" quotePrefix="0" xfId="0">
      <alignment horizontal="center" vertical="center"/>
      <protection locked="0" hidden="0"/>
    </xf>
    <xf numFmtId="0" fontId="20" fillId="0" borderId="0" applyProtection="1" pivotButton="0" quotePrefix="0" xfId="0">
      <protection locked="0" hidden="0"/>
    </xf>
    <xf numFmtId="0" fontId="26" fillId="0" borderId="0" applyProtection="1" pivotButton="0" quotePrefix="0" xfId="0">
      <protection locked="0" hidden="0"/>
    </xf>
    <xf numFmtId="0" fontId="118" fillId="46" borderId="0" pivotButton="0" quotePrefix="0" xfId="0"/>
    <xf numFmtId="0" fontId="141" fillId="58" borderId="3" applyAlignment="1" applyProtection="1" pivotButton="0" quotePrefix="0" xfId="0">
      <alignment horizontal="center" vertical="center"/>
      <protection locked="1" hidden="1"/>
    </xf>
    <xf numFmtId="0" fontId="142" fillId="58" borderId="3" applyAlignment="1" applyProtection="1" pivotButton="0" quotePrefix="0" xfId="0">
      <alignment horizontal="center" vertical="center"/>
      <protection locked="1" hidden="1"/>
    </xf>
    <xf numFmtId="0" fontId="143" fillId="59" borderId="63" applyAlignment="1" pivotButton="0" quotePrefix="0" xfId="1">
      <alignment horizontal="right" vertical="center" wrapText="1"/>
    </xf>
    <xf numFmtId="0" fontId="143" fillId="59" borderId="64" applyAlignment="1" pivotButton="0" quotePrefix="0" xfId="1">
      <alignment horizontal="right" vertical="center" wrapText="1"/>
    </xf>
    <xf numFmtId="0" fontId="33" fillId="9" borderId="0" applyAlignment="1" applyProtection="1" pivotButton="0" quotePrefix="0" xfId="0">
      <alignment horizontal="left" vertical="center"/>
      <protection locked="0" hidden="0"/>
    </xf>
    <xf numFmtId="0" fontId="47" fillId="0" borderId="0" applyProtection="1" pivotButton="0" quotePrefix="0" xfId="0">
      <protection locked="0" hidden="0"/>
    </xf>
    <xf numFmtId="0" fontId="7" fillId="6" borderId="0" applyAlignment="1" applyProtection="1" pivotButton="0" quotePrefix="0" xfId="0">
      <alignment horizontal="left" vertical="center"/>
      <protection locked="0" hidden="0"/>
    </xf>
    <xf numFmtId="0" fontId="7" fillId="3" borderId="3" applyAlignment="1" applyProtection="1" pivotButton="0" quotePrefix="0" xfId="0">
      <alignment horizontal="left" vertical="center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13" applyProtection="1" pivotButton="0" quotePrefix="0" xfId="0">
      <protection locked="0" hidden="0"/>
    </xf>
    <xf numFmtId="0" fontId="7" fillId="10" borderId="0" applyAlignment="1" applyProtection="1" pivotButton="0" quotePrefix="0" xfId="0">
      <alignment horizontal="left" vertical="center"/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0" fillId="0" borderId="0" applyAlignment="1" applyProtection="1" pivotButton="0" quotePrefix="0" xfId="0">
      <alignment horizontal="center"/>
      <protection locked="0" hidden="0"/>
    </xf>
    <xf numFmtId="0" fontId="0" fillId="0" borderId="67" pivotButton="0" quotePrefix="0" xfId="0"/>
    <xf numFmtId="164" fontId="173" fillId="0" borderId="3" pivotButton="0" quotePrefix="0" xfId="0"/>
    <xf numFmtId="0" fontId="0" fillId="0" borderId="14" applyProtection="1" pivotButton="0" quotePrefix="0" xfId="0">
      <protection locked="0" hidden="0"/>
    </xf>
    <xf numFmtId="164" fontId="63" fillId="31" borderId="23" applyAlignment="1" applyProtection="1" pivotButton="0" quotePrefix="0" xfId="0">
      <alignment horizontal="center"/>
      <protection locked="0" hidden="0"/>
    </xf>
    <xf numFmtId="173" fontId="63" fillId="31" borderId="23" applyAlignment="1" applyProtection="1" pivotButton="0" quotePrefix="0" xfId="0">
      <alignment horizontal="center"/>
      <protection locked="0" hidden="0"/>
    </xf>
    <xf numFmtId="174" fontId="63" fillId="31" borderId="23" applyProtection="1" pivotButton="0" quotePrefix="0" xfId="0">
      <protection locked="0" hidden="0"/>
    </xf>
    <xf numFmtId="175" fontId="63" fillId="31" borderId="23" applyProtection="1" pivotButton="0" quotePrefix="0" xfId="0">
      <protection locked="0" hidden="0"/>
    </xf>
    <xf numFmtId="166" fontId="63" fillId="31" borderId="23" applyProtection="1" pivotButton="0" quotePrefix="0" xfId="0">
      <protection locked="0" hidden="0"/>
    </xf>
    <xf numFmtId="164" fontId="63" fillId="0" borderId="23" applyAlignment="1" applyProtection="1" pivotButton="0" quotePrefix="0" xfId="0">
      <alignment horizontal="center"/>
      <protection locked="0" hidden="0"/>
    </xf>
    <xf numFmtId="173" fontId="63" fillId="0" borderId="23" applyAlignment="1" applyProtection="1" pivotButton="0" quotePrefix="0" xfId="0">
      <alignment horizontal="center"/>
      <protection locked="0" hidden="0"/>
    </xf>
    <xf numFmtId="174" fontId="63" fillId="0" borderId="23" applyProtection="1" pivotButton="0" quotePrefix="0" xfId="0">
      <protection locked="0" hidden="0"/>
    </xf>
    <xf numFmtId="175" fontId="63" fillId="0" borderId="23" applyProtection="1" pivotButton="0" quotePrefix="0" xfId="0">
      <protection locked="0" hidden="0"/>
    </xf>
    <xf numFmtId="166" fontId="63" fillId="0" borderId="23" applyProtection="1" pivotButton="0" quotePrefix="0" xfId="0">
      <protection locked="0" hidden="0"/>
    </xf>
    <xf numFmtId="164" fontId="5" fillId="32" borderId="23" applyAlignment="1" applyProtection="1" pivotButton="0" quotePrefix="0" xfId="0">
      <alignment horizontal="center"/>
      <protection locked="0" hidden="0"/>
    </xf>
    <xf numFmtId="173" fontId="5" fillId="32" borderId="23" applyAlignment="1" applyProtection="1" pivotButton="0" quotePrefix="0" xfId="0">
      <alignment horizontal="center"/>
      <protection locked="0" hidden="0"/>
    </xf>
    <xf numFmtId="174" fontId="5" fillId="32" borderId="23" applyProtection="1" pivotButton="0" quotePrefix="0" xfId="0">
      <protection locked="0" hidden="0"/>
    </xf>
    <xf numFmtId="175" fontId="5" fillId="32" borderId="23" applyProtection="1" pivotButton="0" quotePrefix="0" xfId="0">
      <protection locked="0" hidden="0"/>
    </xf>
    <xf numFmtId="166" fontId="5" fillId="32" borderId="23" applyProtection="1" pivotButton="0" quotePrefix="0" xfId="0">
      <protection locked="0" hidden="0"/>
    </xf>
    <xf numFmtId="174" fontId="29" fillId="0" borderId="3" applyAlignment="1" applyProtection="1" pivotButton="0" quotePrefix="0" xfId="0">
      <alignment horizontal="center"/>
      <protection locked="0" hidden="0"/>
    </xf>
    <xf numFmtId="173" fontId="29" fillId="0" borderId="3" applyAlignment="1" applyProtection="1" pivotButton="0" quotePrefix="0" xfId="0">
      <alignment horizontal="center"/>
      <protection locked="0" hidden="0"/>
    </xf>
    <xf numFmtId="166" fontId="29" fillId="0" borderId="3" applyAlignment="1" applyProtection="1" pivotButton="0" quotePrefix="0" xfId="0">
      <alignment horizontal="center"/>
      <protection locked="0" hidden="0"/>
    </xf>
    <xf numFmtId="175" fontId="29" fillId="0" borderId="3" applyAlignment="1" applyProtection="1" pivotButton="0" quotePrefix="0" xfId="0">
      <alignment horizontal="center"/>
      <protection locked="0" hidden="0"/>
    </xf>
    <xf numFmtId="174" fontId="35" fillId="0" borderId="0" applyAlignment="1" applyProtection="1" pivotButton="0" quotePrefix="0" xfId="0">
      <alignment horizontal="center"/>
      <protection locked="0" hidden="0"/>
    </xf>
    <xf numFmtId="180" fontId="35" fillId="0" borderId="0" applyAlignment="1" applyProtection="1" pivotButton="0" quotePrefix="0" xfId="0">
      <alignment horizontal="center"/>
      <protection locked="0" hidden="0"/>
    </xf>
    <xf numFmtId="174" fontId="0" fillId="48" borderId="0" pivotButton="0" quotePrefix="0" xfId="0"/>
    <xf numFmtId="173" fontId="0" fillId="48" borderId="0" pivotButton="0" quotePrefix="0" xfId="0"/>
    <xf numFmtId="166" fontId="0" fillId="48" borderId="0" pivotButton="0" quotePrefix="0" xfId="0"/>
    <xf numFmtId="175" fontId="0" fillId="48" borderId="0" pivotButton="0" quotePrefix="0" xfId="0"/>
    <xf numFmtId="174" fontId="35" fillId="0" borderId="0" applyAlignment="1" pivotButton="0" quotePrefix="0" xfId="0">
      <alignment horizontal="center"/>
    </xf>
    <xf numFmtId="180" fontId="35" fillId="0" borderId="0" applyAlignment="1" pivotButton="0" quotePrefix="0" xfId="0">
      <alignment horizontal="center"/>
    </xf>
    <xf numFmtId="181" fontId="133" fillId="0" borderId="0" applyAlignment="1" pivotButton="0" quotePrefix="0" xfId="0">
      <alignment horizontal="center"/>
    </xf>
    <xf numFmtId="174" fontId="0" fillId="17" borderId="0" pivotButton="0" quotePrefix="0" xfId="0"/>
    <xf numFmtId="173" fontId="0" fillId="17" borderId="0" pivotButton="0" quotePrefix="0" xfId="0"/>
    <xf numFmtId="166" fontId="0" fillId="17" borderId="0" pivotButton="0" quotePrefix="0" xfId="0"/>
    <xf numFmtId="175" fontId="0" fillId="17" borderId="0" pivotButton="0" quotePrefix="0" xfId="0"/>
    <xf numFmtId="164" fontId="0" fillId="48" borderId="0" pivotButton="0" quotePrefix="0" xfId="0"/>
    <xf numFmtId="164" fontId="0" fillId="17" borderId="0" pivotButton="0" quotePrefix="0" xfId="0"/>
    <xf numFmtId="0" fontId="0" fillId="0" borderId="12" applyProtection="1" pivotButton="0" quotePrefix="0" xfId="0">
      <protection locked="1" hidden="1"/>
    </xf>
    <xf numFmtId="0" fontId="0" fillId="0" borderId="13" applyProtection="1" pivotButton="0" quotePrefix="0" xfId="0">
      <protection locked="1" hidden="1"/>
    </xf>
    <xf numFmtId="0" fontId="0" fillId="0" borderId="63" pivotButton="0" quotePrefix="0" xfId="0"/>
    <xf numFmtId="0" fontId="0" fillId="0" borderId="64" pivotButton="0" quotePrefix="0" xfId="0"/>
    <xf numFmtId="164" fontId="165" fillId="57" borderId="3" applyAlignment="1" applyProtection="1" pivotButton="0" quotePrefix="0" xfId="0">
      <alignment horizontal="left" wrapText="1"/>
      <protection locked="1" hidden="1"/>
    </xf>
    <xf numFmtId="166" fontId="165" fillId="57" borderId="3" applyAlignment="1" applyProtection="1" pivotButton="0" quotePrefix="0" xfId="0">
      <alignment horizontal="right" vertical="center" wrapText="1"/>
      <protection locked="1" hidden="1"/>
    </xf>
    <xf numFmtId="164" fontId="169" fillId="0" borderId="3" applyAlignment="1" pivotButton="0" quotePrefix="0" xfId="0">
      <alignment horizontal="left" wrapText="1"/>
    </xf>
    <xf numFmtId="164" fontId="169" fillId="0" borderId="3" applyAlignment="1" pivotButton="0" quotePrefix="0" xfId="0">
      <alignment horizontal="left"/>
    </xf>
    <xf numFmtId="164" fontId="169" fillId="0" borderId="3" applyAlignment="1" applyProtection="1" pivotButton="0" quotePrefix="0" xfId="0">
      <alignment horizontal="left" wrapText="1"/>
      <protection locked="1" hidden="1"/>
    </xf>
    <xf numFmtId="166" fontId="169" fillId="0" borderId="3" applyAlignment="1" applyProtection="1" pivotButton="0" quotePrefix="0" xfId="0">
      <alignment horizontal="right" wrapText="1"/>
      <protection locked="1" hidden="1"/>
    </xf>
    <xf numFmtId="164" fontId="169" fillId="0" borderId="3" applyAlignment="1" applyProtection="1" pivotButton="0" quotePrefix="0" xfId="0">
      <alignment horizontal="left"/>
      <protection locked="1" hidden="1"/>
    </xf>
    <xf numFmtId="166" fontId="169" fillId="0" borderId="3" applyAlignment="1" applyProtection="1" pivotButton="0" quotePrefix="0" xfId="0">
      <alignment horizontal="right"/>
      <protection locked="1" hidden="1"/>
    </xf>
    <xf numFmtId="164" fontId="159" fillId="0" borderId="3" applyAlignment="1" pivotButton="0" quotePrefix="0" xfId="0">
      <alignment horizontal="left"/>
    </xf>
    <xf numFmtId="164" fontId="159" fillId="0" borderId="3" applyAlignment="1" applyProtection="1" pivotButton="0" quotePrefix="0" xfId="0">
      <alignment horizontal="left"/>
      <protection locked="1" hidden="1"/>
    </xf>
    <xf numFmtId="166" fontId="159" fillId="0" borderId="3" applyAlignment="1" applyProtection="1" pivotButton="0" quotePrefix="0" xfId="0">
      <alignment horizontal="right"/>
      <protection locked="1" hidden="1"/>
    </xf>
    <xf numFmtId="164" fontId="126" fillId="0" borderId="0" applyAlignment="1" pivotButton="0" quotePrefix="0" xfId="0">
      <alignment horizontal="left"/>
    </xf>
    <xf numFmtId="164" fontId="126" fillId="0" borderId="0" applyAlignment="1" pivotButton="0" quotePrefix="0" xfId="0">
      <alignment horizontal="left" wrapText="1"/>
    </xf>
    <xf numFmtId="171" fontId="10" fillId="4" borderId="0" applyAlignment="1" applyProtection="1" pivotButton="0" quotePrefix="0" xfId="0">
      <alignment horizontal="center" vertical="center"/>
      <protection locked="0" hidden="0"/>
    </xf>
    <xf numFmtId="171" fontId="11" fillId="4" borderId="0" applyAlignment="1" applyProtection="1" pivotButton="0" quotePrefix="0" xfId="0">
      <alignment horizontal="center" vertical="center"/>
      <protection locked="0" hidden="0"/>
    </xf>
    <xf numFmtId="171" fontId="11" fillId="35" borderId="0" applyAlignment="1" applyProtection="1" pivotButton="0" quotePrefix="0" xfId="0">
      <alignment horizontal="center" vertical="center"/>
      <protection locked="0" hidden="0"/>
    </xf>
    <xf numFmtId="176" fontId="11" fillId="4" borderId="0" applyAlignment="1" applyProtection="1" pivotButton="0" quotePrefix="0" xfId="0">
      <alignment horizontal="center" vertical="center"/>
      <protection locked="0" hidden="0"/>
    </xf>
    <xf numFmtId="164" fontId="69" fillId="5" borderId="0" applyAlignment="1" applyProtection="1" pivotButton="0" quotePrefix="0" xfId="0">
      <alignment horizontal="center" vertical="center"/>
      <protection locked="0" hidden="0"/>
    </xf>
    <xf numFmtId="165" fontId="12" fillId="5" borderId="0" applyAlignment="1" applyProtection="1" pivotButton="0" quotePrefix="0" xfId="0">
      <alignment horizontal="right" vertical="center"/>
      <protection locked="0" hidden="0"/>
    </xf>
    <xf numFmtId="167" fontId="15" fillId="0" borderId="0" applyAlignment="1" applyProtection="1" pivotButton="0" quotePrefix="0" xfId="0">
      <alignment horizontal="right" vertical="center"/>
      <protection locked="0" hidden="0"/>
    </xf>
    <xf numFmtId="168" fontId="45" fillId="0" borderId="0" applyProtection="1" pivotButton="0" quotePrefix="0" xfId="0">
      <protection locked="0" hidden="0"/>
    </xf>
    <xf numFmtId="167" fontId="15" fillId="19" borderId="0" applyAlignment="1" applyProtection="1" pivotButton="0" quotePrefix="0" xfId="0">
      <alignment horizontal="right" vertical="center"/>
      <protection locked="0" hidden="0"/>
    </xf>
    <xf numFmtId="170" fontId="59" fillId="0" borderId="0" applyAlignment="1" applyProtection="1" pivotButton="0" quotePrefix="0" xfId="0">
      <alignment horizontal="right" vertical="center"/>
      <protection locked="0" hidden="0"/>
    </xf>
    <xf numFmtId="170" fontId="13" fillId="0" borderId="0" applyAlignment="1" applyProtection="1" pivotButton="0" quotePrefix="0" xfId="0">
      <alignment horizontal="right" vertical="center"/>
      <protection locked="0" hidden="0"/>
    </xf>
    <xf numFmtId="167" fontId="0" fillId="0" borderId="0" applyProtection="1" pivotButton="0" quotePrefix="0" xfId="0">
      <protection locked="0" hidden="0"/>
    </xf>
    <xf numFmtId="168" fontId="0" fillId="0" borderId="0" applyProtection="1" pivotButton="0" quotePrefix="0" xfId="0">
      <protection locked="0" hidden="0"/>
    </xf>
    <xf numFmtId="170" fontId="0" fillId="0" borderId="0" applyProtection="1" pivotButton="0" quotePrefix="0" xfId="0">
      <protection locked="0" hidden="0"/>
    </xf>
    <xf numFmtId="164" fontId="14" fillId="5" borderId="1" applyAlignment="1" applyProtection="1" pivotButton="0" quotePrefix="0" xfId="0">
      <alignment horizontal="center" vertical="center"/>
      <protection locked="0" hidden="0"/>
    </xf>
    <xf numFmtId="165" fontId="51" fillId="5" borderId="1" applyAlignment="1" applyProtection="1" pivotButton="0" quotePrefix="0" xfId="0">
      <alignment horizontal="right" vertical="center"/>
      <protection locked="0" hidden="0"/>
    </xf>
    <xf numFmtId="167" fontId="50" fillId="0" borderId="0" applyProtection="1" pivotButton="0" quotePrefix="0" xfId="0">
      <protection locked="0" hidden="0"/>
    </xf>
    <xf numFmtId="168" fontId="50" fillId="0" borderId="0" applyProtection="1" pivotButton="0" quotePrefix="0" xfId="0">
      <protection locked="0" hidden="0"/>
    </xf>
    <xf numFmtId="167" fontId="50" fillId="19" borderId="0" applyProtection="1" pivotButton="0" quotePrefix="0" xfId="0">
      <protection locked="0" hidden="0"/>
    </xf>
    <xf numFmtId="165" fontId="12" fillId="5" borderId="8" applyAlignment="1" applyProtection="1" pivotButton="0" quotePrefix="0" xfId="0">
      <alignment horizontal="right" vertical="center"/>
      <protection locked="0" hidden="0"/>
    </xf>
    <xf numFmtId="167" fontId="15" fillId="0" borderId="1" applyAlignment="1" applyProtection="1" pivotButton="0" quotePrefix="0" xfId="0">
      <alignment horizontal="right" vertical="center"/>
      <protection locked="0" hidden="0"/>
    </xf>
    <xf numFmtId="167" fontId="15" fillId="19" borderId="1" applyAlignment="1" applyProtection="1" pivotButton="0" quotePrefix="0" xfId="0">
      <alignment horizontal="right" vertical="center"/>
      <protection locked="0" hidden="0"/>
    </xf>
    <xf numFmtId="176" fontId="10" fillId="13" borderId="3" applyAlignment="1" applyProtection="1" pivotButton="0" quotePrefix="0" xfId="0">
      <alignment horizontal="center" vertical="center"/>
      <protection locked="0" hidden="0"/>
    </xf>
    <xf numFmtId="164" fontId="58" fillId="0" borderId="3" applyProtection="1" pivotButton="0" quotePrefix="0" xfId="0">
      <protection locked="0" hidden="0"/>
    </xf>
    <xf numFmtId="165" fontId="23" fillId="7" borderId="3" applyAlignment="1" applyProtection="1" pivotButton="0" quotePrefix="0" xfId="0">
      <alignment horizontal="right" vertical="center"/>
      <protection locked="0" hidden="0"/>
    </xf>
    <xf numFmtId="166" fontId="23" fillId="19" borderId="3" applyAlignment="1" applyProtection="1" pivotButton="0" quotePrefix="0" xfId="0">
      <alignment horizontal="right" vertical="center"/>
      <protection locked="0" hidden="0"/>
    </xf>
    <xf numFmtId="165" fontId="23" fillId="5" borderId="3" applyAlignment="1" applyProtection="1" pivotButton="0" quotePrefix="0" xfId="0">
      <alignment horizontal="right" vertical="center"/>
      <protection locked="0" hidden="0"/>
    </xf>
    <xf numFmtId="167" fontId="23" fillId="0" borderId="3" applyAlignment="1" applyProtection="1" pivotButton="0" quotePrefix="0" xfId="0">
      <alignment horizontal="right" vertical="center"/>
      <protection locked="0" hidden="0"/>
    </xf>
    <xf numFmtId="167" fontId="21" fillId="0" borderId="0" applyProtection="1" pivotButton="0" quotePrefix="0" xfId="0">
      <protection locked="0" hidden="0"/>
    </xf>
    <xf numFmtId="168" fontId="21" fillId="0" borderId="0" applyProtection="1" pivotButton="0" quotePrefix="0" xfId="0">
      <protection locked="0" hidden="0"/>
    </xf>
    <xf numFmtId="176" fontId="11" fillId="4" borderId="0" applyAlignment="1" applyProtection="1" pivotButton="0" quotePrefix="0" xfId="0">
      <alignment vertical="center"/>
      <protection locked="0" hidden="0"/>
    </xf>
    <xf numFmtId="164" fontId="67" fillId="11" borderId="0" applyAlignment="1" applyProtection="1" pivotButton="0" quotePrefix="0" xfId="0">
      <alignment horizontal="center" vertical="center"/>
      <protection locked="0" hidden="0"/>
    </xf>
    <xf numFmtId="164" fontId="138" fillId="5" borderId="0" applyAlignment="1" applyProtection="1" pivotButton="0" quotePrefix="0" xfId="0">
      <alignment horizontal="center" vertical="center"/>
      <protection locked="0" hidden="0"/>
    </xf>
    <xf numFmtId="165" fontId="12" fillId="5" borderId="0" applyAlignment="1" applyProtection="1" pivotButton="0" quotePrefix="0" xfId="0">
      <alignment vertical="center"/>
      <protection locked="0" hidden="0"/>
    </xf>
    <xf numFmtId="168" fontId="0" fillId="0" borderId="0" applyAlignment="1" applyProtection="1" pivotButton="0" quotePrefix="0" xfId="0">
      <alignment vertical="center"/>
      <protection locked="0" hidden="0"/>
    </xf>
    <xf numFmtId="168" fontId="75" fillId="0" borderId="0" applyProtection="1" pivotButton="0" quotePrefix="0" xfId="0">
      <protection locked="0" hidden="0"/>
    </xf>
    <xf numFmtId="169" fontId="63" fillId="0" borderId="0" applyProtection="1" pivotButton="0" quotePrefix="0" xfId="0">
      <protection locked="0" hidden="0"/>
    </xf>
    <xf numFmtId="169" fontId="0" fillId="0" borderId="0" applyProtection="1" pivotButton="0" quotePrefix="0" xfId="0">
      <protection locked="0" hidden="0"/>
    </xf>
    <xf numFmtId="167" fontId="90" fillId="0" borderId="3" applyAlignment="1" pivotButton="0" quotePrefix="0" xfId="2">
      <alignment horizontal="center" vertical="center"/>
    </xf>
    <xf numFmtId="178" fontId="90" fillId="17" borderId="3" applyAlignment="1" pivotButton="0" quotePrefix="0" xfId="2">
      <alignment horizontal="center" vertical="center"/>
    </xf>
    <xf numFmtId="174" fontId="89" fillId="41" borderId="3" applyAlignment="1" pivotButton="0" quotePrefix="0" xfId="2">
      <alignment horizontal="center" vertical="center"/>
    </xf>
    <xf numFmtId="172" fontId="89" fillId="41" borderId="3" applyAlignment="1" pivotButton="0" quotePrefix="0" xfId="2">
      <alignment horizontal="center" vertical="center"/>
    </xf>
    <xf numFmtId="177" fontId="89" fillId="41" borderId="3" applyAlignment="1" pivotButton="0" quotePrefix="0" xfId="2">
      <alignment horizontal="center" vertical="center"/>
    </xf>
    <xf numFmtId="172" fontId="91" fillId="0" borderId="3" applyAlignment="1" pivotButton="0" quotePrefix="0" xfId="2">
      <alignment horizontal="center" vertical="center"/>
    </xf>
    <xf numFmtId="175" fontId="91" fillId="0" borderId="3" applyAlignment="1" pivotButton="0" quotePrefix="0" xfId="2">
      <alignment horizontal="center" vertical="center"/>
    </xf>
    <xf numFmtId="175" fontId="92" fillId="36" borderId="3" applyAlignment="1" pivotButton="0" quotePrefix="0" xfId="2">
      <alignment horizontal="center" vertical="center"/>
    </xf>
    <xf numFmtId="167" fontId="93" fillId="17" borderId="3" applyAlignment="1" pivotButton="0" quotePrefix="0" xfId="2">
      <alignment horizontal="center" vertical="center"/>
    </xf>
    <xf numFmtId="178" fontId="91" fillId="0" borderId="3" applyAlignment="1" pivotButton="0" quotePrefix="0" xfId="2">
      <alignment horizontal="center" vertical="center"/>
    </xf>
    <xf numFmtId="179" fontId="89" fillId="0" borderId="3" applyAlignment="1" pivotButton="0" quotePrefix="0" xfId="2">
      <alignment horizontal="center" vertical="center"/>
    </xf>
    <xf numFmtId="171" fontId="19" fillId="0" borderId="23" applyProtection="1" pivotButton="0" quotePrefix="0" xfId="0">
      <protection locked="0" hidden="0"/>
    </xf>
    <xf numFmtId="172" fontId="19" fillId="0" borderId="23" applyProtection="1" pivotButton="0" quotePrefix="0" xfId="0">
      <protection locked="0" hidden="0"/>
    </xf>
  </cellXfs>
  <cellStyles count="4">
    <cellStyle name="標準" xfId="0" builtinId="0"/>
    <cellStyle name="ハイパーリンク" xfId="1" builtinId="8"/>
    <cellStyle name="標準 2" xfId="2"/>
    <cellStyle name="桁区切り" xfId="3" builtinId="6"/>
  </cellStyles>
  <dxfs count="42">
    <dxf>
      <font>
        <color rgb="FF646464"/>
      </font>
      <fill>
        <patternFill>
          <bgColor rgb="FFDCDCDC"/>
        </patternFill>
      </fill>
    </dxf>
    <dxf>
      <font>
        <color rgb="FF9C5700"/>
      </font>
      <fill>
        <patternFill>
          <bgColor rgb="FFFFF3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276221"/>
      </font>
      <fill>
        <patternFill patternType="solid">
          <fgColor indexed="64"/>
          <bgColor rgb="FFC6EFCE"/>
        </patternFill>
      </fill>
    </dxf>
    <dxf>
      <font>
        <b val="1"/>
      </font>
      <fill>
        <patternFill>
          <bgColor rgb="FFFFF3CC"/>
        </patternFill>
      </fill>
    </dxf>
    <dxf>
      <font>
        <b val="1"/>
      </font>
      <fill>
        <patternFill>
          <bgColor rgb="FFFFD700"/>
        </patternFill>
      </fill>
    </dxf>
    <dxf>
      <font>
        <color rgb="FFFFFFFF"/>
      </font>
      <fill>
        <patternFill>
          <bgColor rgb="FFFF5050"/>
        </patternFill>
      </fill>
    </dxf>
    <dxf>
      <font>
        <b val="1"/>
      </font>
      <fill>
        <patternFill>
          <bgColor rgb="FF92D050"/>
        </patternFill>
      </fill>
    </dxf>
    <dxf>
      <font>
        <b val="1"/>
        <color rgb="FFFFFFFF"/>
      </font>
      <fill>
        <patternFill>
          <bgColor rgb="FF00B050"/>
        </patternFill>
      </fill>
    </dxf>
    <dxf>
      <font>
        <b val="1"/>
      </font>
      <fill>
        <patternFill>
          <bgColor rgb="FFFFF3CC"/>
        </patternFill>
      </fill>
    </dxf>
    <dxf>
      <font>
        <b val="1"/>
      </font>
      <fill>
        <patternFill>
          <bgColor rgb="FFFFD700"/>
        </patternFill>
      </fill>
    </dxf>
    <dxf>
      <font>
        <color rgb="FFFFFFFF"/>
      </font>
      <fill>
        <patternFill>
          <bgColor rgb="FFFF5050"/>
        </patternFill>
      </fill>
    </dxf>
    <dxf>
      <font>
        <b val="1"/>
      </font>
      <fill>
        <patternFill>
          <bgColor rgb="FF92D050"/>
        </patternFill>
      </fill>
    </dxf>
    <dxf>
      <font>
        <b val="1"/>
        <color rgb="FFFFFFFF"/>
      </font>
      <fill>
        <patternFill>
          <bgColor rgb="FF00B050"/>
        </patternFill>
      </fill>
    </dxf>
    <dxf>
      <font>
        <color rgb="FFFF0000"/>
      </font>
    </dxf>
    <dxf>
      <font>
        <b val="1"/>
        <color rgb="FF00B050"/>
      </font>
    </dxf>
    <dxf>
      <font>
        <color rgb="FFFF0000"/>
      </font>
    </dxf>
    <dxf>
      <font>
        <b val="1"/>
        <color rgb="FF00B050"/>
      </font>
    </dxf>
    <dxf>
      <font>
        <b val="1"/>
      </font>
      <fill>
        <patternFill>
          <bgColor rgb="FFFFF3CC"/>
        </patternFill>
      </fill>
    </dxf>
    <dxf>
      <font>
        <b val="1"/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FF5050"/>
        </patternFill>
      </fill>
    </dxf>
    <dxf>
      <font>
        <b val="1"/>
        <color rgb="FFFFFFFF"/>
      </font>
      <fill>
        <patternFill>
          <bgColor rgb="FF00B050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C00000"/>
      </font>
    </dxf>
    <dxf>
      <font>
        <b val="1"/>
        <color rgb="FF008000"/>
      </font>
    </dxf>
    <dxf>
      <font>
        <b val="1"/>
        <color rgb="FFC00000"/>
      </font>
    </dxf>
    <dxf>
      <font>
        <b val="1"/>
        <color rgb="FF008000"/>
      </font>
    </dxf>
    <dxf>
      <font>
        <color rgb="FF808080"/>
      </font>
      <fill>
        <patternFill>
          <bgColor rgb="FFD9D9D9"/>
        </patternFill>
      </fill>
    </dxf>
    <dxf>
      <font>
        <color rgb="FF595959"/>
      </font>
      <fill>
        <patternFill>
          <bgColor rgb="FFF0F0F0"/>
        </patternFill>
      </fill>
    </dxf>
    <dxf>
      <font>
        <color rgb="FF9C6500"/>
      </font>
      <fill>
        <patternFill>
          <bgColor rgb="FFFFFFCC"/>
        </patternFill>
      </fill>
    </dxf>
    <dxf>
      <font>
        <color rgb="FF9C5700"/>
      </font>
      <fill>
        <patternFill>
          <bgColor rgb="FFFFD9B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1"/>
        <color rgb="FFFFFFFF"/>
      </font>
      <fill>
        <patternFill>
          <bgColor rgb="FF00B050"/>
        </patternFill>
      </fill>
    </dxf>
    <dxf>
      <font>
        <b val="1"/>
        <color rgb="FFFFFFFF"/>
      </font>
      <fill>
        <patternFill>
          <bgColor rgb="FF00B050"/>
        </patternFill>
      </fill>
    </dxf>
    <dxf>
      <font>
        <b val="1"/>
        <color rgb="FF000000"/>
      </font>
      <fill>
        <patternFill>
          <bgColor rgb="FFFFD700"/>
        </patternFill>
      </fill>
    </dxf>
    <dxf>
      <font>
        <b val="1"/>
        <color rgb="FF000000"/>
      </font>
      <fill>
        <patternFill>
          <bgColor rgb="FFFFD700"/>
        </patternFill>
      </fill>
    </dxf>
    <dxf>
      <font>
        <color rgb="FF808080"/>
      </font>
    </dxf>
    <dxf>
      <font>
        <b val="1"/>
        <color rgb="FFC80000"/>
      </font>
    </dxf>
    <dxf>
      <font>
        <b val="1"/>
        <color rgb="FF008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styles" Target="styles.xml" Id="rId19" /><Relationship Type="http://schemas.openxmlformats.org/officeDocument/2006/relationships/theme" Target="theme/theme1.xml" Id="rId20" /><Relationship Type="http://schemas.microsoft.com/office/2006/relationships/vbaProject" Target="vbaProject.bin" Id="rId21" /></Relationships>
</file>

<file path=xl/comments/comment1.xml><?xml version="1.0" encoding="utf-8"?>
<comments xmlns="http://schemas.openxmlformats.org/spreadsheetml/2006/main">
  <authors>
    <author>Abe Hideaki</author>
  </authors>
  <commentList>
    <comment ref="R3" authorId="0" shapeId="0">
      <text>
        <t xml:space="preserve">緩和抽出の16〜13点銘柄は押し目なし・モメンタム不完全・パーフェクトオーダーなしのどれかに引っかかって高精度抽出から除外されています。
これはv13の設計通り
</t>
      </text>
    </comment>
  </commentList>
</comments>
</file>

<file path=xl/comments/comment2.xml><?xml version="1.0" encoding="utf-8"?>
<comments xmlns="http://schemas.openxmlformats.org/spreadsheetml/2006/main">
  <authors>
    <author>Abe Hideaki</author>
  </authors>
  <commentList>
    <comment ref="A1" authorId="0" shapeId="0">
      <text>
        <t xml:space="preserve">分析シートの見方
ステップ1：最終シグナル（Y列）で絞り込む
▼フィルターで：
★強い買い
◎押し目買い
○買い候補
★逆張り候補
をチェックして絞り込む
ステップ2：絞り込んだ銘柄を確認
列確認内容良い状態ADEMAトレンドパーフェクト▲AE押し目判定25日押し目★O出来高倍率2倍以上T総合スコア5点以上WRSI30〜50（割安）Z前日比プラス
ステップ3：株探で詳細確認
A列の**「株探」リンク**をクリックして：
📈 チャートを確認
📰 ニュースを確認
💰 決算情報を確認
最強の買いサイン
★強い買い
　＋パーフェクト▲
　＋25日押し目★
　＋出来高2倍以上
　＋RSI50以下
　→ 強く購入検討！
注意点
TOPIX下落▼の日は見送りが基本
★逆張り候補はリスクが高いので少額で
</t>
      </text>
    </comment>
    <comment ref="T2" authorId="0" shapeId="0">
      <text>
        <t>Abe Hideaki:
26点満点（従来23点＋AI列「相対力スコア」最大3点）。対TOPIX超過リターンを加点。</t>
      </text>
    </comment>
    <comment ref="Y2" authorId="0" shapeId="0">
      <text>
        <t xml:space="preserve">ステップ1：最終シグナル（Y列）で絞り込む
▼フィルターで：
★強い買い
◎押し目買い
○買い候補
★逆張り候補
</t>
      </text>
    </comment>
    <comment ref="AF2" authorId="0" shapeId="0">
      <text>
        <t>Abe Hideaki:
基準期間（AL2）の騰落率。期間はTOPIX履歴に合わせ最大25日で自動伸長。</t>
      </text>
    </comment>
    <comment ref="AI2" authorId="0" shapeId="0">
      <text>
        <t>Abe Hideaki:
対TOPIX超過リターンで加減点。&gt;5%→+3 / &gt;0%→+1 / -3～0%→-1 / -3%以下→-2。市場に負ける銘柄を押し下げて絞り込む。</t>
      </text>
    </comment>
    <comment ref="AL2" authorId="0" shapeId="0">
      <text>
        <t>Abe Hideaki:
相対力計算の基準期間（営業日）。TOPIX履歴が25日未満の間は有効日数、以降は25で固定。毎日自動で伸びる。</t>
      </text>
    </comment>
  </commentList>
</comments>
</file>

<file path=xl/comments/comment3.xml><?xml version="1.0" encoding="utf-8"?>
<comments xmlns="http://schemas.openxmlformats.org/spreadsheetml/2006/main">
  <authors>
    <author>Abe Hideaki</author>
  </authors>
  <commentList>
    <comment ref="T2" authorId="0" shapeId="0">
      <text>
        <t>Abe Hideaki:
AL列「相対力スコア」を加減点。売り側は市場に負ける弱い銘柄ほど加点（買い側と逆）。</t>
      </text>
    </comment>
    <comment ref="AL2" authorId="0" shapeId="0">
      <text>
        <t>Abe Hideaki:
売り用：市場に負ける弱い銘柄を加点。&lt;-5%→+3 / &lt;0%→+1 / 0～3%→-1 / &gt;3%→-2。</t>
      </text>
    </comment>
  </commentList>
</comments>
</file>

<file path=xl/comments/comment4.xml><?xml version="1.0" encoding="utf-8"?>
<comments xmlns="http://schemas.openxmlformats.org/spreadsheetml/2006/main">
  <authors>
    <author>Abe Hideaki</author>
  </authors>
  <commentList>
    <comment ref="O3" authorId="0" shapeId="0">
      <text>
        <t xml:space="preserve">条件判断現在値 &gt;= 購入価格×1.07🟢利確推奨現在値 &gt;= 購入価格×1.06🟡利確&amp;STOP検討現在値 &lt;= 購入価格×0.96🔴損切推奨現在値 &lt;= 購入価格×0.965🔴損切間近現在値 &lt;= 購入価格×0.97⚠️-3%注意現在値 &lt;= トレーリングSTOP🟡STOP推奨それ以外保持継続
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4.vml" Id="anysvml" /></Relationships>
</file>

<file path=xl/worksheets/_rels/sheet7.xml.rels><Relationships xmlns="http://schemas.openxmlformats.org/package/2006/relationships"><Relationship Type="http://schemas.openxmlformats.org/officeDocument/2006/relationships/vmlDrawing" Target="/xl/drawings/vmlDrawing5.vml" Id="anysvml" /></Relationships>
</file>

<file path=xl/worksheets/_rels/sheet14.xml.rels><Relationships xmlns="http://schemas.openxmlformats.org/package/2006/relationships"><Relationship Type="http://schemas.openxmlformats.org/officeDocument/2006/relationships/vmlDrawing" Target="/xl/drawings/vmlDrawing6.vml" Id="anysvml" 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7.vml" Id="anysvml" /></Relationships>
</file>

<file path=xl/worksheets/sheet1.xml><?xml version="1.0" encoding="utf-8"?>
<worksheet xmlns="http://schemas.openxmlformats.org/spreadsheetml/2006/main">
  <sheetPr codeName="Sheet1">
    <tabColor rgb="FFFFC000"/>
    <outlinePr summaryBelow="1" summaryRight="1"/>
    <pageSetUpPr/>
  </sheetPr>
  <dimension ref="A1:AA505"/>
  <sheetViews>
    <sheetView showGridLines="0" workbookViewId="0">
      <pane xSplit="1" ySplit="4" topLeftCell="B266" activePane="bottomRight" state="frozen"/>
      <selection activeCell="C162" sqref="C162"/>
      <selection pane="topRight" activeCell="C162" sqref="C162"/>
      <selection pane="bottomLeft" activeCell="C162" sqref="C162"/>
      <selection pane="bottomRight" activeCell="T291" sqref="T291"/>
    </sheetView>
  </sheetViews>
  <sheetFormatPr baseColWidth="8" defaultRowHeight="14.25"/>
  <cols>
    <col width="6.625" customWidth="1" style="79" min="1" max="1"/>
    <col width="10.625" customWidth="1" style="570" min="2" max="2"/>
    <col width="24.625" customWidth="1" style="570" min="3" max="4"/>
    <col width="9" customWidth="1" style="570" min="5" max="26"/>
    <col width="9" customWidth="1" style="570" min="27" max="16384"/>
  </cols>
  <sheetData>
    <row r="1" ht="38.1" customHeight="1" s="574">
      <c r="A1" s="571" t="inlineStr">
        <is>
          <t xml:space="preserve">  📊  株価管理システム｜銘柄管理マスター</t>
        </is>
      </c>
      <c r="B1" s="570" t="n"/>
      <c r="C1" s="570" t="n"/>
      <c r="D1" s="570" t="n"/>
      <c r="E1" s="86" t="n"/>
      <c r="F1" s="86" t="n"/>
      <c r="G1" s="86" t="n"/>
      <c r="H1" s="86" t="n"/>
      <c r="I1" s="86" t="n"/>
      <c r="J1" s="86" t="n"/>
      <c r="K1" s="86" t="n"/>
      <c r="L1" s="86" t="n"/>
      <c r="M1" s="86" t="n"/>
      <c r="N1" s="86" t="n"/>
    </row>
    <row r="2" ht="19.5" customHeight="1" s="574">
      <c r="A2" s="572" t="inlineStr">
        <is>
          <t xml:space="preserve">  最終更新: ―</t>
        </is>
      </c>
      <c r="B2" s="570" t="n"/>
      <c r="C2" s="570" t="n"/>
      <c r="D2" s="570" t="n"/>
      <c r="E2" s="86" t="n"/>
      <c r="F2" s="86" t="n"/>
      <c r="G2" s="86" t="n"/>
      <c r="H2" s="86" t="n"/>
      <c r="I2" s="86" t="n"/>
      <c r="J2" s="86" t="n"/>
      <c r="K2" s="86" t="n"/>
      <c r="L2" s="86" t="n"/>
      <c r="M2" s="86" t="n"/>
      <c r="N2" s="86" t="n"/>
    </row>
    <row r="3" ht="21" customHeight="1" s="574">
      <c r="A3" s="87" t="n"/>
      <c r="B3" s="88" t="n"/>
      <c r="C3" s="88" t="n"/>
      <c r="D3" s="88" t="n"/>
      <c r="E3" s="86" t="n"/>
      <c r="F3" s="86" t="n"/>
      <c r="G3" s="86" t="n"/>
      <c r="H3" s="86" t="n"/>
      <c r="I3" s="86" t="n"/>
      <c r="J3" s="86" t="n"/>
      <c r="K3" s="86" t="n"/>
      <c r="L3" s="86" t="n"/>
      <c r="M3" s="86" t="n"/>
      <c r="N3" s="86" t="n"/>
    </row>
    <row r="4" ht="21" customHeight="1" s="574">
      <c r="A4" s="89" t="n"/>
      <c r="B4" s="90" t="inlineStr">
        <is>
          <t>コード</t>
        </is>
      </c>
      <c r="C4" s="91" t="inlineStr">
        <is>
          <t>銘 柄 名</t>
        </is>
      </c>
      <c r="D4" s="91" t="inlineStr">
        <is>
          <t>株探</t>
        </is>
      </c>
      <c r="E4" s="86" t="n"/>
      <c r="F4" s="86" t="n"/>
      <c r="G4" s="86" t="n"/>
      <c r="H4" s="86" t="n"/>
      <c r="I4" s="86" t="n"/>
      <c r="J4" s="86" t="n"/>
      <c r="K4" s="86" t="n"/>
      <c r="L4" s="86" t="n"/>
      <c r="M4" s="86" t="n"/>
      <c r="N4" s="86" t="n"/>
    </row>
    <row r="5" ht="21.75" customHeight="1" s="574">
      <c r="A5" s="92" t="n"/>
      <c r="B5" s="93" t="inlineStr">
        <is>
          <t>TOPX</t>
        </is>
      </c>
      <c r="C5" s="93">
        <f t="array" ref="C5">_xll.RssIndexMarket("TOPX","現在値")</f>
        <v/>
      </c>
      <c r="D5" s="94">
        <f>IF(OR(C5="",E5=""),"",TEXT(C5-E5,"+#,##0.00;-#,##0.00;0")&amp;"  ("&amp;TEXT((C5-E5)/E5,"+0.00%;-0.00%;0.00%")&amp;")")</f>
        <v/>
      </c>
      <c r="E5" s="95">
        <f t="array" ref="E5">_xll.RssIndexMarket("TOPX","前日終値")</f>
        <v/>
      </c>
      <c r="F5" s="96">
        <f>IF(C5&gt;E5,"上昇▲","下落▼")</f>
        <v/>
      </c>
      <c r="G5" s="86" t="n"/>
      <c r="H5" s="86" t="n"/>
      <c r="I5" s="86" t="n"/>
      <c r="J5" s="86" t="n"/>
      <c r="K5" s="86" t="n"/>
      <c r="L5" s="86" t="n"/>
      <c r="M5" s="86" t="n"/>
      <c r="N5" s="86" t="n"/>
    </row>
    <row r="6" ht="20.1" customHeight="1" s="574">
      <c r="A6" s="97">
        <f>IF(B6="","",ROW()-5)</f>
        <v/>
      </c>
      <c r="B6" s="60" t="n">
        <v>5706</v>
      </c>
      <c r="C6" s="98">
        <f t="array" ref="C6">_xll.RssMarket(B6, "銘柄名称")</f>
        <v/>
      </c>
      <c r="D6" s="99" t="n"/>
      <c r="E6" s="100" t="n"/>
      <c r="F6" s="100" t="n"/>
      <c r="G6" s="100" t="n"/>
      <c r="H6" s="100" t="n"/>
      <c r="I6" s="100" t="n"/>
      <c r="J6" s="100" t="n"/>
      <c r="K6" s="100" t="n"/>
      <c r="L6" s="100" t="n"/>
      <c r="M6" s="100" t="n"/>
      <c r="N6" s="100" t="n"/>
      <c r="AA6" s="462" t="n"/>
    </row>
    <row r="7" ht="20.1" customHeight="1" s="574">
      <c r="A7" s="101">
        <f>IF(B7="","",ROW()-5)</f>
        <v/>
      </c>
      <c r="B7" s="61" t="n">
        <v>5423</v>
      </c>
      <c r="C7" s="98">
        <f t="array" ref="C7">_xll.RssMarket(B7, "銘柄名称")</f>
        <v/>
      </c>
      <c r="D7" s="99">
        <f>IF(B7="","",HYPERLINK("https://kabutan.jp/stock/?code="&amp;B7,"株探"))</f>
        <v/>
      </c>
      <c r="E7" s="100" t="n"/>
      <c r="F7" s="100" t="n"/>
      <c r="G7" s="100" t="n"/>
      <c r="H7" s="100" t="n"/>
      <c r="I7" s="100" t="n"/>
      <c r="J7" s="100" t="n"/>
      <c r="K7" s="100" t="n"/>
      <c r="L7" s="100" t="n"/>
      <c r="M7" s="100" t="n"/>
      <c r="N7" s="100" t="n"/>
      <c r="AA7" s="462" t="n"/>
    </row>
    <row r="8" ht="20.1" customHeight="1" s="574">
      <c r="A8" s="101">
        <f>IF(B8="","",ROW()-5)</f>
        <v/>
      </c>
      <c r="B8" s="61" t="n">
        <v>5713</v>
      </c>
      <c r="C8" s="98">
        <f t="array" ref="C8">_xll.RssMarket(B8, "銘柄名称")</f>
        <v/>
      </c>
      <c r="D8" s="99">
        <f>IF(B8="","",HYPERLINK("https://kabutan.jp/stock/?code="&amp;B8,"株探"))</f>
        <v/>
      </c>
      <c r="E8" s="100" t="n"/>
      <c r="F8" s="100" t="n"/>
      <c r="G8" s="100" t="n"/>
      <c r="H8" s="100" t="n"/>
      <c r="I8" s="100" t="n"/>
      <c r="J8" s="100" t="n"/>
      <c r="K8" s="100" t="n"/>
      <c r="L8" s="100" t="n"/>
      <c r="M8" s="100" t="n"/>
      <c r="N8" s="100" t="n"/>
      <c r="AA8" s="462" t="n"/>
    </row>
    <row r="9" ht="20.1" customHeight="1" s="574">
      <c r="A9" s="101">
        <f>IF(B9="","",ROW()-5)</f>
        <v/>
      </c>
      <c r="B9" s="61" t="n">
        <v>5711</v>
      </c>
      <c r="C9" s="98">
        <f t="array" ref="C9">_xll.RssMarket(B9, "銘柄名称")</f>
        <v/>
      </c>
      <c r="D9" s="99">
        <f>IF(B9="","",HYPERLINK("https://kabutan.jp/stock/?code="&amp;B9,"株探"))</f>
        <v/>
      </c>
      <c r="E9" s="100" t="n"/>
      <c r="F9" s="100" t="n"/>
      <c r="G9" s="100" t="n"/>
      <c r="H9" s="100" t="n"/>
      <c r="I9" s="100" t="n"/>
      <c r="J9" s="100" t="n"/>
      <c r="K9" s="100" t="n"/>
      <c r="L9" s="100" t="n"/>
      <c r="M9" s="100" t="n"/>
      <c r="N9" s="100" t="n"/>
    </row>
    <row r="10" ht="20.1" customHeight="1" s="574">
      <c r="A10" s="101">
        <f>IF(B10="","",ROW()-5)</f>
        <v/>
      </c>
      <c r="B10" s="61" t="n">
        <v>5714</v>
      </c>
      <c r="C10" s="98">
        <f t="array" ref="C10">_xll.RssMarket(B10, "銘柄名称")</f>
        <v/>
      </c>
      <c r="D10" s="99">
        <f>IF(B10="","",HYPERLINK("https://kabutan.jp/stock/?code="&amp;B10,"株探"))</f>
        <v/>
      </c>
      <c r="E10" s="100" t="n"/>
      <c r="F10" s="100" t="n"/>
      <c r="G10" s="100" t="n"/>
      <c r="H10" s="100" t="n"/>
      <c r="I10" s="100" t="n"/>
      <c r="J10" s="100" t="n"/>
      <c r="K10" s="100" t="n"/>
      <c r="L10" s="100" t="n"/>
      <c r="M10" s="100" t="n"/>
      <c r="N10" s="100" t="n"/>
      <c r="AA10" s="462" t="n"/>
    </row>
    <row r="11" ht="20.1" customHeight="1" s="574">
      <c r="A11" s="101">
        <f>IF(B11="","",ROW()-5)</f>
        <v/>
      </c>
      <c r="B11" s="61" t="n">
        <v>6701</v>
      </c>
      <c r="C11" s="98">
        <f t="array" ref="C11">_xll.RssMarket(B11, "銘柄名称")</f>
        <v/>
      </c>
      <c r="D11" s="99">
        <f>IF(B11="","",HYPERLINK("https://kabutan.jp/stock/?code="&amp;B11,"株探"))</f>
        <v/>
      </c>
      <c r="E11" s="100" t="n"/>
      <c r="F11" s="100" t="n"/>
      <c r="G11" s="100" t="n"/>
      <c r="H11" s="100" t="n"/>
      <c r="I11" s="100" t="n"/>
      <c r="J11" s="100" t="n"/>
      <c r="K11" s="100" t="n"/>
      <c r="L11" s="100" t="n"/>
      <c r="M11" s="100" t="n"/>
      <c r="N11" s="100" t="n"/>
      <c r="S11" s="570">
        <f t="array" ref="S11">_xll.RssIndexMarket("0000","現在値")</f>
        <v/>
      </c>
      <c r="AA11" s="462" t="n"/>
    </row>
    <row r="12" ht="20.1" customHeight="1" s="574">
      <c r="A12" s="101">
        <f>IF(B12="","",ROW()-5)</f>
        <v/>
      </c>
      <c r="B12" s="61" t="n">
        <v>1605</v>
      </c>
      <c r="C12" s="98">
        <f t="array" ref="C12">_xll.RssMarket(B12, "銘柄名称")</f>
        <v/>
      </c>
      <c r="D12" s="99">
        <f>IF(B12="","",HYPERLINK("https://kabutan.jp/stock/?code="&amp;B12,"株探"))</f>
        <v/>
      </c>
      <c r="E12" s="100" t="n"/>
      <c r="F12" s="100" t="n"/>
      <c r="G12" s="100" t="n"/>
      <c r="H12" s="100" t="n"/>
      <c r="I12" s="100" t="n"/>
      <c r="J12" s="100" t="n"/>
      <c r="K12" s="100" t="n"/>
      <c r="L12" s="100" t="n"/>
      <c r="M12" s="100" t="n"/>
      <c r="N12" s="100" t="n"/>
    </row>
    <row r="13" ht="20.1" customHeight="1" s="574">
      <c r="A13" s="101">
        <f>IF(B13="","",ROW()-5)</f>
        <v/>
      </c>
      <c r="B13" s="61" t="n">
        <v>5703</v>
      </c>
      <c r="C13" s="98">
        <f t="array" ref="C13">_xll.RssMarket(B13, "銘柄名称")</f>
        <v/>
      </c>
      <c r="D13" s="99">
        <f>IF(B13="","",HYPERLINK("https://kabutan.jp/stock/?code="&amp;B13,"株探"))</f>
        <v/>
      </c>
      <c r="E13" s="100" t="n"/>
      <c r="F13" s="100" t="n"/>
      <c r="G13" s="100" t="n"/>
      <c r="H13" s="100" t="n"/>
      <c r="I13" s="100" t="n"/>
      <c r="J13" s="100" t="n"/>
      <c r="K13" s="100" t="n"/>
      <c r="L13" s="100" t="n"/>
      <c r="M13" s="100" t="n"/>
      <c r="N13" s="100" t="n"/>
      <c r="AA13" s="462" t="n"/>
    </row>
    <row r="14" ht="20.1" customHeight="1" s="574">
      <c r="A14" s="101">
        <f>IF(B14="","",ROW()-5)</f>
        <v/>
      </c>
      <c r="B14" s="61" t="n">
        <v>8002</v>
      </c>
      <c r="C14" s="98">
        <f t="array" ref="C14">_xll.RssMarket(B14, "銘柄名称")</f>
        <v/>
      </c>
      <c r="D14" s="99">
        <f>IF(B14="","",HYPERLINK("https://kabutan.jp/stock/?code="&amp;B14,"株探"))</f>
        <v/>
      </c>
      <c r="E14" s="100" t="n"/>
      <c r="F14" s="100" t="n"/>
      <c r="G14" s="100" t="n"/>
      <c r="H14" s="100" t="n"/>
      <c r="I14" s="100" t="n"/>
      <c r="J14" s="100" t="n"/>
      <c r="K14" s="100" t="n"/>
      <c r="L14" s="100" t="n"/>
      <c r="M14" s="100" t="n"/>
      <c r="N14" s="100" t="n"/>
      <c r="AA14" s="462" t="n"/>
    </row>
    <row r="15" ht="20.1" customHeight="1" s="574">
      <c r="A15" s="101">
        <f>IF(B15="","",ROW()-5)</f>
        <v/>
      </c>
      <c r="B15" s="61" t="n">
        <v>5021</v>
      </c>
      <c r="C15" s="98">
        <f t="array" ref="C15">_xll.RssMarket(B15, "銘柄名称")</f>
        <v/>
      </c>
      <c r="D15" s="99">
        <f>IF(B15="","",HYPERLINK("https://kabutan.jp/stock/?code="&amp;B15,"株探"))</f>
        <v/>
      </c>
      <c r="E15" s="100" t="n"/>
      <c r="F15" s="100" t="n"/>
      <c r="G15" s="100" t="n"/>
      <c r="H15" s="100" t="n"/>
      <c r="I15" s="100" t="n"/>
      <c r="J15" s="100" t="n"/>
      <c r="K15" s="100" t="n"/>
      <c r="L15" s="100" t="n"/>
      <c r="M15" s="100" t="n"/>
      <c r="N15" s="100" t="n"/>
    </row>
    <row r="16" ht="20.1" customHeight="1" s="574">
      <c r="A16" s="101">
        <f>IF(B16="","",ROW()-5)</f>
        <v/>
      </c>
      <c r="B16" s="61" t="n">
        <v>8058</v>
      </c>
      <c r="C16" s="98">
        <f t="array" ref="C16">_xll.RssMarket(B16, "銘柄名称")</f>
        <v/>
      </c>
      <c r="D16" s="99">
        <f>IF(B16="","",HYPERLINK("https://kabutan.jp/stock/?code="&amp;B16,"株探"))</f>
        <v/>
      </c>
      <c r="E16" s="100" t="n"/>
      <c r="F16" s="100" t="n"/>
      <c r="G16" s="100" t="n"/>
      <c r="H16" s="100" t="n"/>
      <c r="I16" s="100" t="n"/>
      <c r="J16" s="100" t="n"/>
      <c r="K16" s="100" t="n"/>
      <c r="L16" s="100" t="n"/>
      <c r="M16" s="100" t="n"/>
      <c r="N16" s="100" t="n"/>
    </row>
    <row r="17" ht="20.1" customHeight="1" s="574">
      <c r="A17" s="101">
        <f>IF(B17="","",ROW()-5)</f>
        <v/>
      </c>
      <c r="B17" s="61" t="n">
        <v>5333</v>
      </c>
      <c r="C17" s="98">
        <f t="array" ref="C17">_xll.RssMarket(B17, "銘柄名称")</f>
        <v/>
      </c>
      <c r="D17" s="99">
        <f>IF(B17="","",HYPERLINK("https://kabutan.jp/stock/?code="&amp;B17,"株探"))</f>
        <v/>
      </c>
      <c r="E17" s="100" t="n"/>
      <c r="F17" s="100" t="n"/>
      <c r="G17" s="100" t="n"/>
      <c r="H17" s="100" t="n"/>
      <c r="I17" s="100" t="n"/>
      <c r="J17" s="100" t="n"/>
      <c r="K17" s="100" t="n"/>
      <c r="L17" s="100" t="n"/>
      <c r="M17" s="100" t="n"/>
      <c r="N17" s="100" t="n"/>
      <c r="AA17" s="462" t="inlineStr">
        <is>
          <t>★</t>
        </is>
      </c>
    </row>
    <row r="18" ht="20.1" customHeight="1" s="574">
      <c r="A18" s="101">
        <f>IF(B18="","",ROW()-5)</f>
        <v/>
      </c>
      <c r="B18" s="61" t="n">
        <v>1662</v>
      </c>
      <c r="C18" s="98">
        <f t="array" ref="C18">_xll.RssMarket(B18, "銘柄名称")</f>
        <v/>
      </c>
      <c r="D18" s="99">
        <f>IF(B18="","",HYPERLINK("https://kabutan.jp/stock/?code="&amp;B18,"株探"))</f>
        <v/>
      </c>
      <c r="E18" s="100" t="n"/>
      <c r="F18" s="100" t="n"/>
      <c r="G18" s="100" t="n"/>
      <c r="H18" s="100" t="n"/>
      <c r="I18" s="100" t="n"/>
      <c r="J18" s="100" t="n"/>
      <c r="K18" s="100" t="n"/>
      <c r="L18" s="100" t="n"/>
      <c r="M18" s="100" t="n"/>
      <c r="N18" s="100" t="n"/>
    </row>
    <row r="19" ht="20.1" customHeight="1" s="574">
      <c r="A19" s="101">
        <f>IF(B19="","",ROW()-5)</f>
        <v/>
      </c>
      <c r="B19" s="61" t="n">
        <v>8411</v>
      </c>
      <c r="C19" s="98">
        <f t="array" ref="C19">_xll.RssMarket(B19, "銘柄名称")</f>
        <v/>
      </c>
      <c r="D19" s="99">
        <f>IF(B19="","",HYPERLINK("https://kabutan.jp/stock/?code="&amp;B19,"株探"))</f>
        <v/>
      </c>
      <c r="E19" s="100" t="n"/>
      <c r="F19" s="100" t="n"/>
      <c r="G19" s="100" t="n"/>
      <c r="H19" s="100" t="n"/>
      <c r="I19" s="100" t="n"/>
      <c r="J19" s="100" t="n"/>
      <c r="K19" s="100" t="n"/>
      <c r="L19" s="100" t="n"/>
      <c r="M19" s="100" t="n"/>
      <c r="N19" s="100" t="n"/>
      <c r="AA19" s="462" t="n"/>
    </row>
    <row r="20" ht="20.1" customHeight="1" s="574">
      <c r="A20" s="101">
        <f>IF(B20="","",ROW()-5)</f>
        <v/>
      </c>
      <c r="B20" s="61" t="n">
        <v>5541</v>
      </c>
      <c r="C20" s="98">
        <f t="array" ref="C20">_xll.RssMarket(B20, "銘柄名称")</f>
        <v/>
      </c>
      <c r="D20" s="99">
        <f>IF(B20="","",HYPERLINK("https://kabutan.jp/stock/?code="&amp;B20,"株探"))</f>
        <v/>
      </c>
      <c r="E20" s="100" t="n"/>
      <c r="F20" s="100" t="n"/>
      <c r="G20" s="100" t="n"/>
      <c r="H20" s="100" t="n"/>
      <c r="I20" s="100" t="n"/>
      <c r="J20" s="100" t="n"/>
      <c r="K20" s="100" t="n"/>
      <c r="L20" s="100" t="n"/>
      <c r="M20" s="100" t="n"/>
      <c r="N20" s="100" t="n"/>
    </row>
    <row r="21" ht="20.1" customHeight="1" s="574">
      <c r="A21" s="101">
        <f>IF(B21="","",ROW()-5)</f>
        <v/>
      </c>
      <c r="B21" s="61" t="n">
        <v>5332</v>
      </c>
      <c r="C21" s="98">
        <f t="array" ref="C21">_xll.RssMarket(B21, "銘柄名称")</f>
        <v/>
      </c>
      <c r="D21" s="99">
        <f>IF(B21="","",HYPERLINK("https://kabutan.jp/stock/?code="&amp;B21,"株探"))</f>
        <v/>
      </c>
      <c r="E21" s="100" t="n"/>
      <c r="F21" s="100" t="n"/>
      <c r="G21" s="100" t="n"/>
      <c r="H21" s="100" t="n"/>
      <c r="I21" s="100" t="n"/>
      <c r="J21" s="100" t="n"/>
      <c r="K21" s="100" t="n"/>
      <c r="L21" s="100" t="n"/>
      <c r="M21" s="100" t="n"/>
      <c r="N21" s="100" t="n"/>
      <c r="AA21" s="462" t="n"/>
    </row>
    <row r="22" ht="20.1" customHeight="1" s="574">
      <c r="A22" s="101">
        <f>IF(B22="","",ROW()-5)</f>
        <v/>
      </c>
      <c r="B22" s="61" t="n">
        <v>8725</v>
      </c>
      <c r="C22" s="98">
        <f t="array" ref="C22">_xll.RssMarket(B22, "銘柄名称")</f>
        <v/>
      </c>
      <c r="D22" s="99">
        <f>IF(B22="","",HYPERLINK("https://kabutan.jp/stock/?code="&amp;B22,"株探"))</f>
        <v/>
      </c>
      <c r="E22" s="100" t="n"/>
      <c r="F22" s="100" t="n"/>
      <c r="G22" s="100" t="n"/>
      <c r="H22" s="100" t="n"/>
      <c r="I22" s="100" t="n"/>
      <c r="J22" s="100" t="n"/>
      <c r="K22" s="100" t="n"/>
      <c r="L22" s="100" t="n"/>
      <c r="M22" s="100" t="n"/>
      <c r="N22" s="100" t="n"/>
    </row>
    <row r="23" ht="20.1" customHeight="1" s="574">
      <c r="A23" s="101">
        <f>IF(B23="","",ROW()-5)</f>
        <v/>
      </c>
      <c r="B23" s="61" t="n">
        <v>8795</v>
      </c>
      <c r="C23" s="98">
        <f t="array" ref="C23">_xll.RssMarket(B23, "銘柄名称")</f>
        <v/>
      </c>
      <c r="D23" s="99">
        <f>IF(B23="","",HYPERLINK("https://kabutan.jp/stock/?code="&amp;B23,"株探"))</f>
        <v/>
      </c>
      <c r="E23" s="100" t="n"/>
      <c r="F23" s="100" t="n"/>
      <c r="G23" s="100" t="n"/>
      <c r="H23" s="100" t="n"/>
      <c r="I23" s="100" t="n"/>
      <c r="J23" s="100" t="n"/>
      <c r="K23" s="100" t="n"/>
      <c r="L23" s="100" t="n"/>
      <c r="M23" s="100" t="n"/>
      <c r="N23" s="102" t="n"/>
      <c r="AA23" s="462" t="n"/>
    </row>
    <row r="24" ht="20.1" customHeight="1" s="574">
      <c r="A24" s="101">
        <f>IF(B24="","",ROW()-5)</f>
        <v/>
      </c>
      <c r="B24" s="61" t="n">
        <v>5019</v>
      </c>
      <c r="C24" s="98">
        <f t="array" ref="C24">_xll.RssMarket(B24, "銘柄名称")</f>
        <v/>
      </c>
      <c r="D24" s="99">
        <f>IF(B24="","",HYPERLINK("https://kabutan.jp/stock/?code="&amp;B24,"株探"))</f>
        <v/>
      </c>
      <c r="E24" s="100" t="n"/>
      <c r="F24" s="100" t="n"/>
      <c r="G24" s="100" t="n"/>
      <c r="H24" s="100" t="n"/>
      <c r="I24" s="100" t="n"/>
      <c r="J24" s="100" t="n"/>
      <c r="K24" s="100" t="n"/>
      <c r="L24" s="100" t="n"/>
      <c r="M24" s="100" t="n"/>
      <c r="N24" s="100" t="n"/>
    </row>
    <row r="25" ht="20.1" customHeight="1" s="574">
      <c r="A25" s="101">
        <f>IF(B25="","",ROW()-5)</f>
        <v/>
      </c>
      <c r="B25" s="61" t="n">
        <v>8053</v>
      </c>
      <c r="C25" s="98">
        <f t="array" ref="C25">_xll.RssMarket(B25, "銘柄名称")</f>
        <v/>
      </c>
      <c r="D25" s="99">
        <f>IF(B25="","",HYPERLINK("https://kabutan.jp/stock/?code="&amp;B25,"株探"))</f>
        <v/>
      </c>
      <c r="E25" s="100" t="n"/>
      <c r="F25" s="100" t="n"/>
      <c r="G25" s="100" t="n"/>
      <c r="H25" s="100" t="n"/>
      <c r="I25" s="100" t="n"/>
      <c r="J25" s="100" t="n"/>
      <c r="K25" s="100" t="n"/>
      <c r="L25" s="100" t="n"/>
      <c r="M25" s="100" t="n"/>
      <c r="N25" s="100" t="n"/>
      <c r="AA25" s="462" t="n"/>
    </row>
    <row r="26" ht="20.1" customHeight="1" s="574">
      <c r="A26" s="101">
        <f>IF(B26="","",ROW()-5)</f>
        <v/>
      </c>
      <c r="B26" s="61" t="n">
        <v>8591</v>
      </c>
      <c r="C26" s="98">
        <f t="array" ref="C26">_xll.RssMarket(B26, "銘柄名称")</f>
        <v/>
      </c>
      <c r="D26" s="99">
        <f>IF(B26="","",HYPERLINK("https://kabutan.jp/stock/?code="&amp;B26,"株探"))</f>
        <v/>
      </c>
      <c r="E26" s="100" t="n"/>
      <c r="F26" s="100" t="n"/>
      <c r="G26" s="100" t="n"/>
      <c r="H26" s="100" t="n"/>
      <c r="I26" s="100" t="n"/>
      <c r="J26" s="100" t="n"/>
      <c r="K26" s="100" t="n"/>
      <c r="L26" s="100" t="n"/>
      <c r="M26" s="100" t="n"/>
      <c r="N26" s="100" t="n"/>
      <c r="AA26" s="462" t="n"/>
    </row>
    <row r="27" ht="20.1" customHeight="1" s="574">
      <c r="A27" s="101">
        <f>IF(B27="","",ROW()-5)</f>
        <v/>
      </c>
      <c r="B27" s="61" t="n">
        <v>3401</v>
      </c>
      <c r="C27" s="98">
        <f t="array" ref="C27">_xll.RssMarket(B27, "銘柄名称")</f>
        <v/>
      </c>
      <c r="D27" s="99">
        <f>IF(B27="","",HYPERLINK("https://kabutan.jp/stock/?code="&amp;B27,"株探"))</f>
        <v/>
      </c>
      <c r="E27" s="100" t="n"/>
      <c r="F27" s="100" t="n"/>
      <c r="G27" s="100" t="n"/>
      <c r="H27" s="100" t="n"/>
      <c r="I27" s="100" t="n"/>
      <c r="J27" s="100" t="n"/>
      <c r="K27" s="100" t="n"/>
      <c r="L27" s="100" t="n"/>
      <c r="M27" s="100" t="n"/>
      <c r="N27" s="100" t="n"/>
    </row>
    <row r="28" ht="20.1" customHeight="1" s="574">
      <c r="A28" s="101">
        <f>IF(B28="","",ROW()-5)</f>
        <v/>
      </c>
      <c r="B28" s="61" t="n">
        <v>3436</v>
      </c>
      <c r="C28" s="98">
        <f t="array" ref="C28">_xll.RssMarket(B28, "銘柄名称")</f>
        <v/>
      </c>
      <c r="D28" s="99">
        <f>IF(B28="","",HYPERLINK("https://kabutan.jp/stock/?code="&amp;B28,"株探"))</f>
        <v/>
      </c>
      <c r="E28" s="100" t="n"/>
      <c r="F28" s="100" t="n"/>
      <c r="G28" s="100" t="n"/>
      <c r="H28" s="100" t="n"/>
      <c r="I28" s="100" t="n"/>
      <c r="J28" s="100" t="n"/>
      <c r="K28" s="100" t="n"/>
      <c r="L28" s="100" t="n"/>
      <c r="M28" s="100" t="n"/>
      <c r="N28" s="100" t="n"/>
      <c r="AA28" s="462" t="n"/>
    </row>
    <row r="29" ht="20.1" customHeight="1" s="574">
      <c r="A29" s="101">
        <f>IF(B29="","",ROW()-5)</f>
        <v/>
      </c>
      <c r="B29" s="61" t="n">
        <v>5020</v>
      </c>
      <c r="C29" s="98">
        <f t="array" ref="C29">_xll.RssMarket(B29, "銘柄名称")</f>
        <v/>
      </c>
      <c r="D29" s="99">
        <f>IF(B29="","",HYPERLINK("https://kabutan.jp/stock/?code="&amp;B29,"株探"))</f>
        <v/>
      </c>
      <c r="E29" s="100" t="n"/>
      <c r="F29" s="100" t="n"/>
      <c r="G29" s="100" t="n"/>
      <c r="H29" s="100" t="n"/>
      <c r="I29" s="100" t="n"/>
      <c r="J29" s="100" t="n"/>
      <c r="K29" s="100" t="n"/>
      <c r="L29" s="100" t="n"/>
      <c r="M29" s="100" t="n"/>
      <c r="N29" s="100" t="n"/>
    </row>
    <row r="30" ht="20.1" customHeight="1" s="574">
      <c r="A30" s="101">
        <f>IF(B30="","",ROW()-5)</f>
        <v/>
      </c>
      <c r="B30" s="61" t="n">
        <v>6254</v>
      </c>
      <c r="C30" s="98">
        <f t="array" ref="C30">_xll.RssMarket(B30, "銘柄名称")</f>
        <v/>
      </c>
      <c r="D30" s="99">
        <f>IF(B30="","",HYPERLINK("https://kabutan.jp/stock/?code="&amp;B30,"株探"))</f>
        <v/>
      </c>
      <c r="E30" s="100" t="n"/>
      <c r="F30" s="100" t="n"/>
      <c r="G30" s="100" t="n"/>
      <c r="H30" s="100" t="n"/>
      <c r="I30" s="100" t="n"/>
      <c r="J30" s="100" t="n"/>
      <c r="K30" s="100" t="n"/>
      <c r="L30" s="100" t="n"/>
      <c r="M30" s="100" t="n"/>
      <c r="N30" s="100" t="n"/>
      <c r="AA30" s="462" t="n"/>
    </row>
    <row r="31" ht="20.1" customHeight="1" s="574">
      <c r="A31" s="101">
        <f>IF(B31="","",ROW()-5)</f>
        <v/>
      </c>
      <c r="B31" s="61" t="n">
        <v>8309</v>
      </c>
      <c r="C31" s="98">
        <f t="array" ref="C31">_xll.RssMarket(B31, "銘柄名称")</f>
        <v/>
      </c>
      <c r="D31" s="99">
        <f>IF(B31="","",HYPERLINK("https://kabutan.jp/stock/?code="&amp;B31,"株探"))</f>
        <v/>
      </c>
      <c r="E31" s="100" t="n"/>
      <c r="F31" s="100" t="n"/>
      <c r="G31" s="100" t="n"/>
      <c r="H31" s="100" t="n"/>
      <c r="I31" s="100" t="n"/>
      <c r="J31" s="100" t="n"/>
      <c r="K31" s="100" t="n"/>
      <c r="L31" s="100" t="n"/>
      <c r="M31" s="100" t="n"/>
      <c r="N31" s="100" t="n"/>
      <c r="AA31" s="462" t="n"/>
    </row>
    <row r="32" ht="20.1" customHeight="1" s="574">
      <c r="A32" s="101">
        <f>IF(B32="","",ROW()-5)</f>
        <v/>
      </c>
      <c r="B32" s="61" t="n">
        <v>3863</v>
      </c>
      <c r="C32" s="98">
        <f t="array" ref="C32">_xll.RssMarket(B32, "銘柄名称")</f>
        <v/>
      </c>
      <c r="D32" s="99">
        <f>IF(B32="","",HYPERLINK("https://kabutan.jp/stock/?code="&amp;B32,"株探"))</f>
        <v/>
      </c>
      <c r="E32" s="100" t="n"/>
      <c r="F32" s="100" t="n"/>
      <c r="G32" s="100" t="n"/>
      <c r="H32" s="100" t="n"/>
      <c r="I32" s="100" t="n"/>
      <c r="J32" s="100" t="n"/>
      <c r="K32" s="100" t="n"/>
      <c r="L32" s="100" t="n"/>
      <c r="M32" s="100" t="n"/>
      <c r="N32" s="100" t="n"/>
      <c r="AA32" s="462" t="n"/>
    </row>
    <row r="33" ht="20.1" customHeight="1" s="574">
      <c r="A33" s="101">
        <f>IF(B33="","",ROW()-5)</f>
        <v/>
      </c>
      <c r="B33" s="61" t="n">
        <v>8601</v>
      </c>
      <c r="C33" s="98">
        <f t="array" ref="C33">_xll.RssMarket(B33, "銘柄名称")</f>
        <v/>
      </c>
      <c r="D33" s="99">
        <f>IF(B33="","",HYPERLINK("https://kabutan.jp/stock/?code="&amp;B33,"株探"))</f>
        <v/>
      </c>
      <c r="E33" s="100" t="n"/>
      <c r="F33" s="100" t="n"/>
      <c r="G33" s="100" t="n"/>
      <c r="H33" s="100" t="n"/>
      <c r="I33" s="100" t="n"/>
      <c r="J33" s="100" t="n"/>
      <c r="K33" s="100" t="n"/>
      <c r="L33" s="100" t="n"/>
      <c r="M33" s="100" t="n"/>
      <c r="N33" s="100" t="n"/>
      <c r="AA33" s="462" t="n"/>
    </row>
    <row r="34" ht="20.1" customHeight="1" s="574">
      <c r="A34" s="101">
        <f>IF(B34="","",ROW()-5)</f>
        <v/>
      </c>
      <c r="B34" s="61" t="n">
        <v>5233</v>
      </c>
      <c r="C34" s="98">
        <f t="array" ref="C34">_xll.RssMarket(B34, "銘柄名称")</f>
        <v/>
      </c>
      <c r="D34" s="99">
        <f>IF(B34="","",HYPERLINK("https://kabutan.jp/stock/?code="&amp;B34,"株探"))</f>
        <v/>
      </c>
      <c r="E34" s="100" t="n"/>
      <c r="F34" s="100" t="n"/>
      <c r="G34" s="100" t="n"/>
      <c r="H34" s="100" t="n"/>
      <c r="I34" s="100" t="n"/>
      <c r="J34" s="100" t="n"/>
      <c r="K34" s="100" t="n"/>
      <c r="L34" s="100" t="n"/>
      <c r="M34" s="100" t="n"/>
      <c r="N34" s="100" t="n"/>
      <c r="AA34" s="462" t="n"/>
    </row>
    <row r="35" ht="20.1" customHeight="1" s="574">
      <c r="A35" s="101">
        <f>IF(B35="","",ROW()-5)</f>
        <v/>
      </c>
      <c r="B35" s="61" t="n">
        <v>8308</v>
      </c>
      <c r="C35" s="98">
        <f t="array" ref="C35">_xll.RssMarket(B35, "銘柄名称")</f>
        <v/>
      </c>
      <c r="D35" s="99">
        <f>IF(B35="","",HYPERLINK("https://kabutan.jp/stock/?code="&amp;B35,"株探"))</f>
        <v/>
      </c>
      <c r="E35" s="100" t="n"/>
      <c r="F35" s="100" t="n"/>
      <c r="G35" s="100" t="n"/>
      <c r="H35" s="100" t="n"/>
      <c r="I35" s="100" t="n"/>
      <c r="J35" s="100" t="n"/>
      <c r="K35" s="100" t="n"/>
      <c r="L35" s="100" t="n"/>
      <c r="M35" s="100" t="n"/>
      <c r="N35" s="100" t="n"/>
      <c r="AA35" s="462" t="inlineStr">
        <is>
          <t>★</t>
        </is>
      </c>
    </row>
    <row r="36" ht="20.1" customHeight="1" s="574">
      <c r="A36" s="101">
        <f>IF(B36="","",ROW()-5)</f>
        <v/>
      </c>
      <c r="B36" s="61" t="n">
        <v>5938</v>
      </c>
      <c r="C36" s="98">
        <f t="array" ref="C36">_xll.RssMarket(B36, "銘柄名称")</f>
        <v/>
      </c>
      <c r="D36" s="99">
        <f>IF(B36="","",HYPERLINK("https://kabutan.jp/stock/?code="&amp;B36,"株探"))</f>
        <v/>
      </c>
      <c r="E36" s="100" t="n"/>
      <c r="F36" s="100" t="n"/>
      <c r="G36" s="100" t="n"/>
      <c r="H36" s="100" t="n"/>
      <c r="I36" s="100" t="n"/>
      <c r="J36" s="100" t="n"/>
      <c r="K36" s="100" t="n"/>
      <c r="L36" s="100" t="n"/>
      <c r="M36" s="100" t="n"/>
      <c r="N36" s="100" t="n"/>
      <c r="AA36" s="462" t="n"/>
    </row>
    <row r="37" ht="20.1" customHeight="1" s="574">
      <c r="A37" s="101">
        <f>IF(B37="","",ROW()-5)</f>
        <v/>
      </c>
      <c r="B37" s="61" t="n">
        <v>8570</v>
      </c>
      <c r="C37" s="98">
        <f t="array" ref="C37">_xll.RssMarket(B37, "銘柄名称")</f>
        <v/>
      </c>
      <c r="D37" s="99">
        <f>IF(B37="","",HYPERLINK("https://kabutan.jp/stock/?code="&amp;B37,"株探"))</f>
        <v/>
      </c>
      <c r="E37" s="100" t="n"/>
      <c r="F37" s="100" t="n"/>
      <c r="G37" s="100" t="n"/>
      <c r="H37" s="100" t="n"/>
      <c r="I37" s="100" t="n"/>
      <c r="J37" s="100" t="n"/>
      <c r="K37" s="100" t="n"/>
      <c r="L37" s="100" t="n"/>
      <c r="M37" s="100" t="n"/>
      <c r="N37" s="100" t="n"/>
    </row>
    <row r="38" ht="20.1" customHeight="1" s="574">
      <c r="A38" s="101">
        <f>IF(B38="","",ROW()-5)</f>
        <v/>
      </c>
      <c r="B38" s="61" t="n">
        <v>5406</v>
      </c>
      <c r="C38" s="98">
        <f t="array" ref="C38">_xll.RssMarket(B38, "銘柄名称")</f>
        <v/>
      </c>
      <c r="D38" s="99">
        <f>IF(B38="","",HYPERLINK("https://kabutan.jp/stock/?code="&amp;B38,"株探"))</f>
        <v/>
      </c>
      <c r="E38" s="100" t="n"/>
      <c r="F38" s="100" t="n"/>
      <c r="G38" s="100" t="n"/>
      <c r="H38" s="100" t="n"/>
      <c r="I38" s="100" t="n"/>
      <c r="J38" s="100" t="n"/>
      <c r="K38" s="100" t="n"/>
      <c r="L38" s="100" t="n"/>
      <c r="M38" s="100" t="n"/>
      <c r="N38" s="100" t="n"/>
    </row>
    <row r="39" ht="20.1" customHeight="1" s="574">
      <c r="A39" s="101">
        <f>IF(B39="","",ROW()-5)</f>
        <v/>
      </c>
      <c r="B39" s="61" t="n">
        <v>8593</v>
      </c>
      <c r="C39" s="98">
        <f t="array" ref="C39">_xll.RssMarket(B39, "銘柄名称")</f>
        <v/>
      </c>
      <c r="D39" s="99">
        <f>IF(B39="","",HYPERLINK("https://kabutan.jp/stock/?code="&amp;B39,"株探"))</f>
        <v/>
      </c>
      <c r="E39" s="100" t="n"/>
      <c r="F39" s="100" t="n"/>
      <c r="G39" s="100" t="n"/>
      <c r="H39" s="100" t="n"/>
      <c r="I39" s="100" t="n"/>
      <c r="J39" s="100" t="n"/>
      <c r="K39" s="100" t="n"/>
      <c r="L39" s="100" t="n"/>
      <c r="M39" s="100" t="n"/>
      <c r="N39" s="100" t="n"/>
    </row>
    <row r="40" ht="20.1" customHeight="1" s="574">
      <c r="A40" s="101">
        <f>IF(B40="","",ROW()-5)</f>
        <v/>
      </c>
      <c r="B40" s="61" t="n">
        <v>8604</v>
      </c>
      <c r="C40" s="98">
        <f t="array" ref="C40">_xll.RssMarket(B40, "銘柄名称")</f>
        <v/>
      </c>
      <c r="D40" s="99">
        <f>IF(B40="","",HYPERLINK("https://kabutan.jp/stock/?code="&amp;B40,"株探"))</f>
        <v/>
      </c>
      <c r="E40" s="100" t="n"/>
      <c r="F40" s="100" t="n"/>
      <c r="G40" s="100" t="n"/>
      <c r="H40" s="100" t="n"/>
      <c r="I40" s="100" t="n"/>
      <c r="J40" s="100" t="n"/>
      <c r="K40" s="100" t="n"/>
      <c r="L40" s="100" t="n"/>
      <c r="M40" s="100" t="n"/>
      <c r="N40" s="100" t="n"/>
      <c r="AA40" s="462" t="n"/>
    </row>
    <row r="41" ht="20.1" customHeight="1" s="574">
      <c r="A41" s="101">
        <f>IF(B41="","",ROW()-5)</f>
        <v/>
      </c>
      <c r="B41" s="61" t="n">
        <v>3861</v>
      </c>
      <c r="C41" s="98">
        <f t="array" ref="C41">_xll.RssMarket(B41, "銘柄名称")</f>
        <v/>
      </c>
      <c r="D41" s="99">
        <f>IF(B41="","",HYPERLINK("https://kabutan.jp/stock/?code="&amp;B41,"株探"))</f>
        <v/>
      </c>
      <c r="E41" s="100" t="n"/>
      <c r="F41" s="100" t="n"/>
      <c r="G41" s="100" t="n"/>
      <c r="H41" s="100" t="n"/>
      <c r="I41" s="100" t="n"/>
      <c r="J41" s="100" t="n"/>
      <c r="K41" s="100" t="n"/>
      <c r="L41" s="100" t="n"/>
      <c r="M41" s="100" t="n"/>
      <c r="N41" s="100" t="n"/>
    </row>
    <row r="42" ht="20.1" customHeight="1" s="574">
      <c r="A42" s="101">
        <f>IF(B42="","",ROW()-5)</f>
        <v/>
      </c>
      <c r="B42" s="61" t="n">
        <v>5947</v>
      </c>
      <c r="C42" s="98">
        <f t="array" ref="C42">_xll.RssMarket(B42, "銘柄名称")</f>
        <v/>
      </c>
      <c r="D42" s="99">
        <f>IF(B42="","",HYPERLINK("https://kabutan.jp/stock/?code="&amp;B42,"株探"))</f>
        <v/>
      </c>
      <c r="E42" s="100" t="n"/>
      <c r="F42" s="100" t="n"/>
      <c r="G42" s="100" t="n"/>
      <c r="H42" s="100" t="n"/>
      <c r="I42" s="100" t="n"/>
      <c r="J42" s="100" t="n"/>
      <c r="K42" s="100" t="n"/>
      <c r="L42" s="100" t="n"/>
      <c r="M42" s="100" t="n"/>
      <c r="N42" s="100" t="n"/>
    </row>
    <row r="43" ht="20.1" customHeight="1" s="574">
      <c r="A43" s="101">
        <f>IF(B43="","",ROW()-5)</f>
        <v/>
      </c>
      <c r="B43" s="61" t="n">
        <v>8750</v>
      </c>
      <c r="C43" s="98">
        <f t="array" ref="C43">_xll.RssMarket(B43, "銘柄名称")</f>
        <v/>
      </c>
      <c r="D43" s="99">
        <f>IF(B43="","",HYPERLINK("https://kabutan.jp/stock/?code="&amp;B43,"株探"))</f>
        <v/>
      </c>
      <c r="E43" s="100" t="n"/>
      <c r="F43" s="100" t="n"/>
      <c r="G43" s="100" t="n"/>
      <c r="H43" s="100" t="n"/>
      <c r="I43" s="100" t="n"/>
      <c r="J43" s="100" t="n"/>
      <c r="K43" s="100" t="n"/>
      <c r="L43" s="100" t="n"/>
      <c r="M43" s="100" t="n"/>
      <c r="N43" s="100" t="n"/>
      <c r="AA43" s="462" t="n"/>
    </row>
    <row r="44" ht="20.1" customHeight="1" s="574">
      <c r="A44" s="101">
        <f>IF(B44="","",ROW()-5)</f>
        <v/>
      </c>
      <c r="B44" s="61" t="n">
        <v>3402</v>
      </c>
      <c r="C44" s="98">
        <f t="array" ref="C44">_xll.RssMarket(B44, "銘柄名称")</f>
        <v/>
      </c>
      <c r="D44" s="99">
        <f>IF(B44="","",HYPERLINK("https://kabutan.jp/stock/?code="&amp;B44,"株探"))</f>
        <v/>
      </c>
      <c r="E44" s="100" t="n"/>
      <c r="F44" s="100" t="n"/>
      <c r="G44" s="100" t="n"/>
      <c r="H44" s="100" t="n"/>
      <c r="I44" s="100" t="n"/>
      <c r="J44" s="100" t="n"/>
      <c r="K44" s="100" t="n"/>
      <c r="L44" s="100" t="n"/>
      <c r="M44" s="100" t="n"/>
      <c r="N44" s="100" t="n"/>
      <c r="AA44" s="462" t="n"/>
    </row>
    <row r="45" ht="20.1" customHeight="1" s="574">
      <c r="A45" s="101">
        <f>IF(B45="","",ROW()-5)</f>
        <v/>
      </c>
      <c r="B45" s="61" t="n">
        <v>8306</v>
      </c>
      <c r="C45" s="98">
        <f t="array" ref="C45">_xll.RssMarket(B45, "銘柄名称")</f>
        <v/>
      </c>
      <c r="D45" s="99">
        <f>IF(B45="","",HYPERLINK("https://kabutan.jp/stock/?code="&amp;B45,"株探"))</f>
        <v/>
      </c>
      <c r="E45" s="100" t="n"/>
      <c r="F45" s="100" t="n"/>
      <c r="G45" s="100" t="n"/>
      <c r="H45" s="100" t="n"/>
      <c r="I45" s="100" t="n"/>
      <c r="J45" s="100" t="n"/>
      <c r="K45" s="100" t="n"/>
      <c r="L45" s="100" t="n"/>
      <c r="M45" s="100" t="n"/>
      <c r="N45" s="100" t="n"/>
      <c r="AA45" s="462" t="n"/>
    </row>
    <row r="46" ht="20.1" customHeight="1" s="574">
      <c r="A46" s="101">
        <f>IF(B46="","",ROW()-5)</f>
        <v/>
      </c>
      <c r="B46" s="61" t="n">
        <v>5401</v>
      </c>
      <c r="C46" s="98">
        <f t="array" ref="C46">_xll.RssMarket(B46, "銘柄名称")</f>
        <v/>
      </c>
      <c r="D46" s="99">
        <f>IF(B46="","",HYPERLINK("https://kabutan.jp/stock/?code="&amp;B46,"株探"))</f>
        <v/>
      </c>
      <c r="E46" s="100" t="n"/>
      <c r="F46" s="100" t="n"/>
      <c r="G46" s="100" t="n"/>
      <c r="H46" s="100" t="n"/>
      <c r="I46" s="100" t="n"/>
      <c r="J46" s="100" t="n"/>
      <c r="K46" s="100" t="n"/>
      <c r="L46" s="100" t="n"/>
      <c r="M46" s="100" t="n"/>
      <c r="N46" s="100" t="n"/>
    </row>
    <row r="47" ht="20.1" customHeight="1" s="574">
      <c r="A47" s="101">
        <f>IF(B47="","",ROW()-5)</f>
        <v/>
      </c>
      <c r="B47" s="61" t="n">
        <v>8572</v>
      </c>
      <c r="C47" s="98">
        <f t="array" ref="C47">_xll.RssMarket(B47, "銘柄名称")</f>
        <v/>
      </c>
      <c r="D47" s="99">
        <f>IF(B47="","",HYPERLINK("https://kabutan.jp/stock/?code="&amp;B47,"株探"))</f>
        <v/>
      </c>
      <c r="AA47" s="462" t="n"/>
    </row>
    <row r="48" ht="20.1" customHeight="1" s="574">
      <c r="A48" s="101">
        <f>IF(B48="","",ROW()-5)</f>
        <v/>
      </c>
      <c r="B48" s="61" t="n">
        <v>3941</v>
      </c>
      <c r="C48" s="98">
        <f t="array" ref="C48">_xll.RssMarket(B48, "銘柄名称")</f>
        <v/>
      </c>
      <c r="D48" s="99">
        <f>IF(B48="","",HYPERLINK("https://kabutan.jp/stock/?code="&amp;B48,"株探"))</f>
        <v/>
      </c>
    </row>
    <row r="49" ht="20.1" customHeight="1" s="574">
      <c r="A49" s="101">
        <f>IF(B49="","",ROW()-5)</f>
        <v/>
      </c>
      <c r="B49" s="61" t="n">
        <v>5929</v>
      </c>
      <c r="C49" s="98">
        <f t="array" ref="C49">_xll.RssMarket(B49, "銘柄名称")</f>
        <v/>
      </c>
      <c r="D49" s="99">
        <f>IF(B49="","",HYPERLINK("https://kabutan.jp/stock/?code="&amp;B49,"株探"))</f>
        <v/>
      </c>
      <c r="AA49" s="462" t="n"/>
    </row>
    <row r="50" ht="20.1" customHeight="1" s="574">
      <c r="A50" s="101">
        <f>IF(B50="","",ROW()-5)</f>
        <v/>
      </c>
      <c r="B50" s="61" t="n">
        <v>8316</v>
      </c>
      <c r="C50" s="98">
        <f t="array" ref="C50">_xll.RssMarket(B50, "銘柄名称")</f>
        <v/>
      </c>
      <c r="D50" s="99">
        <f>IF(B50="","",HYPERLINK("https://kabutan.jp/stock/?code="&amp;B50,"株探"))</f>
        <v/>
      </c>
      <c r="AA50" s="462" t="n"/>
    </row>
    <row r="51" ht="20.1" customHeight="1" s="574">
      <c r="A51" s="101">
        <f>IF(B51="","",ROW()-5)</f>
        <v/>
      </c>
      <c r="B51" s="61" t="n">
        <v>5449</v>
      </c>
      <c r="C51" s="98">
        <f t="array" ref="C51">_xll.RssMarket(B51, "銘柄名称")</f>
        <v/>
      </c>
      <c r="D51" s="99">
        <f>IF(B51="","",HYPERLINK("https://kabutan.jp/stock/?code="&amp;B51,"株探"))</f>
        <v/>
      </c>
    </row>
    <row r="52" ht="20.1" customHeight="1" s="574">
      <c r="A52" s="101">
        <f>IF(B52="","",ROW()-5)</f>
        <v/>
      </c>
      <c r="B52" s="61" t="n">
        <v>8766</v>
      </c>
      <c r="C52" s="98">
        <f t="array" ref="C52">_xll.RssMarket(B52, "銘柄名称")</f>
        <v/>
      </c>
      <c r="D52" s="99">
        <f>IF(B52="","",HYPERLINK("https://kabutan.jp/stock/?code="&amp;B52,"株探"))</f>
        <v/>
      </c>
      <c r="AA52" s="462" t="n"/>
    </row>
    <row r="53" ht="20.1" customHeight="1" s="574">
      <c r="A53" s="101">
        <f>IF(B53="","",ROW()-5)</f>
        <v/>
      </c>
      <c r="B53" s="61" t="n">
        <v>5201</v>
      </c>
      <c r="C53" s="98">
        <f t="array" ref="C53">_xll.RssMarket(B53, "銘柄名称")</f>
        <v/>
      </c>
      <c r="D53" s="99">
        <f>IF(B53="","",HYPERLINK("https://kabutan.jp/stock/?code="&amp;B53,"株探"))</f>
        <v/>
      </c>
      <c r="AA53" s="462" t="n"/>
    </row>
    <row r="54" ht="20.1" customHeight="1" s="574">
      <c r="A54" s="101">
        <f>IF(B54="","",ROW()-5)</f>
        <v/>
      </c>
      <c r="B54" s="61" t="n">
        <v>8630</v>
      </c>
      <c r="C54" s="98">
        <f t="array" ref="C54">_xll.RssMarket(B54, "銘柄名称")</f>
        <v/>
      </c>
      <c r="D54" s="99">
        <f>IF(B54="","",HYPERLINK("https://kabutan.jp/stock/?code="&amp;B54,"株探"))</f>
        <v/>
      </c>
      <c r="AA54" s="462" t="n"/>
    </row>
    <row r="55" ht="20.1" customHeight="1" s="574">
      <c r="A55" s="101">
        <f>IF(B55="","",ROW()-5)</f>
        <v/>
      </c>
      <c r="B55" s="61" t="n">
        <v>5901</v>
      </c>
      <c r="C55" s="98">
        <f t="array" ref="C55">_xll.RssMarket(B55, "銘柄名称")</f>
        <v/>
      </c>
      <c r="D55" s="99">
        <f>IF(B55="","",HYPERLINK("https://kabutan.jp/stock/?code="&amp;B55,"株探"))</f>
        <v/>
      </c>
      <c r="AA55" s="462" t="n"/>
    </row>
    <row r="56" ht="20.1" customHeight="1" s="574">
      <c r="A56" s="101">
        <f>IF(B56="","",ROW()-5)</f>
        <v/>
      </c>
      <c r="B56" s="61" t="n">
        <v>9412</v>
      </c>
      <c r="C56" s="98">
        <f t="array" ref="C56">_xll.RssMarket(B56, "銘柄名称")</f>
        <v/>
      </c>
      <c r="D56" s="99">
        <f>IF(B56="","",HYPERLINK("https://kabutan.jp/stock/?code="&amp;B56,"株探"))</f>
        <v/>
      </c>
      <c r="AA56" s="462" t="n"/>
    </row>
    <row r="57" ht="20.1" customHeight="1" s="574">
      <c r="A57" s="101">
        <f>IF(B57="","",ROW()-5)</f>
        <v/>
      </c>
      <c r="B57" s="61" t="n">
        <v>6203</v>
      </c>
      <c r="C57" s="98">
        <f t="array" ref="C57">_xll.RssMarket(B57, "銘柄名称")</f>
        <v/>
      </c>
      <c r="D57" s="99">
        <f>IF(B57="","",HYPERLINK("https://kabutan.jp/stock/?code="&amp;B57,"株探"))</f>
        <v/>
      </c>
    </row>
    <row r="58" ht="20.1" customHeight="1" s="574">
      <c r="A58" s="101">
        <f>IF(B58="","",ROW()-5)</f>
        <v/>
      </c>
      <c r="B58" s="61" t="n">
        <v>4676</v>
      </c>
      <c r="C58" s="98">
        <f t="array" ref="C58">_xll.RssMarket(B58, "銘柄名称")</f>
        <v/>
      </c>
      <c r="D58" s="99">
        <f>IF(B58="","",HYPERLINK("https://kabutan.jp/stock/?code="&amp;B58,"株探"))</f>
        <v/>
      </c>
      <c r="AA58" s="462" t="n"/>
    </row>
    <row r="59" ht="20.1" customHeight="1" s="574">
      <c r="A59" s="101">
        <f>IF(B59="","",ROW()-5)</f>
        <v/>
      </c>
      <c r="B59" s="61" t="n">
        <v>1961</v>
      </c>
      <c r="C59" s="98">
        <f t="array" ref="C59">_xll.RssMarket(B59, "銘柄名称")</f>
        <v/>
      </c>
      <c r="D59" s="99">
        <f>IF(B59="","",HYPERLINK("https://kabutan.jp/stock/?code="&amp;B59,"株探"))</f>
        <v/>
      </c>
    </row>
    <row r="60" ht="20.1" customHeight="1" s="574">
      <c r="A60" s="101">
        <f>IF(B60="","",ROW()-5)</f>
        <v/>
      </c>
      <c r="B60" s="61" t="n">
        <v>3107</v>
      </c>
      <c r="C60" s="98">
        <f t="array" ref="C60">_xll.RssMarket(B60, "銘柄名称")</f>
        <v/>
      </c>
      <c r="D60" s="99">
        <f>IF(B60="","",HYPERLINK("https://kabutan.jp/stock/?code="&amp;B60,"株探"))</f>
        <v/>
      </c>
      <c r="AA60" s="462" t="n"/>
    </row>
    <row r="61" ht="20.1" customHeight="1" s="574">
      <c r="A61" s="101">
        <f>IF(B61="","",ROW()-5)</f>
        <v/>
      </c>
      <c r="B61" s="61" t="n">
        <v>4045</v>
      </c>
      <c r="C61" s="98">
        <f t="array" ref="C61">_xll.RssMarket(B61, "銘柄名称")</f>
        <v/>
      </c>
      <c r="D61" s="99">
        <f>IF(B61="","",HYPERLINK("https://kabutan.jp/stock/?code="&amp;B61,"株探"))</f>
        <v/>
      </c>
      <c r="AA61" s="462" t="n"/>
    </row>
    <row r="62" ht="20.1" customHeight="1" s="574">
      <c r="A62" s="101">
        <f>IF(B62="","",ROW()-5)</f>
        <v/>
      </c>
      <c r="B62" s="61" t="n">
        <v>5857</v>
      </c>
      <c r="C62" s="98">
        <f t="array" ref="C62">_xll.RssMarket(B62, "銘柄名称")</f>
        <v/>
      </c>
      <c r="D62" s="99">
        <f>IF(B62="","",HYPERLINK("https://kabutan.jp/stock/?code="&amp;B62,"株探"))</f>
        <v/>
      </c>
      <c r="AA62" s="462" t="n"/>
    </row>
    <row r="63" ht="20.1" customHeight="1" s="574">
      <c r="A63" s="101">
        <f>IF(B63="","",ROW()-5)</f>
        <v/>
      </c>
      <c r="B63" s="61" t="n">
        <v>8281</v>
      </c>
      <c r="C63" s="98">
        <f t="array" ref="C63">_xll.RssMarket(B63, "銘柄名称")</f>
        <v/>
      </c>
      <c r="D63" s="99">
        <f>IF(B63="","",HYPERLINK("https://kabutan.jp/stock/?code="&amp;B63,"株探"))</f>
        <v/>
      </c>
      <c r="AA63" s="462" t="n"/>
    </row>
    <row r="64" ht="20.1" customHeight="1" s="574">
      <c r="A64" s="101">
        <f>IF(B64="","",ROW()-5)</f>
        <v/>
      </c>
      <c r="B64" s="61" t="n">
        <v>4540</v>
      </c>
      <c r="C64" s="98">
        <f t="array" ref="C64">_xll.RssMarket(B64, "銘柄名称")</f>
        <v/>
      </c>
      <c r="D64" s="103">
        <f>IF(B64="","",HYPERLINK("https://kabutan.jp/stock/?code="&amp;B64,"株探"))</f>
        <v/>
      </c>
    </row>
    <row r="65" ht="20.1" customHeight="1" s="574">
      <c r="A65" s="101">
        <f>IF(B65="","",ROW()-5)</f>
        <v/>
      </c>
      <c r="B65" s="61" t="n">
        <v>9984</v>
      </c>
      <c r="C65" s="98">
        <f t="array" ref="C65">_xll.RssMarket(B65, "銘柄名称")</f>
        <v/>
      </c>
      <c r="D65" s="99">
        <f>IF(B65="","",HYPERLINK("https://kabutan.jp/stock/?code="&amp;B65,"株探"))</f>
        <v/>
      </c>
      <c r="AA65" s="462" t="n"/>
    </row>
    <row r="66" ht="20.1" customHeight="1" s="574">
      <c r="A66" s="101">
        <f>IF(B66="","",ROW()-5)</f>
        <v/>
      </c>
      <c r="B66" s="61" t="n">
        <v>4063</v>
      </c>
      <c r="C66" s="98">
        <f t="array" ref="C66">_xll.RssMarket(B66, "銘柄名称")</f>
        <v/>
      </c>
      <c r="D66" s="99">
        <f>IF(B66="","",HYPERLINK("https://kabutan.jp/stock/?code="&amp;B66,"株探"))</f>
        <v/>
      </c>
      <c r="AA66" s="462" t="n"/>
    </row>
    <row r="67" ht="20.1" customHeight="1" s="574">
      <c r="A67" s="101">
        <f>IF(B67="","",ROW()-5)</f>
        <v/>
      </c>
      <c r="B67" s="61" t="n">
        <v>4536</v>
      </c>
      <c r="C67" s="98">
        <f t="array" ref="C67">_xll.RssMarket(B67, "銘柄名称")</f>
        <v/>
      </c>
      <c r="D67" s="99">
        <f>IF(B67="","",HYPERLINK("https://kabutan.jp/stock/?code="&amp;B67,"株探"))</f>
        <v/>
      </c>
      <c r="AA67" s="462" t="n"/>
    </row>
    <row r="68" ht="20.1" customHeight="1" s="574">
      <c r="A68" s="101">
        <f>IF(B68="","",ROW()-5)</f>
        <v/>
      </c>
      <c r="B68" s="61" t="n">
        <v>6503</v>
      </c>
      <c r="C68" s="98">
        <f t="array" ref="C68">_xll.RssMarket(B68, "銘柄名称")</f>
        <v/>
      </c>
      <c r="D68" s="99">
        <f>IF(B68="","",HYPERLINK("https://kabutan.jp/stock/?code="&amp;B68,"株探"))</f>
        <v/>
      </c>
      <c r="AA68" s="462" t="n"/>
    </row>
    <row r="69" ht="20.1" customHeight="1" s="574">
      <c r="A69" s="101">
        <f>IF(B69="","",ROW()-5)</f>
        <v/>
      </c>
      <c r="B69" s="61" t="n">
        <v>4980</v>
      </c>
      <c r="C69" s="98">
        <f t="array" ref="C69">_xll.RssMarket(B69, "銘柄名称")</f>
        <v/>
      </c>
      <c r="D69" s="99">
        <f>IF(B69="","",HYPERLINK("https://kabutan.jp/stock/?code="&amp;B69,"株探"))</f>
        <v/>
      </c>
      <c r="AA69" s="462" t="n"/>
    </row>
    <row r="70" ht="20.1" customHeight="1" s="574">
      <c r="A70" s="101">
        <f>IF(B70="","",ROW()-5)</f>
        <v/>
      </c>
      <c r="B70" s="61" t="n">
        <v>9424</v>
      </c>
      <c r="C70" s="98">
        <f t="array" ref="C70">_xll.RssMarket(B70, "銘柄名称")</f>
        <v/>
      </c>
      <c r="D70" s="99">
        <f>IF(B70="","",HYPERLINK("https://kabutan.jp/stock/?code="&amp;B70,"株探"))</f>
        <v/>
      </c>
    </row>
    <row r="71" ht="20.1" customHeight="1" s="574">
      <c r="A71" s="101">
        <f>IF(B71="","",ROW()-5)</f>
        <v/>
      </c>
      <c r="B71" s="61" t="n">
        <v>3854</v>
      </c>
      <c r="C71" s="98">
        <f t="array" ref="C71">_xll.RssMarket(B71, "銘柄名称")</f>
        <v/>
      </c>
      <c r="D71" s="99">
        <f>IF(B71="","",HYPERLINK("https://kabutan.jp/stock/?code="&amp;B71,"株探"))</f>
        <v/>
      </c>
      <c r="AA71" s="462" t="n"/>
    </row>
    <row r="72" ht="20.1" customHeight="1" s="574">
      <c r="A72" s="101">
        <f>IF(B72="","",ROW()-5)</f>
        <v/>
      </c>
      <c r="B72" s="61" t="n">
        <v>6027</v>
      </c>
      <c r="C72" s="98">
        <f t="array" ref="C72">_xll.RssMarket(B72, "銘柄名称")</f>
        <v/>
      </c>
      <c r="D72" s="99">
        <f>IF(B72="","",HYPERLINK("https://kabutan.jp/stock/?code="&amp;B72,"株探"))</f>
        <v/>
      </c>
      <c r="AA72" s="462" t="n"/>
    </row>
    <row r="73" ht="20.1" customHeight="1" s="574">
      <c r="A73" s="101">
        <f>IF(B73="","",ROW()-5)</f>
        <v/>
      </c>
      <c r="B73" s="61" t="n">
        <v>7806</v>
      </c>
      <c r="C73" s="98">
        <f t="array" ref="C73">_xll.RssMarket(B73, "銘柄名称")</f>
        <v/>
      </c>
      <c r="D73" s="99">
        <f>IF(B73="","",HYPERLINK("https://kabutan.jp/stock/?code="&amp;B73,"株探"))</f>
        <v/>
      </c>
      <c r="AA73" s="462" t="n"/>
    </row>
    <row r="74" ht="20.1" customHeight="1" s="574">
      <c r="A74" s="101">
        <f>IF(B74="","",ROW()-5)</f>
        <v/>
      </c>
      <c r="B74" s="61" t="n">
        <v>9202</v>
      </c>
      <c r="C74" s="98">
        <f t="array" ref="C74">_xll.RssMarket(B74, "銘柄名称")</f>
        <v/>
      </c>
      <c r="D74" s="99">
        <f>IF(B74="","",HYPERLINK("https://kabutan.jp/stock/?code="&amp;B74,"株探"))</f>
        <v/>
      </c>
    </row>
    <row r="75" ht="20.1" customHeight="1" s="574">
      <c r="A75" s="101">
        <f>IF(B75="","",ROW()-5)</f>
        <v/>
      </c>
      <c r="B75" s="61" t="n">
        <v>7846</v>
      </c>
      <c r="C75" s="98">
        <f t="array" ref="C75">_xll.RssMarket(B75, "銘柄名称")</f>
        <v/>
      </c>
      <c r="D75" s="99">
        <f>IF(B75="","",HYPERLINK("https://kabutan.jp/stock/?code="&amp;B75,"株探"))</f>
        <v/>
      </c>
      <c r="AA75" s="462" t="n"/>
    </row>
    <row r="76" ht="20.1" customHeight="1" s="574">
      <c r="A76" s="101">
        <f>IF(B76="","",ROW()-5)</f>
        <v/>
      </c>
      <c r="B76" s="61" t="n">
        <v>2802</v>
      </c>
      <c r="C76" s="98">
        <f t="array" ref="C76">_xll.RssMarket(B76, "銘柄名称")</f>
        <v/>
      </c>
      <c r="D76" s="99">
        <f>IF(B76="","",HYPERLINK("https://kabutan.jp/stock/?code="&amp;B76,"株探"))</f>
        <v/>
      </c>
      <c r="AA76" s="462" t="n"/>
    </row>
    <row r="77" ht="20.1" customHeight="1" s="574">
      <c r="A77" s="101">
        <f>IF(B77="","",ROW()-5)</f>
        <v/>
      </c>
      <c r="B77" s="61" t="n">
        <v>7203</v>
      </c>
      <c r="C77" s="98">
        <f t="array" ref="C77">_xll.RssMarket(B77, "銘柄名称")</f>
        <v/>
      </c>
      <c r="D77" s="99">
        <f>IF(B77="","",HYPERLINK("https://kabutan.jp/stock/?code="&amp;B77,"株探"))</f>
        <v/>
      </c>
    </row>
    <row r="78" ht="20.1" customHeight="1" s="574">
      <c r="A78" s="101">
        <f>IF(B78="","",ROW()-5)</f>
        <v/>
      </c>
      <c r="B78" s="61" t="n">
        <v>6954</v>
      </c>
      <c r="C78" s="98">
        <f t="array" ref="C78">_xll.RssMarket(B78, "銘柄名称")</f>
        <v/>
      </c>
      <c r="D78" s="99">
        <f>IF(B78="","",HYPERLINK("https://kabutan.jp/stock/?code="&amp;B78,"株探"))</f>
        <v/>
      </c>
      <c r="AA78" s="462" t="n"/>
    </row>
    <row r="79" ht="20.1" customHeight="1" s="574">
      <c r="A79" s="101">
        <f>IF(B79="","",ROW()-5)</f>
        <v/>
      </c>
      <c r="B79" s="61" t="n">
        <v>6479</v>
      </c>
      <c r="C79" s="98">
        <f t="array" ref="C79">_xll.RssMarket(B79, "銘柄名称")</f>
        <v/>
      </c>
      <c r="D79" s="99">
        <f>IF(B79="","",HYPERLINK("https://kabutan.jp/stock/?code="&amp;B79,"株探"))</f>
        <v/>
      </c>
      <c r="AA79" s="462" t="n"/>
    </row>
    <row r="80" ht="20.1" customHeight="1" s="574">
      <c r="A80" s="101">
        <f>IF(B80="","",ROW()-5)</f>
        <v/>
      </c>
      <c r="B80" s="61" t="n">
        <v>1833</v>
      </c>
      <c r="C80" s="98">
        <f t="array" ref="C80">_xll.RssMarket(B80, "銘柄名称")</f>
        <v/>
      </c>
      <c r="D80" s="99">
        <f>IF(B80="","",HYPERLINK("https://kabutan.jp/stock/?code="&amp;B80,"株探"))</f>
        <v/>
      </c>
    </row>
    <row r="81" ht="20.1" customHeight="1" s="574">
      <c r="A81" s="101">
        <f>IF(B81="","",ROW()-5)</f>
        <v/>
      </c>
      <c r="B81" s="61" t="n">
        <v>6841</v>
      </c>
      <c r="C81" s="98">
        <f t="array" ref="C81">_xll.RssMarket(B81, "銘柄名称")</f>
        <v/>
      </c>
      <c r="D81" s="99">
        <f>IF(B81="","",HYPERLINK("https://kabutan.jp/stock/?code="&amp;B81,"株探"))</f>
        <v/>
      </c>
    </row>
    <row r="82" ht="20.1" customHeight="1" s="574">
      <c r="A82" s="101">
        <f>IF(B82="","",ROW()-5)</f>
        <v/>
      </c>
      <c r="B82" s="61" t="n">
        <v>7167</v>
      </c>
      <c r="C82" s="98">
        <f t="array" ref="C82">_xll.RssMarket(B82, "銘柄名称")</f>
        <v/>
      </c>
      <c r="D82" s="99">
        <f>IF(B82="","",HYPERLINK("https://kabutan.jp/stock/?code="&amp;B82,"株探"))</f>
        <v/>
      </c>
    </row>
    <row r="83" ht="20.1" customHeight="1" s="574">
      <c r="A83" s="101">
        <f>IF(B83="","",ROW()-5)</f>
        <v/>
      </c>
      <c r="B83" s="61" t="n">
        <v>1925</v>
      </c>
      <c r="C83" s="98">
        <f t="array" ref="C83">_xll.RssMarket(B83, "銘柄名称")</f>
        <v/>
      </c>
      <c r="D83" s="99">
        <f>IF(B83="","",HYPERLINK("https://kabutan.jp/stock/?code="&amp;B83,"株探"))</f>
        <v/>
      </c>
    </row>
    <row r="84" ht="20.1" customHeight="1" s="574">
      <c r="A84" s="101">
        <f>IF(B84="","",ROW()-5)</f>
        <v/>
      </c>
      <c r="B84" s="61" t="n">
        <v>5411</v>
      </c>
      <c r="C84" s="98">
        <f t="array" ref="C84">_xll.RssMarket(B84, "銘柄名称")</f>
        <v/>
      </c>
      <c r="D84" s="99">
        <f>IF(B84="","",HYPERLINK("https://kabutan.jp/stock/?code="&amp;B84,"株探"))</f>
        <v/>
      </c>
    </row>
    <row r="85" ht="20.1" customHeight="1" s="574">
      <c r="A85" s="101">
        <f>IF(B85="","",ROW()-5)</f>
        <v/>
      </c>
      <c r="B85" s="61" t="n">
        <v>7182</v>
      </c>
      <c r="C85" s="98">
        <f t="array" ref="C85">_xll.RssMarket(B85, "銘柄名称")</f>
        <v/>
      </c>
      <c r="D85" s="99">
        <f>IF(B85="","",HYPERLINK("https://kabutan.jp/stock/?code="&amp;B85,"株探"))</f>
        <v/>
      </c>
      <c r="AA85" s="462" t="n"/>
    </row>
    <row r="86" ht="20.1" customHeight="1" s="574">
      <c r="A86" s="101">
        <f>IF(B86="","",ROW()-5)</f>
        <v/>
      </c>
      <c r="B86" s="61" t="n">
        <v>1963</v>
      </c>
      <c r="C86" s="98">
        <f t="array" ref="C86">_xll.RssMarket(B86, "銘柄名称")</f>
        <v/>
      </c>
      <c r="D86" s="99">
        <f>IF(B86="","",HYPERLINK("https://kabutan.jp/stock/?code="&amp;B86,"株探"))</f>
        <v/>
      </c>
      <c r="AA86" s="462" t="n"/>
    </row>
    <row r="87" ht="20.1" customHeight="1" s="574">
      <c r="A87" s="101">
        <f>IF(B87="","",ROW()-5)</f>
        <v/>
      </c>
      <c r="B87" s="61" t="n">
        <v>2914</v>
      </c>
      <c r="C87" s="98">
        <f t="array" ref="C87">_xll.RssMarket(B87, "銘柄名称")</f>
        <v/>
      </c>
      <c r="D87" s="99">
        <f>IF(B87="","",HYPERLINK("https://kabutan.jp/stock/?code="&amp;B87,"株探"))</f>
        <v/>
      </c>
    </row>
    <row r="88" ht="20.1" customHeight="1" s="574">
      <c r="A88" s="101">
        <f>IF(B88="","",ROW()-5)</f>
        <v/>
      </c>
      <c r="B88" s="61" t="n">
        <v>3003</v>
      </c>
      <c r="C88" s="98">
        <f t="array" ref="C88">_xll.RssMarket(B88, "銘柄名称")</f>
        <v/>
      </c>
      <c r="D88" s="99">
        <f>IF(B88="","",HYPERLINK("https://kabutan.jp/stock/?code="&amp;B88,"株探"))</f>
        <v/>
      </c>
    </row>
    <row r="89" ht="20.1" customHeight="1" s="574">
      <c r="A89" s="101">
        <f>IF(B89="","",ROW()-5)</f>
        <v/>
      </c>
      <c r="B89" s="61" t="n">
        <v>5892</v>
      </c>
      <c r="C89" s="98">
        <f t="array" ref="C89">_xll.RssMarket(B89, "銘柄名称")</f>
        <v/>
      </c>
      <c r="D89" s="99">
        <f>IF(B89="","",HYPERLINK("https://kabutan.jp/stock/?code="&amp;B89,"株探"))</f>
        <v/>
      </c>
    </row>
    <row r="90" ht="20.1" customHeight="1" s="574">
      <c r="A90" s="101">
        <f>IF(B90="","",ROW()-5)</f>
        <v/>
      </c>
      <c r="B90" s="61" t="n">
        <v>6323</v>
      </c>
      <c r="C90" s="98">
        <f t="array" ref="C90">_xll.RssMarket(B90, "銘柄名称")</f>
        <v/>
      </c>
      <c r="D90" s="99">
        <f>IF(B90="","",HYPERLINK("https://kabutan.jp/stock/?code="&amp;B90,"株探"))</f>
        <v/>
      </c>
      <c r="AA90" s="462" t="inlineStr">
        <is>
          <t>★</t>
        </is>
      </c>
    </row>
    <row r="91" ht="20.1" customHeight="1" s="574">
      <c r="A91" s="101">
        <f>IF(B91="","",ROW()-5)</f>
        <v/>
      </c>
      <c r="B91" s="61" t="n">
        <v>6501</v>
      </c>
      <c r="C91" s="98">
        <f t="array" ref="C91">_xll.RssMarket(B91, "銘柄名称")</f>
        <v/>
      </c>
      <c r="D91" s="99">
        <f>IF(B91="","",HYPERLINK("https://kabutan.jp/stock/?code="&amp;B91,"株探"))</f>
        <v/>
      </c>
      <c r="AA91" s="462" t="n"/>
    </row>
    <row r="92" ht="20.1" customHeight="1" s="574">
      <c r="A92" s="101">
        <f>IF(B92="","",ROW()-5)</f>
        <v/>
      </c>
      <c r="B92" s="61" t="n">
        <v>6134</v>
      </c>
      <c r="C92" s="98">
        <f t="array" ref="C92">_xll.RssMarket(B92, "銘柄名称")</f>
        <v/>
      </c>
      <c r="D92" s="99">
        <f>IF(B92="","",HYPERLINK("https://kabutan.jp/stock/?code="&amp;B92,"株探"))</f>
        <v/>
      </c>
      <c r="AA92" s="462" t="n"/>
    </row>
    <row r="93" ht="20.1" customHeight="1" s="574">
      <c r="A93" s="101">
        <f>IF(B93="","",ROW()-5)</f>
        <v/>
      </c>
      <c r="B93" s="61" t="n">
        <v>7746</v>
      </c>
      <c r="C93" s="98">
        <f t="array" ref="C93">_xll.RssMarket(B93, "銘柄名称")</f>
        <v/>
      </c>
      <c r="D93" s="99">
        <f>IF(B93="","",HYPERLINK("https://kabutan.jp/stock/?code="&amp;B93,"株探"))</f>
        <v/>
      </c>
      <c r="AA93" s="462" t="n"/>
    </row>
    <row r="94" ht="20.1" customHeight="1" s="574">
      <c r="A94" s="101">
        <f>IF(B94="","",ROW()-5)</f>
        <v/>
      </c>
      <c r="B94" s="61" t="n">
        <v>3407</v>
      </c>
      <c r="C94" s="98">
        <f t="array" ref="C94">_xll.RssMarket(B94, "銘柄名称")</f>
        <v/>
      </c>
      <c r="D94" s="99">
        <f>IF(B94="","",HYPERLINK("https://kabutan.jp/stock/?code="&amp;B94,"株探"))</f>
        <v/>
      </c>
      <c r="AA94" s="462" t="n"/>
    </row>
    <row r="95" ht="20.1" customHeight="1" s="574">
      <c r="A95" s="101">
        <f>IF(B95="","",ROW()-5)</f>
        <v/>
      </c>
      <c r="B95" s="61" t="n">
        <v>4008</v>
      </c>
      <c r="C95" s="98">
        <f t="array" ref="C95">_xll.RssMarket(B95, "銘柄名称")</f>
        <v/>
      </c>
      <c r="D95" s="99">
        <f>IF(B95="","",HYPERLINK("https://kabutan.jp/stock/?code="&amp;B95,"株探"))</f>
        <v/>
      </c>
    </row>
    <row r="96" ht="20.1" customHeight="1" s="574">
      <c r="A96" s="101">
        <f>IF(B96="","",ROW()-5)</f>
        <v/>
      </c>
      <c r="B96" s="61" t="n">
        <v>4062</v>
      </c>
      <c r="C96" s="98">
        <f t="array" ref="C96">_xll.RssMarket(B96, "銘柄名称")</f>
        <v/>
      </c>
      <c r="D96" s="99">
        <f>IF(B96="","",HYPERLINK("https://kabutan.jp/stock/?code="&amp;B96,"株探"))</f>
        <v/>
      </c>
      <c r="AA96" s="462" t="n"/>
    </row>
    <row r="97" ht="20.1" customHeight="1" s="574">
      <c r="A97" s="101">
        <f>IF(B97="","",ROW()-5)</f>
        <v/>
      </c>
      <c r="B97" s="61" t="n">
        <v>4182</v>
      </c>
      <c r="C97" s="98">
        <f t="array" ref="C97">_xll.RssMarket(B97, "銘柄名称")</f>
        <v/>
      </c>
      <c r="D97" s="99">
        <f>IF(B97="","",HYPERLINK("https://kabutan.jp/stock/?code="&amp;B97,"株探"))</f>
        <v/>
      </c>
      <c r="AA97" s="462" t="n"/>
    </row>
    <row r="98" ht="20.1" customHeight="1" s="574">
      <c r="A98" s="101">
        <f>IF(B98="","",ROW()-5)</f>
        <v/>
      </c>
      <c r="B98" s="61" t="n">
        <v>4188</v>
      </c>
      <c r="C98" s="98">
        <f t="array" ref="C98">_xll.RssMarket(B98, "銘柄名称")</f>
        <v/>
      </c>
      <c r="D98" s="99">
        <f>IF(B98="","",HYPERLINK("https://kabutan.jp/stock/?code="&amp;B98,"株探"))</f>
        <v/>
      </c>
    </row>
    <row r="99" ht="20.1" customHeight="1" s="574">
      <c r="A99" s="101">
        <f>IF(B99="","",ROW()-5)</f>
        <v/>
      </c>
      <c r="B99" s="61" t="n">
        <v>4523</v>
      </c>
      <c r="C99" s="98">
        <f t="array" ref="C99">_xll.RssMarket(B99, "銘柄名称")</f>
        <v/>
      </c>
      <c r="D99" s="99">
        <f>IF(B99="","",HYPERLINK("https://kabutan.jp/stock/?code="&amp;B99,"株探"))</f>
        <v/>
      </c>
    </row>
    <row r="100" ht="20.1" customHeight="1" s="574">
      <c r="A100" s="101">
        <f>IF(B100="","",ROW()-5)</f>
        <v/>
      </c>
      <c r="B100" s="61" t="n">
        <v>4528</v>
      </c>
      <c r="C100" s="98">
        <f t="array" ref="C100">_xll.RssMarket(B100, "銘柄名称")</f>
        <v/>
      </c>
      <c r="D100" s="99">
        <f>IF(B100="","",HYPERLINK("https://kabutan.jp/stock/?code="&amp;B100,"株探"))</f>
        <v/>
      </c>
    </row>
    <row r="101" ht="20.1" customHeight="1" s="574">
      <c r="A101" s="101">
        <f>IF(B101="","",ROW()-5)</f>
        <v/>
      </c>
      <c r="B101" s="61" t="n">
        <v>4661</v>
      </c>
      <c r="C101" s="98">
        <f t="array" ref="C101">_xll.RssMarket(B101, "銘柄名称")</f>
        <v/>
      </c>
      <c r="D101" s="99">
        <f>IF(B101="","",HYPERLINK("https://kabutan.jp/stock/?code="&amp;B101,"株探"))</f>
        <v/>
      </c>
    </row>
    <row r="102" ht="20.1" customHeight="1" s="574">
      <c r="A102" s="101">
        <f>IF(B102="","",ROW()-5)</f>
        <v/>
      </c>
      <c r="B102" s="61" t="n">
        <v>5802</v>
      </c>
      <c r="C102" s="98">
        <f t="array" ref="C102">_xll.RssMarket(B102, "銘柄名称")</f>
        <v/>
      </c>
      <c r="D102" s="99">
        <f>IF(B102="","",HYPERLINK("https://kabutan.jp/stock/?code="&amp;B102,"株探"))</f>
        <v/>
      </c>
      <c r="AA102" s="462" t="n"/>
    </row>
    <row r="103" ht="20.1" customHeight="1" s="574">
      <c r="A103" s="101">
        <f>IF(B103="","",ROW()-5)</f>
        <v/>
      </c>
      <c r="B103" s="61" t="n">
        <v>5803</v>
      </c>
      <c r="C103" s="98">
        <f t="array" ref="C103">_xll.RssMarket(B103, "銘柄名称")</f>
        <v/>
      </c>
      <c r="D103" s="99">
        <f>IF(B103="","",HYPERLINK("https://kabutan.jp/stock/?code="&amp;B103,"株探"))</f>
        <v/>
      </c>
      <c r="AA103" s="462" t="n"/>
    </row>
    <row r="104" ht="20.1" customHeight="1" s="574">
      <c r="A104" s="101">
        <f>IF(B104="","",ROW()-5)</f>
        <v/>
      </c>
      <c r="B104" s="61" t="n">
        <v>6178</v>
      </c>
      <c r="C104" s="98">
        <f t="array" ref="C104">_xll.RssMarket(B104, "銘柄名称")</f>
        <v/>
      </c>
      <c r="D104" s="99">
        <f>IF(B104="","",HYPERLINK("https://kabutan.jp/stock/?code="&amp;B104,"株探"))</f>
        <v/>
      </c>
      <c r="AA104" s="462" t="n"/>
    </row>
    <row r="105" ht="20.1" customHeight="1" s="574">
      <c r="A105" s="101">
        <f>IF(B105="","",ROW()-5)</f>
        <v/>
      </c>
      <c r="B105" s="61" t="n">
        <v>6925</v>
      </c>
      <c r="C105" s="98">
        <f t="array" ref="C105">_xll.RssMarket(B105, "銘柄名称")</f>
        <v/>
      </c>
      <c r="D105" s="99">
        <f>IF(B105="","",HYPERLINK("https://kabutan.jp/stock/?code="&amp;B105,"株探"))</f>
        <v/>
      </c>
      <c r="AA105" s="462" t="n"/>
    </row>
    <row r="106" ht="20.1" customHeight="1" s="574">
      <c r="A106" s="101">
        <f>IF(B106="","",ROW()-5)</f>
        <v/>
      </c>
      <c r="B106" s="61" t="n">
        <v>7021</v>
      </c>
      <c r="C106" s="98">
        <f t="array" ref="C106">_xll.RssMarket(B106, "銘柄名称")</f>
        <v/>
      </c>
      <c r="D106" s="99">
        <f>IF(B106="","",HYPERLINK("https://kabutan.jp/stock/?code="&amp;B106,"株探"))</f>
        <v/>
      </c>
    </row>
    <row r="107" ht="20.1" customHeight="1" s="574">
      <c r="A107" s="101">
        <f>IF(B107="","",ROW()-5)</f>
        <v/>
      </c>
      <c r="B107" s="61" t="n">
        <v>7729</v>
      </c>
      <c r="C107" s="98">
        <f t="array" ref="C107">_xll.RssMarket(B107, "銘柄名称")</f>
        <v/>
      </c>
      <c r="D107" s="99">
        <f>IF(B107="","",HYPERLINK("https://kabutan.jp/stock/?code="&amp;B107,"株探"))</f>
        <v/>
      </c>
      <c r="AA107" s="462" t="n"/>
    </row>
    <row r="108" ht="20.1" customHeight="1" s="574">
      <c r="A108" s="101">
        <f>IF(B108="","",ROW()-5)</f>
        <v/>
      </c>
      <c r="B108" s="61" t="n">
        <v>8424</v>
      </c>
      <c r="C108" s="98">
        <f t="array" ref="C108">_xll.RssMarket(B108, "銘柄名称")</f>
        <v/>
      </c>
      <c r="D108" s="99">
        <f>IF(B108="","",HYPERLINK("https://kabutan.jp/stock/?code="&amp;B108,"株探"))</f>
        <v/>
      </c>
    </row>
    <row r="109" ht="20.1" customHeight="1" s="574">
      <c r="A109" s="101">
        <f>IF(B109="","",ROW()-5)</f>
        <v/>
      </c>
      <c r="B109" s="61" t="n">
        <v>9020</v>
      </c>
      <c r="C109" s="98">
        <f t="array" ref="C109">_xll.RssMarket(B109, "銘柄名称")</f>
        <v/>
      </c>
      <c r="D109" s="99">
        <f>IF(B109="","",HYPERLINK("https://kabutan.jp/stock/?code="&amp;B109,"株探"))</f>
        <v/>
      </c>
    </row>
    <row r="110" ht="20.1" customHeight="1" s="574">
      <c r="A110" s="101">
        <f>IF(B110="","",ROW()-5)</f>
        <v/>
      </c>
      <c r="B110" s="61" t="n">
        <v>9069</v>
      </c>
      <c r="C110" s="98">
        <f t="array" ref="C110">_xll.RssMarket(B110, "銘柄名称")</f>
        <v/>
      </c>
      <c r="D110" s="99">
        <f>IF(B110="","",HYPERLINK("https://kabutan.jp/stock/?code="&amp;B110,"株探"))</f>
        <v/>
      </c>
    </row>
    <row r="111" ht="20.1" customHeight="1" s="574">
      <c r="A111" s="101">
        <f>IF(B111="","",ROW()-5)</f>
        <v/>
      </c>
      <c r="B111" s="61" t="n">
        <v>9227</v>
      </c>
      <c r="C111" s="98">
        <f t="array" ref="C111">_xll.RssMarket(B111, "銘柄名称")</f>
        <v/>
      </c>
      <c r="D111" s="99">
        <f>IF(B111="","",HYPERLINK("https://kabutan.jp/stock/?code="&amp;B111,"株探"))</f>
        <v/>
      </c>
    </row>
    <row r="112" ht="20.1" customHeight="1" s="574">
      <c r="A112" s="101">
        <f>IF(B112="","",ROW()-5)</f>
        <v/>
      </c>
      <c r="B112" s="61" t="n">
        <v>9348</v>
      </c>
      <c r="C112" s="98">
        <f t="array" ref="C112">_xll.RssMarket(B112, "銘柄名称")</f>
        <v/>
      </c>
      <c r="D112" s="99">
        <f>IF(B112="","",HYPERLINK("https://kabutan.jp/stock/?code="&amp;B112,"株探"))</f>
        <v/>
      </c>
      <c r="AA112" s="462" t="n"/>
    </row>
    <row r="113" ht="20.1" customHeight="1" s="574">
      <c r="A113" s="101">
        <f>IF(B113="","",ROW()-5)</f>
        <v/>
      </c>
      <c r="B113" s="61" t="n">
        <v>9449</v>
      </c>
      <c r="C113" s="98">
        <f t="array" ref="C113">_xll.RssMarket(B113, "銘柄名称")</f>
        <v/>
      </c>
      <c r="D113" s="99">
        <f>IF(B113="","",HYPERLINK("https://kabutan.jp/stock/?code="&amp;B113,"株探"))</f>
        <v/>
      </c>
    </row>
    <row r="114" ht="20.1" customHeight="1" s="574">
      <c r="A114" s="101">
        <f>IF(B114="","",ROW()-5)</f>
        <v/>
      </c>
      <c r="B114" s="61" t="n">
        <v>9501</v>
      </c>
      <c r="C114" s="98">
        <f t="array" ref="C114">_xll.RssMarket(B114, "銘柄名称")</f>
        <v/>
      </c>
      <c r="D114" s="99">
        <f>IF(B114="","",HYPERLINK("https://kabutan.jp/stock/?code="&amp;B114,"株探"))</f>
        <v/>
      </c>
    </row>
    <row r="115" ht="20.1" customHeight="1" s="574">
      <c r="A115" s="101">
        <f>IF(B115="","",ROW()-5)</f>
        <v/>
      </c>
      <c r="B115" s="61" t="n">
        <v>9531</v>
      </c>
      <c r="C115" s="98">
        <f t="array" ref="C115">_xll.RssMarket(B115, "銘柄名称")</f>
        <v/>
      </c>
      <c r="D115" s="99">
        <f>IF(B115="","",HYPERLINK("https://kabutan.jp/stock/?code="&amp;B115,"株探"))</f>
        <v/>
      </c>
    </row>
    <row r="116" ht="20.1" customHeight="1" s="574">
      <c r="A116" s="101">
        <f>IF(B116="","",ROW()-5)</f>
        <v/>
      </c>
      <c r="B116" s="61" t="n">
        <v>9882</v>
      </c>
      <c r="C116" s="98">
        <f t="array" ref="C116">_xll.RssMarket(B116, "銘柄名称")</f>
        <v/>
      </c>
      <c r="D116" s="99">
        <f>IF(B116="","",HYPERLINK("https://kabutan.jp/stock/?code="&amp;B116,"株探"))</f>
        <v/>
      </c>
      <c r="AA116" s="462" t="n"/>
    </row>
    <row r="117" ht="20.1" customHeight="1" s="574">
      <c r="A117" s="101">
        <f>IF(B117="","",ROW()-5)</f>
        <v/>
      </c>
      <c r="B117" s="61" t="n">
        <v>5838</v>
      </c>
      <c r="C117" s="98">
        <f t="array" ref="C117">_xll.RssMarket(B117, "銘柄名称")</f>
        <v/>
      </c>
      <c r="D117" s="99">
        <f>IF(B117="","",HYPERLINK("https://kabutan.jp/stock/?code="&amp;B117,"株探"))</f>
        <v/>
      </c>
    </row>
    <row r="118" ht="20.1" customHeight="1" s="574">
      <c r="A118" s="101">
        <f>IF(B118="","",ROW()-5)</f>
        <v/>
      </c>
      <c r="B118" s="61" t="n">
        <v>5844</v>
      </c>
      <c r="C118" s="98">
        <f t="array" ref="C118">_xll.RssMarket(B118, "銘柄名称")</f>
        <v/>
      </c>
      <c r="D118" s="99">
        <f>IF(B118="","",HYPERLINK("https://kabutan.jp/stock/?code="&amp;B118,"株探"))</f>
        <v/>
      </c>
      <c r="AA118" s="462" t="n"/>
    </row>
    <row r="119" ht="20.1" customHeight="1" s="574">
      <c r="A119" s="101">
        <f>IF(B119="","",ROW()-5)</f>
        <v/>
      </c>
      <c r="B119" s="61" t="n">
        <v>9404</v>
      </c>
      <c r="C119" s="98">
        <f t="array" ref="C119">_xll.RssMarket(B119, "銘柄名称")</f>
        <v/>
      </c>
      <c r="D119" s="99">
        <f>IF(B119="","",HYPERLINK("https://kabutan.jp/stock/?code="&amp;B119,"株探"))</f>
        <v/>
      </c>
    </row>
    <row r="120" ht="20.1" customHeight="1" s="574">
      <c r="A120" s="101">
        <f>IF(B120="","",ROW()-5)</f>
        <v/>
      </c>
      <c r="B120" s="61" t="n">
        <v>6744</v>
      </c>
      <c r="C120" s="98">
        <f t="array" ref="C120">_xll.RssMarket(B120, "銘柄名称")</f>
        <v/>
      </c>
      <c r="D120" s="99">
        <f>IF(B120="","",HYPERLINK("https://kabutan.jp/stock/?code="&amp;B120,"株探"))</f>
        <v/>
      </c>
      <c r="AA120" s="462" t="n"/>
    </row>
    <row r="121" ht="20.1" customHeight="1" s="574">
      <c r="A121" s="101">
        <f>IF(B121="","",ROW()-5)</f>
        <v/>
      </c>
      <c r="B121" s="61" t="n">
        <v>7685</v>
      </c>
      <c r="C121" s="98">
        <f t="array" ref="C121">_xll.RssMarket(B121, "銘柄名称")</f>
        <v/>
      </c>
      <c r="D121" s="99">
        <f>IF(B121="","",HYPERLINK("https://kabutan.jp/stock/?code="&amp;B121,"株探"))</f>
        <v/>
      </c>
      <c r="AA121" s="462" t="n"/>
    </row>
    <row r="122" ht="20.1" customHeight="1" s="574">
      <c r="A122" s="101">
        <f>IF(B122="","",ROW()-5)</f>
        <v/>
      </c>
      <c r="B122" s="61" t="n">
        <v>8334</v>
      </c>
      <c r="C122" s="98">
        <f t="array" ref="C122">_xll.RssMarket(B122, "銘柄名称")</f>
        <v/>
      </c>
      <c r="D122" s="99">
        <f>IF(B122="","",HYPERLINK("https://kabutan.jp/stock/?code="&amp;B122,"株探"))</f>
        <v/>
      </c>
      <c r="AA122" s="462" t="n"/>
    </row>
    <row r="123" ht="20.1" customHeight="1" s="574">
      <c r="A123" s="101">
        <f>IF(B123="","",ROW()-5)</f>
        <v/>
      </c>
      <c r="B123" s="61" t="n">
        <v>8359</v>
      </c>
      <c r="C123" s="98">
        <f t="array" ref="C123">_xll.RssMarket(B123, "銘柄名称")</f>
        <v/>
      </c>
      <c r="D123" s="99">
        <f>IF(B123="","",HYPERLINK("https://kabutan.jp/stock/?code="&amp;B123,"株探"))</f>
        <v/>
      </c>
      <c r="AA123" s="462" t="n"/>
    </row>
    <row r="124" ht="20.1" customHeight="1" s="574">
      <c r="A124" s="101">
        <f>IF(B124="","",ROW()-5)</f>
        <v/>
      </c>
      <c r="B124" s="61" t="n">
        <v>8801</v>
      </c>
      <c r="C124" s="98">
        <f t="array" ref="C124">_xll.RssMarket(B124, "銘柄名称")</f>
        <v/>
      </c>
      <c r="D124" s="99">
        <f>IF(B124="","",HYPERLINK("https://kabutan.jp/stock/?code="&amp;B124,"株探"))</f>
        <v/>
      </c>
    </row>
    <row r="125" ht="20.1" customHeight="1" s="574">
      <c r="A125" s="101">
        <f>IF(B125="","",ROW()-5)</f>
        <v/>
      </c>
      <c r="B125" s="61" t="n">
        <v>8934</v>
      </c>
      <c r="C125" s="98">
        <f t="array" ref="C125">_xll.RssMarket(B125, "銘柄名称")</f>
        <v/>
      </c>
      <c r="D125" s="99">
        <f>IF(B125="","",HYPERLINK("https://kabutan.jp/stock/?code="&amp;B125,"株探"))</f>
        <v/>
      </c>
    </row>
    <row r="126" ht="20.1" customHeight="1" s="574">
      <c r="A126" s="101">
        <f>IF(B126="","",ROW()-5)</f>
        <v/>
      </c>
      <c r="B126" s="61" t="n">
        <v>9416</v>
      </c>
      <c r="C126" s="98">
        <f t="array" ref="C126">_xll.RssMarket(B126, "銘柄名称")</f>
        <v/>
      </c>
      <c r="D126" s="99">
        <f>IF(B126="","",HYPERLINK("https://kabutan.jp/stock/?code="&amp;B126,"株探"))</f>
        <v/>
      </c>
    </row>
    <row r="127" ht="20.1" customHeight="1" s="574">
      <c r="A127" s="101">
        <f>IF(B127="","",ROW()-5)</f>
        <v/>
      </c>
      <c r="B127" s="61" t="n">
        <v>9532</v>
      </c>
      <c r="C127" s="98">
        <f t="array" ref="C127">_xll.RssMarket(B127, "銘柄名称")</f>
        <v/>
      </c>
      <c r="D127" s="99">
        <f>IF(B127="","",HYPERLINK("https://kabutan.jp/stock/?code="&amp;B127,"株探"))</f>
        <v/>
      </c>
    </row>
    <row r="128" ht="20.1" customHeight="1" s="574">
      <c r="A128" s="101">
        <f>IF(B128="","",ROW()-5)</f>
        <v/>
      </c>
      <c r="B128" s="61" t="n">
        <v>6330</v>
      </c>
      <c r="C128" s="98">
        <f t="array" ref="C128">_xll.RssMarket(B128, "銘柄名称")</f>
        <v/>
      </c>
      <c r="D128" s="99">
        <f>IF(B128="","",HYPERLINK("https://kabutan.jp/stock/?code="&amp;B128,"株探"))</f>
        <v/>
      </c>
    </row>
    <row r="129" ht="20.1" customHeight="1" s="574">
      <c r="A129" s="101">
        <f>IF(B129="","",ROW()-5)</f>
        <v/>
      </c>
      <c r="B129" s="61" t="n">
        <v>4082</v>
      </c>
      <c r="C129" s="98">
        <f t="array" ref="C129">_xll.RssMarket(B129, "銘柄名称")</f>
        <v/>
      </c>
      <c r="D129" s="99">
        <f>IF(B129="","",HYPERLINK("https://kabutan.jp/stock/?code="&amp;B129,"株探"))</f>
        <v/>
      </c>
    </row>
    <row r="130" ht="20.1" customHeight="1" s="574">
      <c r="A130" s="101">
        <f>IF(B130="","",ROW()-5)</f>
        <v/>
      </c>
      <c r="B130" s="61" t="n">
        <v>4519</v>
      </c>
      <c r="C130" s="98">
        <f t="array" ref="C130">_xll.RssMarket(B130, "銘柄名称")</f>
        <v/>
      </c>
      <c r="D130" s="99">
        <f>IF(B130="","",HYPERLINK("https://kabutan.jp/stock/?code="&amp;B130,"株探"))</f>
        <v/>
      </c>
    </row>
    <row r="131" ht="20.1" customHeight="1" s="574">
      <c r="A131" s="101">
        <f>IF(B131="","",ROW()-5)</f>
        <v/>
      </c>
      <c r="B131" s="61" t="n">
        <v>2160</v>
      </c>
      <c r="C131" s="98">
        <f t="array" ref="C131">_xll.RssMarket(B131, "銘柄名称")</f>
        <v/>
      </c>
      <c r="D131" s="99">
        <f>IF(B131="","",HYPERLINK("https://kabutan.jp/stock/?code="&amp;B131,"株探"))</f>
        <v/>
      </c>
    </row>
    <row r="132" ht="20.1" customHeight="1" s="574">
      <c r="A132" s="101">
        <f>IF(B132="","",ROW()-5)</f>
        <v/>
      </c>
      <c r="B132" s="61" t="n">
        <v>6227</v>
      </c>
      <c r="C132" s="98">
        <f t="array" ref="C132">_xll.RssMarket(B132, "銘柄名称")</f>
        <v/>
      </c>
      <c r="D132" s="99">
        <f>IF(B132="","",HYPERLINK("https://kabutan.jp/stock/?code="&amp;B132,"株探"))</f>
        <v/>
      </c>
    </row>
    <row r="133" ht="20.1" customHeight="1" s="574">
      <c r="A133" s="101">
        <f>IF(B133="","",ROW()-5)</f>
        <v/>
      </c>
      <c r="B133" s="61" t="n">
        <v>6327</v>
      </c>
      <c r="C133" s="98">
        <f t="array" ref="C133">_xll.RssMarket(B133, "銘柄名称")</f>
        <v/>
      </c>
      <c r="D133" s="99">
        <f>IF(B133="","",HYPERLINK("https://kabutan.jp/stock/?code="&amp;B133,"株探"))</f>
        <v/>
      </c>
      <c r="AA133" s="462" t="n"/>
    </row>
    <row r="134" ht="20.1" customHeight="1" s="574">
      <c r="A134" s="101">
        <f>IF(B134="","",ROW()-5)</f>
        <v/>
      </c>
      <c r="B134" s="61" t="n">
        <v>3110</v>
      </c>
      <c r="C134" s="98">
        <f t="array" ref="C134">_xll.RssMarket(B134, "銘柄名称")</f>
        <v/>
      </c>
      <c r="D134" s="99">
        <f>IF(B134="","",HYPERLINK("https://kabutan.jp/stock/?code="&amp;B134,"株探"))</f>
        <v/>
      </c>
      <c r="AA134" s="462" t="n"/>
    </row>
    <row r="135" ht="20.1" customHeight="1" s="574">
      <c r="A135" s="101">
        <f>IF(B135="","",ROW()-5)</f>
        <v/>
      </c>
      <c r="B135" s="61" t="n">
        <v>6232</v>
      </c>
      <c r="C135" s="98">
        <f t="array" ref="C135">_xll.RssMarket(B135, "銘柄名称")</f>
        <v/>
      </c>
      <c r="D135" s="99">
        <f>IF(B135="","",HYPERLINK("https://kabutan.jp/stock/?code="&amp;B135,"株探"))</f>
        <v/>
      </c>
      <c r="AA135" s="462" t="n"/>
    </row>
    <row r="136" ht="20.1" customHeight="1" s="574">
      <c r="A136" s="101">
        <f>IF(B136="","",ROW()-5)</f>
        <v/>
      </c>
      <c r="B136" s="61" t="n">
        <v>7794</v>
      </c>
      <c r="C136" s="98">
        <f t="array" ref="C136">_xll.RssMarket(B136, "銘柄名称")</f>
        <v/>
      </c>
      <c r="D136" s="99">
        <f>IF(B136="","",HYPERLINK("https://kabutan.jp/stock/?code="&amp;B136,"株探"))</f>
        <v/>
      </c>
    </row>
    <row r="137" ht="20.1" customHeight="1" s="574">
      <c r="A137" s="101">
        <f>IF(B137="","",ROW()-5)</f>
        <v/>
      </c>
      <c r="B137" s="61" t="n">
        <v>6085</v>
      </c>
      <c r="C137" s="98">
        <f t="array" ref="C137">_xll.RssMarket(B137, "銘柄名称")</f>
        <v/>
      </c>
      <c r="D137" s="99">
        <f>IF(B137="","",HYPERLINK("https://kabutan.jp/stock/?code="&amp;B137,"株探"))</f>
        <v/>
      </c>
      <c r="AA137" s="462" t="n"/>
    </row>
    <row r="138" ht="20.1" customHeight="1" s="574">
      <c r="A138" s="101">
        <f>IF(B138="","",ROW()-5)</f>
        <v/>
      </c>
      <c r="B138" s="61" t="n">
        <v>3103</v>
      </c>
      <c r="C138" s="98">
        <f t="array" ref="C138">_xll.RssMarket(B138, "銘柄名称")</f>
        <v/>
      </c>
      <c r="D138" s="99">
        <f>IF(B138="","",HYPERLINK("https://kabutan.jp/stock/?code="&amp;B138,"株探"))</f>
        <v/>
      </c>
      <c r="AA138" s="462" t="n"/>
    </row>
    <row r="139" ht="20.1" customHeight="1" s="574">
      <c r="A139" s="101">
        <f>IF(B139="","",ROW()-5)</f>
        <v/>
      </c>
      <c r="B139" s="61" t="n">
        <v>4422</v>
      </c>
      <c r="C139" s="98">
        <f t="array" ref="C139">_xll.RssMarket(B139, "銘柄名称")</f>
        <v/>
      </c>
      <c r="D139" s="99">
        <f>IF(B139="","",HYPERLINK("https://kabutan.jp/stock/?code="&amp;B139,"株探"))</f>
        <v/>
      </c>
      <c r="AA139" s="462" t="n"/>
    </row>
    <row r="140" ht="20.1" customHeight="1" s="574">
      <c r="A140" s="101">
        <f>IF(B140="","",ROW()-5)</f>
        <v/>
      </c>
      <c r="B140" s="61" t="n">
        <v>6740</v>
      </c>
      <c r="C140" s="98">
        <f t="array" ref="C140">_xll.RssMarket(B140, "銘柄名称")</f>
        <v/>
      </c>
      <c r="D140" s="99">
        <f>IF(B140="","",HYPERLINK("https://kabutan.jp/stock/?code="&amp;B140,"株探"))</f>
        <v/>
      </c>
      <c r="AA140" s="462" t="n"/>
    </row>
    <row r="141" ht="20.1" customHeight="1" s="574">
      <c r="A141" s="101">
        <f>IF(B141="","",ROW()-5)</f>
        <v/>
      </c>
      <c r="B141" s="61" t="n">
        <v>6613</v>
      </c>
      <c r="C141" s="98">
        <f t="array" ref="C141">_xll.RssMarket(B141, "銘柄名称")</f>
        <v/>
      </c>
      <c r="D141" s="99">
        <f>IF(B141="","",HYPERLINK("https://kabutan.jp/stock/?code="&amp;B141,"株探"))</f>
        <v/>
      </c>
      <c r="AA141" s="462" t="n"/>
    </row>
    <row r="142" ht="20.1" customHeight="1" s="574">
      <c r="A142" s="101">
        <f>IF(B142="","",ROW()-5)</f>
        <v/>
      </c>
      <c r="B142" s="61" t="inlineStr">
        <is>
          <t>4568</t>
        </is>
      </c>
      <c r="C142" s="98">
        <f>_xll.RssMarket($B142,"銘柄名称")</f>
        <v/>
      </c>
      <c r="D142" s="99">
        <f>IF(B142="","",HYPERLINK("https://kabutan.jp/stock/?code="&amp;B142,"株探"))</f>
        <v/>
      </c>
    </row>
    <row r="143" ht="20.1" customHeight="1" s="574">
      <c r="A143" s="101">
        <f>IF(B143="","",ROW()-5)</f>
        <v/>
      </c>
      <c r="B143" s="61" t="n">
        <v>6522</v>
      </c>
      <c r="C143" s="98">
        <f t="array" ref="C143">_xll.RssMarket(B143, "銘柄名称")</f>
        <v/>
      </c>
      <c r="D143" s="99">
        <f>IF(B143="","",HYPERLINK("https://kabutan.jp/stock/?code="&amp;B143,"株探"))</f>
        <v/>
      </c>
      <c r="AA143" s="462" t="n"/>
    </row>
    <row r="144" ht="20.1" customHeight="1" s="574">
      <c r="A144" s="101">
        <f>IF(B144="","",ROW()-5)</f>
        <v/>
      </c>
      <c r="B144" s="61" t="n">
        <v>6777</v>
      </c>
      <c r="C144" s="98">
        <f t="array" ref="C144">_xll.RssMarket(B144, "銘柄名称")</f>
        <v/>
      </c>
      <c r="D144" s="99">
        <f>IF(B144="","",HYPERLINK("https://kabutan.jp/stock/?code="&amp;B144,"株探"))</f>
        <v/>
      </c>
      <c r="AA144" s="462" t="n"/>
    </row>
    <row r="145" ht="20.1" customHeight="1" s="574">
      <c r="A145" s="101">
        <f>IF(B145="","",ROW()-5)</f>
        <v/>
      </c>
      <c r="B145" s="61" t="n">
        <v>6787</v>
      </c>
      <c r="C145" s="98">
        <f t="array" ref="C145">_xll.RssMarket(B145, "銘柄名称")</f>
        <v/>
      </c>
      <c r="D145" s="99">
        <f>IF(B145="","",HYPERLINK("https://kabutan.jp/stock/?code="&amp;B145,"株探"))</f>
        <v/>
      </c>
      <c r="AA145" s="462" t="n"/>
    </row>
    <row r="146" ht="20.1" customHeight="1" s="574">
      <c r="A146" s="101">
        <f>IF(B146="","",ROW()-5)</f>
        <v/>
      </c>
      <c r="B146" s="61" t="n">
        <v>4888</v>
      </c>
      <c r="C146" s="98">
        <f t="array" ref="C146">_xll.RssMarket(B146, "銘柄名称")</f>
        <v/>
      </c>
      <c r="D146" s="99">
        <f>IF(B146="","",HYPERLINK("https://kabutan.jp/stock/?code="&amp;B146,"株探"))</f>
        <v/>
      </c>
    </row>
    <row r="147" ht="20.1" customHeight="1" s="574">
      <c r="A147" s="101">
        <f>IF(B147="","",ROW()-5)</f>
        <v/>
      </c>
      <c r="B147" s="61" t="n">
        <v>6387</v>
      </c>
      <c r="C147" s="98">
        <f t="array" ref="C147">_xll.RssMarket(B147, "銘柄名称")</f>
        <v/>
      </c>
      <c r="D147" s="99">
        <f>IF(B147="","",HYPERLINK("https://kabutan.jp/stock/?code="&amp;B147,"株探"))</f>
        <v/>
      </c>
      <c r="AA147" s="462" t="n"/>
    </row>
    <row r="148" ht="20.1" customHeight="1" s="574">
      <c r="A148" s="101">
        <f>IF(B148="","",ROW()-5)</f>
        <v/>
      </c>
      <c r="B148" s="61" t="n">
        <v>6838</v>
      </c>
      <c r="C148" s="98">
        <f t="array" ref="C148">_xll.RssMarket(B148, "銘柄名称")</f>
        <v/>
      </c>
      <c r="D148" s="99">
        <f>IF(B148="","",HYPERLINK("https://kabutan.jp/stock/?code="&amp;B148,"株探"))</f>
        <v/>
      </c>
      <c r="AA148" s="462" t="n"/>
    </row>
    <row r="149" ht="20.1" customHeight="1" s="574">
      <c r="A149" s="101">
        <f>IF(B149="","",ROW()-5)</f>
        <v/>
      </c>
      <c r="B149" s="61" t="n">
        <v>7375</v>
      </c>
      <c r="C149" s="98">
        <f t="array" ref="C149">_xll.RssMarket(B149, "銘柄名称")</f>
        <v/>
      </c>
      <c r="D149" s="99">
        <f>IF(B149="","",HYPERLINK("https://kabutan.jp/stock/?code="&amp;B149,"株探"))</f>
        <v/>
      </c>
      <c r="AA149" s="462" t="n"/>
    </row>
    <row r="150" ht="20.1" customHeight="1" s="574">
      <c r="A150" s="101">
        <f>IF(B150="","",ROW()-5)</f>
        <v/>
      </c>
      <c r="B150" s="61" t="n">
        <v>4307</v>
      </c>
      <c r="C150" s="98">
        <f t="array" ref="C150">_xll.RssMarket(B150, "銘柄名称")</f>
        <v/>
      </c>
      <c r="D150" s="99">
        <f>IF(B150="","",HYPERLINK("https://kabutan.jp/stock/?code="&amp;B150,"株探"))</f>
        <v/>
      </c>
      <c r="AA150" s="462" t="n"/>
    </row>
    <row r="151" ht="20.1" customHeight="1" s="574">
      <c r="A151" s="101">
        <f>IF(B151="","",ROW()-5)</f>
        <v/>
      </c>
      <c r="B151" s="61" t="n">
        <v>6516</v>
      </c>
      <c r="C151" s="98">
        <f t="array" ref="C151">_xll.RssMarket(B151, "銘柄名称")</f>
        <v/>
      </c>
      <c r="D151" s="99">
        <f>IF(B151="","",HYPERLINK("https://kabutan.jp/stock/?code="&amp;B151,"株探"))</f>
        <v/>
      </c>
      <c r="AA151" s="462" t="n"/>
    </row>
    <row r="152" ht="20.1" customHeight="1" s="574">
      <c r="A152" s="101">
        <f>IF(B152="","",ROW()-5)</f>
        <v/>
      </c>
      <c r="B152" s="61" t="n">
        <v>7381</v>
      </c>
      <c r="C152" s="98">
        <f t="array" ref="C152">_xll.RssMarket(B152, "銘柄名称")</f>
        <v/>
      </c>
      <c r="D152" s="99">
        <f>IF(B152="","",HYPERLINK("https://kabutan.jp/stock/?code="&amp;B152,"株探"))</f>
        <v/>
      </c>
    </row>
    <row r="153" ht="20.1" customHeight="1" s="574">
      <c r="A153" s="101">
        <f>IF(B153="","",ROW()-5)</f>
        <v/>
      </c>
      <c r="B153" s="61" t="n">
        <v>4417</v>
      </c>
      <c r="C153" s="98">
        <f t="array" ref="C153">_xll.RssMarket(B153, "銘柄名称")</f>
        <v/>
      </c>
      <c r="D153" s="99">
        <f>IF(B153="","",HYPERLINK("https://kabutan.jp/stock/?code="&amp;B153,"株探"))</f>
        <v/>
      </c>
    </row>
    <row r="154" ht="20.1" customHeight="1" s="574">
      <c r="A154" s="101">
        <f>IF(B154="","",ROW()-5)</f>
        <v/>
      </c>
      <c r="B154" s="61" t="n">
        <v>6981</v>
      </c>
      <c r="C154" s="98">
        <f t="array" ref="C154">_xll.RssMarket(B154, "銘柄名称")</f>
        <v/>
      </c>
      <c r="D154" s="99">
        <f>IF(B154="","",HYPERLINK("https://kabutan.jp/stock/?code="&amp;B154,"株探"))</f>
        <v/>
      </c>
      <c r="AA154" s="462" t="inlineStr">
        <is>
          <t>★</t>
        </is>
      </c>
    </row>
    <row r="155" ht="20.1" customHeight="1" s="574">
      <c r="A155" s="101">
        <f>IF(B155="","",ROW()-5)</f>
        <v/>
      </c>
      <c r="B155" s="61" t="n">
        <v>6754</v>
      </c>
      <c r="C155" s="98">
        <f t="array" ref="C155">_xll.RssMarket(B155, "銘柄名称")</f>
        <v/>
      </c>
      <c r="D155" s="99">
        <f>IF(B155="","",HYPERLINK("https://kabutan.jp/stock/?code="&amp;B155,"株探"))</f>
        <v/>
      </c>
      <c r="AA155" s="462" t="n"/>
    </row>
    <row r="156" ht="20.1" customHeight="1" s="574">
      <c r="A156" s="101">
        <f>IF(B156="","",ROW()-5)</f>
        <v/>
      </c>
      <c r="B156" s="61" t="n">
        <v>4088</v>
      </c>
      <c r="C156" s="98">
        <f t="array" ref="C156">_xll.RssMarket(B156, "銘柄名称")</f>
        <v/>
      </c>
      <c r="D156" s="99">
        <f>IF(B156="","",HYPERLINK("https://kabutan.jp/stock/?code="&amp;B156,"株探"))</f>
        <v/>
      </c>
    </row>
    <row r="157" ht="20.1" customHeight="1" s="574">
      <c r="A157" s="101">
        <f>IF(B157="","",ROW()-5)</f>
        <v/>
      </c>
      <c r="B157" s="61" t="n">
        <v>4091</v>
      </c>
      <c r="C157" s="98">
        <f t="array" ref="C157">_xll.RssMarket(B157, "銘柄名称")</f>
        <v/>
      </c>
      <c r="D157" s="99">
        <f>IF(B157="","",HYPERLINK("https://kabutan.jp/stock/?code="&amp;B157,"株探"))</f>
        <v/>
      </c>
      <c r="AA157" s="462" t="n"/>
    </row>
    <row r="158" ht="20.1" customHeight="1" s="574">
      <c r="A158" s="101">
        <f>IF(B158="","",ROW()-5)</f>
        <v/>
      </c>
      <c r="B158" s="61" t="n">
        <v>6857</v>
      </c>
      <c r="C158" s="98">
        <f t="array" ref="C158">_xll.RssMarket(B158, "銘柄名称")</f>
        <v/>
      </c>
      <c r="D158" s="99">
        <f>IF(B158="","",HYPERLINK("https://kabutan.jp/stock/?code="&amp;B158,"株探"))</f>
        <v/>
      </c>
      <c r="AA158" s="462" t="n"/>
    </row>
    <row r="159" ht="20.1" customHeight="1" s="574">
      <c r="A159" s="101">
        <f>IF(B159="","",ROW()-5)</f>
        <v/>
      </c>
      <c r="B159" s="61" t="n">
        <v>3891</v>
      </c>
      <c r="C159" s="98">
        <f t="array" ref="C159">_xll.RssMarket(B159, "銘柄名称")</f>
        <v/>
      </c>
      <c r="D159" s="99">
        <f>IF(B159="","",HYPERLINK("https://kabutan.jp/stock/?code="&amp;B159,"株探"))</f>
        <v/>
      </c>
      <c r="AA159" s="462" t="inlineStr">
        <is>
          <t>★</t>
        </is>
      </c>
    </row>
    <row r="160" ht="20.1" customHeight="1" s="574">
      <c r="A160" s="101">
        <f>IF(B160="","",ROW()-5)</f>
        <v/>
      </c>
      <c r="B160" s="61" t="n">
        <v>4373</v>
      </c>
      <c r="C160" s="98">
        <f t="array" ref="C160">_xll.RssMarket(B160, "銘柄名称")</f>
        <v/>
      </c>
      <c r="D160" s="99">
        <f>IF(B160="","",HYPERLINK("https://kabutan.jp/stock/?code="&amp;B160,"株探"))</f>
        <v/>
      </c>
      <c r="AA160" s="462" t="n"/>
    </row>
    <row r="161" ht="20.1" customHeight="1" s="574">
      <c r="A161" s="101">
        <f>IF(B161="","",ROW()-5)</f>
        <v/>
      </c>
      <c r="B161" s="61" t="n">
        <v>8892</v>
      </c>
      <c r="C161" s="98">
        <f t="array" ref="C161">_xll.RssMarket(B161, "銘柄名称")</f>
        <v/>
      </c>
      <c r="D161" s="99">
        <f>IF(B161="","",HYPERLINK("https://kabutan.jp/stock/?code="&amp;B161,"株探"))</f>
        <v/>
      </c>
      <c r="AA161" s="462" t="n"/>
    </row>
    <row r="162" ht="20.1" customHeight="1" s="574">
      <c r="A162" s="101">
        <f>IF(B162="","",ROW()-5)</f>
        <v/>
      </c>
      <c r="B162" s="61" t="n">
        <v>9687</v>
      </c>
      <c r="C162" s="98">
        <f t="array" ref="C162">_xll.RssMarket(B162, "銘柄名称")</f>
        <v/>
      </c>
      <c r="D162" s="99">
        <f>IF(B162="","",HYPERLINK("https://kabutan.jp/stock/?code="&amp;B162,"株探"))</f>
        <v/>
      </c>
    </row>
    <row r="163" ht="20.1" customHeight="1" s="574">
      <c r="A163" s="101">
        <f>IF(B163="","",ROW()-5)</f>
        <v/>
      </c>
      <c r="B163" s="61" t="n">
        <v>1930</v>
      </c>
      <c r="C163" s="98">
        <f t="array" ref="C163">_xll.RssMarket(B163, "銘柄名称")</f>
        <v/>
      </c>
      <c r="D163" s="99">
        <f>IF(B163="","",HYPERLINK("https://kabutan.jp/stock/?code="&amp;B163,"株探"))</f>
        <v/>
      </c>
    </row>
    <row r="164" ht="20.1" customHeight="1" s="574">
      <c r="A164" s="101">
        <f>IF(B164="","",ROW()-5)</f>
        <v/>
      </c>
      <c r="B164" s="61" t="n">
        <v>8704</v>
      </c>
      <c r="C164" s="98">
        <f t="array" ref="C164">_xll.RssMarket(B164, "銘柄名称")</f>
        <v/>
      </c>
      <c r="D164" s="99">
        <f>IF(B164="","",HYPERLINK("https://kabutan.jp/stock/?code="&amp;B164,"株探"))</f>
        <v/>
      </c>
      <c r="AA164" s="462" t="n"/>
    </row>
    <row r="165" ht="20.1" customHeight="1" s="574">
      <c r="A165" s="101">
        <f>IF(B165="","",ROW()-5)</f>
        <v/>
      </c>
      <c r="B165" s="61" t="n">
        <v>4733</v>
      </c>
      <c r="C165" s="98">
        <f t="array" ref="C165">_xll.RssMarket(B165, "銘柄名称")</f>
        <v/>
      </c>
      <c r="D165" s="99">
        <f>IF(B165="","",HYPERLINK("https://kabutan.jp/stock/?code="&amp;B165,"株探"))</f>
        <v/>
      </c>
    </row>
    <row r="166" ht="20.1" customHeight="1" s="574">
      <c r="A166" s="101">
        <f>IF(B166="","",ROW()-5)</f>
        <v/>
      </c>
      <c r="B166" s="61" t="n">
        <v>9733</v>
      </c>
      <c r="C166" s="98">
        <f t="array" ref="C166">_xll.RssMarket(B166, "銘柄名称")</f>
        <v/>
      </c>
      <c r="D166" s="99">
        <f>IF(B166="","",HYPERLINK("https://kabutan.jp/stock/?code="&amp;B166,"株探"))</f>
        <v/>
      </c>
    </row>
    <row r="167" ht="20.1" customHeight="1" s="574">
      <c r="A167" s="101">
        <f>IF(B167="","",ROW()-5)</f>
        <v/>
      </c>
      <c r="B167" s="61" t="n">
        <v>9551</v>
      </c>
      <c r="C167" s="98">
        <f t="array" ref="C167">_xll.RssMarket(B167, "銘柄名称")</f>
        <v/>
      </c>
      <c r="D167" s="99">
        <f>IF(B167="","",HYPERLINK("https://kabutan.jp/stock/?code="&amp;B167,"株探"))</f>
        <v/>
      </c>
    </row>
    <row r="168" ht="20.1" customHeight="1" s="574">
      <c r="A168" s="101">
        <f>IF(B168="","",ROW()-5)</f>
        <v/>
      </c>
      <c r="B168" s="61" t="n">
        <v>2359</v>
      </c>
      <c r="C168" s="98">
        <f t="array" ref="C168">_xll.RssMarket(B168, "銘柄名称")</f>
        <v/>
      </c>
      <c r="D168" s="99">
        <f>IF(B168="","",HYPERLINK("https://kabutan.jp/stock/?code="&amp;B168,"株探"))</f>
        <v/>
      </c>
    </row>
    <row r="169" ht="20.1" customHeight="1" s="574">
      <c r="A169" s="101">
        <f>IF(B169="","",ROW()-5)</f>
        <v/>
      </c>
      <c r="B169" s="61" t="n">
        <v>8103</v>
      </c>
      <c r="C169" s="98">
        <f t="array" ref="C169">_xll.RssMarket(B169, "銘柄名称")</f>
        <v/>
      </c>
      <c r="D169" s="99">
        <f>IF(B169="","",HYPERLINK("https://kabutan.jp/stock/?code="&amp;B169,"株探"))</f>
        <v/>
      </c>
    </row>
    <row r="170" ht="20.1" customHeight="1" s="574">
      <c r="A170" s="101">
        <f>IF(B170="","",ROW()-5)</f>
        <v/>
      </c>
      <c r="B170" s="61" t="n">
        <v>4709</v>
      </c>
      <c r="C170" s="98">
        <f t="array" ref="C170">_xll.RssMarket(B170, "銘柄名称")</f>
        <v/>
      </c>
      <c r="D170" s="99">
        <f>IF(B170="","",HYPERLINK("https://kabutan.jp/stock/?code="&amp;B170,"株探"))</f>
        <v/>
      </c>
      <c r="AA170" s="462" t="n"/>
    </row>
    <row r="171" ht="20.1" customHeight="1" s="574">
      <c r="A171" s="101">
        <f>IF(B171="","",ROW()-5)</f>
        <v/>
      </c>
      <c r="B171" s="61" t="n">
        <v>7981</v>
      </c>
      <c r="C171" s="98">
        <f t="array" ref="C171">_xll.RssMarket(B171, "銘柄名称")</f>
        <v/>
      </c>
      <c r="D171" s="99">
        <f>IF(B171="","",HYPERLINK("https://kabutan.jp/stock/?code="&amp;B171,"株探"))</f>
        <v/>
      </c>
    </row>
    <row r="172" ht="20.1" customHeight="1" s="574">
      <c r="A172" s="101">
        <f>IF(B172="","",ROW()-5)</f>
        <v/>
      </c>
      <c r="B172" s="61" t="n">
        <v>8303</v>
      </c>
      <c r="C172" s="98">
        <f t="array" ref="C172">_xll.RssMarket(B172, "銘柄名称")</f>
        <v/>
      </c>
      <c r="D172" s="99">
        <f>IF(B172="","",HYPERLINK("https://kabutan.jp/stock/?code="&amp;B172,"株探"))</f>
        <v/>
      </c>
    </row>
    <row r="173" ht="20.1" customHeight="1" s="574">
      <c r="A173" s="101">
        <f>IF(B173="","",ROW()-5)</f>
        <v/>
      </c>
      <c r="B173" s="61" t="n">
        <v>4382</v>
      </c>
      <c r="C173" s="98">
        <f t="array" ref="C173">_xll.RssMarket(B173, "銘柄名称")</f>
        <v/>
      </c>
      <c r="D173" s="99">
        <f>IF(B173="","",HYPERLINK("https://kabutan.jp/stock/?code="&amp;B173,"株探"))</f>
        <v/>
      </c>
    </row>
    <row r="174" ht="20.1" customHeight="1" s="574">
      <c r="A174" s="101">
        <f>IF(B174="","",ROW()-5)</f>
        <v/>
      </c>
      <c r="B174" s="61" t="n">
        <v>2327</v>
      </c>
      <c r="C174" s="98">
        <f t="array" ref="C174">_xll.RssMarket(B174, "銘柄名称")</f>
        <v/>
      </c>
      <c r="D174" s="99">
        <f>IF(B174="","",HYPERLINK("https://kabutan.jp/stock/?code="&amp;B174,"株探"))</f>
        <v/>
      </c>
    </row>
    <row r="175" ht="20.1" customHeight="1" s="574">
      <c r="A175" s="101">
        <f>IF(B175="","",ROW()-5)</f>
        <v/>
      </c>
      <c r="B175" s="61" t="n">
        <v>1942</v>
      </c>
      <c r="C175" s="98">
        <f t="array" ref="C175">_xll.RssMarket(B175, "銘柄名称")</f>
        <v/>
      </c>
      <c r="D175" s="99">
        <f>IF(B175="","",HYPERLINK("https://kabutan.jp/stock/?code="&amp;B175,"株探"))</f>
        <v/>
      </c>
    </row>
    <row r="176" ht="20.1" customHeight="1" s="574">
      <c r="A176" s="101">
        <f>IF(B176="","",ROW()-5)</f>
        <v/>
      </c>
      <c r="B176" s="61" t="n">
        <v>1938</v>
      </c>
      <c r="C176" s="98">
        <f t="array" ref="C176">_xll.RssMarket(B176, "銘柄名称")</f>
        <v/>
      </c>
      <c r="D176" s="99">
        <f>IF(B176="","",HYPERLINK("https://kabutan.jp/stock/?code="&amp;B176,"株探"))</f>
        <v/>
      </c>
      <c r="AA176" s="462" t="n"/>
    </row>
    <row r="177" ht="20.1" customHeight="1" s="574">
      <c r="A177" s="101">
        <f>IF(B177="","",ROW()-5)</f>
        <v/>
      </c>
      <c r="B177" s="61" t="n">
        <v>7236</v>
      </c>
      <c r="C177" s="98">
        <f t="array" ref="C177">_xll.RssMarket(B177, "銘柄名称")</f>
        <v/>
      </c>
      <c r="D177" s="99">
        <f>IF(B177="","",HYPERLINK("https://kabutan.jp/stock/?code="&amp;B177,"株探"))</f>
        <v/>
      </c>
    </row>
    <row r="178" ht="20.1" customHeight="1" s="574">
      <c r="A178" s="101">
        <f>IF(B178="","",ROW()-5)</f>
        <v/>
      </c>
      <c r="B178" s="61" t="n">
        <v>6436</v>
      </c>
      <c r="C178" s="98">
        <f t="array" ref="C178">_xll.RssMarket(B178, "銘柄名称")</f>
        <v/>
      </c>
      <c r="D178" s="99">
        <f>IF(B178="","",HYPERLINK("https://kabutan.jp/stock/?code="&amp;B178,"株探"))</f>
        <v/>
      </c>
    </row>
    <row r="179" ht="20.1" customHeight="1" s="574">
      <c r="A179" s="101">
        <f>IF(B179="","",ROW()-5)</f>
        <v/>
      </c>
      <c r="B179" s="61" t="n">
        <v>5410</v>
      </c>
      <c r="C179" s="98">
        <f t="array" ref="C179">_xll.RssMarket(B179, "銘柄名称")</f>
        <v/>
      </c>
      <c r="D179" s="99">
        <f>IF(B179="","",HYPERLINK("https://kabutan.jp/stock/?code="&amp;B179,"株探"))</f>
        <v/>
      </c>
    </row>
    <row r="180" ht="20.1" customHeight="1" s="574">
      <c r="A180" s="101">
        <f>IF(B180="","",ROW()-5)</f>
        <v/>
      </c>
      <c r="B180" s="61" t="n">
        <v>5440</v>
      </c>
      <c r="C180" s="98">
        <f t="array" ref="C180">_xll.RssMarket(B180, "銘柄名称")</f>
        <v/>
      </c>
      <c r="D180" s="99">
        <f>IF(B180="","",HYPERLINK("https://kabutan.jp/stock/?code="&amp;B180,"株探"))</f>
        <v/>
      </c>
    </row>
    <row r="181" ht="20.1" customHeight="1" s="574">
      <c r="A181" s="101">
        <f>IF(B181="","",ROW()-5)</f>
        <v/>
      </c>
      <c r="B181" s="61" t="n">
        <v>9505</v>
      </c>
      <c r="C181" s="98">
        <f t="array" ref="C181">_xll.RssMarket(B181, "銘柄名称")</f>
        <v/>
      </c>
      <c r="D181" s="99">
        <f>IF(B181="","",HYPERLINK("https://kabutan.jp/stock/?code="&amp;B181,"株探"))</f>
        <v/>
      </c>
    </row>
    <row r="182" ht="20.1" customHeight="1" s="574">
      <c r="A182" s="101">
        <f>IF(B182="","",ROW()-5)</f>
        <v/>
      </c>
      <c r="B182" s="61" t="n">
        <v>8091</v>
      </c>
      <c r="C182" s="98">
        <f t="array" ref="C182">_xll.RssMarket(B182, "銘柄名称")</f>
        <v/>
      </c>
      <c r="D182" s="99">
        <f>IF(B182="","",HYPERLINK("https://kabutan.jp/stock/?code="&amp;B182,"株探"))</f>
        <v/>
      </c>
    </row>
    <row r="183" ht="20.1" customHeight="1" s="574">
      <c r="A183" s="101">
        <f>IF(B183="","",ROW()-5)</f>
        <v/>
      </c>
      <c r="B183" s="61" t="n">
        <v>6507</v>
      </c>
      <c r="C183" s="98">
        <f t="array" ref="C183">_xll.RssMarket(B183, "銘柄名称")</f>
        <v/>
      </c>
      <c r="D183" s="99">
        <f>IF(B183="","",HYPERLINK("https://kabutan.jp/stock/?code="&amp;B183,"株探"))</f>
        <v/>
      </c>
      <c r="AA183" s="462" t="inlineStr">
        <is>
          <t>★</t>
        </is>
      </c>
    </row>
    <row r="184" ht="20.1" customHeight="1" s="574">
      <c r="A184" s="101">
        <f>IF(B184="","",ROW()-5)</f>
        <v/>
      </c>
      <c r="B184" s="61" t="n">
        <v>9022</v>
      </c>
      <c r="C184" s="98">
        <f t="array" ref="C184">_xll.RssMarket(B184, "銘柄名称")</f>
        <v/>
      </c>
      <c r="D184" s="99">
        <f>IF(B184="","",HYPERLINK("https://kabutan.jp/stock/?code="&amp;B184,"株探"))</f>
        <v/>
      </c>
    </row>
    <row r="185" ht="20.1" customHeight="1" s="574">
      <c r="A185" s="101">
        <f>IF(B185="","",ROW()-5)</f>
        <v/>
      </c>
      <c r="B185" s="61" t="n">
        <v>9536</v>
      </c>
      <c r="C185" s="98">
        <f t="array" ref="C185">_xll.RssMarket(B185, "銘柄名称")</f>
        <v/>
      </c>
      <c r="D185" s="99">
        <f>IF(B185="","",HYPERLINK("https://kabutan.jp/stock/?code="&amp;B185,"株探"))</f>
        <v/>
      </c>
    </row>
    <row r="186" ht="20.1" customHeight="1" s="574">
      <c r="A186" s="101">
        <f>IF(B186="","",ROW()-5)</f>
        <v/>
      </c>
      <c r="B186" s="61" t="n">
        <v>9506</v>
      </c>
      <c r="C186" s="98">
        <f t="array" ref="C186">_xll.RssMarket(B186, "銘柄名称")</f>
        <v/>
      </c>
      <c r="D186" s="99">
        <f>IF(B186="","",HYPERLINK("https://kabutan.jp/stock/?code="&amp;B186,"株探"))</f>
        <v/>
      </c>
    </row>
    <row r="187" ht="20.1" customHeight="1" s="574">
      <c r="A187" s="101">
        <f>IF(B187="","",ROW()-5)</f>
        <v/>
      </c>
      <c r="B187" s="61" t="n">
        <v>2127</v>
      </c>
      <c r="C187" s="98">
        <f t="array" ref="C187">_xll.RssMarket(B187, "銘柄名称")</f>
        <v/>
      </c>
      <c r="D187" s="99">
        <f>IF(B187="","",HYPERLINK("https://kabutan.jp/stock/?code="&amp;B187,"株探"))</f>
        <v/>
      </c>
    </row>
    <row r="188" ht="20.1" customHeight="1" s="574">
      <c r="A188" s="101">
        <f>IF(B188="","",ROW()-5)</f>
        <v/>
      </c>
      <c r="B188" s="61" t="n">
        <v>6753</v>
      </c>
      <c r="C188" s="98">
        <f t="array" ref="C188">_xll.RssMarket(B188, "銘柄名称")</f>
        <v/>
      </c>
      <c r="D188" s="99">
        <f>IF(B188="","",HYPERLINK("https://kabutan.jp/stock/?code="&amp;B188,"株探"))</f>
        <v/>
      </c>
      <c r="AA188" s="462" t="n"/>
    </row>
    <row r="189" ht="20.1" customHeight="1" s="574">
      <c r="A189" s="101">
        <f>IF(B189="","",ROW()-5)</f>
        <v/>
      </c>
      <c r="B189" s="61" t="inlineStr">
        <is>
          <t>9064</t>
        </is>
      </c>
      <c r="C189" s="98">
        <f>_xll.RssMarket($B189,"銘柄名称")</f>
        <v/>
      </c>
      <c r="D189" s="99">
        <f>IF(B189="","",HYPERLINK("https://kabutan.jp/stock/?code="&amp;B189,"株探"))</f>
        <v/>
      </c>
    </row>
    <row r="190" ht="20.1" customHeight="1" s="574">
      <c r="A190" s="101">
        <f>IF(B190="","",ROW()-5)</f>
        <v/>
      </c>
      <c r="B190" s="61" t="inlineStr">
        <is>
          <t>7181</t>
        </is>
      </c>
      <c r="C190" s="98">
        <f t="array" ref="C190">_xll.RssMarket(B190, "銘柄名称")</f>
        <v/>
      </c>
      <c r="D190" s="99">
        <f>IF(B190="","",HYPERLINK("https://kabutan.jp/stock/?code="&amp;B190,"株探"))</f>
        <v/>
      </c>
    </row>
    <row r="191" ht="20.1" customHeight="1" s="574">
      <c r="A191" s="101">
        <f>IF(B191="","",ROW()-5)</f>
        <v/>
      </c>
      <c r="B191" s="61" t="inlineStr">
        <is>
          <t>6485</t>
        </is>
      </c>
      <c r="C191" s="98">
        <f>_xll.RssMarket($B191,"銘柄名称")</f>
        <v/>
      </c>
      <c r="D191" s="99">
        <f>IF(B191="","",HYPERLINK("https://kabutan.jp/stock/?code="&amp;B191,"株探"))</f>
        <v/>
      </c>
    </row>
    <row r="192" ht="20.1" customHeight="1" s="574">
      <c r="A192" s="101">
        <f>IF(B192="","",ROW()-5)</f>
        <v/>
      </c>
      <c r="B192" s="61" t="n">
        <v>4887</v>
      </c>
      <c r="C192" s="98">
        <f t="array" ref="C192">_xll.RssMarket(B192, "銘柄名称")</f>
        <v/>
      </c>
      <c r="D192" s="99">
        <f>IF(B192="","",HYPERLINK("https://kabutan.jp/stock/?code="&amp;B192,"株探"))</f>
        <v/>
      </c>
    </row>
    <row r="193" ht="20.1" customHeight="1" s="574">
      <c r="A193" s="101">
        <f>IF(B193="","",ROW()-5)</f>
        <v/>
      </c>
      <c r="B193" s="61" t="n">
        <v>5243</v>
      </c>
      <c r="C193" s="98">
        <f t="array" ref="C193">_xll.RssMarket(B193, "銘柄名称")</f>
        <v/>
      </c>
      <c r="D193" s="99">
        <f>IF(B193="","",HYPERLINK("https://kabutan.jp/stock/?code="&amp;B193,"株探"))</f>
        <v/>
      </c>
    </row>
    <row r="194" ht="20.1" customHeight="1" s="574">
      <c r="A194" s="101">
        <f>IF(B194="","",ROW()-5)</f>
        <v/>
      </c>
      <c r="B194" s="61" t="n">
        <v>2702</v>
      </c>
      <c r="C194" s="98">
        <f t="array" ref="C194">_xll.RssMarket(B194, "銘柄名称")</f>
        <v/>
      </c>
      <c r="D194" s="99">
        <f>IF(B194="","",HYPERLINK("https://kabutan.jp/stock/?code="&amp;B194,"株探"))</f>
        <v/>
      </c>
    </row>
    <row r="195" ht="20.1" customHeight="1" s="574">
      <c r="A195" s="101">
        <f>IF(B195="","",ROW()-5)</f>
        <v/>
      </c>
      <c r="B195" s="61" t="n">
        <v>6890</v>
      </c>
      <c r="C195" s="98">
        <f t="array" ref="C195">_xll.RssMarket(B195, "銘柄名称")</f>
        <v/>
      </c>
      <c r="D195" s="99">
        <f>IF(B195="","",HYPERLINK("https://kabutan.jp/stock/?code="&amp;B195,"株探"))</f>
        <v/>
      </c>
      <c r="AA195" s="462" t="inlineStr">
        <is>
          <t>★</t>
        </is>
      </c>
    </row>
    <row r="196" ht="20.1" customHeight="1" s="574">
      <c r="A196" s="101">
        <f>IF(B196="","",ROW()-5)</f>
        <v/>
      </c>
      <c r="B196" s="61" t="n">
        <v>4966</v>
      </c>
      <c r="C196" s="98">
        <f t="array" ref="C196">_xll.RssMarket(B196, "銘柄名称")</f>
        <v/>
      </c>
      <c r="D196" s="99">
        <f>IF(B196="","",HYPERLINK("https://kabutan.jp/stock/?code="&amp;B196,"株探"))</f>
        <v/>
      </c>
    </row>
    <row r="197" ht="20.1" customHeight="1" s="574">
      <c r="A197" s="101">
        <f>IF(B197="","",ROW()-5)</f>
        <v/>
      </c>
      <c r="B197" s="61" t="n">
        <v>6146</v>
      </c>
      <c r="C197" s="98">
        <f t="array" ref="C197">_xll.RssMarket(B197, "銘柄名称")</f>
        <v/>
      </c>
      <c r="D197" s="99">
        <f>IF(B197="","",HYPERLINK("https://kabutan.jp/stock/?code="&amp;B197,"株探"))</f>
        <v/>
      </c>
      <c r="AA197" s="462" t="n"/>
    </row>
    <row r="198" ht="20.1" customHeight="1" s="574">
      <c r="A198" s="101">
        <f>IF(B198="","",ROW()-5)</f>
        <v/>
      </c>
      <c r="B198" s="61" t="n">
        <v>8035</v>
      </c>
      <c r="C198" s="98">
        <f t="array" ref="C198">_xll.RssMarket(B198, "銘柄名称")</f>
        <v/>
      </c>
      <c r="D198" s="99">
        <f>IF(B198="","",HYPERLINK("https://kabutan.jp/stock/?code="&amp;B198,"株探"))</f>
        <v/>
      </c>
      <c r="AA198" s="462" t="n"/>
    </row>
    <row r="199" ht="20.1" customHeight="1" s="574">
      <c r="A199" s="101">
        <f>IF(B199="","",ROW()-5)</f>
        <v/>
      </c>
      <c r="B199" s="61" t="n">
        <v>6920</v>
      </c>
      <c r="C199" s="98">
        <f t="array" ref="C199">_xll.RssMarket(B199, "銘柄名称")</f>
        <v/>
      </c>
      <c r="D199" s="99">
        <f>IF(B199="","",HYPERLINK("https://kabutan.jp/stock/?code="&amp;B199,"株探"))</f>
        <v/>
      </c>
      <c r="AA199" s="462" t="inlineStr">
        <is>
          <t>★</t>
        </is>
      </c>
    </row>
    <row r="200" ht="20.1" customHeight="1" s="574">
      <c r="A200" s="101">
        <f>IF(B200="","",ROW()-5)</f>
        <v/>
      </c>
      <c r="B200" s="61" t="n">
        <v>5801</v>
      </c>
      <c r="C200" s="98">
        <f t="array" ref="C200">_xll.RssMarket(B200, "銘柄名称")</f>
        <v/>
      </c>
      <c r="D200" s="99">
        <f>IF(B200="","",HYPERLINK("https://kabutan.jp/stock/?code="&amp;B200,"株探"))</f>
        <v/>
      </c>
    </row>
    <row r="201" ht="20.1" customHeight="1" s="574">
      <c r="A201" s="101">
        <f>IF(B201="","",ROW()-5)</f>
        <v/>
      </c>
      <c r="B201" s="61" t="n">
        <v>6506</v>
      </c>
      <c r="C201" s="98">
        <f t="array" ref="C201">_xll.RssMarket(B201, "銘柄名称")</f>
        <v/>
      </c>
      <c r="D201" s="99">
        <f>IF(B201="","",HYPERLINK("https://kabutan.jp/stock/?code="&amp;B201,"株探"))</f>
        <v/>
      </c>
    </row>
    <row r="202" ht="20.1" customHeight="1" s="574">
      <c r="A202" s="101">
        <f>IF(B202="","",ROW()-5)</f>
        <v/>
      </c>
      <c r="B202" s="61" t="n">
        <v>2768</v>
      </c>
      <c r="C202" s="98">
        <f t="array" ref="C202">_xll.RssMarket(B202, "銘柄名称")</f>
        <v/>
      </c>
      <c r="D202" s="99">
        <f>IF(B202="","",HYPERLINK("https://kabutan.jp/stock/?code="&amp;B202,"株探"))</f>
        <v/>
      </c>
    </row>
    <row r="203" ht="20.1" customHeight="1" s="574">
      <c r="A203" s="101">
        <f>IF(B203="","",ROW()-5)</f>
        <v/>
      </c>
      <c r="B203" s="61" t="n">
        <v>6305</v>
      </c>
      <c r="C203" s="98">
        <f t="array" ref="C203">_xll.RssMarket(B203, "銘柄名称")</f>
        <v/>
      </c>
      <c r="D203" s="99">
        <f>IF(B203="","",HYPERLINK("https://kabutan.jp/stock/?code="&amp;B203,"株探"))</f>
        <v/>
      </c>
    </row>
    <row r="204" ht="20.1" customHeight="1" s="574">
      <c r="A204" s="101">
        <f>IF(B204="","",ROW()-5)</f>
        <v/>
      </c>
      <c r="B204" s="61" t="n">
        <v>8015</v>
      </c>
      <c r="C204" s="98">
        <f t="array" ref="C204">_xll.RssMarket(B204, "銘柄名称")</f>
        <v/>
      </c>
      <c r="D204" s="99">
        <f>IF(B204="","",HYPERLINK("https://kabutan.jp/stock/?code="&amp;B204,"株探"))</f>
        <v/>
      </c>
    </row>
    <row r="205" ht="20.1" customHeight="1" s="574">
      <c r="A205" s="101">
        <f>IF(B205="","",ROW()-5)</f>
        <v/>
      </c>
      <c r="B205" s="62" t="n">
        <v>6758</v>
      </c>
      <c r="C205" s="98">
        <f t="array" ref="C205">_xll.RssMarket(B205, "銘柄名称")</f>
        <v/>
      </c>
      <c r="D205" s="99">
        <f>IF(B205="","",HYPERLINK("https://kabutan.jp/stock/?code="&amp;B205,"株探"))</f>
        <v/>
      </c>
    </row>
    <row r="206" ht="20.1" customHeight="1" s="574">
      <c r="A206" s="101">
        <f>IF(B206="","",ROW()-5)</f>
        <v/>
      </c>
      <c r="B206" s="62" t="n">
        <v>9101</v>
      </c>
      <c r="C206" s="98">
        <f t="array" ref="C206">_xll.RssMarket(B206, "銘柄名称")</f>
        <v/>
      </c>
      <c r="D206" s="99">
        <f>IF(B206="","",HYPERLINK("https://kabutan.jp/stock/?code="&amp;B206,"株探"))</f>
        <v/>
      </c>
    </row>
    <row r="207" ht="20.1" customHeight="1" s="574">
      <c r="A207" s="101">
        <f>IF(B207="","",ROW()-5)</f>
        <v/>
      </c>
      <c r="B207" s="62" t="n">
        <v>7011</v>
      </c>
      <c r="C207" s="98">
        <f t="array" ref="C207">_xll.RssMarket(B207, "銘柄名称")</f>
        <v/>
      </c>
      <c r="D207" s="99">
        <f>IF(B207="","",HYPERLINK("https://kabutan.jp/stock/?code="&amp;B207,"株探"))</f>
        <v/>
      </c>
    </row>
    <row r="208" ht="20.1" customHeight="1" s="574">
      <c r="A208" s="101">
        <f>IF(B208="","",ROW()-5)</f>
        <v/>
      </c>
      <c r="B208" s="62" t="n">
        <v>1812</v>
      </c>
      <c r="C208" s="98">
        <f t="array" ref="C208">_xll.RssMarket(B208, "銘柄名称")</f>
        <v/>
      </c>
      <c r="D208" s="99">
        <f>IF(B208="","",HYPERLINK("https://kabutan.jp/stock/?code="&amp;B208,"株探"))</f>
        <v/>
      </c>
    </row>
    <row r="209" ht="20.1" customHeight="1" s="574">
      <c r="A209" s="101">
        <f>IF(B209="","",ROW()-5)</f>
        <v/>
      </c>
      <c r="B209" s="62" t="inlineStr">
        <is>
          <t>6861</t>
        </is>
      </c>
      <c r="C209" s="98">
        <f>_xll.RssMarket($B209,"銘柄名称")</f>
        <v/>
      </c>
      <c r="D209" s="99">
        <f>IF(B209="","",HYPERLINK("https://kabutan.jp/stock/?code="&amp;B209,"株探"))</f>
        <v/>
      </c>
    </row>
    <row r="210" ht="20.1" customHeight="1" s="574">
      <c r="A210" s="101">
        <f>IF(B210="","",ROW()-5)</f>
        <v/>
      </c>
      <c r="B210" s="62" t="n">
        <v>6324</v>
      </c>
      <c r="C210" s="98">
        <f t="array" ref="C210">_xll.RssMarket(B210, "銘柄名称")</f>
        <v/>
      </c>
      <c r="D210" s="99">
        <f>IF(B210="","",HYPERLINK("https://kabutan.jp/stock/?code="&amp;B210,"株探"))</f>
        <v/>
      </c>
    </row>
    <row r="211" ht="20.1" customHeight="1" s="574">
      <c r="A211" s="101">
        <f>IF(B211="","",ROW()-5)</f>
        <v/>
      </c>
      <c r="B211" s="62" t="n">
        <v>6273</v>
      </c>
      <c r="C211" s="98">
        <f t="array" ref="C211">_xll.RssMarket(B211, "銘柄名称")</f>
        <v/>
      </c>
      <c r="D211" s="99">
        <f>IF(B211="","",HYPERLINK("https://kabutan.jp/stock/?code="&amp;B211,"株探"))</f>
        <v/>
      </c>
    </row>
    <row r="212" ht="20.1" customHeight="1" s="574">
      <c r="A212" s="101">
        <f>IF(B212="","",ROW()-5)</f>
        <v/>
      </c>
      <c r="B212" s="62" t="n">
        <v>4502</v>
      </c>
      <c r="C212" s="98">
        <f t="array" ref="C212">_xll.RssMarket(B212, "銘柄名称")</f>
        <v/>
      </c>
      <c r="D212" s="99">
        <f>IF(B212="","",HYPERLINK("https://kabutan.jp/stock/?code="&amp;B212,"株探"))</f>
        <v/>
      </c>
    </row>
    <row r="213" ht="20.1" customHeight="1" s="574">
      <c r="A213" s="101">
        <f>IF(B213="","",ROW()-5)</f>
        <v/>
      </c>
      <c r="B213" s="62" t="n">
        <v>4004</v>
      </c>
      <c r="C213" s="98">
        <f t="array" ref="C213">_xll.RssMarket(B213, "銘柄名称")</f>
        <v/>
      </c>
      <c r="D213" s="99">
        <f>IF(B213="","",HYPERLINK("https://kabutan.jp/stock/?code="&amp;B213,"株探"))</f>
        <v/>
      </c>
    </row>
    <row r="214" ht="20.1" customHeight="1" s="574">
      <c r="A214" s="101">
        <f>IF(B214="","",ROW()-5)</f>
        <v/>
      </c>
      <c r="B214" s="62" t="n">
        <v>9519</v>
      </c>
      <c r="C214" s="98">
        <f t="array" ref="C214">_xll.RssMarket(B214, "銘柄名称")</f>
        <v/>
      </c>
      <c r="D214" s="99">
        <f>IF(B214="","",HYPERLINK("https://kabutan.jp/stock/?code="&amp;B214,"株探"))</f>
        <v/>
      </c>
    </row>
    <row r="215" ht="20.1" customHeight="1" s="574">
      <c r="A215" s="101">
        <f>IF(B215="","",ROW()-5)</f>
        <v/>
      </c>
      <c r="B215" s="62" t="n">
        <v>6752</v>
      </c>
      <c r="C215" s="98">
        <f t="array" ref="C215">_xll.RssMarket(B215, "銘柄名称")</f>
        <v/>
      </c>
      <c r="D215" s="99">
        <f>IF(B215="","",HYPERLINK("https://kabutan.jp/stock/?code="&amp;B215,"株探"))</f>
        <v/>
      </c>
    </row>
    <row r="216" ht="20.1" customHeight="1" s="574">
      <c r="A216" s="101">
        <f>IF(B216="","",ROW()-5)</f>
        <v/>
      </c>
      <c r="B216" s="62" t="n">
        <v>6622</v>
      </c>
      <c r="C216" s="98">
        <f t="array" ref="C216">_xll.RssMarket(B216, "銘柄名称")</f>
        <v/>
      </c>
      <c r="D216" s="99">
        <f>IF(B216="","",HYPERLINK("https://kabutan.jp/stock/?code="&amp;B216,"株探"))</f>
        <v/>
      </c>
    </row>
    <row r="217" ht="20.1" customHeight="1" s="574">
      <c r="A217" s="101">
        <f>IF(B217="","",ROW()-5)</f>
        <v/>
      </c>
      <c r="B217" s="62" t="n">
        <v>1407</v>
      </c>
      <c r="C217" s="98">
        <f t="array" ref="C217">_xll.RssMarket(B217, "銘柄名称")</f>
        <v/>
      </c>
      <c r="D217" s="99">
        <f>IF(B217="","",HYPERLINK("https://kabutan.jp/stock/?code="&amp;B217,"株探"))</f>
        <v/>
      </c>
    </row>
    <row r="218" ht="20.1" customHeight="1" s="574">
      <c r="A218" s="101">
        <f>IF(B218="","",ROW()-5)</f>
        <v/>
      </c>
      <c r="B218" s="62" t="inlineStr">
        <is>
          <t>285A</t>
        </is>
      </c>
      <c r="C218" s="98">
        <f t="array" ref="C218">_xll.RssMarket(B218, "銘柄名称")</f>
        <v/>
      </c>
      <c r="D218" s="99">
        <f>IF(B218="","",HYPERLINK("https://kabutan.jp/stock/?code="&amp;B218,"株探"))</f>
        <v/>
      </c>
      <c r="AA218" s="462" t="n"/>
    </row>
    <row r="219" ht="20.1" customHeight="1" s="574">
      <c r="A219" s="101">
        <f>IF(B219="","",ROW()-5)</f>
        <v/>
      </c>
      <c r="B219" s="62" t="inlineStr">
        <is>
          <t>141A</t>
        </is>
      </c>
      <c r="C219" s="98">
        <f t="array" ref="C219">_xll.RssMarket(B219, "銘柄名称")</f>
        <v/>
      </c>
      <c r="D219" s="99">
        <f>IF(B219="","",HYPERLINK("https://kabutan.jp/stock/?code="&amp;B219,"株探"))</f>
        <v/>
      </c>
    </row>
    <row r="220" ht="20.1" customHeight="1" s="574">
      <c r="A220" s="101">
        <f>IF(B220="","",ROW()-5)</f>
        <v/>
      </c>
      <c r="B220" s="62" t="inlineStr">
        <is>
          <t>464A</t>
        </is>
      </c>
      <c r="C220" s="98">
        <f t="array" ref="C220">_xll.RssMarket(B220, "銘柄名称")</f>
        <v/>
      </c>
      <c r="D220" s="99">
        <f>IF(B220="","",HYPERLINK("https://kabutan.jp/stock/?code="&amp;B220,"株探"))</f>
        <v/>
      </c>
    </row>
    <row r="221" ht="20.1" customHeight="1" s="574">
      <c r="A221" s="101">
        <f>IF(B221="","",ROW()-5)</f>
        <v/>
      </c>
      <c r="B221" s="62" t="inlineStr">
        <is>
          <t>485A</t>
        </is>
      </c>
      <c r="C221" s="98">
        <f t="array" ref="C221">_xll.RssMarket(B221, "銘柄名称")</f>
        <v/>
      </c>
      <c r="D221" s="99">
        <f>IF(B221="","",HYPERLINK("https://kabutan.jp/stock/?code="&amp;B221,"株探"))</f>
        <v/>
      </c>
    </row>
    <row r="222" ht="20.1" customHeight="1" s="574">
      <c r="A222" s="101">
        <f>IF(B222="","",ROW()-5)</f>
        <v/>
      </c>
      <c r="B222" s="62" t="inlineStr">
        <is>
          <t>1570</t>
        </is>
      </c>
      <c r="C222" s="98">
        <f>_xll.RssMarket($B222,"銘柄名称")</f>
        <v/>
      </c>
      <c r="D222" s="99">
        <f>IF(B222="","",HYPERLINK("https://kabutan.jp/stock/?code="&amp;B222,"株探"))</f>
        <v/>
      </c>
    </row>
    <row r="223" ht="20.1" customHeight="1" s="574">
      <c r="A223" s="101">
        <f>IF(B223="","",ROW()-5)</f>
        <v/>
      </c>
      <c r="B223" s="62" t="inlineStr">
        <is>
          <t>6135</t>
        </is>
      </c>
      <c r="C223" s="98">
        <f>_xll.RssMarket($B223,"銘柄名称")</f>
        <v/>
      </c>
      <c r="D223" s="99">
        <f>IF(B223="","",HYPERLINK("https://kabutan.jp/stock/?code="&amp;B223,"株探"))</f>
        <v/>
      </c>
    </row>
    <row r="224" ht="20.1" customHeight="1" s="574">
      <c r="A224" s="101">
        <f>IF(B224="","",ROW()-5)</f>
        <v/>
      </c>
      <c r="B224" s="62" t="inlineStr">
        <is>
          <t>6055</t>
        </is>
      </c>
      <c r="C224" s="98">
        <f>_xll.RssMarket($B224,"銘柄名称")</f>
        <v/>
      </c>
      <c r="D224" s="99">
        <f>IF(B224="","",HYPERLINK("https://kabutan.jp/stock/?code="&amp;B224,"株探"))</f>
        <v/>
      </c>
    </row>
    <row r="225" ht="20.1" customHeight="1" s="574">
      <c r="A225" s="101">
        <f>IF(B225="","",ROW()-5)</f>
        <v/>
      </c>
      <c r="B225" s="62" t="inlineStr">
        <is>
          <t>6862</t>
        </is>
      </c>
      <c r="C225" s="98">
        <f>_xll.RssMarket($B225,"銘柄名称")</f>
        <v/>
      </c>
      <c r="D225" s="99">
        <f>IF(B225="","",HYPERLINK("https://kabutan.jp/stock/?code="&amp;B225,"株探"))</f>
        <v/>
      </c>
    </row>
    <row r="226" ht="20.1" customHeight="1" s="574">
      <c r="A226" s="101">
        <f>IF(B226="","",ROW()-5)</f>
        <v/>
      </c>
      <c r="B226" s="62" t="inlineStr">
        <is>
          <t>2267</t>
        </is>
      </c>
      <c r="C226" s="98">
        <f>_xll.RssMarket($B226,"銘柄名称")</f>
        <v/>
      </c>
      <c r="D226" s="99">
        <f>IF(B226="","",HYPERLINK("https://kabutan.jp/stock/?code="&amp;B226,"株探"))</f>
        <v/>
      </c>
    </row>
    <row r="227" ht="20.1" customHeight="1" s="574">
      <c r="A227" s="101">
        <f>IF(B227="","",ROW()-5)</f>
        <v/>
      </c>
      <c r="B227" s="62" t="inlineStr">
        <is>
          <t>1618</t>
        </is>
      </c>
      <c r="C227" s="98">
        <f>_xll.RssMarket($B227,"銘柄名称")</f>
        <v/>
      </c>
      <c r="D227" s="99">
        <f>IF(B227="","",HYPERLINK("https://kabutan.jp/stock/?code="&amp;B227,"株探"))</f>
        <v/>
      </c>
    </row>
    <row r="228" ht="20.1" customHeight="1" s="574">
      <c r="A228" s="101">
        <f>IF(B228="","",ROW()-5)</f>
        <v/>
      </c>
      <c r="B228" s="62" t="inlineStr">
        <is>
          <t>3696</t>
        </is>
      </c>
      <c r="C228" s="98">
        <f>_xll.RssMarket($B228,"銘柄名称")</f>
        <v/>
      </c>
      <c r="D228" s="99">
        <f>IF(B228="","",HYPERLINK("https://kabutan.jp/stock/?code="&amp;B228,"株探"))</f>
        <v/>
      </c>
    </row>
    <row r="229" ht="20.1" customHeight="1" s="574">
      <c r="A229" s="101">
        <f>IF(B229="","",ROW()-5)</f>
        <v/>
      </c>
      <c r="B229" s="62" t="inlineStr">
        <is>
          <t>4222</t>
        </is>
      </c>
      <c r="C229" s="98">
        <f>_xll.RssMarket($B229,"銘柄名称")</f>
        <v/>
      </c>
      <c r="D229" s="99">
        <f>IF(B229="","",HYPERLINK("https://kabutan.jp/stock/?code="&amp;B229,"株探"))</f>
        <v/>
      </c>
    </row>
    <row r="230" ht="20.1" customHeight="1" s="574">
      <c r="A230" s="101">
        <f>IF(B230="","",ROW()-5)</f>
        <v/>
      </c>
      <c r="B230" s="62" t="inlineStr">
        <is>
          <t>3563</t>
        </is>
      </c>
      <c r="C230" s="98">
        <f>_xll.RssMarket($B230,"銘柄名称")</f>
        <v/>
      </c>
      <c r="D230" s="99">
        <f>IF(B230="","",HYPERLINK("https://kabutan.jp/stock/?code="&amp;B230,"株探"))</f>
        <v/>
      </c>
    </row>
    <row r="231" ht="20.1" customHeight="1" s="574">
      <c r="A231" s="101">
        <f>IF(B231="","",ROW()-5)</f>
        <v/>
      </c>
      <c r="B231" s="62" t="inlineStr">
        <is>
          <t>7013</t>
        </is>
      </c>
      <c r="C231" s="98">
        <f>_xll.RssMarket($B231,"銘柄名称")</f>
        <v/>
      </c>
      <c r="D231" s="99">
        <f>IF(B231="","",HYPERLINK("https://kabutan.jp/stock/?code="&amp;B231,"株探"))</f>
        <v/>
      </c>
    </row>
    <row r="232" ht="20.1" customHeight="1" s="574">
      <c r="A232" s="101">
        <f>IF(B232="","",ROW()-5)</f>
        <v/>
      </c>
      <c r="B232" s="62" t="inlineStr">
        <is>
          <t>8793</t>
        </is>
      </c>
      <c r="C232" s="98">
        <f>_xll.RssMarket($B232,"銘柄名称")</f>
        <v/>
      </c>
      <c r="D232" s="99">
        <f>IF(B232="","",HYPERLINK("https://kabutan.jp/stock/?code="&amp;B232,"株探"))</f>
        <v/>
      </c>
    </row>
    <row r="233" ht="20.1" customHeight="1" s="574">
      <c r="A233" s="101">
        <f>IF(B233="","",ROW()-5)</f>
        <v/>
      </c>
      <c r="B233" s="62" t="inlineStr">
        <is>
          <t>9962</t>
        </is>
      </c>
      <c r="C233" s="98">
        <f>_xll.RssMarket($B233,"銘柄名称")</f>
        <v/>
      </c>
      <c r="D233" s="99">
        <f>IF(B233="","",HYPERLINK("https://kabutan.jp/stock/?code="&amp;B233,"株探"))</f>
        <v/>
      </c>
    </row>
    <row r="234" ht="20.1" customHeight="1" s="574">
      <c r="A234" s="101">
        <f>IF(B234="","",ROW()-5)</f>
        <v/>
      </c>
      <c r="B234" s="62" t="inlineStr">
        <is>
          <t>6762</t>
        </is>
      </c>
      <c r="C234" s="98">
        <f>_xll.RssMarket($B234,"銘柄名称")</f>
        <v/>
      </c>
      <c r="D234" s="99">
        <f>IF(B234="","",HYPERLINK("https://kabutan.jp/stock/?code="&amp;B234,"株探"))</f>
        <v/>
      </c>
    </row>
    <row r="235" ht="20.1" customHeight="1" s="574">
      <c r="A235" s="101">
        <f>IF(B235="","",ROW()-5)</f>
        <v/>
      </c>
      <c r="B235" s="62" t="inlineStr">
        <is>
          <t>4392</t>
        </is>
      </c>
      <c r="C235" s="98">
        <f>_xll.RssMarket($B235,"銘柄名称")</f>
        <v/>
      </c>
      <c r="D235" s="99">
        <f>IF(B235="","",HYPERLINK("https://kabutan.jp/stock/?code="&amp;B235,"株探"))</f>
        <v/>
      </c>
    </row>
    <row r="236" ht="20.1" customHeight="1" s="574">
      <c r="A236" s="101">
        <f>IF(B236="","",ROW()-5)</f>
        <v/>
      </c>
      <c r="B236" s="62" t="inlineStr">
        <is>
          <t>8005</t>
        </is>
      </c>
      <c r="C236" s="98">
        <f>_xll.RssMarket($B236,"銘柄名称")</f>
        <v/>
      </c>
      <c r="D236" s="99">
        <f>IF(B236="","",HYPERLINK("https://kabutan.jp/stock/?code="&amp;B236,"株探"))</f>
        <v/>
      </c>
    </row>
    <row r="237" ht="20.1" customHeight="1" s="574">
      <c r="A237" s="101">
        <f>IF(B237="","",ROW()-5)</f>
        <v/>
      </c>
      <c r="B237" s="62" t="inlineStr">
        <is>
          <t>2326</t>
        </is>
      </c>
      <c r="C237" s="98">
        <f>_xll.RssMarket($B237,"銘柄名称")</f>
        <v/>
      </c>
      <c r="D237" s="99">
        <f>IF(B237="","",HYPERLINK("https://kabutan.jp/stock/?code="&amp;B237,"株探"))</f>
        <v/>
      </c>
    </row>
    <row r="238" ht="20.1" customHeight="1" s="574">
      <c r="A238" s="101">
        <f>IF(B238="","",ROW()-5)</f>
        <v/>
      </c>
      <c r="B238" s="62" t="inlineStr">
        <is>
          <t>6809</t>
        </is>
      </c>
      <c r="C238" s="98">
        <f>_xll.RssMarket($B238,"銘柄名称")</f>
        <v/>
      </c>
      <c r="D238" s="99">
        <f>IF(B238="","",HYPERLINK("https://kabutan.jp/stock/?code="&amp;B238,"株探"))</f>
        <v/>
      </c>
    </row>
    <row r="239" ht="20.1" customHeight="1" s="574">
      <c r="A239" s="101">
        <f>IF(B239="","",ROW()-5)</f>
        <v/>
      </c>
      <c r="B239" s="62" t="inlineStr">
        <is>
          <t>3984</t>
        </is>
      </c>
      <c r="C239" s="98">
        <f>_xll.RssMarket($B239,"銘柄名称")</f>
        <v/>
      </c>
      <c r="D239" s="99">
        <f>IF(B239="","",HYPERLINK("https://kabutan.jp/stock/?code="&amp;B239,"株探"))</f>
        <v/>
      </c>
    </row>
    <row r="240" ht="20.1" customHeight="1" s="574">
      <c r="A240" s="101">
        <f>IF(B240="","",ROW()-5)</f>
        <v/>
      </c>
      <c r="B240" s="62" t="inlineStr">
        <is>
          <t>7609</t>
        </is>
      </c>
      <c r="C240" s="98">
        <f>_xll.RssMarket($B240,"銘柄名称")</f>
        <v/>
      </c>
      <c r="D240" s="99">
        <f>IF(B240="","",HYPERLINK("https://kabutan.jp/stock/?code="&amp;B240,"株探"))</f>
        <v/>
      </c>
    </row>
    <row r="241" ht="20.1" customHeight="1" s="574">
      <c r="A241" s="101">
        <f>IF(B241="","",ROW()-5)</f>
        <v/>
      </c>
      <c r="B241" s="62" t="inlineStr">
        <is>
          <t>7972</t>
        </is>
      </c>
      <c r="C241" s="98">
        <f>_xll.RssMarket($B241,"銘柄名称")</f>
        <v/>
      </c>
      <c r="D241" s="99">
        <f>IF(B241="","",HYPERLINK("https://kabutan.jp/stock/?code="&amp;B241,"株探"))</f>
        <v/>
      </c>
    </row>
    <row r="242" ht="20.1" customHeight="1" s="574">
      <c r="A242" s="101">
        <f>IF(B242="","",ROW()-5)</f>
        <v/>
      </c>
      <c r="B242" s="62" t="inlineStr">
        <is>
          <t>6521</t>
        </is>
      </c>
      <c r="C242" s="98">
        <f>_xll.RssMarket($B242,"銘柄名称")</f>
        <v/>
      </c>
      <c r="D242" s="99">
        <f>IF(B242="","",HYPERLINK("https://kabutan.jp/stock/?code="&amp;B242,"株探"))</f>
        <v/>
      </c>
    </row>
    <row r="243" ht="20.1" customHeight="1" s="574">
      <c r="A243" s="101">
        <f>IF(B243="","",ROW()-5)</f>
        <v/>
      </c>
      <c r="B243" s="62" t="inlineStr">
        <is>
          <t>9165</t>
        </is>
      </c>
      <c r="C243" s="98">
        <f>_xll.RssMarket($B243,"銘柄名称")</f>
        <v/>
      </c>
      <c r="D243" s="99">
        <f>IF(B243="","",HYPERLINK("https://kabutan.jp/stock/?code="&amp;B243,"株探"))</f>
        <v/>
      </c>
    </row>
    <row r="244" ht="20.1" customHeight="1" s="574">
      <c r="A244" s="101">
        <f>IF(B244="","",ROW()-5)</f>
        <v/>
      </c>
      <c r="B244" s="62" t="inlineStr">
        <is>
          <t>6902</t>
        </is>
      </c>
      <c r="C244" s="98">
        <f>_xll.RssMarket($B244,"銘柄名称")</f>
        <v/>
      </c>
      <c r="D244" s="99">
        <f>IF(B244="","",HYPERLINK("https://kabutan.jp/stock/?code="&amp;B244,"株探"))</f>
        <v/>
      </c>
    </row>
    <row r="245" ht="20.1" customHeight="1" s="574">
      <c r="A245" s="101">
        <f>IF(B245="","",ROW()-5)</f>
        <v/>
      </c>
      <c r="B245" s="62" t="inlineStr">
        <is>
          <t>3936</t>
        </is>
      </c>
      <c r="C245" s="98">
        <f>_xll.RssMarket($B245,"銘柄名称")</f>
        <v/>
      </c>
      <c r="D245" s="99">
        <f>IF(B245="","",HYPERLINK("https://kabutan.jp/stock/?code="&amp;B245,"株探"))</f>
        <v/>
      </c>
    </row>
    <row r="246" ht="20.1" customHeight="1" s="574">
      <c r="A246" s="101">
        <f>IF(B246="","",ROW()-5)</f>
        <v/>
      </c>
      <c r="B246" s="62" t="inlineStr">
        <is>
          <t>6928</t>
        </is>
      </c>
      <c r="C246" s="98">
        <f>_xll.RssMarket($B246,"銘柄名称")</f>
        <v/>
      </c>
      <c r="D246" s="99">
        <f>IF(B246="","",HYPERLINK("https://kabutan.jp/stock/?code="&amp;B246,"株探"))</f>
        <v/>
      </c>
    </row>
    <row r="247" ht="20.1" customHeight="1" s="574">
      <c r="A247" s="101">
        <f>IF(B247="","",ROW()-5)</f>
        <v/>
      </c>
      <c r="B247" s="62" t="inlineStr">
        <is>
          <t>5632</t>
        </is>
      </c>
      <c r="C247" s="98">
        <f>_xll.RssMarket($B247,"銘柄名称")</f>
        <v/>
      </c>
      <c r="D247" s="99">
        <f>IF(B247="","",HYPERLINK("https://kabutan.jp/stock/?code="&amp;B247,"株探"))</f>
        <v/>
      </c>
    </row>
    <row r="248" ht="20.1" customHeight="1" s="574">
      <c r="A248" s="101">
        <f>IF(B248="","",ROW()-5)</f>
        <v/>
      </c>
      <c r="B248" s="62" t="inlineStr">
        <is>
          <t>6098</t>
        </is>
      </c>
      <c r="C248" s="98">
        <f>_xll.RssMarket($B248,"銘柄名称")</f>
        <v/>
      </c>
      <c r="D248" s="99">
        <f>IF(B248="","",HYPERLINK("https://kabutan.jp/stock/?code="&amp;B248,"株探"))</f>
        <v/>
      </c>
    </row>
    <row r="249" ht="20.1" customHeight="1" s="574">
      <c r="A249" s="101">
        <f>IF(B249="","",ROW()-5)</f>
        <v/>
      </c>
      <c r="B249" s="62" t="inlineStr">
        <is>
          <t>6361</t>
        </is>
      </c>
      <c r="C249" s="98">
        <f>_xll.RssMarket($B249,"銘柄名称")</f>
        <v/>
      </c>
      <c r="D249" s="99">
        <f>IF(B249="","",HYPERLINK("https://kabutan.jp/stock/?code="&amp;B249,"株探"))</f>
        <v/>
      </c>
    </row>
    <row r="250" ht="20.1" customHeight="1" s="574">
      <c r="A250" s="101">
        <f>IF(B250="","",ROW()-5)</f>
        <v/>
      </c>
      <c r="B250" s="62" t="inlineStr">
        <is>
          <t>155A</t>
        </is>
      </c>
      <c r="C250" s="98">
        <f>_xll.RssMarket($B250,"銘柄名称")</f>
        <v/>
      </c>
      <c r="D250" s="99">
        <f>IF(B250="","",HYPERLINK("https://kabutan.jp/stock/?code="&amp;B250,"株探"))</f>
        <v/>
      </c>
    </row>
    <row r="251" ht="20.1" customHeight="1" s="574">
      <c r="A251" s="101">
        <f>IF(B251="","",ROW()-5)</f>
        <v/>
      </c>
      <c r="B251" s="62" t="inlineStr">
        <is>
          <t>278A</t>
        </is>
      </c>
      <c r="C251" s="98">
        <f>_xll.RssMarket($B251,"銘柄名称")</f>
        <v/>
      </c>
      <c r="D251" s="99">
        <f>IF(B251="","",HYPERLINK("https://kabutan.jp/stock/?code="&amp;B251,"株探"))</f>
        <v/>
      </c>
    </row>
    <row r="252" ht="20.1" customHeight="1" s="574">
      <c r="A252" s="101">
        <f>IF(B252="","",ROW()-5)</f>
        <v/>
      </c>
      <c r="B252" s="62" t="inlineStr">
        <is>
          <t>300A</t>
        </is>
      </c>
      <c r="C252" s="98">
        <f>_xll.RssMarket($B252,"銘柄名称")</f>
        <v/>
      </c>
      <c r="D252" s="99">
        <f>IF(B252="","",HYPERLINK("https://kabutan.jp/stock/?code="&amp;B252,"株探"))</f>
        <v/>
      </c>
    </row>
    <row r="253" ht="20.1" customHeight="1" s="574">
      <c r="A253" s="101">
        <f>IF(B253="","",ROW()-5)</f>
        <v/>
      </c>
      <c r="B253" s="62" t="inlineStr">
        <is>
          <t>4776</t>
        </is>
      </c>
      <c r="C253" s="98">
        <f>_xll.RssMarket($B253,"銘柄名称")</f>
        <v/>
      </c>
      <c r="D253" s="99">
        <f>IF(B253="","",HYPERLINK("https://kabutan.jp/stock/?code="&amp;B253,"株探"))</f>
        <v/>
      </c>
    </row>
    <row r="254" ht="20.1" customHeight="1" s="574">
      <c r="A254" s="101">
        <f>IF(B254="","",ROW()-5)</f>
        <v/>
      </c>
      <c r="B254" s="62" t="inlineStr">
        <is>
          <t>4704</t>
        </is>
      </c>
      <c r="C254" s="98">
        <f>_xll.RssMarket($B254,"銘柄名称")</f>
        <v/>
      </c>
      <c r="D254" s="99">
        <f>IF(B254="","",HYPERLINK("https://kabutan.jp/stock/?code="&amp;B254,"株探"))</f>
        <v/>
      </c>
    </row>
    <row r="255" ht="20.1" customHeight="1" s="574">
      <c r="A255" s="101">
        <f>IF(B255="","",ROW()-5)</f>
        <v/>
      </c>
      <c r="B255" s="62" t="inlineStr">
        <is>
          <t>6370</t>
        </is>
      </c>
      <c r="C255" s="98">
        <f>_xll.RssMarket($B255,"銘柄名称")</f>
        <v/>
      </c>
      <c r="D255" s="99">
        <f>IF(B255="","",HYPERLINK("https://kabutan.jp/stock/?code="&amp;B255,"株探"))</f>
        <v/>
      </c>
    </row>
    <row r="256" ht="20.1" customHeight="1" s="574">
      <c r="A256" s="101">
        <f>IF(B256="","",ROW()-5)</f>
        <v/>
      </c>
      <c r="B256" s="62" t="inlineStr">
        <is>
          <t>7014</t>
        </is>
      </c>
      <c r="C256" s="98">
        <f>_xll.RssMarket($B256,"銘柄名称")</f>
        <v/>
      </c>
      <c r="D256" s="99">
        <f>IF(B256="","",HYPERLINK("https://kabutan.jp/stock/?code="&amp;B256,"株探"))</f>
        <v/>
      </c>
    </row>
    <row r="257" ht="20.1" customHeight="1" s="574">
      <c r="A257" s="101">
        <f>IF(B257="","",ROW()-5)</f>
        <v/>
      </c>
      <c r="B257" s="62" t="inlineStr">
        <is>
          <t>9880</t>
        </is>
      </c>
      <c r="C257" s="98">
        <f>_xll.RssMarket($B257,"銘柄名称")</f>
        <v/>
      </c>
      <c r="D257" s="99">
        <f>IF(B257="","",HYPERLINK("https://kabutan.jp/stock/?code="&amp;B257,"株探"))</f>
        <v/>
      </c>
    </row>
    <row r="258" ht="20.1" customHeight="1" s="574">
      <c r="A258" s="101">
        <f>IF(B258="","",ROW()-5)</f>
        <v/>
      </c>
      <c r="B258" s="62" t="inlineStr">
        <is>
          <t>5253</t>
        </is>
      </c>
      <c r="C258" s="98">
        <f>_xll.RssMarket($B258,"銘柄名称")</f>
        <v/>
      </c>
      <c r="D258" s="99">
        <f>IF(B258="","",HYPERLINK("https://kabutan.jp/stock/?code="&amp;B258,"株探"))</f>
        <v/>
      </c>
    </row>
    <row r="259" ht="20.1" customHeight="1" s="574">
      <c r="A259" s="101">
        <f>IF(B259="","",ROW()-5)</f>
        <v/>
      </c>
      <c r="B259" s="62" t="inlineStr">
        <is>
          <t>9104</t>
        </is>
      </c>
      <c r="C259" s="98">
        <f>_xll.RssMarket($B259,"銘柄名称")</f>
        <v/>
      </c>
      <c r="D259" s="99">
        <f>IF(B259="","",HYPERLINK("https://kabutan.jp/stock/?code="&amp;B259,"株探"))</f>
        <v/>
      </c>
    </row>
    <row r="260" ht="20.1" customHeight="1" s="574">
      <c r="A260" s="101">
        <f>IF(B260="","",ROW()-5)</f>
        <v/>
      </c>
      <c r="B260" s="62" t="inlineStr">
        <is>
          <t>6366</t>
        </is>
      </c>
      <c r="C260" s="98">
        <f>_xll.RssMarket($B260,"銘柄名称")</f>
        <v/>
      </c>
      <c r="D260" s="99">
        <f>IF(B260="","",HYPERLINK("https://kabutan.jp/stock/?code="&amp;B260,"株探"))</f>
        <v/>
      </c>
    </row>
    <row r="261" ht="20.1" customHeight="1" s="574">
      <c r="A261" s="101">
        <f>IF(B261="","",ROW()-5)</f>
        <v/>
      </c>
      <c r="B261" s="62" t="inlineStr">
        <is>
          <t>6140</t>
        </is>
      </c>
      <c r="C261" s="98">
        <f>_xll.RssMarket($B261,"銘柄名称")</f>
        <v/>
      </c>
      <c r="D261" s="99">
        <f>IF(B261="","",HYPERLINK("https://kabutan.jp/stock/?code="&amp;B261,"株探"))</f>
        <v/>
      </c>
    </row>
    <row r="262" ht="20.1" customHeight="1" s="574">
      <c r="A262" s="101">
        <f>IF(B262="","",ROW()-5)</f>
        <v/>
      </c>
      <c r="B262" s="62" t="inlineStr">
        <is>
          <t>1514</t>
        </is>
      </c>
      <c r="C262" s="98">
        <f>_xll.RssMarket($B262,"銘柄名称")</f>
        <v/>
      </c>
      <c r="D262" s="99">
        <f>IF(B262="","",HYPERLINK("https://kabutan.jp/stock/?code="&amp;B262,"株探"))</f>
        <v/>
      </c>
    </row>
    <row r="263" ht="20.1" customHeight="1" s="574">
      <c r="A263" s="101">
        <f>IF(B263="","",ROW()-5)</f>
        <v/>
      </c>
      <c r="B263" s="62" t="inlineStr">
        <is>
          <t>5631</t>
        </is>
      </c>
      <c r="C263" s="98">
        <f>_xll.RssMarket($B263,"銘柄名称")</f>
        <v/>
      </c>
      <c r="D263" s="99">
        <f>IF(B263="","",HYPERLINK("https://kabutan.jp/stock/?code="&amp;B263,"株探"))</f>
        <v/>
      </c>
    </row>
    <row r="264" ht="20.1" customHeight="1" s="574">
      <c r="A264" s="101">
        <f>IF(B264="","",ROW()-5)</f>
        <v/>
      </c>
      <c r="B264" s="62" t="inlineStr">
        <is>
          <t>6674</t>
        </is>
      </c>
      <c r="C264" s="98">
        <f>_xll.RssMarket($B264,"銘柄名称")</f>
        <v/>
      </c>
      <c r="D264" s="99">
        <f>IF(B264="","",HYPERLINK("https://kabutan.jp/stock/?code="&amp;B264,"株探"))</f>
        <v/>
      </c>
    </row>
    <row r="265" ht="20.1" customHeight="1" s="574">
      <c r="A265" s="101">
        <f>IF(B265="","",ROW()-5)</f>
        <v/>
      </c>
      <c r="B265" s="62" t="inlineStr">
        <is>
          <t>6955</t>
        </is>
      </c>
      <c r="C265" s="98">
        <f>_xll.RssMarket($B265,"銘柄名称")</f>
        <v/>
      </c>
      <c r="D265" s="99">
        <f>IF(B265="","",HYPERLINK("https://kabutan.jp/stock/?code="&amp;B265,"株探"))</f>
        <v/>
      </c>
    </row>
    <row r="266" ht="20.1" customHeight="1" s="574">
      <c r="A266" s="101">
        <f>IF(B266="","",ROW()-5)</f>
        <v/>
      </c>
      <c r="B266" s="62" t="inlineStr">
        <is>
          <t>281A</t>
        </is>
      </c>
      <c r="C266" s="98">
        <f>_xll.RssMarket($B266,"銘柄名称")</f>
        <v/>
      </c>
      <c r="D266" s="99">
        <f>IF(B266="","",HYPERLINK("https://kabutan.jp/stock/?code="&amp;B266,"株探"))</f>
        <v/>
      </c>
    </row>
    <row r="267" ht="20.1" customHeight="1" s="574">
      <c r="A267" s="101">
        <f>IF(B267="","",ROW()-5)</f>
        <v/>
      </c>
      <c r="B267" s="62" t="inlineStr">
        <is>
          <t>6356</t>
        </is>
      </c>
      <c r="C267" s="98">
        <f>_xll.RssMarket($B267,"銘柄名称")</f>
        <v/>
      </c>
      <c r="D267" s="99">
        <f>IF(B267="","",HYPERLINK("https://kabutan.jp/stock/?code="&amp;B267,"株探"))</f>
        <v/>
      </c>
    </row>
    <row r="268" ht="20.1" customHeight="1" s="574">
      <c r="A268" s="101">
        <f>IF(B268="","",ROW()-5)</f>
        <v/>
      </c>
      <c r="B268" s="62" t="inlineStr">
        <is>
          <t>7711</t>
        </is>
      </c>
      <c r="C268" s="98">
        <f>_xll.RssMarket($B268,"銘柄名称")</f>
        <v/>
      </c>
      <c r="D268" s="99">
        <f>IF(B268="","",HYPERLINK("https://kabutan.jp/stock/?code="&amp;B268,"株探"))</f>
        <v/>
      </c>
    </row>
    <row r="269" ht="20.1" customHeight="1" s="574">
      <c r="A269" s="101">
        <f>IF(B269="","",ROW()-5)</f>
        <v/>
      </c>
      <c r="B269" s="62" t="inlineStr">
        <is>
          <t>6376</t>
        </is>
      </c>
      <c r="C269" s="98">
        <f>_xll.RssMarket($B269,"銘柄名称")</f>
        <v/>
      </c>
      <c r="D269" s="99">
        <f>IF(B269="","",HYPERLINK("https://kabutan.jp/stock/?code="&amp;B269,"株探"))</f>
        <v/>
      </c>
    </row>
    <row r="270" ht="20.1" customHeight="1" s="574">
      <c r="A270" s="101">
        <f>IF(B270="","",ROW()-5)</f>
        <v/>
      </c>
      <c r="B270" s="62" t="inlineStr">
        <is>
          <t>9115</t>
        </is>
      </c>
      <c r="C270" s="98">
        <f>_xll.RssMarket($B270,"銘柄名称")</f>
        <v/>
      </c>
      <c r="D270" s="99">
        <f>IF(B270="","",HYPERLINK("https://kabutan.jp/stock/?code="&amp;B270,"株探"))</f>
        <v/>
      </c>
    </row>
    <row r="271" ht="20.1" customHeight="1" s="574">
      <c r="A271" s="101">
        <f>IF(B271="","",ROW()-5)</f>
        <v/>
      </c>
      <c r="B271" s="62" t="inlineStr">
        <is>
          <t>3864</t>
        </is>
      </c>
      <c r="C271" s="98">
        <f>_xll.RssMarket($B271,"銘柄名称")</f>
        <v/>
      </c>
      <c r="D271" s="99">
        <f>IF(B271="","",HYPERLINK("https://kabutan.jp/stock/?code="&amp;B271,"株探"))</f>
        <v/>
      </c>
    </row>
    <row r="272" ht="20.1" customHeight="1" s="574">
      <c r="A272" s="101">
        <f>IF(B272="","",ROW()-5)</f>
        <v/>
      </c>
      <c r="B272" s="62" t="inlineStr">
        <is>
          <t>6997</t>
        </is>
      </c>
      <c r="C272" s="98">
        <f>_xll.RssMarket($B272,"銘柄名称")</f>
        <v/>
      </c>
      <c r="D272" s="99">
        <f>IF(B272="","",HYPERLINK("https://kabutan.jp/stock/?code="&amp;B272,"株探"))</f>
        <v/>
      </c>
    </row>
    <row r="273" ht="20.1" customHeight="1" s="574">
      <c r="A273" s="101">
        <f>IF(B273="","",ROW()-5)</f>
        <v/>
      </c>
      <c r="B273" s="62" t="inlineStr">
        <is>
          <t>4544</t>
        </is>
      </c>
      <c r="C273" s="98">
        <f>_xll.RssMarket($B273,"銘柄名称")</f>
        <v/>
      </c>
      <c r="D273" s="99">
        <f>IF(B273="","",HYPERLINK("https://kabutan.jp/stock/?code="&amp;B273,"株探"))</f>
        <v/>
      </c>
    </row>
    <row r="274" ht="20.1" customHeight="1" s="574">
      <c r="A274" s="101">
        <f>IF(B274="","",ROW()-5)</f>
        <v/>
      </c>
      <c r="B274" s="62" t="inlineStr">
        <is>
          <t>6848</t>
        </is>
      </c>
      <c r="C274" s="98">
        <f>_xll.RssMarket($B274,"銘柄名称")</f>
        <v/>
      </c>
      <c r="D274" s="99">
        <f>IF(B274="","",HYPERLINK("https://kabutan.jp/stock/?code="&amp;B274,"株探"))</f>
        <v/>
      </c>
    </row>
    <row r="275" ht="20.1" customHeight="1" s="574">
      <c r="A275" s="101">
        <f>IF(B275="","",ROW()-5)</f>
        <v/>
      </c>
      <c r="B275" s="62" t="inlineStr">
        <is>
          <t>5702</t>
        </is>
      </c>
      <c r="C275" s="98">
        <f>_xll.RssMarket($B275,"銘柄名称")</f>
        <v/>
      </c>
      <c r="D275" s="99">
        <f>IF(B275="","",HYPERLINK("https://kabutan.jp/stock/?code="&amp;B275,"株探"))</f>
        <v/>
      </c>
    </row>
    <row r="276" ht="20.1" customHeight="1" s="574">
      <c r="A276" s="101">
        <f>IF(B276="","",ROW()-5)</f>
        <v/>
      </c>
      <c r="B276" s="62" t="inlineStr">
        <is>
          <t>7952</t>
        </is>
      </c>
      <c r="C276" s="98">
        <f>_xll.RssMarket($B276,"銘柄名称")</f>
        <v/>
      </c>
      <c r="D276" s="99">
        <f>IF(B276="","",HYPERLINK("https://kabutan.jp/stock/?code="&amp;B276,"株探"))</f>
        <v/>
      </c>
    </row>
    <row r="277" ht="20.1" customHeight="1" s="574">
      <c r="A277" s="101">
        <f>IF(B277="","",ROW()-5)</f>
        <v/>
      </c>
      <c r="B277" s="62" t="inlineStr">
        <is>
          <t>3002</t>
        </is>
      </c>
      <c r="C277" s="98">
        <f>_xll.RssMarket($B277,"銘柄名称")</f>
        <v/>
      </c>
      <c r="D277" s="99">
        <f>IF(B277="","",HYPERLINK("https://kabutan.jp/stock/?code="&amp;B277,"株探"))</f>
        <v/>
      </c>
    </row>
    <row r="278" ht="20.1" customHeight="1" s="574">
      <c r="A278" s="101">
        <f>IF(B278="","",ROW()-5)</f>
        <v/>
      </c>
      <c r="B278" s="62" t="inlineStr">
        <is>
          <t>8871</t>
        </is>
      </c>
      <c r="C278" s="98">
        <f>_xll.RssMarket($B278,"銘柄名称")</f>
        <v/>
      </c>
      <c r="D278" s="99">
        <f>IF(B278="","",HYPERLINK("https://kabutan.jp/stock/?code="&amp;B278,"株探"))</f>
        <v/>
      </c>
    </row>
    <row r="279" ht="20.1" customHeight="1" s="574">
      <c r="A279" s="101">
        <f>IF(B279="","",ROW()-5)</f>
        <v/>
      </c>
      <c r="B279" s="62" t="inlineStr">
        <is>
          <t>6918</t>
        </is>
      </c>
      <c r="C279" s="98">
        <f>_xll.RssMarket($B279,"銘柄名称")</f>
        <v/>
      </c>
      <c r="D279" s="99">
        <f>IF(B279="","",HYPERLINK("https://kabutan.jp/stock/?code="&amp;B279,"株探"))</f>
        <v/>
      </c>
    </row>
    <row r="280" ht="20.1" customHeight="1" s="574">
      <c r="A280" s="101">
        <f>IF(B280="","",ROW()-5)</f>
        <v/>
      </c>
      <c r="B280" s="62" t="inlineStr">
        <is>
          <t>6488</t>
        </is>
      </c>
      <c r="C280" s="98">
        <f>_xll.RssMarket($B280,"銘柄名称")</f>
        <v/>
      </c>
      <c r="D280" s="99">
        <f>IF(B280="","",HYPERLINK("https://kabutan.jp/stock/?code="&amp;B280,"株探"))</f>
        <v/>
      </c>
    </row>
    <row r="281" ht="20.1" customHeight="1" s="574">
      <c r="A281" s="101">
        <f>IF(B281="","",ROW()-5)</f>
        <v/>
      </c>
      <c r="B281" s="62" t="inlineStr">
        <is>
          <t>8007</t>
        </is>
      </c>
      <c r="C281" s="98">
        <f>_xll.RssMarket($B281,"銘柄名称")</f>
        <v/>
      </c>
      <c r="D281" s="99">
        <f>IF(B281="","",HYPERLINK("https://kabutan.jp/stock/?code="&amp;B281,"株探"))</f>
        <v/>
      </c>
    </row>
    <row r="282" ht="20.1" customHeight="1" s="574">
      <c r="A282" s="101">
        <f>IF(B282="","",ROW()-5)</f>
        <v/>
      </c>
      <c r="B282" s="62" t="inlineStr">
        <is>
          <t>4218</t>
        </is>
      </c>
      <c r="C282" s="98">
        <f>_xll.RssMarket($B282,"銘柄名称")</f>
        <v/>
      </c>
      <c r="D282" s="99">
        <f>IF(B282="","",HYPERLINK("https://kabutan.jp/stock/?code="&amp;B282,"株探"))</f>
        <v/>
      </c>
    </row>
    <row r="283" ht="20.1" customHeight="1" s="574">
      <c r="A283" s="101">
        <f>IF(B283="","",ROW()-5)</f>
        <v/>
      </c>
      <c r="B283" s="62" t="inlineStr">
        <is>
          <t>7735</t>
        </is>
      </c>
      <c r="C283" s="98">
        <f>_xll.RssMarket($B283,"銘柄名称")</f>
        <v/>
      </c>
      <c r="D283" s="99">
        <f>IF(B283="","",HYPERLINK("https://kabutan.jp/stock/?code="&amp;B283,"株探"))</f>
        <v/>
      </c>
    </row>
    <row r="284" ht="20.1" customHeight="1" s="574">
      <c r="A284" s="101">
        <f>IF(B284="","",ROW()-5)</f>
        <v/>
      </c>
      <c r="B284" s="62" t="inlineStr">
        <is>
          <t>3905</t>
        </is>
      </c>
      <c r="C284" s="98">
        <f>_xll.RssMarket($B284,"銘柄名称")</f>
        <v/>
      </c>
      <c r="D284" s="99">
        <f>IF(B284="","",HYPERLINK("https://kabutan.jp/stock/?code="&amp;B284,"株探"))</f>
        <v/>
      </c>
    </row>
    <row r="285" ht="20.1" customHeight="1" s="574">
      <c r="A285" s="101">
        <f>IF(B285="","",ROW()-5)</f>
        <v/>
      </c>
      <c r="B285" s="62" t="inlineStr">
        <is>
          <t>3397</t>
        </is>
      </c>
      <c r="C285" s="98">
        <f>_xll.RssMarket($B285,"銘柄名称")</f>
        <v/>
      </c>
      <c r="D285" s="99">
        <f>IF(B285="","",HYPERLINK("https://kabutan.jp/stock/?code="&amp;B285,"株探"))</f>
        <v/>
      </c>
    </row>
    <row r="286" ht="20.1" customHeight="1" s="574">
      <c r="A286" s="101">
        <f>IF(B286="","",ROW()-5)</f>
        <v/>
      </c>
      <c r="B286" s="62" t="inlineStr">
        <is>
          <t>7270</t>
        </is>
      </c>
      <c r="C286" s="98">
        <f>_xll.RssMarket($B286,"銘柄名称")</f>
        <v/>
      </c>
      <c r="D286" s="99">
        <f>IF(B286="","",HYPERLINK("https://kabutan.jp/stock/?code="&amp;B286,"株探"))</f>
        <v/>
      </c>
    </row>
    <row r="287" ht="20.1" customHeight="1" s="574">
      <c r="A287" s="101">
        <f>IF(B287="","",ROW()-5)</f>
        <v/>
      </c>
      <c r="B287" s="62" t="inlineStr">
        <is>
          <t>6736</t>
        </is>
      </c>
      <c r="C287" s="98">
        <f>_xll.RssMarket($B287,"銘柄名称")</f>
        <v/>
      </c>
      <c r="D287" s="99">
        <f>IF(B287="","",HYPERLINK("https://kabutan.jp/stock/?code="&amp;B287,"株探"))</f>
        <v/>
      </c>
    </row>
    <row r="288" ht="20.1" customHeight="1" s="574">
      <c r="A288" s="101">
        <f>IF(B288="","",ROW()-5)</f>
        <v/>
      </c>
      <c r="B288" s="62" t="inlineStr">
        <is>
          <t>2933</t>
        </is>
      </c>
      <c r="C288" s="98">
        <f>_xll.RssMarket($B288,"銘柄名称")</f>
        <v/>
      </c>
      <c r="D288" s="99">
        <f>IF(B288="","",HYPERLINK("https://kabutan.jp/stock/?code="&amp;B288,"株探"))</f>
        <v/>
      </c>
    </row>
    <row r="289" ht="20.1" customHeight="1" s="574">
      <c r="A289" s="101">
        <f>IF(B289="","",ROW()-5)</f>
        <v/>
      </c>
      <c r="B289" s="62" t="inlineStr">
        <is>
          <t>4047</t>
        </is>
      </c>
      <c r="C289" s="98">
        <f>_xll.RssMarket($B289,"銘柄名称")</f>
        <v/>
      </c>
      <c r="D289" s="99">
        <f>IF(B289="","",HYPERLINK("https://kabutan.jp/stock/?code="&amp;B289,"株探"))</f>
        <v/>
      </c>
    </row>
    <row r="290" ht="20.1" customHeight="1" s="574">
      <c r="A290" s="101">
        <f>IF(B290="","",ROW()-5)</f>
        <v/>
      </c>
      <c r="B290" s="62" t="inlineStr">
        <is>
          <t>6482</t>
        </is>
      </c>
      <c r="C290" s="98">
        <f>_xll.RssMarket($B290,"銘柄名称")</f>
        <v/>
      </c>
      <c r="D290" s="99">
        <f>IF(B290="","",HYPERLINK("https://kabutan.jp/stock/?code="&amp;B290,"株探"))</f>
        <v/>
      </c>
    </row>
    <row r="291" ht="20.1" customHeight="1" s="574">
      <c r="A291" s="101">
        <f>IF(B291="","",ROW()-5)</f>
        <v/>
      </c>
      <c r="B291" s="62" t="inlineStr">
        <is>
          <t>6706</t>
        </is>
      </c>
      <c r="C291" s="98">
        <f>_xll.RssMarket($B291,"銘柄名称")</f>
        <v/>
      </c>
      <c r="D291" s="99">
        <f>IF(B291="","",HYPERLINK("https://kabutan.jp/stock/?code="&amp;B291,"株探"))</f>
        <v/>
      </c>
    </row>
    <row r="292" ht="20.1" customHeight="1" s="574">
      <c r="A292" s="101">
        <f>IF(B292="","",ROW()-5)</f>
        <v/>
      </c>
      <c r="B292" s="62" t="inlineStr">
        <is>
          <t>8141</t>
        </is>
      </c>
      <c r="C292" s="98">
        <f>_xll.RssMarket($B292,"銘柄名称")</f>
        <v/>
      </c>
      <c r="D292" s="99">
        <f>IF(B292="","",HYPERLINK("https://kabutan.jp/stock/?code="&amp;B292,"株探"))</f>
        <v/>
      </c>
    </row>
    <row r="293" ht="20.1" customHeight="1" s="574">
      <c r="A293" s="101">
        <f>IF(B293="","",ROW()-5)</f>
        <v/>
      </c>
      <c r="B293" s="62" t="inlineStr">
        <is>
          <t>8344</t>
        </is>
      </c>
      <c r="C293" s="98">
        <f>_xll.RssMarket($B293,"銘柄名称")</f>
        <v/>
      </c>
      <c r="D293" s="99">
        <f>IF(B293="","",HYPERLINK("https://kabutan.jp/stock/?code="&amp;B293,"株探"))</f>
        <v/>
      </c>
    </row>
    <row r="294" ht="20.1" customHeight="1" s="574">
      <c r="A294" s="101">
        <f>IF(B294="","",ROW()-5)</f>
        <v/>
      </c>
      <c r="B294" s="62" t="inlineStr">
        <is>
          <t>7414</t>
        </is>
      </c>
      <c r="C294" s="98">
        <f>_xll.RssMarket($B294,"銘柄名称")</f>
        <v/>
      </c>
      <c r="D294" s="99">
        <f>IF(B294="","",HYPERLINK("https://kabutan.jp/stock/?code="&amp;B294,"株探"))</f>
        <v/>
      </c>
    </row>
    <row r="295" ht="20.1" customHeight="1" s="574">
      <c r="A295" s="101">
        <f>IF(B295="","",ROW()-5)</f>
        <v/>
      </c>
      <c r="B295" s="62" t="inlineStr">
        <is>
          <t>6407</t>
        </is>
      </c>
      <c r="C295" s="98">
        <f>_xll.RssMarket($B295,"銘柄名称")</f>
        <v/>
      </c>
      <c r="D295" s="99">
        <f>IF(B295="","",HYPERLINK("https://kabutan.jp/stock/?code="&amp;B295,"株探"))</f>
        <v/>
      </c>
    </row>
    <row r="296" ht="20.1" customHeight="1" s="574">
      <c r="A296" s="101">
        <f>IF(B296="","",ROW()-5)</f>
        <v/>
      </c>
      <c r="B296" s="62" t="inlineStr">
        <is>
          <t>7048</t>
        </is>
      </c>
      <c r="C296" s="98">
        <f>_xll.RssMarket($B296,"銘柄名称")</f>
        <v/>
      </c>
      <c r="D296" s="99">
        <f>IF(B296="","",HYPERLINK("https://kabutan.jp/stock/?code="&amp;B296,"株探"))</f>
        <v/>
      </c>
    </row>
    <row r="297" ht="20.1" customHeight="1" s="574">
      <c r="A297" s="101">
        <f>IF(B297="","",ROW()-5)</f>
        <v/>
      </c>
      <c r="B297" s="62" t="inlineStr">
        <is>
          <t>1808</t>
        </is>
      </c>
      <c r="C297" s="98">
        <f>_xll.RssMarket($B297,"銘柄名称")</f>
        <v/>
      </c>
      <c r="D297" s="99">
        <f>IF(B297="","",HYPERLINK("https://kabutan.jp/stock/?code="&amp;B297,"株探"))</f>
        <v/>
      </c>
    </row>
    <row r="298" ht="20.1" customHeight="1" s="574">
      <c r="A298" s="101">
        <f>IF(B298="","",ROW()-5)</f>
        <v/>
      </c>
      <c r="B298" s="62" t="inlineStr">
        <is>
          <t>4208</t>
        </is>
      </c>
      <c r="C298" s="98">
        <f>_xll.RssMarket($B298,"銘柄名称")</f>
        <v/>
      </c>
      <c r="D298" s="99">
        <f>IF(B298="","",HYPERLINK("https://kabutan.jp/stock/?code="&amp;B298,"株探"))</f>
        <v/>
      </c>
    </row>
    <row r="299" ht="20.1" customHeight="1" s="574">
      <c r="A299" s="101">
        <f>IF(B299="","",ROW()-5)</f>
        <v/>
      </c>
      <c r="B299" s="62" t="inlineStr">
        <is>
          <t>186A</t>
        </is>
      </c>
      <c r="C299" s="98">
        <f>_xll.RssMarket($B299,"銘柄名称")</f>
        <v/>
      </c>
      <c r="D299" s="99">
        <f>IF(B299="","",HYPERLINK("https://kabutan.jp/stock/?code="&amp;B299,"株探"))</f>
        <v/>
      </c>
    </row>
    <row r="300" ht="20.1" customHeight="1" s="574">
      <c r="A300" s="101">
        <f>IF(B300="","",ROW()-5)</f>
        <v/>
      </c>
      <c r="B300" s="62" t="inlineStr">
        <is>
          <t>6965</t>
        </is>
      </c>
      <c r="C300" s="98">
        <f>_xll.RssMarket($B300,"銘柄名称")</f>
        <v/>
      </c>
      <c r="D300" s="99">
        <f>IF(B300="","",HYPERLINK("https://kabutan.jp/stock/?code="&amp;B300,"株探"))</f>
        <v/>
      </c>
    </row>
    <row r="301" ht="20.1" customHeight="1" s="574">
      <c r="A301" s="101">
        <f>IF(B301="","",ROW()-5)</f>
        <v/>
      </c>
      <c r="B301" s="62" t="inlineStr">
        <is>
          <t>6331</t>
        </is>
      </c>
      <c r="C301" s="98">
        <f>_xll.RssMarket($B301,"銘柄名称")</f>
        <v/>
      </c>
      <c r="D301" s="99">
        <f>IF(B301="","",HYPERLINK("https://kabutan.jp/stock/?code="&amp;B301,"株探"))</f>
        <v/>
      </c>
    </row>
    <row r="302" ht="20.1" customHeight="1" s="574">
      <c r="A302" s="101">
        <f>IF(B302="","",ROW()-5)</f>
        <v/>
      </c>
      <c r="B302" s="62" t="inlineStr">
        <is>
          <t>7741</t>
        </is>
      </c>
      <c r="C302" s="98">
        <f>_xll.RssMarket($B302,"銘柄名称")</f>
        <v/>
      </c>
      <c r="D302" s="99">
        <f>IF(B302="","",HYPERLINK("https://kabutan.jp/stock/?code="&amp;B302,"株探"))</f>
        <v/>
      </c>
    </row>
    <row r="303" ht="20.1" customHeight="1" s="574">
      <c r="A303" s="101">
        <f>IF(B303="","",ROW()-5)</f>
        <v/>
      </c>
      <c r="B303" s="62" t="n"/>
      <c r="C303" s="98">
        <f t="array" ref="C303">_xll.RssMarket(B303, "銘柄名称")</f>
        <v/>
      </c>
      <c r="D303" s="99">
        <f>IF(B303="","",HYPERLINK("https://kabutan.jp/stock/?code="&amp;B303,"株探"))</f>
        <v/>
      </c>
    </row>
    <row r="304" ht="20.1" customHeight="1" s="574">
      <c r="A304" s="101">
        <f>IF(B304="","",ROW()-5)</f>
        <v/>
      </c>
      <c r="B304" s="62" t="n"/>
      <c r="C304" s="98">
        <f t="array" ref="C304">_xll.RssMarket(B304, "銘柄名称")</f>
        <v/>
      </c>
      <c r="D304" s="99">
        <f>IF(B304="","",HYPERLINK("https://kabutan.jp/stock/?code="&amp;B304,"株探"))</f>
        <v/>
      </c>
    </row>
    <row r="305" ht="20.1" customHeight="1" s="574">
      <c r="A305" s="101">
        <f>IF(B305="","",ROW()-5)</f>
        <v/>
      </c>
      <c r="B305" s="62" t="n"/>
      <c r="C305" s="98">
        <f t="array" ref="C305">_xll.RssMarket(B305, "銘柄名称")</f>
        <v/>
      </c>
      <c r="D305" s="99">
        <f>IF(B305="","",HYPERLINK("https://kabutan.jp/stock/?code="&amp;B305,"株探"))</f>
        <v/>
      </c>
    </row>
    <row r="306" ht="20.1" customHeight="1" s="574">
      <c r="A306" s="101">
        <f>IF(B306="","",ROW()-5)</f>
        <v/>
      </c>
      <c r="B306" s="62" t="n"/>
      <c r="C306" s="98">
        <f t="array" ref="C306">_xll.RssMarket(B306, "銘柄名称")</f>
        <v/>
      </c>
      <c r="D306" s="99">
        <f>IF(B306="","",HYPERLINK("https://kabutan.jp/stock/?code="&amp;B306,"株探"))</f>
        <v/>
      </c>
    </row>
    <row r="307" ht="20.1" customHeight="1" s="574">
      <c r="A307" s="101">
        <f>IF(B307="","",ROW()-5)</f>
        <v/>
      </c>
      <c r="B307" s="62" t="n"/>
      <c r="C307" s="98">
        <f t="array" ref="C307">_xll.RssMarket(B307, "銘柄名称")</f>
        <v/>
      </c>
      <c r="D307" s="99">
        <f>IF(B307="","",HYPERLINK("https://kabutan.jp/stock/?code="&amp;B307,"株探"))</f>
        <v/>
      </c>
    </row>
    <row r="308" ht="20.1" customHeight="1" s="574">
      <c r="A308" s="101">
        <f>IF(B308="","",ROW()-5)</f>
        <v/>
      </c>
      <c r="B308" s="62" t="n"/>
      <c r="C308" s="98">
        <f t="array" ref="C308">_xll.RssMarket(B308, "銘柄名称")</f>
        <v/>
      </c>
      <c r="D308" s="99">
        <f>IF(B308="","",HYPERLINK("https://kabutan.jp/stock/?code="&amp;B308,"株探"))</f>
        <v/>
      </c>
    </row>
    <row r="309" ht="20.1" customHeight="1" s="574">
      <c r="A309" s="101">
        <f>IF(B309="","",ROW()-5)</f>
        <v/>
      </c>
      <c r="B309" s="62" t="n"/>
      <c r="C309" s="98">
        <f t="array" ref="C309">_xll.RssMarket(B309, "銘柄名称")</f>
        <v/>
      </c>
      <c r="D309" s="99">
        <f>IF(B309="","",HYPERLINK("https://kabutan.jp/stock/?code="&amp;B309,"株探"))</f>
        <v/>
      </c>
    </row>
    <row r="310" ht="20.1" customHeight="1" s="574">
      <c r="A310" s="101">
        <f>IF(B310="","",ROW()-5)</f>
        <v/>
      </c>
      <c r="B310" s="62" t="n"/>
      <c r="C310" s="98">
        <f t="array" ref="C310">_xll.RssMarket(B310, "銘柄名称")</f>
        <v/>
      </c>
      <c r="D310" s="99">
        <f>IF(B310="","",HYPERLINK("https://kabutan.jp/stock/?code="&amp;B310,"株探"))</f>
        <v/>
      </c>
    </row>
    <row r="311" ht="20.1" customHeight="1" s="574">
      <c r="A311" s="101">
        <f>IF(B311="","",ROW()-5)</f>
        <v/>
      </c>
      <c r="B311" s="62" t="n"/>
      <c r="C311" s="98">
        <f t="array" ref="C311">_xll.RssMarket(B311, "銘柄名称")</f>
        <v/>
      </c>
      <c r="D311" s="99">
        <f>IF(B311="","",HYPERLINK("https://kabutan.jp/stock/?code="&amp;B311,"株探"))</f>
        <v/>
      </c>
    </row>
    <row r="312" ht="20.1" customHeight="1" s="574">
      <c r="A312" s="101">
        <f>IF(B312="","",ROW()-5)</f>
        <v/>
      </c>
      <c r="B312" s="62" t="n"/>
      <c r="C312" s="98">
        <f t="array" ref="C312">_xll.RssMarket(B312, "銘柄名称")</f>
        <v/>
      </c>
      <c r="D312" s="99">
        <f>IF(B312="","",HYPERLINK("https://kabutan.jp/stock/?code="&amp;B312,"株探"))</f>
        <v/>
      </c>
    </row>
    <row r="313" ht="20.1" customHeight="1" s="574">
      <c r="A313" s="101">
        <f>IF(B313="","",ROW()-5)</f>
        <v/>
      </c>
      <c r="B313" s="62" t="n"/>
      <c r="C313" s="98">
        <f t="array" ref="C313">_xll.RssMarket(B313, "銘柄名称")</f>
        <v/>
      </c>
      <c r="D313" s="99">
        <f>IF(B313="","",HYPERLINK("https://kabutan.jp/stock/?code="&amp;B313,"株探"))</f>
        <v/>
      </c>
    </row>
    <row r="314" ht="20.1" customHeight="1" s="574">
      <c r="A314" s="101">
        <f>IF(B314="","",ROW()-5)</f>
        <v/>
      </c>
      <c r="B314" s="62" t="n"/>
      <c r="C314" s="98">
        <f t="array" ref="C314">_xll.RssMarket(B314, "銘柄名称")</f>
        <v/>
      </c>
      <c r="D314" s="99">
        <f>IF(B314="","",HYPERLINK("https://kabutan.jp/stock/?code="&amp;B314,"株探"))</f>
        <v/>
      </c>
    </row>
    <row r="315" ht="20.1" customHeight="1" s="574">
      <c r="A315" s="101">
        <f>IF(B315="","",ROW()-5)</f>
        <v/>
      </c>
      <c r="B315" s="62" t="n"/>
      <c r="C315" s="98">
        <f t="array" ref="C315">_xll.RssMarket(B315, "銘柄名称")</f>
        <v/>
      </c>
      <c r="D315" s="99">
        <f>IF(B315="","",HYPERLINK("https://kabutan.jp/stock/?code="&amp;B315,"株探"))</f>
        <v/>
      </c>
    </row>
    <row r="316" ht="20.1" customHeight="1" s="574">
      <c r="A316" s="101">
        <f>IF(B316="","",ROW()-5)</f>
        <v/>
      </c>
      <c r="B316" s="62" t="n"/>
      <c r="C316" s="98">
        <f t="array" ref="C316">_xll.RssMarket(B316, "銘柄名称")</f>
        <v/>
      </c>
      <c r="D316" s="99">
        <f>IF(B316="","",HYPERLINK("https://kabutan.jp/stock/?code="&amp;B316,"株探"))</f>
        <v/>
      </c>
    </row>
    <row r="317" ht="20.1" customHeight="1" s="574">
      <c r="A317" s="101">
        <f>IF(B317="","",ROW()-5)</f>
        <v/>
      </c>
      <c r="B317" s="62" t="n"/>
      <c r="C317" s="98">
        <f t="array" ref="C317">_xll.RssMarket(B317, "銘柄名称")</f>
        <v/>
      </c>
      <c r="D317" s="99">
        <f>IF(B317="","",HYPERLINK("https://kabutan.jp/stock/?code="&amp;B317,"株探"))</f>
        <v/>
      </c>
    </row>
    <row r="318" ht="20.1" customHeight="1" s="574">
      <c r="A318" s="101">
        <f>IF(B318="","",ROW()-5)</f>
        <v/>
      </c>
      <c r="B318" s="62" t="n"/>
      <c r="C318" s="98">
        <f t="array" ref="C318">_xll.RssMarket(B318, "銘柄名称")</f>
        <v/>
      </c>
      <c r="D318" s="99">
        <f>IF(B318="","",HYPERLINK("https://kabutan.jp/stock/?code="&amp;B318,"株探"))</f>
        <v/>
      </c>
    </row>
    <row r="319" ht="20.1" customHeight="1" s="574">
      <c r="A319" s="101">
        <f>IF(B319="","",ROW()-5)</f>
        <v/>
      </c>
      <c r="B319" s="62" t="n"/>
      <c r="C319" s="98">
        <f t="array" ref="C319">_xll.RssMarket(B319, "銘柄名称")</f>
        <v/>
      </c>
      <c r="D319" s="99">
        <f>IF(B319="","",HYPERLINK("https://kabutan.jp/stock/?code="&amp;B319,"株探"))</f>
        <v/>
      </c>
    </row>
    <row r="320" ht="20.1" customHeight="1" s="574">
      <c r="A320" s="101">
        <f>IF(B320="","",ROW()-5)</f>
        <v/>
      </c>
      <c r="B320" s="62" t="n"/>
      <c r="C320" s="98">
        <f t="array" ref="C320">_xll.RssMarket(B320, "銘柄名称")</f>
        <v/>
      </c>
      <c r="D320" s="99">
        <f>IF(B320="","",HYPERLINK("https://kabutan.jp/stock/?code="&amp;B320,"株探"))</f>
        <v/>
      </c>
    </row>
    <row r="321" ht="20.1" customHeight="1" s="574">
      <c r="A321" s="101">
        <f>IF(B321="","",ROW()-5)</f>
        <v/>
      </c>
      <c r="B321" s="62" t="n"/>
      <c r="C321" s="98">
        <f t="array" ref="C321">_xll.RssMarket(B321, "銘柄名称")</f>
        <v/>
      </c>
      <c r="D321" s="99">
        <f>IF(B321="","",HYPERLINK("https://kabutan.jp/stock/?code="&amp;B321,"株探"))</f>
        <v/>
      </c>
    </row>
    <row r="322" ht="20.1" customHeight="1" s="574">
      <c r="A322" s="101">
        <f>IF(B322="","",ROW()-5)</f>
        <v/>
      </c>
      <c r="B322" s="62" t="n"/>
      <c r="C322" s="98">
        <f t="array" ref="C322">_xll.RssMarket(B322, "銘柄名称")</f>
        <v/>
      </c>
      <c r="D322" s="99">
        <f>IF(B322="","",HYPERLINK("https://kabutan.jp/stock/?code="&amp;B322,"株探"))</f>
        <v/>
      </c>
    </row>
    <row r="323" ht="20.1" customHeight="1" s="574">
      <c r="A323" s="101">
        <f>IF(B323="","",ROW()-5)</f>
        <v/>
      </c>
      <c r="B323" s="62" t="n"/>
      <c r="C323" s="98">
        <f t="array" ref="C323">_xll.RssMarket(B323, "銘柄名称")</f>
        <v/>
      </c>
      <c r="D323" s="99">
        <f>IF(B323="","",HYPERLINK("https://kabutan.jp/stock/?code="&amp;B323,"株探"))</f>
        <v/>
      </c>
    </row>
    <row r="324" ht="20.1" customHeight="1" s="574">
      <c r="A324" s="101">
        <f>IF(B324="","",ROW()-5)</f>
        <v/>
      </c>
      <c r="B324" s="62" t="n"/>
      <c r="C324" s="98">
        <f t="array" ref="C324">_xll.RssMarket(B324, "銘柄名称")</f>
        <v/>
      </c>
      <c r="D324" s="99">
        <f>IF(B324="","",HYPERLINK("https://kabutan.jp/stock/?code="&amp;B324,"株探"))</f>
        <v/>
      </c>
    </row>
    <row r="325" ht="20.1" customHeight="1" s="574">
      <c r="A325" s="101">
        <f>IF(B325="","",ROW()-5)</f>
        <v/>
      </c>
      <c r="B325" s="62" t="n"/>
      <c r="C325" s="98">
        <f t="array" ref="C325">_xll.RssMarket(B325, "銘柄名称")</f>
        <v/>
      </c>
      <c r="D325" s="99">
        <f>IF(B325="","",HYPERLINK("https://kabutan.jp/stock/?code="&amp;B325,"株探"))</f>
        <v/>
      </c>
    </row>
    <row r="326" ht="20.1" customHeight="1" s="574">
      <c r="A326" s="101">
        <f>IF(B326="","",ROW()-5)</f>
        <v/>
      </c>
      <c r="B326" s="62" t="n"/>
      <c r="C326" s="98">
        <f t="array" ref="C326">_xll.RssMarket(B326, "銘柄名称")</f>
        <v/>
      </c>
      <c r="D326" s="99">
        <f>IF(B326="","",HYPERLINK("https://kabutan.jp/stock/?code="&amp;B326,"株探"))</f>
        <v/>
      </c>
    </row>
    <row r="327" ht="20.1" customHeight="1" s="574">
      <c r="A327" s="101">
        <f>IF(B327="","",ROW()-5)</f>
        <v/>
      </c>
      <c r="B327" s="62" t="n"/>
      <c r="C327" s="98">
        <f t="array" ref="C327">_xll.RssMarket(B327, "銘柄名称")</f>
        <v/>
      </c>
      <c r="D327" s="99">
        <f>IF(B327="","",HYPERLINK("https://kabutan.jp/stock/?code="&amp;B327,"株探"))</f>
        <v/>
      </c>
    </row>
    <row r="328" ht="20.1" customHeight="1" s="574">
      <c r="A328" s="101">
        <f>IF(B328="","",ROW()-5)</f>
        <v/>
      </c>
      <c r="B328" s="62" t="n"/>
      <c r="C328" s="98">
        <f t="array" ref="C328">_xll.RssMarket(B328, "銘柄名称")</f>
        <v/>
      </c>
      <c r="D328" s="99">
        <f>IF(B328="","",HYPERLINK("https://kabutan.jp/stock/?code="&amp;B328,"株探"))</f>
        <v/>
      </c>
    </row>
    <row r="329" ht="20.1" customHeight="1" s="574">
      <c r="A329" s="101">
        <f>IF(B329="","",ROW()-5)</f>
        <v/>
      </c>
      <c r="B329" s="62" t="n"/>
      <c r="C329" s="98">
        <f t="array" ref="C329">_xll.RssMarket(B329, "銘柄名称")</f>
        <v/>
      </c>
      <c r="D329" s="99">
        <f>IF(B329="","",HYPERLINK("https://kabutan.jp/stock/?code="&amp;B329,"株探"))</f>
        <v/>
      </c>
    </row>
    <row r="330" ht="20.1" customHeight="1" s="574">
      <c r="A330" s="101">
        <f>IF(B330="","",ROW()-5)</f>
        <v/>
      </c>
      <c r="B330" s="62" t="n"/>
      <c r="C330" s="98">
        <f t="array" ref="C330">_xll.RssMarket(B330, "銘柄名称")</f>
        <v/>
      </c>
      <c r="D330" s="99">
        <f>IF(B330="","",HYPERLINK("https://kabutan.jp/stock/?code="&amp;B330,"株探"))</f>
        <v/>
      </c>
    </row>
    <row r="331" ht="20.1" customHeight="1" s="574">
      <c r="A331" s="101">
        <f>IF(B331="","",ROW()-5)</f>
        <v/>
      </c>
      <c r="B331" s="62" t="n"/>
      <c r="C331" s="98">
        <f t="array" ref="C331">_xll.RssMarket(B331, "銘柄名称")</f>
        <v/>
      </c>
      <c r="D331" s="99">
        <f>IF(B331="","",HYPERLINK("https://kabutan.jp/stock/?code="&amp;B331,"株探"))</f>
        <v/>
      </c>
    </row>
    <row r="332" ht="20.1" customHeight="1" s="574">
      <c r="A332" s="101">
        <f>IF(B332="","",ROW()-5)</f>
        <v/>
      </c>
      <c r="B332" s="62" t="n"/>
      <c r="C332" s="98">
        <f t="array" ref="C332">_xll.RssMarket(B332, "銘柄名称")</f>
        <v/>
      </c>
      <c r="D332" s="99">
        <f>IF(B332="","",HYPERLINK("https://kabutan.jp/stock/?code="&amp;B332,"株探"))</f>
        <v/>
      </c>
    </row>
    <row r="333" ht="20.1" customHeight="1" s="574">
      <c r="A333" s="101">
        <f>IF(B333="","",ROW()-5)</f>
        <v/>
      </c>
      <c r="B333" s="62" t="n"/>
      <c r="C333" s="98">
        <f t="array" ref="C333">_xll.RssMarket(B333, "銘柄名称")</f>
        <v/>
      </c>
      <c r="D333" s="99">
        <f>IF(B333="","",HYPERLINK("https://kabutan.jp/stock/?code="&amp;B333,"株探"))</f>
        <v/>
      </c>
    </row>
    <row r="334" ht="20.1" customHeight="1" s="574">
      <c r="A334" s="101">
        <f>IF(B334="","",ROW()-5)</f>
        <v/>
      </c>
      <c r="B334" s="62" t="n"/>
      <c r="C334" s="98">
        <f t="array" ref="C334">_xll.RssMarket(B334, "銘柄名称")</f>
        <v/>
      </c>
      <c r="D334" s="99">
        <f>IF(B334="","",HYPERLINK("https://kabutan.jp/stock/?code="&amp;B334,"株探"))</f>
        <v/>
      </c>
    </row>
    <row r="335" ht="20.1" customHeight="1" s="574">
      <c r="A335" s="101">
        <f>IF(B335="","",ROW()-5)</f>
        <v/>
      </c>
      <c r="B335" s="62" t="n"/>
      <c r="C335" s="98">
        <f t="array" ref="C335">_xll.RssMarket(B335, "銘柄名称")</f>
        <v/>
      </c>
      <c r="D335" s="99">
        <f>IF(B335="","",HYPERLINK("https://kabutan.jp/stock/?code="&amp;B335,"株探"))</f>
        <v/>
      </c>
    </row>
    <row r="336" ht="20.1" customHeight="1" s="574">
      <c r="A336" s="101">
        <f>IF(B336="","",ROW()-5)</f>
        <v/>
      </c>
      <c r="B336" s="62" t="n"/>
      <c r="C336" s="98">
        <f t="array" ref="C336">_xll.RssMarket(B336, "銘柄名称")</f>
        <v/>
      </c>
      <c r="D336" s="99">
        <f>IF(B336="","",HYPERLINK("https://kabutan.jp/stock/?code="&amp;B336,"株探"))</f>
        <v/>
      </c>
    </row>
    <row r="337" ht="20.1" customHeight="1" s="574">
      <c r="A337" s="101">
        <f>IF(B337="","",ROW()-5)</f>
        <v/>
      </c>
      <c r="B337" s="62" t="n"/>
      <c r="C337" s="98">
        <f t="array" ref="C337">_xll.RssMarket(B337, "銘柄名称")</f>
        <v/>
      </c>
      <c r="D337" s="99">
        <f>IF(B337="","",HYPERLINK("https://kabutan.jp/stock/?code="&amp;B337,"株探"))</f>
        <v/>
      </c>
    </row>
    <row r="338" ht="20.1" customHeight="1" s="574">
      <c r="A338" s="101">
        <f>IF(B338="","",ROW()-5)</f>
        <v/>
      </c>
      <c r="B338" s="62" t="n"/>
      <c r="C338" s="98">
        <f t="array" ref="C338">_xll.RssMarket(B338, "銘柄名称")</f>
        <v/>
      </c>
      <c r="D338" s="99">
        <f>IF(B338="","",HYPERLINK("https://kabutan.jp/stock/?code="&amp;B338,"株探"))</f>
        <v/>
      </c>
    </row>
    <row r="339" ht="20.1" customHeight="1" s="574">
      <c r="A339" s="101">
        <f>IF(B339="","",ROW()-5)</f>
        <v/>
      </c>
      <c r="B339" s="62" t="n"/>
      <c r="C339" s="98">
        <f t="array" ref="C339">_xll.RssMarket(B339, "銘柄名称")</f>
        <v/>
      </c>
      <c r="D339" s="99">
        <f>IF(B339="","",HYPERLINK("https://kabutan.jp/stock/?code="&amp;B339,"株探"))</f>
        <v/>
      </c>
    </row>
    <row r="340" ht="20.1" customHeight="1" s="574">
      <c r="A340" s="101">
        <f>IF(B340="","",ROW()-5)</f>
        <v/>
      </c>
      <c r="B340" s="62" t="n"/>
      <c r="C340" s="98">
        <f t="array" ref="C340">_xll.RssMarket(B340, "銘柄名称")</f>
        <v/>
      </c>
      <c r="D340" s="99">
        <f>IF(B340="","",HYPERLINK("https://kabutan.jp/stock/?code="&amp;B340,"株探"))</f>
        <v/>
      </c>
    </row>
    <row r="341" ht="20.1" customHeight="1" s="574">
      <c r="A341" s="101">
        <f>IF(B341="","",ROW()-5)</f>
        <v/>
      </c>
      <c r="B341" s="62" t="n"/>
      <c r="C341" s="98">
        <f t="array" ref="C341">_xll.RssMarket(B341, "銘柄名称")</f>
        <v/>
      </c>
      <c r="D341" s="99">
        <f>IF(B341="","",HYPERLINK("https://kabutan.jp/stock/?code="&amp;B341,"株探"))</f>
        <v/>
      </c>
    </row>
    <row r="342" ht="20.1" customHeight="1" s="574">
      <c r="A342" s="101">
        <f>IF(B342="","",ROW()-5)</f>
        <v/>
      </c>
      <c r="B342" s="62" t="n"/>
      <c r="C342" s="98">
        <f t="array" ref="C342">_xll.RssMarket(B342, "銘柄名称")</f>
        <v/>
      </c>
      <c r="D342" s="99">
        <f>IF(B342="","",HYPERLINK("https://kabutan.jp/stock/?code="&amp;B342,"株探"))</f>
        <v/>
      </c>
    </row>
    <row r="343" ht="20.1" customHeight="1" s="574">
      <c r="A343" s="101">
        <f>IF(B343="","",ROW()-5)</f>
        <v/>
      </c>
      <c r="B343" s="62" t="n"/>
      <c r="C343" s="98">
        <f t="array" ref="C343">_xll.RssMarket(B343, "銘柄名称")</f>
        <v/>
      </c>
      <c r="D343" s="99">
        <f>IF(B343="","",HYPERLINK("https://kabutan.jp/stock/?code="&amp;B343,"株探"))</f>
        <v/>
      </c>
    </row>
    <row r="344" ht="20.1" customHeight="1" s="574">
      <c r="A344" s="101">
        <f>IF(B344="","",ROW()-5)</f>
        <v/>
      </c>
      <c r="B344" s="62" t="n"/>
      <c r="C344" s="98">
        <f t="array" ref="C344">_xll.RssMarket(B344, "銘柄名称")</f>
        <v/>
      </c>
      <c r="D344" s="99">
        <f>IF(B344="","",HYPERLINK("https://kabutan.jp/stock/?code="&amp;B344,"株探"))</f>
        <v/>
      </c>
    </row>
    <row r="345" ht="20.1" customHeight="1" s="574">
      <c r="A345" s="101">
        <f>IF(B345="","",ROW()-5)</f>
        <v/>
      </c>
      <c r="B345" s="62" t="n"/>
      <c r="C345" s="98">
        <f t="array" ref="C345">_xll.RssMarket(B345, "銘柄名称")</f>
        <v/>
      </c>
      <c r="D345" s="99">
        <f>IF(B345="","",HYPERLINK("https://kabutan.jp/stock/?code="&amp;B345,"株探"))</f>
        <v/>
      </c>
    </row>
    <row r="346" ht="20.1" customHeight="1" s="574">
      <c r="A346" s="101">
        <f>IF(B346="","",ROW()-5)</f>
        <v/>
      </c>
      <c r="B346" s="62" t="n"/>
      <c r="C346" s="98">
        <f t="array" ref="C346">_xll.RssMarket(B346, "銘柄名称")</f>
        <v/>
      </c>
      <c r="D346" s="99">
        <f>IF(B346="","",HYPERLINK("https://kabutan.jp/stock/?code="&amp;B346,"株探"))</f>
        <v/>
      </c>
    </row>
    <row r="347" ht="20.1" customHeight="1" s="574">
      <c r="A347" s="101">
        <f>IF(B347="","",ROW()-5)</f>
        <v/>
      </c>
      <c r="B347" s="62" t="n"/>
      <c r="C347" s="98">
        <f t="array" ref="C347">_xll.RssMarket(B347, "銘柄名称")</f>
        <v/>
      </c>
      <c r="D347" s="99">
        <f>IF(B347="","",HYPERLINK("https://kabutan.jp/stock/?code="&amp;B347,"株探"))</f>
        <v/>
      </c>
    </row>
    <row r="348" ht="20.1" customHeight="1" s="574">
      <c r="A348" s="101">
        <f>IF(B348="","",ROW()-5)</f>
        <v/>
      </c>
      <c r="B348" s="62" t="n"/>
      <c r="C348" s="98">
        <f t="array" ref="C348">_xll.RssMarket(B348, "銘柄名称")</f>
        <v/>
      </c>
      <c r="D348" s="99">
        <f>IF(B348="","",HYPERLINK("https://kabutan.jp/stock/?code="&amp;B348,"株探"))</f>
        <v/>
      </c>
    </row>
    <row r="349" ht="20.1" customHeight="1" s="574">
      <c r="A349" s="101">
        <f>IF(B349="","",ROW()-5)</f>
        <v/>
      </c>
      <c r="B349" s="62" t="n"/>
      <c r="C349" s="98">
        <f t="array" ref="C349">_xll.RssMarket(B349, "銘柄名称")</f>
        <v/>
      </c>
      <c r="D349" s="99">
        <f>IF(B349="","",HYPERLINK("https://kabutan.jp/stock/?code="&amp;B349,"株探"))</f>
        <v/>
      </c>
    </row>
    <row r="350" ht="20.1" customHeight="1" s="574">
      <c r="A350" s="101">
        <f>IF(B350="","",ROW()-5)</f>
        <v/>
      </c>
      <c r="B350" s="62" t="n"/>
      <c r="C350" s="98">
        <f t="array" ref="C350">_xll.RssMarket(B350, "銘柄名称")</f>
        <v/>
      </c>
      <c r="D350" s="99">
        <f>IF(B350="","",HYPERLINK("https://kabutan.jp/stock/?code="&amp;B350,"株探"))</f>
        <v/>
      </c>
    </row>
    <row r="351" ht="20.1" customHeight="1" s="574">
      <c r="A351" s="101">
        <f>IF(B351="","",ROW()-5)</f>
        <v/>
      </c>
      <c r="B351" s="62" t="n"/>
      <c r="C351" s="98">
        <f t="array" ref="C351">_xll.RssMarket(B351, "銘柄名称")</f>
        <v/>
      </c>
      <c r="D351" s="99">
        <f>IF(B351="","",HYPERLINK("https://kabutan.jp/stock/?code="&amp;B351,"株探"))</f>
        <v/>
      </c>
    </row>
    <row r="352" ht="20.1" customHeight="1" s="574">
      <c r="A352" s="101">
        <f>IF(B352="","",ROW()-5)</f>
        <v/>
      </c>
      <c r="B352" s="62" t="n"/>
      <c r="C352" s="98">
        <f t="array" ref="C352">_xll.RssMarket(B352, "銘柄名称")</f>
        <v/>
      </c>
      <c r="D352" s="99">
        <f>IF(B352="","",HYPERLINK("https://kabutan.jp/stock/?code="&amp;B352,"株探"))</f>
        <v/>
      </c>
    </row>
    <row r="353" ht="20.1" customHeight="1" s="574">
      <c r="A353" s="101">
        <f>IF(B353="","",ROW()-5)</f>
        <v/>
      </c>
      <c r="B353" s="62" t="n"/>
      <c r="C353" s="98">
        <f t="array" ref="C353">_xll.RssMarket(B353, "銘柄名称")</f>
        <v/>
      </c>
      <c r="D353" s="99">
        <f>IF(B353="","",HYPERLINK("https://kabutan.jp/stock/?code="&amp;B353,"株探"))</f>
        <v/>
      </c>
    </row>
    <row r="354" ht="20.1" customHeight="1" s="574">
      <c r="A354" s="101">
        <f>IF(B354="","",ROW()-5)</f>
        <v/>
      </c>
      <c r="B354" s="62" t="n"/>
      <c r="C354" s="98">
        <f t="array" ref="C354">_xll.RssMarket(B354, "銘柄名称")</f>
        <v/>
      </c>
      <c r="D354" s="99">
        <f>IF(B354="","",HYPERLINK("https://kabutan.jp/stock/?code="&amp;B354,"株探"))</f>
        <v/>
      </c>
    </row>
    <row r="355" ht="20.1" customHeight="1" s="574">
      <c r="A355" s="101">
        <f>IF(B355="","",ROW()-5)</f>
        <v/>
      </c>
      <c r="B355" s="62" t="n"/>
      <c r="C355" s="98">
        <f t="array" ref="C355">_xll.RssMarket(B355, "銘柄名称")</f>
        <v/>
      </c>
      <c r="D355" s="99">
        <f>IF(B355="","",HYPERLINK("https://kabutan.jp/stock/?code="&amp;B355,"株探"))</f>
        <v/>
      </c>
    </row>
    <row r="356" ht="20.1" customHeight="1" s="574">
      <c r="A356" s="101">
        <f>IF(B356="","",ROW()-5)</f>
        <v/>
      </c>
      <c r="B356" s="62" t="n"/>
      <c r="C356" s="98">
        <f t="array" ref="C356">_xll.RssMarket(B356, "銘柄名称")</f>
        <v/>
      </c>
      <c r="D356" s="99">
        <f>IF(B356="","",HYPERLINK("https://kabutan.jp/stock/?code="&amp;B356,"株探"))</f>
        <v/>
      </c>
    </row>
    <row r="357" ht="20.1" customHeight="1" s="574">
      <c r="A357" s="101">
        <f>IF(B357="","",ROW()-5)</f>
        <v/>
      </c>
      <c r="B357" s="62" t="n"/>
      <c r="C357" s="98">
        <f t="array" ref="C357">_xll.RssMarket(B357, "銘柄名称")</f>
        <v/>
      </c>
      <c r="D357" s="99">
        <f>IF(B357="","",HYPERLINK("https://kabutan.jp/stock/?code="&amp;B357,"株探"))</f>
        <v/>
      </c>
    </row>
    <row r="358" ht="20.1" customHeight="1" s="574">
      <c r="A358" s="101">
        <f>IF(B358="","",ROW()-5)</f>
        <v/>
      </c>
      <c r="B358" s="62" t="n"/>
      <c r="C358" s="98">
        <f t="array" ref="C358">_xll.RssMarket(B358, "銘柄名称")</f>
        <v/>
      </c>
      <c r="D358" s="99">
        <f>IF(B358="","",HYPERLINK("https://kabutan.jp/stock/?code="&amp;B358,"株探"))</f>
        <v/>
      </c>
    </row>
    <row r="359" ht="20.1" customHeight="1" s="574">
      <c r="A359" s="101">
        <f>IF(B359="","",ROW()-5)</f>
        <v/>
      </c>
      <c r="B359" s="62" t="n"/>
      <c r="C359" s="98">
        <f t="array" ref="C359">_xll.RssMarket(B359, "銘柄名称")</f>
        <v/>
      </c>
      <c r="D359" s="99">
        <f>IF(B359="","",HYPERLINK("https://kabutan.jp/stock/?code="&amp;B359,"株探"))</f>
        <v/>
      </c>
    </row>
    <row r="360" ht="20.1" customHeight="1" s="574">
      <c r="A360" s="101">
        <f>IF(B360="","",ROW()-5)</f>
        <v/>
      </c>
      <c r="B360" s="62" t="n"/>
      <c r="C360" s="98">
        <f t="array" ref="C360">_xll.RssMarket(B360, "銘柄名称")</f>
        <v/>
      </c>
      <c r="D360" s="99">
        <f>IF(B360="","",HYPERLINK("https://kabutan.jp/stock/?code="&amp;B360,"株探"))</f>
        <v/>
      </c>
    </row>
    <row r="361" ht="20.1" customHeight="1" s="574">
      <c r="A361" s="101">
        <f>IF(B361="","",ROW()-5)</f>
        <v/>
      </c>
      <c r="B361" s="62" t="n"/>
      <c r="C361" s="98">
        <f t="array" ref="C361">_xll.RssMarket(B361, "銘柄名称")</f>
        <v/>
      </c>
      <c r="D361" s="99">
        <f>IF(B361="","",HYPERLINK("https://kabutan.jp/stock/?code="&amp;B361,"株探"))</f>
        <v/>
      </c>
    </row>
    <row r="362" ht="20.1" customHeight="1" s="574">
      <c r="A362" s="101">
        <f>IF(B362="","",ROW()-5)</f>
        <v/>
      </c>
      <c r="B362" s="62" t="n"/>
      <c r="C362" s="98">
        <f t="array" ref="C362">_xll.RssMarket(B362, "銘柄名称")</f>
        <v/>
      </c>
      <c r="D362" s="99">
        <f>IF(B362="","",HYPERLINK("https://kabutan.jp/stock/?code="&amp;B362,"株探"))</f>
        <v/>
      </c>
    </row>
    <row r="363" ht="20.1" customHeight="1" s="574">
      <c r="A363" s="101">
        <f>IF(B363="","",ROW()-5)</f>
        <v/>
      </c>
      <c r="B363" s="62" t="n"/>
      <c r="C363" s="98">
        <f t="array" ref="C363">_xll.RssMarket(B363, "銘柄名称")</f>
        <v/>
      </c>
      <c r="D363" s="99">
        <f>IF(B363="","",HYPERLINK("https://kabutan.jp/stock/?code="&amp;B363,"株探"))</f>
        <v/>
      </c>
    </row>
    <row r="364" ht="20.1" customHeight="1" s="574">
      <c r="A364" s="101">
        <f>IF(B364="","",ROW()-5)</f>
        <v/>
      </c>
      <c r="B364" s="62" t="n"/>
      <c r="C364" s="98">
        <f t="array" ref="C364">_xll.RssMarket(B364, "銘柄名称")</f>
        <v/>
      </c>
      <c r="D364" s="99">
        <f>IF(B364="","",HYPERLINK("https://kabutan.jp/stock/?code="&amp;B364,"株探"))</f>
        <v/>
      </c>
    </row>
    <row r="365" ht="20.1" customHeight="1" s="574">
      <c r="A365" s="101">
        <f>IF(B365="","",ROW()-5)</f>
        <v/>
      </c>
      <c r="B365" s="62" t="n"/>
      <c r="C365" s="98">
        <f t="array" ref="C365">_xll.RssMarket(B365, "銘柄名称")</f>
        <v/>
      </c>
      <c r="D365" s="99">
        <f>IF(B365="","",HYPERLINK("https://kabutan.jp/stock/?code="&amp;B365,"株探"))</f>
        <v/>
      </c>
    </row>
    <row r="366" ht="20.1" customHeight="1" s="574">
      <c r="A366" s="101">
        <f>IF(B366="","",ROW()-5)</f>
        <v/>
      </c>
      <c r="B366" s="62" t="n"/>
      <c r="C366" s="98">
        <f t="array" ref="C366">_xll.RssMarket(B366, "銘柄名称")</f>
        <v/>
      </c>
      <c r="D366" s="99">
        <f>IF(B366="","",HYPERLINK("https://kabutan.jp/stock/?code="&amp;B366,"株探"))</f>
        <v/>
      </c>
    </row>
    <row r="367" ht="20.1" customHeight="1" s="574">
      <c r="A367" s="101">
        <f>IF(B367="","",ROW()-5)</f>
        <v/>
      </c>
      <c r="B367" s="62" t="n"/>
      <c r="C367" s="98">
        <f t="array" ref="C367">_xll.RssMarket(B367, "銘柄名称")</f>
        <v/>
      </c>
      <c r="D367" s="99">
        <f>IF(B367="","",HYPERLINK("https://kabutan.jp/stock/?code="&amp;B367,"株探"))</f>
        <v/>
      </c>
    </row>
    <row r="368" ht="20.1" customHeight="1" s="574">
      <c r="A368" s="101">
        <f>IF(B368="","",ROW()-5)</f>
        <v/>
      </c>
      <c r="B368" s="62" t="n"/>
      <c r="C368" s="98">
        <f t="array" ref="C368">_xll.RssMarket(B368, "銘柄名称")</f>
        <v/>
      </c>
      <c r="D368" s="99">
        <f>IF(B368="","",HYPERLINK("https://kabutan.jp/stock/?code="&amp;B368,"株探"))</f>
        <v/>
      </c>
    </row>
    <row r="369" ht="20.1" customHeight="1" s="574">
      <c r="A369" s="101">
        <f>IF(B369="","",ROW()-5)</f>
        <v/>
      </c>
      <c r="B369" s="62" t="n"/>
      <c r="C369" s="98">
        <f t="array" ref="C369">_xll.RssMarket(B369, "銘柄名称")</f>
        <v/>
      </c>
      <c r="D369" s="99">
        <f>IF(B369="","",HYPERLINK("https://kabutan.jp/stock/?code="&amp;B369,"株探"))</f>
        <v/>
      </c>
    </row>
    <row r="370" ht="20.1" customHeight="1" s="574">
      <c r="A370" s="101">
        <f>IF(B370="","",ROW()-5)</f>
        <v/>
      </c>
      <c r="B370" s="62" t="n"/>
      <c r="C370" s="98">
        <f t="array" ref="C370">_xll.RssMarket(B370, "銘柄名称")</f>
        <v/>
      </c>
      <c r="D370" s="99">
        <f>IF(B370="","",HYPERLINK("https://kabutan.jp/stock/?code="&amp;B370,"株探"))</f>
        <v/>
      </c>
    </row>
    <row r="371" ht="20.1" customHeight="1" s="574">
      <c r="A371" s="101">
        <f>IF(B371="","",ROW()-5)</f>
        <v/>
      </c>
      <c r="B371" s="62" t="n"/>
      <c r="C371" s="98">
        <f t="array" ref="C371">_xll.RssMarket(B371, "銘柄名称")</f>
        <v/>
      </c>
      <c r="D371" s="99">
        <f>IF(B371="","",HYPERLINK("https://kabutan.jp/stock/?code="&amp;B371,"株探"))</f>
        <v/>
      </c>
    </row>
    <row r="372" ht="20.1" customHeight="1" s="574">
      <c r="A372" s="101">
        <f>IF(B372="","",ROW()-5)</f>
        <v/>
      </c>
      <c r="B372" s="62" t="n"/>
      <c r="C372" s="98">
        <f t="array" ref="C372">_xll.RssMarket(B372, "銘柄名称")</f>
        <v/>
      </c>
      <c r="D372" s="99">
        <f>IF(B372="","",HYPERLINK("https://kabutan.jp/stock/?code="&amp;B372,"株探"))</f>
        <v/>
      </c>
    </row>
    <row r="373" ht="20.1" customHeight="1" s="574">
      <c r="A373" s="101">
        <f>IF(B373="","",ROW()-5)</f>
        <v/>
      </c>
      <c r="B373" s="62" t="n"/>
      <c r="C373" s="98">
        <f t="array" ref="C373">_xll.RssMarket(B373, "銘柄名称")</f>
        <v/>
      </c>
      <c r="D373" s="99">
        <f>IF(B373="","",HYPERLINK("https://kabutan.jp/stock/?code="&amp;B373,"株探"))</f>
        <v/>
      </c>
    </row>
    <row r="374" ht="20.1" customHeight="1" s="574">
      <c r="A374" s="101">
        <f>IF(B374="","",ROW()-5)</f>
        <v/>
      </c>
      <c r="B374" s="62" t="n"/>
      <c r="C374" s="98">
        <f t="array" ref="C374">_xll.RssMarket(B374, "銘柄名称")</f>
        <v/>
      </c>
      <c r="D374" s="99">
        <f>IF(B374="","",HYPERLINK("https://kabutan.jp/stock/?code="&amp;B374,"株探"))</f>
        <v/>
      </c>
    </row>
    <row r="375" ht="20.1" customHeight="1" s="574">
      <c r="A375" s="101">
        <f>IF(B375="","",ROW()-5)</f>
        <v/>
      </c>
      <c r="B375" s="62" t="n"/>
      <c r="C375" s="98">
        <f t="array" ref="C375">_xll.RssMarket(B375, "銘柄名称")</f>
        <v/>
      </c>
      <c r="D375" s="99">
        <f>IF(B375="","",HYPERLINK("https://kabutan.jp/stock/?code="&amp;B375,"株探"))</f>
        <v/>
      </c>
    </row>
    <row r="376" ht="20.1" customHeight="1" s="574">
      <c r="A376" s="101">
        <f>IF(B376="","",ROW()-5)</f>
        <v/>
      </c>
      <c r="B376" s="62" t="n"/>
      <c r="C376" s="98">
        <f t="array" ref="C376">_xll.RssMarket(B376, "銘柄名称")</f>
        <v/>
      </c>
      <c r="D376" s="99">
        <f>IF(B376="","",HYPERLINK("https://kabutan.jp/stock/?code="&amp;B376,"株探"))</f>
        <v/>
      </c>
    </row>
    <row r="377" ht="20.1" customHeight="1" s="574">
      <c r="A377" s="101">
        <f>IF(B377="","",ROW()-5)</f>
        <v/>
      </c>
      <c r="B377" s="62" t="n"/>
      <c r="C377" s="98">
        <f t="array" ref="C377">_xll.RssMarket(B377, "銘柄名称")</f>
        <v/>
      </c>
      <c r="D377" s="99">
        <f>IF(B377="","",HYPERLINK("https://kabutan.jp/stock/?code="&amp;B377,"株探"))</f>
        <v/>
      </c>
    </row>
    <row r="378" ht="20.1" customHeight="1" s="574">
      <c r="A378" s="101">
        <f>IF(B378="","",ROW()-5)</f>
        <v/>
      </c>
      <c r="B378" s="62" t="n"/>
      <c r="C378" s="98">
        <f t="array" ref="C378">_xll.RssMarket(B378, "銘柄名称")</f>
        <v/>
      </c>
      <c r="D378" s="99">
        <f>IF(B378="","",HYPERLINK("https://kabutan.jp/stock/?code="&amp;B378,"株探"))</f>
        <v/>
      </c>
    </row>
    <row r="379" ht="20.1" customHeight="1" s="574">
      <c r="A379" s="101">
        <f>IF(B379="","",ROW()-5)</f>
        <v/>
      </c>
      <c r="B379" s="62" t="n"/>
      <c r="C379" s="98">
        <f t="array" ref="C379">_xll.RssMarket(B379, "銘柄名称")</f>
        <v/>
      </c>
      <c r="D379" s="99">
        <f>IF(B379="","",HYPERLINK("https://kabutan.jp/stock/?code="&amp;B379,"株探"))</f>
        <v/>
      </c>
    </row>
    <row r="380" ht="20.1" customHeight="1" s="574">
      <c r="A380" s="101">
        <f>IF(B380="","",ROW()-5)</f>
        <v/>
      </c>
      <c r="B380" s="62" t="n"/>
      <c r="C380" s="98">
        <f t="array" ref="C380">_xll.RssMarket(B380, "銘柄名称")</f>
        <v/>
      </c>
      <c r="D380" s="99">
        <f>IF(B380="","",HYPERLINK("https://kabutan.jp/stock/?code="&amp;B380,"株探"))</f>
        <v/>
      </c>
    </row>
    <row r="381" ht="20.1" customHeight="1" s="574">
      <c r="A381" s="101">
        <f>IF(B381="","",ROW()-5)</f>
        <v/>
      </c>
      <c r="B381" s="62" t="n"/>
      <c r="C381" s="98">
        <f t="array" ref="C381">_xll.RssMarket(B381, "銘柄名称")</f>
        <v/>
      </c>
      <c r="D381" s="99">
        <f>IF(B381="","",HYPERLINK("https://kabutan.jp/stock/?code="&amp;B381,"株探"))</f>
        <v/>
      </c>
    </row>
    <row r="382" ht="20.1" customHeight="1" s="574">
      <c r="A382" s="101">
        <f>IF(B382="","",ROW()-5)</f>
        <v/>
      </c>
      <c r="B382" s="62" t="n"/>
      <c r="C382" s="98">
        <f t="array" ref="C382">_xll.RssMarket(B382, "銘柄名称")</f>
        <v/>
      </c>
      <c r="D382" s="99">
        <f>IF(B382="","",HYPERLINK("https://kabutan.jp/stock/?code="&amp;B382,"株探"))</f>
        <v/>
      </c>
    </row>
    <row r="383" ht="20.1" customHeight="1" s="574">
      <c r="A383" s="101">
        <f>IF(B383="","",ROW()-5)</f>
        <v/>
      </c>
      <c r="B383" s="62" t="n"/>
      <c r="C383" s="98">
        <f t="array" ref="C383">_xll.RssMarket(B383, "銘柄名称")</f>
        <v/>
      </c>
      <c r="D383" s="99">
        <f>IF(B383="","",HYPERLINK("https://kabutan.jp/stock/?code="&amp;B383,"株探"))</f>
        <v/>
      </c>
    </row>
    <row r="384" ht="20.1" customHeight="1" s="574">
      <c r="A384" s="101">
        <f>IF(B384="","",ROW()-5)</f>
        <v/>
      </c>
      <c r="B384" s="62" t="n"/>
      <c r="C384" s="98">
        <f t="array" ref="C384">_xll.RssMarket(B384, "銘柄名称")</f>
        <v/>
      </c>
      <c r="D384" s="99">
        <f>IF(B384="","",HYPERLINK("https://kabutan.jp/stock/?code="&amp;B384,"株探"))</f>
        <v/>
      </c>
    </row>
    <row r="385" ht="20.1" customHeight="1" s="574">
      <c r="A385" s="101">
        <f>IF(B385="","",ROW()-5)</f>
        <v/>
      </c>
      <c r="B385" s="62" t="n"/>
      <c r="C385" s="98">
        <f t="array" ref="C385">_xll.RssMarket(B385, "銘柄名称")</f>
        <v/>
      </c>
      <c r="D385" s="99">
        <f>IF(B385="","",HYPERLINK("https://kabutan.jp/stock/?code="&amp;B385,"株探"))</f>
        <v/>
      </c>
    </row>
    <row r="386" ht="20.1" customHeight="1" s="574">
      <c r="A386" s="101">
        <f>IF(B386="","",ROW()-5)</f>
        <v/>
      </c>
      <c r="B386" s="62" t="n"/>
      <c r="C386" s="98">
        <f t="array" ref="C386">_xll.RssMarket(B386, "銘柄名称")</f>
        <v/>
      </c>
      <c r="D386" s="99">
        <f>IF(B386="","",HYPERLINK("https://kabutan.jp/stock/?code="&amp;B386,"株探"))</f>
        <v/>
      </c>
    </row>
    <row r="387" ht="20.1" customHeight="1" s="574">
      <c r="A387" s="101">
        <f>IF(B387="","",ROW()-5)</f>
        <v/>
      </c>
      <c r="B387" s="62" t="n"/>
      <c r="C387" s="98">
        <f t="array" ref="C387">_xll.RssMarket(B387, "銘柄名称")</f>
        <v/>
      </c>
      <c r="D387" s="99">
        <f>IF(B387="","",HYPERLINK("https://kabutan.jp/stock/?code="&amp;B387,"株探"))</f>
        <v/>
      </c>
    </row>
    <row r="388" ht="20.1" customHeight="1" s="574">
      <c r="A388" s="101">
        <f>IF(B388="","",ROW()-5)</f>
        <v/>
      </c>
      <c r="B388" s="62" t="n"/>
      <c r="C388" s="98">
        <f t="array" ref="C388">_xll.RssMarket(B388, "銘柄名称")</f>
        <v/>
      </c>
      <c r="D388" s="99">
        <f>IF(B388="","",HYPERLINK("https://kabutan.jp/stock/?code="&amp;B388,"株探"))</f>
        <v/>
      </c>
    </row>
    <row r="389" ht="20.1" customHeight="1" s="574">
      <c r="A389" s="101">
        <f>IF(B389="","",ROW()-5)</f>
        <v/>
      </c>
      <c r="B389" s="62" t="n"/>
      <c r="C389" s="98">
        <f t="array" ref="C389">_xll.RssMarket(B389, "銘柄名称")</f>
        <v/>
      </c>
      <c r="D389" s="99">
        <f>IF(B389="","",HYPERLINK("https://kabutan.jp/stock/?code="&amp;B389,"株探"))</f>
        <v/>
      </c>
    </row>
    <row r="390" ht="20.1" customHeight="1" s="574">
      <c r="A390" s="101">
        <f>IF(B390="","",ROW()-5)</f>
        <v/>
      </c>
      <c r="B390" s="62" t="n"/>
      <c r="C390" s="98">
        <f t="array" ref="C390">_xll.RssMarket(B390, "銘柄名称")</f>
        <v/>
      </c>
      <c r="D390" s="99">
        <f>IF(B390="","",HYPERLINK("https://kabutan.jp/stock/?code="&amp;B390,"株探"))</f>
        <v/>
      </c>
    </row>
    <row r="391" ht="20.1" customHeight="1" s="574">
      <c r="A391" s="101">
        <f>IF(B391="","",ROW()-5)</f>
        <v/>
      </c>
      <c r="B391" s="62" t="n"/>
      <c r="C391" s="98">
        <f t="array" ref="C391">_xll.RssMarket(B391, "銘柄名称")</f>
        <v/>
      </c>
      <c r="D391" s="99">
        <f>IF(B391="","",HYPERLINK("https://kabutan.jp/stock/?code="&amp;B391,"株探"))</f>
        <v/>
      </c>
    </row>
    <row r="392" ht="20.1" customHeight="1" s="574">
      <c r="A392" s="101">
        <f>IF(B392="","",ROW()-5)</f>
        <v/>
      </c>
      <c r="B392" s="62" t="n"/>
      <c r="C392" s="98">
        <f t="array" ref="C392">_xll.RssMarket(B392, "銘柄名称")</f>
        <v/>
      </c>
      <c r="D392" s="99">
        <f>IF(B392="","",HYPERLINK("https://kabutan.jp/stock/?code="&amp;B392,"株探"))</f>
        <v/>
      </c>
    </row>
    <row r="393" ht="20.1" customHeight="1" s="574">
      <c r="A393" s="101">
        <f>IF(B393="","",ROW()-5)</f>
        <v/>
      </c>
      <c r="B393" s="62" t="n"/>
      <c r="C393" s="98">
        <f t="array" ref="C393">_xll.RssMarket(B393, "銘柄名称")</f>
        <v/>
      </c>
      <c r="D393" s="99">
        <f>IF(B393="","",HYPERLINK("https://kabutan.jp/stock/?code="&amp;B393,"株探"))</f>
        <v/>
      </c>
    </row>
    <row r="394" ht="20.1" customHeight="1" s="574">
      <c r="A394" s="101">
        <f>IF(B394="","",ROW()-5)</f>
        <v/>
      </c>
      <c r="B394" s="62" t="n"/>
      <c r="C394" s="98">
        <f t="array" ref="C394">_xll.RssMarket(B394, "銘柄名称")</f>
        <v/>
      </c>
      <c r="D394" s="99">
        <f>IF(B394="","",HYPERLINK("https://kabutan.jp/stock/?code="&amp;B394,"株探"))</f>
        <v/>
      </c>
    </row>
    <row r="395" ht="20.1" customHeight="1" s="574">
      <c r="A395" s="101">
        <f>IF(B395="","",ROW()-5)</f>
        <v/>
      </c>
      <c r="B395" s="62" t="n"/>
      <c r="C395" s="98">
        <f t="array" ref="C395">_xll.RssMarket(B395, "銘柄名称")</f>
        <v/>
      </c>
      <c r="D395" s="99">
        <f>IF(B395="","",HYPERLINK("https://kabutan.jp/stock/?code="&amp;B395,"株探"))</f>
        <v/>
      </c>
    </row>
    <row r="396" ht="20.1" customHeight="1" s="574">
      <c r="A396" s="101">
        <f>IF(B396="","",ROW()-5)</f>
        <v/>
      </c>
      <c r="B396" s="62" t="n"/>
      <c r="C396" s="98">
        <f t="array" ref="C396">_xll.RssMarket(B396, "銘柄名称")</f>
        <v/>
      </c>
      <c r="D396" s="99">
        <f>IF(B396="","",HYPERLINK("https://kabutan.jp/stock/?code="&amp;B396,"株探"))</f>
        <v/>
      </c>
    </row>
    <row r="397" ht="20.1" customHeight="1" s="574">
      <c r="A397" s="101">
        <f>IF(B397="","",ROW()-5)</f>
        <v/>
      </c>
      <c r="B397" s="62" t="n"/>
      <c r="C397" s="98">
        <f t="array" ref="C397">_xll.RssMarket(B397, "銘柄名称")</f>
        <v/>
      </c>
      <c r="D397" s="99">
        <f>IF(B397="","",HYPERLINK("https://kabutan.jp/stock/?code="&amp;B397,"株探"))</f>
        <v/>
      </c>
    </row>
    <row r="398" ht="20.1" customHeight="1" s="574">
      <c r="A398" s="101">
        <f>IF(B398="","",ROW()-5)</f>
        <v/>
      </c>
      <c r="B398" s="62" t="n"/>
      <c r="C398" s="98">
        <f t="array" ref="C398">_xll.RssMarket(B398, "銘柄名称")</f>
        <v/>
      </c>
      <c r="D398" s="99">
        <f>IF(B398="","",HYPERLINK("https://kabutan.jp/stock/?code="&amp;B398,"株探"))</f>
        <v/>
      </c>
    </row>
    <row r="399" ht="20.1" customHeight="1" s="574">
      <c r="A399" s="101">
        <f>IF(B399="","",ROW()-5)</f>
        <v/>
      </c>
      <c r="B399" s="62" t="n"/>
      <c r="C399" s="98">
        <f t="array" ref="C399">_xll.RssMarket(B399, "銘柄名称")</f>
        <v/>
      </c>
      <c r="D399" s="99">
        <f>IF(B399="","",HYPERLINK("https://kabutan.jp/stock/?code="&amp;B399,"株探"))</f>
        <v/>
      </c>
    </row>
    <row r="400" ht="20.1" customHeight="1" s="574">
      <c r="A400" s="101">
        <f>IF(B400="","",ROW()-5)</f>
        <v/>
      </c>
      <c r="B400" s="62" t="n"/>
      <c r="C400" s="98">
        <f t="array" ref="C400">_xll.RssMarket(B400, "銘柄名称")</f>
        <v/>
      </c>
      <c r="D400" s="99">
        <f>IF(B400="","",HYPERLINK("https://kabutan.jp/stock/?code="&amp;B400,"株探"))</f>
        <v/>
      </c>
    </row>
    <row r="401" ht="20.1" customHeight="1" s="574">
      <c r="A401" s="101">
        <f>IF(B401="","",ROW()-5)</f>
        <v/>
      </c>
      <c r="B401" s="62" t="n"/>
      <c r="C401" s="98">
        <f t="array" ref="C401">_xll.RssMarket(B401, "銘柄名称")</f>
        <v/>
      </c>
      <c r="D401" s="99">
        <f>IF(B401="","",HYPERLINK("https://kabutan.jp/stock/?code="&amp;B401,"株探"))</f>
        <v/>
      </c>
    </row>
    <row r="402" ht="20.1" customHeight="1" s="574">
      <c r="A402" s="101">
        <f>IF(B402="","",ROW()-5)</f>
        <v/>
      </c>
      <c r="B402" s="62" t="n"/>
      <c r="C402" s="98">
        <f t="array" ref="C402">_xll.RssMarket(B402, "銘柄名称")</f>
        <v/>
      </c>
      <c r="D402" s="99">
        <f>IF(B402="","",HYPERLINK("https://kabutan.jp/stock/?code="&amp;B402,"株探"))</f>
        <v/>
      </c>
    </row>
    <row r="403" ht="20.1" customHeight="1" s="574">
      <c r="A403" s="101">
        <f>IF(B403="","",ROW()-5)</f>
        <v/>
      </c>
      <c r="B403" s="62" t="n"/>
      <c r="C403" s="98">
        <f t="array" ref="C403">_xll.RssMarket(B403, "銘柄名称")</f>
        <v/>
      </c>
      <c r="D403" s="99">
        <f>IF(B403="","",HYPERLINK("https://kabutan.jp/stock/?code="&amp;B403,"株探"))</f>
        <v/>
      </c>
    </row>
    <row r="404" ht="20.1" customHeight="1" s="574">
      <c r="A404" s="101">
        <f>IF(B404="","",ROW()-5)</f>
        <v/>
      </c>
      <c r="B404" s="62" t="n"/>
      <c r="C404" s="98">
        <f t="array" ref="C404">_xll.RssMarket(B404, "銘柄名称")</f>
        <v/>
      </c>
      <c r="D404" s="99">
        <f>IF(B404="","",HYPERLINK("https://kabutan.jp/stock/?code="&amp;B404,"株探"))</f>
        <v/>
      </c>
    </row>
    <row r="405" ht="20.1" customHeight="1" s="574">
      <c r="A405" s="101">
        <f>IF(B405="","",ROW()-5)</f>
        <v/>
      </c>
      <c r="B405" s="62" t="n"/>
      <c r="C405" s="98">
        <f t="array" ref="C405">_xll.RssMarket(B405, "銘柄名称")</f>
        <v/>
      </c>
      <c r="D405" s="99">
        <f>IF(B405="","",HYPERLINK("https://kabutan.jp/stock/?code="&amp;B405,"株探"))</f>
        <v/>
      </c>
    </row>
    <row r="406" ht="20.1" customHeight="1" s="574">
      <c r="A406" s="101">
        <f>IF(B406="","",ROW()-5)</f>
        <v/>
      </c>
      <c r="B406" s="62" t="n"/>
      <c r="C406" s="98">
        <f t="array" ref="C406">_xll.RssMarket(B406, "銘柄名称")</f>
        <v/>
      </c>
      <c r="D406" s="99">
        <f>IF(B406="","",HYPERLINK("https://kabutan.jp/stock/?code="&amp;B406,"株探"))</f>
        <v/>
      </c>
    </row>
    <row r="407" ht="20.1" customHeight="1" s="574">
      <c r="A407" s="101">
        <f>IF(B407="","",ROW()-5)</f>
        <v/>
      </c>
      <c r="B407" s="62" t="n"/>
      <c r="C407" s="98">
        <f t="array" ref="C407">_xll.RssMarket(B407, "銘柄名称")</f>
        <v/>
      </c>
      <c r="D407" s="99">
        <f>IF(B407="","",HYPERLINK("https://kabutan.jp/stock/?code="&amp;B407,"株探"))</f>
        <v/>
      </c>
    </row>
    <row r="408" ht="20.1" customHeight="1" s="574">
      <c r="A408" s="101">
        <f>IF(B408="","",ROW()-5)</f>
        <v/>
      </c>
      <c r="B408" s="62" t="n"/>
      <c r="C408" s="98">
        <f t="array" ref="C408">_xll.RssMarket(B408, "銘柄名称")</f>
        <v/>
      </c>
      <c r="D408" s="99">
        <f>IF(B408="","",HYPERLINK("https://kabutan.jp/stock/?code="&amp;B408,"株探"))</f>
        <v/>
      </c>
    </row>
    <row r="409" ht="20.1" customHeight="1" s="574">
      <c r="A409" s="101">
        <f>IF(B409="","",ROW()-5)</f>
        <v/>
      </c>
      <c r="B409" s="62" t="n"/>
      <c r="C409" s="98">
        <f t="array" ref="C409">_xll.RssMarket(B409, "銘柄名称")</f>
        <v/>
      </c>
      <c r="D409" s="99">
        <f>IF(B409="","",HYPERLINK("https://kabutan.jp/stock/?code="&amp;B409,"株探"))</f>
        <v/>
      </c>
    </row>
    <row r="410" ht="20.1" customHeight="1" s="574">
      <c r="A410" s="101">
        <f>IF(B410="","",ROW()-5)</f>
        <v/>
      </c>
      <c r="B410" s="62" t="n"/>
      <c r="C410" s="98">
        <f t="array" ref="C410">_xll.RssMarket(B410, "銘柄名称")</f>
        <v/>
      </c>
      <c r="D410" s="99">
        <f>IF(B410="","",HYPERLINK("https://kabutan.jp/stock/?code="&amp;B410,"株探"))</f>
        <v/>
      </c>
    </row>
    <row r="411" ht="20.1" customHeight="1" s="574">
      <c r="A411" s="101">
        <f>IF(B411="","",ROW()-5)</f>
        <v/>
      </c>
      <c r="B411" s="62" t="n"/>
      <c r="C411" s="98">
        <f t="array" ref="C411">_xll.RssMarket(B411, "銘柄名称")</f>
        <v/>
      </c>
      <c r="D411" s="99">
        <f>IF(B411="","",HYPERLINK("https://kabutan.jp/stock/?code="&amp;B411,"株探"))</f>
        <v/>
      </c>
    </row>
    <row r="412" ht="20.1" customHeight="1" s="574">
      <c r="A412" s="101">
        <f>IF(B412="","",ROW()-5)</f>
        <v/>
      </c>
      <c r="B412" s="62" t="n"/>
      <c r="C412" s="98">
        <f t="array" ref="C412">_xll.RssMarket(B412, "銘柄名称")</f>
        <v/>
      </c>
      <c r="D412" s="99">
        <f>IF(B412="","",HYPERLINK("https://kabutan.jp/stock/?code="&amp;B412,"株探"))</f>
        <v/>
      </c>
    </row>
    <row r="413" ht="20.1" customHeight="1" s="574">
      <c r="A413" s="101">
        <f>IF(B413="","",ROW()-5)</f>
        <v/>
      </c>
      <c r="B413" s="62" t="n"/>
      <c r="C413" s="98">
        <f t="array" ref="C413">_xll.RssMarket(B413, "銘柄名称")</f>
        <v/>
      </c>
      <c r="D413" s="99">
        <f>IF(B413="","",HYPERLINK("https://kabutan.jp/stock/?code="&amp;B413,"株探"))</f>
        <v/>
      </c>
    </row>
    <row r="414" ht="20.1" customHeight="1" s="574">
      <c r="A414" s="101">
        <f>IF(B414="","",ROW()-5)</f>
        <v/>
      </c>
      <c r="B414" s="62" t="n"/>
      <c r="C414" s="98">
        <f t="array" ref="C414">_xll.RssMarket(B414, "銘柄名称")</f>
        <v/>
      </c>
      <c r="D414" s="99">
        <f>IF(B414="","",HYPERLINK("https://kabutan.jp/stock/?code="&amp;B414,"株探"))</f>
        <v/>
      </c>
    </row>
    <row r="415" ht="20.1" customHeight="1" s="574">
      <c r="A415" s="101">
        <f>IF(B415="","",ROW()-5)</f>
        <v/>
      </c>
      <c r="B415" s="62" t="n"/>
      <c r="C415" s="98">
        <f t="array" ref="C415">_xll.RssMarket(B415, "銘柄名称")</f>
        <v/>
      </c>
      <c r="D415" s="99">
        <f>IF(B415="","",HYPERLINK("https://kabutan.jp/stock/?code="&amp;B415,"株探"))</f>
        <v/>
      </c>
    </row>
    <row r="416" ht="20.1" customHeight="1" s="574">
      <c r="A416" s="101">
        <f>IF(B416="","",ROW()-5)</f>
        <v/>
      </c>
      <c r="B416" s="62" t="n"/>
      <c r="C416" s="98">
        <f t="array" ref="C416">_xll.RssMarket(B416, "銘柄名称")</f>
        <v/>
      </c>
      <c r="D416" s="99">
        <f>IF(B416="","",HYPERLINK("https://kabutan.jp/stock/?code="&amp;B416,"株探"))</f>
        <v/>
      </c>
    </row>
    <row r="417" ht="20.1" customHeight="1" s="574">
      <c r="A417" s="101">
        <f>IF(B417="","",ROW()-5)</f>
        <v/>
      </c>
      <c r="B417" s="62" t="n"/>
      <c r="C417" s="98">
        <f t="array" ref="C417">_xll.RssMarket(B417, "銘柄名称")</f>
        <v/>
      </c>
      <c r="D417" s="99">
        <f>IF(B417="","",HYPERLINK("https://kabutan.jp/stock/?code="&amp;B417,"株探"))</f>
        <v/>
      </c>
    </row>
    <row r="418" ht="20.1" customHeight="1" s="574">
      <c r="A418" s="101">
        <f>IF(B418="","",ROW()-5)</f>
        <v/>
      </c>
      <c r="B418" s="62" t="n"/>
      <c r="C418" s="98">
        <f t="array" ref="C418">_xll.RssMarket(B418, "銘柄名称")</f>
        <v/>
      </c>
      <c r="D418" s="99">
        <f>IF(B418="","",HYPERLINK("https://kabutan.jp/stock/?code="&amp;B418,"株探"))</f>
        <v/>
      </c>
    </row>
    <row r="419" ht="20.1" customHeight="1" s="574">
      <c r="A419" s="101">
        <f>IF(B419="","",ROW()-5)</f>
        <v/>
      </c>
      <c r="B419" s="62" t="n"/>
      <c r="C419" s="98">
        <f t="array" ref="C419">_xll.RssMarket(B419, "銘柄名称")</f>
        <v/>
      </c>
      <c r="D419" s="99">
        <f>IF(B419="","",HYPERLINK("https://kabutan.jp/stock/?code="&amp;B419,"株探"))</f>
        <v/>
      </c>
    </row>
    <row r="420" ht="20.1" customHeight="1" s="574">
      <c r="A420" s="101">
        <f>IF(B420="","",ROW()-5)</f>
        <v/>
      </c>
      <c r="B420" s="62" t="n"/>
      <c r="C420" s="98">
        <f t="array" ref="C420">_xll.RssMarket(B420, "銘柄名称")</f>
        <v/>
      </c>
      <c r="D420" s="99">
        <f>IF(B420="","",HYPERLINK("https://kabutan.jp/stock/?code="&amp;B420,"株探"))</f>
        <v/>
      </c>
    </row>
    <row r="421" ht="20.1" customHeight="1" s="574">
      <c r="A421" s="101">
        <f>IF(B421="","",ROW()-5)</f>
        <v/>
      </c>
      <c r="B421" s="62" t="n"/>
      <c r="C421" s="98">
        <f t="array" ref="C421">_xll.RssMarket(B421, "銘柄名称")</f>
        <v/>
      </c>
      <c r="D421" s="99">
        <f>IF(B421="","",HYPERLINK("https://kabutan.jp/stock/?code="&amp;B421,"株探"))</f>
        <v/>
      </c>
    </row>
    <row r="422" ht="20.1" customHeight="1" s="574">
      <c r="A422" s="101">
        <f>IF(B422="","",ROW()-5)</f>
        <v/>
      </c>
      <c r="B422" s="62" t="n"/>
      <c r="C422" s="98">
        <f t="array" ref="C422">_xll.RssMarket(B422, "銘柄名称")</f>
        <v/>
      </c>
      <c r="D422" s="99">
        <f>IF(B422="","",HYPERLINK("https://kabutan.jp/stock/?code="&amp;B422,"株探"))</f>
        <v/>
      </c>
    </row>
    <row r="423" ht="20.1" customHeight="1" s="574">
      <c r="A423" s="101">
        <f>IF(B423="","",ROW()-5)</f>
        <v/>
      </c>
      <c r="B423" s="62" t="n"/>
      <c r="C423" s="98">
        <f t="array" ref="C423">_xll.RssMarket(B423, "銘柄名称")</f>
        <v/>
      </c>
      <c r="D423" s="99">
        <f>IF(B423="","",HYPERLINK("https://kabutan.jp/stock/?code="&amp;B423,"株探"))</f>
        <v/>
      </c>
    </row>
    <row r="424" ht="20.1" customHeight="1" s="574">
      <c r="A424" s="101">
        <f>IF(B424="","",ROW()-5)</f>
        <v/>
      </c>
      <c r="B424" s="62" t="n"/>
      <c r="C424" s="98">
        <f t="array" ref="C424">_xll.RssMarket(B424, "銘柄名称")</f>
        <v/>
      </c>
      <c r="D424" s="99">
        <f>IF(B424="","",HYPERLINK("https://kabutan.jp/stock/?code="&amp;B424,"株探"))</f>
        <v/>
      </c>
    </row>
    <row r="425" ht="20.1" customHeight="1" s="574">
      <c r="A425" s="101">
        <f>IF(B425="","",ROW()-5)</f>
        <v/>
      </c>
      <c r="B425" s="62" t="n"/>
      <c r="C425" s="98">
        <f t="array" ref="C425">_xll.RssMarket(B425, "銘柄名称")</f>
        <v/>
      </c>
      <c r="D425" s="99">
        <f>IF(B425="","",HYPERLINK("https://kabutan.jp/stock/?code="&amp;B425,"株探"))</f>
        <v/>
      </c>
    </row>
    <row r="426" ht="20.1" customHeight="1" s="574">
      <c r="A426" s="101">
        <f>IF(B426="","",ROW()-5)</f>
        <v/>
      </c>
      <c r="B426" s="62" t="n"/>
      <c r="C426" s="98">
        <f t="array" ref="C426">_xll.RssMarket(B426, "銘柄名称")</f>
        <v/>
      </c>
      <c r="D426" s="99">
        <f>IF(B426="","",HYPERLINK("https://kabutan.jp/stock/?code="&amp;B426,"株探"))</f>
        <v/>
      </c>
    </row>
    <row r="427" ht="20.1" customHeight="1" s="574">
      <c r="A427" s="101">
        <f>IF(B427="","",ROW()-5)</f>
        <v/>
      </c>
      <c r="B427" s="62" t="n"/>
      <c r="C427" s="98">
        <f t="array" ref="C427">_xll.RssMarket(B427, "銘柄名称")</f>
        <v/>
      </c>
      <c r="D427" s="99">
        <f>IF(B427="","",HYPERLINK("https://kabutan.jp/stock/?code="&amp;B427,"株探"))</f>
        <v/>
      </c>
    </row>
    <row r="428" ht="20.1" customHeight="1" s="574">
      <c r="A428" s="101">
        <f>IF(B428="","",ROW()-5)</f>
        <v/>
      </c>
      <c r="B428" s="62" t="n"/>
      <c r="C428" s="98">
        <f t="array" ref="C428">_xll.RssMarket(B428, "銘柄名称")</f>
        <v/>
      </c>
      <c r="D428" s="99">
        <f>IF(B428="","",HYPERLINK("https://kabutan.jp/stock/?code="&amp;B428,"株探"))</f>
        <v/>
      </c>
    </row>
    <row r="429" ht="20.1" customHeight="1" s="574">
      <c r="A429" s="101">
        <f>IF(B429="","",ROW()-5)</f>
        <v/>
      </c>
      <c r="B429" s="62" t="n"/>
      <c r="C429" s="98">
        <f t="array" ref="C429">_xll.RssMarket(B429, "銘柄名称")</f>
        <v/>
      </c>
      <c r="D429" s="99">
        <f>IF(B429="","",HYPERLINK("https://kabutan.jp/stock/?code="&amp;B429,"株探"))</f>
        <v/>
      </c>
    </row>
    <row r="430" ht="20.1" customHeight="1" s="574">
      <c r="A430" s="101">
        <f>IF(B430="","",ROW()-5)</f>
        <v/>
      </c>
      <c r="B430" s="62" t="n"/>
      <c r="C430" s="98">
        <f t="array" ref="C430">_xll.RssMarket(B430, "銘柄名称")</f>
        <v/>
      </c>
      <c r="D430" s="99">
        <f>IF(B430="","",HYPERLINK("https://kabutan.jp/stock/?code="&amp;B430,"株探"))</f>
        <v/>
      </c>
    </row>
    <row r="431" ht="20.1" customHeight="1" s="574">
      <c r="A431" s="101">
        <f>IF(B431="","",ROW()-5)</f>
        <v/>
      </c>
      <c r="B431" s="62" t="n"/>
      <c r="C431" s="98">
        <f t="array" ref="C431">_xll.RssMarket(B431, "銘柄名称")</f>
        <v/>
      </c>
      <c r="D431" s="99">
        <f>IF(B431="","",HYPERLINK("https://kabutan.jp/stock/?code="&amp;B431,"株探"))</f>
        <v/>
      </c>
    </row>
    <row r="432" ht="20.1" customHeight="1" s="574">
      <c r="A432" s="101">
        <f>IF(B432="","",ROW()-5)</f>
        <v/>
      </c>
      <c r="B432" s="62" t="n"/>
      <c r="C432" s="98">
        <f t="array" ref="C432">_xll.RssMarket(B432, "銘柄名称")</f>
        <v/>
      </c>
      <c r="D432" s="99">
        <f>IF(B432="","",HYPERLINK("https://kabutan.jp/stock/?code="&amp;B432,"株探"))</f>
        <v/>
      </c>
    </row>
    <row r="433" ht="20.1" customHeight="1" s="574">
      <c r="A433" s="101">
        <f>IF(B433="","",ROW()-5)</f>
        <v/>
      </c>
      <c r="B433" s="62" t="n"/>
      <c r="C433" s="98">
        <f t="array" ref="C433">_xll.RssMarket(B433, "銘柄名称")</f>
        <v/>
      </c>
      <c r="D433" s="99">
        <f>IF(B433="","",HYPERLINK("https://kabutan.jp/stock/?code="&amp;B433,"株探"))</f>
        <v/>
      </c>
    </row>
    <row r="434" ht="20.1" customHeight="1" s="574">
      <c r="A434" s="101">
        <f>IF(B434="","",ROW()-5)</f>
        <v/>
      </c>
      <c r="B434" s="62" t="n"/>
      <c r="C434" s="98">
        <f t="array" ref="C434">_xll.RssMarket(B434, "銘柄名称")</f>
        <v/>
      </c>
      <c r="D434" s="99">
        <f>IF(B434="","",HYPERLINK("https://kabutan.jp/stock/?code="&amp;B434,"株探"))</f>
        <v/>
      </c>
    </row>
    <row r="435" ht="20.1" customHeight="1" s="574">
      <c r="A435" s="101">
        <f>IF(B435="","",ROW()-5)</f>
        <v/>
      </c>
      <c r="B435" s="62" t="n"/>
      <c r="C435" s="98">
        <f t="array" ref="C435">_xll.RssMarket(B435, "銘柄名称")</f>
        <v/>
      </c>
      <c r="D435" s="99">
        <f>IF(B435="","",HYPERLINK("https://kabutan.jp/stock/?code="&amp;B435,"株探"))</f>
        <v/>
      </c>
    </row>
    <row r="436" ht="20.1" customHeight="1" s="574">
      <c r="A436" s="101">
        <f>IF(B436="","",ROW()-5)</f>
        <v/>
      </c>
      <c r="B436" s="62" t="n"/>
      <c r="C436" s="98">
        <f t="array" ref="C436">_xll.RssMarket(B436, "銘柄名称")</f>
        <v/>
      </c>
      <c r="D436" s="99">
        <f>IF(B436="","",HYPERLINK("https://kabutan.jp/stock/?code="&amp;B436,"株探"))</f>
        <v/>
      </c>
    </row>
    <row r="437" ht="20.1" customHeight="1" s="574">
      <c r="A437" s="101">
        <f>IF(B437="","",ROW()-5)</f>
        <v/>
      </c>
      <c r="B437" s="62" t="n"/>
      <c r="C437" s="98">
        <f t="array" ref="C437">_xll.RssMarket(B437, "銘柄名称")</f>
        <v/>
      </c>
      <c r="D437" s="99">
        <f>IF(B437="","",HYPERLINK("https://kabutan.jp/stock/?code="&amp;B437,"株探"))</f>
        <v/>
      </c>
    </row>
    <row r="438" ht="20.1" customHeight="1" s="574">
      <c r="A438" s="101">
        <f>IF(B438="","",ROW()-5)</f>
        <v/>
      </c>
      <c r="B438" s="62" t="n"/>
      <c r="C438" s="98">
        <f t="array" ref="C438">_xll.RssMarket(B438, "銘柄名称")</f>
        <v/>
      </c>
      <c r="D438" s="99">
        <f>IF(B438="","",HYPERLINK("https://kabutan.jp/stock/?code="&amp;B438,"株探"))</f>
        <v/>
      </c>
    </row>
    <row r="439" ht="20.1" customHeight="1" s="574">
      <c r="A439" s="101">
        <f>IF(B439="","",ROW()-5)</f>
        <v/>
      </c>
      <c r="B439" s="62" t="n"/>
      <c r="C439" s="98">
        <f t="array" ref="C439">_xll.RssMarket(B439, "銘柄名称")</f>
        <v/>
      </c>
      <c r="D439" s="99">
        <f>IF(B439="","",HYPERLINK("https://kabutan.jp/stock/?code="&amp;B439,"株探"))</f>
        <v/>
      </c>
    </row>
    <row r="440" ht="20.1" customHeight="1" s="574">
      <c r="A440" s="101">
        <f>IF(B440="","",ROW()-5)</f>
        <v/>
      </c>
      <c r="B440" s="62" t="n"/>
      <c r="C440" s="98">
        <f t="array" ref="C440">_xll.RssMarket(B440, "銘柄名称")</f>
        <v/>
      </c>
      <c r="D440" s="99">
        <f>IF(B440="","",HYPERLINK("https://kabutan.jp/stock/?code="&amp;B440,"株探"))</f>
        <v/>
      </c>
    </row>
    <row r="441" ht="20.1" customHeight="1" s="574">
      <c r="A441" s="101">
        <f>IF(B441="","",ROW()-5)</f>
        <v/>
      </c>
      <c r="B441" s="62" t="n"/>
      <c r="C441" s="98">
        <f t="array" ref="C441">_xll.RssMarket(B441, "銘柄名称")</f>
        <v/>
      </c>
      <c r="D441" s="99">
        <f>IF(B441="","",HYPERLINK("https://kabutan.jp/stock/?code="&amp;B441,"株探"))</f>
        <v/>
      </c>
    </row>
    <row r="442" ht="20.1" customHeight="1" s="574">
      <c r="A442" s="101">
        <f>IF(B442="","",ROW()-5)</f>
        <v/>
      </c>
      <c r="B442" s="62" t="n"/>
      <c r="C442" s="98">
        <f t="array" ref="C442">_xll.RssMarket(B442, "銘柄名称")</f>
        <v/>
      </c>
      <c r="D442" s="99">
        <f>IF(B442="","",HYPERLINK("https://kabutan.jp/stock/?code="&amp;B442,"株探"))</f>
        <v/>
      </c>
    </row>
    <row r="443" ht="20.1" customHeight="1" s="574">
      <c r="A443" s="101">
        <f>IF(B443="","",ROW()-5)</f>
        <v/>
      </c>
      <c r="B443" s="62" t="n"/>
      <c r="C443" s="98">
        <f t="array" ref="C443">_xll.RssMarket(B443, "銘柄名称")</f>
        <v/>
      </c>
      <c r="D443" s="99">
        <f>IF(B443="","",HYPERLINK("https://kabutan.jp/stock/?code="&amp;B443,"株探"))</f>
        <v/>
      </c>
    </row>
    <row r="444" ht="20.1" customHeight="1" s="574">
      <c r="A444" s="101">
        <f>IF(B444="","",ROW()-5)</f>
        <v/>
      </c>
      <c r="B444" s="62" t="n"/>
      <c r="C444" s="98">
        <f t="array" ref="C444">_xll.RssMarket(B444, "銘柄名称")</f>
        <v/>
      </c>
      <c r="D444" s="99">
        <f>IF(B444="","",HYPERLINK("https://kabutan.jp/stock/?code="&amp;B444,"株探"))</f>
        <v/>
      </c>
    </row>
    <row r="445" ht="20.1" customHeight="1" s="574">
      <c r="A445" s="101">
        <f>IF(B445="","",ROW()-5)</f>
        <v/>
      </c>
      <c r="B445" s="62" t="n"/>
      <c r="C445" s="98">
        <f t="array" ref="C445">_xll.RssMarket(B445, "銘柄名称")</f>
        <v/>
      </c>
      <c r="D445" s="99">
        <f>IF(B445="","",HYPERLINK("https://kabutan.jp/stock/?code="&amp;B445,"株探"))</f>
        <v/>
      </c>
    </row>
    <row r="446" ht="20.1" customHeight="1" s="574">
      <c r="A446" s="101">
        <f>IF(B446="","",ROW()-5)</f>
        <v/>
      </c>
      <c r="B446" s="62" t="n"/>
      <c r="C446" s="98">
        <f t="array" ref="C446">_xll.RssMarket(B446, "銘柄名称")</f>
        <v/>
      </c>
      <c r="D446" s="99">
        <f>IF(B446="","",HYPERLINK("https://kabutan.jp/stock/?code="&amp;B446,"株探"))</f>
        <v/>
      </c>
    </row>
    <row r="447" ht="20.1" customHeight="1" s="574">
      <c r="A447" s="101">
        <f>IF(B447="","",ROW()-5)</f>
        <v/>
      </c>
      <c r="B447" s="62" t="n"/>
      <c r="C447" s="98">
        <f t="array" ref="C447">_xll.RssMarket(B447, "銘柄名称")</f>
        <v/>
      </c>
      <c r="D447" s="99">
        <f>IF(B447="","",HYPERLINK("https://kabutan.jp/stock/?code="&amp;B447,"株探"))</f>
        <v/>
      </c>
    </row>
    <row r="448" ht="20.1" customHeight="1" s="574">
      <c r="A448" s="101">
        <f>IF(B448="","",ROW()-5)</f>
        <v/>
      </c>
      <c r="B448" s="62" t="n"/>
      <c r="C448" s="98">
        <f t="array" ref="C448">_xll.RssMarket(B448, "銘柄名称")</f>
        <v/>
      </c>
      <c r="D448" s="99">
        <f>IF(B448="","",HYPERLINK("https://kabutan.jp/stock/?code="&amp;B448,"株探"))</f>
        <v/>
      </c>
    </row>
    <row r="449" ht="20.1" customHeight="1" s="574">
      <c r="A449" s="101">
        <f>IF(B449="","",ROW()-5)</f>
        <v/>
      </c>
      <c r="B449" s="62" t="n"/>
      <c r="C449" s="98">
        <f t="array" ref="C449">_xll.RssMarket(B449, "銘柄名称")</f>
        <v/>
      </c>
      <c r="D449" s="99">
        <f>IF(B449="","",HYPERLINK("https://kabutan.jp/stock/?code="&amp;B449,"株探"))</f>
        <v/>
      </c>
    </row>
    <row r="450" ht="20.1" customHeight="1" s="574">
      <c r="A450" s="101">
        <f>IF(B450="","",ROW()-5)</f>
        <v/>
      </c>
      <c r="B450" s="62" t="n"/>
      <c r="C450" s="98">
        <f t="array" ref="C450">_xll.RssMarket(B450, "銘柄名称")</f>
        <v/>
      </c>
      <c r="D450" s="99">
        <f>IF(B450="","",HYPERLINK("https://kabutan.jp/stock/?code="&amp;B450,"株探"))</f>
        <v/>
      </c>
    </row>
    <row r="451" ht="20.1" customHeight="1" s="574">
      <c r="A451" s="101">
        <f>IF(B451="","",ROW()-5)</f>
        <v/>
      </c>
      <c r="B451" s="62" t="n"/>
      <c r="C451" s="98">
        <f t="array" ref="C451">_xll.RssMarket(B451, "銘柄名称")</f>
        <v/>
      </c>
      <c r="D451" s="99">
        <f>IF(B451="","",HYPERLINK("https://kabutan.jp/stock/?code="&amp;B451,"株探"))</f>
        <v/>
      </c>
    </row>
    <row r="452" ht="20.1" customHeight="1" s="574">
      <c r="A452" s="101">
        <f>IF(B452="","",ROW()-5)</f>
        <v/>
      </c>
      <c r="B452" s="62" t="n"/>
      <c r="C452" s="98">
        <f t="array" ref="C452">_xll.RssMarket(B452, "銘柄名称")</f>
        <v/>
      </c>
      <c r="D452" s="99">
        <f>IF(B452="","",HYPERLINK("https://kabutan.jp/stock/?code="&amp;B452,"株探"))</f>
        <v/>
      </c>
    </row>
    <row r="453" ht="20.1" customHeight="1" s="574">
      <c r="A453" s="101">
        <f>IF(B453="","",ROW()-5)</f>
        <v/>
      </c>
      <c r="B453" s="62" t="n"/>
      <c r="C453" s="98">
        <f t="array" ref="C453">_xll.RssMarket(B453, "銘柄名称")</f>
        <v/>
      </c>
      <c r="D453" s="99">
        <f>IF(B453="","",HYPERLINK("https://kabutan.jp/stock/?code="&amp;B453,"株探"))</f>
        <v/>
      </c>
    </row>
    <row r="454" ht="20.1" customHeight="1" s="574">
      <c r="A454" s="101">
        <f>IF(B454="","",ROW()-5)</f>
        <v/>
      </c>
      <c r="B454" s="62" t="n"/>
      <c r="C454" s="98">
        <f t="array" ref="C454">_xll.RssMarket(B454, "銘柄名称")</f>
        <v/>
      </c>
      <c r="D454" s="99">
        <f>IF(B454="","",HYPERLINK("https://kabutan.jp/stock/?code="&amp;B454,"株探"))</f>
        <v/>
      </c>
    </row>
    <row r="455" ht="20.1" customHeight="1" s="574">
      <c r="A455" s="101">
        <f>IF(B455="","",ROW()-5)</f>
        <v/>
      </c>
      <c r="B455" s="62" t="n"/>
      <c r="C455" s="98">
        <f t="array" ref="C455">_xll.RssMarket(B455, "銘柄名称")</f>
        <v/>
      </c>
      <c r="D455" s="99">
        <f>IF(B455="","",HYPERLINK("https://kabutan.jp/stock/?code="&amp;B455,"株探"))</f>
        <v/>
      </c>
    </row>
    <row r="456" ht="20.1" customHeight="1" s="574">
      <c r="A456" s="101">
        <f>IF(B456="","",ROW()-5)</f>
        <v/>
      </c>
      <c r="B456" s="62" t="n"/>
      <c r="C456" s="98">
        <f t="array" ref="C456">_xll.RssMarket(B456, "銘柄名称")</f>
        <v/>
      </c>
      <c r="D456" s="99">
        <f>IF(B456="","",HYPERLINK("https://kabutan.jp/stock/?code="&amp;B456,"株探"))</f>
        <v/>
      </c>
    </row>
    <row r="457" ht="20.1" customHeight="1" s="574">
      <c r="A457" s="101">
        <f>IF(B457="","",ROW()-5)</f>
        <v/>
      </c>
      <c r="B457" s="62" t="n"/>
      <c r="C457" s="98">
        <f t="array" ref="C457">_xll.RssMarket(B457, "銘柄名称")</f>
        <v/>
      </c>
      <c r="D457" s="99">
        <f>IF(B457="","",HYPERLINK("https://kabutan.jp/stock/?code="&amp;B457,"株探"))</f>
        <v/>
      </c>
    </row>
    <row r="458" ht="20.1" customHeight="1" s="574">
      <c r="A458" s="101">
        <f>IF(B458="","",ROW()-5)</f>
        <v/>
      </c>
      <c r="B458" s="62" t="n"/>
      <c r="C458" s="98">
        <f t="array" ref="C458">_xll.RssMarket(B458, "銘柄名称")</f>
        <v/>
      </c>
      <c r="D458" s="99">
        <f>IF(B458="","",HYPERLINK("https://kabutan.jp/stock/?code="&amp;B458,"株探"))</f>
        <v/>
      </c>
    </row>
    <row r="459" ht="20.1" customHeight="1" s="574">
      <c r="A459" s="101">
        <f>IF(B459="","",ROW()-5)</f>
        <v/>
      </c>
      <c r="B459" s="62" t="n"/>
      <c r="C459" s="98">
        <f t="array" ref="C459">_xll.RssMarket(B459, "銘柄名称")</f>
        <v/>
      </c>
      <c r="D459" s="99">
        <f>IF(B459="","",HYPERLINK("https://kabutan.jp/stock/?code="&amp;B459,"株探"))</f>
        <v/>
      </c>
    </row>
    <row r="460" ht="20.1" customHeight="1" s="574">
      <c r="A460" s="101">
        <f>IF(B460="","",ROW()-5)</f>
        <v/>
      </c>
      <c r="B460" s="62" t="n"/>
      <c r="C460" s="98">
        <f t="array" ref="C460">_xll.RssMarket(B460, "銘柄名称")</f>
        <v/>
      </c>
      <c r="D460" s="99">
        <f>IF(B460="","",HYPERLINK("https://kabutan.jp/stock/?code="&amp;B460,"株探"))</f>
        <v/>
      </c>
    </row>
    <row r="461" ht="20.1" customHeight="1" s="574">
      <c r="A461" s="101">
        <f>IF(B461="","",ROW()-5)</f>
        <v/>
      </c>
      <c r="B461" s="62" t="n"/>
      <c r="C461" s="98">
        <f t="array" ref="C461">_xll.RssMarket(B461, "銘柄名称")</f>
        <v/>
      </c>
      <c r="D461" s="99">
        <f>IF(B461="","",HYPERLINK("https://kabutan.jp/stock/?code="&amp;B461,"株探"))</f>
        <v/>
      </c>
    </row>
    <row r="462" ht="20.1" customHeight="1" s="574">
      <c r="A462" s="101">
        <f>IF(B462="","",ROW()-5)</f>
        <v/>
      </c>
      <c r="B462" s="62" t="n"/>
      <c r="C462" s="98">
        <f t="array" ref="C462">_xll.RssMarket(B462, "銘柄名称")</f>
        <v/>
      </c>
      <c r="D462" s="99">
        <f>IF(B462="","",HYPERLINK("https://kabutan.jp/stock/?code="&amp;B462,"株探"))</f>
        <v/>
      </c>
    </row>
    <row r="463" ht="20.1" customHeight="1" s="574">
      <c r="A463" s="101">
        <f>IF(B463="","",ROW()-5)</f>
        <v/>
      </c>
      <c r="B463" s="62" t="n"/>
      <c r="C463" s="98">
        <f t="array" ref="C463">_xll.RssMarket(B463, "銘柄名称")</f>
        <v/>
      </c>
      <c r="D463" s="99">
        <f>IF(B463="","",HYPERLINK("https://kabutan.jp/stock/?code="&amp;B463,"株探"))</f>
        <v/>
      </c>
    </row>
    <row r="464" ht="20.1" customHeight="1" s="574">
      <c r="A464" s="101">
        <f>IF(B464="","",ROW()-5)</f>
        <v/>
      </c>
      <c r="B464" s="62" t="n"/>
      <c r="C464" s="98">
        <f t="array" ref="C464">_xll.RssMarket(B464, "銘柄名称")</f>
        <v/>
      </c>
      <c r="D464" s="99">
        <f>IF(B464="","",HYPERLINK("https://kabutan.jp/stock/?code="&amp;B464,"株探"))</f>
        <v/>
      </c>
    </row>
    <row r="465" ht="20.1" customHeight="1" s="574">
      <c r="A465" s="101">
        <f>IF(B465="","",ROW()-5)</f>
        <v/>
      </c>
      <c r="B465" s="62" t="n"/>
      <c r="C465" s="98">
        <f t="array" ref="C465">_xll.RssMarket(B465, "銘柄名称")</f>
        <v/>
      </c>
      <c r="D465" s="99">
        <f>IF(B465="","",HYPERLINK("https://kabutan.jp/stock/?code="&amp;B465,"株探"))</f>
        <v/>
      </c>
    </row>
    <row r="466" ht="20.1" customHeight="1" s="574">
      <c r="A466" s="101">
        <f>IF(B466="","",ROW()-5)</f>
        <v/>
      </c>
      <c r="B466" s="62" t="n"/>
      <c r="C466" s="98">
        <f t="array" ref="C466">_xll.RssMarket(B466, "銘柄名称")</f>
        <v/>
      </c>
      <c r="D466" s="99">
        <f>IF(B466="","",HYPERLINK("https://kabutan.jp/stock/?code="&amp;B466,"株探"))</f>
        <v/>
      </c>
    </row>
    <row r="467" ht="20.1" customHeight="1" s="574">
      <c r="A467" s="101">
        <f>IF(B467="","",ROW()-5)</f>
        <v/>
      </c>
      <c r="B467" s="62" t="n"/>
      <c r="C467" s="98">
        <f t="array" ref="C467">_xll.RssMarket(B467, "銘柄名称")</f>
        <v/>
      </c>
      <c r="D467" s="99">
        <f>IF(B467="","",HYPERLINK("https://kabutan.jp/stock/?code="&amp;B467,"株探"))</f>
        <v/>
      </c>
    </row>
    <row r="468" ht="20.1" customHeight="1" s="574">
      <c r="A468" s="101">
        <f>IF(B468="","",ROW()-5)</f>
        <v/>
      </c>
      <c r="B468" s="62" t="n"/>
      <c r="C468" s="98">
        <f t="array" ref="C468">_xll.RssMarket(B468, "銘柄名称")</f>
        <v/>
      </c>
      <c r="D468" s="99">
        <f>IF(B468="","",HYPERLINK("https://kabutan.jp/stock/?code="&amp;B468,"株探"))</f>
        <v/>
      </c>
    </row>
    <row r="469" ht="20.1" customHeight="1" s="574">
      <c r="A469" s="101">
        <f>IF(B469="","",ROW()-5)</f>
        <v/>
      </c>
      <c r="B469" s="62" t="n"/>
      <c r="C469" s="98">
        <f t="array" ref="C469">_xll.RssMarket(B469, "銘柄名称")</f>
        <v/>
      </c>
      <c r="D469" s="99">
        <f>IF(B469="","",HYPERLINK("https://kabutan.jp/stock/?code="&amp;B469,"株探"))</f>
        <v/>
      </c>
    </row>
    <row r="470" ht="20.1" customHeight="1" s="574">
      <c r="A470" s="101">
        <f>IF(B470="","",ROW()-5)</f>
        <v/>
      </c>
      <c r="B470" s="62" t="n"/>
      <c r="C470" s="98">
        <f t="array" ref="C470">_xll.RssMarket(B470, "銘柄名称")</f>
        <v/>
      </c>
      <c r="D470" s="99">
        <f>IF(B470="","",HYPERLINK("https://kabutan.jp/stock/?code="&amp;B470,"株探"))</f>
        <v/>
      </c>
    </row>
    <row r="471" ht="20.1" customHeight="1" s="574">
      <c r="A471" s="101">
        <f>IF(B471="","",ROW()-5)</f>
        <v/>
      </c>
      <c r="B471" s="62" t="n"/>
      <c r="C471" s="98">
        <f t="array" ref="C471">_xll.RssMarket(B471, "銘柄名称")</f>
        <v/>
      </c>
      <c r="D471" s="99">
        <f>IF(B471="","",HYPERLINK("https://kabutan.jp/stock/?code="&amp;B471,"株探"))</f>
        <v/>
      </c>
    </row>
    <row r="472" ht="20.1" customHeight="1" s="574">
      <c r="A472" s="101">
        <f>IF(B472="","",ROW()-5)</f>
        <v/>
      </c>
      <c r="B472" s="62" t="n"/>
      <c r="C472" s="98">
        <f t="array" ref="C472">_xll.RssMarket(B472, "銘柄名称")</f>
        <v/>
      </c>
      <c r="D472" s="99">
        <f>IF(B472="","",HYPERLINK("https://kabutan.jp/stock/?code="&amp;B472,"株探"))</f>
        <v/>
      </c>
    </row>
    <row r="473" ht="20.1" customHeight="1" s="574">
      <c r="A473" s="101">
        <f>IF(B473="","",ROW()-5)</f>
        <v/>
      </c>
      <c r="B473" s="62" t="n"/>
      <c r="C473" s="98">
        <f t="array" ref="C473">_xll.RssMarket(B473, "銘柄名称")</f>
        <v/>
      </c>
      <c r="D473" s="99">
        <f>IF(B473="","",HYPERLINK("https://kabutan.jp/stock/?code="&amp;B473,"株探"))</f>
        <v/>
      </c>
    </row>
    <row r="474" ht="20.1" customHeight="1" s="574">
      <c r="A474" s="101">
        <f>IF(B474="","",ROW()-5)</f>
        <v/>
      </c>
      <c r="B474" s="62" t="n"/>
      <c r="C474" s="98">
        <f t="array" ref="C474">_xll.RssMarket(B474, "銘柄名称")</f>
        <v/>
      </c>
      <c r="D474" s="99">
        <f>IF(B474="","",HYPERLINK("https://kabutan.jp/stock/?code="&amp;B474,"株探"))</f>
        <v/>
      </c>
    </row>
    <row r="475" ht="20.1" customHeight="1" s="574">
      <c r="A475" s="101">
        <f>IF(B475="","",ROW()-5)</f>
        <v/>
      </c>
      <c r="B475" s="62" t="n"/>
      <c r="C475" s="98">
        <f t="array" ref="C475">_xll.RssMarket(B475, "銘柄名称")</f>
        <v/>
      </c>
      <c r="D475" s="99">
        <f>IF(B475="","",HYPERLINK("https://kabutan.jp/stock/?code="&amp;B475,"株探"))</f>
        <v/>
      </c>
    </row>
    <row r="476" ht="20.1" customHeight="1" s="574">
      <c r="A476" s="101">
        <f>IF(B476="","",ROW()-5)</f>
        <v/>
      </c>
      <c r="B476" s="62" t="n"/>
      <c r="C476" s="98">
        <f t="array" ref="C476">_xll.RssMarket(B476, "銘柄名称")</f>
        <v/>
      </c>
      <c r="D476" s="99">
        <f>IF(B476="","",HYPERLINK("https://kabutan.jp/stock/?code="&amp;B476,"株探"))</f>
        <v/>
      </c>
    </row>
    <row r="477" ht="20.1" customHeight="1" s="574">
      <c r="A477" s="101">
        <f>IF(B477="","",ROW()-5)</f>
        <v/>
      </c>
      <c r="B477" s="62" t="n"/>
      <c r="C477" s="98">
        <f t="array" ref="C477">_xll.RssMarket(B477, "銘柄名称")</f>
        <v/>
      </c>
      <c r="D477" s="99">
        <f>IF(B477="","",HYPERLINK("https://kabutan.jp/stock/?code="&amp;B477,"株探"))</f>
        <v/>
      </c>
    </row>
    <row r="478" ht="20.1" customHeight="1" s="574">
      <c r="A478" s="101">
        <f>IF(B478="","",ROW()-5)</f>
        <v/>
      </c>
      <c r="B478" s="62" t="n"/>
      <c r="C478" s="98">
        <f t="array" ref="C478">_xll.RssMarket(B478, "銘柄名称")</f>
        <v/>
      </c>
      <c r="D478" s="99">
        <f>IF(B478="","",HYPERLINK("https://kabutan.jp/stock/?code="&amp;B478,"株探"))</f>
        <v/>
      </c>
    </row>
    <row r="479" ht="20.1" customHeight="1" s="574">
      <c r="A479" s="101">
        <f>IF(B479="","",ROW()-5)</f>
        <v/>
      </c>
      <c r="B479" s="62" t="n"/>
      <c r="C479" s="98">
        <f t="array" ref="C479">_xll.RssMarket(B479, "銘柄名称")</f>
        <v/>
      </c>
      <c r="D479" s="99">
        <f>IF(B479="","",HYPERLINK("https://kabutan.jp/stock/?code="&amp;B479,"株探"))</f>
        <v/>
      </c>
    </row>
    <row r="480" ht="20.1" customHeight="1" s="574">
      <c r="A480" s="101">
        <f>IF(B480="","",ROW()-5)</f>
        <v/>
      </c>
      <c r="B480" s="62" t="n"/>
      <c r="C480" s="98">
        <f t="array" ref="C480">_xll.RssMarket(B480, "銘柄名称")</f>
        <v/>
      </c>
      <c r="D480" s="99">
        <f>IF(B480="","",HYPERLINK("https://kabutan.jp/stock/?code="&amp;B480,"株探"))</f>
        <v/>
      </c>
    </row>
    <row r="481" ht="20.1" customHeight="1" s="574">
      <c r="A481" s="101">
        <f>IF(B481="","",ROW()-5)</f>
        <v/>
      </c>
      <c r="B481" s="62" t="n"/>
      <c r="C481" s="98">
        <f t="array" ref="C481">_xll.RssMarket(B481, "銘柄名称")</f>
        <v/>
      </c>
      <c r="D481" s="99">
        <f>IF(B481="","",HYPERLINK("https://kabutan.jp/stock/?code="&amp;B481,"株探"))</f>
        <v/>
      </c>
    </row>
    <row r="482" ht="20.1" customHeight="1" s="574">
      <c r="A482" s="101">
        <f>IF(B482="","",ROW()-5)</f>
        <v/>
      </c>
      <c r="B482" s="62" t="n"/>
      <c r="C482" s="98">
        <f t="array" ref="C482">_xll.RssMarket(B482, "銘柄名称")</f>
        <v/>
      </c>
      <c r="D482" s="99">
        <f>IF(B482="","",HYPERLINK("https://kabutan.jp/stock/?code="&amp;B482,"株探"))</f>
        <v/>
      </c>
    </row>
    <row r="483" ht="20.1" customHeight="1" s="574">
      <c r="A483" s="101">
        <f>IF(B483="","",ROW()-5)</f>
        <v/>
      </c>
      <c r="B483" s="62" t="n"/>
      <c r="C483" s="98">
        <f t="array" ref="C483">_xll.RssMarket(B483, "銘柄名称")</f>
        <v/>
      </c>
      <c r="D483" s="99">
        <f>IF(B483="","",HYPERLINK("https://kabutan.jp/stock/?code="&amp;B483,"株探"))</f>
        <v/>
      </c>
    </row>
    <row r="484" ht="20.1" customHeight="1" s="574">
      <c r="A484" s="101">
        <f>IF(B484="","",ROW()-5)</f>
        <v/>
      </c>
      <c r="B484" s="62" t="n"/>
      <c r="C484" s="98">
        <f t="array" ref="C484">_xll.RssMarket(B484, "銘柄名称")</f>
        <v/>
      </c>
      <c r="D484" s="99">
        <f>IF(B484="","",HYPERLINK("https://kabutan.jp/stock/?code="&amp;B484,"株探"))</f>
        <v/>
      </c>
    </row>
    <row r="485" ht="20.1" customHeight="1" s="574">
      <c r="A485" s="101">
        <f>IF(B485="","",ROW()-5)</f>
        <v/>
      </c>
      <c r="B485" s="62" t="n"/>
      <c r="C485" s="98">
        <f t="array" ref="C485">_xll.RssMarket(B485, "銘柄名称")</f>
        <v/>
      </c>
      <c r="D485" s="99">
        <f>IF(B485="","",HYPERLINK("https://kabutan.jp/stock/?code="&amp;B485,"株探"))</f>
        <v/>
      </c>
    </row>
    <row r="486" ht="20.1" customHeight="1" s="574">
      <c r="A486" s="101">
        <f>IF(B486="","",ROW()-5)</f>
        <v/>
      </c>
      <c r="B486" s="62" t="n"/>
      <c r="C486" s="98">
        <f t="array" ref="C486">_xll.RssMarket(B486, "銘柄名称")</f>
        <v/>
      </c>
      <c r="D486" s="99">
        <f>IF(B486="","",HYPERLINK("https://kabutan.jp/stock/?code="&amp;B486,"株探"))</f>
        <v/>
      </c>
    </row>
    <row r="487" ht="20.1" customHeight="1" s="574">
      <c r="A487" s="101">
        <f>IF(B487="","",ROW()-5)</f>
        <v/>
      </c>
      <c r="B487" s="62" t="n"/>
      <c r="C487" s="98">
        <f t="array" ref="C487">_xll.RssMarket(B487, "銘柄名称")</f>
        <v/>
      </c>
      <c r="D487" s="99">
        <f>IF(B487="","",HYPERLINK("https://kabutan.jp/stock/?code="&amp;B487,"株探"))</f>
        <v/>
      </c>
    </row>
    <row r="488" ht="20.1" customHeight="1" s="574">
      <c r="A488" s="101">
        <f>IF(B488="","",ROW()-5)</f>
        <v/>
      </c>
      <c r="B488" s="62" t="n"/>
      <c r="C488" s="98">
        <f t="array" ref="C488">_xll.RssMarket(B488, "銘柄名称")</f>
        <v/>
      </c>
      <c r="D488" s="99">
        <f>IF(B488="","",HYPERLINK("https://kabutan.jp/stock/?code="&amp;B488,"株探"))</f>
        <v/>
      </c>
    </row>
    <row r="489" ht="20.1" customHeight="1" s="574">
      <c r="A489" s="101">
        <f>IF(B489="","",ROW()-5)</f>
        <v/>
      </c>
      <c r="B489" s="62" t="n"/>
      <c r="C489" s="98">
        <f t="array" ref="C489">_xll.RssMarket(B489, "銘柄名称")</f>
        <v/>
      </c>
      <c r="D489" s="99">
        <f>IF(B489="","",HYPERLINK("https://kabutan.jp/stock/?code="&amp;B489,"株探"))</f>
        <v/>
      </c>
    </row>
    <row r="490" ht="20.1" customHeight="1" s="574">
      <c r="A490" s="101">
        <f>IF(B490="","",ROW()-5)</f>
        <v/>
      </c>
      <c r="B490" s="62" t="n"/>
      <c r="C490" s="98">
        <f t="array" ref="C490">_xll.RssMarket(B490, "銘柄名称")</f>
        <v/>
      </c>
      <c r="D490" s="99">
        <f>IF(B490="","",HYPERLINK("https://kabutan.jp/stock/?code="&amp;B490,"株探"))</f>
        <v/>
      </c>
    </row>
    <row r="491" ht="20.1" customHeight="1" s="574">
      <c r="A491" s="101">
        <f>IF(B491="","",ROW()-5)</f>
        <v/>
      </c>
      <c r="B491" s="62" t="n"/>
      <c r="C491" s="98">
        <f t="array" ref="C491">_xll.RssMarket(B491, "銘柄名称")</f>
        <v/>
      </c>
      <c r="D491" s="99">
        <f>IF(B491="","",HYPERLINK("https://kabutan.jp/stock/?code="&amp;B491,"株探"))</f>
        <v/>
      </c>
    </row>
    <row r="492" ht="20.1" customHeight="1" s="574">
      <c r="A492" s="101">
        <f>IF(B492="","",ROW()-5)</f>
        <v/>
      </c>
      <c r="B492" s="62" t="n"/>
      <c r="C492" s="98">
        <f t="array" ref="C492">_xll.RssMarket(B492, "銘柄名称")</f>
        <v/>
      </c>
      <c r="D492" s="99">
        <f>IF(B492="","",HYPERLINK("https://kabutan.jp/stock/?code="&amp;B492,"株探"))</f>
        <v/>
      </c>
    </row>
    <row r="493" ht="20.1" customHeight="1" s="574">
      <c r="A493" s="101">
        <f>IF(B493="","",ROW()-5)</f>
        <v/>
      </c>
      <c r="B493" s="62" t="n"/>
      <c r="C493" s="98">
        <f t="array" ref="C493">_xll.RssMarket(B493, "銘柄名称")</f>
        <v/>
      </c>
      <c r="D493" s="99">
        <f>IF(B493="","",HYPERLINK("https://kabutan.jp/stock/?code="&amp;B493,"株探"))</f>
        <v/>
      </c>
    </row>
    <row r="494" ht="20.1" customHeight="1" s="574">
      <c r="A494" s="101">
        <f>IF(B494="","",ROW()-5)</f>
        <v/>
      </c>
      <c r="B494" s="62" t="n"/>
      <c r="C494" s="98">
        <f t="array" ref="C494">_xll.RssMarket(B494, "銘柄名称")</f>
        <v/>
      </c>
      <c r="D494" s="99">
        <f>IF(B494="","",HYPERLINK("https://kabutan.jp/stock/?code="&amp;B494,"株探"))</f>
        <v/>
      </c>
    </row>
    <row r="495" ht="20.1" customHeight="1" s="574">
      <c r="A495" s="101">
        <f>IF(B495="","",ROW()-5)</f>
        <v/>
      </c>
      <c r="B495" s="62" t="n"/>
      <c r="C495" s="98">
        <f t="array" ref="C495">_xll.RssMarket(B495, "銘柄名称")</f>
        <v/>
      </c>
      <c r="D495" s="99">
        <f>IF(B495="","",HYPERLINK("https://kabutan.jp/stock/?code="&amp;B495,"株探"))</f>
        <v/>
      </c>
    </row>
    <row r="496" ht="20.1" customHeight="1" s="574">
      <c r="A496" s="101">
        <f>IF(B496="","",ROW()-5)</f>
        <v/>
      </c>
      <c r="B496" s="62" t="n"/>
      <c r="C496" s="98">
        <f t="array" ref="C496">_xll.RssMarket(B496, "銘柄名称")</f>
        <v/>
      </c>
      <c r="D496" s="99">
        <f>IF(B496="","",HYPERLINK("https://kabutan.jp/stock/?code="&amp;B496,"株探"))</f>
        <v/>
      </c>
    </row>
    <row r="497" ht="20.1" customHeight="1" s="574">
      <c r="A497" s="101">
        <f>IF(B497="","",ROW()-5)</f>
        <v/>
      </c>
      <c r="B497" s="62" t="n"/>
      <c r="C497" s="98">
        <f t="array" ref="C497">_xll.RssMarket(B497, "銘柄名称")</f>
        <v/>
      </c>
      <c r="D497" s="99">
        <f>IF(B497="","",HYPERLINK("https://kabutan.jp/stock/?code="&amp;B497,"株探"))</f>
        <v/>
      </c>
    </row>
    <row r="498" ht="20.1" customHeight="1" s="574">
      <c r="A498" s="101">
        <f>IF(B498="","",ROW()-5)</f>
        <v/>
      </c>
      <c r="B498" s="62" t="n"/>
      <c r="C498" s="98">
        <f t="array" ref="C498">_xll.RssMarket(B498, "銘柄名称")</f>
        <v/>
      </c>
      <c r="D498" s="99">
        <f>IF(B498="","",HYPERLINK("https://kabutan.jp/stock/?code="&amp;B498,"株探"))</f>
        <v/>
      </c>
    </row>
    <row r="499" ht="20.1" customHeight="1" s="574">
      <c r="A499" s="101">
        <f>IF(B499="","",ROW()-5)</f>
        <v/>
      </c>
      <c r="B499" s="62" t="n"/>
      <c r="C499" s="98">
        <f t="array" ref="C499">_xll.RssMarket(B499, "銘柄名称")</f>
        <v/>
      </c>
      <c r="D499" s="99">
        <f>IF(B499="","",HYPERLINK("https://kabutan.jp/stock/?code="&amp;B499,"株探"))</f>
        <v/>
      </c>
    </row>
    <row r="500" ht="20.1" customHeight="1" s="574">
      <c r="A500" s="101">
        <f>IF(B500="","",ROW()-5)</f>
        <v/>
      </c>
      <c r="B500" s="62" t="n"/>
      <c r="C500" s="98">
        <f t="array" ref="C500">_xll.RssMarket(B500, "銘柄名称")</f>
        <v/>
      </c>
      <c r="D500" s="99">
        <f>IF(B500="","",HYPERLINK("https://kabutan.jp/stock/?code="&amp;B500,"株探"))</f>
        <v/>
      </c>
    </row>
    <row r="501" ht="20.1" customHeight="1" s="574">
      <c r="A501" s="101">
        <f>IF(B501="","",ROW()-5)</f>
        <v/>
      </c>
      <c r="B501" s="62" t="n"/>
      <c r="C501" s="98">
        <f t="array" ref="C501">_xll.RssMarket(B501, "銘柄名称")</f>
        <v/>
      </c>
      <c r="D501" s="99">
        <f>IF(B501="","",HYPERLINK("https://kabutan.jp/stock/?code="&amp;B501,"株探"))</f>
        <v/>
      </c>
    </row>
    <row r="502" ht="20.1" customHeight="1" s="574">
      <c r="A502" s="101">
        <f>IF(B502="","",ROW()-5)</f>
        <v/>
      </c>
      <c r="B502" s="62" t="n"/>
      <c r="C502" s="98">
        <f t="array" ref="C502">_xll.RssMarket(B502, "銘柄名称")</f>
        <v/>
      </c>
      <c r="D502" s="99">
        <f>IF(B502="","",HYPERLINK("https://kabutan.jp/stock/?code="&amp;B502,"株探"))</f>
        <v/>
      </c>
    </row>
    <row r="503" ht="20.1" customHeight="1" s="574">
      <c r="A503" s="101">
        <f>IF(B503="","",ROW()-5)</f>
        <v/>
      </c>
      <c r="B503" s="62" t="n"/>
      <c r="C503" s="98">
        <f t="array" ref="C503">_xll.RssMarket(B503, "銘柄名称")</f>
        <v/>
      </c>
      <c r="D503" s="99">
        <f>IF(B503="","",HYPERLINK("https://kabutan.jp/stock/?code="&amp;B503,"株探"))</f>
        <v/>
      </c>
    </row>
    <row r="504" ht="20.1" customHeight="1" s="574">
      <c r="A504" s="101">
        <f>IF(B504="","",ROW()-5)</f>
        <v/>
      </c>
      <c r="B504" s="62" t="n"/>
      <c r="C504" s="98">
        <f t="array" ref="C504">_xll.RssMarket(B504, "銘柄名称")</f>
        <v/>
      </c>
      <c r="D504" s="99">
        <f>IF(B504="","",HYPERLINK("https://kabutan.jp/stock/?code="&amp;B504,"株探"))</f>
        <v/>
      </c>
    </row>
    <row r="505" ht="20.1" customHeight="1" s="574">
      <c r="A505" s="104">
        <f>IF(B505="","",ROW()-5)</f>
        <v/>
      </c>
      <c r="B505" s="63" t="n"/>
      <c r="C505" s="98">
        <f t="array" ref="C505">_xll.RssMarket(B505, "銘柄名称")</f>
        <v/>
      </c>
      <c r="D505" s="105">
        <f>IF(B505="","",HYPERLINK("https://kabutan.jp/stock/?code="&amp;B505,"株探"))</f>
        <v/>
      </c>
    </row>
  </sheetData>
  <mergeCells count="2">
    <mergeCell ref="A1:D1"/>
    <mergeCell ref="A2:D2"/>
  </mergeCells>
  <conditionalFormatting sqref="D5">
    <cfRule type="expression" priority="1" dxfId="26" stopIfTrue="1">
      <formula>$C$5&gt;$E$5</formula>
    </cfRule>
    <cfRule type="expression" priority="2" dxfId="40" stopIfTrue="1">
      <formula>$C$5&lt;$E$5</formula>
    </cfRule>
    <cfRule type="expression" priority="3" dxfId="39" stopIfTrue="1">
      <formula>$C$5=$E$5</formula>
    </cfRule>
  </conditionalFormatting>
  <pageMargins left="0.75" right="0.75" top="1" bottom="1" header="0.5" footer="0.5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8">
    <tabColor rgb="FF0078D7"/>
    <outlinePr summaryBelow="1" summaryRight="1"/>
    <pageSetUpPr/>
  </sheetPr>
  <dimension ref="A1:V504"/>
  <sheetViews>
    <sheetView zoomScale="97" zoomScaleNormal="97" workbookViewId="0">
      <pane ySplit="3" topLeftCell="A4" activePane="bottomLeft" state="frozen"/>
      <selection pane="bottomLeft" activeCell="O4" sqref="O4"/>
    </sheetView>
  </sheetViews>
  <sheetFormatPr baseColWidth="8" defaultRowHeight="13.5"/>
  <cols>
    <col width="13.625" bestFit="1" customWidth="1" style="574" min="1" max="1"/>
    <col width="7.125" bestFit="1" customWidth="1" style="574" min="2" max="2"/>
    <col width="16.875" bestFit="1" customWidth="1" style="574" min="3" max="3"/>
    <col width="23.375" bestFit="1" customWidth="1" style="574" min="4" max="4"/>
    <col width="11.75" bestFit="1" customWidth="1" style="574" min="5" max="5"/>
    <col width="10.875" bestFit="1" customWidth="1" style="574" min="6" max="7"/>
    <col width="17.125" bestFit="1" customWidth="1" style="574" min="8" max="8"/>
    <col width="12.375" bestFit="1" customWidth="1" style="574" min="9" max="9"/>
    <col width="18.875" bestFit="1" customWidth="1" style="574" min="10" max="10"/>
    <col width="17.625" bestFit="1" customWidth="1" style="574" min="11" max="11"/>
    <col width="18.625" bestFit="1" customWidth="1" style="574" min="12" max="12"/>
    <col width="10.875" bestFit="1" customWidth="1" style="574" min="13" max="13"/>
    <col width="17.25" bestFit="1" customWidth="1" style="574" min="14" max="14"/>
    <col width="17" bestFit="1" customWidth="1" style="574" min="15" max="16"/>
    <col width="10.5" bestFit="1" customWidth="1" style="574" min="17" max="17"/>
    <col width="169.375" bestFit="1" customWidth="1" style="574" min="18" max="18"/>
  </cols>
  <sheetData>
    <row r="1" ht="39.75" customHeight="1" s="574">
      <c r="A1" s="573" t="inlineStr">
        <is>
          <t>高精度買い抽出 v13</t>
        </is>
      </c>
    </row>
    <row r="2" ht="39.75" customHeight="1" s="574">
      <c r="A2" s="575" t="inlineStr">
        <is>
          <t>TOPIX: 下落▼ (0.00%) 【通常】　　最終更新: 2026/06/22 20:00　　買い抽出(スコア11以上・緩和)</t>
        </is>
      </c>
      <c r="B2" s="595" t="n"/>
      <c r="C2" s="595" t="n"/>
      <c r="D2" s="595" t="n"/>
      <c r="E2" s="595" t="n"/>
      <c r="F2" s="595" t="n"/>
      <c r="G2" s="595" t="n"/>
      <c r="H2" s="595" t="n"/>
      <c r="I2" s="595" t="n"/>
      <c r="J2" s="595" t="n"/>
      <c r="K2" s="595" t="n"/>
      <c r="L2" s="595" t="n"/>
      <c r="M2" s="595" t="n"/>
      <c r="N2" s="595" t="n"/>
      <c r="O2" s="595" t="n"/>
      <c r="P2" s="595" t="n"/>
      <c r="Q2" s="595" t="n"/>
      <c r="R2" s="595" t="n"/>
    </row>
    <row r="3" ht="39.75" customHeight="1" s="574">
      <c r="A3" s="470" t="inlineStr">
        <is>
          <t>株探</t>
        </is>
      </c>
      <c r="B3" s="470" t="inlineStr">
        <is>
          <t>メモ</t>
        </is>
      </c>
      <c r="C3" s="470" t="inlineStr">
        <is>
          <t>銘柄コード</t>
        </is>
      </c>
      <c r="D3" s="470" t="inlineStr">
        <is>
          <t>銘柄名称</t>
        </is>
      </c>
      <c r="E3" s="470" t="inlineStr">
        <is>
          <t>現在値</t>
        </is>
      </c>
      <c r="F3" s="470" t="inlineStr">
        <is>
          <t>高値</t>
        </is>
      </c>
      <c r="G3" s="470" t="inlineStr">
        <is>
          <t>安値</t>
        </is>
      </c>
      <c r="H3" s="470" t="inlineStr">
        <is>
          <t>出来高</t>
        </is>
      </c>
      <c r="I3" s="470" t="inlineStr">
        <is>
          <t>RSI(14)</t>
        </is>
      </c>
      <c r="J3" s="470" t="inlineStr">
        <is>
          <t>EMAトレンド</t>
        </is>
      </c>
      <c r="K3" s="470" t="inlineStr">
        <is>
          <t>押し目判定</t>
        </is>
      </c>
      <c r="L3" s="470" t="inlineStr">
        <is>
          <t>出来高倍率</t>
        </is>
      </c>
      <c r="M3" s="470" t="inlineStr">
        <is>
          <t>MACD</t>
        </is>
      </c>
      <c r="N3" s="470" t="inlineStr">
        <is>
          <t>高値更新</t>
        </is>
      </c>
      <c r="O3" s="470" t="inlineStr">
        <is>
          <t>利確ライン</t>
        </is>
      </c>
      <c r="P3" s="470" t="inlineStr">
        <is>
          <t>損切ライン</t>
        </is>
      </c>
      <c r="Q3" s="470" t="inlineStr">
        <is>
          <t>スコア</t>
        </is>
      </c>
      <c r="R3" s="470" t="inlineStr">
        <is>
          <t>シグナル内容</t>
        </is>
      </c>
      <c r="S3" s="471" t="n"/>
      <c r="T3" s="471" t="inlineStr">
        <is>
          <t>これはv13の設計通り</t>
        </is>
      </c>
      <c r="U3" s="471" t="n"/>
      <c r="V3" s="471" t="n"/>
    </row>
    <row r="4" ht="39.75" customFormat="1" customHeight="1" s="469">
      <c r="A4" s="560">
        <f>HYPERLINK("https://kabutan.jp/stock/?code="&amp;TEXT(C4,"0000"),"株探")</f>
        <v/>
      </c>
      <c r="B4" s="561" t="n"/>
      <c r="C4" s="596" t="n">
        <v>5332</v>
      </c>
      <c r="D4" s="563" t="n">
        <v>-5332</v>
      </c>
      <c r="E4" s="564" t="n">
        <v>9315</v>
      </c>
      <c r="F4" s="556" t="n">
        <v>9360</v>
      </c>
      <c r="G4" s="556" t="n">
        <v>8663</v>
      </c>
      <c r="H4" s="556" t="n">
        <v>3085400</v>
      </c>
      <c r="I4" s="555" t="n">
        <v>67.09999999999999</v>
      </c>
      <c r="J4" s="567" t="inlineStr">
        <is>
          <t>パーフェクト▲</t>
        </is>
      </c>
      <c r="K4" s="555" t="inlineStr">
        <is>
          <t>-</t>
        </is>
      </c>
      <c r="L4" s="555" t="n">
        <v>2</v>
      </c>
      <c r="M4" s="555" t="n">
        <v>178.83</v>
      </c>
      <c r="N4" s="555" t="inlineStr">
        <is>
          <t>-</t>
        </is>
      </c>
      <c r="O4" s="556" t="n">
        <v>9781</v>
      </c>
      <c r="P4" s="556" t="n">
        <v>9036</v>
      </c>
      <c r="Q4" s="568" t="n">
        <v>16</v>
      </c>
      <c r="R4" s="566" t="inlineStr">
        <is>
          <t xml:space="preserve">パーフェクト▲ 出来高増(2.0倍) MACD+ EMA12&gt;26 MACD&gt;Sig RSI&gt;50 [◎モメンタム完全] [Perfect5&gt;25&gt;75] [Vol急増陽線] [ADX=31] [Hist拡大] [対TOPIX勝 +11.03%] [大陽線▲+2] </t>
        </is>
      </c>
      <c r="S4" s="472" t="n"/>
      <c r="T4" s="472" t="n"/>
      <c r="U4" s="472" t="n"/>
      <c r="V4" s="472" t="n"/>
    </row>
    <row r="5" ht="39.75" customFormat="1" customHeight="1" s="469">
      <c r="A5" s="560">
        <f>HYPERLINK("https://kabutan.jp/stock/?code="&amp;TEXT(C5,"0000"),"株探")</f>
        <v/>
      </c>
      <c r="B5" s="561" t="n"/>
      <c r="C5" s="596" t="n">
        <v>9449</v>
      </c>
      <c r="D5" s="563" t="n">
        <v>-9449</v>
      </c>
      <c r="E5" s="564" t="n">
        <v>3542</v>
      </c>
      <c r="F5" s="556" t="n">
        <v>3576</v>
      </c>
      <c r="G5" s="556" t="n">
        <v>3407</v>
      </c>
      <c r="H5" s="556" t="n">
        <v>1729300</v>
      </c>
      <c r="I5" s="555" t="n">
        <v>18.4</v>
      </c>
      <c r="J5" s="567" t="inlineStr">
        <is>
          <t>パーフェクト▲</t>
        </is>
      </c>
      <c r="K5" s="555" t="inlineStr">
        <is>
          <t>-</t>
        </is>
      </c>
      <c r="L5" s="555" t="n">
        <v>2.7</v>
      </c>
      <c r="M5" s="555" t="n">
        <v>-13.67</v>
      </c>
      <c r="N5" s="555" t="inlineStr">
        <is>
          <t>-</t>
        </is>
      </c>
      <c r="O5" s="556" t="n">
        <v>3719</v>
      </c>
      <c r="P5" s="556" t="n">
        <v>3436</v>
      </c>
      <c r="Q5" s="568" t="n">
        <v>15</v>
      </c>
      <c r="R5" s="566" t="inlineStr">
        <is>
          <t xml:space="preserve">RSI売られ過ぎ パーフェクト▲ 出来高急増(2.7倍) EMA12&gt;26 [GC直近5日] [Perfect5&gt;25&gt;75] [Vol急増陽線] [対TOPIX勝 +18.07%] [大陽線▲+2] </t>
        </is>
      </c>
      <c r="S5" s="472" t="n"/>
      <c r="T5" s="472" t="n"/>
      <c r="U5" s="472" t="n"/>
      <c r="V5" s="472" t="n"/>
    </row>
    <row r="6" ht="39.75" customFormat="1" customHeight="1" s="469">
      <c r="A6" s="560">
        <f>HYPERLINK("https://kabutan.jp/stock/?code="&amp;TEXT(C6,"0000"),"株探")</f>
        <v/>
      </c>
      <c r="B6" s="561" t="n"/>
      <c r="C6" s="596" t="n">
        <v>6522</v>
      </c>
      <c r="D6" s="563" t="n">
        <v>-6522</v>
      </c>
      <c r="E6" s="564" t="n">
        <v>1161</v>
      </c>
      <c r="F6" s="556" t="n">
        <v>1279</v>
      </c>
      <c r="G6" s="556" t="n">
        <v>929</v>
      </c>
      <c r="H6" s="556" t="n">
        <v>6497200</v>
      </c>
      <c r="I6" s="555" t="n">
        <v>65.2</v>
      </c>
      <c r="J6" s="567" t="inlineStr">
        <is>
          <t>パーフェクト▲</t>
        </is>
      </c>
      <c r="K6" s="555" t="inlineStr">
        <is>
          <t>-</t>
        </is>
      </c>
      <c r="L6" s="555" t="n">
        <v>2.8</v>
      </c>
      <c r="M6" s="555" t="n">
        <v>-6.12</v>
      </c>
      <c r="N6" s="555" t="inlineStr">
        <is>
          <t>-</t>
        </is>
      </c>
      <c r="O6" s="556" t="n">
        <v>1219</v>
      </c>
      <c r="P6" s="556" t="n">
        <v>1126</v>
      </c>
      <c r="Q6" s="568" t="n">
        <v>15</v>
      </c>
      <c r="R6" s="566" t="inlineStr">
        <is>
          <t xml:space="preserve">パーフェクト▲ 出来高急増(2.8倍) MACD&gt;Sig RSI&gt;50 [○モメンタム部分] [GC直近5日] [Perfect5&gt;25&gt;75] [Vol急増陽線] [Hist拡大] [対TOPIX勝 +15.06%] [前日:大陽線▲+2] </t>
        </is>
      </c>
      <c r="S6" s="472" t="n"/>
      <c r="T6" s="472" t="n"/>
      <c r="U6" s="472" t="n"/>
      <c r="V6" s="472" t="n"/>
    </row>
    <row r="7" ht="39.75" customFormat="1" customHeight="1" s="469">
      <c r="A7" s="560">
        <f>HYPERLINK("https://kabutan.jp/stock/?code="&amp;TEXT(C7,"0000"),"株探")</f>
        <v/>
      </c>
      <c r="B7" s="561" t="n"/>
      <c r="C7" s="596" t="n">
        <v>1930</v>
      </c>
      <c r="D7" s="563" t="n">
        <v>-1930</v>
      </c>
      <c r="E7" s="564" t="n">
        <v>1725</v>
      </c>
      <c r="F7" s="556" t="n">
        <v>1725</v>
      </c>
      <c r="G7" s="556" t="n">
        <v>1689</v>
      </c>
      <c r="H7" s="556" t="n">
        <v>106300</v>
      </c>
      <c r="I7" s="555" t="n">
        <v>52.2</v>
      </c>
      <c r="J7" s="567" t="inlineStr">
        <is>
          <t>パーフェクト▲</t>
        </is>
      </c>
      <c r="K7" s="555" t="inlineStr">
        <is>
          <t>-</t>
        </is>
      </c>
      <c r="L7" s="555" t="n">
        <v>1.5</v>
      </c>
      <c r="M7" s="555" t="n">
        <v>0.62</v>
      </c>
      <c r="N7" s="555" t="inlineStr">
        <is>
          <t>-</t>
        </is>
      </c>
      <c r="O7" s="556" t="n">
        <v>1811</v>
      </c>
      <c r="P7" s="556" t="n">
        <v>1673</v>
      </c>
      <c r="Q7" s="568" t="n">
        <v>15</v>
      </c>
      <c r="R7" s="566" t="inlineStr">
        <is>
          <t xml:space="preserve">パーフェクト▲ 出来高増(1.5倍) MACD+ EMA12&gt;26 MACD&gt;Sig RSI&gt;50 [◎モメンタム完全] [GC直近5日] [Perfect5&gt;25&gt;75] [Vol急増陽線] [Hist拡大] [対TOPIX勝 +1.41%] </t>
        </is>
      </c>
      <c r="S7" s="472" t="n"/>
      <c r="T7" s="472" t="n"/>
      <c r="U7" s="472" t="n"/>
      <c r="V7" s="472" t="n"/>
    </row>
    <row r="8" ht="39.75" customFormat="1" customHeight="1" s="469">
      <c r="A8" s="560">
        <f>HYPERLINK("https://kabutan.jp/stock/?code="&amp;TEXT(C8,"0000"),"株探")</f>
        <v/>
      </c>
      <c r="B8" s="561" t="n"/>
      <c r="C8" s="596" t="n">
        <v>6254</v>
      </c>
      <c r="D8" s="563" t="n">
        <v>-6254</v>
      </c>
      <c r="E8" s="564" t="n">
        <v>5450</v>
      </c>
      <c r="F8" s="556" t="n">
        <v>5500</v>
      </c>
      <c r="G8" s="556" t="n">
        <v>4840</v>
      </c>
      <c r="H8" s="556" t="n">
        <v>1401700</v>
      </c>
      <c r="I8" s="555" t="n">
        <v>51.9</v>
      </c>
      <c r="J8" s="565" t="inlineStr">
        <is>
          <t>上昇トレンド▲</t>
        </is>
      </c>
      <c r="K8" s="555" t="inlineStr">
        <is>
          <t>-</t>
        </is>
      </c>
      <c r="L8" s="555" t="n">
        <v>1.4</v>
      </c>
      <c r="M8" s="555" t="n">
        <v>-0.18</v>
      </c>
      <c r="N8" s="555" t="inlineStr">
        <is>
          <t>-</t>
        </is>
      </c>
      <c r="O8" s="556" t="n">
        <v>5723</v>
      </c>
      <c r="P8" s="556" t="n">
        <v>5287</v>
      </c>
      <c r="Q8" s="555" t="n">
        <v>13</v>
      </c>
      <c r="R8" s="566" t="inlineStr">
        <is>
          <t xml:space="preserve">上昇▲ EMA12&gt;26 MACD&gt;Sig RSI&gt;50 [◎モメンタム完全] [GC直近5日] [Perfect5&gt;25&gt;75] [Vol急増陽線] [ADX=25] [Hist拡大] [対TOPIX勝 +13.42%] [大陽線▲+2] </t>
        </is>
      </c>
      <c r="S8" s="472" t="n"/>
      <c r="T8" s="472" t="n"/>
      <c r="U8" s="472" t="n"/>
      <c r="V8" s="472" t="n"/>
    </row>
    <row r="9" ht="39.75" customFormat="1" customHeight="1" s="469">
      <c r="A9" s="560">
        <f>HYPERLINK("https://kabutan.jp/stock/?code="&amp;TEXT(C9,"0000"),"株探")</f>
        <v/>
      </c>
      <c r="B9" s="561" t="n"/>
      <c r="C9" s="596" t="n">
        <v>3402</v>
      </c>
      <c r="D9" s="563" t="n">
        <v>-3402</v>
      </c>
      <c r="E9" s="564" t="n">
        <v>1171.5</v>
      </c>
      <c r="F9" s="556" t="n">
        <v>1172.5</v>
      </c>
      <c r="G9" s="556" t="n">
        <v>1145</v>
      </c>
      <c r="H9" s="556" t="n">
        <v>2476900</v>
      </c>
      <c r="I9" s="555" t="n">
        <v>53.5</v>
      </c>
      <c r="J9" s="567" t="inlineStr">
        <is>
          <t>パーフェクト▲</t>
        </is>
      </c>
      <c r="K9" s="555" t="inlineStr">
        <is>
          <t>-</t>
        </is>
      </c>
      <c r="L9" s="555" t="n">
        <v>0.6</v>
      </c>
      <c r="M9" s="555" t="n">
        <v>3.45</v>
      </c>
      <c r="N9" s="555" t="inlineStr">
        <is>
          <t>-</t>
        </is>
      </c>
      <c r="O9" s="556" t="n">
        <v>1230</v>
      </c>
      <c r="P9" s="556" t="n">
        <v>1136</v>
      </c>
      <c r="Q9" s="555" t="n">
        <v>13</v>
      </c>
      <c r="R9" s="566" t="inlineStr">
        <is>
          <t xml:space="preserve">パーフェクト▲ MACD+ EMA12&gt;26 MACD&gt;Sig RSI&gt;50 [◎モメンタム完全] [GC直近5日] [Perfect5&gt;25&gt;75] [Hist拡大] [対TOPIX勝 +1.08%] [大陽線▲+2] </t>
        </is>
      </c>
      <c r="S9" s="472" t="n"/>
      <c r="T9" s="472" t="n"/>
      <c r="U9" s="472" t="n"/>
      <c r="V9" s="472" t="n"/>
    </row>
    <row r="10" ht="39.75" customFormat="1" customHeight="1" s="469">
      <c r="A10" s="560">
        <f>HYPERLINK("https://kabutan.jp/stock/?code="&amp;TEXT(C10,"0000"),"株探")</f>
        <v/>
      </c>
      <c r="B10" s="561" t="n"/>
      <c r="C10" s="596" t="n">
        <v>2802</v>
      </c>
      <c r="D10" s="563" t="n">
        <v>-2802</v>
      </c>
      <c r="E10" s="564" t="n">
        <v>6160</v>
      </c>
      <c r="F10" s="556" t="n">
        <v>6166</v>
      </c>
      <c r="G10" s="556" t="n">
        <v>5719</v>
      </c>
      <c r="H10" s="556" t="n">
        <v>7787100</v>
      </c>
      <c r="I10" s="555" t="n">
        <v>66.40000000000001</v>
      </c>
      <c r="J10" s="565" t="inlineStr">
        <is>
          <t>上昇トレンド▲</t>
        </is>
      </c>
      <c r="K10" s="555" t="inlineStr">
        <is>
          <t>-</t>
        </is>
      </c>
      <c r="L10" s="555" t="n">
        <v>1</v>
      </c>
      <c r="M10" s="555" t="n">
        <v>29.34</v>
      </c>
      <c r="N10" s="555" t="inlineStr">
        <is>
          <t>-</t>
        </is>
      </c>
      <c r="O10" s="556" t="n">
        <v>6468</v>
      </c>
      <c r="P10" s="556" t="n">
        <v>5975</v>
      </c>
      <c r="Q10" s="555" t="n">
        <v>13</v>
      </c>
      <c r="R10" s="566" t="inlineStr">
        <is>
          <t xml:space="preserve">上昇▲ MACD+ EMA12&gt;26 MACD&gt;Sig RSI&gt;50 [◎モメンタム完全] [GC直近5日] [Perfect5&gt;25&gt;75] [ADX=26] [Hist拡大] [対TOPIX勝 +6.39%] [大陽線▲+2] </t>
        </is>
      </c>
      <c r="S10" s="472" t="n"/>
      <c r="T10" s="472" t="n"/>
      <c r="U10" s="472" t="n"/>
      <c r="V10" s="472" t="n"/>
    </row>
    <row r="11" ht="39.75" customFormat="1" customHeight="1" s="469">
      <c r="A11" s="560">
        <f>HYPERLINK("https://kabutan.jp/stock/?code="&amp;TEXT(C11,"0000"),"株探")</f>
        <v/>
      </c>
      <c r="B11" s="561" t="n"/>
      <c r="C11" s="596" t="n">
        <v>6327</v>
      </c>
      <c r="D11" s="563" t="n">
        <v>-6327</v>
      </c>
      <c r="E11" s="564" t="n">
        <v>6190</v>
      </c>
      <c r="F11" s="556" t="n">
        <v>6190</v>
      </c>
      <c r="G11" s="556" t="n">
        <v>5360</v>
      </c>
      <c r="H11" s="556" t="n">
        <v>920600</v>
      </c>
      <c r="I11" s="555" t="n">
        <v>51.5</v>
      </c>
      <c r="J11" s="567" t="inlineStr">
        <is>
          <t>パーフェクト▲</t>
        </is>
      </c>
      <c r="K11" s="555" t="inlineStr">
        <is>
          <t>-</t>
        </is>
      </c>
      <c r="L11" s="555" t="n">
        <v>0.9</v>
      </c>
      <c r="M11" s="555" t="n">
        <v>120.12</v>
      </c>
      <c r="N11" s="555" t="inlineStr">
        <is>
          <t>-</t>
        </is>
      </c>
      <c r="O11" s="556" t="n">
        <v>6500</v>
      </c>
      <c r="P11" s="556" t="n">
        <v>6004</v>
      </c>
      <c r="Q11" s="555" t="n">
        <v>13</v>
      </c>
      <c r="R11" s="566" t="inlineStr">
        <is>
          <t xml:space="preserve">パーフェクト▲ MACD+ EMA12&gt;26 MACD&gt;Sig RSI&gt;50 [◎モメンタム完全] [GC直近5日] [Perfect5&gt;25&gt;75] [ADX=42] [Hist拡大] [対TOPIX勝 +19.27%] [長い下ヒゲ+1] </t>
        </is>
      </c>
      <c r="S11" s="472" t="n"/>
      <c r="T11" s="472" t="n"/>
      <c r="U11" s="472" t="n"/>
      <c r="V11" s="472" t="n"/>
    </row>
    <row r="12" ht="39.75" customFormat="1" customHeight="1" s="469">
      <c r="A12" s="560">
        <f>HYPERLINK("https://kabutan.jp/stock/?code="&amp;TEXT(C12,"0000"),"株探")</f>
        <v/>
      </c>
      <c r="B12" s="561" t="n"/>
      <c r="C12" s="596" t="n">
        <v>6890</v>
      </c>
      <c r="D12" s="563" t="n">
        <v>-6890</v>
      </c>
      <c r="E12" s="564" t="n">
        <v>11590</v>
      </c>
      <c r="F12" s="556" t="n">
        <v>11700</v>
      </c>
      <c r="G12" s="556" t="n">
        <v>10470</v>
      </c>
      <c r="H12" s="556" t="n">
        <v>1397000</v>
      </c>
      <c r="I12" s="555" t="n">
        <v>66.5</v>
      </c>
      <c r="J12" s="565" t="inlineStr">
        <is>
          <t>上昇トレンド▲</t>
        </is>
      </c>
      <c r="K12" s="555" t="inlineStr">
        <is>
          <t>-</t>
        </is>
      </c>
      <c r="L12" s="555" t="n">
        <v>1.3</v>
      </c>
      <c r="M12" s="555" t="n">
        <v>152.67</v>
      </c>
      <c r="N12" s="555" t="inlineStr">
        <is>
          <t>-</t>
        </is>
      </c>
      <c r="O12" s="556" t="n">
        <v>12170</v>
      </c>
      <c r="P12" s="556" t="n">
        <v>11242</v>
      </c>
      <c r="Q12" s="555" t="n">
        <v>13</v>
      </c>
      <c r="R12" s="566" t="inlineStr">
        <is>
          <t xml:space="preserve">上昇▲ MACD+ EMA12&gt;26 MACD&gt;Sig RSI&gt;50 [◎モメンタム完全] [GC直近5日] [Perfect5&gt;25&gt;75] [ADX=27] [Hist拡大] [対TOPIX勝 +10.70%] [大陽線▲+2] </t>
        </is>
      </c>
      <c r="S12" s="472" t="n"/>
      <c r="T12" s="472" t="n"/>
      <c r="U12" s="472" t="n"/>
      <c r="V12" s="472" t="n"/>
    </row>
    <row r="13" ht="39.75" customFormat="1" customHeight="1" s="469">
      <c r="A13" s="560">
        <f>HYPERLINK("https://kabutan.jp/stock/?code="&amp;TEXT(C13,"0000"),"株探")</f>
        <v/>
      </c>
      <c r="B13" s="561" t="n"/>
      <c r="C13" s="596" t="n">
        <v>5801</v>
      </c>
      <c r="D13" s="563" t="n">
        <v>-5801</v>
      </c>
      <c r="E13" s="564" t="n">
        <v>58000</v>
      </c>
      <c r="F13" s="556" t="n">
        <v>58790</v>
      </c>
      <c r="G13" s="556" t="n">
        <v>54280</v>
      </c>
      <c r="H13" s="556" t="n">
        <v>6108300</v>
      </c>
      <c r="I13" s="555" t="n">
        <v>52.4</v>
      </c>
      <c r="J13" s="565" t="inlineStr">
        <is>
          <t>上昇トレンド▲</t>
        </is>
      </c>
      <c r="K13" s="555" t="inlineStr">
        <is>
          <t>-</t>
        </is>
      </c>
      <c r="L13" s="555" t="n">
        <v>1.8</v>
      </c>
      <c r="M13" s="555" t="n">
        <v>-605.47</v>
      </c>
      <c r="N13" s="555" t="inlineStr">
        <is>
          <t>-</t>
        </is>
      </c>
      <c r="O13" s="556" t="n">
        <v>60900</v>
      </c>
      <c r="P13" s="556" t="n">
        <v>56260</v>
      </c>
      <c r="Q13" s="555" t="n">
        <v>13</v>
      </c>
      <c r="R13" s="566" t="inlineStr">
        <is>
          <t xml:space="preserve">上昇▲ 出来高増(1.8倍) EMA12&gt;26 MACD&gt;Sig RSI&gt;50 [◎モメンタム完全] [GC直近5日] [Perfect5&gt;25&gt;75] [Hist拡大] [対TOPIX勝 +8.70%] [大陽線▲+2] [前日:長い下ヒゲ+1] </t>
        </is>
      </c>
      <c r="S13" s="472" t="n"/>
      <c r="T13" s="472" t="n"/>
      <c r="U13" s="472" t="n"/>
      <c r="V13" s="472" t="n"/>
    </row>
    <row r="14" ht="39.75" customFormat="1" customHeight="1" s="469">
      <c r="A14" s="560">
        <f>HYPERLINK("https://kabutan.jp/stock/?code="&amp;TEXT(C14,"0000"),"株探")</f>
        <v/>
      </c>
      <c r="B14" s="561" t="n"/>
      <c r="C14" s="596" t="n">
        <v>5423</v>
      </c>
      <c r="D14" s="563" t="n">
        <v>-5423</v>
      </c>
      <c r="E14" s="564" t="n">
        <v>1799</v>
      </c>
      <c r="F14" s="556" t="n">
        <v>1807</v>
      </c>
      <c r="G14" s="556" t="n">
        <v>1763</v>
      </c>
      <c r="H14" s="556" t="n">
        <v>238800</v>
      </c>
      <c r="I14" s="555" t="n">
        <v>60.9</v>
      </c>
      <c r="J14" s="565" t="inlineStr">
        <is>
          <t>上昇トレンド▲</t>
        </is>
      </c>
      <c r="K14" s="555" t="inlineStr">
        <is>
          <t>-</t>
        </is>
      </c>
      <c r="L14" s="555" t="n">
        <v>0.7</v>
      </c>
      <c r="M14" s="555" t="n">
        <v>1.76</v>
      </c>
      <c r="N14" s="555" t="inlineStr">
        <is>
          <t>-</t>
        </is>
      </c>
      <c r="O14" s="556" t="n">
        <v>1889</v>
      </c>
      <c r="P14" s="556" t="n">
        <v>1745</v>
      </c>
      <c r="Q14" s="555" t="n">
        <v>12</v>
      </c>
      <c r="R14" s="566" t="inlineStr">
        <is>
          <t xml:space="preserve">上昇▲ MACD+ EMA12&gt;26 MACD&gt;Sig RSI&gt;50 [◎モメンタム完全] [GC直近5日] [Perfect5&gt;25&gt;75] [Hist拡大] [対TOPIX勝 +2.16%] [大陽線▲+2] </t>
        </is>
      </c>
      <c r="S14" s="472" t="n"/>
      <c r="T14" s="472" t="n"/>
      <c r="U14" s="472" t="n"/>
      <c r="V14" s="472" t="n"/>
    </row>
    <row r="15" ht="39.75" customFormat="1" customHeight="1" s="469">
      <c r="A15" s="560">
        <f>HYPERLINK("https://kabutan.jp/stock/?code="&amp;TEXT(C15,"0000"),"株探")</f>
        <v/>
      </c>
      <c r="B15" s="561" t="n"/>
      <c r="C15" s="596" t="n">
        <v>8411</v>
      </c>
      <c r="D15" s="563" t="n">
        <v>-8411</v>
      </c>
      <c r="E15" s="564" t="n">
        <v>8043</v>
      </c>
      <c r="F15" s="556" t="n">
        <v>8067</v>
      </c>
      <c r="G15" s="556" t="n">
        <v>7808</v>
      </c>
      <c r="H15" s="556" t="n">
        <v>6803400</v>
      </c>
      <c r="I15" s="555" t="n">
        <v>72.40000000000001</v>
      </c>
      <c r="J15" s="567" t="inlineStr">
        <is>
          <t>パーフェクト▲</t>
        </is>
      </c>
      <c r="K15" s="555" t="inlineStr">
        <is>
          <t>-</t>
        </is>
      </c>
      <c r="L15" s="555" t="n">
        <v>0.6</v>
      </c>
      <c r="M15" s="555" t="n">
        <v>106.77</v>
      </c>
      <c r="N15" s="555" t="inlineStr">
        <is>
          <t>-</t>
        </is>
      </c>
      <c r="O15" s="556" t="n">
        <v>8445</v>
      </c>
      <c r="P15" s="556" t="n">
        <v>7802</v>
      </c>
      <c r="Q15" s="555" t="n">
        <v>11</v>
      </c>
      <c r="R15" s="566" t="inlineStr">
        <is>
          <t xml:space="preserve">RSI過熱 パーフェクト▲ MACD+ EMA12&gt;26 MACD&gt;Sig RSI&gt;50 [◎モメンタム完全] [Perfect5&gt;25&gt;75] [ADX=30] [Hist拡大] [対TOPIX勝 +2.02%] [大陽線▲+2] </t>
        </is>
      </c>
      <c r="S15" s="472" t="n"/>
      <c r="T15" s="472" t="n"/>
      <c r="U15" s="472" t="n"/>
      <c r="V15" s="472" t="n"/>
    </row>
    <row r="16" ht="39.75" customFormat="1" customHeight="1" s="469">
      <c r="A16" s="560">
        <f>HYPERLINK("https://kabutan.jp/stock/?code="&amp;TEXT(C16,"0000"),"株探")</f>
        <v/>
      </c>
      <c r="B16" s="561" t="n"/>
      <c r="C16" s="596" t="n">
        <v>8795</v>
      </c>
      <c r="D16" s="563" t="n">
        <v>-8795</v>
      </c>
      <c r="E16" s="564" t="n">
        <v>4984</v>
      </c>
      <c r="F16" s="556" t="n">
        <v>4984</v>
      </c>
      <c r="G16" s="556" t="n">
        <v>4801</v>
      </c>
      <c r="H16" s="556" t="n">
        <v>1584300</v>
      </c>
      <c r="I16" s="555" t="n">
        <v>78.09999999999999</v>
      </c>
      <c r="J16" s="567" t="inlineStr">
        <is>
          <t>パーフェクト▲</t>
        </is>
      </c>
      <c r="K16" s="555" t="inlineStr">
        <is>
          <t>-</t>
        </is>
      </c>
      <c r="L16" s="555" t="n">
        <v>0.8</v>
      </c>
      <c r="M16" s="555" t="n">
        <v>103.94</v>
      </c>
      <c r="N16" s="555" t="inlineStr">
        <is>
          <t>-</t>
        </is>
      </c>
      <c r="O16" s="556" t="n">
        <v>5233</v>
      </c>
      <c r="P16" s="556" t="n">
        <v>4834</v>
      </c>
      <c r="Q16" s="555" t="n">
        <v>11</v>
      </c>
      <c r="R16" s="566" t="inlineStr">
        <is>
          <t xml:space="preserve">RSI過熱 パーフェクト▲ MACD+ EMA12&gt;26 MACD&gt;Sig RSI&gt;50 [◎モメンタム完全] [Perfect5&gt;25&gt;75] [ADX=33] [Hist拡大] [対TOPIX勝 +1.84%] [大陽線▲+2] </t>
        </is>
      </c>
      <c r="S16" s="472" t="n"/>
      <c r="T16" s="472" t="n"/>
      <c r="U16" s="472" t="n"/>
      <c r="V16" s="472" t="n"/>
    </row>
    <row r="17" ht="39.75" customFormat="1" customHeight="1" s="469">
      <c r="A17" s="560">
        <f>HYPERLINK("https://kabutan.jp/stock/?code="&amp;TEXT(C17,"0000"),"株探")</f>
        <v/>
      </c>
      <c r="B17" s="561" t="n"/>
      <c r="C17" s="596" t="n">
        <v>8309</v>
      </c>
      <c r="D17" s="563" t="n">
        <v>-8309</v>
      </c>
      <c r="E17" s="564" t="n">
        <v>6213</v>
      </c>
      <c r="F17" s="556" t="n">
        <v>6218</v>
      </c>
      <c r="G17" s="556" t="n">
        <v>5990</v>
      </c>
      <c r="H17" s="556" t="n">
        <v>2043100</v>
      </c>
      <c r="I17" s="555" t="n">
        <v>80</v>
      </c>
      <c r="J17" s="567" t="inlineStr">
        <is>
          <t>パーフェクト▲</t>
        </is>
      </c>
      <c r="K17" s="555" t="inlineStr">
        <is>
          <t>-</t>
        </is>
      </c>
      <c r="L17" s="555" t="n">
        <v>0.7</v>
      </c>
      <c r="M17" s="555" t="n">
        <v>68.79000000000001</v>
      </c>
      <c r="N17" s="555" t="inlineStr">
        <is>
          <t>-</t>
        </is>
      </c>
      <c r="O17" s="556" t="n">
        <v>6524</v>
      </c>
      <c r="P17" s="556" t="n">
        <v>6027</v>
      </c>
      <c r="Q17" s="555" t="n">
        <v>11</v>
      </c>
      <c r="R17" s="566" t="inlineStr">
        <is>
          <t xml:space="preserve">RSI過熱 パーフェクト▲ MACD+ EMA12&gt;26 MACD&gt;Sig RSI&gt;50 [◎モメンタム完全] [Perfect5&gt;25&gt;75] [ADX=29] [Hist拡大] [対TOPIX勝 +2.47%] [大陽線▲+2] </t>
        </is>
      </c>
      <c r="S17" s="472" t="n"/>
      <c r="T17" s="472" t="n"/>
      <c r="U17" s="472" t="n"/>
      <c r="V17" s="472" t="n"/>
    </row>
    <row r="18" ht="39.75" customFormat="1" customHeight="1" s="469">
      <c r="A18" s="560">
        <f>HYPERLINK("https://kabutan.jp/stock/?code="&amp;TEXT(C18,"0000"),"株探")</f>
        <v/>
      </c>
      <c r="B18" s="561" t="n"/>
      <c r="C18" s="596" t="n">
        <v>8308</v>
      </c>
      <c r="D18" s="563" t="n">
        <v>-8308</v>
      </c>
      <c r="E18" s="564" t="n">
        <v>2230</v>
      </c>
      <c r="F18" s="556" t="n">
        <v>2238.5</v>
      </c>
      <c r="G18" s="556" t="n">
        <v>2150</v>
      </c>
      <c r="H18" s="556" t="n">
        <v>7169400</v>
      </c>
      <c r="I18" s="555" t="n">
        <v>74.5</v>
      </c>
      <c r="J18" s="567" t="inlineStr">
        <is>
          <t>パーフェクト▲</t>
        </is>
      </c>
      <c r="K18" s="555" t="inlineStr">
        <is>
          <t>-</t>
        </is>
      </c>
      <c r="L18" s="555" t="n">
        <v>0.6</v>
      </c>
      <c r="M18" s="555" t="n">
        <v>16.95</v>
      </c>
      <c r="N18" s="555" t="inlineStr">
        <is>
          <t>-</t>
        </is>
      </c>
      <c r="O18" s="556" t="n">
        <v>2342</v>
      </c>
      <c r="P18" s="556" t="n">
        <v>2163</v>
      </c>
      <c r="Q18" s="555" t="n">
        <v>11</v>
      </c>
      <c r="R18" s="566" t="inlineStr">
        <is>
          <t xml:space="preserve">RSI過熱 パーフェクト▲ MACD+ EMA12&gt;26 MACD&gt;Sig RSI&gt;50 [◎モメンタム完全] [Perfect5&gt;25&gt;75] [ADX=25] [Hist拡大] [対TOPIX勝 +1.55%] [大陽線▲+2] </t>
        </is>
      </c>
      <c r="S18" s="472" t="n"/>
      <c r="T18" s="472" t="n"/>
      <c r="U18" s="472" t="n"/>
      <c r="V18" s="472" t="n"/>
    </row>
    <row r="19" ht="39.75" customFormat="1" customHeight="1" s="469">
      <c r="A19" s="560">
        <f>HYPERLINK("https://kabutan.jp/stock/?code="&amp;TEXT(C19,"0000"),"株探")</f>
        <v/>
      </c>
      <c r="B19" s="561" t="n"/>
      <c r="C19" s="596" t="n">
        <v>8306</v>
      </c>
      <c r="D19" s="563" t="n">
        <v>-8306</v>
      </c>
      <c r="E19" s="564" t="n">
        <v>3333</v>
      </c>
      <c r="F19" s="556" t="n">
        <v>3335</v>
      </c>
      <c r="G19" s="556" t="n">
        <v>3239</v>
      </c>
      <c r="H19" s="556" t="n">
        <v>26077100</v>
      </c>
      <c r="I19" s="555" t="n">
        <v>80.7</v>
      </c>
      <c r="J19" s="567" t="inlineStr">
        <is>
          <t>パーフェクト▲</t>
        </is>
      </c>
      <c r="K19" s="555" t="inlineStr">
        <is>
          <t>-</t>
        </is>
      </c>
      <c r="L19" s="555" t="n">
        <v>0.6</v>
      </c>
      <c r="M19" s="555" t="n">
        <v>35.99</v>
      </c>
      <c r="N19" s="555" t="inlineStr">
        <is>
          <t>-</t>
        </is>
      </c>
      <c r="O19" s="556" t="n">
        <v>3500</v>
      </c>
      <c r="P19" s="556" t="n">
        <v>3233</v>
      </c>
      <c r="Q19" s="555" t="n">
        <v>11</v>
      </c>
      <c r="R19" s="566" t="inlineStr">
        <is>
          <t xml:space="preserve">RSI過熱 パーフェクト▲ MACD+ EMA12&gt;26 MACD&gt;Sig RSI&gt;50 [◎モメンタム完全] [Perfect5&gt;25&gt;75] [ADX=34] [Hist拡大] [対TOPIX勝 +1.68%] [大陽線▲+2] </t>
        </is>
      </c>
      <c r="S19" s="472" t="n"/>
      <c r="T19" s="472" t="n"/>
      <c r="U19" s="472" t="n"/>
      <c r="V19" s="472" t="n"/>
    </row>
    <row r="20" ht="39.75" customFormat="1" customHeight="1" s="469">
      <c r="A20" s="560">
        <f>HYPERLINK("https://kabutan.jp/stock/?code="&amp;TEXT(C20,"0000"),"株探")</f>
        <v/>
      </c>
      <c r="B20" s="561" t="n"/>
      <c r="C20" s="596" t="n">
        <v>5901</v>
      </c>
      <c r="D20" s="563" t="n">
        <v>-5901</v>
      </c>
      <c r="E20" s="564" t="n">
        <v>4121</v>
      </c>
      <c r="F20" s="556" t="n">
        <v>4175</v>
      </c>
      <c r="G20" s="556" t="n">
        <v>4076</v>
      </c>
      <c r="H20" s="556" t="n">
        <v>172600</v>
      </c>
      <c r="I20" s="555" t="n">
        <v>66.5</v>
      </c>
      <c r="J20" s="567" t="inlineStr">
        <is>
          <t>パーフェクト▲</t>
        </is>
      </c>
      <c r="K20" s="555" t="inlineStr">
        <is>
          <t>-</t>
        </is>
      </c>
      <c r="L20" s="555" t="n">
        <v>0.6</v>
      </c>
      <c r="M20" s="555" t="n">
        <v>14.74</v>
      </c>
      <c r="N20" s="555" t="inlineStr">
        <is>
          <t>-</t>
        </is>
      </c>
      <c r="O20" s="556" t="n">
        <v>4327</v>
      </c>
      <c r="P20" s="556" t="n">
        <v>3997</v>
      </c>
      <c r="Q20" s="555" t="n">
        <v>11</v>
      </c>
      <c r="R20" s="566" t="inlineStr">
        <is>
          <t xml:space="preserve">パーフェクト▲ MACD+ EMA12&gt;26 MACD&gt;Sig RSI&gt;50 [◎モメンタム完全] [Perfect5&gt;25&gt;75] [ADX=30] [Hist拡大] [前日:大陽線▲+2] </t>
        </is>
      </c>
      <c r="S20" s="472" t="n"/>
      <c r="T20" s="472" t="n"/>
      <c r="U20" s="472" t="n"/>
      <c r="V20" s="472" t="n"/>
    </row>
    <row r="21" ht="39.75" customFormat="1" customHeight="1" s="469">
      <c r="A21" s="560">
        <f>HYPERLINK("https://kabutan.jp/stock/?code="&amp;TEXT(C21,"0000"),"株探")</f>
        <v/>
      </c>
      <c r="B21" s="561" t="n"/>
      <c r="C21" s="596" t="n">
        <v>4980</v>
      </c>
      <c r="D21" s="563" t="n">
        <v>-4980</v>
      </c>
      <c r="E21" s="564" t="n">
        <v>4931</v>
      </c>
      <c r="F21" s="556" t="n">
        <v>5099</v>
      </c>
      <c r="G21" s="556" t="n">
        <v>4872</v>
      </c>
      <c r="H21" s="556" t="n">
        <v>1976600</v>
      </c>
      <c r="I21" s="555" t="n">
        <v>65.40000000000001</v>
      </c>
      <c r="J21" s="567" t="inlineStr">
        <is>
          <t>パーフェクト▲</t>
        </is>
      </c>
      <c r="K21" s="555" t="inlineStr">
        <is>
          <t>-</t>
        </is>
      </c>
      <c r="L21" s="555" t="n">
        <v>0.8</v>
      </c>
      <c r="M21" s="555" t="n">
        <v>74.36</v>
      </c>
      <c r="N21" s="555" t="inlineStr">
        <is>
          <t>-</t>
        </is>
      </c>
      <c r="O21" s="556" t="n">
        <v>5178</v>
      </c>
      <c r="P21" s="556" t="n">
        <v>4783</v>
      </c>
      <c r="Q21" s="555" t="n">
        <v>11</v>
      </c>
      <c r="R21" s="566" t="inlineStr">
        <is>
          <t xml:space="preserve">パーフェクト▲ MACD+ EMA12&gt;26 MACD&gt;Sig RSI&gt;50 [◎モメンタム完全] [Perfect5&gt;25&gt;75] [ADX=33] [Hist拡大] [対TOPIX勝 +1.48%] [前日:長い下ヒゲ+1] </t>
        </is>
      </c>
      <c r="S21" s="472" t="n"/>
      <c r="T21" s="472" t="n"/>
      <c r="U21" s="472" t="n"/>
      <c r="V21" s="472" t="n"/>
    </row>
    <row r="22" ht="39.75" customFormat="1" customHeight="1" s="469">
      <c r="A22" s="560">
        <f>HYPERLINK("https://kabutan.jp/stock/?code="&amp;TEXT(C22,"0000"),"株探")</f>
        <v/>
      </c>
      <c r="B22" s="561" t="n"/>
      <c r="C22" s="596" t="n">
        <v>6841</v>
      </c>
      <c r="D22" s="563" t="n">
        <v>-6841</v>
      </c>
      <c r="E22" s="564" t="n">
        <v>5698</v>
      </c>
      <c r="F22" s="556" t="n">
        <v>5740</v>
      </c>
      <c r="G22" s="556" t="n">
        <v>5412</v>
      </c>
      <c r="H22" s="556" t="n">
        <v>1471400</v>
      </c>
      <c r="I22" s="555" t="n">
        <v>64.7</v>
      </c>
      <c r="J22" s="567" t="inlineStr">
        <is>
          <t>パーフェクト▲</t>
        </is>
      </c>
      <c r="K22" s="555" t="inlineStr">
        <is>
          <t>-</t>
        </is>
      </c>
      <c r="L22" s="555" t="n">
        <v>1.1</v>
      </c>
      <c r="M22" s="555" t="n">
        <v>52.12</v>
      </c>
      <c r="N22" s="555" t="inlineStr">
        <is>
          <t>-</t>
        </is>
      </c>
      <c r="O22" s="556" t="n">
        <v>5983</v>
      </c>
      <c r="P22" s="556" t="n">
        <v>5527</v>
      </c>
      <c r="Q22" s="555" t="n">
        <v>11</v>
      </c>
      <c r="R22" s="566" t="inlineStr">
        <is>
          <t xml:space="preserve">パーフェクト▲ MACD+ EMA12&gt;26 MACD&gt;Sig RSI&gt;50 [◎モメンタム完全] [GC直近5日] [Hist拡大] [対TOPIX勝 +5.34%] [大陽線▲+2] </t>
        </is>
      </c>
      <c r="S22" s="472" t="n"/>
      <c r="T22" s="472" t="n"/>
      <c r="U22" s="472" t="n"/>
      <c r="V22" s="472" t="n"/>
    </row>
    <row r="23" ht="39.75" customFormat="1" customHeight="1" s="469">
      <c r="A23" s="560">
        <f>HYPERLINK("https://kabutan.jp/stock/?code="&amp;TEXT(C23,"0000"),"株探")</f>
        <v/>
      </c>
      <c r="B23" s="561" t="n"/>
      <c r="C23" s="596" t="n">
        <v>4008</v>
      </c>
      <c r="D23" s="563" t="n">
        <v>-4008</v>
      </c>
      <c r="E23" s="564" t="n">
        <v>1330</v>
      </c>
      <c r="F23" s="556" t="n">
        <v>1342</v>
      </c>
      <c r="G23" s="556" t="n">
        <v>1325</v>
      </c>
      <c r="H23" s="556" t="n">
        <v>181800</v>
      </c>
      <c r="I23" s="555" t="n">
        <v>50.7</v>
      </c>
      <c r="J23" s="567" t="inlineStr">
        <is>
          <t>パーフェクト▲</t>
        </is>
      </c>
      <c r="K23" s="555" t="inlineStr">
        <is>
          <t>-</t>
        </is>
      </c>
      <c r="L23" s="555" t="n">
        <v>1</v>
      </c>
      <c r="M23" s="555" t="n">
        <v>3.94</v>
      </c>
      <c r="N23" s="555" t="inlineStr">
        <is>
          <t>-</t>
        </is>
      </c>
      <c r="O23" s="556" t="n">
        <v>1397</v>
      </c>
      <c r="P23" s="556" t="n">
        <v>1290</v>
      </c>
      <c r="Q23" s="555" t="n">
        <v>11</v>
      </c>
      <c r="R23" s="566" t="inlineStr">
        <is>
          <t xml:space="preserve">パーフェクト▲ MACD+ EMA12&gt;26 MACD&gt;Sig RSI&gt;50 [◎モメンタム完全] [Perfect5&gt;25&gt;75] [Hist拡大] [対TOPIX勝 +0.23%] [前日:下ヒゲ陽線●+2] </t>
        </is>
      </c>
      <c r="S23" s="472" t="n"/>
      <c r="T23" s="472" t="n"/>
      <c r="U23" s="472" t="n"/>
      <c r="V23" s="472" t="n"/>
    </row>
    <row r="24" ht="39.75" customFormat="1" customHeight="1" s="469">
      <c r="A24" s="560">
        <f>HYPERLINK("https://kabutan.jp/stock/?code="&amp;TEXT(C24,"0000"),"株探")</f>
        <v/>
      </c>
      <c r="B24" s="561" t="n"/>
      <c r="C24" s="596" t="n">
        <v>4182</v>
      </c>
      <c r="D24" s="563" t="n">
        <v>-4182</v>
      </c>
      <c r="E24" s="564" t="n">
        <v>5665</v>
      </c>
      <c r="F24" s="556" t="n">
        <v>5738</v>
      </c>
      <c r="G24" s="556" t="n">
        <v>5418</v>
      </c>
      <c r="H24" s="556" t="n">
        <v>1178000</v>
      </c>
      <c r="I24" s="555" t="n">
        <v>50.7</v>
      </c>
      <c r="J24" s="567" t="inlineStr">
        <is>
          <t>パーフェクト▲</t>
        </is>
      </c>
      <c r="K24" s="555" t="inlineStr">
        <is>
          <t>-</t>
        </is>
      </c>
      <c r="L24" s="555" t="n">
        <v>0.8</v>
      </c>
      <c r="M24" s="555" t="n">
        <v>-0.82</v>
      </c>
      <c r="N24" s="555" t="inlineStr">
        <is>
          <t>-</t>
        </is>
      </c>
      <c r="O24" s="556" t="n">
        <v>5948</v>
      </c>
      <c r="P24" s="556" t="n">
        <v>5495</v>
      </c>
      <c r="Q24" s="555" t="n">
        <v>11</v>
      </c>
      <c r="R24" s="566" t="inlineStr">
        <is>
          <t xml:space="preserve">パーフェクト▲ EMA12&gt;26 MACD&gt;Sig RSI&gt;50 [◎モメンタム完全] [GC直近5日] [Perfect5&gt;25&gt;75] [Hist拡大] [対TOPIX勝 +4.44%] [大陽線▲+2] </t>
        </is>
      </c>
      <c r="S24" s="472" t="n"/>
      <c r="T24" s="472" t="n"/>
      <c r="U24" s="472" t="n"/>
      <c r="V24" s="472" t="n"/>
    </row>
    <row r="25" ht="39.75" customFormat="1" customHeight="1" s="469">
      <c r="A25" s="560">
        <f>HYPERLINK("https://kabutan.jp/stock/?code="&amp;TEXT(C25,"0000"),"株探")</f>
        <v/>
      </c>
      <c r="B25" s="561" t="n"/>
      <c r="C25" s="596" t="n">
        <v>5802</v>
      </c>
      <c r="D25" s="563" t="n">
        <v>-5802</v>
      </c>
      <c r="E25" s="564" t="n">
        <v>13500</v>
      </c>
      <c r="F25" s="556" t="n">
        <v>13940</v>
      </c>
      <c r="G25" s="556" t="n">
        <v>13245</v>
      </c>
      <c r="H25" s="556" t="n">
        <v>5864600</v>
      </c>
      <c r="I25" s="555" t="n">
        <v>58.2</v>
      </c>
      <c r="J25" s="567" t="inlineStr">
        <is>
          <t>パーフェクト▲</t>
        </is>
      </c>
      <c r="K25" s="555" t="inlineStr">
        <is>
          <t>-</t>
        </is>
      </c>
      <c r="L25" s="555" t="n">
        <v>0.8</v>
      </c>
      <c r="M25" s="555" t="n">
        <v>81.19</v>
      </c>
      <c r="N25" s="555" t="inlineStr">
        <is>
          <t>-</t>
        </is>
      </c>
      <c r="O25" s="556" t="n">
        <v>14175</v>
      </c>
      <c r="P25" s="556" t="n">
        <v>13095</v>
      </c>
      <c r="Q25" s="555" t="n">
        <v>11</v>
      </c>
      <c r="R25" s="566" t="inlineStr">
        <is>
          <t xml:space="preserve">パーフェクト▲ MACD+ EMA12&gt;26 MACD&gt;Sig RSI&gt;50 [◎モメンタム完全] [GC直近5日] [Perfect5&gt;25&gt;75] [Hist拡大] [対TOPIX勝 +0.11%] </t>
        </is>
      </c>
      <c r="S25" s="472" t="n"/>
      <c r="T25" s="472" t="n"/>
      <c r="U25" s="472" t="n"/>
      <c r="V25" s="472" t="n"/>
    </row>
    <row r="26" ht="39.75" customFormat="1" customHeight="1" s="469">
      <c r="A26" s="560">
        <f>HYPERLINK("https://kabutan.jp/stock/?code="&amp;TEXT(C26,"0000"),"株探")</f>
        <v/>
      </c>
      <c r="B26" s="561" t="n"/>
      <c r="C26" s="596" t="n">
        <v>6857</v>
      </c>
      <c r="D26" s="563" t="n">
        <v>-6857</v>
      </c>
      <c r="E26" s="564" t="n">
        <v>32170</v>
      </c>
      <c r="F26" s="556" t="n">
        <v>32600</v>
      </c>
      <c r="G26" s="556" t="n">
        <v>31120</v>
      </c>
      <c r="H26" s="556" t="n">
        <v>5949900</v>
      </c>
      <c r="I26" s="555" t="n">
        <v>66.40000000000001</v>
      </c>
      <c r="J26" s="567" t="inlineStr">
        <is>
          <t>パーフェクト▲</t>
        </is>
      </c>
      <c r="K26" s="555" t="inlineStr">
        <is>
          <t>-</t>
        </is>
      </c>
      <c r="L26" s="555" t="n">
        <v>0.7</v>
      </c>
      <c r="M26" s="555" t="n">
        <v>448.58</v>
      </c>
      <c r="N26" s="555" t="inlineStr">
        <is>
          <t>-</t>
        </is>
      </c>
      <c r="O26" s="556" t="n">
        <v>33779</v>
      </c>
      <c r="P26" s="556" t="n">
        <v>31205</v>
      </c>
      <c r="Q26" s="555" t="n">
        <v>11</v>
      </c>
      <c r="R26" s="566" t="inlineStr">
        <is>
          <t xml:space="preserve">パーフェクト▲ MACD+ EMA12&gt;26 MACD&gt;Sig RSI&gt;50 [◎モメンタム完全] [GC直近5日] [Perfect5&gt;25&gt;75] [Hist拡大] [対TOPIX勝 +1.35%] </t>
        </is>
      </c>
      <c r="S26" s="472" t="n"/>
      <c r="T26" s="472" t="n"/>
      <c r="U26" s="472" t="n"/>
      <c r="V26" s="472" t="n"/>
    </row>
    <row r="27" ht="39.75" customFormat="1" customHeight="1" s="469">
      <c r="A27" s="560">
        <f>HYPERLINK("https://kabutan.jp/stock/?code="&amp;TEXT(C27,"0000"),"株探")</f>
        <v/>
      </c>
      <c r="B27" s="561" t="n"/>
      <c r="C27" s="596" t="n">
        <v>8704</v>
      </c>
      <c r="D27" s="563" t="n">
        <v>-8704</v>
      </c>
      <c r="E27" s="564" t="n">
        <v>1217</v>
      </c>
      <c r="F27" s="556" t="n">
        <v>1221</v>
      </c>
      <c r="G27" s="556" t="n">
        <v>1155</v>
      </c>
      <c r="H27" s="556" t="n">
        <v>130500</v>
      </c>
      <c r="I27" s="555" t="n">
        <v>52.2</v>
      </c>
      <c r="J27" s="567" t="inlineStr">
        <is>
          <t>パーフェクト▲</t>
        </is>
      </c>
      <c r="K27" s="555" t="inlineStr">
        <is>
          <t>-</t>
        </is>
      </c>
      <c r="L27" s="555" t="n">
        <v>1.3</v>
      </c>
      <c r="M27" s="555" t="n">
        <v>-0.83</v>
      </c>
      <c r="N27" s="555" t="inlineStr">
        <is>
          <t>-</t>
        </is>
      </c>
      <c r="O27" s="556" t="n">
        <v>1278</v>
      </c>
      <c r="P27" s="556" t="n">
        <v>1180</v>
      </c>
      <c r="Q27" s="555" t="n">
        <v>11</v>
      </c>
      <c r="R27" s="566" t="inlineStr">
        <is>
          <t xml:space="preserve">パーフェクト▲ EMA12&gt;26 MACD&gt;Sig RSI&gt;50 [◎モメンタム完全] [GC直近5日] [Perfect5&gt;25&gt;75] [Hist拡大] [対TOPIX勝 +4.82%] [大陽線▲+2] </t>
        </is>
      </c>
      <c r="S27" s="472" t="n"/>
      <c r="T27" s="472" t="n"/>
      <c r="U27" s="472" t="n"/>
      <c r="V27" s="472" t="n"/>
    </row>
    <row r="28" ht="39.75" customFormat="1" customHeight="1" s="469">
      <c r="A28" s="560">
        <f>HYPERLINK("https://kabutan.jp/stock/?code="&amp;TEXT(C28,"0000"),"株探")</f>
        <v/>
      </c>
      <c r="B28" s="561" t="n"/>
      <c r="C28" s="596" t="n">
        <v>6506</v>
      </c>
      <c r="D28" s="563" t="n">
        <v>-6506</v>
      </c>
      <c r="E28" s="564" t="n">
        <v>7655</v>
      </c>
      <c r="F28" s="556" t="n">
        <v>7915</v>
      </c>
      <c r="G28" s="556" t="n">
        <v>7295</v>
      </c>
      <c r="H28" s="556" t="n">
        <v>7748400</v>
      </c>
      <c r="I28" s="555" t="n">
        <v>49.9</v>
      </c>
      <c r="J28" s="565" t="inlineStr">
        <is>
          <t>上昇トレンド▲</t>
        </is>
      </c>
      <c r="K28" s="555" t="inlineStr">
        <is>
          <t>-</t>
        </is>
      </c>
      <c r="L28" s="555" t="n">
        <v>1.5</v>
      </c>
      <c r="M28" s="555" t="n">
        <v>-11.97</v>
      </c>
      <c r="N28" s="555" t="inlineStr">
        <is>
          <t>-</t>
        </is>
      </c>
      <c r="O28" s="556" t="n">
        <v>8038</v>
      </c>
      <c r="P28" s="556" t="n">
        <v>7425</v>
      </c>
      <c r="Q28" s="555" t="n">
        <v>11</v>
      </c>
      <c r="R28" s="566" t="inlineStr">
        <is>
          <t xml:space="preserve">上昇▲ 出来高増(1.5倍) EMA12&gt;26 MACD&gt;Sig [○モメンタム部分] [GC直近5日] [Perfect5&gt;25&gt;75] [Vol急増陽線] [Hist拡大] [対TOPIX勝 +7.39%] </t>
        </is>
      </c>
      <c r="S28" s="472" t="n"/>
      <c r="T28" s="472" t="n"/>
      <c r="U28" s="472" t="n"/>
      <c r="V28" s="472" t="n"/>
    </row>
    <row r="29" ht="39.75" customFormat="1" customHeight="1" s="469">
      <c r="A29" s="557" t="n"/>
      <c r="B29" s="555" t="n"/>
      <c r="C29" s="555" t="n"/>
      <c r="D29" s="555" t="n"/>
      <c r="E29" s="555" t="n"/>
      <c r="F29" s="555" t="n"/>
      <c r="G29" s="555" t="n"/>
      <c r="H29" s="555" t="n"/>
      <c r="I29" s="555" t="n"/>
      <c r="J29" s="555" t="n"/>
      <c r="K29" s="555" t="n"/>
      <c r="L29" s="555" t="n"/>
      <c r="M29" s="555" t="n"/>
      <c r="N29" s="555" t="n"/>
      <c r="O29" s="555" t="n"/>
      <c r="P29" s="555" t="n"/>
      <c r="Q29" s="555" t="n"/>
      <c r="R29" s="555" t="n"/>
      <c r="S29" s="472" t="n"/>
      <c r="T29" s="472" t="n"/>
      <c r="U29" s="472" t="n"/>
      <c r="V29" s="472" t="n"/>
    </row>
    <row r="30" ht="39.75" customFormat="1" customHeight="1" s="469">
      <c r="A30" s="557" t="n"/>
      <c r="B30" s="555" t="n"/>
      <c r="C30" s="555" t="n"/>
      <c r="D30" s="555" t="n"/>
      <c r="E30" s="555" t="n"/>
      <c r="F30" s="555" t="n"/>
      <c r="G30" s="555" t="n"/>
      <c r="H30" s="555" t="n"/>
      <c r="I30" s="555" t="n"/>
      <c r="J30" s="555" t="n"/>
      <c r="K30" s="555" t="n"/>
      <c r="L30" s="555" t="n"/>
      <c r="M30" s="555" t="n"/>
      <c r="N30" s="555" t="n"/>
      <c r="O30" s="555" t="n"/>
      <c r="P30" s="555" t="n"/>
      <c r="Q30" s="555" t="n"/>
      <c r="R30" s="555" t="n"/>
      <c r="S30" s="472" t="n"/>
      <c r="T30" s="472" t="n"/>
      <c r="U30" s="472" t="n"/>
      <c r="V30" s="472" t="n"/>
    </row>
    <row r="31" ht="39.75" customFormat="1" customHeight="1" s="469">
      <c r="A31" s="557" t="n"/>
      <c r="B31" s="555" t="n"/>
      <c r="C31" s="555" t="n"/>
      <c r="D31" s="555" t="n"/>
      <c r="E31" s="555" t="n"/>
      <c r="F31" s="555" t="n"/>
      <c r="G31" s="555" t="n"/>
      <c r="H31" s="555" t="n"/>
      <c r="I31" s="555" t="n"/>
      <c r="J31" s="555" t="n"/>
      <c r="K31" s="555" t="n"/>
      <c r="L31" s="555" t="n"/>
      <c r="M31" s="555" t="n"/>
      <c r="N31" s="555" t="n"/>
      <c r="O31" s="555" t="n"/>
      <c r="P31" s="555" t="n"/>
      <c r="Q31" s="555" t="n"/>
      <c r="R31" s="555" t="n"/>
      <c r="S31" s="472" t="n"/>
      <c r="T31" s="472" t="n"/>
      <c r="U31" s="472" t="n"/>
      <c r="V31" s="472" t="n"/>
    </row>
    <row r="32" ht="39.75" customFormat="1" customHeight="1" s="469">
      <c r="A32" s="557" t="n"/>
      <c r="B32" s="555" t="n"/>
      <c r="C32" s="555" t="n"/>
      <c r="D32" s="555" t="n"/>
      <c r="E32" s="555" t="n"/>
      <c r="F32" s="555" t="n"/>
      <c r="G32" s="555" t="n"/>
      <c r="H32" s="555" t="n"/>
      <c r="I32" s="555" t="n"/>
      <c r="J32" s="555" t="n"/>
      <c r="K32" s="555" t="n"/>
      <c r="L32" s="555" t="n"/>
      <c r="M32" s="555" t="n"/>
      <c r="N32" s="555" t="n"/>
      <c r="O32" s="555" t="n"/>
      <c r="P32" s="555" t="n"/>
      <c r="Q32" s="555" t="n"/>
      <c r="R32" s="555" t="n"/>
      <c r="S32" s="472" t="n"/>
      <c r="T32" s="472" t="n"/>
      <c r="U32" s="472" t="n"/>
      <c r="V32" s="472" t="n"/>
    </row>
    <row r="33" ht="39.75" customFormat="1" customHeight="1" s="469">
      <c r="A33" s="557" t="n"/>
      <c r="B33" s="555" t="n"/>
      <c r="C33" s="555" t="n"/>
      <c r="D33" s="555" t="n"/>
      <c r="E33" s="555" t="n"/>
      <c r="F33" s="555" t="n"/>
      <c r="G33" s="555" t="n"/>
      <c r="H33" s="555" t="n"/>
      <c r="I33" s="555" t="n"/>
      <c r="J33" s="555" t="n"/>
      <c r="K33" s="555" t="n"/>
      <c r="L33" s="555" t="n"/>
      <c r="M33" s="555" t="n"/>
      <c r="N33" s="555" t="n"/>
      <c r="O33" s="555" t="n"/>
      <c r="P33" s="555" t="n"/>
      <c r="Q33" s="555" t="n"/>
      <c r="R33" s="555" t="n"/>
      <c r="S33" s="472" t="n"/>
      <c r="T33" s="472" t="n"/>
      <c r="U33" s="472" t="n"/>
      <c r="V33" s="472" t="n"/>
    </row>
    <row r="34" ht="39.75" customFormat="1" customHeight="1" s="469">
      <c r="A34" s="557" t="n"/>
      <c r="B34" s="555" t="n"/>
      <c r="C34" s="555" t="n"/>
      <c r="D34" s="555" t="n"/>
      <c r="E34" s="555" t="n"/>
      <c r="F34" s="555" t="n"/>
      <c r="G34" s="555" t="n"/>
      <c r="H34" s="555" t="n"/>
      <c r="I34" s="555" t="n"/>
      <c r="J34" s="555" t="n"/>
      <c r="K34" s="555" t="n"/>
      <c r="L34" s="555" t="n"/>
      <c r="M34" s="555" t="n"/>
      <c r="N34" s="555" t="n"/>
      <c r="O34" s="555" t="n"/>
      <c r="P34" s="555" t="n"/>
      <c r="Q34" s="555" t="n"/>
      <c r="R34" s="555" t="n"/>
      <c r="S34" s="472" t="n"/>
      <c r="T34" s="472" t="n"/>
      <c r="U34" s="472" t="n"/>
      <c r="V34" s="472" t="n"/>
    </row>
    <row r="35" ht="39.75" customFormat="1" customHeight="1" s="469">
      <c r="A35" s="557" t="n"/>
      <c r="B35" s="555" t="n"/>
      <c r="C35" s="555" t="n"/>
      <c r="D35" s="555" t="n"/>
      <c r="E35" s="555" t="n"/>
      <c r="F35" s="555" t="n"/>
      <c r="G35" s="555" t="n"/>
      <c r="H35" s="555" t="n"/>
      <c r="I35" s="555" t="n"/>
      <c r="J35" s="555" t="n"/>
      <c r="K35" s="555" t="n"/>
      <c r="L35" s="555" t="n"/>
      <c r="M35" s="555" t="n"/>
      <c r="N35" s="555" t="n"/>
      <c r="O35" s="555" t="n"/>
      <c r="P35" s="555" t="n"/>
      <c r="Q35" s="555" t="n"/>
      <c r="R35" s="555" t="n"/>
      <c r="S35" s="472" t="n"/>
      <c r="T35" s="472" t="n"/>
      <c r="U35" s="472" t="n"/>
      <c r="V35" s="472" t="n"/>
    </row>
    <row r="36" ht="39.75" customFormat="1" customHeight="1" s="469">
      <c r="A36" s="557" t="n"/>
      <c r="B36" s="555" t="n"/>
      <c r="C36" s="555" t="n"/>
      <c r="D36" s="555" t="n"/>
      <c r="E36" s="555" t="n"/>
      <c r="F36" s="555" t="n"/>
      <c r="G36" s="555" t="n"/>
      <c r="H36" s="555" t="n"/>
      <c r="I36" s="555" t="n"/>
      <c r="J36" s="555" t="n"/>
      <c r="K36" s="555" t="n"/>
      <c r="L36" s="555" t="n"/>
      <c r="M36" s="555" t="n"/>
      <c r="N36" s="555" t="n"/>
      <c r="O36" s="555" t="n"/>
      <c r="P36" s="555" t="n"/>
      <c r="Q36" s="555" t="n"/>
      <c r="R36" s="555" t="n"/>
      <c r="S36" s="472" t="n"/>
      <c r="T36" s="472" t="n"/>
      <c r="U36" s="472" t="n"/>
      <c r="V36" s="472" t="n"/>
    </row>
    <row r="37" ht="39.75" customFormat="1" customHeight="1" s="469">
      <c r="A37" s="557" t="n"/>
      <c r="B37" s="555" t="n"/>
      <c r="C37" s="555" t="n"/>
      <c r="D37" s="555" t="n"/>
      <c r="E37" s="555" t="n"/>
      <c r="F37" s="555" t="n"/>
      <c r="G37" s="555" t="n"/>
      <c r="H37" s="555" t="n"/>
      <c r="I37" s="555" t="n"/>
      <c r="J37" s="555" t="n"/>
      <c r="K37" s="555" t="n"/>
      <c r="L37" s="555" t="n"/>
      <c r="M37" s="555" t="n"/>
      <c r="N37" s="555" t="n"/>
      <c r="O37" s="555" t="n"/>
      <c r="P37" s="555" t="n"/>
      <c r="Q37" s="555" t="n"/>
      <c r="R37" s="555" t="n"/>
      <c r="S37" s="472" t="n"/>
      <c r="T37" s="472" t="n"/>
      <c r="U37" s="472" t="n"/>
      <c r="V37" s="472" t="n"/>
    </row>
    <row r="38" ht="39.75" customFormat="1" customHeight="1" s="469">
      <c r="A38" s="557" t="n"/>
      <c r="B38" s="555" t="n"/>
      <c r="C38" s="555" t="n"/>
      <c r="D38" s="555" t="n"/>
      <c r="E38" s="555" t="n"/>
      <c r="F38" s="555" t="n"/>
      <c r="G38" s="555" t="n"/>
      <c r="H38" s="555" t="n"/>
      <c r="I38" s="555" t="n"/>
      <c r="J38" s="555" t="n"/>
      <c r="K38" s="555" t="n"/>
      <c r="L38" s="555" t="n"/>
      <c r="M38" s="555" t="n"/>
      <c r="N38" s="555" t="n"/>
      <c r="O38" s="555" t="n"/>
      <c r="P38" s="555" t="n"/>
      <c r="Q38" s="555" t="n"/>
      <c r="R38" s="555" t="n"/>
      <c r="S38" s="472" t="n"/>
      <c r="T38" s="472" t="n"/>
      <c r="U38" s="472" t="n"/>
      <c r="V38" s="472" t="n"/>
    </row>
    <row r="39" ht="39.75" customFormat="1" customHeight="1" s="469">
      <c r="A39" s="557" t="n"/>
      <c r="B39" s="555" t="n"/>
      <c r="C39" s="555" t="n"/>
      <c r="D39" s="555" t="n"/>
      <c r="E39" s="555" t="n"/>
      <c r="F39" s="555" t="n"/>
      <c r="G39" s="555" t="n"/>
      <c r="H39" s="555" t="n"/>
      <c r="I39" s="555" t="n"/>
      <c r="J39" s="555" t="n"/>
      <c r="K39" s="555" t="n"/>
      <c r="L39" s="555" t="n"/>
      <c r="M39" s="555" t="n"/>
      <c r="N39" s="555" t="n"/>
      <c r="O39" s="555" t="n"/>
      <c r="P39" s="555" t="n"/>
      <c r="Q39" s="555" t="n"/>
      <c r="R39" s="555" t="n"/>
      <c r="S39" s="472" t="n"/>
      <c r="T39" s="472" t="n"/>
      <c r="U39" s="472" t="n"/>
      <c r="V39" s="472" t="n"/>
    </row>
    <row r="40" ht="39.75" customFormat="1" customHeight="1" s="469">
      <c r="A40" s="557" t="n"/>
      <c r="B40" s="555" t="n"/>
      <c r="C40" s="555" t="n"/>
      <c r="D40" s="555" t="n"/>
      <c r="E40" s="555" t="n"/>
      <c r="F40" s="555" t="n"/>
      <c r="G40" s="555" t="n"/>
      <c r="H40" s="555" t="n"/>
      <c r="I40" s="555" t="n"/>
      <c r="J40" s="555" t="n"/>
      <c r="K40" s="555" t="n"/>
      <c r="L40" s="555" t="n"/>
      <c r="M40" s="555" t="n"/>
      <c r="N40" s="555" t="n"/>
      <c r="O40" s="555" t="n"/>
      <c r="P40" s="555" t="n"/>
      <c r="Q40" s="555" t="n"/>
      <c r="R40" s="555" t="n"/>
      <c r="S40" s="472" t="n"/>
      <c r="T40" s="472" t="n"/>
      <c r="U40" s="472" t="n"/>
      <c r="V40" s="472" t="n"/>
    </row>
    <row r="41" ht="39.75" customFormat="1" customHeight="1" s="469">
      <c r="A41" s="557" t="n"/>
      <c r="B41" s="555" t="n"/>
      <c r="C41" s="555" t="n"/>
      <c r="D41" s="555" t="n"/>
      <c r="E41" s="555" t="n"/>
      <c r="F41" s="555" t="n"/>
      <c r="G41" s="555" t="n"/>
      <c r="H41" s="555" t="n"/>
      <c r="I41" s="555" t="n"/>
      <c r="J41" s="555" t="n"/>
      <c r="K41" s="555" t="n"/>
      <c r="L41" s="555" t="n"/>
      <c r="M41" s="555" t="n"/>
      <c r="N41" s="555" t="n"/>
      <c r="O41" s="555" t="n"/>
      <c r="P41" s="555" t="n"/>
      <c r="Q41" s="555" t="n"/>
      <c r="R41" s="555" t="n"/>
      <c r="S41" s="472" t="n"/>
      <c r="T41" s="472" t="n"/>
      <c r="U41" s="472" t="n"/>
      <c r="V41" s="472" t="n"/>
    </row>
    <row r="42" ht="39.75" customFormat="1" customHeight="1" s="469">
      <c r="A42" s="557" t="n"/>
      <c r="B42" s="555" t="n"/>
      <c r="C42" s="555" t="n"/>
      <c r="D42" s="555" t="n"/>
      <c r="E42" s="555" t="n"/>
      <c r="F42" s="555" t="n"/>
      <c r="G42" s="555" t="n"/>
      <c r="H42" s="555" t="n"/>
      <c r="I42" s="555" t="n"/>
      <c r="J42" s="555" t="n"/>
      <c r="K42" s="555" t="n"/>
      <c r="L42" s="555" t="n"/>
      <c r="M42" s="555" t="n"/>
      <c r="N42" s="555" t="n"/>
      <c r="O42" s="555" t="n"/>
      <c r="P42" s="555" t="n"/>
      <c r="Q42" s="555" t="n"/>
      <c r="R42" s="555" t="n"/>
      <c r="S42" s="472" t="n"/>
      <c r="T42" s="472" t="n"/>
      <c r="U42" s="472" t="n"/>
      <c r="V42" s="472" t="n"/>
    </row>
    <row r="43" ht="39.75" customFormat="1" customHeight="1" s="469">
      <c r="A43" s="557" t="n"/>
      <c r="B43" s="555" t="n"/>
      <c r="C43" s="555" t="n"/>
      <c r="D43" s="555" t="n"/>
      <c r="E43" s="555" t="n"/>
      <c r="F43" s="555" t="n"/>
      <c r="G43" s="555" t="n"/>
      <c r="H43" s="555" t="n"/>
      <c r="I43" s="555" t="n"/>
      <c r="J43" s="555" t="n"/>
      <c r="K43" s="555" t="n"/>
      <c r="L43" s="555" t="n"/>
      <c r="M43" s="555" t="n"/>
      <c r="N43" s="555" t="n"/>
      <c r="O43" s="555" t="n"/>
      <c r="P43" s="555" t="n"/>
      <c r="Q43" s="555" t="n"/>
      <c r="R43" s="555" t="n"/>
      <c r="S43" s="472" t="n"/>
      <c r="T43" s="472" t="n"/>
      <c r="U43" s="472" t="n"/>
      <c r="V43" s="472" t="n"/>
    </row>
    <row r="44" ht="39.75" customFormat="1" customHeight="1" s="469">
      <c r="A44" s="557" t="n"/>
      <c r="B44" s="555" t="n"/>
      <c r="C44" s="555" t="n"/>
      <c r="D44" s="555" t="n"/>
      <c r="E44" s="555" t="n"/>
      <c r="F44" s="555" t="n"/>
      <c r="G44" s="555" t="n"/>
      <c r="H44" s="555" t="n"/>
      <c r="I44" s="555" t="n"/>
      <c r="J44" s="555" t="n"/>
      <c r="K44" s="555" t="n"/>
      <c r="L44" s="555" t="n"/>
      <c r="M44" s="555" t="n"/>
      <c r="N44" s="555" t="n"/>
      <c r="O44" s="555" t="n"/>
      <c r="P44" s="555" t="n"/>
      <c r="Q44" s="555" t="n"/>
      <c r="R44" s="555" t="n"/>
      <c r="S44" s="472" t="n"/>
      <c r="T44" s="472" t="n"/>
      <c r="U44" s="472" t="n"/>
      <c r="V44" s="472" t="n"/>
    </row>
    <row r="45" ht="39.75" customFormat="1" customHeight="1" s="469">
      <c r="A45" s="557" t="n"/>
      <c r="B45" s="555" t="n"/>
      <c r="C45" s="555" t="n"/>
      <c r="D45" s="555" t="n"/>
      <c r="E45" s="555" t="n"/>
      <c r="F45" s="555" t="n"/>
      <c r="G45" s="555" t="n"/>
      <c r="H45" s="555" t="n"/>
      <c r="I45" s="555" t="n"/>
      <c r="J45" s="555" t="n"/>
      <c r="K45" s="555" t="n"/>
      <c r="L45" s="555" t="n"/>
      <c r="M45" s="555" t="n"/>
      <c r="N45" s="555" t="n"/>
      <c r="O45" s="555" t="n"/>
      <c r="P45" s="555" t="n"/>
      <c r="Q45" s="555" t="n"/>
      <c r="R45" s="555" t="n"/>
      <c r="S45" s="472" t="n"/>
      <c r="T45" s="472" t="n"/>
      <c r="U45" s="472" t="n"/>
      <c r="V45" s="472" t="n"/>
    </row>
    <row r="46" ht="39.75" customFormat="1" customHeight="1" s="469">
      <c r="A46" s="557" t="n"/>
      <c r="B46" s="555" t="n"/>
      <c r="C46" s="555" t="n"/>
      <c r="D46" s="555" t="n"/>
      <c r="E46" s="555" t="n"/>
      <c r="F46" s="555" t="n"/>
      <c r="G46" s="555" t="n"/>
      <c r="H46" s="555" t="n"/>
      <c r="I46" s="555" t="n"/>
      <c r="J46" s="555" t="n"/>
      <c r="K46" s="555" t="n"/>
      <c r="L46" s="555" t="n"/>
      <c r="M46" s="555" t="n"/>
      <c r="N46" s="555" t="n"/>
      <c r="O46" s="555" t="n"/>
      <c r="P46" s="555" t="n"/>
      <c r="Q46" s="555" t="n"/>
      <c r="R46" s="555" t="n"/>
      <c r="S46" s="472" t="n"/>
      <c r="T46" s="472" t="n"/>
      <c r="U46" s="472" t="n"/>
      <c r="V46" s="472" t="n"/>
    </row>
    <row r="47" ht="39.75" customFormat="1" customHeight="1" s="469">
      <c r="A47" s="557" t="n"/>
      <c r="B47" s="555" t="n"/>
      <c r="C47" s="555" t="n"/>
      <c r="D47" s="555" t="n"/>
      <c r="E47" s="555" t="n"/>
      <c r="F47" s="555" t="n"/>
      <c r="G47" s="555" t="n"/>
      <c r="H47" s="555" t="n"/>
      <c r="I47" s="555" t="n"/>
      <c r="J47" s="555" t="n"/>
      <c r="K47" s="555" t="n"/>
      <c r="L47" s="555" t="n"/>
      <c r="M47" s="555" t="n"/>
      <c r="N47" s="555" t="n"/>
      <c r="O47" s="555" t="n"/>
      <c r="P47" s="555" t="n"/>
      <c r="Q47" s="555" t="n"/>
      <c r="R47" s="555" t="n"/>
      <c r="S47" s="472" t="n"/>
      <c r="T47" s="472" t="n"/>
      <c r="U47" s="472" t="n"/>
      <c r="V47" s="472" t="n"/>
    </row>
    <row r="48" ht="39.75" customFormat="1" customHeight="1" s="469">
      <c r="A48" s="557" t="n"/>
      <c r="B48" s="555" t="n"/>
      <c r="C48" s="555" t="n"/>
      <c r="D48" s="555" t="n"/>
      <c r="E48" s="555" t="n"/>
      <c r="F48" s="555" t="n"/>
      <c r="G48" s="555" t="n"/>
      <c r="H48" s="555" t="n"/>
      <c r="I48" s="555" t="n"/>
      <c r="J48" s="555" t="n"/>
      <c r="K48" s="555" t="n"/>
      <c r="L48" s="555" t="n"/>
      <c r="M48" s="555" t="n"/>
      <c r="N48" s="555" t="n"/>
      <c r="O48" s="555" t="n"/>
      <c r="P48" s="555" t="n"/>
      <c r="Q48" s="555" t="n"/>
      <c r="R48" s="555" t="n"/>
      <c r="S48" s="472" t="n"/>
      <c r="T48" s="472" t="n"/>
      <c r="U48" s="472" t="n"/>
      <c r="V48" s="472" t="n"/>
    </row>
    <row r="49" ht="39.75" customFormat="1" customHeight="1" s="469">
      <c r="A49" s="557" t="n"/>
      <c r="B49" s="555" t="n"/>
      <c r="C49" s="555" t="n"/>
      <c r="D49" s="555" t="n"/>
      <c r="E49" s="555" t="n"/>
      <c r="F49" s="555" t="n"/>
      <c r="G49" s="555" t="n"/>
      <c r="H49" s="555" t="n"/>
      <c r="I49" s="555" t="n"/>
      <c r="J49" s="555" t="n"/>
      <c r="K49" s="555" t="n"/>
      <c r="L49" s="555" t="n"/>
      <c r="M49" s="555" t="n"/>
      <c r="N49" s="555" t="n"/>
      <c r="O49" s="555" t="n"/>
      <c r="P49" s="555" t="n"/>
      <c r="Q49" s="555" t="n"/>
      <c r="R49" s="555" t="n"/>
      <c r="S49" s="472" t="n"/>
      <c r="T49" s="472" t="n"/>
      <c r="U49" s="472" t="n"/>
      <c r="V49" s="472" t="n"/>
    </row>
    <row r="50" ht="39.75" customFormat="1" customHeight="1" s="469">
      <c r="A50" s="557" t="n"/>
      <c r="B50" s="555" t="n"/>
      <c r="C50" s="555" t="n"/>
      <c r="D50" s="555" t="n"/>
      <c r="E50" s="555" t="n"/>
      <c r="F50" s="555" t="n"/>
      <c r="G50" s="555" t="n"/>
      <c r="H50" s="555" t="n"/>
      <c r="I50" s="555" t="n"/>
      <c r="J50" s="555" t="n"/>
      <c r="K50" s="555" t="n"/>
      <c r="L50" s="555" t="n"/>
      <c r="M50" s="555" t="n"/>
      <c r="N50" s="555" t="n"/>
      <c r="O50" s="555" t="n"/>
      <c r="P50" s="555" t="n"/>
      <c r="Q50" s="555" t="n"/>
      <c r="R50" s="555" t="n"/>
      <c r="S50" s="472" t="n"/>
      <c r="T50" s="472" t="n"/>
      <c r="U50" s="472" t="n"/>
      <c r="V50" s="472" t="n"/>
    </row>
    <row r="51" ht="39.75" customFormat="1" customHeight="1" s="469">
      <c r="A51" s="557" t="n"/>
      <c r="B51" s="555" t="n"/>
      <c r="C51" s="555" t="n"/>
      <c r="D51" s="555" t="n"/>
      <c r="E51" s="555" t="n"/>
      <c r="F51" s="555" t="n"/>
      <c r="G51" s="555" t="n"/>
      <c r="H51" s="555" t="n"/>
      <c r="I51" s="555" t="n"/>
      <c r="J51" s="555" t="n"/>
      <c r="K51" s="555" t="n"/>
      <c r="L51" s="555" t="n"/>
      <c r="M51" s="555" t="n"/>
      <c r="N51" s="555" t="n"/>
      <c r="O51" s="555" t="n"/>
      <c r="P51" s="555" t="n"/>
      <c r="Q51" s="555" t="n"/>
      <c r="R51" s="555" t="n"/>
      <c r="S51" s="472" t="n"/>
      <c r="T51" s="472" t="n"/>
      <c r="U51" s="472" t="n"/>
      <c r="V51" s="472" t="n"/>
    </row>
    <row r="52" ht="39.75" customFormat="1" customHeight="1" s="469">
      <c r="A52" s="557" t="n"/>
      <c r="B52" s="555" t="n"/>
      <c r="C52" s="555" t="n"/>
      <c r="D52" s="555" t="n"/>
      <c r="E52" s="555" t="n"/>
      <c r="F52" s="555" t="n"/>
      <c r="G52" s="555" t="n"/>
      <c r="H52" s="555" t="n"/>
      <c r="I52" s="555" t="n"/>
      <c r="J52" s="555" t="n"/>
      <c r="K52" s="555" t="n"/>
      <c r="L52" s="555" t="n"/>
      <c r="M52" s="555" t="n"/>
      <c r="N52" s="555" t="n"/>
      <c r="O52" s="555" t="n"/>
      <c r="P52" s="555" t="n"/>
      <c r="Q52" s="555" t="n"/>
      <c r="R52" s="555" t="n"/>
      <c r="S52" s="472" t="n"/>
      <c r="T52" s="472" t="n"/>
      <c r="U52" s="472" t="n"/>
      <c r="V52" s="472" t="n"/>
    </row>
    <row r="53" ht="39.75" customFormat="1" customHeight="1" s="469">
      <c r="A53" s="557" t="n"/>
      <c r="B53" s="555" t="n"/>
      <c r="C53" s="555" t="n"/>
      <c r="D53" s="555" t="n"/>
      <c r="E53" s="555" t="n"/>
      <c r="F53" s="555" t="n"/>
      <c r="G53" s="555" t="n"/>
      <c r="H53" s="555" t="n"/>
      <c r="I53" s="555" t="n"/>
      <c r="J53" s="555" t="n"/>
      <c r="K53" s="555" t="n"/>
      <c r="L53" s="555" t="n"/>
      <c r="M53" s="555" t="n"/>
      <c r="N53" s="555" t="n"/>
      <c r="O53" s="555" t="n"/>
      <c r="P53" s="555" t="n"/>
      <c r="Q53" s="555" t="n"/>
      <c r="R53" s="555" t="n"/>
      <c r="S53" s="472" t="n"/>
      <c r="T53" s="472" t="n"/>
      <c r="U53" s="472" t="n"/>
      <c r="V53" s="472" t="n"/>
    </row>
    <row r="54" ht="39.75" customFormat="1" customHeight="1" s="469">
      <c r="A54" s="557" t="n"/>
      <c r="B54" s="555" t="n"/>
      <c r="C54" s="555" t="n"/>
      <c r="D54" s="555" t="n"/>
      <c r="E54" s="555" t="n"/>
      <c r="F54" s="555" t="n"/>
      <c r="G54" s="555" t="n"/>
      <c r="H54" s="555" t="n"/>
      <c r="I54" s="555" t="n"/>
      <c r="J54" s="555" t="n"/>
      <c r="K54" s="555" t="n"/>
      <c r="L54" s="555" t="n"/>
      <c r="M54" s="555" t="n"/>
      <c r="N54" s="555" t="n"/>
      <c r="O54" s="555" t="n"/>
      <c r="P54" s="555" t="n"/>
      <c r="Q54" s="555" t="n"/>
      <c r="R54" s="555" t="n"/>
      <c r="S54" s="472" t="n"/>
      <c r="T54" s="472" t="n"/>
      <c r="U54" s="472" t="n"/>
      <c r="V54" s="472" t="n"/>
    </row>
    <row r="55" ht="39.75" customFormat="1" customHeight="1" s="469">
      <c r="A55" s="557" t="n"/>
      <c r="B55" s="555" t="n"/>
      <c r="C55" s="555" t="n"/>
      <c r="D55" s="555" t="n"/>
      <c r="E55" s="555" t="n"/>
      <c r="F55" s="555" t="n"/>
      <c r="G55" s="555" t="n"/>
      <c r="H55" s="555" t="n"/>
      <c r="I55" s="555" t="n"/>
      <c r="J55" s="555" t="n"/>
      <c r="K55" s="555" t="n"/>
      <c r="L55" s="555" t="n"/>
      <c r="M55" s="555" t="n"/>
      <c r="N55" s="555" t="n"/>
      <c r="O55" s="555" t="n"/>
      <c r="P55" s="555" t="n"/>
      <c r="Q55" s="555" t="n"/>
      <c r="R55" s="555" t="n"/>
      <c r="S55" s="472" t="n"/>
      <c r="T55" s="472" t="n"/>
      <c r="U55" s="472" t="n"/>
      <c r="V55" s="472" t="n"/>
    </row>
    <row r="56" ht="39.75" customFormat="1" customHeight="1" s="469">
      <c r="A56" s="555" t="n"/>
      <c r="B56" s="555" t="n"/>
      <c r="C56" s="555" t="n"/>
      <c r="D56" s="555" t="n"/>
      <c r="E56" s="555" t="n"/>
      <c r="F56" s="555" t="n"/>
      <c r="G56" s="555" t="n"/>
      <c r="H56" s="555" t="n"/>
      <c r="I56" s="555" t="n"/>
      <c r="J56" s="555" t="n"/>
      <c r="K56" s="555" t="n"/>
      <c r="L56" s="555" t="n"/>
      <c r="M56" s="555" t="n"/>
      <c r="N56" s="555" t="n"/>
      <c r="O56" s="555" t="n"/>
      <c r="P56" s="555" t="n"/>
      <c r="Q56" s="555" t="n"/>
      <c r="R56" s="555" t="n"/>
      <c r="S56" s="472" t="n"/>
      <c r="T56" s="472" t="n"/>
      <c r="U56" s="472" t="n"/>
      <c r="V56" s="472" t="n"/>
    </row>
    <row r="57" ht="39.75" customFormat="1" customHeight="1" s="469">
      <c r="A57" s="555" t="n"/>
      <c r="B57" s="555" t="n"/>
      <c r="C57" s="555" t="n"/>
      <c r="D57" s="555" t="n"/>
      <c r="E57" s="555" t="n"/>
      <c r="F57" s="555" t="n"/>
      <c r="G57" s="555" t="n"/>
      <c r="H57" s="555" t="n"/>
      <c r="I57" s="555" t="n"/>
      <c r="J57" s="555" t="n"/>
      <c r="K57" s="555" t="n"/>
      <c r="L57" s="555" t="n"/>
      <c r="M57" s="555" t="n"/>
      <c r="N57" s="555" t="n"/>
      <c r="O57" s="555" t="n"/>
      <c r="P57" s="555" t="n"/>
      <c r="Q57" s="555" t="n"/>
      <c r="R57" s="555" t="n"/>
      <c r="S57" s="472" t="n"/>
      <c r="T57" s="472" t="n"/>
      <c r="U57" s="472" t="n"/>
      <c r="V57" s="472" t="n"/>
    </row>
    <row r="58" ht="39.75" customFormat="1" customHeight="1" s="469">
      <c r="A58" s="555" t="n"/>
      <c r="B58" s="555" t="n"/>
      <c r="C58" s="555" t="n"/>
      <c r="D58" s="555" t="n"/>
      <c r="E58" s="555" t="n"/>
      <c r="F58" s="555" t="n"/>
      <c r="G58" s="555" t="n"/>
      <c r="H58" s="555" t="n"/>
      <c r="I58" s="555" t="n"/>
      <c r="J58" s="555" t="n"/>
      <c r="K58" s="555" t="n"/>
      <c r="L58" s="555" t="n"/>
      <c r="M58" s="555" t="n"/>
      <c r="N58" s="555" t="n"/>
      <c r="O58" s="555" t="n"/>
      <c r="P58" s="555" t="n"/>
      <c r="Q58" s="555" t="n"/>
      <c r="R58" s="555" t="n"/>
      <c r="S58" s="472" t="n"/>
      <c r="T58" s="472" t="n"/>
      <c r="U58" s="472" t="n"/>
      <c r="V58" s="472" t="n"/>
    </row>
    <row r="59" ht="39.75" customFormat="1" customHeight="1" s="469">
      <c r="A59" s="555" t="n"/>
      <c r="B59" s="555" t="n"/>
      <c r="C59" s="555" t="n"/>
      <c r="D59" s="555" t="n"/>
      <c r="E59" s="555" t="n"/>
      <c r="F59" s="555" t="n"/>
      <c r="G59" s="555" t="n"/>
      <c r="H59" s="555" t="n"/>
      <c r="I59" s="555" t="n"/>
      <c r="J59" s="555" t="n"/>
      <c r="K59" s="555" t="n"/>
      <c r="L59" s="555" t="n"/>
      <c r="M59" s="555" t="n"/>
      <c r="N59" s="555" t="n"/>
      <c r="O59" s="555" t="n"/>
      <c r="P59" s="555" t="n"/>
      <c r="Q59" s="555" t="n"/>
      <c r="R59" s="555" t="n"/>
      <c r="S59" s="472" t="n"/>
      <c r="T59" s="472" t="n"/>
      <c r="U59" s="472" t="n"/>
      <c r="V59" s="472" t="n"/>
    </row>
    <row r="60" ht="39.75" customFormat="1" customHeight="1" s="469">
      <c r="A60" s="555" t="n"/>
      <c r="B60" s="555" t="n"/>
      <c r="C60" s="555" t="n"/>
      <c r="D60" s="555" t="n"/>
      <c r="E60" s="555" t="n"/>
      <c r="F60" s="555" t="n"/>
      <c r="G60" s="555" t="n"/>
      <c r="H60" s="555" t="n"/>
      <c r="I60" s="555" t="n"/>
      <c r="J60" s="555" t="n"/>
      <c r="K60" s="555" t="n"/>
      <c r="L60" s="555" t="n"/>
      <c r="M60" s="555" t="n"/>
      <c r="N60" s="555" t="n"/>
      <c r="O60" s="555" t="n"/>
      <c r="P60" s="555" t="n"/>
      <c r="Q60" s="555" t="n"/>
      <c r="R60" s="555" t="n"/>
      <c r="S60" s="472" t="n"/>
      <c r="T60" s="472" t="n"/>
      <c r="U60" s="472" t="n"/>
      <c r="V60" s="472" t="n"/>
    </row>
    <row r="61" ht="39.75" customFormat="1" customHeight="1" s="469">
      <c r="A61" s="555" t="n"/>
      <c r="B61" s="555" t="n"/>
      <c r="C61" s="555" t="n"/>
      <c r="D61" s="555" t="n"/>
      <c r="E61" s="555" t="n"/>
      <c r="F61" s="555" t="n"/>
      <c r="G61" s="555" t="n"/>
      <c r="H61" s="555" t="n"/>
      <c r="I61" s="555" t="n"/>
      <c r="J61" s="555" t="n"/>
      <c r="K61" s="555" t="n"/>
      <c r="L61" s="555" t="n"/>
      <c r="M61" s="555" t="n"/>
      <c r="N61" s="555" t="n"/>
      <c r="O61" s="555" t="n"/>
      <c r="P61" s="555" t="n"/>
      <c r="Q61" s="555" t="n"/>
      <c r="R61" s="555" t="n"/>
      <c r="S61" s="472" t="n"/>
      <c r="T61" s="472" t="n"/>
      <c r="U61" s="472" t="n"/>
      <c r="V61" s="472" t="n"/>
    </row>
    <row r="62" ht="39.75" customFormat="1" customHeight="1" s="469">
      <c r="A62" s="555" t="n"/>
      <c r="B62" s="555" t="n"/>
      <c r="C62" s="555" t="n"/>
      <c r="D62" s="555" t="n"/>
      <c r="E62" s="555" t="n"/>
      <c r="F62" s="555" t="n"/>
      <c r="G62" s="555" t="n"/>
      <c r="H62" s="555" t="n"/>
      <c r="I62" s="555" t="n"/>
      <c r="J62" s="555" t="n"/>
      <c r="K62" s="555" t="n"/>
      <c r="L62" s="555" t="n"/>
      <c r="M62" s="555" t="n"/>
      <c r="N62" s="555" t="n"/>
      <c r="O62" s="555" t="n"/>
      <c r="P62" s="555" t="n"/>
      <c r="Q62" s="555" t="n"/>
      <c r="R62" s="555" t="n"/>
      <c r="S62" s="472" t="n"/>
      <c r="T62" s="472" t="n"/>
      <c r="U62" s="472" t="n"/>
      <c r="V62" s="472" t="n"/>
    </row>
    <row r="63" ht="39.75" customFormat="1" customHeight="1" s="469">
      <c r="A63" s="555" t="n"/>
      <c r="B63" s="555" t="n"/>
      <c r="C63" s="555" t="n"/>
      <c r="D63" s="555" t="n"/>
      <c r="E63" s="555" t="n"/>
      <c r="F63" s="555" t="n"/>
      <c r="G63" s="555" t="n"/>
      <c r="H63" s="555" t="n"/>
      <c r="I63" s="555" t="n"/>
      <c r="J63" s="555" t="n"/>
      <c r="K63" s="555" t="n"/>
      <c r="L63" s="555" t="n"/>
      <c r="M63" s="555" t="n"/>
      <c r="N63" s="555" t="n"/>
      <c r="O63" s="555" t="n"/>
      <c r="P63" s="555" t="n"/>
      <c r="Q63" s="555" t="n"/>
      <c r="R63" s="555" t="n"/>
      <c r="S63" s="472" t="n"/>
      <c r="T63" s="472" t="n"/>
      <c r="U63" s="472" t="n"/>
      <c r="V63" s="472" t="n"/>
    </row>
    <row r="64" ht="39.75" customFormat="1" customHeight="1" s="469">
      <c r="A64" s="555" t="n"/>
      <c r="B64" s="555" t="n"/>
      <c r="C64" s="555" t="n"/>
      <c r="D64" s="555" t="n"/>
      <c r="E64" s="555" t="n"/>
      <c r="F64" s="555" t="n"/>
      <c r="G64" s="555" t="n"/>
      <c r="H64" s="555" t="n"/>
      <c r="I64" s="555" t="n"/>
      <c r="J64" s="555" t="n"/>
      <c r="K64" s="555" t="n"/>
      <c r="L64" s="555" t="n"/>
      <c r="M64" s="555" t="n"/>
      <c r="N64" s="555" t="n"/>
      <c r="O64" s="555" t="n"/>
      <c r="P64" s="555" t="n"/>
      <c r="Q64" s="555" t="n"/>
      <c r="R64" s="555" t="n"/>
      <c r="S64" s="472" t="n"/>
      <c r="T64" s="472" t="n"/>
      <c r="U64" s="472" t="n"/>
      <c r="V64" s="472" t="n"/>
    </row>
    <row r="65" ht="39.75" customFormat="1" customHeight="1" s="469">
      <c r="A65" s="555" t="n"/>
      <c r="B65" s="555" t="n"/>
      <c r="C65" s="555" t="n"/>
      <c r="D65" s="555" t="n"/>
      <c r="E65" s="555" t="n"/>
      <c r="F65" s="555" t="n"/>
      <c r="G65" s="555" t="n"/>
      <c r="H65" s="555" t="n"/>
      <c r="I65" s="555" t="n"/>
      <c r="J65" s="555" t="n"/>
      <c r="K65" s="555" t="n"/>
      <c r="L65" s="555" t="n"/>
      <c r="M65" s="555" t="n"/>
      <c r="N65" s="555" t="n"/>
      <c r="O65" s="555" t="n"/>
      <c r="P65" s="555" t="n"/>
      <c r="Q65" s="555" t="n"/>
      <c r="R65" s="555" t="n"/>
      <c r="S65" s="472" t="n"/>
      <c r="T65" s="472" t="n"/>
      <c r="U65" s="472" t="n"/>
      <c r="V65" s="472" t="n"/>
    </row>
    <row r="66" ht="39.75" customFormat="1" customHeight="1" s="469">
      <c r="A66" s="555" t="n"/>
      <c r="B66" s="555" t="n"/>
      <c r="C66" s="555" t="n"/>
      <c r="D66" s="555" t="n"/>
      <c r="E66" s="555" t="n"/>
      <c r="F66" s="555" t="n"/>
      <c r="G66" s="555" t="n"/>
      <c r="H66" s="555" t="n"/>
      <c r="I66" s="555" t="n"/>
      <c r="J66" s="555" t="n"/>
      <c r="K66" s="555" t="n"/>
      <c r="L66" s="555" t="n"/>
      <c r="M66" s="555" t="n"/>
      <c r="N66" s="555" t="n"/>
      <c r="O66" s="555" t="n"/>
      <c r="P66" s="555" t="n"/>
      <c r="Q66" s="555" t="n"/>
      <c r="R66" s="555" t="n"/>
      <c r="S66" s="472" t="n"/>
      <c r="T66" s="472" t="n"/>
      <c r="U66" s="472" t="n"/>
      <c r="V66" s="472" t="n"/>
    </row>
    <row r="67" ht="39.75" customFormat="1" customHeight="1" s="469">
      <c r="A67" s="555" t="n"/>
      <c r="B67" s="555" t="n"/>
      <c r="C67" s="555" t="n"/>
      <c r="D67" s="555" t="n"/>
      <c r="E67" s="555" t="n"/>
      <c r="F67" s="555" t="n"/>
      <c r="G67" s="555" t="n"/>
      <c r="H67" s="555" t="n"/>
      <c r="I67" s="555" t="n"/>
      <c r="J67" s="555" t="n"/>
      <c r="K67" s="555" t="n"/>
      <c r="L67" s="555" t="n"/>
      <c r="M67" s="555" t="n"/>
      <c r="N67" s="555" t="n"/>
      <c r="O67" s="555" t="n"/>
      <c r="P67" s="555" t="n"/>
      <c r="Q67" s="555" t="n"/>
      <c r="R67" s="555" t="n"/>
      <c r="S67" s="472" t="n"/>
      <c r="T67" s="472" t="n"/>
      <c r="U67" s="472" t="n"/>
      <c r="V67" s="472" t="n"/>
    </row>
    <row r="68" ht="39.75" customFormat="1" customHeight="1" s="469">
      <c r="A68" s="555" t="n"/>
      <c r="B68" s="555" t="n"/>
      <c r="C68" s="555" t="n"/>
      <c r="D68" s="555" t="n"/>
      <c r="E68" s="555" t="n"/>
      <c r="F68" s="555" t="n"/>
      <c r="G68" s="555" t="n"/>
      <c r="H68" s="555" t="n"/>
      <c r="I68" s="555" t="n"/>
      <c r="J68" s="555" t="n"/>
      <c r="K68" s="555" t="n"/>
      <c r="L68" s="555" t="n"/>
      <c r="M68" s="555" t="n"/>
      <c r="N68" s="555" t="n"/>
      <c r="O68" s="555" t="n"/>
      <c r="P68" s="555" t="n"/>
      <c r="Q68" s="555" t="n"/>
      <c r="R68" s="555" t="n"/>
      <c r="S68" s="472" t="n"/>
      <c r="T68" s="472" t="n"/>
      <c r="U68" s="472" t="n"/>
      <c r="V68" s="472" t="n"/>
    </row>
    <row r="69" ht="39.75" customFormat="1" customHeight="1" s="469">
      <c r="A69" s="555" t="n"/>
      <c r="B69" s="555" t="n"/>
      <c r="C69" s="555" t="n"/>
      <c r="D69" s="555" t="n"/>
      <c r="E69" s="555" t="n"/>
      <c r="F69" s="555" t="n"/>
      <c r="G69" s="555" t="n"/>
      <c r="H69" s="555" t="n"/>
      <c r="I69" s="555" t="n"/>
      <c r="J69" s="555" t="n"/>
      <c r="K69" s="555" t="n"/>
      <c r="L69" s="555" t="n"/>
      <c r="M69" s="555" t="n"/>
      <c r="N69" s="555" t="n"/>
      <c r="O69" s="555" t="n"/>
      <c r="P69" s="555" t="n"/>
      <c r="Q69" s="555" t="n"/>
      <c r="R69" s="555" t="n"/>
      <c r="S69" s="472" t="n"/>
      <c r="T69" s="472" t="n"/>
      <c r="U69" s="472" t="n"/>
      <c r="V69" s="472" t="n"/>
    </row>
    <row r="70" ht="39.75" customFormat="1" customHeight="1" s="469">
      <c r="A70" s="555" t="n"/>
      <c r="B70" s="555" t="n"/>
      <c r="C70" s="555" t="n"/>
      <c r="D70" s="555" t="n"/>
      <c r="E70" s="555" t="n"/>
      <c r="F70" s="555" t="n"/>
      <c r="G70" s="555" t="n"/>
      <c r="H70" s="555" t="n"/>
      <c r="I70" s="555" t="n"/>
      <c r="J70" s="555" t="n"/>
      <c r="K70" s="555" t="n"/>
      <c r="L70" s="555" t="n"/>
      <c r="M70" s="555" t="n"/>
      <c r="N70" s="555" t="n"/>
      <c r="O70" s="555" t="n"/>
      <c r="P70" s="555" t="n"/>
      <c r="Q70" s="555" t="n"/>
      <c r="R70" s="555" t="n"/>
      <c r="S70" s="472" t="n"/>
      <c r="T70" s="472" t="n"/>
      <c r="U70" s="472" t="n"/>
      <c r="V70" s="472" t="n"/>
    </row>
    <row r="71" ht="39.75" customFormat="1" customHeight="1" s="469">
      <c r="A71" s="555" t="n"/>
      <c r="B71" s="555" t="n"/>
      <c r="C71" s="555" t="n"/>
      <c r="D71" s="555" t="n"/>
      <c r="E71" s="555" t="n"/>
      <c r="F71" s="555" t="n"/>
      <c r="G71" s="555" t="n"/>
      <c r="H71" s="555" t="n"/>
      <c r="I71" s="555" t="n"/>
      <c r="J71" s="555" t="n"/>
      <c r="K71" s="555" t="n"/>
      <c r="L71" s="555" t="n"/>
      <c r="M71" s="555" t="n"/>
      <c r="N71" s="555" t="n"/>
      <c r="O71" s="555" t="n"/>
      <c r="P71" s="555" t="n"/>
      <c r="Q71" s="555" t="n"/>
      <c r="R71" s="555" t="n"/>
      <c r="S71" s="472" t="n"/>
      <c r="T71" s="472" t="n"/>
      <c r="U71" s="472" t="n"/>
      <c r="V71" s="472" t="n"/>
    </row>
    <row r="72" ht="39.75" customFormat="1" customHeight="1" s="469">
      <c r="A72" s="555" t="n"/>
      <c r="B72" s="555" t="n"/>
      <c r="C72" s="555" t="n"/>
      <c r="D72" s="555" t="n"/>
      <c r="E72" s="555" t="n"/>
      <c r="F72" s="555" t="n"/>
      <c r="G72" s="555" t="n"/>
      <c r="H72" s="555" t="n"/>
      <c r="I72" s="555" t="n"/>
      <c r="J72" s="555" t="n"/>
      <c r="K72" s="555" t="n"/>
      <c r="L72" s="555" t="n"/>
      <c r="M72" s="555" t="n"/>
      <c r="N72" s="555" t="n"/>
      <c r="O72" s="555" t="n"/>
      <c r="P72" s="555" t="n"/>
      <c r="Q72" s="555" t="n"/>
      <c r="R72" s="555" t="n"/>
      <c r="S72" s="472" t="n"/>
      <c r="T72" s="472" t="n"/>
      <c r="U72" s="472" t="n"/>
      <c r="V72" s="472" t="n"/>
    </row>
    <row r="73" ht="39.75" customFormat="1" customHeight="1" s="469">
      <c r="A73" s="555" t="n"/>
      <c r="B73" s="555" t="n"/>
      <c r="C73" s="555" t="n"/>
      <c r="D73" s="555" t="n"/>
      <c r="E73" s="555" t="n"/>
      <c r="F73" s="555" t="n"/>
      <c r="G73" s="555" t="n"/>
      <c r="H73" s="555" t="n"/>
      <c r="I73" s="555" t="n"/>
      <c r="J73" s="555" t="n"/>
      <c r="K73" s="555" t="n"/>
      <c r="L73" s="555" t="n"/>
      <c r="M73" s="555" t="n"/>
      <c r="N73" s="555" t="n"/>
      <c r="O73" s="555" t="n"/>
      <c r="P73" s="555" t="n"/>
      <c r="Q73" s="555" t="n"/>
      <c r="R73" s="555" t="n"/>
      <c r="S73" s="472" t="n"/>
      <c r="T73" s="472" t="n"/>
      <c r="U73" s="472" t="n"/>
      <c r="V73" s="472" t="n"/>
    </row>
    <row r="74" ht="39.75" customFormat="1" customHeight="1" s="469">
      <c r="A74" s="555" t="n"/>
      <c r="B74" s="555" t="n"/>
      <c r="C74" s="555" t="n"/>
      <c r="D74" s="555" t="n"/>
      <c r="E74" s="555" t="n"/>
      <c r="F74" s="555" t="n"/>
      <c r="G74" s="555" t="n"/>
      <c r="H74" s="555" t="n"/>
      <c r="I74" s="555" t="n"/>
      <c r="J74" s="555" t="n"/>
      <c r="K74" s="555" t="n"/>
      <c r="L74" s="555" t="n"/>
      <c r="M74" s="555" t="n"/>
      <c r="N74" s="555" t="n"/>
      <c r="O74" s="555" t="n"/>
      <c r="P74" s="555" t="n"/>
      <c r="Q74" s="555" t="n"/>
      <c r="R74" s="555" t="n"/>
      <c r="S74" s="472" t="n"/>
      <c r="T74" s="472" t="n"/>
      <c r="U74" s="472" t="n"/>
      <c r="V74" s="472" t="n"/>
    </row>
    <row r="75" ht="39.75" customFormat="1" customHeight="1" s="469">
      <c r="A75" s="555" t="n"/>
      <c r="B75" s="555" t="n"/>
      <c r="C75" s="555" t="n"/>
      <c r="D75" s="555" t="n"/>
      <c r="E75" s="555" t="n"/>
      <c r="F75" s="555" t="n"/>
      <c r="G75" s="555" t="n"/>
      <c r="H75" s="555" t="n"/>
      <c r="I75" s="555" t="n"/>
      <c r="J75" s="555" t="n"/>
      <c r="K75" s="555" t="n"/>
      <c r="L75" s="555" t="n"/>
      <c r="M75" s="555" t="n"/>
      <c r="N75" s="555" t="n"/>
      <c r="O75" s="555" t="n"/>
      <c r="P75" s="555" t="n"/>
      <c r="Q75" s="555" t="n"/>
      <c r="R75" s="555" t="n"/>
      <c r="S75" s="472" t="n"/>
      <c r="T75" s="472" t="n"/>
      <c r="U75" s="472" t="n"/>
      <c r="V75" s="472" t="n"/>
    </row>
    <row r="76" ht="39.75" customFormat="1" customHeight="1" s="469">
      <c r="A76" s="555" t="n"/>
      <c r="B76" s="555" t="n"/>
      <c r="C76" s="555" t="n"/>
      <c r="D76" s="555" t="n"/>
      <c r="E76" s="555" t="n"/>
      <c r="F76" s="555" t="n"/>
      <c r="G76" s="555" t="n"/>
      <c r="H76" s="555" t="n"/>
      <c r="I76" s="555" t="n"/>
      <c r="J76" s="555" t="n"/>
      <c r="K76" s="555" t="n"/>
      <c r="L76" s="555" t="n"/>
      <c r="M76" s="555" t="n"/>
      <c r="N76" s="555" t="n"/>
      <c r="O76" s="555" t="n"/>
      <c r="P76" s="555" t="n"/>
      <c r="Q76" s="555" t="n"/>
      <c r="R76" s="555" t="n"/>
      <c r="S76" s="472" t="n"/>
      <c r="T76" s="472" t="n"/>
      <c r="U76" s="472" t="n"/>
      <c r="V76" s="472" t="n"/>
    </row>
    <row r="77" ht="39.75" customFormat="1" customHeight="1" s="469">
      <c r="A77" s="555" t="n"/>
      <c r="B77" s="555" t="n"/>
      <c r="C77" s="555" t="n"/>
      <c r="D77" s="555" t="n"/>
      <c r="E77" s="555" t="n"/>
      <c r="F77" s="555" t="n"/>
      <c r="G77" s="555" t="n"/>
      <c r="H77" s="555" t="n"/>
      <c r="I77" s="555" t="n"/>
      <c r="J77" s="555" t="n"/>
      <c r="K77" s="555" t="n"/>
      <c r="L77" s="555" t="n"/>
      <c r="M77" s="555" t="n"/>
      <c r="N77" s="555" t="n"/>
      <c r="O77" s="555" t="n"/>
      <c r="P77" s="555" t="n"/>
      <c r="Q77" s="555" t="n"/>
      <c r="R77" s="555" t="n"/>
      <c r="S77" s="472" t="n"/>
      <c r="T77" s="472" t="n"/>
      <c r="U77" s="472" t="n"/>
      <c r="V77" s="472" t="n"/>
    </row>
    <row r="78" ht="39.75" customFormat="1" customHeight="1" s="469">
      <c r="A78" s="555" t="n"/>
      <c r="B78" s="555" t="n"/>
      <c r="C78" s="555" t="n"/>
      <c r="D78" s="555" t="n"/>
      <c r="E78" s="555" t="n"/>
      <c r="F78" s="555" t="n"/>
      <c r="G78" s="555" t="n"/>
      <c r="H78" s="555" t="n"/>
      <c r="I78" s="555" t="n"/>
      <c r="J78" s="555" t="n"/>
      <c r="K78" s="555" t="n"/>
      <c r="L78" s="555" t="n"/>
      <c r="M78" s="555" t="n"/>
      <c r="N78" s="555" t="n"/>
      <c r="O78" s="555" t="n"/>
      <c r="P78" s="555" t="n"/>
      <c r="Q78" s="555" t="n"/>
      <c r="R78" s="555" t="n"/>
      <c r="S78" s="472" t="n"/>
      <c r="T78" s="472" t="n"/>
      <c r="U78" s="472" t="n"/>
      <c r="V78" s="472" t="n"/>
    </row>
    <row r="79" ht="39.75" customFormat="1" customHeight="1" s="469">
      <c r="A79" s="555" t="n"/>
      <c r="B79" s="555" t="n"/>
      <c r="C79" s="555" t="n"/>
      <c r="D79" s="555" t="n"/>
      <c r="E79" s="555" t="n"/>
      <c r="F79" s="555" t="n"/>
      <c r="G79" s="555" t="n"/>
      <c r="H79" s="555" t="n"/>
      <c r="I79" s="555" t="n"/>
      <c r="J79" s="555" t="n"/>
      <c r="K79" s="555" t="n"/>
      <c r="L79" s="555" t="n"/>
      <c r="M79" s="555" t="n"/>
      <c r="N79" s="555" t="n"/>
      <c r="O79" s="555" t="n"/>
      <c r="P79" s="555" t="n"/>
      <c r="Q79" s="555" t="n"/>
      <c r="R79" s="555" t="n"/>
      <c r="S79" s="472" t="n"/>
      <c r="T79" s="472" t="n"/>
      <c r="U79" s="472" t="n"/>
      <c r="V79" s="472" t="n"/>
    </row>
    <row r="80" ht="39.75" customFormat="1" customHeight="1" s="469">
      <c r="A80" s="555" t="n"/>
      <c r="B80" s="555" t="n"/>
      <c r="C80" s="555" t="n"/>
      <c r="D80" s="555" t="n"/>
      <c r="E80" s="555" t="n"/>
      <c r="F80" s="555" t="n"/>
      <c r="G80" s="555" t="n"/>
      <c r="H80" s="555" t="n"/>
      <c r="I80" s="555" t="n"/>
      <c r="J80" s="555" t="n"/>
      <c r="K80" s="555" t="n"/>
      <c r="L80" s="555" t="n"/>
      <c r="M80" s="555" t="n"/>
      <c r="N80" s="555" t="n"/>
      <c r="O80" s="555" t="n"/>
      <c r="P80" s="555" t="n"/>
      <c r="Q80" s="555" t="n"/>
      <c r="R80" s="555" t="n"/>
      <c r="S80" s="472" t="n"/>
      <c r="T80" s="472" t="n"/>
      <c r="U80" s="472" t="n"/>
      <c r="V80" s="472" t="n"/>
    </row>
    <row r="81" ht="39.75" customFormat="1" customHeight="1" s="469">
      <c r="A81" s="555" t="n"/>
      <c r="B81" s="555" t="n"/>
      <c r="C81" s="555" t="n"/>
      <c r="D81" s="555" t="n"/>
      <c r="E81" s="555" t="n"/>
      <c r="F81" s="555" t="n"/>
      <c r="G81" s="555" t="n"/>
      <c r="H81" s="555" t="n"/>
      <c r="I81" s="555" t="n"/>
      <c r="J81" s="555" t="n"/>
      <c r="K81" s="555" t="n"/>
      <c r="L81" s="555" t="n"/>
      <c r="M81" s="555" t="n"/>
      <c r="N81" s="555" t="n"/>
      <c r="O81" s="555" t="n"/>
      <c r="P81" s="555" t="n"/>
      <c r="Q81" s="555" t="n"/>
      <c r="R81" s="555" t="n"/>
      <c r="S81" s="472" t="n"/>
      <c r="T81" s="472" t="n"/>
      <c r="U81" s="472" t="n"/>
      <c r="V81" s="472" t="n"/>
    </row>
    <row r="82" ht="39.75" customFormat="1" customHeight="1" s="469">
      <c r="A82" s="555" t="n"/>
      <c r="B82" s="555" t="n"/>
      <c r="C82" s="555" t="n"/>
      <c r="D82" s="555" t="n"/>
      <c r="E82" s="555" t="n"/>
      <c r="F82" s="555" t="n"/>
      <c r="G82" s="555" t="n"/>
      <c r="H82" s="555" t="n"/>
      <c r="I82" s="555" t="n"/>
      <c r="J82" s="555" t="n"/>
      <c r="K82" s="555" t="n"/>
      <c r="L82" s="555" t="n"/>
      <c r="M82" s="555" t="n"/>
      <c r="N82" s="555" t="n"/>
      <c r="O82" s="555" t="n"/>
      <c r="P82" s="555" t="n"/>
      <c r="Q82" s="555" t="n"/>
      <c r="R82" s="555" t="n"/>
      <c r="S82" s="472" t="n"/>
      <c r="T82" s="472" t="n"/>
      <c r="U82" s="472" t="n"/>
      <c r="V82" s="472" t="n"/>
    </row>
    <row r="83" ht="39.75" customFormat="1" customHeight="1" s="469">
      <c r="A83" s="555" t="n"/>
      <c r="B83" s="555" t="n"/>
      <c r="C83" s="555" t="n"/>
      <c r="D83" s="555" t="n"/>
      <c r="E83" s="555" t="n"/>
      <c r="F83" s="555" t="n"/>
      <c r="G83" s="555" t="n"/>
      <c r="H83" s="555" t="n"/>
      <c r="I83" s="555" t="n"/>
      <c r="J83" s="555" t="n"/>
      <c r="K83" s="555" t="n"/>
      <c r="L83" s="555" t="n"/>
      <c r="M83" s="555" t="n"/>
      <c r="N83" s="555" t="n"/>
      <c r="O83" s="555" t="n"/>
      <c r="P83" s="555" t="n"/>
      <c r="Q83" s="555" t="n"/>
      <c r="R83" s="555" t="n"/>
      <c r="S83" s="472" t="n"/>
      <c r="T83" s="472" t="n"/>
      <c r="U83" s="472" t="n"/>
      <c r="V83" s="472" t="n"/>
    </row>
    <row r="84" ht="39.75" customFormat="1" customHeight="1" s="469">
      <c r="A84" s="555" t="n"/>
      <c r="B84" s="555" t="n"/>
      <c r="C84" s="555" t="n"/>
      <c r="D84" s="555" t="n"/>
      <c r="E84" s="555" t="n"/>
      <c r="F84" s="555" t="n"/>
      <c r="G84" s="555" t="n"/>
      <c r="H84" s="555" t="n"/>
      <c r="I84" s="555" t="n"/>
      <c r="J84" s="555" t="n"/>
      <c r="K84" s="555" t="n"/>
      <c r="L84" s="555" t="n"/>
      <c r="M84" s="555" t="n"/>
      <c r="N84" s="555" t="n"/>
      <c r="O84" s="555" t="n"/>
      <c r="P84" s="555" t="n"/>
      <c r="Q84" s="555" t="n"/>
      <c r="R84" s="555" t="n"/>
      <c r="S84" s="472" t="n"/>
      <c r="T84" s="472" t="n"/>
      <c r="U84" s="472" t="n"/>
      <c r="V84" s="472" t="n"/>
    </row>
    <row r="85" ht="39.75" customFormat="1" customHeight="1" s="469">
      <c r="A85" s="555" t="n"/>
      <c r="B85" s="555" t="n"/>
      <c r="C85" s="555" t="n"/>
      <c r="D85" s="555" t="n"/>
      <c r="E85" s="555" t="n"/>
      <c r="F85" s="555" t="n"/>
      <c r="G85" s="555" t="n"/>
      <c r="H85" s="555" t="n"/>
      <c r="I85" s="555" t="n"/>
      <c r="J85" s="555" t="n"/>
      <c r="K85" s="555" t="n"/>
      <c r="L85" s="555" t="n"/>
      <c r="M85" s="555" t="n"/>
      <c r="N85" s="555" t="n"/>
      <c r="O85" s="555" t="n"/>
      <c r="P85" s="555" t="n"/>
      <c r="Q85" s="555" t="n"/>
      <c r="R85" s="555" t="n"/>
      <c r="S85" s="472" t="n"/>
      <c r="T85" s="472" t="n"/>
      <c r="U85" s="472" t="n"/>
      <c r="V85" s="472" t="n"/>
    </row>
    <row r="86" ht="39.75" customFormat="1" customHeight="1" s="469">
      <c r="A86" s="555" t="n"/>
      <c r="B86" s="555" t="n"/>
      <c r="C86" s="555" t="n"/>
      <c r="D86" s="555" t="n"/>
      <c r="E86" s="555" t="n"/>
      <c r="F86" s="555" t="n"/>
      <c r="G86" s="555" t="n"/>
      <c r="H86" s="555" t="n"/>
      <c r="I86" s="555" t="n"/>
      <c r="J86" s="555" t="n"/>
      <c r="K86" s="555" t="n"/>
      <c r="L86" s="555" t="n"/>
      <c r="M86" s="555" t="n"/>
      <c r="N86" s="555" t="n"/>
      <c r="O86" s="555" t="n"/>
      <c r="P86" s="555" t="n"/>
      <c r="Q86" s="555" t="n"/>
      <c r="R86" s="555" t="n"/>
      <c r="S86" s="472" t="n"/>
      <c r="T86" s="472" t="n"/>
      <c r="U86" s="472" t="n"/>
      <c r="V86" s="472" t="n"/>
    </row>
    <row r="87" ht="39.75" customFormat="1" customHeight="1" s="469">
      <c r="A87" s="555" t="n"/>
      <c r="B87" s="555" t="n"/>
      <c r="C87" s="555" t="n"/>
      <c r="D87" s="555" t="n"/>
      <c r="E87" s="555" t="n"/>
      <c r="F87" s="555" t="n"/>
      <c r="G87" s="555" t="n"/>
      <c r="H87" s="555" t="n"/>
      <c r="I87" s="555" t="n"/>
      <c r="J87" s="555" t="n"/>
      <c r="K87" s="555" t="n"/>
      <c r="L87" s="555" t="n"/>
      <c r="M87" s="555" t="n"/>
      <c r="N87" s="555" t="n"/>
      <c r="O87" s="555" t="n"/>
      <c r="P87" s="555" t="n"/>
      <c r="Q87" s="555" t="n"/>
      <c r="R87" s="555" t="n"/>
      <c r="S87" s="472" t="n"/>
      <c r="T87" s="472" t="n"/>
      <c r="U87" s="472" t="n"/>
      <c r="V87" s="472" t="n"/>
    </row>
    <row r="88" ht="39.75" customFormat="1" customHeight="1" s="469">
      <c r="A88" s="555" t="n"/>
      <c r="B88" s="555" t="n"/>
      <c r="C88" s="555" t="n"/>
      <c r="D88" s="555" t="n"/>
      <c r="E88" s="555" t="n"/>
      <c r="F88" s="555" t="n"/>
      <c r="G88" s="555" t="n"/>
      <c r="H88" s="555" t="n"/>
      <c r="I88" s="555" t="n"/>
      <c r="J88" s="555" t="n"/>
      <c r="K88" s="555" t="n"/>
      <c r="L88" s="555" t="n"/>
      <c r="M88" s="555" t="n"/>
      <c r="N88" s="555" t="n"/>
      <c r="O88" s="555" t="n"/>
      <c r="P88" s="555" t="n"/>
      <c r="Q88" s="555" t="n"/>
      <c r="R88" s="555" t="n"/>
      <c r="S88" s="472" t="n"/>
      <c r="T88" s="472" t="n"/>
      <c r="U88" s="472" t="n"/>
      <c r="V88" s="472" t="n"/>
    </row>
    <row r="89" ht="39.75" customFormat="1" customHeight="1" s="469">
      <c r="A89" s="555" t="n"/>
      <c r="B89" s="555" t="n"/>
      <c r="C89" s="555" t="n"/>
      <c r="D89" s="555" t="n"/>
      <c r="E89" s="555" t="n"/>
      <c r="F89" s="555" t="n"/>
      <c r="G89" s="555" t="n"/>
      <c r="H89" s="555" t="n"/>
      <c r="I89" s="555" t="n"/>
      <c r="J89" s="555" t="n"/>
      <c r="K89" s="555" t="n"/>
      <c r="L89" s="555" t="n"/>
      <c r="M89" s="555" t="n"/>
      <c r="N89" s="555" t="n"/>
      <c r="O89" s="555" t="n"/>
      <c r="P89" s="555" t="n"/>
      <c r="Q89" s="555" t="n"/>
      <c r="R89" s="555" t="n"/>
      <c r="S89" s="472" t="n"/>
      <c r="T89" s="472" t="n"/>
      <c r="U89" s="472" t="n"/>
      <c r="V89" s="472" t="n"/>
    </row>
    <row r="90" ht="39.75" customFormat="1" customHeight="1" s="469">
      <c r="A90" s="555" t="n"/>
      <c r="B90" s="555" t="n"/>
      <c r="C90" s="555" t="n"/>
      <c r="D90" s="555" t="n"/>
      <c r="E90" s="555" t="n"/>
      <c r="F90" s="555" t="n"/>
      <c r="G90" s="555" t="n"/>
      <c r="H90" s="555" t="n"/>
      <c r="I90" s="555" t="n"/>
      <c r="J90" s="555" t="n"/>
      <c r="K90" s="555" t="n"/>
      <c r="L90" s="555" t="n"/>
      <c r="M90" s="555" t="n"/>
      <c r="N90" s="555" t="n"/>
      <c r="O90" s="555" t="n"/>
      <c r="P90" s="555" t="n"/>
      <c r="Q90" s="555" t="n"/>
      <c r="R90" s="555" t="n"/>
      <c r="S90" s="472" t="n"/>
      <c r="T90" s="472" t="n"/>
      <c r="U90" s="472" t="n"/>
      <c r="V90" s="472" t="n"/>
    </row>
    <row r="91" ht="39.75" customFormat="1" customHeight="1" s="469">
      <c r="A91" s="555" t="n"/>
      <c r="B91" s="555" t="n"/>
      <c r="C91" s="555" t="n"/>
      <c r="D91" s="555" t="n"/>
      <c r="E91" s="555" t="n"/>
      <c r="F91" s="555" t="n"/>
      <c r="G91" s="555" t="n"/>
      <c r="H91" s="555" t="n"/>
      <c r="I91" s="555" t="n"/>
      <c r="J91" s="555" t="n"/>
      <c r="K91" s="555" t="n"/>
      <c r="L91" s="555" t="n"/>
      <c r="M91" s="555" t="n"/>
      <c r="N91" s="555" t="n"/>
      <c r="O91" s="555" t="n"/>
      <c r="P91" s="555" t="n"/>
      <c r="Q91" s="555" t="n"/>
      <c r="R91" s="555" t="n"/>
      <c r="S91" s="472" t="n"/>
      <c r="T91" s="472" t="n"/>
      <c r="U91" s="472" t="n"/>
      <c r="V91" s="472" t="n"/>
    </row>
    <row r="92" ht="39.75" customFormat="1" customHeight="1" s="469">
      <c r="A92" s="555" t="n"/>
      <c r="B92" s="555" t="n"/>
      <c r="C92" s="555" t="n"/>
      <c r="D92" s="555" t="n"/>
      <c r="E92" s="555" t="n"/>
      <c r="F92" s="555" t="n"/>
      <c r="G92" s="555" t="n"/>
      <c r="H92" s="555" t="n"/>
      <c r="I92" s="555" t="n"/>
      <c r="J92" s="555" t="n"/>
      <c r="K92" s="555" t="n"/>
      <c r="L92" s="555" t="n"/>
      <c r="M92" s="555" t="n"/>
      <c r="N92" s="555" t="n"/>
      <c r="O92" s="555" t="n"/>
      <c r="P92" s="555" t="n"/>
      <c r="Q92" s="555" t="n"/>
      <c r="R92" s="555" t="n"/>
      <c r="S92" s="472" t="n"/>
      <c r="T92" s="472" t="n"/>
      <c r="U92" s="472" t="n"/>
      <c r="V92" s="472" t="n"/>
    </row>
    <row r="93" ht="39.75" customFormat="1" customHeight="1" s="469">
      <c r="A93" s="555" t="n"/>
      <c r="B93" s="555" t="n"/>
      <c r="C93" s="555" t="n"/>
      <c r="D93" s="555" t="n"/>
      <c r="E93" s="555" t="n"/>
      <c r="F93" s="555" t="n"/>
      <c r="G93" s="555" t="n"/>
      <c r="H93" s="555" t="n"/>
      <c r="I93" s="555" t="n"/>
      <c r="J93" s="555" t="n"/>
      <c r="K93" s="555" t="n"/>
      <c r="L93" s="555" t="n"/>
      <c r="M93" s="555" t="n"/>
      <c r="N93" s="555" t="n"/>
      <c r="O93" s="555" t="n"/>
      <c r="P93" s="555" t="n"/>
      <c r="Q93" s="555" t="n"/>
      <c r="R93" s="555" t="n"/>
      <c r="S93" s="472" t="n"/>
      <c r="T93" s="472" t="n"/>
      <c r="U93" s="472" t="n"/>
      <c r="V93" s="472" t="n"/>
    </row>
    <row r="94" ht="39.75" customFormat="1" customHeight="1" s="469">
      <c r="A94" s="555" t="n"/>
      <c r="B94" s="555" t="n"/>
      <c r="C94" s="555" t="n"/>
      <c r="D94" s="555" t="n"/>
      <c r="E94" s="555" t="n"/>
      <c r="F94" s="555" t="n"/>
      <c r="G94" s="555" t="n"/>
      <c r="H94" s="555" t="n"/>
      <c r="I94" s="555" t="n"/>
      <c r="J94" s="555" t="n"/>
      <c r="K94" s="555" t="n"/>
      <c r="L94" s="555" t="n"/>
      <c r="M94" s="555" t="n"/>
      <c r="N94" s="555" t="n"/>
      <c r="O94" s="555" t="n"/>
      <c r="P94" s="555" t="n"/>
      <c r="Q94" s="555" t="n"/>
      <c r="R94" s="555" t="n"/>
      <c r="S94" s="472" t="n"/>
      <c r="T94" s="472" t="n"/>
      <c r="U94" s="472" t="n"/>
      <c r="V94" s="472" t="n"/>
    </row>
    <row r="95" ht="39.75" customFormat="1" customHeight="1" s="469">
      <c r="A95" s="555" t="n"/>
      <c r="B95" s="555" t="n"/>
      <c r="C95" s="555" t="n"/>
      <c r="D95" s="555" t="n"/>
      <c r="E95" s="555" t="n"/>
      <c r="F95" s="555" t="n"/>
      <c r="G95" s="555" t="n"/>
      <c r="H95" s="555" t="n"/>
      <c r="I95" s="555" t="n"/>
      <c r="J95" s="555" t="n"/>
      <c r="K95" s="555" t="n"/>
      <c r="L95" s="555" t="n"/>
      <c r="M95" s="555" t="n"/>
      <c r="N95" s="555" t="n"/>
      <c r="O95" s="555" t="n"/>
      <c r="P95" s="555" t="n"/>
      <c r="Q95" s="555" t="n"/>
      <c r="R95" s="555" t="n"/>
      <c r="S95" s="472" t="n"/>
      <c r="T95" s="472" t="n"/>
      <c r="U95" s="472" t="n"/>
      <c r="V95" s="472" t="n"/>
    </row>
    <row r="96" ht="39.75" customFormat="1" customHeight="1" s="469">
      <c r="A96" s="555" t="n"/>
      <c r="B96" s="555" t="n"/>
      <c r="C96" s="555" t="n"/>
      <c r="D96" s="555" t="n"/>
      <c r="E96" s="555" t="n"/>
      <c r="F96" s="555" t="n"/>
      <c r="G96" s="555" t="n"/>
      <c r="H96" s="555" t="n"/>
      <c r="I96" s="555" t="n"/>
      <c r="J96" s="555" t="n"/>
      <c r="K96" s="555" t="n"/>
      <c r="L96" s="555" t="n"/>
      <c r="M96" s="555" t="n"/>
      <c r="N96" s="555" t="n"/>
      <c r="O96" s="555" t="n"/>
      <c r="P96" s="555" t="n"/>
      <c r="Q96" s="555" t="n"/>
      <c r="R96" s="555" t="n"/>
      <c r="S96" s="472" t="n"/>
      <c r="T96" s="472" t="n"/>
      <c r="U96" s="472" t="n"/>
      <c r="V96" s="472" t="n"/>
    </row>
    <row r="97" ht="39.75" customFormat="1" customHeight="1" s="469">
      <c r="A97" s="555" t="n"/>
      <c r="B97" s="555" t="n"/>
      <c r="C97" s="555" t="n"/>
      <c r="D97" s="555" t="n"/>
      <c r="E97" s="555" t="n"/>
      <c r="F97" s="555" t="n"/>
      <c r="G97" s="555" t="n"/>
      <c r="H97" s="555" t="n"/>
      <c r="I97" s="555" t="n"/>
      <c r="J97" s="555" t="n"/>
      <c r="K97" s="555" t="n"/>
      <c r="L97" s="555" t="n"/>
      <c r="M97" s="555" t="n"/>
      <c r="N97" s="555" t="n"/>
      <c r="O97" s="555" t="n"/>
      <c r="P97" s="555" t="n"/>
      <c r="Q97" s="555" t="n"/>
      <c r="R97" s="555" t="n"/>
      <c r="S97" s="472" t="n"/>
      <c r="T97" s="472" t="n"/>
      <c r="U97" s="472" t="n"/>
      <c r="V97" s="472" t="n"/>
    </row>
    <row r="98" ht="39.75" customFormat="1" customHeight="1" s="469">
      <c r="A98" s="555" t="n"/>
      <c r="B98" s="555" t="n"/>
      <c r="C98" s="555" t="n"/>
      <c r="D98" s="555" t="n"/>
      <c r="E98" s="555" t="n"/>
      <c r="F98" s="555" t="n"/>
      <c r="G98" s="555" t="n"/>
      <c r="H98" s="555" t="n"/>
      <c r="I98" s="555" t="n"/>
      <c r="J98" s="555" t="n"/>
      <c r="K98" s="555" t="n"/>
      <c r="L98" s="555" t="n"/>
      <c r="M98" s="555" t="n"/>
      <c r="N98" s="555" t="n"/>
      <c r="O98" s="555" t="n"/>
      <c r="P98" s="555" t="n"/>
      <c r="Q98" s="555" t="n"/>
      <c r="R98" s="555" t="n"/>
      <c r="S98" s="472" t="n"/>
      <c r="T98" s="472" t="n"/>
      <c r="U98" s="472" t="n"/>
      <c r="V98" s="472" t="n"/>
    </row>
    <row r="99" ht="39.75" customFormat="1" customHeight="1" s="469">
      <c r="A99" s="555" t="n"/>
      <c r="B99" s="555" t="n"/>
      <c r="C99" s="555" t="n"/>
      <c r="D99" s="555" t="n"/>
      <c r="E99" s="555" t="n"/>
      <c r="F99" s="555" t="n"/>
      <c r="G99" s="555" t="n"/>
      <c r="H99" s="555" t="n"/>
      <c r="I99" s="555" t="n"/>
      <c r="J99" s="555" t="n"/>
      <c r="K99" s="555" t="n"/>
      <c r="L99" s="555" t="n"/>
      <c r="M99" s="555" t="n"/>
      <c r="N99" s="555" t="n"/>
      <c r="O99" s="555" t="n"/>
      <c r="P99" s="555" t="n"/>
      <c r="Q99" s="555" t="n"/>
      <c r="R99" s="555" t="n"/>
      <c r="S99" s="472" t="n"/>
      <c r="T99" s="472" t="n"/>
      <c r="U99" s="472" t="n"/>
      <c r="V99" s="472" t="n"/>
    </row>
    <row r="100" ht="39.75" customFormat="1" customHeight="1" s="469">
      <c r="A100" s="555" t="n"/>
      <c r="B100" s="555" t="n"/>
      <c r="C100" s="555" t="n"/>
      <c r="D100" s="555" t="n"/>
      <c r="E100" s="555" t="n"/>
      <c r="F100" s="555" t="n"/>
      <c r="G100" s="555" t="n"/>
      <c r="H100" s="555" t="n"/>
      <c r="I100" s="555" t="n"/>
      <c r="J100" s="555" t="n"/>
      <c r="K100" s="555" t="n"/>
      <c r="L100" s="555" t="n"/>
      <c r="M100" s="555" t="n"/>
      <c r="N100" s="555" t="n"/>
      <c r="O100" s="555" t="n"/>
      <c r="P100" s="555" t="n"/>
      <c r="Q100" s="555" t="n"/>
      <c r="R100" s="555" t="n"/>
      <c r="S100" s="472" t="n"/>
      <c r="T100" s="472" t="n"/>
      <c r="U100" s="472" t="n"/>
      <c r="V100" s="472" t="n"/>
    </row>
    <row r="101" ht="39.75" customFormat="1" customHeight="1" s="469">
      <c r="A101" s="555" t="n"/>
      <c r="B101" s="555" t="n"/>
      <c r="C101" s="555" t="n"/>
      <c r="D101" s="555" t="n"/>
      <c r="E101" s="555" t="n"/>
      <c r="F101" s="555" t="n"/>
      <c r="G101" s="555" t="n"/>
      <c r="H101" s="555" t="n"/>
      <c r="I101" s="555" t="n"/>
      <c r="J101" s="555" t="n"/>
      <c r="K101" s="555" t="n"/>
      <c r="L101" s="555" t="n"/>
      <c r="M101" s="555" t="n"/>
      <c r="N101" s="555" t="n"/>
      <c r="O101" s="555" t="n"/>
      <c r="P101" s="555" t="n"/>
      <c r="Q101" s="555" t="n"/>
      <c r="R101" s="555" t="n"/>
      <c r="S101" s="472" t="n"/>
      <c r="T101" s="472" t="n"/>
      <c r="U101" s="472" t="n"/>
      <c r="V101" s="472" t="n"/>
    </row>
    <row r="102" ht="39.75" customFormat="1" customHeight="1" s="469">
      <c r="A102" s="555" t="n"/>
      <c r="B102" s="555" t="n"/>
      <c r="C102" s="555" t="n"/>
      <c r="D102" s="555" t="n"/>
      <c r="E102" s="555" t="n"/>
      <c r="F102" s="555" t="n"/>
      <c r="G102" s="555" t="n"/>
      <c r="H102" s="555" t="n"/>
      <c r="I102" s="555" t="n"/>
      <c r="J102" s="555" t="n"/>
      <c r="K102" s="555" t="n"/>
      <c r="L102" s="555" t="n"/>
      <c r="M102" s="555" t="n"/>
      <c r="N102" s="555" t="n"/>
      <c r="O102" s="555" t="n"/>
      <c r="P102" s="555" t="n"/>
      <c r="Q102" s="555" t="n"/>
      <c r="R102" s="555" t="n"/>
      <c r="S102" s="472" t="n"/>
      <c r="T102" s="472" t="n"/>
      <c r="U102" s="472" t="n"/>
      <c r="V102" s="472" t="n"/>
    </row>
    <row r="103" ht="39.75" customFormat="1" customHeight="1" s="469">
      <c r="A103" s="555" t="n"/>
      <c r="B103" s="555" t="n"/>
      <c r="C103" s="555" t="n"/>
      <c r="D103" s="555" t="n"/>
      <c r="E103" s="555" t="n"/>
      <c r="F103" s="555" t="n"/>
      <c r="G103" s="555" t="n"/>
      <c r="H103" s="555" t="n"/>
      <c r="I103" s="555" t="n"/>
      <c r="J103" s="555" t="n"/>
      <c r="K103" s="555" t="n"/>
      <c r="L103" s="555" t="n"/>
      <c r="M103" s="555" t="n"/>
      <c r="N103" s="555" t="n"/>
      <c r="O103" s="555" t="n"/>
      <c r="P103" s="555" t="n"/>
      <c r="Q103" s="555" t="n"/>
      <c r="R103" s="555" t="n"/>
      <c r="S103" s="472" t="n"/>
      <c r="T103" s="472" t="n"/>
      <c r="U103" s="472" t="n"/>
      <c r="V103" s="472" t="n"/>
    </row>
    <row r="104" ht="39.75" customFormat="1" customHeight="1" s="469">
      <c r="A104" s="555" t="n"/>
      <c r="B104" s="555" t="n"/>
      <c r="C104" s="555" t="n"/>
      <c r="D104" s="555" t="n"/>
      <c r="E104" s="555" t="n"/>
      <c r="F104" s="555" t="n"/>
      <c r="G104" s="555" t="n"/>
      <c r="H104" s="555" t="n"/>
      <c r="I104" s="555" t="n"/>
      <c r="J104" s="555" t="n"/>
      <c r="K104" s="555" t="n"/>
      <c r="L104" s="555" t="n"/>
      <c r="M104" s="555" t="n"/>
      <c r="N104" s="555" t="n"/>
      <c r="O104" s="555" t="n"/>
      <c r="P104" s="555" t="n"/>
      <c r="Q104" s="555" t="n"/>
      <c r="R104" s="555" t="n"/>
      <c r="S104" s="472" t="n"/>
      <c r="T104" s="472" t="n"/>
      <c r="U104" s="472" t="n"/>
      <c r="V104" s="472" t="n"/>
    </row>
    <row r="105" ht="39.75" customFormat="1" customHeight="1" s="469">
      <c r="A105" s="555" t="n"/>
      <c r="B105" s="555" t="n"/>
      <c r="C105" s="555" t="n"/>
      <c r="D105" s="555" t="n"/>
      <c r="E105" s="555" t="n"/>
      <c r="F105" s="555" t="n"/>
      <c r="G105" s="555" t="n"/>
      <c r="H105" s="555" t="n"/>
      <c r="I105" s="555" t="n"/>
      <c r="J105" s="555" t="n"/>
      <c r="K105" s="555" t="n"/>
      <c r="L105" s="555" t="n"/>
      <c r="M105" s="555" t="n"/>
      <c r="N105" s="555" t="n"/>
      <c r="O105" s="555" t="n"/>
      <c r="P105" s="555" t="n"/>
      <c r="Q105" s="555" t="n"/>
      <c r="R105" s="555" t="n"/>
      <c r="S105" s="472" t="n"/>
      <c r="T105" s="472" t="n"/>
      <c r="U105" s="472" t="n"/>
      <c r="V105" s="472" t="n"/>
    </row>
    <row r="106" ht="39.75" customFormat="1" customHeight="1" s="469">
      <c r="A106" s="555" t="n"/>
      <c r="B106" s="555" t="n"/>
      <c r="C106" s="555" t="n"/>
      <c r="D106" s="555" t="n"/>
      <c r="E106" s="555" t="n"/>
      <c r="F106" s="555" t="n"/>
      <c r="G106" s="555" t="n"/>
      <c r="H106" s="555" t="n"/>
      <c r="I106" s="555" t="n"/>
      <c r="J106" s="555" t="n"/>
      <c r="K106" s="555" t="n"/>
      <c r="L106" s="555" t="n"/>
      <c r="M106" s="555" t="n"/>
      <c r="N106" s="555" t="n"/>
      <c r="O106" s="555" t="n"/>
      <c r="P106" s="555" t="n"/>
      <c r="Q106" s="555" t="n"/>
      <c r="R106" s="555" t="n"/>
      <c r="S106" s="472" t="n"/>
      <c r="T106" s="472" t="n"/>
      <c r="U106" s="472" t="n"/>
      <c r="V106" s="472" t="n"/>
    </row>
    <row r="107" ht="39.75" customFormat="1" customHeight="1" s="469">
      <c r="A107" s="555" t="n"/>
      <c r="B107" s="555" t="n"/>
      <c r="C107" s="555" t="n"/>
      <c r="D107" s="555" t="n"/>
      <c r="E107" s="555" t="n"/>
      <c r="F107" s="555" t="n"/>
      <c r="G107" s="555" t="n"/>
      <c r="H107" s="555" t="n"/>
      <c r="I107" s="555" t="n"/>
      <c r="J107" s="555" t="n"/>
      <c r="K107" s="555" t="n"/>
      <c r="L107" s="555" t="n"/>
      <c r="M107" s="555" t="n"/>
      <c r="N107" s="555" t="n"/>
      <c r="O107" s="555" t="n"/>
      <c r="P107" s="555" t="n"/>
      <c r="Q107" s="555" t="n"/>
      <c r="R107" s="555" t="n"/>
      <c r="S107" s="472" t="n"/>
      <c r="T107" s="472" t="n"/>
      <c r="U107" s="472" t="n"/>
      <c r="V107" s="472" t="n"/>
    </row>
    <row r="108" ht="39.75" customFormat="1" customHeight="1" s="469">
      <c r="A108" s="555" t="n"/>
      <c r="B108" s="555" t="n"/>
      <c r="C108" s="555" t="n"/>
      <c r="D108" s="555" t="n"/>
      <c r="E108" s="555" t="n"/>
      <c r="F108" s="555" t="n"/>
      <c r="G108" s="555" t="n"/>
      <c r="H108" s="555" t="n"/>
      <c r="I108" s="555" t="n"/>
      <c r="J108" s="555" t="n"/>
      <c r="K108" s="555" t="n"/>
      <c r="L108" s="555" t="n"/>
      <c r="M108" s="555" t="n"/>
      <c r="N108" s="555" t="n"/>
      <c r="O108" s="555" t="n"/>
      <c r="P108" s="555" t="n"/>
      <c r="Q108" s="555" t="n"/>
      <c r="R108" s="555" t="n"/>
      <c r="S108" s="472" t="n"/>
      <c r="T108" s="472" t="n"/>
      <c r="U108" s="472" t="n"/>
      <c r="V108" s="472" t="n"/>
    </row>
    <row r="109" ht="39.75" customFormat="1" customHeight="1" s="469">
      <c r="A109" s="555" t="n"/>
      <c r="B109" s="555" t="n"/>
      <c r="C109" s="555" t="n"/>
      <c r="D109" s="555" t="n"/>
      <c r="E109" s="555" t="n"/>
      <c r="F109" s="555" t="n"/>
      <c r="G109" s="555" t="n"/>
      <c r="H109" s="555" t="n"/>
      <c r="I109" s="555" t="n"/>
      <c r="J109" s="555" t="n"/>
      <c r="K109" s="555" t="n"/>
      <c r="L109" s="555" t="n"/>
      <c r="M109" s="555" t="n"/>
      <c r="N109" s="555" t="n"/>
      <c r="O109" s="555" t="n"/>
      <c r="P109" s="555" t="n"/>
      <c r="Q109" s="555" t="n"/>
      <c r="R109" s="555" t="n"/>
      <c r="S109" s="472" t="n"/>
      <c r="T109" s="472" t="n"/>
      <c r="U109" s="472" t="n"/>
      <c r="V109" s="472" t="n"/>
    </row>
    <row r="110" ht="39.75" customFormat="1" customHeight="1" s="469">
      <c r="A110" s="555" t="n"/>
      <c r="B110" s="555" t="n"/>
      <c r="C110" s="555" t="n"/>
      <c r="D110" s="555" t="n"/>
      <c r="E110" s="555" t="n"/>
      <c r="F110" s="555" t="n"/>
      <c r="G110" s="555" t="n"/>
      <c r="H110" s="555" t="n"/>
      <c r="I110" s="555" t="n"/>
      <c r="J110" s="555" t="n"/>
      <c r="K110" s="555" t="n"/>
      <c r="L110" s="555" t="n"/>
      <c r="M110" s="555" t="n"/>
      <c r="N110" s="555" t="n"/>
      <c r="O110" s="555" t="n"/>
      <c r="P110" s="555" t="n"/>
      <c r="Q110" s="555" t="n"/>
      <c r="R110" s="555" t="n"/>
      <c r="S110" s="472" t="n"/>
      <c r="T110" s="472" t="n"/>
      <c r="U110" s="472" t="n"/>
      <c r="V110" s="472" t="n"/>
    </row>
    <row r="111" ht="39.75" customFormat="1" customHeight="1" s="469">
      <c r="A111" s="555" t="n"/>
      <c r="B111" s="555" t="n"/>
      <c r="C111" s="555" t="n"/>
      <c r="D111" s="555" t="n"/>
      <c r="E111" s="555" t="n"/>
      <c r="F111" s="555" t="n"/>
      <c r="G111" s="555" t="n"/>
      <c r="H111" s="555" t="n"/>
      <c r="I111" s="555" t="n"/>
      <c r="J111" s="555" t="n"/>
      <c r="K111" s="555" t="n"/>
      <c r="L111" s="555" t="n"/>
      <c r="M111" s="555" t="n"/>
      <c r="N111" s="555" t="n"/>
      <c r="O111" s="555" t="n"/>
      <c r="P111" s="555" t="n"/>
      <c r="Q111" s="555" t="n"/>
      <c r="R111" s="555" t="n"/>
      <c r="S111" s="472" t="n"/>
      <c r="T111" s="472" t="n"/>
      <c r="U111" s="472" t="n"/>
      <c r="V111" s="472" t="n"/>
    </row>
    <row r="112" ht="39.75" customFormat="1" customHeight="1" s="469">
      <c r="A112" s="555" t="n"/>
      <c r="B112" s="555" t="n"/>
      <c r="C112" s="555" t="n"/>
      <c r="D112" s="555" t="n"/>
      <c r="E112" s="555" t="n"/>
      <c r="F112" s="555" t="n"/>
      <c r="G112" s="555" t="n"/>
      <c r="H112" s="555" t="n"/>
      <c r="I112" s="555" t="n"/>
      <c r="J112" s="555" t="n"/>
      <c r="K112" s="555" t="n"/>
      <c r="L112" s="555" t="n"/>
      <c r="M112" s="555" t="n"/>
      <c r="N112" s="555" t="n"/>
      <c r="O112" s="555" t="n"/>
      <c r="P112" s="555" t="n"/>
      <c r="Q112" s="555" t="n"/>
      <c r="R112" s="555" t="n"/>
      <c r="S112" s="472" t="n"/>
      <c r="T112" s="472" t="n"/>
      <c r="U112" s="472" t="n"/>
      <c r="V112" s="472" t="n"/>
    </row>
    <row r="113" ht="39.75" customFormat="1" customHeight="1" s="469">
      <c r="A113" s="555" t="n"/>
      <c r="B113" s="555" t="n"/>
      <c r="C113" s="555" t="n"/>
      <c r="D113" s="555" t="n"/>
      <c r="E113" s="555" t="n"/>
      <c r="F113" s="555" t="n"/>
      <c r="G113" s="555" t="n"/>
      <c r="H113" s="555" t="n"/>
      <c r="I113" s="555" t="n"/>
      <c r="J113" s="555" t="n"/>
      <c r="K113" s="555" t="n"/>
      <c r="L113" s="555" t="n"/>
      <c r="M113" s="555" t="n"/>
      <c r="N113" s="555" t="n"/>
      <c r="O113" s="555" t="n"/>
      <c r="P113" s="555" t="n"/>
      <c r="Q113" s="555" t="n"/>
      <c r="R113" s="555" t="n"/>
      <c r="S113" s="472" t="n"/>
      <c r="T113" s="472" t="n"/>
      <c r="U113" s="472" t="n"/>
      <c r="V113" s="472" t="n"/>
    </row>
    <row r="114" ht="39.75" customFormat="1" customHeight="1" s="469">
      <c r="A114" s="555" t="n"/>
      <c r="B114" s="555" t="n"/>
      <c r="C114" s="555" t="n"/>
      <c r="D114" s="555" t="n"/>
      <c r="E114" s="555" t="n"/>
      <c r="F114" s="555" t="n"/>
      <c r="G114" s="555" t="n"/>
      <c r="H114" s="555" t="n"/>
      <c r="I114" s="555" t="n"/>
      <c r="J114" s="555" t="n"/>
      <c r="K114" s="555" t="n"/>
      <c r="L114" s="555" t="n"/>
      <c r="M114" s="555" t="n"/>
      <c r="N114" s="555" t="n"/>
      <c r="O114" s="555" t="n"/>
      <c r="P114" s="555" t="n"/>
      <c r="Q114" s="555" t="n"/>
      <c r="R114" s="555" t="n"/>
      <c r="S114" s="472" t="n"/>
      <c r="T114" s="472" t="n"/>
      <c r="U114" s="472" t="n"/>
      <c r="V114" s="472" t="n"/>
    </row>
    <row r="115" ht="39.75" customFormat="1" customHeight="1" s="469">
      <c r="A115" s="555" t="n"/>
      <c r="B115" s="555" t="n"/>
      <c r="C115" s="555" t="n"/>
      <c r="D115" s="555" t="n"/>
      <c r="E115" s="555" t="n"/>
      <c r="F115" s="555" t="n"/>
      <c r="G115" s="555" t="n"/>
      <c r="H115" s="555" t="n"/>
      <c r="I115" s="555" t="n"/>
      <c r="J115" s="555" t="n"/>
      <c r="K115" s="555" t="n"/>
      <c r="L115" s="555" t="n"/>
      <c r="M115" s="555" t="n"/>
      <c r="N115" s="555" t="n"/>
      <c r="O115" s="555" t="n"/>
      <c r="P115" s="555" t="n"/>
      <c r="Q115" s="555" t="n"/>
      <c r="R115" s="555" t="n"/>
      <c r="S115" s="472" t="n"/>
      <c r="T115" s="472" t="n"/>
      <c r="U115" s="472" t="n"/>
      <c r="V115" s="472" t="n"/>
    </row>
    <row r="116" ht="39.75" customFormat="1" customHeight="1" s="469">
      <c r="A116" s="555" t="n"/>
      <c r="B116" s="555" t="n"/>
      <c r="C116" s="555" t="n"/>
      <c r="D116" s="555" t="n"/>
      <c r="E116" s="555" t="n"/>
      <c r="F116" s="555" t="n"/>
      <c r="G116" s="555" t="n"/>
      <c r="H116" s="555" t="n"/>
      <c r="I116" s="555" t="n"/>
      <c r="J116" s="555" t="n"/>
      <c r="K116" s="555" t="n"/>
      <c r="L116" s="555" t="n"/>
      <c r="M116" s="555" t="n"/>
      <c r="N116" s="555" t="n"/>
      <c r="O116" s="555" t="n"/>
      <c r="P116" s="555" t="n"/>
      <c r="Q116" s="555" t="n"/>
      <c r="R116" s="555" t="n"/>
      <c r="S116" s="472" t="n"/>
      <c r="T116" s="472" t="n"/>
      <c r="U116" s="472" t="n"/>
      <c r="V116" s="472" t="n"/>
    </row>
    <row r="117" ht="39.75" customHeight="1" s="574">
      <c r="A117" s="555" t="n"/>
      <c r="B117" s="555" t="n"/>
      <c r="C117" s="555" t="n"/>
      <c r="D117" s="555" t="n"/>
      <c r="E117" s="555" t="n"/>
      <c r="F117" s="555" t="n"/>
      <c r="G117" s="555" t="n"/>
      <c r="H117" s="555" t="n"/>
      <c r="I117" s="555" t="n"/>
      <c r="J117" s="555" t="n"/>
      <c r="K117" s="555" t="n"/>
      <c r="L117" s="555" t="n"/>
      <c r="M117" s="555" t="n"/>
      <c r="N117" s="555" t="n"/>
      <c r="O117" s="555" t="n"/>
      <c r="P117" s="555" t="n"/>
      <c r="Q117" s="555" t="n"/>
      <c r="R117" s="555" t="n"/>
      <c r="S117" s="473" t="n"/>
      <c r="T117" s="473" t="n"/>
      <c r="U117" s="473" t="n"/>
      <c r="V117" s="473" t="n"/>
    </row>
    <row r="118" ht="39.75" customHeight="1" s="574">
      <c r="A118" s="555" t="n"/>
      <c r="B118" s="555" t="n"/>
      <c r="C118" s="555" t="n"/>
      <c r="D118" s="555" t="n"/>
      <c r="E118" s="555" t="n"/>
      <c r="F118" s="555" t="n"/>
      <c r="G118" s="555" t="n"/>
      <c r="H118" s="555" t="n"/>
      <c r="I118" s="555" t="n"/>
      <c r="J118" s="555" t="n"/>
      <c r="K118" s="555" t="n"/>
      <c r="L118" s="555" t="n"/>
      <c r="M118" s="555" t="n"/>
      <c r="N118" s="555" t="n"/>
      <c r="O118" s="555" t="n"/>
      <c r="P118" s="555" t="n"/>
      <c r="Q118" s="555" t="n"/>
      <c r="R118" s="555" t="n"/>
      <c r="S118" s="473" t="n"/>
      <c r="T118" s="473" t="n"/>
      <c r="U118" s="473" t="n"/>
      <c r="V118" s="473" t="n"/>
    </row>
    <row r="119" ht="39.75" customHeight="1" s="574">
      <c r="A119" s="555" t="n"/>
      <c r="B119" s="555" t="n"/>
      <c r="C119" s="555" t="n"/>
      <c r="D119" s="555" t="n"/>
      <c r="E119" s="555" t="n"/>
      <c r="F119" s="555" t="n"/>
      <c r="G119" s="555" t="n"/>
      <c r="H119" s="555" t="n"/>
      <c r="I119" s="555" t="n"/>
      <c r="J119" s="555" t="n"/>
      <c r="K119" s="555" t="n"/>
      <c r="L119" s="555" t="n"/>
      <c r="M119" s="555" t="n"/>
      <c r="N119" s="555" t="n"/>
      <c r="O119" s="555" t="n"/>
      <c r="P119" s="555" t="n"/>
      <c r="Q119" s="555" t="n"/>
      <c r="R119" s="555" t="n"/>
      <c r="S119" s="473" t="n"/>
      <c r="T119" s="473" t="n"/>
      <c r="U119" s="473" t="n"/>
      <c r="V119" s="473" t="n"/>
    </row>
    <row r="120" ht="39.75" customHeight="1" s="574">
      <c r="A120" s="555" t="n"/>
      <c r="B120" s="555" t="n"/>
      <c r="C120" s="555" t="n"/>
      <c r="D120" s="555" t="n"/>
      <c r="E120" s="555" t="n"/>
      <c r="F120" s="555" t="n"/>
      <c r="G120" s="555" t="n"/>
      <c r="H120" s="555" t="n"/>
      <c r="I120" s="555" t="n"/>
      <c r="J120" s="555" t="n"/>
      <c r="K120" s="555" t="n"/>
      <c r="L120" s="555" t="n"/>
      <c r="M120" s="555" t="n"/>
      <c r="N120" s="555" t="n"/>
      <c r="O120" s="555" t="n"/>
      <c r="P120" s="555" t="n"/>
      <c r="Q120" s="555" t="n"/>
      <c r="R120" s="555" t="n"/>
      <c r="S120" s="473" t="n"/>
      <c r="T120" s="473" t="n"/>
      <c r="U120" s="473" t="n"/>
      <c r="V120" s="473" t="n"/>
    </row>
    <row r="121" ht="39.75" customHeight="1" s="574">
      <c r="A121" s="555" t="n"/>
      <c r="B121" s="555" t="n"/>
      <c r="C121" s="555" t="n"/>
      <c r="D121" s="555" t="n"/>
      <c r="E121" s="555" t="n"/>
      <c r="F121" s="555" t="n"/>
      <c r="G121" s="555" t="n"/>
      <c r="H121" s="555" t="n"/>
      <c r="I121" s="555" t="n"/>
      <c r="J121" s="555" t="n"/>
      <c r="K121" s="555" t="n"/>
      <c r="L121" s="555" t="n"/>
      <c r="M121" s="555" t="n"/>
      <c r="N121" s="555" t="n"/>
      <c r="O121" s="555" t="n"/>
      <c r="P121" s="555" t="n"/>
      <c r="Q121" s="555" t="n"/>
      <c r="R121" s="555" t="n"/>
      <c r="S121" s="473" t="n"/>
      <c r="T121" s="473" t="n"/>
      <c r="U121" s="473" t="n"/>
      <c r="V121" s="473" t="n"/>
    </row>
    <row r="122" ht="39.75" customHeight="1" s="574">
      <c r="A122" s="555" t="n"/>
      <c r="B122" s="555" t="n"/>
      <c r="C122" s="555" t="n"/>
      <c r="D122" s="555" t="n"/>
      <c r="E122" s="555" t="n"/>
      <c r="F122" s="555" t="n"/>
      <c r="G122" s="555" t="n"/>
      <c r="H122" s="555" t="n"/>
      <c r="I122" s="555" t="n"/>
      <c r="J122" s="555" t="n"/>
      <c r="K122" s="555" t="n"/>
      <c r="L122" s="555" t="n"/>
      <c r="M122" s="555" t="n"/>
      <c r="N122" s="555" t="n"/>
      <c r="O122" s="555" t="n"/>
      <c r="P122" s="555" t="n"/>
      <c r="Q122" s="555" t="n"/>
      <c r="R122" s="555" t="n"/>
      <c r="S122" s="473" t="n"/>
      <c r="T122" s="473" t="n"/>
      <c r="U122" s="473" t="n"/>
      <c r="V122" s="473" t="n"/>
    </row>
    <row r="123" ht="39.75" customHeight="1" s="574">
      <c r="A123" s="555" t="n"/>
      <c r="B123" s="555" t="n"/>
      <c r="C123" s="555" t="n"/>
      <c r="D123" s="555" t="n"/>
      <c r="E123" s="555" t="n"/>
      <c r="F123" s="555" t="n"/>
      <c r="G123" s="555" t="n"/>
      <c r="H123" s="555" t="n"/>
      <c r="I123" s="555" t="n"/>
      <c r="J123" s="555" t="n"/>
      <c r="K123" s="555" t="n"/>
      <c r="L123" s="555" t="n"/>
      <c r="M123" s="555" t="n"/>
      <c r="N123" s="555" t="n"/>
      <c r="O123" s="555" t="n"/>
      <c r="P123" s="555" t="n"/>
      <c r="Q123" s="555" t="n"/>
      <c r="R123" s="555" t="n"/>
      <c r="S123" s="473" t="n"/>
      <c r="T123" s="473" t="n"/>
      <c r="U123" s="473" t="n"/>
      <c r="V123" s="473" t="n"/>
    </row>
    <row r="124" ht="39.75" customHeight="1" s="574">
      <c r="A124" s="555" t="n"/>
      <c r="B124" s="555" t="n"/>
      <c r="C124" s="555" t="n"/>
      <c r="D124" s="555" t="n"/>
      <c r="E124" s="555" t="n"/>
      <c r="F124" s="555" t="n"/>
      <c r="G124" s="555" t="n"/>
      <c r="H124" s="555" t="n"/>
      <c r="I124" s="555" t="n"/>
      <c r="J124" s="555" t="n"/>
      <c r="K124" s="555" t="n"/>
      <c r="L124" s="555" t="n"/>
      <c r="M124" s="555" t="n"/>
      <c r="N124" s="555" t="n"/>
      <c r="O124" s="555" t="n"/>
      <c r="P124" s="555" t="n"/>
      <c r="Q124" s="555" t="n"/>
      <c r="R124" s="555" t="n"/>
      <c r="S124" s="473" t="n"/>
      <c r="T124" s="473" t="n"/>
      <c r="U124" s="473" t="n"/>
      <c r="V124" s="473" t="n"/>
    </row>
    <row r="125" ht="39.75" customHeight="1" s="574">
      <c r="A125" s="555" t="n"/>
      <c r="B125" s="555" t="n"/>
      <c r="C125" s="555" t="n"/>
      <c r="D125" s="555" t="n"/>
      <c r="E125" s="555" t="n"/>
      <c r="F125" s="555" t="n"/>
      <c r="G125" s="555" t="n"/>
      <c r="H125" s="555" t="n"/>
      <c r="I125" s="555" t="n"/>
      <c r="J125" s="555" t="n"/>
      <c r="K125" s="555" t="n"/>
      <c r="L125" s="555" t="n"/>
      <c r="M125" s="555" t="n"/>
      <c r="N125" s="555" t="n"/>
      <c r="O125" s="555" t="n"/>
      <c r="P125" s="555" t="n"/>
      <c r="Q125" s="555" t="n"/>
      <c r="R125" s="555" t="n"/>
      <c r="S125" s="473" t="n"/>
      <c r="T125" s="473" t="n"/>
      <c r="U125" s="473" t="n"/>
      <c r="V125" s="473" t="n"/>
    </row>
    <row r="126" ht="39.75" customHeight="1" s="574">
      <c r="A126" s="555" t="n"/>
      <c r="B126" s="555" t="n"/>
      <c r="C126" s="555" t="n"/>
      <c r="D126" s="555" t="n"/>
      <c r="E126" s="555" t="n"/>
      <c r="F126" s="555" t="n"/>
      <c r="G126" s="555" t="n"/>
      <c r="H126" s="555" t="n"/>
      <c r="I126" s="555" t="n"/>
      <c r="J126" s="555" t="n"/>
      <c r="K126" s="555" t="n"/>
      <c r="L126" s="555" t="n"/>
      <c r="M126" s="555" t="n"/>
      <c r="N126" s="555" t="n"/>
      <c r="O126" s="555" t="n"/>
      <c r="P126" s="555" t="n"/>
      <c r="Q126" s="555" t="n"/>
      <c r="R126" s="555" t="n"/>
      <c r="S126" s="473" t="n"/>
      <c r="T126" s="473" t="n"/>
      <c r="U126" s="473" t="n"/>
      <c r="V126" s="473" t="n"/>
    </row>
    <row r="127" ht="39.75" customHeight="1" s="574">
      <c r="A127" s="555" t="n"/>
      <c r="B127" s="555" t="n"/>
      <c r="C127" s="555" t="n"/>
      <c r="D127" s="555" t="n"/>
      <c r="E127" s="555" t="n"/>
      <c r="F127" s="555" t="n"/>
      <c r="G127" s="555" t="n"/>
      <c r="H127" s="555" t="n"/>
      <c r="I127" s="555" t="n"/>
      <c r="J127" s="555" t="n"/>
      <c r="K127" s="555" t="n"/>
      <c r="L127" s="555" t="n"/>
      <c r="M127" s="555" t="n"/>
      <c r="N127" s="555" t="n"/>
      <c r="O127" s="555" t="n"/>
      <c r="P127" s="555" t="n"/>
      <c r="Q127" s="555" t="n"/>
      <c r="R127" s="555" t="n"/>
      <c r="S127" s="473" t="n"/>
      <c r="T127" s="473" t="n"/>
      <c r="U127" s="473" t="n"/>
      <c r="V127" s="473" t="n"/>
    </row>
    <row r="128" ht="39.75" customHeight="1" s="574">
      <c r="A128" s="555" t="n"/>
      <c r="B128" s="555" t="n"/>
      <c r="C128" s="555" t="n"/>
      <c r="D128" s="555" t="n"/>
      <c r="E128" s="555" t="n"/>
      <c r="F128" s="555" t="n"/>
      <c r="G128" s="555" t="n"/>
      <c r="H128" s="555" t="n"/>
      <c r="I128" s="555" t="n"/>
      <c r="J128" s="555" t="n"/>
      <c r="K128" s="555" t="n"/>
      <c r="L128" s="555" t="n"/>
      <c r="M128" s="555" t="n"/>
      <c r="N128" s="555" t="n"/>
      <c r="O128" s="555" t="n"/>
      <c r="P128" s="555" t="n"/>
      <c r="Q128" s="555" t="n"/>
      <c r="R128" s="555" t="n"/>
      <c r="S128" s="473" t="n"/>
      <c r="T128" s="473" t="n"/>
      <c r="U128" s="473" t="n"/>
      <c r="V128" s="473" t="n"/>
    </row>
    <row r="129" ht="39.75" customHeight="1" s="574">
      <c r="A129" s="555" t="n"/>
      <c r="B129" s="555" t="n"/>
      <c r="C129" s="555" t="n"/>
      <c r="D129" s="555" t="n"/>
      <c r="E129" s="555" t="n"/>
      <c r="F129" s="555" t="n"/>
      <c r="G129" s="555" t="n"/>
      <c r="H129" s="555" t="n"/>
      <c r="I129" s="555" t="n"/>
      <c r="J129" s="555" t="n"/>
      <c r="K129" s="555" t="n"/>
      <c r="L129" s="555" t="n"/>
      <c r="M129" s="555" t="n"/>
      <c r="N129" s="555" t="n"/>
      <c r="O129" s="555" t="n"/>
      <c r="P129" s="555" t="n"/>
      <c r="Q129" s="555" t="n"/>
      <c r="R129" s="555" t="n"/>
      <c r="S129" s="473" t="n"/>
      <c r="T129" s="473" t="n"/>
      <c r="U129" s="473" t="n"/>
      <c r="V129" s="473" t="n"/>
    </row>
    <row r="130" ht="39.75" customHeight="1" s="574">
      <c r="A130" s="555" t="n"/>
      <c r="B130" s="555" t="n"/>
      <c r="C130" s="555" t="n"/>
      <c r="D130" s="555" t="n"/>
      <c r="E130" s="555" t="n"/>
      <c r="F130" s="555" t="n"/>
      <c r="G130" s="555" t="n"/>
      <c r="H130" s="555" t="n"/>
      <c r="I130" s="555" t="n"/>
      <c r="J130" s="555" t="n"/>
      <c r="K130" s="555" t="n"/>
      <c r="L130" s="555" t="n"/>
      <c r="M130" s="555" t="n"/>
      <c r="N130" s="555" t="n"/>
      <c r="O130" s="555" t="n"/>
      <c r="P130" s="555" t="n"/>
      <c r="Q130" s="555" t="n"/>
      <c r="R130" s="555" t="n"/>
      <c r="S130" s="473" t="n"/>
      <c r="T130" s="473" t="n"/>
      <c r="U130" s="473" t="n"/>
      <c r="V130" s="473" t="n"/>
    </row>
    <row r="131" ht="39.75" customHeight="1" s="574">
      <c r="A131" s="555" t="n"/>
      <c r="B131" s="555" t="n"/>
      <c r="C131" s="555" t="n"/>
      <c r="D131" s="555" t="n"/>
      <c r="E131" s="555" t="n"/>
      <c r="F131" s="555" t="n"/>
      <c r="G131" s="555" t="n"/>
      <c r="H131" s="555" t="n"/>
      <c r="I131" s="555" t="n"/>
      <c r="J131" s="555" t="n"/>
      <c r="K131" s="555" t="n"/>
      <c r="L131" s="555" t="n"/>
      <c r="M131" s="555" t="n"/>
      <c r="N131" s="555" t="n"/>
      <c r="O131" s="555" t="n"/>
      <c r="P131" s="555" t="n"/>
      <c r="Q131" s="555" t="n"/>
      <c r="R131" s="555" t="n"/>
      <c r="S131" s="473" t="n"/>
      <c r="T131" s="473" t="n"/>
      <c r="U131" s="473" t="n"/>
      <c r="V131" s="473" t="n"/>
    </row>
    <row r="132" ht="39.75" customHeight="1" s="574">
      <c r="A132" s="555" t="n"/>
      <c r="B132" s="555" t="n"/>
      <c r="C132" s="555" t="n"/>
      <c r="D132" s="555" t="n"/>
      <c r="E132" s="555" t="n"/>
      <c r="F132" s="555" t="n"/>
      <c r="G132" s="555" t="n"/>
      <c r="H132" s="555" t="n"/>
      <c r="I132" s="555" t="n"/>
      <c r="J132" s="555" t="n"/>
      <c r="K132" s="555" t="n"/>
      <c r="L132" s="555" t="n"/>
      <c r="M132" s="555" t="n"/>
      <c r="N132" s="555" t="n"/>
      <c r="O132" s="555" t="n"/>
      <c r="P132" s="555" t="n"/>
      <c r="Q132" s="555" t="n"/>
      <c r="R132" s="555" t="n"/>
      <c r="S132" s="473" t="n"/>
      <c r="T132" s="473" t="n"/>
      <c r="U132" s="473" t="n"/>
      <c r="V132" s="473" t="n"/>
    </row>
    <row r="133" ht="39.75" customHeight="1" s="574">
      <c r="A133" s="555" t="n"/>
      <c r="B133" s="555" t="n"/>
      <c r="C133" s="555" t="n"/>
      <c r="D133" s="555" t="n"/>
      <c r="E133" s="555" t="n"/>
      <c r="F133" s="555" t="n"/>
      <c r="G133" s="555" t="n"/>
      <c r="H133" s="555" t="n"/>
      <c r="I133" s="555" t="n"/>
      <c r="J133" s="555" t="n"/>
      <c r="K133" s="555" t="n"/>
      <c r="L133" s="555" t="n"/>
      <c r="M133" s="555" t="n"/>
      <c r="N133" s="555" t="n"/>
      <c r="O133" s="555" t="n"/>
      <c r="P133" s="555" t="n"/>
      <c r="Q133" s="555" t="n"/>
      <c r="R133" s="555" t="n"/>
      <c r="S133" s="473" t="n"/>
      <c r="T133" s="473" t="n"/>
      <c r="U133" s="473" t="n"/>
      <c r="V133" s="473" t="n"/>
    </row>
    <row r="134" ht="39.75" customHeight="1" s="574">
      <c r="A134" s="555" t="n"/>
      <c r="B134" s="555" t="n"/>
      <c r="C134" s="555" t="n"/>
      <c r="D134" s="555" t="n"/>
      <c r="E134" s="555" t="n"/>
      <c r="F134" s="555" t="n"/>
      <c r="G134" s="555" t="n"/>
      <c r="H134" s="555" t="n"/>
      <c r="I134" s="555" t="n"/>
      <c r="J134" s="555" t="n"/>
      <c r="K134" s="555" t="n"/>
      <c r="L134" s="555" t="n"/>
      <c r="M134" s="555" t="n"/>
      <c r="N134" s="555" t="n"/>
      <c r="O134" s="555" t="n"/>
      <c r="P134" s="555" t="n"/>
      <c r="Q134" s="555" t="n"/>
      <c r="R134" s="555" t="n"/>
      <c r="S134" s="473" t="n"/>
      <c r="T134" s="473" t="n"/>
      <c r="U134" s="473" t="n"/>
      <c r="V134" s="473" t="n"/>
    </row>
    <row r="135" ht="39.75" customHeight="1" s="574">
      <c r="A135" s="555" t="n"/>
      <c r="B135" s="555" t="n"/>
      <c r="C135" s="555" t="n"/>
      <c r="D135" s="555" t="n"/>
      <c r="E135" s="555" t="n"/>
      <c r="F135" s="555" t="n"/>
      <c r="G135" s="555" t="n"/>
      <c r="H135" s="555" t="n"/>
      <c r="I135" s="555" t="n"/>
      <c r="J135" s="555" t="n"/>
      <c r="K135" s="555" t="n"/>
      <c r="L135" s="555" t="n"/>
      <c r="M135" s="555" t="n"/>
      <c r="N135" s="555" t="n"/>
      <c r="O135" s="555" t="n"/>
      <c r="P135" s="555" t="n"/>
      <c r="Q135" s="555" t="n"/>
      <c r="R135" s="555" t="n"/>
      <c r="S135" s="473" t="n"/>
      <c r="T135" s="473" t="n"/>
      <c r="U135" s="473" t="n"/>
      <c r="V135" s="473" t="n"/>
    </row>
    <row r="136" ht="39.75" customHeight="1" s="574">
      <c r="A136" s="555" t="n"/>
      <c r="B136" s="555" t="n"/>
      <c r="C136" s="555" t="n"/>
      <c r="D136" s="555" t="n"/>
      <c r="E136" s="555" t="n"/>
      <c r="F136" s="555" t="n"/>
      <c r="G136" s="555" t="n"/>
      <c r="H136" s="555" t="n"/>
      <c r="I136" s="555" t="n"/>
      <c r="J136" s="555" t="n"/>
      <c r="K136" s="555" t="n"/>
      <c r="L136" s="555" t="n"/>
      <c r="M136" s="555" t="n"/>
      <c r="N136" s="555" t="n"/>
      <c r="O136" s="555" t="n"/>
      <c r="P136" s="555" t="n"/>
      <c r="Q136" s="555" t="n"/>
      <c r="R136" s="555" t="n"/>
      <c r="S136" s="473" t="n"/>
      <c r="T136" s="473" t="n"/>
      <c r="U136" s="473" t="n"/>
      <c r="V136" s="473" t="n"/>
    </row>
    <row r="137" ht="39.75" customHeight="1" s="574">
      <c r="A137" s="555" t="n"/>
      <c r="B137" s="555" t="n"/>
      <c r="C137" s="555" t="n"/>
      <c r="D137" s="555" t="n"/>
      <c r="E137" s="555" t="n"/>
      <c r="F137" s="555" t="n"/>
      <c r="G137" s="555" t="n"/>
      <c r="H137" s="555" t="n"/>
      <c r="I137" s="555" t="n"/>
      <c r="J137" s="555" t="n"/>
      <c r="K137" s="555" t="n"/>
      <c r="L137" s="555" t="n"/>
      <c r="M137" s="555" t="n"/>
      <c r="N137" s="555" t="n"/>
      <c r="O137" s="555" t="n"/>
      <c r="P137" s="555" t="n"/>
      <c r="Q137" s="555" t="n"/>
      <c r="R137" s="555" t="n"/>
      <c r="S137" s="473" t="n"/>
      <c r="T137" s="473" t="n"/>
      <c r="U137" s="473" t="n"/>
      <c r="V137" s="473" t="n"/>
    </row>
    <row r="138" ht="39.75" customHeight="1" s="574">
      <c r="A138" s="555" t="n"/>
      <c r="B138" s="555" t="n"/>
      <c r="C138" s="555" t="n"/>
      <c r="D138" s="555" t="n"/>
      <c r="E138" s="555" t="n"/>
      <c r="F138" s="555" t="n"/>
      <c r="G138" s="555" t="n"/>
      <c r="H138" s="555" t="n"/>
      <c r="I138" s="555" t="n"/>
      <c r="J138" s="555" t="n"/>
      <c r="K138" s="555" t="n"/>
      <c r="L138" s="555" t="n"/>
      <c r="M138" s="555" t="n"/>
      <c r="N138" s="555" t="n"/>
      <c r="O138" s="555" t="n"/>
      <c r="P138" s="555" t="n"/>
      <c r="Q138" s="555" t="n"/>
      <c r="R138" s="555" t="n"/>
      <c r="S138" s="473" t="n"/>
      <c r="T138" s="473" t="n"/>
      <c r="U138" s="473" t="n"/>
      <c r="V138" s="473" t="n"/>
    </row>
    <row r="139" ht="39.75" customHeight="1" s="574">
      <c r="A139" s="555" t="n"/>
      <c r="B139" s="555" t="n"/>
      <c r="C139" s="555" t="n"/>
      <c r="D139" s="555" t="n"/>
      <c r="E139" s="555" t="n"/>
      <c r="F139" s="555" t="n"/>
      <c r="G139" s="555" t="n"/>
      <c r="H139" s="555" t="n"/>
      <c r="I139" s="555" t="n"/>
      <c r="J139" s="555" t="n"/>
      <c r="K139" s="555" t="n"/>
      <c r="L139" s="555" t="n"/>
      <c r="M139" s="555" t="n"/>
      <c r="N139" s="555" t="n"/>
      <c r="O139" s="555" t="n"/>
      <c r="P139" s="555" t="n"/>
      <c r="Q139" s="555" t="n"/>
      <c r="R139" s="555" t="n"/>
      <c r="S139" s="473" t="n"/>
      <c r="T139" s="473" t="n"/>
      <c r="U139" s="473" t="n"/>
      <c r="V139" s="473" t="n"/>
    </row>
    <row r="140" ht="39.75" customHeight="1" s="574">
      <c r="A140" s="555" t="n"/>
      <c r="B140" s="555" t="n"/>
      <c r="C140" s="555" t="n"/>
      <c r="D140" s="555" t="n"/>
      <c r="E140" s="555" t="n"/>
      <c r="F140" s="555" t="n"/>
      <c r="G140" s="555" t="n"/>
      <c r="H140" s="555" t="n"/>
      <c r="I140" s="555" t="n"/>
      <c r="J140" s="555" t="n"/>
      <c r="K140" s="555" t="n"/>
      <c r="L140" s="555" t="n"/>
      <c r="M140" s="555" t="n"/>
      <c r="N140" s="555" t="n"/>
      <c r="O140" s="555" t="n"/>
      <c r="P140" s="555" t="n"/>
      <c r="Q140" s="555" t="n"/>
      <c r="R140" s="555" t="n"/>
      <c r="S140" s="473" t="n"/>
      <c r="T140" s="473" t="n"/>
      <c r="U140" s="473" t="n"/>
      <c r="V140" s="473" t="n"/>
    </row>
    <row r="141" ht="39.75" customHeight="1" s="574">
      <c r="A141" s="555" t="n"/>
      <c r="B141" s="555" t="n"/>
      <c r="C141" s="555" t="n"/>
      <c r="D141" s="555" t="n"/>
      <c r="E141" s="555" t="n"/>
      <c r="F141" s="555" t="n"/>
      <c r="G141" s="555" t="n"/>
      <c r="H141" s="555" t="n"/>
      <c r="I141" s="555" t="n"/>
      <c r="J141" s="555" t="n"/>
      <c r="K141" s="555" t="n"/>
      <c r="L141" s="555" t="n"/>
      <c r="M141" s="555" t="n"/>
      <c r="N141" s="555" t="n"/>
      <c r="O141" s="555" t="n"/>
      <c r="P141" s="555" t="n"/>
      <c r="Q141" s="555" t="n"/>
      <c r="R141" s="555" t="n"/>
      <c r="S141" s="473" t="n"/>
      <c r="T141" s="473" t="n"/>
      <c r="U141" s="473" t="n"/>
      <c r="V141" s="473" t="n"/>
    </row>
    <row r="142" ht="39.75" customHeight="1" s="574">
      <c r="A142" s="555" t="n"/>
      <c r="B142" s="555" t="n"/>
      <c r="C142" s="555" t="n"/>
      <c r="D142" s="555" t="n"/>
      <c r="E142" s="555" t="n"/>
      <c r="F142" s="555" t="n"/>
      <c r="G142" s="555" t="n"/>
      <c r="H142" s="555" t="n"/>
      <c r="I142" s="555" t="n"/>
      <c r="J142" s="555" t="n"/>
      <c r="K142" s="555" t="n"/>
      <c r="L142" s="555" t="n"/>
      <c r="M142" s="555" t="n"/>
      <c r="N142" s="555" t="n"/>
      <c r="O142" s="555" t="n"/>
      <c r="P142" s="555" t="n"/>
      <c r="Q142" s="555" t="n"/>
      <c r="R142" s="555" t="n"/>
      <c r="S142" s="473" t="n"/>
      <c r="T142" s="473" t="n"/>
      <c r="U142" s="473" t="n"/>
      <c r="V142" s="473" t="n"/>
    </row>
    <row r="143" ht="39.75" customHeight="1" s="574">
      <c r="A143" s="555" t="n"/>
      <c r="B143" s="555" t="n"/>
      <c r="C143" s="555" t="n"/>
      <c r="D143" s="555" t="n"/>
      <c r="E143" s="555" t="n"/>
      <c r="F143" s="555" t="n"/>
      <c r="G143" s="555" t="n"/>
      <c r="H143" s="555" t="n"/>
      <c r="I143" s="555" t="n"/>
      <c r="J143" s="555" t="n"/>
      <c r="K143" s="555" t="n"/>
      <c r="L143" s="555" t="n"/>
      <c r="M143" s="555" t="n"/>
      <c r="N143" s="555" t="n"/>
      <c r="O143" s="555" t="n"/>
      <c r="P143" s="555" t="n"/>
      <c r="Q143" s="555" t="n"/>
      <c r="R143" s="555" t="n"/>
      <c r="S143" s="473" t="n"/>
      <c r="T143" s="473" t="n"/>
      <c r="U143" s="473" t="n"/>
      <c r="V143" s="473" t="n"/>
    </row>
    <row r="144" ht="39.75" customHeight="1" s="574">
      <c r="A144" s="555" t="n"/>
      <c r="B144" s="555" t="n"/>
      <c r="C144" s="555" t="n"/>
      <c r="D144" s="555" t="n"/>
      <c r="E144" s="555" t="n"/>
      <c r="F144" s="555" t="n"/>
      <c r="G144" s="555" t="n"/>
      <c r="H144" s="555" t="n"/>
      <c r="I144" s="555" t="n"/>
      <c r="J144" s="555" t="n"/>
      <c r="K144" s="555" t="n"/>
      <c r="L144" s="555" t="n"/>
      <c r="M144" s="555" t="n"/>
      <c r="N144" s="555" t="n"/>
      <c r="O144" s="555" t="n"/>
      <c r="P144" s="555" t="n"/>
      <c r="Q144" s="555" t="n"/>
      <c r="R144" s="555" t="n"/>
      <c r="S144" s="473" t="n"/>
      <c r="T144" s="473" t="n"/>
      <c r="U144" s="473" t="n"/>
      <c r="V144" s="473" t="n"/>
    </row>
    <row r="145" ht="39.75" customHeight="1" s="574">
      <c r="A145" s="555" t="n"/>
      <c r="B145" s="555" t="n"/>
      <c r="C145" s="555" t="n"/>
      <c r="D145" s="555" t="n"/>
      <c r="E145" s="555" t="n"/>
      <c r="F145" s="555" t="n"/>
      <c r="G145" s="555" t="n"/>
      <c r="H145" s="555" t="n"/>
      <c r="I145" s="555" t="n"/>
      <c r="J145" s="555" t="n"/>
      <c r="K145" s="555" t="n"/>
      <c r="L145" s="555" t="n"/>
      <c r="M145" s="555" t="n"/>
      <c r="N145" s="555" t="n"/>
      <c r="O145" s="555" t="n"/>
      <c r="P145" s="555" t="n"/>
      <c r="Q145" s="555" t="n"/>
      <c r="R145" s="555" t="n"/>
      <c r="S145" s="473" t="n"/>
      <c r="T145" s="473" t="n"/>
      <c r="U145" s="473" t="n"/>
      <c r="V145" s="473" t="n"/>
    </row>
    <row r="146" ht="39.75" customHeight="1" s="574">
      <c r="A146" s="555" t="n"/>
      <c r="B146" s="555" t="n"/>
      <c r="C146" s="555" t="n"/>
      <c r="D146" s="555" t="n"/>
      <c r="E146" s="555" t="n"/>
      <c r="F146" s="555" t="n"/>
      <c r="G146" s="555" t="n"/>
      <c r="H146" s="555" t="n"/>
      <c r="I146" s="555" t="n"/>
      <c r="J146" s="555" t="n"/>
      <c r="K146" s="555" t="n"/>
      <c r="L146" s="555" t="n"/>
      <c r="M146" s="555" t="n"/>
      <c r="N146" s="555" t="n"/>
      <c r="O146" s="555" t="n"/>
      <c r="P146" s="555" t="n"/>
      <c r="Q146" s="555" t="n"/>
      <c r="R146" s="555" t="n"/>
      <c r="S146" s="473" t="n"/>
      <c r="T146" s="473" t="n"/>
      <c r="U146" s="473" t="n"/>
      <c r="V146" s="473" t="n"/>
    </row>
    <row r="147" ht="39.75" customHeight="1" s="574">
      <c r="A147" s="555" t="n"/>
      <c r="B147" s="555" t="n"/>
      <c r="C147" s="555" t="n"/>
      <c r="D147" s="555" t="n"/>
      <c r="E147" s="555" t="n"/>
      <c r="F147" s="555" t="n"/>
      <c r="G147" s="555" t="n"/>
      <c r="H147" s="555" t="n"/>
      <c r="I147" s="555" t="n"/>
      <c r="J147" s="555" t="n"/>
      <c r="K147" s="555" t="n"/>
      <c r="L147" s="555" t="n"/>
      <c r="M147" s="555" t="n"/>
      <c r="N147" s="555" t="n"/>
      <c r="O147" s="555" t="n"/>
      <c r="P147" s="555" t="n"/>
      <c r="Q147" s="555" t="n"/>
      <c r="R147" s="555" t="n"/>
      <c r="S147" s="473" t="n"/>
      <c r="T147" s="473" t="n"/>
      <c r="U147" s="473" t="n"/>
      <c r="V147" s="473" t="n"/>
    </row>
    <row r="148" ht="39.75" customHeight="1" s="574">
      <c r="A148" s="555" t="n"/>
      <c r="B148" s="555" t="n"/>
      <c r="C148" s="555" t="n"/>
      <c r="D148" s="555" t="n"/>
      <c r="E148" s="555" t="n"/>
      <c r="F148" s="555" t="n"/>
      <c r="G148" s="555" t="n"/>
      <c r="H148" s="555" t="n"/>
      <c r="I148" s="555" t="n"/>
      <c r="J148" s="555" t="n"/>
      <c r="K148" s="555" t="n"/>
      <c r="L148" s="555" t="n"/>
      <c r="M148" s="555" t="n"/>
      <c r="N148" s="555" t="n"/>
      <c r="O148" s="555" t="n"/>
      <c r="P148" s="555" t="n"/>
      <c r="Q148" s="555" t="n"/>
      <c r="R148" s="555" t="n"/>
      <c r="S148" s="473" t="n"/>
      <c r="T148" s="473" t="n"/>
      <c r="U148" s="473" t="n"/>
      <c r="V148" s="473" t="n"/>
    </row>
    <row r="149" ht="21" customHeight="1" s="574">
      <c r="A149" s="555" t="n"/>
      <c r="B149" s="555" t="n"/>
      <c r="C149" s="555" t="n"/>
      <c r="D149" s="555" t="n"/>
      <c r="E149" s="555" t="n"/>
      <c r="F149" s="555" t="n"/>
      <c r="G149" s="555" t="n"/>
      <c r="H149" s="555" t="n"/>
      <c r="I149" s="555" t="n"/>
      <c r="J149" s="555" t="n"/>
      <c r="K149" s="555" t="n"/>
      <c r="L149" s="555" t="n"/>
      <c r="M149" s="555" t="n"/>
      <c r="N149" s="555" t="n"/>
      <c r="O149" s="555" t="n"/>
      <c r="P149" s="555" t="n"/>
      <c r="Q149" s="555" t="n"/>
      <c r="R149" s="555" t="n"/>
      <c r="S149" s="473" t="n"/>
      <c r="T149" s="473" t="n"/>
      <c r="U149" s="473" t="n"/>
      <c r="V149" s="473" t="n"/>
    </row>
    <row r="150" ht="21" customHeight="1" s="574">
      <c r="A150" s="555" t="n"/>
      <c r="B150" s="555" t="n"/>
      <c r="C150" s="555" t="n"/>
      <c r="D150" s="555" t="n"/>
      <c r="E150" s="555" t="n"/>
      <c r="F150" s="555" t="n"/>
      <c r="G150" s="555" t="n"/>
      <c r="H150" s="555" t="n"/>
      <c r="I150" s="555" t="n"/>
      <c r="J150" s="555" t="n"/>
      <c r="K150" s="555" t="n"/>
      <c r="L150" s="555" t="n"/>
      <c r="M150" s="555" t="n"/>
      <c r="N150" s="555" t="n"/>
      <c r="O150" s="555" t="n"/>
      <c r="P150" s="555" t="n"/>
      <c r="Q150" s="555" t="n"/>
      <c r="R150" s="555" t="n"/>
      <c r="S150" s="473" t="n"/>
      <c r="T150" s="473" t="n"/>
      <c r="U150" s="473" t="n"/>
      <c r="V150" s="473" t="n"/>
    </row>
    <row r="151" ht="21" customHeight="1" s="574">
      <c r="A151" s="555" t="n"/>
      <c r="B151" s="555" t="n"/>
      <c r="C151" s="555" t="n"/>
      <c r="D151" s="555" t="n"/>
      <c r="E151" s="555" t="n"/>
      <c r="F151" s="555" t="n"/>
      <c r="G151" s="555" t="n"/>
      <c r="H151" s="555" t="n"/>
      <c r="I151" s="555" t="n"/>
      <c r="J151" s="555" t="n"/>
      <c r="K151" s="555" t="n"/>
      <c r="L151" s="555" t="n"/>
      <c r="M151" s="555" t="n"/>
      <c r="N151" s="555" t="n"/>
      <c r="O151" s="555" t="n"/>
      <c r="P151" s="555" t="n"/>
      <c r="Q151" s="555" t="n"/>
      <c r="R151" s="555" t="n"/>
      <c r="S151" s="473" t="n"/>
      <c r="T151" s="473" t="n"/>
      <c r="U151" s="473" t="n"/>
      <c r="V151" s="473" t="n"/>
    </row>
    <row r="152" ht="21" customHeight="1" s="574">
      <c r="A152" s="555" t="n"/>
      <c r="B152" s="555" t="n"/>
      <c r="C152" s="555" t="n"/>
      <c r="D152" s="555" t="n"/>
      <c r="E152" s="555" t="n"/>
      <c r="F152" s="555" t="n"/>
      <c r="G152" s="555" t="n"/>
      <c r="H152" s="555" t="n"/>
      <c r="I152" s="555" t="n"/>
      <c r="J152" s="555" t="n"/>
      <c r="K152" s="555" t="n"/>
      <c r="L152" s="555" t="n"/>
      <c r="M152" s="555" t="n"/>
      <c r="N152" s="555" t="n"/>
      <c r="O152" s="555" t="n"/>
      <c r="P152" s="555" t="n"/>
      <c r="Q152" s="555" t="n"/>
      <c r="R152" s="555" t="n"/>
      <c r="S152" s="473" t="n"/>
      <c r="T152" s="473" t="n"/>
      <c r="U152" s="473" t="n"/>
      <c r="V152" s="473" t="n"/>
    </row>
    <row r="153" ht="21" customHeight="1" s="574">
      <c r="A153" s="555" t="n"/>
      <c r="B153" s="555" t="n"/>
      <c r="C153" s="555" t="n"/>
      <c r="D153" s="555" t="n"/>
      <c r="E153" s="555" t="n"/>
      <c r="F153" s="555" t="n"/>
      <c r="G153" s="555" t="n"/>
      <c r="H153" s="555" t="n"/>
      <c r="I153" s="555" t="n"/>
      <c r="J153" s="555" t="n"/>
      <c r="K153" s="555" t="n"/>
      <c r="L153" s="555" t="n"/>
      <c r="M153" s="555" t="n"/>
      <c r="N153" s="555" t="n"/>
      <c r="O153" s="555" t="n"/>
      <c r="P153" s="555" t="n"/>
      <c r="Q153" s="555" t="n"/>
      <c r="R153" s="555" t="n"/>
      <c r="S153" s="473" t="n"/>
      <c r="T153" s="473" t="n"/>
      <c r="U153" s="473" t="n"/>
      <c r="V153" s="473" t="n"/>
    </row>
    <row r="154" ht="21" customHeight="1" s="574">
      <c r="A154" s="555" t="n"/>
      <c r="B154" s="555" t="n"/>
      <c r="C154" s="555" t="n"/>
      <c r="D154" s="555" t="n"/>
      <c r="E154" s="555" t="n"/>
      <c r="F154" s="555" t="n"/>
      <c r="G154" s="555" t="n"/>
      <c r="H154" s="555" t="n"/>
      <c r="I154" s="555" t="n"/>
      <c r="J154" s="555" t="n"/>
      <c r="K154" s="555" t="n"/>
      <c r="L154" s="555" t="n"/>
      <c r="M154" s="555" t="n"/>
      <c r="N154" s="555" t="n"/>
      <c r="O154" s="555" t="n"/>
      <c r="P154" s="555" t="n"/>
      <c r="Q154" s="555" t="n"/>
      <c r="R154" s="555" t="n"/>
      <c r="S154" s="473" t="n"/>
      <c r="T154" s="473" t="n"/>
      <c r="U154" s="473" t="n"/>
      <c r="V154" s="473" t="n"/>
    </row>
    <row r="155" ht="21" customHeight="1" s="574">
      <c r="A155" s="555" t="n"/>
      <c r="B155" s="555" t="n"/>
      <c r="C155" s="555" t="n"/>
      <c r="D155" s="555" t="n"/>
      <c r="E155" s="555" t="n"/>
      <c r="F155" s="555" t="n"/>
      <c r="G155" s="555" t="n"/>
      <c r="H155" s="555" t="n"/>
      <c r="I155" s="555" t="n"/>
      <c r="J155" s="555" t="n"/>
      <c r="K155" s="555" t="n"/>
      <c r="L155" s="555" t="n"/>
      <c r="M155" s="555" t="n"/>
      <c r="N155" s="555" t="n"/>
      <c r="O155" s="555" t="n"/>
      <c r="P155" s="555" t="n"/>
      <c r="Q155" s="555" t="n"/>
      <c r="R155" s="555" t="n"/>
      <c r="S155" s="473" t="n"/>
      <c r="T155" s="473" t="n"/>
      <c r="U155" s="473" t="n"/>
      <c r="V155" s="473" t="n"/>
    </row>
    <row r="156" ht="21" customHeight="1" s="574">
      <c r="A156" s="555" t="n"/>
      <c r="B156" s="555" t="n"/>
      <c r="C156" s="555" t="n"/>
      <c r="D156" s="555" t="n"/>
      <c r="E156" s="555" t="n"/>
      <c r="F156" s="555" t="n"/>
      <c r="G156" s="555" t="n"/>
      <c r="H156" s="555" t="n"/>
      <c r="I156" s="555" t="n"/>
      <c r="J156" s="555" t="n"/>
      <c r="K156" s="555" t="n"/>
      <c r="L156" s="555" t="n"/>
      <c r="M156" s="555" t="n"/>
      <c r="N156" s="555" t="n"/>
      <c r="O156" s="555" t="n"/>
      <c r="P156" s="555" t="n"/>
      <c r="Q156" s="555" t="n"/>
      <c r="R156" s="555" t="n"/>
      <c r="S156" s="473" t="n"/>
      <c r="T156" s="473" t="n"/>
      <c r="U156" s="473" t="n"/>
      <c r="V156" s="473" t="n"/>
    </row>
    <row r="157" ht="21" customHeight="1" s="574">
      <c r="A157" s="555" t="n"/>
      <c r="B157" s="555" t="n"/>
      <c r="C157" s="555" t="n"/>
      <c r="D157" s="555" t="n"/>
      <c r="E157" s="555" t="n"/>
      <c r="F157" s="555" t="n"/>
      <c r="G157" s="555" t="n"/>
      <c r="H157" s="555" t="n"/>
      <c r="I157" s="555" t="n"/>
      <c r="J157" s="555" t="n"/>
      <c r="K157" s="555" t="n"/>
      <c r="L157" s="555" t="n"/>
      <c r="M157" s="555" t="n"/>
      <c r="N157" s="555" t="n"/>
      <c r="O157" s="555" t="n"/>
      <c r="P157" s="555" t="n"/>
      <c r="Q157" s="555" t="n"/>
      <c r="R157" s="555" t="n"/>
      <c r="S157" s="473" t="n"/>
      <c r="T157" s="473" t="n"/>
      <c r="U157" s="473" t="n"/>
      <c r="V157" s="473" t="n"/>
    </row>
    <row r="158" ht="21" customHeight="1" s="574">
      <c r="A158" s="555" t="n"/>
      <c r="B158" s="555" t="n"/>
      <c r="C158" s="555" t="n"/>
      <c r="D158" s="555" t="n"/>
      <c r="E158" s="555" t="n"/>
      <c r="F158" s="555" t="n"/>
      <c r="G158" s="555" t="n"/>
      <c r="H158" s="555" t="n"/>
      <c r="I158" s="555" t="n"/>
      <c r="J158" s="555" t="n"/>
      <c r="K158" s="555" t="n"/>
      <c r="L158" s="555" t="n"/>
      <c r="M158" s="555" t="n"/>
      <c r="N158" s="555" t="n"/>
      <c r="O158" s="555" t="n"/>
      <c r="P158" s="555" t="n"/>
      <c r="Q158" s="555" t="n"/>
      <c r="R158" s="555" t="n"/>
      <c r="S158" s="473" t="n"/>
      <c r="T158" s="473" t="n"/>
      <c r="U158" s="473" t="n"/>
      <c r="V158" s="473" t="n"/>
    </row>
    <row r="159" ht="21" customHeight="1" s="574">
      <c r="A159" s="555" t="n"/>
      <c r="B159" s="555" t="n"/>
      <c r="C159" s="555" t="n"/>
      <c r="D159" s="555" t="n"/>
      <c r="E159" s="555" t="n"/>
      <c r="F159" s="555" t="n"/>
      <c r="G159" s="555" t="n"/>
      <c r="H159" s="555" t="n"/>
      <c r="I159" s="555" t="n"/>
      <c r="J159" s="555" t="n"/>
      <c r="K159" s="555" t="n"/>
      <c r="L159" s="555" t="n"/>
      <c r="M159" s="555" t="n"/>
      <c r="N159" s="555" t="n"/>
      <c r="O159" s="555" t="n"/>
      <c r="P159" s="555" t="n"/>
      <c r="Q159" s="555" t="n"/>
      <c r="R159" s="555" t="n"/>
      <c r="S159" s="473" t="n"/>
      <c r="T159" s="473" t="n"/>
      <c r="U159" s="473" t="n"/>
      <c r="V159" s="473" t="n"/>
    </row>
    <row r="160" ht="21" customHeight="1" s="574">
      <c r="A160" s="555" t="n"/>
      <c r="B160" s="555" t="n"/>
      <c r="C160" s="555" t="n"/>
      <c r="D160" s="555" t="n"/>
      <c r="E160" s="555" t="n"/>
      <c r="F160" s="555" t="n"/>
      <c r="G160" s="555" t="n"/>
      <c r="H160" s="555" t="n"/>
      <c r="I160" s="555" t="n"/>
      <c r="J160" s="555" t="n"/>
      <c r="K160" s="555" t="n"/>
      <c r="L160" s="555" t="n"/>
      <c r="M160" s="555" t="n"/>
      <c r="N160" s="555" t="n"/>
      <c r="O160" s="555" t="n"/>
      <c r="P160" s="555" t="n"/>
      <c r="Q160" s="555" t="n"/>
      <c r="R160" s="555" t="n"/>
      <c r="S160" s="473" t="n"/>
      <c r="T160" s="473" t="n"/>
      <c r="U160" s="473" t="n"/>
      <c r="V160" s="473" t="n"/>
    </row>
    <row r="161" ht="21" customHeight="1" s="574">
      <c r="A161" s="555" t="n"/>
      <c r="B161" s="555" t="n"/>
      <c r="C161" s="555" t="n"/>
      <c r="D161" s="555" t="n"/>
      <c r="E161" s="555" t="n"/>
      <c r="F161" s="555" t="n"/>
      <c r="G161" s="555" t="n"/>
      <c r="H161" s="555" t="n"/>
      <c r="I161" s="555" t="n"/>
      <c r="J161" s="555" t="n"/>
      <c r="K161" s="555" t="n"/>
      <c r="L161" s="555" t="n"/>
      <c r="M161" s="555" t="n"/>
      <c r="N161" s="555" t="n"/>
      <c r="O161" s="555" t="n"/>
      <c r="P161" s="555" t="n"/>
      <c r="Q161" s="555" t="n"/>
      <c r="R161" s="555" t="n"/>
      <c r="S161" s="473" t="n"/>
      <c r="T161" s="473" t="n"/>
      <c r="U161" s="473" t="n"/>
      <c r="V161" s="473" t="n"/>
    </row>
    <row r="162" ht="21" customHeight="1" s="574">
      <c r="A162" s="555" t="n"/>
      <c r="B162" s="555" t="n"/>
      <c r="C162" s="555" t="n"/>
      <c r="D162" s="555" t="n"/>
      <c r="E162" s="555" t="n"/>
      <c r="F162" s="555" t="n"/>
      <c r="G162" s="555" t="n"/>
      <c r="H162" s="555" t="n"/>
      <c r="I162" s="555" t="n"/>
      <c r="J162" s="555" t="n"/>
      <c r="K162" s="555" t="n"/>
      <c r="L162" s="555" t="n"/>
      <c r="M162" s="555" t="n"/>
      <c r="N162" s="555" t="n"/>
      <c r="O162" s="555" t="n"/>
      <c r="P162" s="555" t="n"/>
      <c r="Q162" s="555" t="n"/>
      <c r="R162" s="555" t="n"/>
      <c r="S162" s="473" t="n"/>
      <c r="T162" s="473" t="n"/>
      <c r="U162" s="473" t="n"/>
      <c r="V162" s="473" t="n"/>
    </row>
    <row r="163" ht="21" customHeight="1" s="574">
      <c r="A163" s="555" t="n"/>
      <c r="B163" s="555" t="n"/>
      <c r="C163" s="555" t="n"/>
      <c r="D163" s="555" t="n"/>
      <c r="E163" s="555" t="n"/>
      <c r="F163" s="555" t="n"/>
      <c r="G163" s="555" t="n"/>
      <c r="H163" s="555" t="n"/>
      <c r="I163" s="555" t="n"/>
      <c r="J163" s="555" t="n"/>
      <c r="K163" s="555" t="n"/>
      <c r="L163" s="555" t="n"/>
      <c r="M163" s="555" t="n"/>
      <c r="N163" s="555" t="n"/>
      <c r="O163" s="555" t="n"/>
      <c r="P163" s="555" t="n"/>
      <c r="Q163" s="555" t="n"/>
      <c r="R163" s="555" t="n"/>
      <c r="S163" s="473" t="n"/>
      <c r="T163" s="473" t="n"/>
      <c r="U163" s="473" t="n"/>
      <c r="V163" s="473" t="n"/>
    </row>
    <row r="164" ht="21" customHeight="1" s="574">
      <c r="A164" s="555" t="n"/>
      <c r="B164" s="555" t="n"/>
      <c r="C164" s="555" t="n"/>
      <c r="D164" s="555" t="n"/>
      <c r="E164" s="555" t="n"/>
      <c r="F164" s="555" t="n"/>
      <c r="G164" s="555" t="n"/>
      <c r="H164" s="555" t="n"/>
      <c r="I164" s="555" t="n"/>
      <c r="J164" s="555" t="n"/>
      <c r="K164" s="555" t="n"/>
      <c r="L164" s="555" t="n"/>
      <c r="M164" s="555" t="n"/>
      <c r="N164" s="555" t="n"/>
      <c r="O164" s="555" t="n"/>
      <c r="P164" s="555" t="n"/>
      <c r="Q164" s="555" t="n"/>
      <c r="R164" s="555" t="n"/>
      <c r="S164" s="473" t="n"/>
      <c r="T164" s="473" t="n"/>
      <c r="U164" s="473" t="n"/>
      <c r="V164" s="473" t="n"/>
    </row>
    <row r="165" ht="21" customHeight="1" s="574">
      <c r="A165" s="555" t="n"/>
      <c r="B165" s="555" t="n"/>
      <c r="C165" s="555" t="n"/>
      <c r="D165" s="555" t="n"/>
      <c r="E165" s="555" t="n"/>
      <c r="F165" s="555" t="n"/>
      <c r="G165" s="555" t="n"/>
      <c r="H165" s="555" t="n"/>
      <c r="I165" s="555" t="n"/>
      <c r="J165" s="555" t="n"/>
      <c r="K165" s="555" t="n"/>
      <c r="L165" s="555" t="n"/>
      <c r="M165" s="555" t="n"/>
      <c r="N165" s="555" t="n"/>
      <c r="O165" s="555" t="n"/>
      <c r="P165" s="555" t="n"/>
      <c r="Q165" s="555" t="n"/>
      <c r="R165" s="555" t="n"/>
      <c r="S165" s="473" t="n"/>
      <c r="T165" s="473" t="n"/>
      <c r="U165" s="473" t="n"/>
      <c r="V165" s="473" t="n"/>
    </row>
    <row r="166" ht="21" customHeight="1" s="574">
      <c r="A166" s="555" t="n"/>
      <c r="B166" s="555" t="n"/>
      <c r="C166" s="555" t="n"/>
      <c r="D166" s="555" t="n"/>
      <c r="E166" s="555" t="n"/>
      <c r="F166" s="555" t="n"/>
      <c r="G166" s="555" t="n"/>
      <c r="H166" s="555" t="n"/>
      <c r="I166" s="555" t="n"/>
      <c r="J166" s="555" t="n"/>
      <c r="K166" s="555" t="n"/>
      <c r="L166" s="555" t="n"/>
      <c r="M166" s="555" t="n"/>
      <c r="N166" s="555" t="n"/>
      <c r="O166" s="555" t="n"/>
      <c r="P166" s="555" t="n"/>
      <c r="Q166" s="555" t="n"/>
      <c r="R166" s="555" t="n"/>
      <c r="S166" s="473" t="n"/>
      <c r="T166" s="473" t="n"/>
      <c r="U166" s="473" t="n"/>
      <c r="V166" s="473" t="n"/>
    </row>
    <row r="167" ht="21" customHeight="1" s="574">
      <c r="A167" s="555" t="n"/>
      <c r="B167" s="555" t="n"/>
      <c r="C167" s="555" t="n"/>
      <c r="D167" s="555" t="n"/>
      <c r="E167" s="555" t="n"/>
      <c r="F167" s="555" t="n"/>
      <c r="G167" s="555" t="n"/>
      <c r="H167" s="555" t="n"/>
      <c r="I167" s="555" t="n"/>
      <c r="J167" s="555" t="n"/>
      <c r="K167" s="555" t="n"/>
      <c r="L167" s="555" t="n"/>
      <c r="M167" s="555" t="n"/>
      <c r="N167" s="555" t="n"/>
      <c r="O167" s="555" t="n"/>
      <c r="P167" s="555" t="n"/>
      <c r="Q167" s="555" t="n"/>
      <c r="R167" s="555" t="n"/>
      <c r="S167" s="473" t="n"/>
      <c r="T167" s="473" t="n"/>
      <c r="U167" s="473" t="n"/>
      <c r="V167" s="473" t="n"/>
    </row>
    <row r="168" ht="21" customHeight="1" s="574">
      <c r="A168" s="555" t="n"/>
      <c r="B168" s="555" t="n"/>
      <c r="C168" s="555" t="n"/>
      <c r="D168" s="555" t="n"/>
      <c r="E168" s="555" t="n"/>
      <c r="F168" s="555" t="n"/>
      <c r="G168" s="555" t="n"/>
      <c r="H168" s="555" t="n"/>
      <c r="I168" s="555" t="n"/>
      <c r="J168" s="555" t="n"/>
      <c r="K168" s="555" t="n"/>
      <c r="L168" s="555" t="n"/>
      <c r="M168" s="555" t="n"/>
      <c r="N168" s="555" t="n"/>
      <c r="O168" s="555" t="n"/>
      <c r="P168" s="555" t="n"/>
      <c r="Q168" s="555" t="n"/>
      <c r="R168" s="555" t="n"/>
      <c r="S168" s="473" t="n"/>
      <c r="T168" s="473" t="n"/>
      <c r="U168" s="473" t="n"/>
      <c r="V168" s="473" t="n"/>
    </row>
    <row r="169" ht="21" customHeight="1" s="574">
      <c r="A169" s="555" t="n"/>
      <c r="B169" s="555" t="n"/>
      <c r="C169" s="555" t="n"/>
      <c r="D169" s="555" t="n"/>
      <c r="E169" s="555" t="n"/>
      <c r="F169" s="555" t="n"/>
      <c r="G169" s="555" t="n"/>
      <c r="H169" s="555" t="n"/>
      <c r="I169" s="555" t="n"/>
      <c r="J169" s="555" t="n"/>
      <c r="K169" s="555" t="n"/>
      <c r="L169" s="555" t="n"/>
      <c r="M169" s="555" t="n"/>
      <c r="N169" s="555" t="n"/>
      <c r="O169" s="555" t="n"/>
      <c r="P169" s="555" t="n"/>
      <c r="Q169" s="555" t="n"/>
      <c r="R169" s="555" t="n"/>
      <c r="S169" s="473" t="n"/>
      <c r="T169" s="473" t="n"/>
      <c r="U169" s="473" t="n"/>
      <c r="V169" s="473" t="n"/>
    </row>
    <row r="170" ht="21" customHeight="1" s="574">
      <c r="A170" s="555" t="n"/>
      <c r="B170" s="555" t="n"/>
      <c r="C170" s="555" t="n"/>
      <c r="D170" s="555" t="n"/>
      <c r="E170" s="555" t="n"/>
      <c r="F170" s="555" t="n"/>
      <c r="G170" s="555" t="n"/>
      <c r="H170" s="555" t="n"/>
      <c r="I170" s="555" t="n"/>
      <c r="J170" s="555" t="n"/>
      <c r="K170" s="555" t="n"/>
      <c r="L170" s="555" t="n"/>
      <c r="M170" s="555" t="n"/>
      <c r="N170" s="555" t="n"/>
      <c r="O170" s="555" t="n"/>
      <c r="P170" s="555" t="n"/>
      <c r="Q170" s="555" t="n"/>
      <c r="R170" s="555" t="n"/>
      <c r="S170" s="473" t="n"/>
      <c r="T170" s="473" t="n"/>
      <c r="U170" s="473" t="n"/>
      <c r="V170" s="473" t="n"/>
    </row>
    <row r="171" ht="21" customHeight="1" s="574">
      <c r="A171" s="555" t="n"/>
      <c r="B171" s="555" t="n"/>
      <c r="C171" s="555" t="n"/>
      <c r="D171" s="555" t="n"/>
      <c r="E171" s="555" t="n"/>
      <c r="F171" s="555" t="n"/>
      <c r="G171" s="555" t="n"/>
      <c r="H171" s="555" t="n"/>
      <c r="I171" s="555" t="n"/>
      <c r="J171" s="555" t="n"/>
      <c r="K171" s="555" t="n"/>
      <c r="L171" s="555" t="n"/>
      <c r="M171" s="555" t="n"/>
      <c r="N171" s="555" t="n"/>
      <c r="O171" s="555" t="n"/>
      <c r="P171" s="555" t="n"/>
      <c r="Q171" s="555" t="n"/>
      <c r="R171" s="555" t="n"/>
      <c r="S171" s="473" t="n"/>
      <c r="T171" s="473" t="n"/>
      <c r="U171" s="473" t="n"/>
      <c r="V171" s="473" t="n"/>
    </row>
    <row r="172" ht="21" customHeight="1" s="574">
      <c r="A172" s="555" t="n"/>
      <c r="B172" s="555" t="n"/>
      <c r="C172" s="555" t="n"/>
      <c r="D172" s="555" t="n"/>
      <c r="E172" s="555" t="n"/>
      <c r="F172" s="555" t="n"/>
      <c r="G172" s="555" t="n"/>
      <c r="H172" s="555" t="n"/>
      <c r="I172" s="555" t="n"/>
      <c r="J172" s="555" t="n"/>
      <c r="K172" s="555" t="n"/>
      <c r="L172" s="555" t="n"/>
      <c r="M172" s="555" t="n"/>
      <c r="N172" s="555" t="n"/>
      <c r="O172" s="555" t="n"/>
      <c r="P172" s="555" t="n"/>
      <c r="Q172" s="555" t="n"/>
      <c r="R172" s="555" t="n"/>
      <c r="S172" s="473" t="n"/>
      <c r="T172" s="473" t="n"/>
      <c r="U172" s="473" t="n"/>
      <c r="V172" s="473" t="n"/>
    </row>
    <row r="173" ht="21" customHeight="1" s="574">
      <c r="A173" s="555" t="n"/>
      <c r="B173" s="555" t="n"/>
      <c r="C173" s="555" t="n"/>
      <c r="D173" s="555" t="n"/>
      <c r="E173" s="555" t="n"/>
      <c r="F173" s="555" t="n"/>
      <c r="G173" s="555" t="n"/>
      <c r="H173" s="555" t="n"/>
      <c r="I173" s="555" t="n"/>
      <c r="J173" s="555" t="n"/>
      <c r="K173" s="555" t="n"/>
      <c r="L173" s="555" t="n"/>
      <c r="M173" s="555" t="n"/>
      <c r="N173" s="555" t="n"/>
      <c r="O173" s="555" t="n"/>
      <c r="P173" s="555" t="n"/>
      <c r="Q173" s="555" t="n"/>
      <c r="R173" s="555" t="n"/>
      <c r="S173" s="473" t="n"/>
      <c r="T173" s="473" t="n"/>
      <c r="U173" s="473" t="n"/>
      <c r="V173" s="473" t="n"/>
    </row>
    <row r="174" ht="21" customHeight="1" s="574">
      <c r="A174" s="555" t="n"/>
      <c r="B174" s="555" t="n"/>
      <c r="C174" s="555" t="n"/>
      <c r="D174" s="555" t="n"/>
      <c r="E174" s="555" t="n"/>
      <c r="F174" s="555" t="n"/>
      <c r="G174" s="555" t="n"/>
      <c r="H174" s="555" t="n"/>
      <c r="I174" s="555" t="n"/>
      <c r="J174" s="555" t="n"/>
      <c r="K174" s="555" t="n"/>
      <c r="L174" s="555" t="n"/>
      <c r="M174" s="555" t="n"/>
      <c r="N174" s="555" t="n"/>
      <c r="O174" s="555" t="n"/>
      <c r="P174" s="555" t="n"/>
      <c r="Q174" s="555" t="n"/>
      <c r="R174" s="555" t="n"/>
      <c r="S174" s="473" t="n"/>
      <c r="T174" s="473" t="n"/>
      <c r="U174" s="473" t="n"/>
      <c r="V174" s="473" t="n"/>
    </row>
    <row r="175" ht="21" customHeight="1" s="574">
      <c r="A175" s="555" t="n"/>
      <c r="B175" s="555" t="n"/>
      <c r="C175" s="555" t="n"/>
      <c r="D175" s="555" t="n"/>
      <c r="E175" s="555" t="n"/>
      <c r="F175" s="555" t="n"/>
      <c r="G175" s="555" t="n"/>
      <c r="H175" s="555" t="n"/>
      <c r="I175" s="555" t="n"/>
      <c r="J175" s="555" t="n"/>
      <c r="K175" s="555" t="n"/>
      <c r="L175" s="555" t="n"/>
      <c r="M175" s="555" t="n"/>
      <c r="N175" s="555" t="n"/>
      <c r="O175" s="555" t="n"/>
      <c r="P175" s="555" t="n"/>
      <c r="Q175" s="555" t="n"/>
      <c r="R175" s="555" t="n"/>
      <c r="S175" s="473" t="n"/>
      <c r="T175" s="473" t="n"/>
      <c r="U175" s="473" t="n"/>
      <c r="V175" s="473" t="n"/>
    </row>
    <row r="176" ht="21" customHeight="1" s="574">
      <c r="A176" s="555" t="n"/>
      <c r="B176" s="555" t="n"/>
      <c r="C176" s="555" t="n"/>
      <c r="D176" s="555" t="n"/>
      <c r="E176" s="555" t="n"/>
      <c r="F176" s="555" t="n"/>
      <c r="G176" s="555" t="n"/>
      <c r="H176" s="555" t="n"/>
      <c r="I176" s="555" t="n"/>
      <c r="J176" s="555" t="n"/>
      <c r="K176" s="555" t="n"/>
      <c r="L176" s="555" t="n"/>
      <c r="M176" s="555" t="n"/>
      <c r="N176" s="555" t="n"/>
      <c r="O176" s="555" t="n"/>
      <c r="P176" s="555" t="n"/>
      <c r="Q176" s="555" t="n"/>
      <c r="R176" s="555" t="n"/>
      <c r="S176" s="473" t="n"/>
      <c r="T176" s="473" t="n"/>
      <c r="U176" s="473" t="n"/>
      <c r="V176" s="473" t="n"/>
    </row>
    <row r="177" ht="21" customHeight="1" s="574">
      <c r="A177" s="555" t="n"/>
      <c r="B177" s="555" t="n"/>
      <c r="C177" s="555" t="n"/>
      <c r="D177" s="555" t="n"/>
      <c r="E177" s="555" t="n"/>
      <c r="F177" s="555" t="n"/>
      <c r="G177" s="555" t="n"/>
      <c r="H177" s="555" t="n"/>
      <c r="I177" s="555" t="n"/>
      <c r="J177" s="555" t="n"/>
      <c r="K177" s="555" t="n"/>
      <c r="L177" s="555" t="n"/>
      <c r="M177" s="555" t="n"/>
      <c r="N177" s="555" t="n"/>
      <c r="O177" s="555" t="n"/>
      <c r="P177" s="555" t="n"/>
      <c r="Q177" s="555" t="n"/>
      <c r="R177" s="555" t="n"/>
      <c r="S177" s="473" t="n"/>
      <c r="T177" s="473" t="n"/>
      <c r="U177" s="473" t="n"/>
      <c r="V177" s="473" t="n"/>
    </row>
    <row r="178" ht="21" customHeight="1" s="574">
      <c r="A178" s="555" t="n"/>
      <c r="B178" s="555" t="n"/>
      <c r="C178" s="555" t="n"/>
      <c r="D178" s="555" t="n"/>
      <c r="E178" s="555" t="n"/>
      <c r="F178" s="555" t="n"/>
      <c r="G178" s="555" t="n"/>
      <c r="H178" s="555" t="n"/>
      <c r="I178" s="555" t="n"/>
      <c r="J178" s="555" t="n"/>
      <c r="K178" s="555" t="n"/>
      <c r="L178" s="555" t="n"/>
      <c r="M178" s="555" t="n"/>
      <c r="N178" s="555" t="n"/>
      <c r="O178" s="555" t="n"/>
      <c r="P178" s="555" t="n"/>
      <c r="Q178" s="555" t="n"/>
      <c r="R178" s="555" t="n"/>
      <c r="S178" s="473" t="n"/>
      <c r="T178" s="473" t="n"/>
      <c r="U178" s="473" t="n"/>
      <c r="V178" s="473" t="n"/>
    </row>
    <row r="179" ht="21" customHeight="1" s="574">
      <c r="A179" s="555" t="n"/>
      <c r="B179" s="555" t="n"/>
      <c r="C179" s="555" t="n"/>
      <c r="D179" s="555" t="n"/>
      <c r="E179" s="555" t="n"/>
      <c r="F179" s="555" t="n"/>
      <c r="G179" s="555" t="n"/>
      <c r="H179" s="555" t="n"/>
      <c r="I179" s="555" t="n"/>
      <c r="J179" s="555" t="n"/>
      <c r="K179" s="555" t="n"/>
      <c r="L179" s="555" t="n"/>
      <c r="M179" s="555" t="n"/>
      <c r="N179" s="555" t="n"/>
      <c r="O179" s="555" t="n"/>
      <c r="P179" s="555" t="n"/>
      <c r="Q179" s="555" t="n"/>
      <c r="R179" s="555" t="n"/>
      <c r="S179" s="473" t="n"/>
      <c r="T179" s="473" t="n"/>
      <c r="U179" s="473" t="n"/>
      <c r="V179" s="473" t="n"/>
    </row>
    <row r="180" ht="21" customHeight="1" s="574">
      <c r="A180" s="555" t="n"/>
      <c r="B180" s="555" t="n"/>
      <c r="C180" s="555" t="n"/>
      <c r="D180" s="555" t="n"/>
      <c r="E180" s="555" t="n"/>
      <c r="F180" s="555" t="n"/>
      <c r="G180" s="555" t="n"/>
      <c r="H180" s="555" t="n"/>
      <c r="I180" s="555" t="n"/>
      <c r="J180" s="555" t="n"/>
      <c r="K180" s="555" t="n"/>
      <c r="L180" s="555" t="n"/>
      <c r="M180" s="555" t="n"/>
      <c r="N180" s="555" t="n"/>
      <c r="O180" s="555" t="n"/>
      <c r="P180" s="555" t="n"/>
      <c r="Q180" s="555" t="n"/>
      <c r="R180" s="555" t="n"/>
      <c r="S180" s="473" t="n"/>
      <c r="T180" s="473" t="n"/>
      <c r="U180" s="473" t="n"/>
      <c r="V180" s="473" t="n"/>
    </row>
    <row r="181" ht="21" customHeight="1" s="574">
      <c r="A181" s="555" t="n"/>
      <c r="B181" s="555" t="n"/>
      <c r="C181" s="555" t="n"/>
      <c r="D181" s="555" t="n"/>
      <c r="E181" s="555" t="n"/>
      <c r="F181" s="555" t="n"/>
      <c r="G181" s="555" t="n"/>
      <c r="H181" s="555" t="n"/>
      <c r="I181" s="555" t="n"/>
      <c r="J181" s="555" t="n"/>
      <c r="K181" s="555" t="n"/>
      <c r="L181" s="555" t="n"/>
      <c r="M181" s="555" t="n"/>
      <c r="N181" s="555" t="n"/>
      <c r="O181" s="555" t="n"/>
      <c r="P181" s="555" t="n"/>
      <c r="Q181" s="555" t="n"/>
      <c r="R181" s="555" t="n"/>
      <c r="S181" s="473" t="n"/>
      <c r="T181" s="473" t="n"/>
      <c r="U181" s="473" t="n"/>
      <c r="V181" s="473" t="n"/>
    </row>
    <row r="182" ht="21" customHeight="1" s="574">
      <c r="A182" s="555" t="n"/>
      <c r="B182" s="555" t="n"/>
      <c r="C182" s="555" t="n"/>
      <c r="D182" s="555" t="n"/>
      <c r="E182" s="555" t="n"/>
      <c r="F182" s="555" t="n"/>
      <c r="G182" s="555" t="n"/>
      <c r="H182" s="555" t="n"/>
      <c r="I182" s="555" t="n"/>
      <c r="J182" s="555" t="n"/>
      <c r="K182" s="555" t="n"/>
      <c r="L182" s="555" t="n"/>
      <c r="M182" s="555" t="n"/>
      <c r="N182" s="555" t="n"/>
      <c r="O182" s="555" t="n"/>
      <c r="P182" s="555" t="n"/>
      <c r="Q182" s="555" t="n"/>
      <c r="R182" s="555" t="n"/>
      <c r="S182" s="473" t="n"/>
      <c r="T182" s="473" t="n"/>
      <c r="U182" s="473" t="n"/>
      <c r="V182" s="473" t="n"/>
    </row>
    <row r="183" ht="21" customHeight="1" s="574">
      <c r="A183" s="555" t="n"/>
      <c r="B183" s="555" t="n"/>
      <c r="C183" s="555" t="n"/>
      <c r="D183" s="555" t="n"/>
      <c r="E183" s="555" t="n"/>
      <c r="F183" s="555" t="n"/>
      <c r="G183" s="555" t="n"/>
      <c r="H183" s="555" t="n"/>
      <c r="I183" s="555" t="n"/>
      <c r="J183" s="555" t="n"/>
      <c r="K183" s="555" t="n"/>
      <c r="L183" s="555" t="n"/>
      <c r="M183" s="555" t="n"/>
      <c r="N183" s="555" t="n"/>
      <c r="O183" s="555" t="n"/>
      <c r="P183" s="555" t="n"/>
      <c r="Q183" s="555" t="n"/>
      <c r="R183" s="555" t="n"/>
      <c r="S183" s="473" t="n"/>
      <c r="T183" s="473" t="n"/>
      <c r="U183" s="473" t="n"/>
      <c r="V183" s="473" t="n"/>
    </row>
    <row r="184" ht="21" customHeight="1" s="574">
      <c r="A184" s="555" t="n"/>
      <c r="B184" s="555" t="n"/>
      <c r="C184" s="555" t="n"/>
      <c r="D184" s="555" t="n"/>
      <c r="E184" s="555" t="n"/>
      <c r="F184" s="555" t="n"/>
      <c r="G184" s="555" t="n"/>
      <c r="H184" s="555" t="n"/>
      <c r="I184" s="555" t="n"/>
      <c r="J184" s="555" t="n"/>
      <c r="K184" s="555" t="n"/>
      <c r="L184" s="555" t="n"/>
      <c r="M184" s="555" t="n"/>
      <c r="N184" s="555" t="n"/>
      <c r="O184" s="555" t="n"/>
      <c r="P184" s="555" t="n"/>
      <c r="Q184" s="555" t="n"/>
      <c r="R184" s="555" t="n"/>
      <c r="S184" s="473" t="n"/>
      <c r="T184" s="473" t="n"/>
      <c r="U184" s="473" t="n"/>
      <c r="V184" s="473" t="n"/>
    </row>
    <row r="185" ht="21" customHeight="1" s="574">
      <c r="A185" s="555" t="n"/>
      <c r="B185" s="555" t="n"/>
      <c r="C185" s="555" t="n"/>
      <c r="D185" s="555" t="n"/>
      <c r="E185" s="555" t="n"/>
      <c r="F185" s="555" t="n"/>
      <c r="G185" s="555" t="n"/>
      <c r="H185" s="555" t="n"/>
      <c r="I185" s="555" t="n"/>
      <c r="J185" s="555" t="n"/>
      <c r="K185" s="555" t="n"/>
      <c r="L185" s="555" t="n"/>
      <c r="M185" s="555" t="n"/>
      <c r="N185" s="555" t="n"/>
      <c r="O185" s="555" t="n"/>
      <c r="P185" s="555" t="n"/>
      <c r="Q185" s="555" t="n"/>
      <c r="R185" s="555" t="n"/>
      <c r="S185" s="473" t="n"/>
      <c r="T185" s="473" t="n"/>
      <c r="U185" s="473" t="n"/>
      <c r="V185" s="473" t="n"/>
    </row>
    <row r="186" ht="21" customHeight="1" s="574">
      <c r="A186" s="555" t="n"/>
      <c r="B186" s="555" t="n"/>
      <c r="C186" s="555" t="n"/>
      <c r="D186" s="555" t="n"/>
      <c r="E186" s="555" t="n"/>
      <c r="F186" s="555" t="n"/>
      <c r="G186" s="555" t="n"/>
      <c r="H186" s="555" t="n"/>
      <c r="I186" s="555" t="n"/>
      <c r="J186" s="555" t="n"/>
      <c r="K186" s="555" t="n"/>
      <c r="L186" s="555" t="n"/>
      <c r="M186" s="555" t="n"/>
      <c r="N186" s="555" t="n"/>
      <c r="O186" s="555" t="n"/>
      <c r="P186" s="555" t="n"/>
      <c r="Q186" s="555" t="n"/>
      <c r="R186" s="555" t="n"/>
      <c r="S186" s="473" t="n"/>
      <c r="T186" s="473" t="n"/>
      <c r="U186" s="473" t="n"/>
      <c r="V186" s="473" t="n"/>
    </row>
    <row r="187" ht="21" customHeight="1" s="574">
      <c r="A187" s="555" t="n"/>
      <c r="B187" s="555" t="n"/>
      <c r="C187" s="555" t="n"/>
      <c r="D187" s="555" t="n"/>
      <c r="E187" s="555" t="n"/>
      <c r="F187" s="555" t="n"/>
      <c r="G187" s="555" t="n"/>
      <c r="H187" s="555" t="n"/>
      <c r="I187" s="555" t="n"/>
      <c r="J187" s="555" t="n"/>
      <c r="K187" s="555" t="n"/>
      <c r="L187" s="555" t="n"/>
      <c r="M187" s="555" t="n"/>
      <c r="N187" s="555" t="n"/>
      <c r="O187" s="555" t="n"/>
      <c r="P187" s="555" t="n"/>
      <c r="Q187" s="555" t="n"/>
      <c r="R187" s="555" t="n"/>
      <c r="S187" s="473" t="n"/>
      <c r="T187" s="473" t="n"/>
      <c r="U187" s="473" t="n"/>
      <c r="V187" s="473" t="n"/>
    </row>
    <row r="188" ht="21" customHeight="1" s="574">
      <c r="A188" s="555" t="n"/>
      <c r="B188" s="555" t="n"/>
      <c r="C188" s="555" t="n"/>
      <c r="D188" s="555" t="n"/>
      <c r="E188" s="555" t="n"/>
      <c r="F188" s="555" t="n"/>
      <c r="G188" s="555" t="n"/>
      <c r="H188" s="555" t="n"/>
      <c r="I188" s="555" t="n"/>
      <c r="J188" s="555" t="n"/>
      <c r="K188" s="555" t="n"/>
      <c r="L188" s="555" t="n"/>
      <c r="M188" s="555" t="n"/>
      <c r="N188" s="555" t="n"/>
      <c r="O188" s="555" t="n"/>
      <c r="P188" s="555" t="n"/>
      <c r="Q188" s="555" t="n"/>
      <c r="R188" s="555" t="n"/>
      <c r="S188" s="473" t="n"/>
      <c r="T188" s="473" t="n"/>
      <c r="U188" s="473" t="n"/>
      <c r="V188" s="473" t="n"/>
    </row>
    <row r="189" ht="21" customHeight="1" s="574">
      <c r="A189" s="555" t="n"/>
      <c r="B189" s="555" t="n"/>
      <c r="C189" s="555" t="n"/>
      <c r="D189" s="555" t="n"/>
      <c r="E189" s="555" t="n"/>
      <c r="F189" s="555" t="n"/>
      <c r="G189" s="555" t="n"/>
      <c r="H189" s="555" t="n"/>
      <c r="I189" s="555" t="n"/>
      <c r="J189" s="555" t="n"/>
      <c r="K189" s="555" t="n"/>
      <c r="L189" s="555" t="n"/>
      <c r="M189" s="555" t="n"/>
      <c r="N189" s="555" t="n"/>
      <c r="O189" s="555" t="n"/>
      <c r="P189" s="555" t="n"/>
      <c r="Q189" s="555" t="n"/>
      <c r="R189" s="555" t="n"/>
      <c r="S189" s="473" t="n"/>
      <c r="T189" s="473" t="n"/>
      <c r="U189" s="473" t="n"/>
      <c r="V189" s="473" t="n"/>
    </row>
    <row r="190" ht="21" customHeight="1" s="574">
      <c r="A190" s="555" t="n"/>
      <c r="B190" s="555" t="n"/>
      <c r="C190" s="555" t="n"/>
      <c r="D190" s="555" t="n"/>
      <c r="E190" s="555" t="n"/>
      <c r="F190" s="555" t="n"/>
      <c r="G190" s="555" t="n"/>
      <c r="H190" s="555" t="n"/>
      <c r="I190" s="555" t="n"/>
      <c r="J190" s="555" t="n"/>
      <c r="K190" s="555" t="n"/>
      <c r="L190" s="555" t="n"/>
      <c r="M190" s="555" t="n"/>
      <c r="N190" s="555" t="n"/>
      <c r="O190" s="555" t="n"/>
      <c r="P190" s="555" t="n"/>
      <c r="Q190" s="555" t="n"/>
      <c r="R190" s="555" t="n"/>
      <c r="S190" s="473" t="n"/>
      <c r="T190" s="473" t="n"/>
      <c r="U190" s="473" t="n"/>
      <c r="V190" s="473" t="n"/>
    </row>
    <row r="191" ht="21" customHeight="1" s="574">
      <c r="A191" s="555" t="n"/>
      <c r="B191" s="555" t="n"/>
      <c r="C191" s="555" t="n"/>
      <c r="D191" s="555" t="n"/>
      <c r="E191" s="555" t="n"/>
      <c r="F191" s="555" t="n"/>
      <c r="G191" s="555" t="n"/>
      <c r="H191" s="555" t="n"/>
      <c r="I191" s="555" t="n"/>
      <c r="J191" s="555" t="n"/>
      <c r="K191" s="555" t="n"/>
      <c r="L191" s="555" t="n"/>
      <c r="M191" s="555" t="n"/>
      <c r="N191" s="555" t="n"/>
      <c r="O191" s="555" t="n"/>
      <c r="P191" s="555" t="n"/>
      <c r="Q191" s="555" t="n"/>
      <c r="R191" s="555" t="n"/>
      <c r="S191" s="473" t="n"/>
      <c r="T191" s="473" t="n"/>
      <c r="U191" s="473" t="n"/>
      <c r="V191" s="473" t="n"/>
    </row>
    <row r="192" ht="21" customHeight="1" s="574">
      <c r="A192" s="555" t="n"/>
      <c r="B192" s="555" t="n"/>
      <c r="C192" s="555" t="n"/>
      <c r="D192" s="555" t="n"/>
      <c r="E192" s="555" t="n"/>
      <c r="F192" s="555" t="n"/>
      <c r="G192" s="555" t="n"/>
      <c r="H192" s="555" t="n"/>
      <c r="I192" s="555" t="n"/>
      <c r="J192" s="555" t="n"/>
      <c r="K192" s="555" t="n"/>
      <c r="L192" s="555" t="n"/>
      <c r="M192" s="555" t="n"/>
      <c r="N192" s="555" t="n"/>
      <c r="O192" s="555" t="n"/>
      <c r="P192" s="555" t="n"/>
      <c r="Q192" s="555" t="n"/>
      <c r="R192" s="555" t="n"/>
      <c r="S192" s="473" t="n"/>
      <c r="T192" s="473" t="n"/>
      <c r="U192" s="473" t="n"/>
      <c r="V192" s="473" t="n"/>
    </row>
    <row r="193" ht="21" customHeight="1" s="574">
      <c r="A193" s="555" t="n"/>
      <c r="B193" s="555" t="n"/>
      <c r="C193" s="555" t="n"/>
      <c r="D193" s="555" t="n"/>
      <c r="E193" s="555" t="n"/>
      <c r="F193" s="555" t="n"/>
      <c r="G193" s="555" t="n"/>
      <c r="H193" s="555" t="n"/>
      <c r="I193" s="555" t="n"/>
      <c r="J193" s="555" t="n"/>
      <c r="K193" s="555" t="n"/>
      <c r="L193" s="555" t="n"/>
      <c r="M193" s="555" t="n"/>
      <c r="N193" s="555" t="n"/>
      <c r="O193" s="555" t="n"/>
      <c r="P193" s="555" t="n"/>
      <c r="Q193" s="555" t="n"/>
      <c r="R193" s="555" t="n"/>
      <c r="S193" s="473" t="n"/>
      <c r="T193" s="473" t="n"/>
      <c r="U193" s="473" t="n"/>
      <c r="V193" s="473" t="n"/>
    </row>
    <row r="194" ht="21" customHeight="1" s="574">
      <c r="A194" s="555" t="n"/>
      <c r="B194" s="555" t="n"/>
      <c r="C194" s="555" t="n"/>
      <c r="D194" s="555" t="n"/>
      <c r="E194" s="555" t="n"/>
      <c r="F194" s="555" t="n"/>
      <c r="G194" s="555" t="n"/>
      <c r="H194" s="555" t="n"/>
      <c r="I194" s="555" t="n"/>
      <c r="J194" s="555" t="n"/>
      <c r="K194" s="555" t="n"/>
      <c r="L194" s="555" t="n"/>
      <c r="M194" s="555" t="n"/>
      <c r="N194" s="555" t="n"/>
      <c r="O194" s="555" t="n"/>
      <c r="P194" s="555" t="n"/>
      <c r="Q194" s="555" t="n"/>
      <c r="R194" s="555" t="n"/>
      <c r="S194" s="473" t="n"/>
      <c r="T194" s="473" t="n"/>
      <c r="U194" s="473" t="n"/>
      <c r="V194" s="473" t="n"/>
    </row>
    <row r="195" ht="21" customHeight="1" s="574">
      <c r="A195" s="555" t="n"/>
      <c r="B195" s="555" t="n"/>
      <c r="C195" s="555" t="n"/>
      <c r="D195" s="555" t="n"/>
      <c r="E195" s="555" t="n"/>
      <c r="F195" s="555" t="n"/>
      <c r="G195" s="555" t="n"/>
      <c r="H195" s="555" t="n"/>
      <c r="I195" s="555" t="n"/>
      <c r="J195" s="555" t="n"/>
      <c r="K195" s="555" t="n"/>
      <c r="L195" s="555" t="n"/>
      <c r="M195" s="555" t="n"/>
      <c r="N195" s="555" t="n"/>
      <c r="O195" s="555" t="n"/>
      <c r="P195" s="555" t="n"/>
      <c r="Q195" s="555" t="n"/>
      <c r="R195" s="555" t="n"/>
      <c r="S195" s="473" t="n"/>
      <c r="T195" s="473" t="n"/>
      <c r="U195" s="473" t="n"/>
      <c r="V195" s="473" t="n"/>
    </row>
    <row r="196" ht="21" customHeight="1" s="574">
      <c r="A196" s="555" t="n"/>
      <c r="B196" s="555" t="n"/>
      <c r="C196" s="555" t="n"/>
      <c r="D196" s="555" t="n"/>
      <c r="E196" s="555" t="n"/>
      <c r="F196" s="555" t="n"/>
      <c r="G196" s="555" t="n"/>
      <c r="H196" s="555" t="n"/>
      <c r="I196" s="555" t="n"/>
      <c r="J196" s="555" t="n"/>
      <c r="K196" s="555" t="n"/>
      <c r="L196" s="555" t="n"/>
      <c r="M196" s="555" t="n"/>
      <c r="N196" s="555" t="n"/>
      <c r="O196" s="555" t="n"/>
      <c r="P196" s="555" t="n"/>
      <c r="Q196" s="555" t="n"/>
      <c r="R196" s="555" t="n"/>
      <c r="S196" s="473" t="n"/>
      <c r="T196" s="473" t="n"/>
      <c r="U196" s="473" t="n"/>
      <c r="V196" s="473" t="n"/>
    </row>
    <row r="197" ht="21" customHeight="1" s="574">
      <c r="A197" s="555" t="n"/>
      <c r="B197" s="555" t="n"/>
      <c r="C197" s="555" t="n"/>
      <c r="D197" s="555" t="n"/>
      <c r="E197" s="555" t="n"/>
      <c r="F197" s="555" t="n"/>
      <c r="G197" s="555" t="n"/>
      <c r="H197" s="555" t="n"/>
      <c r="I197" s="555" t="n"/>
      <c r="J197" s="555" t="n"/>
      <c r="K197" s="555" t="n"/>
      <c r="L197" s="555" t="n"/>
      <c r="M197" s="555" t="n"/>
      <c r="N197" s="555" t="n"/>
      <c r="O197" s="555" t="n"/>
      <c r="P197" s="555" t="n"/>
      <c r="Q197" s="555" t="n"/>
      <c r="R197" s="555" t="n"/>
      <c r="S197" s="473" t="n"/>
      <c r="T197" s="473" t="n"/>
      <c r="U197" s="473" t="n"/>
      <c r="V197" s="473" t="n"/>
    </row>
    <row r="198" ht="21" customHeight="1" s="574">
      <c r="A198" s="555" t="n"/>
      <c r="B198" s="555" t="n"/>
      <c r="C198" s="555" t="n"/>
      <c r="D198" s="555" t="n"/>
      <c r="E198" s="555" t="n"/>
      <c r="F198" s="555" t="n"/>
      <c r="G198" s="555" t="n"/>
      <c r="H198" s="555" t="n"/>
      <c r="I198" s="555" t="n"/>
      <c r="J198" s="555" t="n"/>
      <c r="K198" s="555" t="n"/>
      <c r="L198" s="555" t="n"/>
      <c r="M198" s="555" t="n"/>
      <c r="N198" s="555" t="n"/>
      <c r="O198" s="555" t="n"/>
      <c r="P198" s="555" t="n"/>
      <c r="Q198" s="555" t="n"/>
      <c r="R198" s="555" t="n"/>
      <c r="S198" s="473" t="n"/>
      <c r="T198" s="473" t="n"/>
      <c r="U198" s="473" t="n"/>
      <c r="V198" s="473" t="n"/>
    </row>
    <row r="199" ht="21" customHeight="1" s="574">
      <c r="A199" s="555" t="n"/>
      <c r="B199" s="555" t="n"/>
      <c r="C199" s="555" t="n"/>
      <c r="D199" s="555" t="n"/>
      <c r="E199" s="555" t="n"/>
      <c r="F199" s="555" t="n"/>
      <c r="G199" s="555" t="n"/>
      <c r="H199" s="555" t="n"/>
      <c r="I199" s="555" t="n"/>
      <c r="J199" s="555" t="n"/>
      <c r="K199" s="555" t="n"/>
      <c r="L199" s="555" t="n"/>
      <c r="M199" s="555" t="n"/>
      <c r="N199" s="555" t="n"/>
      <c r="O199" s="555" t="n"/>
      <c r="P199" s="555" t="n"/>
      <c r="Q199" s="555" t="n"/>
      <c r="R199" s="555" t="n"/>
      <c r="S199" s="473" t="n"/>
      <c r="T199" s="473" t="n"/>
      <c r="U199" s="473" t="n"/>
      <c r="V199" s="473" t="n"/>
    </row>
    <row r="200" ht="21" customHeight="1" s="574">
      <c r="A200" s="555" t="n"/>
      <c r="B200" s="555" t="n"/>
      <c r="C200" s="555" t="n"/>
      <c r="D200" s="555" t="n"/>
      <c r="E200" s="555" t="n"/>
      <c r="F200" s="555" t="n"/>
      <c r="G200" s="555" t="n"/>
      <c r="H200" s="555" t="n"/>
      <c r="I200" s="555" t="n"/>
      <c r="J200" s="555" t="n"/>
      <c r="K200" s="555" t="n"/>
      <c r="L200" s="555" t="n"/>
      <c r="M200" s="555" t="n"/>
      <c r="N200" s="555" t="n"/>
      <c r="O200" s="555" t="n"/>
      <c r="P200" s="555" t="n"/>
      <c r="Q200" s="555" t="n"/>
      <c r="R200" s="555" t="n"/>
      <c r="S200" s="473" t="n"/>
      <c r="T200" s="473" t="n"/>
      <c r="U200" s="473" t="n"/>
      <c r="V200" s="473" t="n"/>
    </row>
    <row r="201" ht="21" customHeight="1" s="574">
      <c r="A201" s="555" t="n"/>
      <c r="B201" s="555" t="n"/>
      <c r="C201" s="555" t="n"/>
      <c r="D201" s="555" t="n"/>
      <c r="E201" s="555" t="n"/>
      <c r="F201" s="555" t="n"/>
      <c r="G201" s="555" t="n"/>
      <c r="H201" s="555" t="n"/>
      <c r="I201" s="555" t="n"/>
      <c r="J201" s="555" t="n"/>
      <c r="K201" s="555" t="n"/>
      <c r="L201" s="555" t="n"/>
      <c r="M201" s="555" t="n"/>
      <c r="N201" s="555" t="n"/>
      <c r="O201" s="555" t="n"/>
      <c r="P201" s="555" t="n"/>
      <c r="Q201" s="555" t="n"/>
      <c r="R201" s="555" t="n"/>
      <c r="S201" s="473" t="n"/>
      <c r="T201" s="473" t="n"/>
      <c r="U201" s="473" t="n"/>
      <c r="V201" s="473" t="n"/>
    </row>
    <row r="202" ht="21" customHeight="1" s="574">
      <c r="A202" s="555" t="n"/>
      <c r="B202" s="555" t="n"/>
      <c r="C202" s="555" t="n"/>
      <c r="D202" s="555" t="n"/>
      <c r="E202" s="555" t="n"/>
      <c r="F202" s="555" t="n"/>
      <c r="G202" s="555" t="n"/>
      <c r="H202" s="555" t="n"/>
      <c r="I202" s="555" t="n"/>
      <c r="J202" s="555" t="n"/>
      <c r="K202" s="555" t="n"/>
      <c r="L202" s="555" t="n"/>
      <c r="M202" s="555" t="n"/>
      <c r="N202" s="555" t="n"/>
      <c r="O202" s="555" t="n"/>
      <c r="P202" s="555" t="n"/>
      <c r="Q202" s="555" t="n"/>
      <c r="R202" s="555" t="n"/>
      <c r="S202" s="473" t="n"/>
      <c r="T202" s="473" t="n"/>
      <c r="U202" s="473" t="n"/>
      <c r="V202" s="473" t="n"/>
    </row>
    <row r="203" ht="21" customHeight="1" s="574">
      <c r="A203" s="555" t="n"/>
      <c r="B203" s="555" t="n"/>
      <c r="C203" s="555" t="n"/>
      <c r="D203" s="555" t="n"/>
      <c r="E203" s="555" t="n"/>
      <c r="F203" s="555" t="n"/>
      <c r="G203" s="555" t="n"/>
      <c r="H203" s="555" t="n"/>
      <c r="I203" s="555" t="n"/>
      <c r="J203" s="555" t="n"/>
      <c r="K203" s="555" t="n"/>
      <c r="L203" s="555" t="n"/>
      <c r="M203" s="555" t="n"/>
      <c r="N203" s="555" t="n"/>
      <c r="O203" s="555" t="n"/>
      <c r="P203" s="555" t="n"/>
      <c r="Q203" s="555" t="n"/>
      <c r="R203" s="555" t="n"/>
      <c r="S203" s="473" t="n"/>
      <c r="T203" s="473" t="n"/>
      <c r="U203" s="473" t="n"/>
      <c r="V203" s="473" t="n"/>
    </row>
    <row r="204" ht="21" customHeight="1" s="574">
      <c r="A204" s="555" t="n"/>
      <c r="B204" s="555" t="n"/>
      <c r="C204" s="555" t="n"/>
      <c r="D204" s="555" t="n"/>
      <c r="E204" s="555" t="n"/>
      <c r="F204" s="555" t="n"/>
      <c r="G204" s="555" t="n"/>
      <c r="H204" s="555" t="n"/>
      <c r="I204" s="555" t="n"/>
      <c r="J204" s="555" t="n"/>
      <c r="K204" s="555" t="n"/>
      <c r="L204" s="555" t="n"/>
      <c r="M204" s="555" t="n"/>
      <c r="N204" s="555" t="n"/>
      <c r="O204" s="555" t="n"/>
      <c r="P204" s="555" t="n"/>
      <c r="Q204" s="555" t="n"/>
      <c r="R204" s="555" t="n"/>
      <c r="S204" s="473" t="n"/>
      <c r="T204" s="473" t="n"/>
      <c r="U204" s="473" t="n"/>
      <c r="V204" s="473" t="n"/>
    </row>
    <row r="205" ht="21" customHeight="1" s="574">
      <c r="A205" s="555" t="n"/>
      <c r="B205" s="555" t="n"/>
      <c r="C205" s="555" t="n"/>
      <c r="D205" s="555" t="n"/>
      <c r="E205" s="555" t="n"/>
      <c r="F205" s="555" t="n"/>
      <c r="G205" s="555" t="n"/>
      <c r="H205" s="555" t="n"/>
      <c r="I205" s="555" t="n"/>
      <c r="J205" s="555" t="n"/>
      <c r="K205" s="555" t="n"/>
      <c r="L205" s="555" t="n"/>
      <c r="M205" s="555" t="n"/>
      <c r="N205" s="555" t="n"/>
      <c r="O205" s="555" t="n"/>
      <c r="P205" s="555" t="n"/>
      <c r="Q205" s="555" t="n"/>
      <c r="R205" s="555" t="n"/>
      <c r="S205" s="473" t="n"/>
      <c r="T205" s="473" t="n"/>
      <c r="U205" s="473" t="n"/>
      <c r="V205" s="473" t="n"/>
    </row>
    <row r="206" ht="21" customHeight="1" s="574">
      <c r="A206" s="555" t="n"/>
      <c r="B206" s="555" t="n"/>
      <c r="C206" s="555" t="n"/>
      <c r="D206" s="555" t="n"/>
      <c r="E206" s="555" t="n"/>
      <c r="F206" s="555" t="n"/>
      <c r="G206" s="555" t="n"/>
      <c r="H206" s="555" t="n"/>
      <c r="I206" s="555" t="n"/>
      <c r="J206" s="555" t="n"/>
      <c r="K206" s="555" t="n"/>
      <c r="L206" s="555" t="n"/>
      <c r="M206" s="555" t="n"/>
      <c r="N206" s="555" t="n"/>
      <c r="O206" s="555" t="n"/>
      <c r="P206" s="555" t="n"/>
      <c r="Q206" s="555" t="n"/>
      <c r="R206" s="555" t="n"/>
      <c r="S206" s="473" t="n"/>
      <c r="T206" s="473" t="n"/>
      <c r="U206" s="473" t="n"/>
      <c r="V206" s="473" t="n"/>
    </row>
    <row r="207" ht="21" customHeight="1" s="574">
      <c r="A207" s="555" t="n"/>
      <c r="B207" s="555" t="n"/>
      <c r="C207" s="555" t="n"/>
      <c r="D207" s="555" t="n"/>
      <c r="E207" s="555" t="n"/>
      <c r="F207" s="555" t="n"/>
      <c r="G207" s="555" t="n"/>
      <c r="H207" s="555" t="n"/>
      <c r="I207" s="555" t="n"/>
      <c r="J207" s="555" t="n"/>
      <c r="K207" s="555" t="n"/>
      <c r="L207" s="555" t="n"/>
      <c r="M207" s="555" t="n"/>
      <c r="N207" s="555" t="n"/>
      <c r="O207" s="555" t="n"/>
      <c r="P207" s="555" t="n"/>
      <c r="Q207" s="555" t="n"/>
      <c r="R207" s="555" t="n"/>
      <c r="S207" s="473" t="n"/>
      <c r="T207" s="473" t="n"/>
      <c r="U207" s="473" t="n"/>
      <c r="V207" s="473" t="n"/>
    </row>
    <row r="208" ht="21" customHeight="1" s="574">
      <c r="A208" s="555" t="n"/>
      <c r="B208" s="555" t="n"/>
      <c r="C208" s="555" t="n"/>
      <c r="D208" s="555" t="n"/>
      <c r="E208" s="555" t="n"/>
      <c r="F208" s="555" t="n"/>
      <c r="G208" s="555" t="n"/>
      <c r="H208" s="555" t="n"/>
      <c r="I208" s="555" t="n"/>
      <c r="J208" s="555" t="n"/>
      <c r="K208" s="555" t="n"/>
      <c r="L208" s="555" t="n"/>
      <c r="M208" s="555" t="n"/>
      <c r="N208" s="555" t="n"/>
      <c r="O208" s="555" t="n"/>
      <c r="P208" s="555" t="n"/>
      <c r="Q208" s="555" t="n"/>
      <c r="R208" s="555" t="n"/>
      <c r="S208" s="473" t="n"/>
      <c r="T208" s="473" t="n"/>
      <c r="U208" s="473" t="n"/>
      <c r="V208" s="473" t="n"/>
    </row>
    <row r="209" ht="21" customHeight="1" s="574">
      <c r="A209" s="555" t="n"/>
      <c r="B209" s="555" t="n"/>
      <c r="C209" s="555" t="n"/>
      <c r="D209" s="555" t="n"/>
      <c r="E209" s="555" t="n"/>
      <c r="F209" s="555" t="n"/>
      <c r="G209" s="555" t="n"/>
      <c r="H209" s="555" t="n"/>
      <c r="I209" s="555" t="n"/>
      <c r="J209" s="555" t="n"/>
      <c r="K209" s="555" t="n"/>
      <c r="L209" s="555" t="n"/>
      <c r="M209" s="555" t="n"/>
      <c r="N209" s="555" t="n"/>
      <c r="O209" s="555" t="n"/>
      <c r="P209" s="555" t="n"/>
      <c r="Q209" s="555" t="n"/>
      <c r="R209" s="555" t="n"/>
      <c r="S209" s="473" t="n"/>
      <c r="T209" s="473" t="n"/>
      <c r="U209" s="473" t="n"/>
      <c r="V209" s="473" t="n"/>
    </row>
    <row r="210" ht="21" customHeight="1" s="574">
      <c r="A210" s="555" t="n"/>
      <c r="B210" s="555" t="n"/>
      <c r="C210" s="555" t="n"/>
      <c r="D210" s="555" t="n"/>
      <c r="E210" s="555" t="n"/>
      <c r="F210" s="555" t="n"/>
      <c r="G210" s="555" t="n"/>
      <c r="H210" s="555" t="n"/>
      <c r="I210" s="555" t="n"/>
      <c r="J210" s="555" t="n"/>
      <c r="K210" s="555" t="n"/>
      <c r="L210" s="555" t="n"/>
      <c r="M210" s="555" t="n"/>
      <c r="N210" s="555" t="n"/>
      <c r="O210" s="555" t="n"/>
      <c r="P210" s="555" t="n"/>
      <c r="Q210" s="555" t="n"/>
      <c r="R210" s="555" t="n"/>
      <c r="S210" s="473" t="n"/>
      <c r="T210" s="473" t="n"/>
      <c r="U210" s="473" t="n"/>
      <c r="V210" s="473" t="n"/>
    </row>
    <row r="211" ht="21" customHeight="1" s="574">
      <c r="A211" s="555" t="n"/>
      <c r="B211" s="555" t="n"/>
      <c r="C211" s="555" t="n"/>
      <c r="D211" s="555" t="n"/>
      <c r="E211" s="555" t="n"/>
      <c r="F211" s="555" t="n"/>
      <c r="G211" s="555" t="n"/>
      <c r="H211" s="555" t="n"/>
      <c r="I211" s="555" t="n"/>
      <c r="J211" s="555" t="n"/>
      <c r="K211" s="555" t="n"/>
      <c r="L211" s="555" t="n"/>
      <c r="M211" s="555" t="n"/>
      <c r="N211" s="555" t="n"/>
      <c r="O211" s="555" t="n"/>
      <c r="P211" s="555" t="n"/>
      <c r="Q211" s="555" t="n"/>
      <c r="R211" s="555" t="n"/>
      <c r="S211" s="473" t="n"/>
      <c r="T211" s="473" t="n"/>
      <c r="U211" s="473" t="n"/>
      <c r="V211" s="473" t="n"/>
    </row>
    <row r="212" ht="21" customHeight="1" s="574">
      <c r="A212" s="555" t="n"/>
      <c r="B212" s="555" t="n"/>
      <c r="C212" s="555" t="n"/>
      <c r="D212" s="555" t="n"/>
      <c r="E212" s="555" t="n"/>
      <c r="F212" s="555" t="n"/>
      <c r="G212" s="555" t="n"/>
      <c r="H212" s="555" t="n"/>
      <c r="I212" s="555" t="n"/>
      <c r="J212" s="555" t="n"/>
      <c r="K212" s="555" t="n"/>
      <c r="L212" s="555" t="n"/>
      <c r="M212" s="555" t="n"/>
      <c r="N212" s="555" t="n"/>
      <c r="O212" s="555" t="n"/>
      <c r="P212" s="555" t="n"/>
      <c r="Q212" s="555" t="n"/>
      <c r="R212" s="555" t="n"/>
      <c r="S212" s="473" t="n"/>
      <c r="T212" s="473" t="n"/>
      <c r="U212" s="473" t="n"/>
      <c r="V212" s="473" t="n"/>
    </row>
    <row r="213" ht="21" customHeight="1" s="574">
      <c r="A213" s="555" t="n"/>
      <c r="B213" s="555" t="n"/>
      <c r="C213" s="555" t="n"/>
      <c r="D213" s="555" t="n"/>
      <c r="E213" s="555" t="n"/>
      <c r="F213" s="555" t="n"/>
      <c r="G213" s="555" t="n"/>
      <c r="H213" s="555" t="n"/>
      <c r="I213" s="555" t="n"/>
      <c r="J213" s="555" t="n"/>
      <c r="K213" s="555" t="n"/>
      <c r="L213" s="555" t="n"/>
      <c r="M213" s="555" t="n"/>
      <c r="N213" s="555" t="n"/>
      <c r="O213" s="555" t="n"/>
      <c r="P213" s="555" t="n"/>
      <c r="Q213" s="555" t="n"/>
      <c r="R213" s="555" t="n"/>
      <c r="S213" s="473" t="n"/>
      <c r="T213" s="473" t="n"/>
      <c r="U213" s="473" t="n"/>
      <c r="V213" s="473" t="n"/>
    </row>
    <row r="214" ht="21" customHeight="1" s="574">
      <c r="A214" s="555" t="n"/>
      <c r="B214" s="555" t="n"/>
      <c r="C214" s="555" t="n"/>
      <c r="D214" s="555" t="n"/>
      <c r="E214" s="555" t="n"/>
      <c r="F214" s="555" t="n"/>
      <c r="G214" s="555" t="n"/>
      <c r="H214" s="555" t="n"/>
      <c r="I214" s="555" t="n"/>
      <c r="J214" s="555" t="n"/>
      <c r="K214" s="555" t="n"/>
      <c r="L214" s="555" t="n"/>
      <c r="M214" s="555" t="n"/>
      <c r="N214" s="555" t="n"/>
      <c r="O214" s="555" t="n"/>
      <c r="P214" s="555" t="n"/>
      <c r="Q214" s="555" t="n"/>
      <c r="R214" s="555" t="n"/>
      <c r="S214" s="473" t="n"/>
      <c r="T214" s="473" t="n"/>
      <c r="U214" s="473" t="n"/>
      <c r="V214" s="473" t="n"/>
    </row>
    <row r="215" ht="21" customHeight="1" s="574">
      <c r="A215" s="555" t="n"/>
      <c r="B215" s="555" t="n"/>
      <c r="C215" s="555" t="n"/>
      <c r="D215" s="555" t="n"/>
      <c r="E215" s="555" t="n"/>
      <c r="F215" s="555" t="n"/>
      <c r="G215" s="555" t="n"/>
      <c r="H215" s="555" t="n"/>
      <c r="I215" s="555" t="n"/>
      <c r="J215" s="555" t="n"/>
      <c r="K215" s="555" t="n"/>
      <c r="L215" s="555" t="n"/>
      <c r="M215" s="555" t="n"/>
      <c r="N215" s="555" t="n"/>
      <c r="O215" s="555" t="n"/>
      <c r="P215" s="555" t="n"/>
      <c r="Q215" s="555" t="n"/>
      <c r="R215" s="555" t="n"/>
      <c r="S215" s="473" t="n"/>
      <c r="T215" s="473" t="n"/>
      <c r="U215" s="473" t="n"/>
      <c r="V215" s="473" t="n"/>
    </row>
    <row r="216" ht="21" customHeight="1" s="574">
      <c r="A216" s="555" t="n"/>
      <c r="B216" s="555" t="n"/>
      <c r="C216" s="555" t="n"/>
      <c r="D216" s="555" t="n"/>
      <c r="E216" s="555" t="n"/>
      <c r="F216" s="555" t="n"/>
      <c r="G216" s="555" t="n"/>
      <c r="H216" s="555" t="n"/>
      <c r="I216" s="555" t="n"/>
      <c r="J216" s="555" t="n"/>
      <c r="K216" s="555" t="n"/>
      <c r="L216" s="555" t="n"/>
      <c r="M216" s="555" t="n"/>
      <c r="N216" s="555" t="n"/>
      <c r="O216" s="555" t="n"/>
      <c r="P216" s="555" t="n"/>
      <c r="Q216" s="555" t="n"/>
      <c r="R216" s="555" t="n"/>
      <c r="S216" s="473" t="n"/>
      <c r="T216" s="473" t="n"/>
      <c r="U216" s="473" t="n"/>
      <c r="V216" s="473" t="n"/>
    </row>
    <row r="217" ht="21" customHeight="1" s="574">
      <c r="A217" s="555" t="n"/>
      <c r="B217" s="555" t="n"/>
      <c r="C217" s="555" t="n"/>
      <c r="D217" s="555" t="n"/>
      <c r="E217" s="555" t="n"/>
      <c r="F217" s="555" t="n"/>
      <c r="G217" s="555" t="n"/>
      <c r="H217" s="555" t="n"/>
      <c r="I217" s="555" t="n"/>
      <c r="J217" s="555" t="n"/>
      <c r="K217" s="555" t="n"/>
      <c r="L217" s="555" t="n"/>
      <c r="M217" s="555" t="n"/>
      <c r="N217" s="555" t="n"/>
      <c r="O217" s="555" t="n"/>
      <c r="P217" s="555" t="n"/>
      <c r="Q217" s="555" t="n"/>
      <c r="R217" s="555" t="n"/>
      <c r="S217" s="473" t="n"/>
      <c r="T217" s="473" t="n"/>
      <c r="U217" s="473" t="n"/>
      <c r="V217" s="473" t="n"/>
    </row>
    <row r="218" ht="21" customHeight="1" s="574">
      <c r="A218" s="555" t="n"/>
      <c r="B218" s="555" t="n"/>
      <c r="C218" s="555" t="n"/>
      <c r="D218" s="555" t="n"/>
      <c r="E218" s="555" t="n"/>
      <c r="F218" s="555" t="n"/>
      <c r="G218" s="555" t="n"/>
      <c r="H218" s="555" t="n"/>
      <c r="I218" s="555" t="n"/>
      <c r="J218" s="555" t="n"/>
      <c r="K218" s="555" t="n"/>
      <c r="L218" s="555" t="n"/>
      <c r="M218" s="555" t="n"/>
      <c r="N218" s="555" t="n"/>
      <c r="O218" s="555" t="n"/>
      <c r="P218" s="555" t="n"/>
      <c r="Q218" s="555" t="n"/>
      <c r="R218" s="555" t="n"/>
      <c r="S218" s="473" t="n"/>
      <c r="T218" s="473" t="n"/>
      <c r="U218" s="473" t="n"/>
      <c r="V218" s="473" t="n"/>
    </row>
    <row r="219" ht="21" customHeight="1" s="574">
      <c r="A219" s="555" t="n"/>
      <c r="B219" s="555" t="n"/>
      <c r="C219" s="555" t="n"/>
      <c r="D219" s="555" t="n"/>
      <c r="E219" s="555" t="n"/>
      <c r="F219" s="555" t="n"/>
      <c r="G219" s="555" t="n"/>
      <c r="H219" s="555" t="n"/>
      <c r="I219" s="555" t="n"/>
      <c r="J219" s="555" t="n"/>
      <c r="K219" s="555" t="n"/>
      <c r="L219" s="555" t="n"/>
      <c r="M219" s="555" t="n"/>
      <c r="N219" s="555" t="n"/>
      <c r="O219" s="555" t="n"/>
      <c r="P219" s="555" t="n"/>
      <c r="Q219" s="555" t="n"/>
      <c r="R219" s="555" t="n"/>
      <c r="S219" s="473" t="n"/>
      <c r="T219" s="473" t="n"/>
      <c r="U219" s="473" t="n"/>
      <c r="V219" s="473" t="n"/>
    </row>
    <row r="220" ht="21" customHeight="1" s="574">
      <c r="A220" s="555" t="n"/>
      <c r="B220" s="555" t="n"/>
      <c r="C220" s="555" t="n"/>
      <c r="D220" s="555" t="n"/>
      <c r="E220" s="555" t="n"/>
      <c r="F220" s="555" t="n"/>
      <c r="G220" s="555" t="n"/>
      <c r="H220" s="555" t="n"/>
      <c r="I220" s="555" t="n"/>
      <c r="J220" s="555" t="n"/>
      <c r="K220" s="555" t="n"/>
      <c r="L220" s="555" t="n"/>
      <c r="M220" s="555" t="n"/>
      <c r="N220" s="555" t="n"/>
      <c r="O220" s="555" t="n"/>
      <c r="P220" s="555" t="n"/>
      <c r="Q220" s="555" t="n"/>
      <c r="R220" s="555" t="n"/>
      <c r="S220" s="473" t="n"/>
      <c r="T220" s="473" t="n"/>
      <c r="U220" s="473" t="n"/>
      <c r="V220" s="473" t="n"/>
    </row>
    <row r="221" ht="21" customHeight="1" s="574">
      <c r="A221" s="555" t="n"/>
      <c r="B221" s="555" t="n"/>
      <c r="C221" s="555" t="n"/>
      <c r="D221" s="555" t="n"/>
      <c r="E221" s="555" t="n"/>
      <c r="F221" s="555" t="n"/>
      <c r="G221" s="555" t="n"/>
      <c r="H221" s="555" t="n"/>
      <c r="I221" s="555" t="n"/>
      <c r="J221" s="555" t="n"/>
      <c r="K221" s="555" t="n"/>
      <c r="L221" s="555" t="n"/>
      <c r="M221" s="555" t="n"/>
      <c r="N221" s="555" t="n"/>
      <c r="O221" s="555" t="n"/>
      <c r="P221" s="555" t="n"/>
      <c r="Q221" s="555" t="n"/>
      <c r="R221" s="555" t="n"/>
      <c r="S221" s="473" t="n"/>
      <c r="T221" s="473" t="n"/>
      <c r="U221" s="473" t="n"/>
      <c r="V221" s="473" t="n"/>
    </row>
    <row r="222" ht="21" customHeight="1" s="574">
      <c r="A222" s="555" t="n"/>
      <c r="B222" s="555" t="n"/>
      <c r="C222" s="555" t="n"/>
      <c r="D222" s="555" t="n"/>
      <c r="E222" s="555" t="n"/>
      <c r="F222" s="555" t="n"/>
      <c r="G222" s="555" t="n"/>
      <c r="H222" s="555" t="n"/>
      <c r="I222" s="555" t="n"/>
      <c r="J222" s="555" t="n"/>
      <c r="K222" s="555" t="n"/>
      <c r="L222" s="555" t="n"/>
      <c r="M222" s="555" t="n"/>
      <c r="N222" s="555" t="n"/>
      <c r="O222" s="555" t="n"/>
      <c r="P222" s="555" t="n"/>
      <c r="Q222" s="555" t="n"/>
      <c r="R222" s="555" t="n"/>
      <c r="S222" s="473" t="n"/>
      <c r="T222" s="473" t="n"/>
      <c r="U222" s="473" t="n"/>
      <c r="V222" s="473" t="n"/>
    </row>
    <row r="223" ht="21" customHeight="1" s="574">
      <c r="A223" s="555" t="n"/>
      <c r="B223" s="555" t="n"/>
      <c r="C223" s="555" t="n"/>
      <c r="D223" s="555" t="n"/>
      <c r="E223" s="555" t="n"/>
      <c r="F223" s="555" t="n"/>
      <c r="G223" s="555" t="n"/>
      <c r="H223" s="555" t="n"/>
      <c r="I223" s="555" t="n"/>
      <c r="J223" s="555" t="n"/>
      <c r="K223" s="555" t="n"/>
      <c r="L223" s="555" t="n"/>
      <c r="M223" s="555" t="n"/>
      <c r="N223" s="555" t="n"/>
      <c r="O223" s="555" t="n"/>
      <c r="P223" s="555" t="n"/>
      <c r="Q223" s="555" t="n"/>
      <c r="R223" s="555" t="n"/>
      <c r="S223" s="473" t="n"/>
      <c r="T223" s="473" t="n"/>
      <c r="U223" s="473" t="n"/>
      <c r="V223" s="473" t="n"/>
    </row>
    <row r="224" ht="21" customHeight="1" s="574">
      <c r="A224" s="555" t="n"/>
      <c r="B224" s="555" t="n"/>
      <c r="C224" s="555" t="n"/>
      <c r="D224" s="555" t="n"/>
      <c r="E224" s="555" t="n"/>
      <c r="F224" s="555" t="n"/>
      <c r="G224" s="555" t="n"/>
      <c r="H224" s="555" t="n"/>
      <c r="I224" s="555" t="n"/>
      <c r="J224" s="555" t="n"/>
      <c r="K224" s="555" t="n"/>
      <c r="L224" s="555" t="n"/>
      <c r="M224" s="555" t="n"/>
      <c r="N224" s="555" t="n"/>
      <c r="O224" s="555" t="n"/>
      <c r="P224" s="555" t="n"/>
      <c r="Q224" s="555" t="n"/>
      <c r="R224" s="555" t="n"/>
      <c r="S224" s="473" t="n"/>
      <c r="T224" s="473" t="n"/>
      <c r="U224" s="473" t="n"/>
      <c r="V224" s="473" t="n"/>
    </row>
    <row r="225" ht="21" customHeight="1" s="574">
      <c r="A225" s="555" t="n"/>
      <c r="B225" s="555" t="n"/>
      <c r="C225" s="555" t="n"/>
      <c r="D225" s="555" t="n"/>
      <c r="E225" s="555" t="n"/>
      <c r="F225" s="555" t="n"/>
      <c r="G225" s="555" t="n"/>
      <c r="H225" s="555" t="n"/>
      <c r="I225" s="555" t="n"/>
      <c r="J225" s="555" t="n"/>
      <c r="K225" s="555" t="n"/>
      <c r="L225" s="555" t="n"/>
      <c r="M225" s="555" t="n"/>
      <c r="N225" s="555" t="n"/>
      <c r="O225" s="555" t="n"/>
      <c r="P225" s="555" t="n"/>
      <c r="Q225" s="555" t="n"/>
      <c r="R225" s="555" t="n"/>
      <c r="S225" s="473" t="n"/>
      <c r="T225" s="473" t="n"/>
      <c r="U225" s="473" t="n"/>
      <c r="V225" s="473" t="n"/>
    </row>
    <row r="226" ht="21" customHeight="1" s="574">
      <c r="A226" s="555" t="n"/>
      <c r="B226" s="555" t="n"/>
      <c r="C226" s="555" t="n"/>
      <c r="D226" s="555" t="n"/>
      <c r="E226" s="555" t="n"/>
      <c r="F226" s="555" t="n"/>
      <c r="G226" s="555" t="n"/>
      <c r="H226" s="555" t="n"/>
      <c r="I226" s="555" t="n"/>
      <c r="J226" s="555" t="n"/>
      <c r="K226" s="555" t="n"/>
      <c r="L226" s="555" t="n"/>
      <c r="M226" s="555" t="n"/>
      <c r="N226" s="555" t="n"/>
      <c r="O226" s="555" t="n"/>
      <c r="P226" s="555" t="n"/>
      <c r="Q226" s="555" t="n"/>
      <c r="R226" s="555" t="n"/>
      <c r="S226" s="473" t="n"/>
      <c r="T226" s="473" t="n"/>
      <c r="U226" s="473" t="n"/>
      <c r="V226" s="473" t="n"/>
    </row>
    <row r="227" ht="21" customHeight="1" s="574">
      <c r="A227" s="555" t="n"/>
      <c r="B227" s="555" t="n"/>
      <c r="C227" s="555" t="n"/>
      <c r="D227" s="555" t="n"/>
      <c r="E227" s="555" t="n"/>
      <c r="F227" s="555" t="n"/>
      <c r="G227" s="555" t="n"/>
      <c r="H227" s="555" t="n"/>
      <c r="I227" s="555" t="n"/>
      <c r="J227" s="555" t="n"/>
      <c r="K227" s="555" t="n"/>
      <c r="L227" s="555" t="n"/>
      <c r="M227" s="555" t="n"/>
      <c r="N227" s="555" t="n"/>
      <c r="O227" s="555" t="n"/>
      <c r="P227" s="555" t="n"/>
      <c r="Q227" s="555" t="n"/>
      <c r="R227" s="555" t="n"/>
      <c r="S227" s="473" t="n"/>
      <c r="T227" s="473" t="n"/>
      <c r="U227" s="473" t="n"/>
      <c r="V227" s="473" t="n"/>
    </row>
    <row r="228" ht="21" customHeight="1" s="574">
      <c r="A228" s="555" t="n"/>
      <c r="B228" s="555" t="n"/>
      <c r="C228" s="555" t="n"/>
      <c r="D228" s="555" t="n"/>
      <c r="E228" s="555" t="n"/>
      <c r="F228" s="555" t="n"/>
      <c r="G228" s="555" t="n"/>
      <c r="H228" s="555" t="n"/>
      <c r="I228" s="555" t="n"/>
      <c r="J228" s="555" t="n"/>
      <c r="K228" s="555" t="n"/>
      <c r="L228" s="555" t="n"/>
      <c r="M228" s="555" t="n"/>
      <c r="N228" s="555" t="n"/>
      <c r="O228" s="555" t="n"/>
      <c r="P228" s="555" t="n"/>
      <c r="Q228" s="555" t="n"/>
      <c r="R228" s="555" t="n"/>
      <c r="S228" s="473" t="n"/>
      <c r="T228" s="473" t="n"/>
      <c r="U228" s="473" t="n"/>
      <c r="V228" s="473" t="n"/>
    </row>
    <row r="229" ht="21" customHeight="1" s="574">
      <c r="A229" s="555" t="n"/>
      <c r="B229" s="555" t="n"/>
      <c r="C229" s="555" t="n"/>
      <c r="D229" s="555" t="n"/>
      <c r="E229" s="555" t="n"/>
      <c r="F229" s="555" t="n"/>
      <c r="G229" s="555" t="n"/>
      <c r="H229" s="555" t="n"/>
      <c r="I229" s="555" t="n"/>
      <c r="J229" s="555" t="n"/>
      <c r="K229" s="555" t="n"/>
      <c r="L229" s="555" t="n"/>
      <c r="M229" s="555" t="n"/>
      <c r="N229" s="555" t="n"/>
      <c r="O229" s="555" t="n"/>
      <c r="P229" s="555" t="n"/>
      <c r="Q229" s="555" t="n"/>
      <c r="R229" s="555" t="n"/>
      <c r="S229" s="473" t="n"/>
      <c r="T229" s="473" t="n"/>
      <c r="U229" s="473" t="n"/>
      <c r="V229" s="473" t="n"/>
    </row>
    <row r="230" ht="21" customHeight="1" s="574">
      <c r="A230" s="555" t="n"/>
      <c r="B230" s="555" t="n"/>
      <c r="C230" s="555" t="n"/>
      <c r="D230" s="555" t="n"/>
      <c r="E230" s="555" t="n"/>
      <c r="F230" s="555" t="n"/>
      <c r="G230" s="555" t="n"/>
      <c r="H230" s="555" t="n"/>
      <c r="I230" s="555" t="n"/>
      <c r="J230" s="555" t="n"/>
      <c r="K230" s="555" t="n"/>
      <c r="L230" s="555" t="n"/>
      <c r="M230" s="555" t="n"/>
      <c r="N230" s="555" t="n"/>
      <c r="O230" s="555" t="n"/>
      <c r="P230" s="555" t="n"/>
      <c r="Q230" s="555" t="n"/>
      <c r="R230" s="555" t="n"/>
      <c r="S230" s="473" t="n"/>
      <c r="T230" s="473" t="n"/>
      <c r="U230" s="473" t="n"/>
      <c r="V230" s="473" t="n"/>
    </row>
    <row r="231" ht="21" customHeight="1" s="574">
      <c r="A231" s="555" t="n"/>
      <c r="B231" s="555" t="n"/>
      <c r="C231" s="555" t="n"/>
      <c r="D231" s="555" t="n"/>
      <c r="E231" s="555" t="n"/>
      <c r="F231" s="555" t="n"/>
      <c r="G231" s="555" t="n"/>
      <c r="H231" s="555" t="n"/>
      <c r="I231" s="555" t="n"/>
      <c r="J231" s="555" t="n"/>
      <c r="K231" s="555" t="n"/>
      <c r="L231" s="555" t="n"/>
      <c r="M231" s="555" t="n"/>
      <c r="N231" s="555" t="n"/>
      <c r="O231" s="555" t="n"/>
      <c r="P231" s="555" t="n"/>
      <c r="Q231" s="555" t="n"/>
      <c r="R231" s="555" t="n"/>
      <c r="S231" s="473" t="n"/>
      <c r="T231" s="473" t="n"/>
      <c r="U231" s="473" t="n"/>
      <c r="V231" s="473" t="n"/>
    </row>
    <row r="232" ht="21" customHeight="1" s="574">
      <c r="A232" s="555" t="n"/>
      <c r="B232" s="555" t="n"/>
      <c r="C232" s="555" t="n"/>
      <c r="D232" s="555" t="n"/>
      <c r="E232" s="555" t="n"/>
      <c r="F232" s="555" t="n"/>
      <c r="G232" s="555" t="n"/>
      <c r="H232" s="555" t="n"/>
      <c r="I232" s="555" t="n"/>
      <c r="J232" s="555" t="n"/>
      <c r="K232" s="555" t="n"/>
      <c r="L232" s="555" t="n"/>
      <c r="M232" s="555" t="n"/>
      <c r="N232" s="555" t="n"/>
      <c r="O232" s="555" t="n"/>
      <c r="P232" s="555" t="n"/>
      <c r="Q232" s="555" t="n"/>
      <c r="R232" s="555" t="n"/>
      <c r="S232" s="473" t="n"/>
      <c r="T232" s="473" t="n"/>
      <c r="U232" s="473" t="n"/>
      <c r="V232" s="473" t="n"/>
    </row>
    <row r="233" ht="21" customHeight="1" s="574">
      <c r="A233" s="555" t="n"/>
      <c r="B233" s="555" t="n"/>
      <c r="C233" s="555" t="n"/>
      <c r="D233" s="555" t="n"/>
      <c r="E233" s="555" t="n"/>
      <c r="F233" s="555" t="n"/>
      <c r="G233" s="555" t="n"/>
      <c r="H233" s="555" t="n"/>
      <c r="I233" s="555" t="n"/>
      <c r="J233" s="555" t="n"/>
      <c r="K233" s="555" t="n"/>
      <c r="L233" s="555" t="n"/>
      <c r="M233" s="555" t="n"/>
      <c r="N233" s="555" t="n"/>
      <c r="O233" s="555" t="n"/>
      <c r="P233" s="555" t="n"/>
      <c r="Q233" s="555" t="n"/>
      <c r="R233" s="555" t="n"/>
      <c r="S233" s="473" t="n"/>
      <c r="T233" s="473" t="n"/>
      <c r="U233" s="473" t="n"/>
      <c r="V233" s="473" t="n"/>
    </row>
    <row r="234" ht="21" customHeight="1" s="574">
      <c r="A234" s="555" t="n"/>
      <c r="B234" s="555" t="n"/>
      <c r="C234" s="555" t="n"/>
      <c r="D234" s="555" t="n"/>
      <c r="E234" s="555" t="n"/>
      <c r="F234" s="555" t="n"/>
      <c r="G234" s="555" t="n"/>
      <c r="H234" s="555" t="n"/>
      <c r="I234" s="555" t="n"/>
      <c r="J234" s="555" t="n"/>
      <c r="K234" s="555" t="n"/>
      <c r="L234" s="555" t="n"/>
      <c r="M234" s="555" t="n"/>
      <c r="N234" s="555" t="n"/>
      <c r="O234" s="555" t="n"/>
      <c r="P234" s="555" t="n"/>
      <c r="Q234" s="555" t="n"/>
      <c r="R234" s="555" t="n"/>
      <c r="S234" s="473" t="n"/>
      <c r="T234" s="473" t="n"/>
      <c r="U234" s="473" t="n"/>
      <c r="V234" s="473" t="n"/>
    </row>
    <row r="235" ht="21" customHeight="1" s="574">
      <c r="A235" s="555" t="n"/>
      <c r="B235" s="555" t="n"/>
      <c r="C235" s="555" t="n"/>
      <c r="D235" s="555" t="n"/>
      <c r="E235" s="555" t="n"/>
      <c r="F235" s="555" t="n"/>
      <c r="G235" s="555" t="n"/>
      <c r="H235" s="555" t="n"/>
      <c r="I235" s="555" t="n"/>
      <c r="J235" s="555" t="n"/>
      <c r="K235" s="555" t="n"/>
      <c r="L235" s="555" t="n"/>
      <c r="M235" s="555" t="n"/>
      <c r="N235" s="555" t="n"/>
      <c r="O235" s="555" t="n"/>
      <c r="P235" s="555" t="n"/>
      <c r="Q235" s="555" t="n"/>
      <c r="R235" s="555" t="n"/>
      <c r="S235" s="473" t="n"/>
      <c r="T235" s="473" t="n"/>
      <c r="U235" s="473" t="n"/>
      <c r="V235" s="473" t="n"/>
    </row>
    <row r="236" ht="21" customHeight="1" s="574">
      <c r="A236" s="555" t="n"/>
      <c r="B236" s="555" t="n"/>
      <c r="C236" s="555" t="n"/>
      <c r="D236" s="555" t="n"/>
      <c r="E236" s="555" t="n"/>
      <c r="F236" s="555" t="n"/>
      <c r="G236" s="555" t="n"/>
      <c r="H236" s="555" t="n"/>
      <c r="I236" s="555" t="n"/>
      <c r="J236" s="555" t="n"/>
      <c r="K236" s="555" t="n"/>
      <c r="L236" s="555" t="n"/>
      <c r="M236" s="555" t="n"/>
      <c r="N236" s="555" t="n"/>
      <c r="O236" s="555" t="n"/>
      <c r="P236" s="555" t="n"/>
      <c r="Q236" s="555" t="n"/>
      <c r="R236" s="555" t="n"/>
      <c r="S236" s="473" t="n"/>
      <c r="T236" s="473" t="n"/>
      <c r="U236" s="473" t="n"/>
      <c r="V236" s="473" t="n"/>
    </row>
    <row r="237" ht="21" customHeight="1" s="574">
      <c r="A237" s="555" t="n"/>
      <c r="B237" s="555" t="n"/>
      <c r="C237" s="555" t="n"/>
      <c r="D237" s="555" t="n"/>
      <c r="E237" s="555" t="n"/>
      <c r="F237" s="555" t="n"/>
      <c r="G237" s="555" t="n"/>
      <c r="H237" s="555" t="n"/>
      <c r="I237" s="555" t="n"/>
      <c r="J237" s="555" t="n"/>
      <c r="K237" s="555" t="n"/>
      <c r="L237" s="555" t="n"/>
      <c r="M237" s="555" t="n"/>
      <c r="N237" s="555" t="n"/>
      <c r="O237" s="555" t="n"/>
      <c r="P237" s="555" t="n"/>
      <c r="Q237" s="555" t="n"/>
      <c r="R237" s="555" t="n"/>
      <c r="S237" s="473" t="n"/>
      <c r="T237" s="473" t="n"/>
      <c r="U237" s="473" t="n"/>
      <c r="V237" s="473" t="n"/>
    </row>
    <row r="238" ht="21" customHeight="1" s="574">
      <c r="A238" s="555" t="n"/>
      <c r="B238" s="555" t="n"/>
      <c r="C238" s="555" t="n"/>
      <c r="D238" s="555" t="n"/>
      <c r="E238" s="555" t="n"/>
      <c r="F238" s="555" t="n"/>
      <c r="G238" s="555" t="n"/>
      <c r="H238" s="555" t="n"/>
      <c r="I238" s="555" t="n"/>
      <c r="J238" s="555" t="n"/>
      <c r="K238" s="555" t="n"/>
      <c r="L238" s="555" t="n"/>
      <c r="M238" s="555" t="n"/>
      <c r="N238" s="555" t="n"/>
      <c r="O238" s="555" t="n"/>
      <c r="P238" s="555" t="n"/>
      <c r="Q238" s="555" t="n"/>
      <c r="R238" s="555" t="n"/>
      <c r="S238" s="473" t="n"/>
      <c r="T238" s="473" t="n"/>
      <c r="U238" s="473" t="n"/>
      <c r="V238" s="473" t="n"/>
    </row>
    <row r="239" ht="21" customHeight="1" s="574">
      <c r="A239" s="555" t="n"/>
      <c r="B239" s="555" t="n"/>
      <c r="C239" s="555" t="n"/>
      <c r="D239" s="555" t="n"/>
      <c r="E239" s="555" t="n"/>
      <c r="F239" s="555" t="n"/>
      <c r="G239" s="555" t="n"/>
      <c r="H239" s="555" t="n"/>
      <c r="I239" s="555" t="n"/>
      <c r="J239" s="555" t="n"/>
      <c r="K239" s="555" t="n"/>
      <c r="L239" s="555" t="n"/>
      <c r="M239" s="555" t="n"/>
      <c r="N239" s="555" t="n"/>
      <c r="O239" s="555" t="n"/>
      <c r="P239" s="555" t="n"/>
      <c r="Q239" s="555" t="n"/>
      <c r="R239" s="555" t="n"/>
      <c r="S239" s="473" t="n"/>
      <c r="T239" s="473" t="n"/>
      <c r="U239" s="473" t="n"/>
      <c r="V239" s="473" t="n"/>
    </row>
    <row r="240" ht="21" customHeight="1" s="574">
      <c r="A240" s="555" t="n"/>
      <c r="B240" s="555" t="n"/>
      <c r="C240" s="555" t="n"/>
      <c r="D240" s="555" t="n"/>
      <c r="E240" s="555" t="n"/>
      <c r="F240" s="555" t="n"/>
      <c r="G240" s="555" t="n"/>
      <c r="H240" s="555" t="n"/>
      <c r="I240" s="555" t="n"/>
      <c r="J240" s="555" t="n"/>
      <c r="K240" s="555" t="n"/>
      <c r="L240" s="555" t="n"/>
      <c r="M240" s="555" t="n"/>
      <c r="N240" s="555" t="n"/>
      <c r="O240" s="555" t="n"/>
      <c r="P240" s="555" t="n"/>
      <c r="Q240" s="555" t="n"/>
      <c r="R240" s="555" t="n"/>
      <c r="S240" s="473" t="n"/>
      <c r="T240" s="473" t="n"/>
      <c r="U240" s="473" t="n"/>
      <c r="V240" s="473" t="n"/>
    </row>
    <row r="241" ht="21" customHeight="1" s="574">
      <c r="A241" s="555" t="n"/>
      <c r="B241" s="555" t="n"/>
      <c r="C241" s="555" t="n"/>
      <c r="D241" s="555" t="n"/>
      <c r="E241" s="555" t="n"/>
      <c r="F241" s="555" t="n"/>
      <c r="G241" s="555" t="n"/>
      <c r="H241" s="555" t="n"/>
      <c r="I241" s="555" t="n"/>
      <c r="J241" s="555" t="n"/>
      <c r="K241" s="555" t="n"/>
      <c r="L241" s="555" t="n"/>
      <c r="M241" s="555" t="n"/>
      <c r="N241" s="555" t="n"/>
      <c r="O241" s="555" t="n"/>
      <c r="P241" s="555" t="n"/>
      <c r="Q241" s="555" t="n"/>
      <c r="R241" s="555" t="n"/>
      <c r="S241" s="473" t="n"/>
      <c r="T241" s="473" t="n"/>
      <c r="U241" s="473" t="n"/>
      <c r="V241" s="473" t="n"/>
    </row>
    <row r="242" ht="21" customHeight="1" s="574">
      <c r="A242" s="555" t="n"/>
      <c r="B242" s="555" t="n"/>
      <c r="C242" s="555" t="n"/>
      <c r="D242" s="555" t="n"/>
      <c r="E242" s="555" t="n"/>
      <c r="F242" s="555" t="n"/>
      <c r="G242" s="555" t="n"/>
      <c r="H242" s="555" t="n"/>
      <c r="I242" s="555" t="n"/>
      <c r="J242" s="555" t="n"/>
      <c r="K242" s="555" t="n"/>
      <c r="L242" s="555" t="n"/>
      <c r="M242" s="555" t="n"/>
      <c r="N242" s="555" t="n"/>
      <c r="O242" s="555" t="n"/>
      <c r="P242" s="555" t="n"/>
      <c r="Q242" s="555" t="n"/>
      <c r="R242" s="555" t="n"/>
      <c r="S242" s="473" t="n"/>
      <c r="T242" s="473" t="n"/>
      <c r="U242" s="473" t="n"/>
      <c r="V242" s="473" t="n"/>
    </row>
    <row r="243" ht="21" customHeight="1" s="574">
      <c r="A243" s="555" t="n"/>
      <c r="B243" s="555" t="n"/>
      <c r="C243" s="555" t="n"/>
      <c r="D243" s="555" t="n"/>
      <c r="E243" s="555" t="n"/>
      <c r="F243" s="555" t="n"/>
      <c r="G243" s="555" t="n"/>
      <c r="H243" s="555" t="n"/>
      <c r="I243" s="555" t="n"/>
      <c r="J243" s="555" t="n"/>
      <c r="K243" s="555" t="n"/>
      <c r="L243" s="555" t="n"/>
      <c r="M243" s="555" t="n"/>
      <c r="N243" s="555" t="n"/>
      <c r="O243" s="555" t="n"/>
      <c r="P243" s="555" t="n"/>
      <c r="Q243" s="555" t="n"/>
      <c r="R243" s="555" t="n"/>
      <c r="S243" s="473" t="n"/>
      <c r="T243" s="473" t="n"/>
      <c r="U243" s="473" t="n"/>
      <c r="V243" s="473" t="n"/>
    </row>
    <row r="244" ht="21" customHeight="1" s="574">
      <c r="A244" s="555" t="n"/>
      <c r="B244" s="555" t="n"/>
      <c r="C244" s="555" t="n"/>
      <c r="D244" s="555" t="n"/>
      <c r="E244" s="555" t="n"/>
      <c r="F244" s="555" t="n"/>
      <c r="G244" s="555" t="n"/>
      <c r="H244" s="555" t="n"/>
      <c r="I244" s="555" t="n"/>
      <c r="J244" s="555" t="n"/>
      <c r="K244" s="555" t="n"/>
      <c r="L244" s="555" t="n"/>
      <c r="M244" s="555" t="n"/>
      <c r="N244" s="555" t="n"/>
      <c r="O244" s="555" t="n"/>
      <c r="P244" s="555" t="n"/>
      <c r="Q244" s="555" t="n"/>
      <c r="R244" s="555" t="n"/>
      <c r="S244" s="473" t="n"/>
      <c r="T244" s="473" t="n"/>
      <c r="U244" s="473" t="n"/>
      <c r="V244" s="473" t="n"/>
    </row>
    <row r="245" ht="21" customHeight="1" s="574">
      <c r="A245" s="555" t="n"/>
      <c r="B245" s="555" t="n"/>
      <c r="C245" s="555" t="n"/>
      <c r="D245" s="555" t="n"/>
      <c r="E245" s="555" t="n"/>
      <c r="F245" s="555" t="n"/>
      <c r="G245" s="555" t="n"/>
      <c r="H245" s="555" t="n"/>
      <c r="I245" s="555" t="n"/>
      <c r="J245" s="555" t="n"/>
      <c r="K245" s="555" t="n"/>
      <c r="L245" s="555" t="n"/>
      <c r="M245" s="555" t="n"/>
      <c r="N245" s="555" t="n"/>
      <c r="O245" s="555" t="n"/>
      <c r="P245" s="555" t="n"/>
      <c r="Q245" s="555" t="n"/>
      <c r="R245" s="555" t="n"/>
      <c r="S245" s="473" t="n"/>
      <c r="T245" s="473" t="n"/>
      <c r="U245" s="473" t="n"/>
      <c r="V245" s="473" t="n"/>
    </row>
    <row r="246" ht="21" customHeight="1" s="574">
      <c r="A246" s="555" t="n"/>
      <c r="B246" s="555" t="n"/>
      <c r="C246" s="555" t="n"/>
      <c r="D246" s="555" t="n"/>
      <c r="E246" s="555" t="n"/>
      <c r="F246" s="555" t="n"/>
      <c r="G246" s="555" t="n"/>
      <c r="H246" s="555" t="n"/>
      <c r="I246" s="555" t="n"/>
      <c r="J246" s="555" t="n"/>
      <c r="K246" s="555" t="n"/>
      <c r="L246" s="555" t="n"/>
      <c r="M246" s="555" t="n"/>
      <c r="N246" s="555" t="n"/>
      <c r="O246" s="555" t="n"/>
      <c r="P246" s="555" t="n"/>
      <c r="Q246" s="555" t="n"/>
      <c r="R246" s="555" t="n"/>
      <c r="S246" s="473" t="n"/>
      <c r="T246" s="473" t="n"/>
      <c r="U246" s="473" t="n"/>
      <c r="V246" s="473" t="n"/>
    </row>
    <row r="247" ht="21" customHeight="1" s="574">
      <c r="A247" s="555" t="n"/>
      <c r="B247" s="555" t="n"/>
      <c r="C247" s="555" t="n"/>
      <c r="D247" s="555" t="n"/>
      <c r="E247" s="555" t="n"/>
      <c r="F247" s="555" t="n"/>
      <c r="G247" s="555" t="n"/>
      <c r="H247" s="555" t="n"/>
      <c r="I247" s="555" t="n"/>
      <c r="J247" s="555" t="n"/>
      <c r="K247" s="555" t="n"/>
      <c r="L247" s="555" t="n"/>
      <c r="M247" s="555" t="n"/>
      <c r="N247" s="555" t="n"/>
      <c r="O247" s="555" t="n"/>
      <c r="P247" s="555" t="n"/>
      <c r="Q247" s="555" t="n"/>
      <c r="R247" s="555" t="n"/>
      <c r="S247" s="473" t="n"/>
      <c r="T247" s="473" t="n"/>
      <c r="U247" s="473" t="n"/>
      <c r="V247" s="473" t="n"/>
    </row>
    <row r="248" ht="21" customHeight="1" s="574">
      <c r="A248" s="555" t="n"/>
      <c r="B248" s="555" t="n"/>
      <c r="C248" s="555" t="n"/>
      <c r="D248" s="555" t="n"/>
      <c r="E248" s="555" t="n"/>
      <c r="F248" s="555" t="n"/>
      <c r="G248" s="555" t="n"/>
      <c r="H248" s="555" t="n"/>
      <c r="I248" s="555" t="n"/>
      <c r="J248" s="555" t="n"/>
      <c r="K248" s="555" t="n"/>
      <c r="L248" s="555" t="n"/>
      <c r="M248" s="555" t="n"/>
      <c r="N248" s="555" t="n"/>
      <c r="O248" s="555" t="n"/>
      <c r="P248" s="555" t="n"/>
      <c r="Q248" s="555" t="n"/>
      <c r="R248" s="555" t="n"/>
      <c r="S248" s="473" t="n"/>
      <c r="T248" s="473" t="n"/>
      <c r="U248" s="473" t="n"/>
      <c r="V248" s="473" t="n"/>
    </row>
    <row r="249" ht="21" customHeight="1" s="574">
      <c r="A249" s="555" t="n"/>
      <c r="B249" s="555" t="n"/>
      <c r="C249" s="555" t="n"/>
      <c r="D249" s="555" t="n"/>
      <c r="E249" s="555" t="n"/>
      <c r="F249" s="555" t="n"/>
      <c r="G249" s="555" t="n"/>
      <c r="H249" s="555" t="n"/>
      <c r="I249" s="555" t="n"/>
      <c r="J249" s="555" t="n"/>
      <c r="K249" s="555" t="n"/>
      <c r="L249" s="555" t="n"/>
      <c r="M249" s="555" t="n"/>
      <c r="N249" s="555" t="n"/>
      <c r="O249" s="555" t="n"/>
      <c r="P249" s="555" t="n"/>
      <c r="Q249" s="555" t="n"/>
      <c r="R249" s="555" t="n"/>
      <c r="S249" s="473" t="n"/>
      <c r="T249" s="473" t="n"/>
      <c r="U249" s="473" t="n"/>
      <c r="V249" s="473" t="n"/>
    </row>
    <row r="250" ht="21" customHeight="1" s="574">
      <c r="A250" s="555" t="n"/>
      <c r="B250" s="555" t="n"/>
      <c r="C250" s="555" t="n"/>
      <c r="D250" s="555" t="n"/>
      <c r="E250" s="555" t="n"/>
      <c r="F250" s="555" t="n"/>
      <c r="G250" s="555" t="n"/>
      <c r="H250" s="555" t="n"/>
      <c r="I250" s="555" t="n"/>
      <c r="J250" s="555" t="n"/>
      <c r="K250" s="555" t="n"/>
      <c r="L250" s="555" t="n"/>
      <c r="M250" s="555" t="n"/>
      <c r="N250" s="555" t="n"/>
      <c r="O250" s="555" t="n"/>
      <c r="P250" s="555" t="n"/>
      <c r="Q250" s="555" t="n"/>
      <c r="R250" s="555" t="n"/>
      <c r="S250" s="473" t="n"/>
      <c r="T250" s="473" t="n"/>
      <c r="U250" s="473" t="n"/>
      <c r="V250" s="473" t="n"/>
    </row>
    <row r="251" ht="21" customHeight="1" s="574">
      <c r="A251" s="555" t="n"/>
      <c r="B251" s="555" t="n"/>
      <c r="C251" s="555" t="n"/>
      <c r="D251" s="555" t="n"/>
      <c r="E251" s="555" t="n"/>
      <c r="F251" s="555" t="n"/>
      <c r="G251" s="555" t="n"/>
      <c r="H251" s="555" t="n"/>
      <c r="I251" s="555" t="n"/>
      <c r="J251" s="555" t="n"/>
      <c r="K251" s="555" t="n"/>
      <c r="L251" s="555" t="n"/>
      <c r="M251" s="555" t="n"/>
      <c r="N251" s="555" t="n"/>
      <c r="O251" s="555" t="n"/>
      <c r="P251" s="555" t="n"/>
      <c r="Q251" s="555" t="n"/>
      <c r="R251" s="555" t="n"/>
      <c r="S251" s="473" t="n"/>
      <c r="T251" s="473" t="n"/>
      <c r="U251" s="473" t="n"/>
      <c r="V251" s="473" t="n"/>
    </row>
    <row r="252" ht="21" customHeight="1" s="574">
      <c r="A252" s="555" t="n"/>
      <c r="B252" s="555" t="n"/>
      <c r="C252" s="555" t="n"/>
      <c r="D252" s="555" t="n"/>
      <c r="E252" s="555" t="n"/>
      <c r="F252" s="555" t="n"/>
      <c r="G252" s="555" t="n"/>
      <c r="H252" s="555" t="n"/>
      <c r="I252" s="555" t="n"/>
      <c r="J252" s="555" t="n"/>
      <c r="K252" s="555" t="n"/>
      <c r="L252" s="555" t="n"/>
      <c r="M252" s="555" t="n"/>
      <c r="N252" s="555" t="n"/>
      <c r="O252" s="555" t="n"/>
      <c r="P252" s="555" t="n"/>
      <c r="Q252" s="555" t="n"/>
      <c r="R252" s="555" t="n"/>
      <c r="S252" s="473" t="n"/>
      <c r="T252" s="473" t="n"/>
      <c r="U252" s="473" t="n"/>
      <c r="V252" s="473" t="n"/>
    </row>
    <row r="253" ht="21" customHeight="1" s="574">
      <c r="A253" s="555" t="n"/>
      <c r="B253" s="555" t="n"/>
      <c r="C253" s="555" t="n"/>
      <c r="D253" s="555" t="n"/>
      <c r="E253" s="555" t="n"/>
      <c r="F253" s="555" t="n"/>
      <c r="G253" s="555" t="n"/>
      <c r="H253" s="555" t="n"/>
      <c r="I253" s="555" t="n"/>
      <c r="J253" s="555" t="n"/>
      <c r="K253" s="555" t="n"/>
      <c r="L253" s="555" t="n"/>
      <c r="M253" s="555" t="n"/>
      <c r="N253" s="555" t="n"/>
      <c r="O253" s="555" t="n"/>
      <c r="P253" s="555" t="n"/>
      <c r="Q253" s="555" t="n"/>
      <c r="R253" s="555" t="n"/>
      <c r="S253" s="473" t="n"/>
      <c r="T253" s="473" t="n"/>
      <c r="U253" s="473" t="n"/>
      <c r="V253" s="473" t="n"/>
    </row>
    <row r="254" ht="21" customHeight="1" s="574">
      <c r="A254" s="555" t="n"/>
      <c r="B254" s="555" t="n"/>
      <c r="C254" s="555" t="n"/>
      <c r="D254" s="555" t="n"/>
      <c r="E254" s="555" t="n"/>
      <c r="F254" s="555" t="n"/>
      <c r="G254" s="555" t="n"/>
      <c r="H254" s="555" t="n"/>
      <c r="I254" s="555" t="n"/>
      <c r="J254" s="555" t="n"/>
      <c r="K254" s="555" t="n"/>
      <c r="L254" s="555" t="n"/>
      <c r="M254" s="555" t="n"/>
      <c r="N254" s="555" t="n"/>
      <c r="O254" s="555" t="n"/>
      <c r="P254" s="555" t="n"/>
      <c r="Q254" s="555" t="n"/>
      <c r="R254" s="555" t="n"/>
      <c r="S254" s="473" t="n"/>
      <c r="T254" s="473" t="n"/>
      <c r="U254" s="473" t="n"/>
      <c r="V254" s="473" t="n"/>
    </row>
    <row r="255" ht="21" customHeight="1" s="574">
      <c r="A255" s="555" t="n"/>
      <c r="B255" s="555" t="n"/>
      <c r="C255" s="555" t="n"/>
      <c r="D255" s="555" t="n"/>
      <c r="E255" s="555" t="n"/>
      <c r="F255" s="555" t="n"/>
      <c r="G255" s="555" t="n"/>
      <c r="H255" s="555" t="n"/>
      <c r="I255" s="555" t="n"/>
      <c r="J255" s="555" t="n"/>
      <c r="K255" s="555" t="n"/>
      <c r="L255" s="555" t="n"/>
      <c r="M255" s="555" t="n"/>
      <c r="N255" s="555" t="n"/>
      <c r="O255" s="555" t="n"/>
      <c r="P255" s="555" t="n"/>
      <c r="Q255" s="555" t="n"/>
      <c r="R255" s="555" t="n"/>
      <c r="S255" s="473" t="n"/>
      <c r="T255" s="473" t="n"/>
      <c r="U255" s="473" t="n"/>
      <c r="V255" s="473" t="n"/>
    </row>
    <row r="256" ht="21" customHeight="1" s="574">
      <c r="A256" s="555" t="n"/>
      <c r="B256" s="555" t="n"/>
      <c r="C256" s="555" t="n"/>
      <c r="D256" s="555" t="n"/>
      <c r="E256" s="555" t="n"/>
      <c r="F256" s="555" t="n"/>
      <c r="G256" s="555" t="n"/>
      <c r="H256" s="555" t="n"/>
      <c r="I256" s="555" t="n"/>
      <c r="J256" s="555" t="n"/>
      <c r="K256" s="555" t="n"/>
      <c r="L256" s="555" t="n"/>
      <c r="M256" s="555" t="n"/>
      <c r="N256" s="555" t="n"/>
      <c r="O256" s="555" t="n"/>
      <c r="P256" s="555" t="n"/>
      <c r="Q256" s="555" t="n"/>
      <c r="R256" s="555" t="n"/>
      <c r="S256" s="473" t="n"/>
      <c r="T256" s="473" t="n"/>
      <c r="U256" s="473" t="n"/>
      <c r="V256" s="473" t="n"/>
    </row>
    <row r="257" ht="21" customHeight="1" s="574">
      <c r="A257" s="555" t="n"/>
      <c r="B257" s="555" t="n"/>
      <c r="C257" s="555" t="n"/>
      <c r="D257" s="555" t="n"/>
      <c r="E257" s="555" t="n"/>
      <c r="F257" s="555" t="n"/>
      <c r="G257" s="555" t="n"/>
      <c r="H257" s="555" t="n"/>
      <c r="I257" s="555" t="n"/>
      <c r="J257" s="555" t="n"/>
      <c r="K257" s="555" t="n"/>
      <c r="L257" s="555" t="n"/>
      <c r="M257" s="555" t="n"/>
      <c r="N257" s="555" t="n"/>
      <c r="O257" s="555" t="n"/>
      <c r="P257" s="555" t="n"/>
      <c r="Q257" s="555" t="n"/>
      <c r="R257" s="555" t="n"/>
      <c r="S257" s="473" t="n"/>
      <c r="T257" s="473" t="n"/>
      <c r="U257" s="473" t="n"/>
      <c r="V257" s="473" t="n"/>
    </row>
    <row r="258" ht="21" customHeight="1" s="574">
      <c r="A258" s="555" t="n"/>
      <c r="B258" s="555" t="n"/>
      <c r="C258" s="555" t="n"/>
      <c r="D258" s="555" t="n"/>
      <c r="E258" s="555" t="n"/>
      <c r="F258" s="555" t="n"/>
      <c r="G258" s="555" t="n"/>
      <c r="H258" s="555" t="n"/>
      <c r="I258" s="555" t="n"/>
      <c r="J258" s="555" t="n"/>
      <c r="K258" s="555" t="n"/>
      <c r="L258" s="555" t="n"/>
      <c r="M258" s="555" t="n"/>
      <c r="N258" s="555" t="n"/>
      <c r="O258" s="555" t="n"/>
      <c r="P258" s="555" t="n"/>
      <c r="Q258" s="555" t="n"/>
      <c r="R258" s="555" t="n"/>
      <c r="S258" s="473" t="n"/>
      <c r="T258" s="473" t="n"/>
      <c r="U258" s="473" t="n"/>
      <c r="V258" s="473" t="n"/>
    </row>
    <row r="259" ht="21" customHeight="1" s="574">
      <c r="A259" s="555" t="n"/>
      <c r="B259" s="555" t="n"/>
      <c r="C259" s="555" t="n"/>
      <c r="D259" s="555" t="n"/>
      <c r="E259" s="555" t="n"/>
      <c r="F259" s="555" t="n"/>
      <c r="G259" s="555" t="n"/>
      <c r="H259" s="555" t="n"/>
      <c r="I259" s="555" t="n"/>
      <c r="J259" s="555" t="n"/>
      <c r="K259" s="555" t="n"/>
      <c r="L259" s="555" t="n"/>
      <c r="M259" s="555" t="n"/>
      <c r="N259" s="555" t="n"/>
      <c r="O259" s="555" t="n"/>
      <c r="P259" s="555" t="n"/>
      <c r="Q259" s="555" t="n"/>
      <c r="R259" s="555" t="n"/>
      <c r="S259" s="473" t="n"/>
      <c r="T259" s="473" t="n"/>
      <c r="U259" s="473" t="n"/>
      <c r="V259" s="473" t="n"/>
    </row>
    <row r="260" ht="21" customHeight="1" s="574">
      <c r="A260" s="555" t="n"/>
      <c r="B260" s="555" t="n"/>
      <c r="C260" s="555" t="n"/>
      <c r="D260" s="555" t="n"/>
      <c r="E260" s="555" t="n"/>
      <c r="F260" s="555" t="n"/>
      <c r="G260" s="555" t="n"/>
      <c r="H260" s="555" t="n"/>
      <c r="I260" s="555" t="n"/>
      <c r="J260" s="555" t="n"/>
      <c r="K260" s="555" t="n"/>
      <c r="L260" s="555" t="n"/>
      <c r="M260" s="555" t="n"/>
      <c r="N260" s="555" t="n"/>
      <c r="O260" s="555" t="n"/>
      <c r="P260" s="555" t="n"/>
      <c r="Q260" s="555" t="n"/>
      <c r="R260" s="555" t="n"/>
      <c r="S260" s="473" t="n"/>
      <c r="T260" s="473" t="n"/>
      <c r="U260" s="473" t="n"/>
      <c r="V260" s="473" t="n"/>
    </row>
    <row r="261" ht="21" customHeight="1" s="574">
      <c r="A261" s="555" t="n"/>
      <c r="B261" s="555" t="n"/>
      <c r="C261" s="555" t="n"/>
      <c r="D261" s="555" t="n"/>
      <c r="E261" s="555" t="n"/>
      <c r="F261" s="555" t="n"/>
      <c r="G261" s="555" t="n"/>
      <c r="H261" s="555" t="n"/>
      <c r="I261" s="555" t="n"/>
      <c r="J261" s="555" t="n"/>
      <c r="K261" s="555" t="n"/>
      <c r="L261" s="555" t="n"/>
      <c r="M261" s="555" t="n"/>
      <c r="N261" s="555" t="n"/>
      <c r="O261" s="555" t="n"/>
      <c r="P261" s="555" t="n"/>
      <c r="Q261" s="555" t="n"/>
      <c r="R261" s="555" t="n"/>
      <c r="S261" s="473" t="n"/>
      <c r="T261" s="473" t="n"/>
      <c r="U261" s="473" t="n"/>
      <c r="V261" s="473" t="n"/>
    </row>
    <row r="262" ht="21" customHeight="1" s="574">
      <c r="A262" s="555" t="n"/>
      <c r="B262" s="555" t="n"/>
      <c r="C262" s="555" t="n"/>
      <c r="D262" s="555" t="n"/>
      <c r="E262" s="555" t="n"/>
      <c r="F262" s="555" t="n"/>
      <c r="G262" s="555" t="n"/>
      <c r="H262" s="555" t="n"/>
      <c r="I262" s="555" t="n"/>
      <c r="J262" s="555" t="n"/>
      <c r="K262" s="555" t="n"/>
      <c r="L262" s="555" t="n"/>
      <c r="M262" s="555" t="n"/>
      <c r="N262" s="555" t="n"/>
      <c r="O262" s="555" t="n"/>
      <c r="P262" s="555" t="n"/>
      <c r="Q262" s="555" t="n"/>
      <c r="R262" s="555" t="n"/>
      <c r="S262" s="473" t="n"/>
      <c r="T262" s="473" t="n"/>
      <c r="U262" s="473" t="n"/>
      <c r="V262" s="473" t="n"/>
    </row>
    <row r="263" ht="21" customHeight="1" s="574">
      <c r="A263" s="555" t="n"/>
      <c r="B263" s="555" t="n"/>
      <c r="C263" s="555" t="n"/>
      <c r="D263" s="555" t="n"/>
      <c r="E263" s="555" t="n"/>
      <c r="F263" s="555" t="n"/>
      <c r="G263" s="555" t="n"/>
      <c r="H263" s="555" t="n"/>
      <c r="I263" s="555" t="n"/>
      <c r="J263" s="555" t="n"/>
      <c r="K263" s="555" t="n"/>
      <c r="L263" s="555" t="n"/>
      <c r="M263" s="555" t="n"/>
      <c r="N263" s="555" t="n"/>
      <c r="O263" s="555" t="n"/>
      <c r="P263" s="555" t="n"/>
      <c r="Q263" s="555" t="n"/>
      <c r="R263" s="555" t="n"/>
      <c r="S263" s="473" t="n"/>
      <c r="T263" s="473" t="n"/>
      <c r="U263" s="473" t="n"/>
      <c r="V263" s="473" t="n"/>
    </row>
    <row r="264" ht="21" customHeight="1" s="574">
      <c r="A264" s="555" t="n"/>
      <c r="B264" s="555" t="n"/>
      <c r="C264" s="555" t="n"/>
      <c r="D264" s="555" t="n"/>
      <c r="E264" s="555" t="n"/>
      <c r="F264" s="555" t="n"/>
      <c r="G264" s="555" t="n"/>
      <c r="H264" s="555" t="n"/>
      <c r="I264" s="555" t="n"/>
      <c r="J264" s="555" t="n"/>
      <c r="K264" s="555" t="n"/>
      <c r="L264" s="555" t="n"/>
      <c r="M264" s="555" t="n"/>
      <c r="N264" s="555" t="n"/>
      <c r="O264" s="555" t="n"/>
      <c r="P264" s="555" t="n"/>
      <c r="Q264" s="555" t="n"/>
      <c r="R264" s="555" t="n"/>
      <c r="S264" s="473" t="n"/>
      <c r="T264" s="473" t="n"/>
      <c r="U264" s="473" t="n"/>
      <c r="V264" s="473" t="n"/>
    </row>
    <row r="265" ht="21" customHeight="1" s="574">
      <c r="A265" s="555" t="n"/>
      <c r="B265" s="555" t="n"/>
      <c r="C265" s="555" t="n"/>
      <c r="D265" s="555" t="n"/>
      <c r="E265" s="555" t="n"/>
      <c r="F265" s="555" t="n"/>
      <c r="G265" s="555" t="n"/>
      <c r="H265" s="555" t="n"/>
      <c r="I265" s="555" t="n"/>
      <c r="J265" s="555" t="n"/>
      <c r="K265" s="555" t="n"/>
      <c r="L265" s="555" t="n"/>
      <c r="M265" s="555" t="n"/>
      <c r="N265" s="555" t="n"/>
      <c r="O265" s="555" t="n"/>
      <c r="P265" s="555" t="n"/>
      <c r="Q265" s="555" t="n"/>
      <c r="R265" s="555" t="n"/>
      <c r="S265" s="473" t="n"/>
      <c r="T265" s="473" t="n"/>
      <c r="U265" s="473" t="n"/>
      <c r="V265" s="473" t="n"/>
    </row>
    <row r="266" ht="21" customHeight="1" s="574">
      <c r="A266" s="555" t="n"/>
      <c r="B266" s="555" t="n"/>
      <c r="C266" s="555" t="n"/>
      <c r="D266" s="555" t="n"/>
      <c r="E266" s="555" t="n"/>
      <c r="F266" s="555" t="n"/>
      <c r="G266" s="555" t="n"/>
      <c r="H266" s="555" t="n"/>
      <c r="I266" s="555" t="n"/>
      <c r="J266" s="555" t="n"/>
      <c r="K266" s="555" t="n"/>
      <c r="L266" s="555" t="n"/>
      <c r="M266" s="555" t="n"/>
      <c r="N266" s="555" t="n"/>
      <c r="O266" s="555" t="n"/>
      <c r="P266" s="555" t="n"/>
      <c r="Q266" s="555" t="n"/>
      <c r="R266" s="555" t="n"/>
      <c r="S266" s="473" t="n"/>
      <c r="T266" s="473" t="n"/>
      <c r="U266" s="473" t="n"/>
      <c r="V266" s="473" t="n"/>
    </row>
    <row r="267" ht="21" customHeight="1" s="574">
      <c r="A267" s="555" t="n"/>
      <c r="B267" s="555" t="n"/>
      <c r="C267" s="555" t="n"/>
      <c r="D267" s="555" t="n"/>
      <c r="E267" s="555" t="n"/>
      <c r="F267" s="555" t="n"/>
      <c r="G267" s="555" t="n"/>
      <c r="H267" s="555" t="n"/>
      <c r="I267" s="555" t="n"/>
      <c r="J267" s="555" t="n"/>
      <c r="K267" s="555" t="n"/>
      <c r="L267" s="555" t="n"/>
      <c r="M267" s="555" t="n"/>
      <c r="N267" s="555" t="n"/>
      <c r="O267" s="555" t="n"/>
      <c r="P267" s="555" t="n"/>
      <c r="Q267" s="555" t="n"/>
      <c r="R267" s="555" t="n"/>
      <c r="S267" s="473" t="n"/>
      <c r="T267" s="473" t="n"/>
      <c r="U267" s="473" t="n"/>
      <c r="V267" s="473" t="n"/>
    </row>
    <row r="268" ht="21" customHeight="1" s="574">
      <c r="A268" s="555" t="n"/>
      <c r="B268" s="555" t="n"/>
      <c r="C268" s="555" t="n"/>
      <c r="D268" s="555" t="n"/>
      <c r="E268" s="555" t="n"/>
      <c r="F268" s="555" t="n"/>
      <c r="G268" s="555" t="n"/>
      <c r="H268" s="555" t="n"/>
      <c r="I268" s="555" t="n"/>
      <c r="J268" s="555" t="n"/>
      <c r="K268" s="555" t="n"/>
      <c r="L268" s="555" t="n"/>
      <c r="M268" s="555" t="n"/>
      <c r="N268" s="555" t="n"/>
      <c r="O268" s="555" t="n"/>
      <c r="P268" s="555" t="n"/>
      <c r="Q268" s="555" t="n"/>
      <c r="R268" s="555" t="n"/>
      <c r="S268" s="473" t="n"/>
      <c r="T268" s="473" t="n"/>
      <c r="U268" s="473" t="n"/>
      <c r="V268" s="473" t="n"/>
    </row>
    <row r="269" ht="21" customHeight="1" s="574">
      <c r="A269" s="555" t="n"/>
      <c r="B269" s="555" t="n"/>
      <c r="C269" s="555" t="n"/>
      <c r="D269" s="555" t="n"/>
      <c r="E269" s="555" t="n"/>
      <c r="F269" s="555" t="n"/>
      <c r="G269" s="555" t="n"/>
      <c r="H269" s="555" t="n"/>
      <c r="I269" s="555" t="n"/>
      <c r="J269" s="555" t="n"/>
      <c r="K269" s="555" t="n"/>
      <c r="L269" s="555" t="n"/>
      <c r="M269" s="555" t="n"/>
      <c r="N269" s="555" t="n"/>
      <c r="O269" s="555" t="n"/>
      <c r="P269" s="555" t="n"/>
      <c r="Q269" s="555" t="n"/>
      <c r="R269" s="555" t="n"/>
      <c r="S269" s="473" t="n"/>
      <c r="T269" s="473" t="n"/>
      <c r="U269" s="473" t="n"/>
      <c r="V269" s="473" t="n"/>
    </row>
    <row r="270" ht="21" customHeight="1" s="574">
      <c r="A270" s="555" t="n"/>
      <c r="B270" s="555" t="n"/>
      <c r="C270" s="555" t="n"/>
      <c r="D270" s="555" t="n"/>
      <c r="E270" s="555" t="n"/>
      <c r="F270" s="555" t="n"/>
      <c r="G270" s="555" t="n"/>
      <c r="H270" s="555" t="n"/>
      <c r="I270" s="555" t="n"/>
      <c r="J270" s="555" t="n"/>
      <c r="K270" s="555" t="n"/>
      <c r="L270" s="555" t="n"/>
      <c r="M270" s="555" t="n"/>
      <c r="N270" s="555" t="n"/>
      <c r="O270" s="555" t="n"/>
      <c r="P270" s="555" t="n"/>
      <c r="Q270" s="555" t="n"/>
      <c r="R270" s="555" t="n"/>
      <c r="S270" s="473" t="n"/>
      <c r="T270" s="473" t="n"/>
      <c r="U270" s="473" t="n"/>
      <c r="V270" s="473" t="n"/>
    </row>
    <row r="271" ht="21" customHeight="1" s="574">
      <c r="A271" s="555" t="n"/>
      <c r="B271" s="555" t="n"/>
      <c r="C271" s="555" t="n"/>
      <c r="D271" s="555" t="n"/>
      <c r="E271" s="555" t="n"/>
      <c r="F271" s="555" t="n"/>
      <c r="G271" s="555" t="n"/>
      <c r="H271" s="555" t="n"/>
      <c r="I271" s="555" t="n"/>
      <c r="J271" s="555" t="n"/>
      <c r="K271" s="555" t="n"/>
      <c r="L271" s="555" t="n"/>
      <c r="M271" s="555" t="n"/>
      <c r="N271" s="555" t="n"/>
      <c r="O271" s="555" t="n"/>
      <c r="P271" s="555" t="n"/>
      <c r="Q271" s="555" t="n"/>
      <c r="R271" s="555" t="n"/>
      <c r="S271" s="473" t="n"/>
      <c r="T271" s="473" t="n"/>
      <c r="U271" s="473" t="n"/>
      <c r="V271" s="473" t="n"/>
    </row>
    <row r="272" ht="21" customHeight="1" s="574">
      <c r="A272" s="555" t="n"/>
      <c r="B272" s="555" t="n"/>
      <c r="C272" s="555" t="n"/>
      <c r="D272" s="555" t="n"/>
      <c r="E272" s="555" t="n"/>
      <c r="F272" s="555" t="n"/>
      <c r="G272" s="555" t="n"/>
      <c r="H272" s="555" t="n"/>
      <c r="I272" s="555" t="n"/>
      <c r="J272" s="555" t="n"/>
      <c r="K272" s="555" t="n"/>
      <c r="L272" s="555" t="n"/>
      <c r="M272" s="555" t="n"/>
      <c r="N272" s="555" t="n"/>
      <c r="O272" s="555" t="n"/>
      <c r="P272" s="555" t="n"/>
      <c r="Q272" s="555" t="n"/>
      <c r="R272" s="555" t="n"/>
      <c r="S272" s="473" t="n"/>
      <c r="T272" s="473" t="n"/>
      <c r="U272" s="473" t="n"/>
      <c r="V272" s="473" t="n"/>
    </row>
    <row r="273" ht="21" customHeight="1" s="574">
      <c r="A273" s="555" t="n"/>
      <c r="B273" s="555" t="n"/>
      <c r="C273" s="555" t="n"/>
      <c r="D273" s="555" t="n"/>
      <c r="E273" s="555" t="n"/>
      <c r="F273" s="555" t="n"/>
      <c r="G273" s="555" t="n"/>
      <c r="H273" s="555" t="n"/>
      <c r="I273" s="555" t="n"/>
      <c r="J273" s="555" t="n"/>
      <c r="K273" s="555" t="n"/>
      <c r="L273" s="555" t="n"/>
      <c r="M273" s="555" t="n"/>
      <c r="N273" s="555" t="n"/>
      <c r="O273" s="555" t="n"/>
      <c r="P273" s="555" t="n"/>
      <c r="Q273" s="555" t="n"/>
      <c r="R273" s="555" t="n"/>
      <c r="S273" s="473" t="n"/>
      <c r="T273" s="473" t="n"/>
      <c r="U273" s="473" t="n"/>
      <c r="V273" s="473" t="n"/>
    </row>
    <row r="274" ht="21" customHeight="1" s="574">
      <c r="A274" s="555" t="n"/>
      <c r="B274" s="555" t="n"/>
      <c r="C274" s="555" t="n"/>
      <c r="D274" s="555" t="n"/>
      <c r="E274" s="555" t="n"/>
      <c r="F274" s="555" t="n"/>
      <c r="G274" s="555" t="n"/>
      <c r="H274" s="555" t="n"/>
      <c r="I274" s="555" t="n"/>
      <c r="J274" s="555" t="n"/>
      <c r="K274" s="555" t="n"/>
      <c r="L274" s="555" t="n"/>
      <c r="M274" s="555" t="n"/>
      <c r="N274" s="555" t="n"/>
      <c r="O274" s="555" t="n"/>
      <c r="P274" s="555" t="n"/>
      <c r="Q274" s="555" t="n"/>
      <c r="R274" s="555" t="n"/>
      <c r="S274" s="473" t="n"/>
      <c r="T274" s="473" t="n"/>
      <c r="U274" s="473" t="n"/>
      <c r="V274" s="473" t="n"/>
    </row>
    <row r="275" ht="21" customHeight="1" s="574">
      <c r="A275" s="555" t="n"/>
      <c r="B275" s="555" t="n"/>
      <c r="C275" s="555" t="n"/>
      <c r="D275" s="555" t="n"/>
      <c r="E275" s="555" t="n"/>
      <c r="F275" s="555" t="n"/>
      <c r="G275" s="555" t="n"/>
      <c r="H275" s="555" t="n"/>
      <c r="I275" s="555" t="n"/>
      <c r="J275" s="555" t="n"/>
      <c r="K275" s="555" t="n"/>
      <c r="L275" s="555" t="n"/>
      <c r="M275" s="555" t="n"/>
      <c r="N275" s="555" t="n"/>
      <c r="O275" s="555" t="n"/>
      <c r="P275" s="555" t="n"/>
      <c r="Q275" s="555" t="n"/>
      <c r="R275" s="555" t="n"/>
      <c r="S275" s="473" t="n"/>
      <c r="T275" s="473" t="n"/>
      <c r="U275" s="473" t="n"/>
      <c r="V275" s="473" t="n"/>
    </row>
    <row r="276" ht="21" customHeight="1" s="574">
      <c r="A276" s="555" t="n"/>
      <c r="B276" s="555" t="n"/>
      <c r="C276" s="555" t="n"/>
      <c r="D276" s="555" t="n"/>
      <c r="E276" s="555" t="n"/>
      <c r="F276" s="555" t="n"/>
      <c r="G276" s="555" t="n"/>
      <c r="H276" s="555" t="n"/>
      <c r="I276" s="555" t="n"/>
      <c r="J276" s="555" t="n"/>
      <c r="K276" s="555" t="n"/>
      <c r="L276" s="555" t="n"/>
      <c r="M276" s="555" t="n"/>
      <c r="N276" s="555" t="n"/>
      <c r="O276" s="555" t="n"/>
      <c r="P276" s="555" t="n"/>
      <c r="Q276" s="555" t="n"/>
      <c r="R276" s="555" t="n"/>
      <c r="S276" s="473" t="n"/>
      <c r="T276" s="473" t="n"/>
      <c r="U276" s="473" t="n"/>
      <c r="V276" s="473" t="n"/>
    </row>
    <row r="277" ht="21" customHeight="1" s="574">
      <c r="A277" s="555" t="n"/>
      <c r="B277" s="555" t="n"/>
      <c r="C277" s="555" t="n"/>
      <c r="D277" s="555" t="n"/>
      <c r="E277" s="555" t="n"/>
      <c r="F277" s="555" t="n"/>
      <c r="G277" s="555" t="n"/>
      <c r="H277" s="555" t="n"/>
      <c r="I277" s="555" t="n"/>
      <c r="J277" s="555" t="n"/>
      <c r="K277" s="555" t="n"/>
      <c r="L277" s="555" t="n"/>
      <c r="M277" s="555" t="n"/>
      <c r="N277" s="555" t="n"/>
      <c r="O277" s="555" t="n"/>
      <c r="P277" s="555" t="n"/>
      <c r="Q277" s="555" t="n"/>
      <c r="R277" s="555" t="n"/>
      <c r="S277" s="473" t="n"/>
      <c r="T277" s="473" t="n"/>
      <c r="U277" s="473" t="n"/>
      <c r="V277" s="473" t="n"/>
    </row>
    <row r="278" ht="21" customHeight="1" s="574">
      <c r="A278" s="555" t="n"/>
      <c r="B278" s="555" t="n"/>
      <c r="C278" s="555" t="n"/>
      <c r="D278" s="555" t="n"/>
      <c r="E278" s="555" t="n"/>
      <c r="F278" s="555" t="n"/>
      <c r="G278" s="555" t="n"/>
      <c r="H278" s="555" t="n"/>
      <c r="I278" s="555" t="n"/>
      <c r="J278" s="555" t="n"/>
      <c r="K278" s="555" t="n"/>
      <c r="L278" s="555" t="n"/>
      <c r="M278" s="555" t="n"/>
      <c r="N278" s="555" t="n"/>
      <c r="O278" s="555" t="n"/>
      <c r="P278" s="555" t="n"/>
      <c r="Q278" s="555" t="n"/>
      <c r="R278" s="555" t="n"/>
      <c r="S278" s="473" t="n"/>
      <c r="T278" s="473" t="n"/>
      <c r="U278" s="473" t="n"/>
      <c r="V278" s="473" t="n"/>
    </row>
    <row r="279" ht="21" customHeight="1" s="574">
      <c r="A279" s="555" t="n"/>
      <c r="B279" s="555" t="n"/>
      <c r="C279" s="555" t="n"/>
      <c r="D279" s="555" t="n"/>
      <c r="E279" s="555" t="n"/>
      <c r="F279" s="555" t="n"/>
      <c r="G279" s="555" t="n"/>
      <c r="H279" s="555" t="n"/>
      <c r="I279" s="555" t="n"/>
      <c r="J279" s="555" t="n"/>
      <c r="K279" s="555" t="n"/>
      <c r="L279" s="555" t="n"/>
      <c r="M279" s="555" t="n"/>
      <c r="N279" s="555" t="n"/>
      <c r="O279" s="555" t="n"/>
      <c r="P279" s="555" t="n"/>
      <c r="Q279" s="555" t="n"/>
      <c r="R279" s="555" t="n"/>
      <c r="S279" s="473" t="n"/>
      <c r="T279" s="473" t="n"/>
      <c r="U279" s="473" t="n"/>
      <c r="V279" s="473" t="n"/>
    </row>
    <row r="280" ht="21" customHeight="1" s="574">
      <c r="A280" s="555" t="n"/>
      <c r="B280" s="555" t="n"/>
      <c r="C280" s="555" t="n"/>
      <c r="D280" s="555" t="n"/>
      <c r="E280" s="555" t="n"/>
      <c r="F280" s="555" t="n"/>
      <c r="G280" s="555" t="n"/>
      <c r="H280" s="555" t="n"/>
      <c r="I280" s="555" t="n"/>
      <c r="J280" s="555" t="n"/>
      <c r="K280" s="555" t="n"/>
      <c r="L280" s="555" t="n"/>
      <c r="M280" s="555" t="n"/>
      <c r="N280" s="555" t="n"/>
      <c r="O280" s="555" t="n"/>
      <c r="P280" s="555" t="n"/>
      <c r="Q280" s="555" t="n"/>
      <c r="R280" s="555" t="n"/>
      <c r="S280" s="473" t="n"/>
      <c r="T280" s="473" t="n"/>
      <c r="U280" s="473" t="n"/>
      <c r="V280" s="473" t="n"/>
    </row>
    <row r="281" ht="21" customHeight="1" s="574">
      <c r="A281" s="555" t="n"/>
      <c r="B281" s="555" t="n"/>
      <c r="C281" s="555" t="n"/>
      <c r="D281" s="555" t="n"/>
      <c r="E281" s="555" t="n"/>
      <c r="F281" s="555" t="n"/>
      <c r="G281" s="555" t="n"/>
      <c r="H281" s="555" t="n"/>
      <c r="I281" s="555" t="n"/>
      <c r="J281" s="555" t="n"/>
      <c r="K281" s="555" t="n"/>
      <c r="L281" s="555" t="n"/>
      <c r="M281" s="555" t="n"/>
      <c r="N281" s="555" t="n"/>
      <c r="O281" s="555" t="n"/>
      <c r="P281" s="555" t="n"/>
      <c r="Q281" s="555" t="n"/>
      <c r="R281" s="555" t="n"/>
      <c r="S281" s="473" t="n"/>
      <c r="T281" s="473" t="n"/>
      <c r="U281" s="473" t="n"/>
      <c r="V281" s="473" t="n"/>
    </row>
    <row r="282" ht="21" customHeight="1" s="574">
      <c r="A282" s="555" t="n"/>
      <c r="B282" s="555" t="n"/>
      <c r="C282" s="555" t="n"/>
      <c r="D282" s="555" t="n"/>
      <c r="E282" s="555" t="n"/>
      <c r="F282" s="555" t="n"/>
      <c r="G282" s="555" t="n"/>
      <c r="H282" s="555" t="n"/>
      <c r="I282" s="555" t="n"/>
      <c r="J282" s="555" t="n"/>
      <c r="K282" s="555" t="n"/>
      <c r="L282" s="555" t="n"/>
      <c r="M282" s="555" t="n"/>
      <c r="N282" s="555" t="n"/>
      <c r="O282" s="555" t="n"/>
      <c r="P282" s="555" t="n"/>
      <c r="Q282" s="555" t="n"/>
      <c r="R282" s="555" t="n"/>
      <c r="S282" s="473" t="n"/>
      <c r="T282" s="473" t="n"/>
      <c r="U282" s="473" t="n"/>
      <c r="V282" s="473" t="n"/>
    </row>
    <row r="283" ht="21" customHeight="1" s="574">
      <c r="A283" s="555" t="n"/>
      <c r="B283" s="555" t="n"/>
      <c r="C283" s="555" t="n"/>
      <c r="D283" s="555" t="n"/>
      <c r="E283" s="555" t="n"/>
      <c r="F283" s="555" t="n"/>
      <c r="G283" s="555" t="n"/>
      <c r="H283" s="555" t="n"/>
      <c r="I283" s="555" t="n"/>
      <c r="J283" s="555" t="n"/>
      <c r="K283" s="555" t="n"/>
      <c r="L283" s="555" t="n"/>
      <c r="M283" s="555" t="n"/>
      <c r="N283" s="555" t="n"/>
      <c r="O283" s="555" t="n"/>
      <c r="P283" s="555" t="n"/>
      <c r="Q283" s="555" t="n"/>
      <c r="R283" s="555" t="n"/>
      <c r="S283" s="473" t="n"/>
      <c r="T283" s="473" t="n"/>
      <c r="U283" s="473" t="n"/>
      <c r="V283" s="473" t="n"/>
    </row>
    <row r="284" ht="21" customHeight="1" s="574">
      <c r="A284" s="555" t="n"/>
      <c r="B284" s="555" t="n"/>
      <c r="C284" s="555" t="n"/>
      <c r="D284" s="555" t="n"/>
      <c r="E284" s="555" t="n"/>
      <c r="F284" s="555" t="n"/>
      <c r="G284" s="555" t="n"/>
      <c r="H284" s="555" t="n"/>
      <c r="I284" s="555" t="n"/>
      <c r="J284" s="555" t="n"/>
      <c r="K284" s="555" t="n"/>
      <c r="L284" s="555" t="n"/>
      <c r="M284" s="555" t="n"/>
      <c r="N284" s="555" t="n"/>
      <c r="O284" s="555" t="n"/>
      <c r="P284" s="555" t="n"/>
      <c r="Q284" s="555" t="n"/>
      <c r="R284" s="555" t="n"/>
      <c r="S284" s="473" t="n"/>
      <c r="T284" s="473" t="n"/>
      <c r="U284" s="473" t="n"/>
      <c r="V284" s="473" t="n"/>
    </row>
    <row r="285" ht="21" customHeight="1" s="574">
      <c r="A285" s="555" t="n"/>
      <c r="B285" s="555" t="n"/>
      <c r="C285" s="555" t="n"/>
      <c r="D285" s="555" t="n"/>
      <c r="E285" s="555" t="n"/>
      <c r="F285" s="555" t="n"/>
      <c r="G285" s="555" t="n"/>
      <c r="H285" s="555" t="n"/>
      <c r="I285" s="555" t="n"/>
      <c r="J285" s="555" t="n"/>
      <c r="K285" s="555" t="n"/>
      <c r="L285" s="555" t="n"/>
      <c r="M285" s="555" t="n"/>
      <c r="N285" s="555" t="n"/>
      <c r="O285" s="555" t="n"/>
      <c r="P285" s="555" t="n"/>
      <c r="Q285" s="555" t="n"/>
      <c r="R285" s="555" t="n"/>
      <c r="S285" s="473" t="n"/>
      <c r="T285" s="473" t="n"/>
      <c r="U285" s="473" t="n"/>
      <c r="V285" s="473" t="n"/>
    </row>
    <row r="286" ht="21" customHeight="1" s="574">
      <c r="A286" s="555" t="n"/>
      <c r="B286" s="555" t="n"/>
      <c r="C286" s="555" t="n"/>
      <c r="D286" s="555" t="n"/>
      <c r="E286" s="555" t="n"/>
      <c r="F286" s="555" t="n"/>
      <c r="G286" s="555" t="n"/>
      <c r="H286" s="555" t="n"/>
      <c r="I286" s="555" t="n"/>
      <c r="J286" s="555" t="n"/>
      <c r="K286" s="555" t="n"/>
      <c r="L286" s="555" t="n"/>
      <c r="M286" s="555" t="n"/>
      <c r="N286" s="555" t="n"/>
      <c r="O286" s="555" t="n"/>
      <c r="P286" s="555" t="n"/>
      <c r="Q286" s="555" t="n"/>
      <c r="R286" s="555" t="n"/>
      <c r="S286" s="473" t="n"/>
      <c r="T286" s="473" t="n"/>
      <c r="U286" s="473" t="n"/>
      <c r="V286" s="473" t="n"/>
    </row>
    <row r="287" ht="21" customHeight="1" s="574">
      <c r="A287" s="555" t="n"/>
      <c r="B287" s="555" t="n"/>
      <c r="C287" s="555" t="n"/>
      <c r="D287" s="555" t="n"/>
      <c r="E287" s="555" t="n"/>
      <c r="F287" s="555" t="n"/>
      <c r="G287" s="555" t="n"/>
      <c r="H287" s="555" t="n"/>
      <c r="I287" s="555" t="n"/>
      <c r="J287" s="555" t="n"/>
      <c r="K287" s="555" t="n"/>
      <c r="L287" s="555" t="n"/>
      <c r="M287" s="555" t="n"/>
      <c r="N287" s="555" t="n"/>
      <c r="O287" s="555" t="n"/>
      <c r="P287" s="555" t="n"/>
      <c r="Q287" s="555" t="n"/>
      <c r="R287" s="555" t="n"/>
      <c r="S287" s="473" t="n"/>
      <c r="T287" s="473" t="n"/>
      <c r="U287" s="473" t="n"/>
      <c r="V287" s="473" t="n"/>
    </row>
    <row r="288" ht="21" customHeight="1" s="574">
      <c r="A288" s="555" t="n"/>
      <c r="B288" s="555" t="n"/>
      <c r="C288" s="555" t="n"/>
      <c r="D288" s="555" t="n"/>
      <c r="E288" s="555" t="n"/>
      <c r="F288" s="555" t="n"/>
      <c r="G288" s="555" t="n"/>
      <c r="H288" s="555" t="n"/>
      <c r="I288" s="555" t="n"/>
      <c r="J288" s="555" t="n"/>
      <c r="K288" s="555" t="n"/>
      <c r="L288" s="555" t="n"/>
      <c r="M288" s="555" t="n"/>
      <c r="N288" s="555" t="n"/>
      <c r="O288" s="555" t="n"/>
      <c r="P288" s="555" t="n"/>
      <c r="Q288" s="555" t="n"/>
      <c r="R288" s="555" t="n"/>
      <c r="S288" s="473" t="n"/>
      <c r="T288" s="473" t="n"/>
      <c r="U288" s="473" t="n"/>
      <c r="V288" s="473" t="n"/>
    </row>
    <row r="289" ht="21" customHeight="1" s="574">
      <c r="A289" s="555" t="n"/>
      <c r="B289" s="555" t="n"/>
      <c r="C289" s="555" t="n"/>
      <c r="D289" s="555" t="n"/>
      <c r="E289" s="555" t="n"/>
      <c r="F289" s="555" t="n"/>
      <c r="G289" s="555" t="n"/>
      <c r="H289" s="555" t="n"/>
      <c r="I289" s="555" t="n"/>
      <c r="J289" s="555" t="n"/>
      <c r="K289" s="555" t="n"/>
      <c r="L289" s="555" t="n"/>
      <c r="M289" s="555" t="n"/>
      <c r="N289" s="555" t="n"/>
      <c r="O289" s="555" t="n"/>
      <c r="P289" s="555" t="n"/>
      <c r="Q289" s="555" t="n"/>
      <c r="R289" s="555" t="n"/>
      <c r="S289" s="473" t="n"/>
      <c r="T289" s="473" t="n"/>
      <c r="U289" s="473" t="n"/>
      <c r="V289" s="473" t="n"/>
    </row>
    <row r="290" ht="21" customHeight="1" s="574">
      <c r="A290" s="555" t="n"/>
      <c r="B290" s="555" t="n"/>
      <c r="C290" s="555" t="n"/>
      <c r="D290" s="555" t="n"/>
      <c r="E290" s="555" t="n"/>
      <c r="F290" s="555" t="n"/>
      <c r="G290" s="555" t="n"/>
      <c r="H290" s="555" t="n"/>
      <c r="I290" s="555" t="n"/>
      <c r="J290" s="555" t="n"/>
      <c r="K290" s="555" t="n"/>
      <c r="L290" s="555" t="n"/>
      <c r="M290" s="555" t="n"/>
      <c r="N290" s="555" t="n"/>
      <c r="O290" s="555" t="n"/>
      <c r="P290" s="555" t="n"/>
      <c r="Q290" s="555" t="n"/>
      <c r="R290" s="555" t="n"/>
      <c r="S290" s="473" t="n"/>
      <c r="T290" s="473" t="n"/>
      <c r="U290" s="473" t="n"/>
      <c r="V290" s="473" t="n"/>
    </row>
    <row r="291" ht="21" customHeight="1" s="574">
      <c r="A291" s="555" t="n"/>
      <c r="B291" s="555" t="n"/>
      <c r="C291" s="555" t="n"/>
      <c r="D291" s="555" t="n"/>
      <c r="E291" s="555" t="n"/>
      <c r="F291" s="555" t="n"/>
      <c r="G291" s="555" t="n"/>
      <c r="H291" s="555" t="n"/>
      <c r="I291" s="555" t="n"/>
      <c r="J291" s="555" t="n"/>
      <c r="K291" s="555" t="n"/>
      <c r="L291" s="555" t="n"/>
      <c r="M291" s="555" t="n"/>
      <c r="N291" s="555" t="n"/>
      <c r="O291" s="555" t="n"/>
      <c r="P291" s="555" t="n"/>
      <c r="Q291" s="555" t="n"/>
      <c r="R291" s="555" t="n"/>
      <c r="S291" s="473" t="n"/>
      <c r="T291" s="473" t="n"/>
      <c r="U291" s="473" t="n"/>
      <c r="V291" s="473" t="n"/>
    </row>
    <row r="292" ht="21" customHeight="1" s="574">
      <c r="A292" s="555" t="n"/>
      <c r="B292" s="555" t="n"/>
      <c r="C292" s="555" t="n"/>
      <c r="D292" s="555" t="n"/>
      <c r="E292" s="555" t="n"/>
      <c r="F292" s="555" t="n"/>
      <c r="G292" s="555" t="n"/>
      <c r="H292" s="555" t="n"/>
      <c r="I292" s="555" t="n"/>
      <c r="J292" s="555" t="n"/>
      <c r="K292" s="555" t="n"/>
      <c r="L292" s="555" t="n"/>
      <c r="M292" s="555" t="n"/>
      <c r="N292" s="555" t="n"/>
      <c r="O292" s="555" t="n"/>
      <c r="P292" s="555" t="n"/>
      <c r="Q292" s="555" t="n"/>
      <c r="R292" s="555" t="n"/>
      <c r="S292" s="473" t="n"/>
      <c r="T292" s="473" t="n"/>
      <c r="U292" s="473" t="n"/>
      <c r="V292" s="473" t="n"/>
    </row>
    <row r="293" ht="21" customHeight="1" s="574">
      <c r="A293" s="555" t="n"/>
      <c r="B293" s="555" t="n"/>
      <c r="C293" s="555" t="n"/>
      <c r="D293" s="555" t="n"/>
      <c r="E293" s="555" t="n"/>
      <c r="F293" s="555" t="n"/>
      <c r="G293" s="555" t="n"/>
      <c r="H293" s="555" t="n"/>
      <c r="I293" s="555" t="n"/>
      <c r="J293" s="555" t="n"/>
      <c r="K293" s="555" t="n"/>
      <c r="L293" s="555" t="n"/>
      <c r="M293" s="555" t="n"/>
      <c r="N293" s="555" t="n"/>
      <c r="O293" s="555" t="n"/>
      <c r="P293" s="555" t="n"/>
      <c r="Q293" s="555" t="n"/>
      <c r="R293" s="555" t="n"/>
      <c r="S293" s="473" t="n"/>
      <c r="T293" s="473" t="n"/>
      <c r="U293" s="473" t="n"/>
      <c r="V293" s="473" t="n"/>
    </row>
    <row r="294" ht="21" customHeight="1" s="574">
      <c r="A294" s="555" t="n"/>
      <c r="B294" s="555" t="n"/>
      <c r="C294" s="555" t="n"/>
      <c r="D294" s="555" t="n"/>
      <c r="E294" s="555" t="n"/>
      <c r="F294" s="555" t="n"/>
      <c r="G294" s="555" t="n"/>
      <c r="H294" s="555" t="n"/>
      <c r="I294" s="555" t="n"/>
      <c r="J294" s="555" t="n"/>
      <c r="K294" s="555" t="n"/>
      <c r="L294" s="555" t="n"/>
      <c r="M294" s="555" t="n"/>
      <c r="N294" s="555" t="n"/>
      <c r="O294" s="555" t="n"/>
      <c r="P294" s="555" t="n"/>
      <c r="Q294" s="555" t="n"/>
      <c r="R294" s="555" t="n"/>
      <c r="S294" s="473" t="n"/>
      <c r="T294" s="473" t="n"/>
      <c r="U294" s="473" t="n"/>
      <c r="V294" s="473" t="n"/>
    </row>
    <row r="295" ht="21" customHeight="1" s="574">
      <c r="A295" s="555" t="n"/>
      <c r="B295" s="555" t="n"/>
      <c r="C295" s="555" t="n"/>
      <c r="D295" s="555" t="n"/>
      <c r="E295" s="555" t="n"/>
      <c r="F295" s="555" t="n"/>
      <c r="G295" s="555" t="n"/>
      <c r="H295" s="555" t="n"/>
      <c r="I295" s="555" t="n"/>
      <c r="J295" s="555" t="n"/>
      <c r="K295" s="555" t="n"/>
      <c r="L295" s="555" t="n"/>
      <c r="M295" s="555" t="n"/>
      <c r="N295" s="555" t="n"/>
      <c r="O295" s="555" t="n"/>
      <c r="P295" s="555" t="n"/>
      <c r="Q295" s="555" t="n"/>
      <c r="R295" s="555" t="n"/>
      <c r="S295" s="473" t="n"/>
      <c r="T295" s="473" t="n"/>
      <c r="U295" s="473" t="n"/>
      <c r="V295" s="473" t="n"/>
    </row>
    <row r="296" ht="21" customHeight="1" s="574">
      <c r="A296" s="555" t="n"/>
      <c r="B296" s="555" t="n"/>
      <c r="C296" s="555" t="n"/>
      <c r="D296" s="555" t="n"/>
      <c r="E296" s="555" t="n"/>
      <c r="F296" s="555" t="n"/>
      <c r="G296" s="555" t="n"/>
      <c r="H296" s="555" t="n"/>
      <c r="I296" s="555" t="n"/>
      <c r="J296" s="555" t="n"/>
      <c r="K296" s="555" t="n"/>
      <c r="L296" s="555" t="n"/>
      <c r="M296" s="555" t="n"/>
      <c r="N296" s="555" t="n"/>
      <c r="O296" s="555" t="n"/>
      <c r="P296" s="555" t="n"/>
      <c r="Q296" s="555" t="n"/>
      <c r="R296" s="555" t="n"/>
      <c r="S296" s="473" t="n"/>
      <c r="T296" s="473" t="n"/>
      <c r="U296" s="473" t="n"/>
      <c r="V296" s="473" t="n"/>
    </row>
    <row r="297" ht="21" customHeight="1" s="574">
      <c r="A297" s="555" t="n"/>
      <c r="B297" s="555" t="n"/>
      <c r="C297" s="555" t="n"/>
      <c r="D297" s="555" t="n"/>
      <c r="E297" s="555" t="n"/>
      <c r="F297" s="555" t="n"/>
      <c r="G297" s="555" t="n"/>
      <c r="H297" s="555" t="n"/>
      <c r="I297" s="555" t="n"/>
      <c r="J297" s="555" t="n"/>
      <c r="K297" s="555" t="n"/>
      <c r="L297" s="555" t="n"/>
      <c r="M297" s="555" t="n"/>
      <c r="N297" s="555" t="n"/>
      <c r="O297" s="555" t="n"/>
      <c r="P297" s="555" t="n"/>
      <c r="Q297" s="555" t="n"/>
      <c r="R297" s="555" t="n"/>
      <c r="S297" s="473" t="n"/>
      <c r="T297" s="473" t="n"/>
      <c r="U297" s="473" t="n"/>
      <c r="V297" s="473" t="n"/>
    </row>
    <row r="298" ht="21" customHeight="1" s="574">
      <c r="A298" s="555" t="n"/>
      <c r="B298" s="555" t="n"/>
      <c r="C298" s="555" t="n"/>
      <c r="D298" s="555" t="n"/>
      <c r="E298" s="555" t="n"/>
      <c r="F298" s="555" t="n"/>
      <c r="G298" s="555" t="n"/>
      <c r="H298" s="555" t="n"/>
      <c r="I298" s="555" t="n"/>
      <c r="J298" s="555" t="n"/>
      <c r="K298" s="555" t="n"/>
      <c r="L298" s="555" t="n"/>
      <c r="M298" s="555" t="n"/>
      <c r="N298" s="555" t="n"/>
      <c r="O298" s="555" t="n"/>
      <c r="P298" s="555" t="n"/>
      <c r="Q298" s="555" t="n"/>
      <c r="R298" s="555" t="n"/>
      <c r="S298" s="473" t="n"/>
      <c r="T298" s="473" t="n"/>
      <c r="U298" s="473" t="n"/>
      <c r="V298" s="473" t="n"/>
    </row>
    <row r="299" ht="21" customHeight="1" s="574">
      <c r="A299" s="555" t="n"/>
      <c r="B299" s="555" t="n"/>
      <c r="C299" s="555" t="n"/>
      <c r="D299" s="555" t="n"/>
      <c r="E299" s="555" t="n"/>
      <c r="F299" s="555" t="n"/>
      <c r="G299" s="555" t="n"/>
      <c r="H299" s="555" t="n"/>
      <c r="I299" s="555" t="n"/>
      <c r="J299" s="555" t="n"/>
      <c r="K299" s="555" t="n"/>
      <c r="L299" s="555" t="n"/>
      <c r="M299" s="555" t="n"/>
      <c r="N299" s="555" t="n"/>
      <c r="O299" s="555" t="n"/>
      <c r="P299" s="555" t="n"/>
      <c r="Q299" s="555" t="n"/>
      <c r="R299" s="555" t="n"/>
      <c r="S299" s="473" t="n"/>
      <c r="T299" s="473" t="n"/>
      <c r="U299" s="473" t="n"/>
      <c r="V299" s="473" t="n"/>
    </row>
    <row r="300" ht="21" customHeight="1" s="574">
      <c r="A300" s="555" t="n"/>
      <c r="B300" s="555" t="n"/>
      <c r="C300" s="555" t="n"/>
      <c r="D300" s="555" t="n"/>
      <c r="E300" s="555" t="n"/>
      <c r="F300" s="555" t="n"/>
      <c r="G300" s="555" t="n"/>
      <c r="H300" s="555" t="n"/>
      <c r="I300" s="555" t="n"/>
      <c r="J300" s="555" t="n"/>
      <c r="K300" s="555" t="n"/>
      <c r="L300" s="555" t="n"/>
      <c r="M300" s="555" t="n"/>
      <c r="N300" s="555" t="n"/>
      <c r="O300" s="555" t="n"/>
      <c r="P300" s="555" t="n"/>
      <c r="Q300" s="555" t="n"/>
      <c r="R300" s="555" t="n"/>
      <c r="S300" s="473" t="n"/>
      <c r="T300" s="473" t="n"/>
      <c r="U300" s="473" t="n"/>
      <c r="V300" s="473" t="n"/>
    </row>
    <row r="301" ht="21" customHeight="1" s="574">
      <c r="A301" s="555" t="n"/>
      <c r="B301" s="555" t="n"/>
      <c r="C301" s="555" t="n"/>
      <c r="D301" s="555" t="n"/>
      <c r="E301" s="555" t="n"/>
      <c r="F301" s="555" t="n"/>
      <c r="G301" s="555" t="n"/>
      <c r="H301" s="555" t="n"/>
      <c r="I301" s="555" t="n"/>
      <c r="J301" s="555" t="n"/>
      <c r="K301" s="555" t="n"/>
      <c r="L301" s="555" t="n"/>
      <c r="M301" s="555" t="n"/>
      <c r="N301" s="555" t="n"/>
      <c r="O301" s="555" t="n"/>
      <c r="P301" s="555" t="n"/>
      <c r="Q301" s="555" t="n"/>
      <c r="R301" s="555" t="n"/>
      <c r="S301" s="473" t="n"/>
      <c r="T301" s="473" t="n"/>
      <c r="U301" s="473" t="n"/>
      <c r="V301" s="473" t="n"/>
    </row>
    <row r="302" ht="21" customHeight="1" s="574">
      <c r="A302" s="555" t="n"/>
      <c r="B302" s="555" t="n"/>
      <c r="C302" s="555" t="n"/>
      <c r="D302" s="555" t="n"/>
      <c r="E302" s="555" t="n"/>
      <c r="F302" s="555" t="n"/>
      <c r="G302" s="555" t="n"/>
      <c r="H302" s="555" t="n"/>
      <c r="I302" s="555" t="n"/>
      <c r="J302" s="555" t="n"/>
      <c r="K302" s="555" t="n"/>
      <c r="L302" s="555" t="n"/>
      <c r="M302" s="555" t="n"/>
      <c r="N302" s="555" t="n"/>
      <c r="O302" s="555" t="n"/>
      <c r="P302" s="555" t="n"/>
      <c r="Q302" s="555" t="n"/>
      <c r="R302" s="555" t="n"/>
      <c r="S302" s="473" t="n"/>
      <c r="T302" s="473" t="n"/>
      <c r="U302" s="473" t="n"/>
      <c r="V302" s="473" t="n"/>
    </row>
    <row r="303" ht="21" customHeight="1" s="574">
      <c r="A303" s="555" t="n"/>
      <c r="B303" s="555" t="n"/>
      <c r="C303" s="555" t="n"/>
      <c r="D303" s="555" t="n"/>
      <c r="E303" s="555" t="n"/>
      <c r="F303" s="555" t="n"/>
      <c r="G303" s="555" t="n"/>
      <c r="H303" s="555" t="n"/>
      <c r="I303" s="555" t="n"/>
      <c r="J303" s="555" t="n"/>
      <c r="K303" s="555" t="n"/>
      <c r="L303" s="555" t="n"/>
      <c r="M303" s="555" t="n"/>
      <c r="N303" s="555" t="n"/>
      <c r="O303" s="555" t="n"/>
      <c r="P303" s="555" t="n"/>
      <c r="Q303" s="555" t="n"/>
      <c r="R303" s="555" t="n"/>
      <c r="S303" s="473" t="n"/>
      <c r="T303" s="473" t="n"/>
      <c r="U303" s="473" t="n"/>
      <c r="V303" s="473" t="n"/>
    </row>
    <row r="304" ht="21" customHeight="1" s="574">
      <c r="A304" s="555" t="n"/>
      <c r="B304" s="555" t="n"/>
      <c r="C304" s="555" t="n"/>
      <c r="D304" s="555" t="n"/>
      <c r="E304" s="555" t="n"/>
      <c r="F304" s="555" t="n"/>
      <c r="G304" s="555" t="n"/>
      <c r="H304" s="555" t="n"/>
      <c r="I304" s="555" t="n"/>
      <c r="J304" s="555" t="n"/>
      <c r="K304" s="555" t="n"/>
      <c r="L304" s="555" t="n"/>
      <c r="M304" s="555" t="n"/>
      <c r="N304" s="555" t="n"/>
      <c r="O304" s="555" t="n"/>
      <c r="P304" s="555" t="n"/>
      <c r="Q304" s="555" t="n"/>
      <c r="R304" s="555" t="n"/>
      <c r="S304" s="473" t="n"/>
      <c r="T304" s="473" t="n"/>
      <c r="U304" s="473" t="n"/>
      <c r="V304" s="473" t="n"/>
    </row>
    <row r="305" ht="21" customHeight="1" s="574">
      <c r="A305" s="555" t="n"/>
      <c r="B305" s="555" t="n"/>
      <c r="C305" s="555" t="n"/>
      <c r="D305" s="555" t="n"/>
      <c r="E305" s="555" t="n"/>
      <c r="F305" s="555" t="n"/>
      <c r="G305" s="555" t="n"/>
      <c r="H305" s="555" t="n"/>
      <c r="I305" s="555" t="n"/>
      <c r="J305" s="555" t="n"/>
      <c r="K305" s="555" t="n"/>
      <c r="L305" s="555" t="n"/>
      <c r="M305" s="555" t="n"/>
      <c r="N305" s="555" t="n"/>
      <c r="O305" s="555" t="n"/>
      <c r="P305" s="555" t="n"/>
      <c r="Q305" s="555" t="n"/>
      <c r="R305" s="555" t="n"/>
      <c r="S305" s="473" t="n"/>
      <c r="T305" s="473" t="n"/>
      <c r="U305" s="473" t="n"/>
      <c r="V305" s="473" t="n"/>
    </row>
    <row r="306" ht="21" customHeight="1" s="574">
      <c r="A306" s="555" t="n"/>
      <c r="B306" s="555" t="n"/>
      <c r="C306" s="555" t="n"/>
      <c r="D306" s="555" t="n"/>
      <c r="E306" s="555" t="n"/>
      <c r="F306" s="555" t="n"/>
      <c r="G306" s="555" t="n"/>
      <c r="H306" s="555" t="n"/>
      <c r="I306" s="555" t="n"/>
      <c r="J306" s="555" t="n"/>
      <c r="K306" s="555" t="n"/>
      <c r="L306" s="555" t="n"/>
      <c r="M306" s="555" t="n"/>
      <c r="N306" s="555" t="n"/>
      <c r="O306" s="555" t="n"/>
      <c r="P306" s="555" t="n"/>
      <c r="Q306" s="555" t="n"/>
      <c r="R306" s="555" t="n"/>
      <c r="S306" s="473" t="n"/>
      <c r="T306" s="473" t="n"/>
      <c r="U306" s="473" t="n"/>
      <c r="V306" s="473" t="n"/>
    </row>
    <row r="307" ht="21" customHeight="1" s="574">
      <c r="A307" s="555" t="n"/>
      <c r="B307" s="555" t="n"/>
      <c r="C307" s="555" t="n"/>
      <c r="D307" s="555" t="n"/>
      <c r="E307" s="555" t="n"/>
      <c r="F307" s="555" t="n"/>
      <c r="G307" s="555" t="n"/>
      <c r="H307" s="555" t="n"/>
      <c r="I307" s="555" t="n"/>
      <c r="J307" s="555" t="n"/>
      <c r="K307" s="555" t="n"/>
      <c r="L307" s="555" t="n"/>
      <c r="M307" s="555" t="n"/>
      <c r="N307" s="555" t="n"/>
      <c r="O307" s="555" t="n"/>
      <c r="P307" s="555" t="n"/>
      <c r="Q307" s="555" t="n"/>
      <c r="R307" s="555" t="n"/>
      <c r="S307" s="473" t="n"/>
      <c r="T307" s="473" t="n"/>
      <c r="U307" s="473" t="n"/>
      <c r="V307" s="473" t="n"/>
    </row>
    <row r="308" ht="21" customHeight="1" s="574">
      <c r="A308" s="555" t="n"/>
      <c r="B308" s="555" t="n"/>
      <c r="C308" s="555" t="n"/>
      <c r="D308" s="555" t="n"/>
      <c r="E308" s="555" t="n"/>
      <c r="F308" s="555" t="n"/>
      <c r="G308" s="555" t="n"/>
      <c r="H308" s="555" t="n"/>
      <c r="I308" s="555" t="n"/>
      <c r="J308" s="555" t="n"/>
      <c r="K308" s="555" t="n"/>
      <c r="L308" s="555" t="n"/>
      <c r="M308" s="555" t="n"/>
      <c r="N308" s="555" t="n"/>
      <c r="O308" s="555" t="n"/>
      <c r="P308" s="555" t="n"/>
      <c r="Q308" s="555" t="n"/>
      <c r="R308" s="555" t="n"/>
      <c r="S308" s="473" t="n"/>
      <c r="T308" s="473" t="n"/>
      <c r="U308" s="473" t="n"/>
      <c r="V308" s="473" t="n"/>
    </row>
    <row r="309" ht="21" customHeight="1" s="574">
      <c r="A309" s="555" t="n"/>
      <c r="B309" s="555" t="n"/>
      <c r="C309" s="555" t="n"/>
      <c r="D309" s="555" t="n"/>
      <c r="E309" s="555" t="n"/>
      <c r="F309" s="555" t="n"/>
      <c r="G309" s="555" t="n"/>
      <c r="H309" s="555" t="n"/>
      <c r="I309" s="555" t="n"/>
      <c r="J309" s="555" t="n"/>
      <c r="K309" s="555" t="n"/>
      <c r="L309" s="555" t="n"/>
      <c r="M309" s="555" t="n"/>
      <c r="N309" s="555" t="n"/>
      <c r="O309" s="555" t="n"/>
      <c r="P309" s="555" t="n"/>
      <c r="Q309" s="555" t="n"/>
      <c r="R309" s="555" t="n"/>
      <c r="S309" s="473" t="n"/>
      <c r="T309" s="473" t="n"/>
      <c r="U309" s="473" t="n"/>
      <c r="V309" s="473" t="n"/>
    </row>
    <row r="310" ht="21" customHeight="1" s="574">
      <c r="A310" s="555" t="n"/>
      <c r="B310" s="555" t="n"/>
      <c r="C310" s="555" t="n"/>
      <c r="D310" s="555" t="n"/>
      <c r="E310" s="555" t="n"/>
      <c r="F310" s="555" t="n"/>
      <c r="G310" s="555" t="n"/>
      <c r="H310" s="555" t="n"/>
      <c r="I310" s="555" t="n"/>
      <c r="J310" s="555" t="n"/>
      <c r="K310" s="555" t="n"/>
      <c r="L310" s="555" t="n"/>
      <c r="M310" s="555" t="n"/>
      <c r="N310" s="555" t="n"/>
      <c r="O310" s="555" t="n"/>
      <c r="P310" s="555" t="n"/>
      <c r="Q310" s="555" t="n"/>
      <c r="R310" s="555" t="n"/>
      <c r="S310" s="473" t="n"/>
      <c r="T310" s="473" t="n"/>
      <c r="U310" s="473" t="n"/>
      <c r="V310" s="473" t="n"/>
    </row>
    <row r="311" ht="21" customHeight="1" s="574">
      <c r="A311" s="555" t="n"/>
      <c r="B311" s="555" t="n"/>
      <c r="C311" s="555" t="n"/>
      <c r="D311" s="555" t="n"/>
      <c r="E311" s="555" t="n"/>
      <c r="F311" s="555" t="n"/>
      <c r="G311" s="555" t="n"/>
      <c r="H311" s="555" t="n"/>
      <c r="I311" s="555" t="n"/>
      <c r="J311" s="555" t="n"/>
      <c r="K311" s="555" t="n"/>
      <c r="L311" s="555" t="n"/>
      <c r="M311" s="555" t="n"/>
      <c r="N311" s="555" t="n"/>
      <c r="O311" s="555" t="n"/>
      <c r="P311" s="555" t="n"/>
      <c r="Q311" s="555" t="n"/>
      <c r="R311" s="555" t="n"/>
      <c r="S311" s="473" t="n"/>
      <c r="T311" s="473" t="n"/>
      <c r="U311" s="473" t="n"/>
      <c r="V311" s="473" t="n"/>
    </row>
    <row r="312" ht="21" customHeight="1" s="574">
      <c r="A312" s="555" t="n"/>
      <c r="B312" s="555" t="n"/>
      <c r="C312" s="555" t="n"/>
      <c r="D312" s="555" t="n"/>
      <c r="E312" s="555" t="n"/>
      <c r="F312" s="555" t="n"/>
      <c r="G312" s="555" t="n"/>
      <c r="H312" s="555" t="n"/>
      <c r="I312" s="555" t="n"/>
      <c r="J312" s="555" t="n"/>
      <c r="K312" s="555" t="n"/>
      <c r="L312" s="555" t="n"/>
      <c r="M312" s="555" t="n"/>
      <c r="N312" s="555" t="n"/>
      <c r="O312" s="555" t="n"/>
      <c r="P312" s="555" t="n"/>
      <c r="Q312" s="555" t="n"/>
      <c r="R312" s="555" t="n"/>
      <c r="S312" s="473" t="n"/>
      <c r="T312" s="473" t="n"/>
      <c r="U312" s="473" t="n"/>
      <c r="V312" s="473" t="n"/>
    </row>
    <row r="313" ht="21" customHeight="1" s="574">
      <c r="A313" s="555" t="n"/>
      <c r="B313" s="555" t="n"/>
      <c r="C313" s="555" t="n"/>
      <c r="D313" s="555" t="n"/>
      <c r="E313" s="555" t="n"/>
      <c r="F313" s="555" t="n"/>
      <c r="G313" s="555" t="n"/>
      <c r="H313" s="555" t="n"/>
      <c r="I313" s="555" t="n"/>
      <c r="J313" s="555" t="n"/>
      <c r="K313" s="555" t="n"/>
      <c r="L313" s="555" t="n"/>
      <c r="M313" s="555" t="n"/>
      <c r="N313" s="555" t="n"/>
      <c r="O313" s="555" t="n"/>
      <c r="P313" s="555" t="n"/>
      <c r="Q313" s="555" t="n"/>
      <c r="R313" s="555" t="n"/>
      <c r="S313" s="473" t="n"/>
      <c r="T313" s="473" t="n"/>
      <c r="U313" s="473" t="n"/>
      <c r="V313" s="473" t="n"/>
    </row>
    <row r="314" ht="21" customHeight="1" s="574">
      <c r="A314" s="555" t="n"/>
      <c r="B314" s="555" t="n"/>
      <c r="C314" s="555" t="n"/>
      <c r="D314" s="555" t="n"/>
      <c r="E314" s="555" t="n"/>
      <c r="F314" s="555" t="n"/>
      <c r="G314" s="555" t="n"/>
      <c r="H314" s="555" t="n"/>
      <c r="I314" s="555" t="n"/>
      <c r="J314" s="555" t="n"/>
      <c r="K314" s="555" t="n"/>
      <c r="L314" s="555" t="n"/>
      <c r="M314" s="555" t="n"/>
      <c r="N314" s="555" t="n"/>
      <c r="O314" s="555" t="n"/>
      <c r="P314" s="555" t="n"/>
      <c r="Q314" s="555" t="n"/>
      <c r="R314" s="555" t="n"/>
      <c r="S314" s="473" t="n"/>
      <c r="T314" s="473" t="n"/>
      <c r="U314" s="473" t="n"/>
      <c r="V314" s="473" t="n"/>
    </row>
    <row r="315" ht="21" customHeight="1" s="574">
      <c r="A315" s="555" t="n"/>
      <c r="B315" s="555" t="n"/>
      <c r="C315" s="555" t="n"/>
      <c r="D315" s="555" t="n"/>
      <c r="E315" s="555" t="n"/>
      <c r="F315" s="555" t="n"/>
      <c r="G315" s="555" t="n"/>
      <c r="H315" s="555" t="n"/>
      <c r="I315" s="555" t="n"/>
      <c r="J315" s="555" t="n"/>
      <c r="K315" s="555" t="n"/>
      <c r="L315" s="555" t="n"/>
      <c r="M315" s="555" t="n"/>
      <c r="N315" s="555" t="n"/>
      <c r="O315" s="555" t="n"/>
      <c r="P315" s="555" t="n"/>
      <c r="Q315" s="555" t="n"/>
      <c r="R315" s="555" t="n"/>
      <c r="S315" s="473" t="n"/>
      <c r="T315" s="473" t="n"/>
      <c r="U315" s="473" t="n"/>
      <c r="V315" s="473" t="n"/>
    </row>
    <row r="316" ht="21" customHeight="1" s="574">
      <c r="A316" s="555" t="n"/>
      <c r="B316" s="555" t="n"/>
      <c r="C316" s="555" t="n"/>
      <c r="D316" s="555" t="n"/>
      <c r="E316" s="555" t="n"/>
      <c r="F316" s="555" t="n"/>
      <c r="G316" s="555" t="n"/>
      <c r="H316" s="555" t="n"/>
      <c r="I316" s="555" t="n"/>
      <c r="J316" s="555" t="n"/>
      <c r="K316" s="555" t="n"/>
      <c r="L316" s="555" t="n"/>
      <c r="M316" s="555" t="n"/>
      <c r="N316" s="555" t="n"/>
      <c r="O316" s="555" t="n"/>
      <c r="P316" s="555" t="n"/>
      <c r="Q316" s="555" t="n"/>
      <c r="R316" s="555" t="n"/>
      <c r="S316" s="473" t="n"/>
      <c r="T316" s="473" t="n"/>
      <c r="U316" s="473" t="n"/>
      <c r="V316" s="473" t="n"/>
    </row>
    <row r="317" ht="21" customHeight="1" s="574">
      <c r="A317" s="555" t="n"/>
      <c r="B317" s="555" t="n"/>
      <c r="C317" s="555" t="n"/>
      <c r="D317" s="555" t="n"/>
      <c r="E317" s="555" t="n"/>
      <c r="F317" s="555" t="n"/>
      <c r="G317" s="555" t="n"/>
      <c r="H317" s="555" t="n"/>
      <c r="I317" s="555" t="n"/>
      <c r="J317" s="555" t="n"/>
      <c r="K317" s="555" t="n"/>
      <c r="L317" s="555" t="n"/>
      <c r="M317" s="555" t="n"/>
      <c r="N317" s="555" t="n"/>
      <c r="O317" s="555" t="n"/>
      <c r="P317" s="555" t="n"/>
      <c r="Q317" s="555" t="n"/>
      <c r="R317" s="555" t="n"/>
      <c r="S317" s="473" t="n"/>
      <c r="T317" s="473" t="n"/>
      <c r="U317" s="473" t="n"/>
      <c r="V317" s="473" t="n"/>
    </row>
    <row r="318" ht="21" customHeight="1" s="574">
      <c r="A318" s="555" t="n"/>
      <c r="B318" s="555" t="n"/>
      <c r="C318" s="555" t="n"/>
      <c r="D318" s="555" t="n"/>
      <c r="E318" s="555" t="n"/>
      <c r="F318" s="555" t="n"/>
      <c r="G318" s="555" t="n"/>
      <c r="H318" s="555" t="n"/>
      <c r="I318" s="555" t="n"/>
      <c r="J318" s="555" t="n"/>
      <c r="K318" s="555" t="n"/>
      <c r="L318" s="555" t="n"/>
      <c r="M318" s="555" t="n"/>
      <c r="N318" s="555" t="n"/>
      <c r="O318" s="555" t="n"/>
      <c r="P318" s="555" t="n"/>
      <c r="Q318" s="555" t="n"/>
      <c r="R318" s="555" t="n"/>
      <c r="S318" s="473" t="n"/>
      <c r="T318" s="473" t="n"/>
      <c r="U318" s="473" t="n"/>
      <c r="V318" s="473" t="n"/>
    </row>
    <row r="319" ht="21" customHeight="1" s="574">
      <c r="A319" s="555" t="n"/>
      <c r="B319" s="555" t="n"/>
      <c r="C319" s="555" t="n"/>
      <c r="D319" s="555" t="n"/>
      <c r="E319" s="555" t="n"/>
      <c r="F319" s="555" t="n"/>
      <c r="G319" s="555" t="n"/>
      <c r="H319" s="555" t="n"/>
      <c r="I319" s="555" t="n"/>
      <c r="J319" s="555" t="n"/>
      <c r="K319" s="555" t="n"/>
      <c r="L319" s="555" t="n"/>
      <c r="M319" s="555" t="n"/>
      <c r="N319" s="555" t="n"/>
      <c r="O319" s="555" t="n"/>
      <c r="P319" s="555" t="n"/>
      <c r="Q319" s="555" t="n"/>
      <c r="R319" s="555" t="n"/>
      <c r="S319" s="473" t="n"/>
      <c r="T319" s="473" t="n"/>
      <c r="U319" s="473" t="n"/>
      <c r="V319" s="473" t="n"/>
    </row>
    <row r="320" ht="21" customHeight="1" s="574">
      <c r="A320" s="555" t="n"/>
      <c r="B320" s="555" t="n"/>
      <c r="C320" s="555" t="n"/>
      <c r="D320" s="555" t="n"/>
      <c r="E320" s="555" t="n"/>
      <c r="F320" s="555" t="n"/>
      <c r="G320" s="555" t="n"/>
      <c r="H320" s="555" t="n"/>
      <c r="I320" s="555" t="n"/>
      <c r="J320" s="555" t="n"/>
      <c r="K320" s="555" t="n"/>
      <c r="L320" s="555" t="n"/>
      <c r="M320" s="555" t="n"/>
      <c r="N320" s="555" t="n"/>
      <c r="O320" s="555" t="n"/>
      <c r="P320" s="555" t="n"/>
      <c r="Q320" s="555" t="n"/>
      <c r="R320" s="555" t="n"/>
      <c r="S320" s="473" t="n"/>
      <c r="T320" s="473" t="n"/>
      <c r="U320" s="473" t="n"/>
      <c r="V320" s="473" t="n"/>
    </row>
    <row r="321" ht="21" customHeight="1" s="574">
      <c r="A321" s="555" t="n"/>
      <c r="B321" s="555" t="n"/>
      <c r="C321" s="555" t="n"/>
      <c r="D321" s="555" t="n"/>
      <c r="E321" s="555" t="n"/>
      <c r="F321" s="555" t="n"/>
      <c r="G321" s="555" t="n"/>
      <c r="H321" s="555" t="n"/>
      <c r="I321" s="555" t="n"/>
      <c r="J321" s="555" t="n"/>
      <c r="K321" s="555" t="n"/>
      <c r="L321" s="555" t="n"/>
      <c r="M321" s="555" t="n"/>
      <c r="N321" s="555" t="n"/>
      <c r="O321" s="555" t="n"/>
      <c r="P321" s="555" t="n"/>
      <c r="Q321" s="555" t="n"/>
      <c r="R321" s="555" t="n"/>
      <c r="S321" s="473" t="n"/>
      <c r="T321" s="473" t="n"/>
      <c r="U321" s="473" t="n"/>
      <c r="V321" s="473" t="n"/>
    </row>
    <row r="322" ht="21" customHeight="1" s="574">
      <c r="A322" s="555" t="n"/>
      <c r="B322" s="555" t="n"/>
      <c r="C322" s="555" t="n"/>
      <c r="D322" s="555" t="n"/>
      <c r="E322" s="555" t="n"/>
      <c r="F322" s="555" t="n"/>
      <c r="G322" s="555" t="n"/>
      <c r="H322" s="555" t="n"/>
      <c r="I322" s="555" t="n"/>
      <c r="J322" s="555" t="n"/>
      <c r="K322" s="555" t="n"/>
      <c r="L322" s="555" t="n"/>
      <c r="M322" s="555" t="n"/>
      <c r="N322" s="555" t="n"/>
      <c r="O322" s="555" t="n"/>
      <c r="P322" s="555" t="n"/>
      <c r="Q322" s="555" t="n"/>
      <c r="R322" s="555" t="n"/>
      <c r="S322" s="473" t="n"/>
      <c r="T322" s="473" t="n"/>
      <c r="U322" s="473" t="n"/>
      <c r="V322" s="473" t="n"/>
    </row>
    <row r="323" ht="21" customHeight="1" s="574">
      <c r="A323" s="555" t="n"/>
      <c r="B323" s="555" t="n"/>
      <c r="C323" s="555" t="n"/>
      <c r="D323" s="555" t="n"/>
      <c r="E323" s="555" t="n"/>
      <c r="F323" s="555" t="n"/>
      <c r="G323" s="555" t="n"/>
      <c r="H323" s="555" t="n"/>
      <c r="I323" s="555" t="n"/>
      <c r="J323" s="555" t="n"/>
      <c r="K323" s="555" t="n"/>
      <c r="L323" s="555" t="n"/>
      <c r="M323" s="555" t="n"/>
      <c r="N323" s="555" t="n"/>
      <c r="O323" s="555" t="n"/>
      <c r="P323" s="555" t="n"/>
      <c r="Q323" s="555" t="n"/>
      <c r="R323" s="555" t="n"/>
      <c r="S323" s="473" t="n"/>
      <c r="T323" s="473" t="n"/>
      <c r="U323" s="473" t="n"/>
      <c r="V323" s="473" t="n"/>
    </row>
    <row r="324" ht="21" customHeight="1" s="574">
      <c r="A324" s="555" t="n"/>
      <c r="B324" s="555" t="n"/>
      <c r="C324" s="555" t="n"/>
      <c r="D324" s="555" t="n"/>
      <c r="E324" s="555" t="n"/>
      <c r="F324" s="555" t="n"/>
      <c r="G324" s="555" t="n"/>
      <c r="H324" s="555" t="n"/>
      <c r="I324" s="555" t="n"/>
      <c r="J324" s="555" t="n"/>
      <c r="K324" s="555" t="n"/>
      <c r="L324" s="555" t="n"/>
      <c r="M324" s="555" t="n"/>
      <c r="N324" s="555" t="n"/>
      <c r="O324" s="555" t="n"/>
      <c r="P324" s="555" t="n"/>
      <c r="Q324" s="555" t="n"/>
      <c r="R324" s="555" t="n"/>
      <c r="S324" s="473" t="n"/>
      <c r="T324" s="473" t="n"/>
      <c r="U324" s="473" t="n"/>
      <c r="V324" s="473" t="n"/>
    </row>
    <row r="325" ht="21" customHeight="1" s="574">
      <c r="A325" s="555" t="n"/>
      <c r="B325" s="555" t="n"/>
      <c r="C325" s="555" t="n"/>
      <c r="D325" s="555" t="n"/>
      <c r="E325" s="555" t="n"/>
      <c r="F325" s="555" t="n"/>
      <c r="G325" s="555" t="n"/>
      <c r="H325" s="555" t="n"/>
      <c r="I325" s="555" t="n"/>
      <c r="J325" s="555" t="n"/>
      <c r="K325" s="555" t="n"/>
      <c r="L325" s="555" t="n"/>
      <c r="M325" s="555" t="n"/>
      <c r="N325" s="555" t="n"/>
      <c r="O325" s="555" t="n"/>
      <c r="P325" s="555" t="n"/>
      <c r="Q325" s="555" t="n"/>
      <c r="R325" s="555" t="n"/>
      <c r="S325" s="473" t="n"/>
      <c r="T325" s="473" t="n"/>
      <c r="U325" s="473" t="n"/>
      <c r="V325" s="473" t="n"/>
    </row>
    <row r="326" ht="21" customHeight="1" s="574">
      <c r="A326" s="555" t="n"/>
      <c r="B326" s="555" t="n"/>
      <c r="C326" s="555" t="n"/>
      <c r="D326" s="555" t="n"/>
      <c r="E326" s="555" t="n"/>
      <c r="F326" s="555" t="n"/>
      <c r="G326" s="555" t="n"/>
      <c r="H326" s="555" t="n"/>
      <c r="I326" s="555" t="n"/>
      <c r="J326" s="555" t="n"/>
      <c r="K326" s="555" t="n"/>
      <c r="L326" s="555" t="n"/>
      <c r="M326" s="555" t="n"/>
      <c r="N326" s="555" t="n"/>
      <c r="O326" s="555" t="n"/>
      <c r="P326" s="555" t="n"/>
      <c r="Q326" s="555" t="n"/>
      <c r="R326" s="555" t="n"/>
      <c r="S326" s="473" t="n"/>
      <c r="T326" s="473" t="n"/>
      <c r="U326" s="473" t="n"/>
      <c r="V326" s="473" t="n"/>
    </row>
    <row r="327" ht="21" customHeight="1" s="574">
      <c r="A327" s="555" t="n"/>
      <c r="B327" s="555" t="n"/>
      <c r="C327" s="555" t="n"/>
      <c r="D327" s="555" t="n"/>
      <c r="E327" s="555" t="n"/>
      <c r="F327" s="555" t="n"/>
      <c r="G327" s="555" t="n"/>
      <c r="H327" s="555" t="n"/>
      <c r="I327" s="555" t="n"/>
      <c r="J327" s="555" t="n"/>
      <c r="K327" s="555" t="n"/>
      <c r="L327" s="555" t="n"/>
      <c r="M327" s="555" t="n"/>
      <c r="N327" s="555" t="n"/>
      <c r="O327" s="555" t="n"/>
      <c r="P327" s="555" t="n"/>
      <c r="Q327" s="555" t="n"/>
      <c r="R327" s="555" t="n"/>
      <c r="S327" s="473" t="n"/>
      <c r="T327" s="473" t="n"/>
      <c r="U327" s="473" t="n"/>
      <c r="V327" s="473" t="n"/>
    </row>
    <row r="328" ht="21" customHeight="1" s="574">
      <c r="A328" s="555" t="n"/>
      <c r="B328" s="555" t="n"/>
      <c r="C328" s="555" t="n"/>
      <c r="D328" s="555" t="n"/>
      <c r="E328" s="555" t="n"/>
      <c r="F328" s="555" t="n"/>
      <c r="G328" s="555" t="n"/>
      <c r="H328" s="555" t="n"/>
      <c r="I328" s="555" t="n"/>
      <c r="J328" s="555" t="n"/>
      <c r="K328" s="555" t="n"/>
      <c r="L328" s="555" t="n"/>
      <c r="M328" s="555" t="n"/>
      <c r="N328" s="555" t="n"/>
      <c r="O328" s="555" t="n"/>
      <c r="P328" s="555" t="n"/>
      <c r="Q328" s="555" t="n"/>
      <c r="R328" s="555" t="n"/>
      <c r="S328" s="473" t="n"/>
      <c r="T328" s="473" t="n"/>
      <c r="U328" s="473" t="n"/>
      <c r="V328" s="473" t="n"/>
    </row>
    <row r="329" ht="21" customHeight="1" s="574">
      <c r="A329" s="555" t="n"/>
      <c r="B329" s="555" t="n"/>
      <c r="C329" s="555" t="n"/>
      <c r="D329" s="555" t="n"/>
      <c r="E329" s="555" t="n"/>
      <c r="F329" s="555" t="n"/>
      <c r="G329" s="555" t="n"/>
      <c r="H329" s="555" t="n"/>
      <c r="I329" s="555" t="n"/>
      <c r="J329" s="555" t="n"/>
      <c r="K329" s="555" t="n"/>
      <c r="L329" s="555" t="n"/>
      <c r="M329" s="555" t="n"/>
      <c r="N329" s="555" t="n"/>
      <c r="O329" s="555" t="n"/>
      <c r="P329" s="555" t="n"/>
      <c r="Q329" s="555" t="n"/>
      <c r="R329" s="555" t="n"/>
      <c r="S329" s="473" t="n"/>
      <c r="T329" s="473" t="n"/>
      <c r="U329" s="473" t="n"/>
      <c r="V329" s="473" t="n"/>
    </row>
    <row r="330" ht="21" customHeight="1" s="574">
      <c r="A330" s="555" t="n"/>
      <c r="B330" s="555" t="n"/>
      <c r="C330" s="555" t="n"/>
      <c r="D330" s="555" t="n"/>
      <c r="E330" s="555" t="n"/>
      <c r="F330" s="555" t="n"/>
      <c r="G330" s="555" t="n"/>
      <c r="H330" s="555" t="n"/>
      <c r="I330" s="555" t="n"/>
      <c r="J330" s="555" t="n"/>
      <c r="K330" s="555" t="n"/>
      <c r="L330" s="555" t="n"/>
      <c r="M330" s="555" t="n"/>
      <c r="N330" s="555" t="n"/>
      <c r="O330" s="555" t="n"/>
      <c r="P330" s="555" t="n"/>
      <c r="Q330" s="555" t="n"/>
      <c r="R330" s="555" t="n"/>
      <c r="S330" s="473" t="n"/>
      <c r="T330" s="473" t="n"/>
      <c r="U330" s="473" t="n"/>
      <c r="V330" s="473" t="n"/>
    </row>
    <row r="331" ht="21" customHeight="1" s="574">
      <c r="A331" s="555" t="n"/>
      <c r="B331" s="555" t="n"/>
      <c r="C331" s="555" t="n"/>
      <c r="D331" s="555" t="n"/>
      <c r="E331" s="555" t="n"/>
      <c r="F331" s="555" t="n"/>
      <c r="G331" s="555" t="n"/>
      <c r="H331" s="555" t="n"/>
      <c r="I331" s="555" t="n"/>
      <c r="J331" s="555" t="n"/>
      <c r="K331" s="555" t="n"/>
      <c r="L331" s="555" t="n"/>
      <c r="M331" s="555" t="n"/>
      <c r="N331" s="555" t="n"/>
      <c r="O331" s="555" t="n"/>
      <c r="P331" s="555" t="n"/>
      <c r="Q331" s="555" t="n"/>
      <c r="R331" s="555" t="n"/>
      <c r="S331" s="473" t="n"/>
      <c r="T331" s="473" t="n"/>
      <c r="U331" s="473" t="n"/>
      <c r="V331" s="473" t="n"/>
    </row>
    <row r="332" ht="21" customHeight="1" s="574">
      <c r="A332" s="555" t="n"/>
      <c r="B332" s="555" t="n"/>
      <c r="C332" s="555" t="n"/>
      <c r="D332" s="555" t="n"/>
      <c r="E332" s="555" t="n"/>
      <c r="F332" s="555" t="n"/>
      <c r="G332" s="555" t="n"/>
      <c r="H332" s="555" t="n"/>
      <c r="I332" s="555" t="n"/>
      <c r="J332" s="555" t="n"/>
      <c r="K332" s="555" t="n"/>
      <c r="L332" s="555" t="n"/>
      <c r="M332" s="555" t="n"/>
      <c r="N332" s="555" t="n"/>
      <c r="O332" s="555" t="n"/>
      <c r="P332" s="555" t="n"/>
      <c r="Q332" s="555" t="n"/>
      <c r="R332" s="555" t="n"/>
      <c r="S332" s="473" t="n"/>
      <c r="T332" s="473" t="n"/>
      <c r="U332" s="473" t="n"/>
      <c r="V332" s="473" t="n"/>
    </row>
    <row r="333" ht="21" customHeight="1" s="574">
      <c r="A333" s="555" t="n"/>
      <c r="B333" s="555" t="n"/>
      <c r="C333" s="555" t="n"/>
      <c r="D333" s="555" t="n"/>
      <c r="E333" s="555" t="n"/>
      <c r="F333" s="555" t="n"/>
      <c r="G333" s="555" t="n"/>
      <c r="H333" s="555" t="n"/>
      <c r="I333" s="555" t="n"/>
      <c r="J333" s="555" t="n"/>
      <c r="K333" s="555" t="n"/>
      <c r="L333" s="555" t="n"/>
      <c r="M333" s="555" t="n"/>
      <c r="N333" s="555" t="n"/>
      <c r="O333" s="555" t="n"/>
      <c r="P333" s="555" t="n"/>
      <c r="Q333" s="555" t="n"/>
      <c r="R333" s="555" t="n"/>
      <c r="S333" s="473" t="n"/>
      <c r="T333" s="473" t="n"/>
      <c r="U333" s="473" t="n"/>
      <c r="V333" s="473" t="n"/>
    </row>
    <row r="334" ht="21" customHeight="1" s="574">
      <c r="A334" s="555" t="n"/>
      <c r="B334" s="555" t="n"/>
      <c r="C334" s="555" t="n"/>
      <c r="D334" s="555" t="n"/>
      <c r="E334" s="555" t="n"/>
      <c r="F334" s="555" t="n"/>
      <c r="G334" s="555" t="n"/>
      <c r="H334" s="555" t="n"/>
      <c r="I334" s="555" t="n"/>
      <c r="J334" s="555" t="n"/>
      <c r="K334" s="555" t="n"/>
      <c r="L334" s="555" t="n"/>
      <c r="M334" s="555" t="n"/>
      <c r="N334" s="555" t="n"/>
      <c r="O334" s="555" t="n"/>
      <c r="P334" s="555" t="n"/>
      <c r="Q334" s="555" t="n"/>
      <c r="R334" s="555" t="n"/>
      <c r="S334" s="473" t="n"/>
      <c r="T334" s="473" t="n"/>
      <c r="U334" s="473" t="n"/>
      <c r="V334" s="473" t="n"/>
    </row>
    <row r="335">
      <c r="A335" s="558" t="n"/>
      <c r="B335" s="558" t="n"/>
      <c r="C335" s="558" t="n"/>
      <c r="D335" s="558" t="n"/>
      <c r="E335" s="558" t="n"/>
      <c r="F335" s="558" t="n"/>
      <c r="G335" s="558" t="n"/>
      <c r="H335" s="558" t="n"/>
      <c r="I335" s="558" t="n"/>
      <c r="J335" s="558" t="n"/>
      <c r="K335" s="558" t="n"/>
      <c r="L335" s="558" t="n"/>
      <c r="M335" s="558" t="n"/>
      <c r="N335" s="558" t="n"/>
      <c r="O335" s="558" t="n"/>
      <c r="P335" s="558" t="n"/>
      <c r="Q335" s="558" t="n"/>
      <c r="R335" s="558" t="n"/>
      <c r="S335" s="471" t="n"/>
      <c r="T335" s="471" t="n"/>
      <c r="U335" s="471" t="n"/>
      <c r="V335" s="471" t="n"/>
    </row>
    <row r="336">
      <c r="A336" s="558" t="n"/>
      <c r="B336" s="558" t="n"/>
      <c r="C336" s="558" t="n"/>
      <c r="D336" s="558" t="n"/>
      <c r="E336" s="558" t="n"/>
      <c r="F336" s="558" t="n"/>
      <c r="G336" s="558" t="n"/>
      <c r="H336" s="558" t="n"/>
      <c r="I336" s="558" t="n"/>
      <c r="J336" s="558" t="n"/>
      <c r="K336" s="558" t="n"/>
      <c r="L336" s="558" t="n"/>
      <c r="M336" s="558" t="n"/>
      <c r="N336" s="558" t="n"/>
      <c r="O336" s="558" t="n"/>
      <c r="P336" s="558" t="n"/>
      <c r="Q336" s="558" t="n"/>
      <c r="R336" s="558" t="n"/>
      <c r="S336" s="471" t="n"/>
      <c r="T336" s="471" t="n"/>
      <c r="U336" s="471" t="n"/>
      <c r="V336" s="471" t="n"/>
    </row>
    <row r="337">
      <c r="A337" s="559" t="n"/>
      <c r="B337" s="559" t="n"/>
      <c r="C337" s="559" t="n"/>
      <c r="D337" s="559" t="n"/>
      <c r="E337" s="559" t="n"/>
      <c r="F337" s="559" t="n"/>
      <c r="G337" s="559" t="n"/>
      <c r="H337" s="559" t="n"/>
      <c r="I337" s="559" t="n"/>
      <c r="J337" s="559" t="n"/>
      <c r="K337" s="559" t="n"/>
      <c r="L337" s="559" t="n"/>
      <c r="M337" s="559" t="n"/>
      <c r="N337" s="559" t="n"/>
      <c r="O337" s="559" t="n"/>
      <c r="P337" s="559" t="n"/>
      <c r="Q337" s="559" t="n"/>
      <c r="R337" s="559" t="n"/>
    </row>
    <row r="338">
      <c r="A338" s="559" t="n"/>
      <c r="B338" s="559" t="n"/>
      <c r="C338" s="559" t="n"/>
      <c r="D338" s="559" t="n"/>
      <c r="E338" s="559" t="n"/>
      <c r="F338" s="559" t="n"/>
      <c r="G338" s="559" t="n"/>
      <c r="H338" s="559" t="n"/>
      <c r="I338" s="559" t="n"/>
      <c r="J338" s="559" t="n"/>
      <c r="K338" s="559" t="n"/>
      <c r="L338" s="559" t="n"/>
      <c r="M338" s="559" t="n"/>
      <c r="N338" s="559" t="n"/>
      <c r="O338" s="559" t="n"/>
      <c r="P338" s="559" t="n"/>
      <c r="Q338" s="559" t="n"/>
      <c r="R338" s="559" t="n"/>
    </row>
    <row r="339">
      <c r="A339" s="559" t="n"/>
      <c r="B339" s="559" t="n"/>
      <c r="C339" s="559" t="n"/>
      <c r="D339" s="559" t="n"/>
      <c r="E339" s="559" t="n"/>
      <c r="F339" s="559" t="n"/>
      <c r="G339" s="559" t="n"/>
      <c r="H339" s="559" t="n"/>
      <c r="I339" s="559" t="n"/>
      <c r="J339" s="559" t="n"/>
      <c r="K339" s="559" t="n"/>
      <c r="L339" s="559" t="n"/>
      <c r="M339" s="559" t="n"/>
      <c r="N339" s="559" t="n"/>
      <c r="O339" s="559" t="n"/>
      <c r="P339" s="559" t="n"/>
      <c r="Q339" s="559" t="n"/>
      <c r="R339" s="559" t="n"/>
    </row>
    <row r="340">
      <c r="A340" s="559" t="n"/>
      <c r="B340" s="559" t="n"/>
      <c r="C340" s="559" t="n"/>
      <c r="D340" s="559" t="n"/>
      <c r="E340" s="559" t="n"/>
      <c r="F340" s="559" t="n"/>
      <c r="G340" s="559" t="n"/>
      <c r="H340" s="559" t="n"/>
      <c r="I340" s="559" t="n"/>
      <c r="J340" s="559" t="n"/>
      <c r="K340" s="559" t="n"/>
      <c r="L340" s="559" t="n"/>
      <c r="M340" s="559" t="n"/>
      <c r="N340" s="559" t="n"/>
      <c r="O340" s="559" t="n"/>
      <c r="P340" s="559" t="n"/>
      <c r="Q340" s="559" t="n"/>
      <c r="R340" s="559" t="n"/>
    </row>
    <row r="341">
      <c r="A341" s="559" t="n"/>
      <c r="B341" s="559" t="n"/>
      <c r="C341" s="559" t="n"/>
      <c r="D341" s="559" t="n"/>
      <c r="E341" s="559" t="n"/>
      <c r="F341" s="559" t="n"/>
      <c r="G341" s="559" t="n"/>
      <c r="H341" s="559" t="n"/>
      <c r="I341" s="559" t="n"/>
      <c r="J341" s="559" t="n"/>
      <c r="K341" s="559" t="n"/>
      <c r="L341" s="559" t="n"/>
      <c r="M341" s="559" t="n"/>
      <c r="N341" s="559" t="n"/>
      <c r="O341" s="559" t="n"/>
      <c r="P341" s="559" t="n"/>
      <c r="Q341" s="559" t="n"/>
      <c r="R341" s="559" t="n"/>
    </row>
    <row r="342">
      <c r="A342" s="559" t="n"/>
      <c r="B342" s="559" t="n"/>
      <c r="C342" s="559" t="n"/>
      <c r="D342" s="559" t="n"/>
      <c r="E342" s="559" t="n"/>
      <c r="F342" s="559" t="n"/>
      <c r="G342" s="559" t="n"/>
      <c r="H342" s="559" t="n"/>
      <c r="I342" s="559" t="n"/>
      <c r="J342" s="559" t="n"/>
      <c r="K342" s="559" t="n"/>
      <c r="L342" s="559" t="n"/>
      <c r="M342" s="559" t="n"/>
      <c r="N342" s="559" t="n"/>
      <c r="O342" s="559" t="n"/>
      <c r="P342" s="559" t="n"/>
      <c r="Q342" s="559" t="n"/>
      <c r="R342" s="559" t="n"/>
    </row>
    <row r="343">
      <c r="A343" s="559" t="n"/>
      <c r="B343" s="559" t="n"/>
      <c r="C343" s="559" t="n"/>
      <c r="D343" s="559" t="n"/>
      <c r="E343" s="559" t="n"/>
      <c r="F343" s="559" t="n"/>
      <c r="G343" s="559" t="n"/>
      <c r="H343" s="559" t="n"/>
      <c r="I343" s="559" t="n"/>
      <c r="J343" s="559" t="n"/>
      <c r="K343" s="559" t="n"/>
      <c r="L343" s="559" t="n"/>
      <c r="M343" s="559" t="n"/>
      <c r="N343" s="559" t="n"/>
      <c r="O343" s="559" t="n"/>
      <c r="P343" s="559" t="n"/>
      <c r="Q343" s="559" t="n"/>
      <c r="R343" s="559" t="n"/>
    </row>
    <row r="344">
      <c r="A344" s="559" t="n"/>
      <c r="B344" s="559" t="n"/>
      <c r="C344" s="559" t="n"/>
      <c r="D344" s="559" t="n"/>
      <c r="E344" s="559" t="n"/>
      <c r="F344" s="559" t="n"/>
      <c r="G344" s="559" t="n"/>
      <c r="H344" s="559" t="n"/>
      <c r="I344" s="559" t="n"/>
      <c r="J344" s="559" t="n"/>
      <c r="K344" s="559" t="n"/>
      <c r="L344" s="559" t="n"/>
      <c r="M344" s="559" t="n"/>
      <c r="N344" s="559" t="n"/>
      <c r="O344" s="559" t="n"/>
      <c r="P344" s="559" t="n"/>
      <c r="Q344" s="559" t="n"/>
      <c r="R344" s="559" t="n"/>
    </row>
    <row r="345">
      <c r="A345" s="559" t="n"/>
      <c r="B345" s="559" t="n"/>
      <c r="C345" s="559" t="n"/>
      <c r="D345" s="559" t="n"/>
      <c r="E345" s="559" t="n"/>
      <c r="F345" s="559" t="n"/>
      <c r="G345" s="559" t="n"/>
      <c r="H345" s="559" t="n"/>
      <c r="I345" s="559" t="n"/>
      <c r="J345" s="559" t="n"/>
      <c r="K345" s="559" t="n"/>
      <c r="L345" s="559" t="n"/>
      <c r="M345" s="559" t="n"/>
      <c r="N345" s="559" t="n"/>
      <c r="O345" s="559" t="n"/>
      <c r="P345" s="559" t="n"/>
      <c r="Q345" s="559" t="n"/>
      <c r="R345" s="559" t="n"/>
    </row>
    <row r="346">
      <c r="A346" s="559" t="n"/>
      <c r="B346" s="559" t="n"/>
      <c r="C346" s="559" t="n"/>
      <c r="D346" s="559" t="n"/>
      <c r="E346" s="559" t="n"/>
      <c r="F346" s="559" t="n"/>
      <c r="G346" s="559" t="n"/>
      <c r="H346" s="559" t="n"/>
      <c r="I346" s="559" t="n"/>
      <c r="J346" s="559" t="n"/>
      <c r="K346" s="559" t="n"/>
      <c r="L346" s="559" t="n"/>
      <c r="M346" s="559" t="n"/>
      <c r="N346" s="559" t="n"/>
      <c r="O346" s="559" t="n"/>
      <c r="P346" s="559" t="n"/>
      <c r="Q346" s="559" t="n"/>
      <c r="R346" s="559" t="n"/>
    </row>
    <row r="347">
      <c r="A347" s="559" t="n"/>
      <c r="B347" s="559" t="n"/>
      <c r="C347" s="559" t="n"/>
      <c r="D347" s="559" t="n"/>
      <c r="E347" s="559" t="n"/>
      <c r="F347" s="559" t="n"/>
      <c r="G347" s="559" t="n"/>
      <c r="H347" s="559" t="n"/>
      <c r="I347" s="559" t="n"/>
      <c r="J347" s="559" t="n"/>
      <c r="K347" s="559" t="n"/>
      <c r="L347" s="559" t="n"/>
      <c r="M347" s="559" t="n"/>
      <c r="N347" s="559" t="n"/>
      <c r="O347" s="559" t="n"/>
      <c r="P347" s="559" t="n"/>
      <c r="Q347" s="559" t="n"/>
      <c r="R347" s="559" t="n"/>
    </row>
    <row r="348">
      <c r="A348" s="559" t="n"/>
      <c r="B348" s="559" t="n"/>
      <c r="C348" s="559" t="n"/>
      <c r="D348" s="559" t="n"/>
      <c r="E348" s="559" t="n"/>
      <c r="F348" s="559" t="n"/>
      <c r="G348" s="559" t="n"/>
      <c r="H348" s="559" t="n"/>
      <c r="I348" s="559" t="n"/>
      <c r="J348" s="559" t="n"/>
      <c r="K348" s="559" t="n"/>
      <c r="L348" s="559" t="n"/>
      <c r="M348" s="559" t="n"/>
      <c r="N348" s="559" t="n"/>
      <c r="O348" s="559" t="n"/>
      <c r="P348" s="559" t="n"/>
      <c r="Q348" s="559" t="n"/>
      <c r="R348" s="559" t="n"/>
    </row>
    <row r="349">
      <c r="A349" s="559" t="n"/>
      <c r="B349" s="559" t="n"/>
      <c r="C349" s="559" t="n"/>
      <c r="D349" s="559" t="n"/>
      <c r="E349" s="559" t="n"/>
      <c r="F349" s="559" t="n"/>
      <c r="G349" s="559" t="n"/>
      <c r="H349" s="559" t="n"/>
      <c r="I349" s="559" t="n"/>
      <c r="J349" s="559" t="n"/>
      <c r="K349" s="559" t="n"/>
      <c r="L349" s="559" t="n"/>
      <c r="M349" s="559" t="n"/>
      <c r="N349" s="559" t="n"/>
      <c r="O349" s="559" t="n"/>
      <c r="P349" s="559" t="n"/>
      <c r="Q349" s="559" t="n"/>
      <c r="R349" s="559" t="n"/>
    </row>
    <row r="350">
      <c r="A350" s="559" t="n"/>
      <c r="B350" s="559" t="n"/>
      <c r="C350" s="559" t="n"/>
      <c r="D350" s="559" t="n"/>
      <c r="E350" s="559" t="n"/>
      <c r="F350" s="559" t="n"/>
      <c r="G350" s="559" t="n"/>
      <c r="H350" s="559" t="n"/>
      <c r="I350" s="559" t="n"/>
      <c r="J350" s="559" t="n"/>
      <c r="K350" s="559" t="n"/>
      <c r="L350" s="559" t="n"/>
      <c r="M350" s="559" t="n"/>
      <c r="N350" s="559" t="n"/>
      <c r="O350" s="559" t="n"/>
      <c r="P350" s="559" t="n"/>
      <c r="Q350" s="559" t="n"/>
      <c r="R350" s="559" t="n"/>
    </row>
    <row r="351">
      <c r="A351" s="559" t="n"/>
      <c r="B351" s="559" t="n"/>
      <c r="C351" s="559" t="n"/>
      <c r="D351" s="559" t="n"/>
      <c r="E351" s="559" t="n"/>
      <c r="F351" s="559" t="n"/>
      <c r="G351" s="559" t="n"/>
      <c r="H351" s="559" t="n"/>
      <c r="I351" s="559" t="n"/>
      <c r="J351" s="559" t="n"/>
      <c r="K351" s="559" t="n"/>
      <c r="L351" s="559" t="n"/>
      <c r="M351" s="559" t="n"/>
      <c r="N351" s="559" t="n"/>
      <c r="O351" s="559" t="n"/>
      <c r="P351" s="559" t="n"/>
      <c r="Q351" s="559" t="n"/>
      <c r="R351" s="559" t="n"/>
    </row>
    <row r="352">
      <c r="A352" s="559" t="n"/>
      <c r="B352" s="559" t="n"/>
      <c r="C352" s="559" t="n"/>
      <c r="D352" s="559" t="n"/>
      <c r="E352" s="559" t="n"/>
      <c r="F352" s="559" t="n"/>
      <c r="G352" s="559" t="n"/>
      <c r="H352" s="559" t="n"/>
      <c r="I352" s="559" t="n"/>
      <c r="J352" s="559" t="n"/>
      <c r="K352" s="559" t="n"/>
      <c r="L352" s="559" t="n"/>
      <c r="M352" s="559" t="n"/>
      <c r="N352" s="559" t="n"/>
      <c r="O352" s="559" t="n"/>
      <c r="P352" s="559" t="n"/>
      <c r="Q352" s="559" t="n"/>
      <c r="R352" s="559" t="n"/>
    </row>
    <row r="353">
      <c r="A353" s="559" t="n"/>
      <c r="B353" s="559" t="n"/>
      <c r="C353" s="559" t="n"/>
      <c r="D353" s="559" t="n"/>
      <c r="E353" s="559" t="n"/>
      <c r="F353" s="559" t="n"/>
      <c r="G353" s="559" t="n"/>
      <c r="H353" s="559" t="n"/>
      <c r="I353" s="559" t="n"/>
      <c r="J353" s="559" t="n"/>
      <c r="K353" s="559" t="n"/>
      <c r="L353" s="559" t="n"/>
      <c r="M353" s="559" t="n"/>
      <c r="N353" s="559" t="n"/>
      <c r="O353" s="559" t="n"/>
      <c r="P353" s="559" t="n"/>
      <c r="Q353" s="559" t="n"/>
      <c r="R353" s="559" t="n"/>
    </row>
    <row r="354">
      <c r="A354" s="559" t="n"/>
      <c r="B354" s="559" t="n"/>
      <c r="C354" s="559" t="n"/>
      <c r="D354" s="559" t="n"/>
      <c r="E354" s="559" t="n"/>
      <c r="F354" s="559" t="n"/>
      <c r="G354" s="559" t="n"/>
      <c r="H354" s="559" t="n"/>
      <c r="I354" s="559" t="n"/>
      <c r="J354" s="559" t="n"/>
      <c r="K354" s="559" t="n"/>
      <c r="L354" s="559" t="n"/>
      <c r="M354" s="559" t="n"/>
      <c r="N354" s="559" t="n"/>
      <c r="O354" s="559" t="n"/>
      <c r="P354" s="559" t="n"/>
      <c r="Q354" s="559" t="n"/>
      <c r="R354" s="559" t="n"/>
    </row>
    <row r="355">
      <c r="A355" s="559" t="n"/>
      <c r="B355" s="559" t="n"/>
      <c r="C355" s="559" t="n"/>
      <c r="D355" s="559" t="n"/>
      <c r="E355" s="559" t="n"/>
      <c r="F355" s="559" t="n"/>
      <c r="G355" s="559" t="n"/>
      <c r="H355" s="559" t="n"/>
      <c r="I355" s="559" t="n"/>
      <c r="J355" s="559" t="n"/>
      <c r="K355" s="559" t="n"/>
      <c r="L355" s="559" t="n"/>
      <c r="M355" s="559" t="n"/>
      <c r="N355" s="559" t="n"/>
      <c r="O355" s="559" t="n"/>
      <c r="P355" s="559" t="n"/>
      <c r="Q355" s="559" t="n"/>
      <c r="R355" s="559" t="n"/>
    </row>
    <row r="356">
      <c r="A356" s="559" t="n"/>
      <c r="B356" s="559" t="n"/>
      <c r="C356" s="559" t="n"/>
      <c r="D356" s="559" t="n"/>
      <c r="E356" s="559" t="n"/>
      <c r="F356" s="559" t="n"/>
      <c r="G356" s="559" t="n"/>
      <c r="H356" s="559" t="n"/>
      <c r="I356" s="559" t="n"/>
      <c r="J356" s="559" t="n"/>
      <c r="K356" s="559" t="n"/>
      <c r="L356" s="559" t="n"/>
      <c r="M356" s="559" t="n"/>
      <c r="N356" s="559" t="n"/>
      <c r="O356" s="559" t="n"/>
      <c r="P356" s="559" t="n"/>
      <c r="Q356" s="559" t="n"/>
      <c r="R356" s="559" t="n"/>
    </row>
    <row r="357">
      <c r="A357" s="559" t="n"/>
      <c r="B357" s="559" t="n"/>
      <c r="C357" s="559" t="n"/>
      <c r="D357" s="559" t="n"/>
      <c r="E357" s="559" t="n"/>
      <c r="F357" s="559" t="n"/>
      <c r="G357" s="559" t="n"/>
      <c r="H357" s="559" t="n"/>
      <c r="I357" s="559" t="n"/>
      <c r="J357" s="559" t="n"/>
      <c r="K357" s="559" t="n"/>
      <c r="L357" s="559" t="n"/>
      <c r="M357" s="559" t="n"/>
      <c r="N357" s="559" t="n"/>
      <c r="O357" s="559" t="n"/>
      <c r="P357" s="559" t="n"/>
      <c r="Q357" s="559" t="n"/>
      <c r="R357" s="559" t="n"/>
    </row>
    <row r="358">
      <c r="A358" s="559" t="n"/>
      <c r="B358" s="559" t="n"/>
      <c r="C358" s="559" t="n"/>
      <c r="D358" s="559" t="n"/>
      <c r="E358" s="559" t="n"/>
      <c r="F358" s="559" t="n"/>
      <c r="G358" s="559" t="n"/>
      <c r="H358" s="559" t="n"/>
      <c r="I358" s="559" t="n"/>
      <c r="J358" s="559" t="n"/>
      <c r="K358" s="559" t="n"/>
      <c r="L358" s="559" t="n"/>
      <c r="M358" s="559" t="n"/>
      <c r="N358" s="559" t="n"/>
      <c r="O358" s="559" t="n"/>
      <c r="P358" s="559" t="n"/>
      <c r="Q358" s="559" t="n"/>
      <c r="R358" s="559" t="n"/>
    </row>
    <row r="359">
      <c r="A359" s="559" t="n"/>
      <c r="B359" s="559" t="n"/>
      <c r="C359" s="559" t="n"/>
      <c r="D359" s="559" t="n"/>
      <c r="E359" s="559" t="n"/>
      <c r="F359" s="559" t="n"/>
      <c r="G359" s="559" t="n"/>
      <c r="H359" s="559" t="n"/>
      <c r="I359" s="559" t="n"/>
      <c r="J359" s="559" t="n"/>
      <c r="K359" s="559" t="n"/>
      <c r="L359" s="559" t="n"/>
      <c r="M359" s="559" t="n"/>
      <c r="N359" s="559" t="n"/>
      <c r="O359" s="559" t="n"/>
      <c r="P359" s="559" t="n"/>
      <c r="Q359" s="559" t="n"/>
      <c r="R359" s="559" t="n"/>
    </row>
    <row r="360">
      <c r="A360" s="559" t="n"/>
      <c r="B360" s="559" t="n"/>
      <c r="C360" s="559" t="n"/>
      <c r="D360" s="559" t="n"/>
      <c r="E360" s="559" t="n"/>
      <c r="F360" s="559" t="n"/>
      <c r="G360" s="559" t="n"/>
      <c r="H360" s="559" t="n"/>
      <c r="I360" s="559" t="n"/>
      <c r="J360" s="559" t="n"/>
      <c r="K360" s="559" t="n"/>
      <c r="L360" s="559" t="n"/>
      <c r="M360" s="559" t="n"/>
      <c r="N360" s="559" t="n"/>
      <c r="O360" s="559" t="n"/>
      <c r="P360" s="559" t="n"/>
      <c r="Q360" s="559" t="n"/>
      <c r="R360" s="559" t="n"/>
    </row>
    <row r="361">
      <c r="A361" s="559" t="n"/>
      <c r="B361" s="559" t="n"/>
      <c r="C361" s="559" t="n"/>
      <c r="D361" s="559" t="n"/>
      <c r="E361" s="559" t="n"/>
      <c r="F361" s="559" t="n"/>
      <c r="G361" s="559" t="n"/>
      <c r="H361" s="559" t="n"/>
      <c r="I361" s="559" t="n"/>
      <c r="J361" s="559" t="n"/>
      <c r="K361" s="559" t="n"/>
      <c r="L361" s="559" t="n"/>
      <c r="M361" s="559" t="n"/>
      <c r="N361" s="559" t="n"/>
      <c r="O361" s="559" t="n"/>
      <c r="P361" s="559" t="n"/>
      <c r="Q361" s="559" t="n"/>
      <c r="R361" s="559" t="n"/>
    </row>
    <row r="362">
      <c r="A362" s="559" t="n"/>
      <c r="B362" s="559" t="n"/>
      <c r="C362" s="559" t="n"/>
      <c r="D362" s="559" t="n"/>
      <c r="E362" s="559" t="n"/>
      <c r="F362" s="559" t="n"/>
      <c r="G362" s="559" t="n"/>
      <c r="H362" s="559" t="n"/>
      <c r="I362" s="559" t="n"/>
      <c r="J362" s="559" t="n"/>
      <c r="K362" s="559" t="n"/>
      <c r="L362" s="559" t="n"/>
      <c r="M362" s="559" t="n"/>
      <c r="N362" s="559" t="n"/>
      <c r="O362" s="559" t="n"/>
      <c r="P362" s="559" t="n"/>
      <c r="Q362" s="559" t="n"/>
      <c r="R362" s="559" t="n"/>
    </row>
    <row r="363">
      <c r="A363" s="559" t="n"/>
      <c r="B363" s="559" t="n"/>
      <c r="C363" s="559" t="n"/>
      <c r="D363" s="559" t="n"/>
      <c r="E363" s="559" t="n"/>
      <c r="F363" s="559" t="n"/>
      <c r="G363" s="559" t="n"/>
      <c r="H363" s="559" t="n"/>
      <c r="I363" s="559" t="n"/>
      <c r="J363" s="559" t="n"/>
      <c r="K363" s="559" t="n"/>
      <c r="L363" s="559" t="n"/>
      <c r="M363" s="559" t="n"/>
      <c r="N363" s="559" t="n"/>
      <c r="O363" s="559" t="n"/>
      <c r="P363" s="559" t="n"/>
      <c r="Q363" s="559" t="n"/>
      <c r="R363" s="559" t="n"/>
    </row>
    <row r="364">
      <c r="A364" s="559" t="n"/>
      <c r="B364" s="559" t="n"/>
      <c r="C364" s="559" t="n"/>
      <c r="D364" s="559" t="n"/>
      <c r="E364" s="559" t="n"/>
      <c r="F364" s="559" t="n"/>
      <c r="G364" s="559" t="n"/>
      <c r="H364" s="559" t="n"/>
      <c r="I364" s="559" t="n"/>
      <c r="J364" s="559" t="n"/>
      <c r="K364" s="559" t="n"/>
      <c r="L364" s="559" t="n"/>
      <c r="M364" s="559" t="n"/>
      <c r="N364" s="559" t="n"/>
      <c r="O364" s="559" t="n"/>
      <c r="P364" s="559" t="n"/>
      <c r="Q364" s="559" t="n"/>
      <c r="R364" s="559" t="n"/>
    </row>
    <row r="365">
      <c r="A365" s="559" t="n"/>
      <c r="B365" s="559" t="n"/>
      <c r="C365" s="559" t="n"/>
      <c r="D365" s="559" t="n"/>
      <c r="E365" s="559" t="n"/>
      <c r="F365" s="559" t="n"/>
      <c r="G365" s="559" t="n"/>
      <c r="H365" s="559" t="n"/>
      <c r="I365" s="559" t="n"/>
      <c r="J365" s="559" t="n"/>
      <c r="K365" s="559" t="n"/>
      <c r="L365" s="559" t="n"/>
      <c r="M365" s="559" t="n"/>
      <c r="N365" s="559" t="n"/>
      <c r="O365" s="559" t="n"/>
      <c r="P365" s="559" t="n"/>
      <c r="Q365" s="559" t="n"/>
      <c r="R365" s="559" t="n"/>
    </row>
    <row r="366">
      <c r="A366" s="559" t="n"/>
      <c r="B366" s="559" t="n"/>
      <c r="C366" s="559" t="n"/>
      <c r="D366" s="559" t="n"/>
      <c r="E366" s="559" t="n"/>
      <c r="F366" s="559" t="n"/>
      <c r="G366" s="559" t="n"/>
      <c r="H366" s="559" t="n"/>
      <c r="I366" s="559" t="n"/>
      <c r="J366" s="559" t="n"/>
      <c r="K366" s="559" t="n"/>
      <c r="L366" s="559" t="n"/>
      <c r="M366" s="559" t="n"/>
      <c r="N366" s="559" t="n"/>
      <c r="O366" s="559" t="n"/>
      <c r="P366" s="559" t="n"/>
      <c r="Q366" s="559" t="n"/>
      <c r="R366" s="559" t="n"/>
    </row>
    <row r="367">
      <c r="A367" s="559" t="n"/>
      <c r="B367" s="559" t="n"/>
      <c r="C367" s="559" t="n"/>
      <c r="D367" s="559" t="n"/>
      <c r="E367" s="559" t="n"/>
      <c r="F367" s="559" t="n"/>
      <c r="G367" s="559" t="n"/>
      <c r="H367" s="559" t="n"/>
      <c r="I367" s="559" t="n"/>
      <c r="J367" s="559" t="n"/>
      <c r="K367" s="559" t="n"/>
      <c r="L367" s="559" t="n"/>
      <c r="M367" s="559" t="n"/>
      <c r="N367" s="559" t="n"/>
      <c r="O367" s="559" t="n"/>
      <c r="P367" s="559" t="n"/>
      <c r="Q367" s="559" t="n"/>
      <c r="R367" s="559" t="n"/>
    </row>
    <row r="368">
      <c r="A368" s="559" t="n"/>
      <c r="B368" s="559" t="n"/>
      <c r="C368" s="559" t="n"/>
      <c r="D368" s="559" t="n"/>
      <c r="E368" s="559" t="n"/>
      <c r="F368" s="559" t="n"/>
      <c r="G368" s="559" t="n"/>
      <c r="H368" s="559" t="n"/>
      <c r="I368" s="559" t="n"/>
      <c r="J368" s="559" t="n"/>
      <c r="K368" s="559" t="n"/>
      <c r="L368" s="559" t="n"/>
      <c r="M368" s="559" t="n"/>
      <c r="N368" s="559" t="n"/>
      <c r="O368" s="559" t="n"/>
      <c r="P368" s="559" t="n"/>
      <c r="Q368" s="559" t="n"/>
      <c r="R368" s="559" t="n"/>
    </row>
    <row r="369">
      <c r="A369" s="559" t="n"/>
      <c r="B369" s="559" t="n"/>
      <c r="C369" s="559" t="n"/>
      <c r="D369" s="559" t="n"/>
      <c r="E369" s="559" t="n"/>
      <c r="F369" s="559" t="n"/>
      <c r="G369" s="559" t="n"/>
      <c r="H369" s="559" t="n"/>
      <c r="I369" s="559" t="n"/>
      <c r="J369" s="559" t="n"/>
      <c r="K369" s="559" t="n"/>
      <c r="L369" s="559" t="n"/>
      <c r="M369" s="559" t="n"/>
      <c r="N369" s="559" t="n"/>
      <c r="O369" s="559" t="n"/>
      <c r="P369" s="559" t="n"/>
      <c r="Q369" s="559" t="n"/>
      <c r="R369" s="559" t="n"/>
    </row>
    <row r="370">
      <c r="A370" s="559" t="n"/>
      <c r="B370" s="559" t="n"/>
      <c r="C370" s="559" t="n"/>
      <c r="D370" s="559" t="n"/>
      <c r="E370" s="559" t="n"/>
      <c r="F370" s="559" t="n"/>
      <c r="G370" s="559" t="n"/>
      <c r="H370" s="559" t="n"/>
      <c r="I370" s="559" t="n"/>
      <c r="J370" s="559" t="n"/>
      <c r="K370" s="559" t="n"/>
      <c r="L370" s="559" t="n"/>
      <c r="M370" s="559" t="n"/>
      <c r="N370" s="559" t="n"/>
      <c r="O370" s="559" t="n"/>
      <c r="P370" s="559" t="n"/>
      <c r="Q370" s="559" t="n"/>
      <c r="R370" s="559" t="n"/>
    </row>
    <row r="371">
      <c r="A371" s="559" t="n"/>
      <c r="B371" s="559" t="n"/>
      <c r="C371" s="559" t="n"/>
      <c r="D371" s="559" t="n"/>
      <c r="E371" s="559" t="n"/>
      <c r="F371" s="559" t="n"/>
      <c r="G371" s="559" t="n"/>
      <c r="H371" s="559" t="n"/>
      <c r="I371" s="559" t="n"/>
      <c r="J371" s="559" t="n"/>
      <c r="K371" s="559" t="n"/>
      <c r="L371" s="559" t="n"/>
      <c r="M371" s="559" t="n"/>
      <c r="N371" s="559" t="n"/>
      <c r="O371" s="559" t="n"/>
      <c r="P371" s="559" t="n"/>
      <c r="Q371" s="559" t="n"/>
      <c r="R371" s="559" t="n"/>
    </row>
    <row r="372">
      <c r="A372" s="559" t="n"/>
      <c r="B372" s="559" t="n"/>
      <c r="C372" s="559" t="n"/>
      <c r="D372" s="559" t="n"/>
      <c r="E372" s="559" t="n"/>
      <c r="F372" s="559" t="n"/>
      <c r="G372" s="559" t="n"/>
      <c r="H372" s="559" t="n"/>
      <c r="I372" s="559" t="n"/>
      <c r="J372" s="559" t="n"/>
      <c r="K372" s="559" t="n"/>
      <c r="L372" s="559" t="n"/>
      <c r="M372" s="559" t="n"/>
      <c r="N372" s="559" t="n"/>
      <c r="O372" s="559" t="n"/>
      <c r="P372" s="559" t="n"/>
      <c r="Q372" s="559" t="n"/>
      <c r="R372" s="559" t="n"/>
    </row>
    <row r="373">
      <c r="A373" s="559" t="n"/>
      <c r="B373" s="559" t="n"/>
      <c r="C373" s="559" t="n"/>
      <c r="D373" s="559" t="n"/>
      <c r="E373" s="559" t="n"/>
      <c r="F373" s="559" t="n"/>
      <c r="G373" s="559" t="n"/>
      <c r="H373" s="559" t="n"/>
      <c r="I373" s="559" t="n"/>
      <c r="J373" s="559" t="n"/>
      <c r="K373" s="559" t="n"/>
      <c r="L373" s="559" t="n"/>
      <c r="M373" s="559" t="n"/>
      <c r="N373" s="559" t="n"/>
      <c r="O373" s="559" t="n"/>
      <c r="P373" s="559" t="n"/>
      <c r="Q373" s="559" t="n"/>
      <c r="R373" s="559" t="n"/>
    </row>
    <row r="374">
      <c r="A374" s="559" t="n"/>
      <c r="B374" s="559" t="n"/>
      <c r="C374" s="559" t="n"/>
      <c r="D374" s="559" t="n"/>
      <c r="E374" s="559" t="n"/>
      <c r="F374" s="559" t="n"/>
      <c r="G374" s="559" t="n"/>
      <c r="H374" s="559" t="n"/>
      <c r="I374" s="559" t="n"/>
      <c r="J374" s="559" t="n"/>
      <c r="K374" s="559" t="n"/>
      <c r="L374" s="559" t="n"/>
      <c r="M374" s="559" t="n"/>
      <c r="N374" s="559" t="n"/>
      <c r="O374" s="559" t="n"/>
      <c r="P374" s="559" t="n"/>
      <c r="Q374" s="559" t="n"/>
      <c r="R374" s="559" t="n"/>
    </row>
    <row r="375">
      <c r="A375" s="559" t="n"/>
      <c r="B375" s="559" t="n"/>
      <c r="C375" s="559" t="n"/>
      <c r="D375" s="559" t="n"/>
      <c r="E375" s="559" t="n"/>
      <c r="F375" s="559" t="n"/>
      <c r="G375" s="559" t="n"/>
      <c r="H375" s="559" t="n"/>
      <c r="I375" s="559" t="n"/>
      <c r="J375" s="559" t="n"/>
      <c r="K375" s="559" t="n"/>
      <c r="L375" s="559" t="n"/>
      <c r="M375" s="559" t="n"/>
      <c r="N375" s="559" t="n"/>
      <c r="O375" s="559" t="n"/>
      <c r="P375" s="559" t="n"/>
      <c r="Q375" s="559" t="n"/>
      <c r="R375" s="559" t="n"/>
    </row>
    <row r="376">
      <c r="A376" s="559" t="n"/>
      <c r="B376" s="559" t="n"/>
      <c r="C376" s="559" t="n"/>
      <c r="D376" s="559" t="n"/>
      <c r="E376" s="559" t="n"/>
      <c r="F376" s="559" t="n"/>
      <c r="G376" s="559" t="n"/>
      <c r="H376" s="559" t="n"/>
      <c r="I376" s="559" t="n"/>
      <c r="J376" s="559" t="n"/>
      <c r="K376" s="559" t="n"/>
      <c r="L376" s="559" t="n"/>
      <c r="M376" s="559" t="n"/>
      <c r="N376" s="559" t="n"/>
      <c r="O376" s="559" t="n"/>
      <c r="P376" s="559" t="n"/>
      <c r="Q376" s="559" t="n"/>
      <c r="R376" s="559" t="n"/>
    </row>
    <row r="377">
      <c r="A377" s="559" t="n"/>
      <c r="B377" s="559" t="n"/>
      <c r="C377" s="559" t="n"/>
      <c r="D377" s="559" t="n"/>
      <c r="E377" s="559" t="n"/>
      <c r="F377" s="559" t="n"/>
      <c r="G377" s="559" t="n"/>
      <c r="H377" s="559" t="n"/>
      <c r="I377" s="559" t="n"/>
      <c r="J377" s="559" t="n"/>
      <c r="K377" s="559" t="n"/>
      <c r="L377" s="559" t="n"/>
      <c r="M377" s="559" t="n"/>
      <c r="N377" s="559" t="n"/>
      <c r="O377" s="559" t="n"/>
      <c r="P377" s="559" t="n"/>
      <c r="Q377" s="559" t="n"/>
      <c r="R377" s="559" t="n"/>
    </row>
    <row r="378">
      <c r="A378" s="559" t="n"/>
      <c r="B378" s="559" t="n"/>
      <c r="C378" s="559" t="n"/>
      <c r="D378" s="559" t="n"/>
      <c r="E378" s="559" t="n"/>
      <c r="F378" s="559" t="n"/>
      <c r="G378" s="559" t="n"/>
      <c r="H378" s="559" t="n"/>
      <c r="I378" s="559" t="n"/>
      <c r="J378" s="559" t="n"/>
      <c r="K378" s="559" t="n"/>
      <c r="L378" s="559" t="n"/>
      <c r="M378" s="559" t="n"/>
      <c r="N378" s="559" t="n"/>
      <c r="O378" s="559" t="n"/>
      <c r="P378" s="559" t="n"/>
      <c r="Q378" s="559" t="n"/>
      <c r="R378" s="559" t="n"/>
    </row>
    <row r="379">
      <c r="A379" s="559" t="n"/>
      <c r="B379" s="559" t="n"/>
      <c r="C379" s="559" t="n"/>
      <c r="D379" s="559" t="n"/>
      <c r="E379" s="559" t="n"/>
      <c r="F379" s="559" t="n"/>
      <c r="G379" s="559" t="n"/>
      <c r="H379" s="559" t="n"/>
      <c r="I379" s="559" t="n"/>
      <c r="J379" s="559" t="n"/>
      <c r="K379" s="559" t="n"/>
      <c r="L379" s="559" t="n"/>
      <c r="M379" s="559" t="n"/>
      <c r="N379" s="559" t="n"/>
      <c r="O379" s="559" t="n"/>
      <c r="P379" s="559" t="n"/>
      <c r="Q379" s="559" t="n"/>
      <c r="R379" s="559" t="n"/>
    </row>
    <row r="380">
      <c r="A380" s="559" t="n"/>
      <c r="B380" s="559" t="n"/>
      <c r="C380" s="559" t="n"/>
      <c r="D380" s="559" t="n"/>
      <c r="E380" s="559" t="n"/>
      <c r="F380" s="559" t="n"/>
      <c r="G380" s="559" t="n"/>
      <c r="H380" s="559" t="n"/>
      <c r="I380" s="559" t="n"/>
      <c r="J380" s="559" t="n"/>
      <c r="K380" s="559" t="n"/>
      <c r="L380" s="559" t="n"/>
      <c r="M380" s="559" t="n"/>
      <c r="N380" s="559" t="n"/>
      <c r="O380" s="559" t="n"/>
      <c r="P380" s="559" t="n"/>
      <c r="Q380" s="559" t="n"/>
      <c r="R380" s="559" t="n"/>
    </row>
    <row r="381">
      <c r="A381" s="559" t="n"/>
      <c r="B381" s="559" t="n"/>
      <c r="C381" s="559" t="n"/>
      <c r="D381" s="559" t="n"/>
      <c r="E381" s="559" t="n"/>
      <c r="F381" s="559" t="n"/>
      <c r="G381" s="559" t="n"/>
      <c r="H381" s="559" t="n"/>
      <c r="I381" s="559" t="n"/>
      <c r="J381" s="559" t="n"/>
      <c r="K381" s="559" t="n"/>
      <c r="L381" s="559" t="n"/>
      <c r="M381" s="559" t="n"/>
      <c r="N381" s="559" t="n"/>
      <c r="O381" s="559" t="n"/>
      <c r="P381" s="559" t="n"/>
      <c r="Q381" s="559" t="n"/>
      <c r="R381" s="559" t="n"/>
    </row>
    <row r="382">
      <c r="A382" s="559" t="n"/>
      <c r="B382" s="559" t="n"/>
      <c r="C382" s="559" t="n"/>
      <c r="D382" s="559" t="n"/>
      <c r="E382" s="559" t="n"/>
      <c r="F382" s="559" t="n"/>
      <c r="G382" s="559" t="n"/>
      <c r="H382" s="559" t="n"/>
      <c r="I382" s="559" t="n"/>
      <c r="J382" s="559" t="n"/>
      <c r="K382" s="559" t="n"/>
      <c r="L382" s="559" t="n"/>
      <c r="M382" s="559" t="n"/>
      <c r="N382" s="559" t="n"/>
      <c r="O382" s="559" t="n"/>
      <c r="P382" s="559" t="n"/>
      <c r="Q382" s="559" t="n"/>
      <c r="R382" s="559" t="n"/>
    </row>
    <row r="383">
      <c r="A383" s="559" t="n"/>
      <c r="B383" s="559" t="n"/>
      <c r="C383" s="559" t="n"/>
      <c r="D383" s="559" t="n"/>
      <c r="E383" s="559" t="n"/>
      <c r="F383" s="559" t="n"/>
      <c r="G383" s="559" t="n"/>
      <c r="H383" s="559" t="n"/>
      <c r="I383" s="559" t="n"/>
      <c r="J383" s="559" t="n"/>
      <c r="K383" s="559" t="n"/>
      <c r="L383" s="559" t="n"/>
      <c r="M383" s="559" t="n"/>
      <c r="N383" s="559" t="n"/>
      <c r="O383" s="559" t="n"/>
      <c r="P383" s="559" t="n"/>
      <c r="Q383" s="559" t="n"/>
      <c r="R383" s="559" t="n"/>
    </row>
    <row r="384">
      <c r="A384" s="559" t="n"/>
      <c r="B384" s="559" t="n"/>
      <c r="C384" s="559" t="n"/>
      <c r="D384" s="559" t="n"/>
      <c r="E384" s="559" t="n"/>
      <c r="F384" s="559" t="n"/>
      <c r="G384" s="559" t="n"/>
      <c r="H384" s="559" t="n"/>
      <c r="I384" s="559" t="n"/>
      <c r="J384" s="559" t="n"/>
      <c r="K384" s="559" t="n"/>
      <c r="L384" s="559" t="n"/>
      <c r="M384" s="559" t="n"/>
      <c r="N384" s="559" t="n"/>
      <c r="O384" s="559" t="n"/>
      <c r="P384" s="559" t="n"/>
      <c r="Q384" s="559" t="n"/>
      <c r="R384" s="559" t="n"/>
    </row>
    <row r="385">
      <c r="A385" s="559" t="n"/>
      <c r="B385" s="559" t="n"/>
      <c r="C385" s="559" t="n"/>
      <c r="D385" s="559" t="n"/>
      <c r="E385" s="559" t="n"/>
      <c r="F385" s="559" t="n"/>
      <c r="G385" s="559" t="n"/>
      <c r="H385" s="559" t="n"/>
      <c r="I385" s="559" t="n"/>
      <c r="J385" s="559" t="n"/>
      <c r="K385" s="559" t="n"/>
      <c r="L385" s="559" t="n"/>
      <c r="M385" s="559" t="n"/>
      <c r="N385" s="559" t="n"/>
      <c r="O385" s="559" t="n"/>
      <c r="P385" s="559" t="n"/>
      <c r="Q385" s="559" t="n"/>
      <c r="R385" s="559" t="n"/>
    </row>
    <row r="386">
      <c r="A386" s="559" t="n"/>
      <c r="B386" s="559" t="n"/>
      <c r="C386" s="559" t="n"/>
      <c r="D386" s="559" t="n"/>
      <c r="E386" s="559" t="n"/>
      <c r="F386" s="559" t="n"/>
      <c r="G386" s="559" t="n"/>
      <c r="H386" s="559" t="n"/>
      <c r="I386" s="559" t="n"/>
      <c r="J386" s="559" t="n"/>
      <c r="K386" s="559" t="n"/>
      <c r="L386" s="559" t="n"/>
      <c r="M386" s="559" t="n"/>
      <c r="N386" s="559" t="n"/>
      <c r="O386" s="559" t="n"/>
      <c r="P386" s="559" t="n"/>
      <c r="Q386" s="559" t="n"/>
      <c r="R386" s="559" t="n"/>
    </row>
    <row r="387">
      <c r="A387" s="559" t="n"/>
      <c r="B387" s="559" t="n"/>
      <c r="C387" s="559" t="n"/>
      <c r="D387" s="559" t="n"/>
      <c r="E387" s="559" t="n"/>
      <c r="F387" s="559" t="n"/>
      <c r="G387" s="559" t="n"/>
      <c r="H387" s="559" t="n"/>
      <c r="I387" s="559" t="n"/>
      <c r="J387" s="559" t="n"/>
      <c r="K387" s="559" t="n"/>
      <c r="L387" s="559" t="n"/>
      <c r="M387" s="559" t="n"/>
      <c r="N387" s="559" t="n"/>
      <c r="O387" s="559" t="n"/>
      <c r="P387" s="559" t="n"/>
      <c r="Q387" s="559" t="n"/>
      <c r="R387" s="559" t="n"/>
    </row>
    <row r="388">
      <c r="A388" s="559" t="n"/>
      <c r="B388" s="559" t="n"/>
      <c r="C388" s="559" t="n"/>
      <c r="D388" s="559" t="n"/>
      <c r="E388" s="559" t="n"/>
      <c r="F388" s="559" t="n"/>
      <c r="G388" s="559" t="n"/>
      <c r="H388" s="559" t="n"/>
      <c r="I388" s="559" t="n"/>
      <c r="J388" s="559" t="n"/>
      <c r="K388" s="559" t="n"/>
      <c r="L388" s="559" t="n"/>
      <c r="M388" s="559" t="n"/>
      <c r="N388" s="559" t="n"/>
      <c r="O388" s="559" t="n"/>
      <c r="P388" s="559" t="n"/>
      <c r="Q388" s="559" t="n"/>
      <c r="R388" s="559" t="n"/>
    </row>
    <row r="389">
      <c r="A389" s="559" t="n"/>
      <c r="B389" s="559" t="n"/>
      <c r="C389" s="559" t="n"/>
      <c r="D389" s="559" t="n"/>
      <c r="E389" s="559" t="n"/>
      <c r="F389" s="559" t="n"/>
      <c r="G389" s="559" t="n"/>
      <c r="H389" s="559" t="n"/>
      <c r="I389" s="559" t="n"/>
      <c r="J389" s="559" t="n"/>
      <c r="K389" s="559" t="n"/>
      <c r="L389" s="559" t="n"/>
      <c r="M389" s="559" t="n"/>
      <c r="N389" s="559" t="n"/>
      <c r="O389" s="559" t="n"/>
      <c r="P389" s="559" t="n"/>
      <c r="Q389" s="559" t="n"/>
      <c r="R389" s="559" t="n"/>
    </row>
    <row r="390">
      <c r="A390" s="559" t="n"/>
      <c r="B390" s="559" t="n"/>
      <c r="C390" s="559" t="n"/>
      <c r="D390" s="559" t="n"/>
      <c r="E390" s="559" t="n"/>
      <c r="F390" s="559" t="n"/>
      <c r="G390" s="559" t="n"/>
      <c r="H390" s="559" t="n"/>
      <c r="I390" s="559" t="n"/>
      <c r="J390" s="559" t="n"/>
      <c r="K390" s="559" t="n"/>
      <c r="L390" s="559" t="n"/>
      <c r="M390" s="559" t="n"/>
      <c r="N390" s="559" t="n"/>
      <c r="O390" s="559" t="n"/>
      <c r="P390" s="559" t="n"/>
      <c r="Q390" s="559" t="n"/>
      <c r="R390" s="559" t="n"/>
    </row>
    <row r="391">
      <c r="A391" s="559" t="n"/>
      <c r="B391" s="559" t="n"/>
      <c r="C391" s="559" t="n"/>
      <c r="D391" s="559" t="n"/>
      <c r="E391" s="559" t="n"/>
      <c r="F391" s="559" t="n"/>
      <c r="G391" s="559" t="n"/>
      <c r="H391" s="559" t="n"/>
      <c r="I391" s="559" t="n"/>
      <c r="J391" s="559" t="n"/>
      <c r="K391" s="559" t="n"/>
      <c r="L391" s="559" t="n"/>
      <c r="M391" s="559" t="n"/>
      <c r="N391" s="559" t="n"/>
      <c r="O391" s="559" t="n"/>
      <c r="P391" s="559" t="n"/>
      <c r="Q391" s="559" t="n"/>
      <c r="R391" s="559" t="n"/>
    </row>
    <row r="392">
      <c r="A392" s="559" t="n"/>
      <c r="B392" s="559" t="n"/>
      <c r="C392" s="559" t="n"/>
      <c r="D392" s="559" t="n"/>
      <c r="E392" s="559" t="n"/>
      <c r="F392" s="559" t="n"/>
      <c r="G392" s="559" t="n"/>
      <c r="H392" s="559" t="n"/>
      <c r="I392" s="559" t="n"/>
      <c r="J392" s="559" t="n"/>
      <c r="K392" s="559" t="n"/>
      <c r="L392" s="559" t="n"/>
      <c r="M392" s="559" t="n"/>
      <c r="N392" s="559" t="n"/>
      <c r="O392" s="559" t="n"/>
      <c r="P392" s="559" t="n"/>
      <c r="Q392" s="559" t="n"/>
      <c r="R392" s="559" t="n"/>
    </row>
    <row r="393">
      <c r="A393" s="559" t="n"/>
      <c r="B393" s="559" t="n"/>
      <c r="C393" s="559" t="n"/>
      <c r="D393" s="559" t="n"/>
      <c r="E393" s="559" t="n"/>
      <c r="F393" s="559" t="n"/>
      <c r="G393" s="559" t="n"/>
      <c r="H393" s="559" t="n"/>
      <c r="I393" s="559" t="n"/>
      <c r="J393" s="559" t="n"/>
      <c r="K393" s="559" t="n"/>
      <c r="L393" s="559" t="n"/>
      <c r="M393" s="559" t="n"/>
      <c r="N393" s="559" t="n"/>
      <c r="O393" s="559" t="n"/>
      <c r="P393" s="559" t="n"/>
      <c r="Q393" s="559" t="n"/>
      <c r="R393" s="559" t="n"/>
    </row>
    <row r="394">
      <c r="A394" s="559" t="n"/>
      <c r="B394" s="559" t="n"/>
      <c r="C394" s="559" t="n"/>
      <c r="D394" s="559" t="n"/>
      <c r="E394" s="559" t="n"/>
      <c r="F394" s="559" t="n"/>
      <c r="G394" s="559" t="n"/>
      <c r="H394" s="559" t="n"/>
      <c r="I394" s="559" t="n"/>
      <c r="J394" s="559" t="n"/>
      <c r="K394" s="559" t="n"/>
      <c r="L394" s="559" t="n"/>
      <c r="M394" s="559" t="n"/>
      <c r="N394" s="559" t="n"/>
      <c r="O394" s="559" t="n"/>
      <c r="P394" s="559" t="n"/>
      <c r="Q394" s="559" t="n"/>
      <c r="R394" s="559" t="n"/>
    </row>
    <row r="395">
      <c r="A395" s="559" t="n"/>
      <c r="B395" s="559" t="n"/>
      <c r="C395" s="559" t="n"/>
      <c r="D395" s="559" t="n"/>
      <c r="E395" s="559" t="n"/>
      <c r="F395" s="559" t="n"/>
      <c r="G395" s="559" t="n"/>
      <c r="H395" s="559" t="n"/>
      <c r="I395" s="559" t="n"/>
      <c r="J395" s="559" t="n"/>
      <c r="K395" s="559" t="n"/>
      <c r="L395" s="559" t="n"/>
      <c r="M395" s="559" t="n"/>
      <c r="N395" s="559" t="n"/>
      <c r="O395" s="559" t="n"/>
      <c r="P395" s="559" t="n"/>
      <c r="Q395" s="559" t="n"/>
      <c r="R395" s="559" t="n"/>
    </row>
    <row r="396">
      <c r="A396" s="559" t="n"/>
      <c r="B396" s="559" t="n"/>
      <c r="C396" s="559" t="n"/>
      <c r="D396" s="559" t="n"/>
      <c r="E396" s="559" t="n"/>
      <c r="F396" s="559" t="n"/>
      <c r="G396" s="559" t="n"/>
      <c r="H396" s="559" t="n"/>
      <c r="I396" s="559" t="n"/>
      <c r="J396" s="559" t="n"/>
      <c r="K396" s="559" t="n"/>
      <c r="L396" s="559" t="n"/>
      <c r="M396" s="559" t="n"/>
      <c r="N396" s="559" t="n"/>
      <c r="O396" s="559" t="n"/>
      <c r="P396" s="559" t="n"/>
      <c r="Q396" s="559" t="n"/>
      <c r="R396" s="559" t="n"/>
    </row>
    <row r="397">
      <c r="A397" s="559" t="n"/>
      <c r="B397" s="559" t="n"/>
      <c r="C397" s="559" t="n"/>
      <c r="D397" s="559" t="n"/>
      <c r="E397" s="559" t="n"/>
      <c r="F397" s="559" t="n"/>
      <c r="G397" s="559" t="n"/>
      <c r="H397" s="559" t="n"/>
      <c r="I397" s="559" t="n"/>
      <c r="J397" s="559" t="n"/>
      <c r="K397" s="559" t="n"/>
      <c r="L397" s="559" t="n"/>
      <c r="M397" s="559" t="n"/>
      <c r="N397" s="559" t="n"/>
      <c r="O397" s="559" t="n"/>
      <c r="P397" s="559" t="n"/>
      <c r="Q397" s="559" t="n"/>
      <c r="R397" s="559" t="n"/>
    </row>
    <row r="398">
      <c r="A398" s="559" t="n"/>
      <c r="B398" s="559" t="n"/>
      <c r="C398" s="559" t="n"/>
      <c r="D398" s="559" t="n"/>
      <c r="E398" s="559" t="n"/>
      <c r="F398" s="559" t="n"/>
      <c r="G398" s="559" t="n"/>
      <c r="H398" s="559" t="n"/>
      <c r="I398" s="559" t="n"/>
      <c r="J398" s="559" t="n"/>
      <c r="K398" s="559" t="n"/>
      <c r="L398" s="559" t="n"/>
      <c r="M398" s="559" t="n"/>
      <c r="N398" s="559" t="n"/>
      <c r="O398" s="559" t="n"/>
      <c r="P398" s="559" t="n"/>
      <c r="Q398" s="559" t="n"/>
      <c r="R398" s="559" t="n"/>
    </row>
    <row r="399">
      <c r="A399" s="559" t="n"/>
      <c r="B399" s="559" t="n"/>
      <c r="C399" s="559" t="n"/>
      <c r="D399" s="559" t="n"/>
      <c r="E399" s="559" t="n"/>
      <c r="F399" s="559" t="n"/>
      <c r="G399" s="559" t="n"/>
      <c r="H399" s="559" t="n"/>
      <c r="I399" s="559" t="n"/>
      <c r="J399" s="559" t="n"/>
      <c r="K399" s="559" t="n"/>
      <c r="L399" s="559" t="n"/>
      <c r="M399" s="559" t="n"/>
      <c r="N399" s="559" t="n"/>
      <c r="O399" s="559" t="n"/>
      <c r="P399" s="559" t="n"/>
      <c r="Q399" s="559" t="n"/>
      <c r="R399" s="559" t="n"/>
    </row>
    <row r="400">
      <c r="A400" s="559" t="n"/>
      <c r="B400" s="559" t="n"/>
      <c r="C400" s="559" t="n"/>
      <c r="D400" s="559" t="n"/>
      <c r="E400" s="559" t="n"/>
      <c r="F400" s="559" t="n"/>
      <c r="G400" s="559" t="n"/>
      <c r="H400" s="559" t="n"/>
      <c r="I400" s="559" t="n"/>
      <c r="J400" s="559" t="n"/>
      <c r="K400" s="559" t="n"/>
      <c r="L400" s="559" t="n"/>
      <c r="M400" s="559" t="n"/>
      <c r="N400" s="559" t="n"/>
      <c r="O400" s="559" t="n"/>
      <c r="P400" s="559" t="n"/>
      <c r="Q400" s="559" t="n"/>
      <c r="R400" s="559" t="n"/>
    </row>
    <row r="401">
      <c r="A401" s="559" t="n"/>
      <c r="B401" s="559" t="n"/>
      <c r="C401" s="559" t="n"/>
      <c r="D401" s="559" t="n"/>
      <c r="E401" s="559" t="n"/>
      <c r="F401" s="559" t="n"/>
      <c r="G401" s="559" t="n"/>
      <c r="H401" s="559" t="n"/>
      <c r="I401" s="559" t="n"/>
      <c r="J401" s="559" t="n"/>
      <c r="K401" s="559" t="n"/>
      <c r="L401" s="559" t="n"/>
      <c r="M401" s="559" t="n"/>
      <c r="N401" s="559" t="n"/>
      <c r="O401" s="559" t="n"/>
      <c r="P401" s="559" t="n"/>
      <c r="Q401" s="559" t="n"/>
      <c r="R401" s="559" t="n"/>
    </row>
    <row r="402">
      <c r="A402" s="559" t="n"/>
      <c r="B402" s="559" t="n"/>
      <c r="C402" s="559" t="n"/>
      <c r="D402" s="559" t="n"/>
      <c r="E402" s="559" t="n"/>
      <c r="F402" s="559" t="n"/>
      <c r="G402" s="559" t="n"/>
      <c r="H402" s="559" t="n"/>
      <c r="I402" s="559" t="n"/>
      <c r="J402" s="559" t="n"/>
      <c r="K402" s="559" t="n"/>
      <c r="L402" s="559" t="n"/>
      <c r="M402" s="559" t="n"/>
      <c r="N402" s="559" t="n"/>
      <c r="O402" s="559" t="n"/>
      <c r="P402" s="559" t="n"/>
      <c r="Q402" s="559" t="n"/>
      <c r="R402" s="559" t="n"/>
    </row>
    <row r="403">
      <c r="A403" s="559" t="n"/>
      <c r="B403" s="559" t="n"/>
      <c r="C403" s="559" t="n"/>
      <c r="D403" s="559" t="n"/>
      <c r="E403" s="559" t="n"/>
      <c r="F403" s="559" t="n"/>
      <c r="G403" s="559" t="n"/>
      <c r="H403" s="559" t="n"/>
      <c r="I403" s="559" t="n"/>
      <c r="J403" s="559" t="n"/>
      <c r="K403" s="559" t="n"/>
      <c r="L403" s="559" t="n"/>
      <c r="M403" s="559" t="n"/>
      <c r="N403" s="559" t="n"/>
      <c r="O403" s="559" t="n"/>
      <c r="P403" s="559" t="n"/>
      <c r="Q403" s="559" t="n"/>
      <c r="R403" s="559" t="n"/>
    </row>
    <row r="404">
      <c r="A404" s="559" t="n"/>
      <c r="B404" s="559" t="n"/>
      <c r="C404" s="559" t="n"/>
      <c r="D404" s="559" t="n"/>
      <c r="E404" s="559" t="n"/>
      <c r="F404" s="559" t="n"/>
      <c r="G404" s="559" t="n"/>
      <c r="H404" s="559" t="n"/>
      <c r="I404" s="559" t="n"/>
      <c r="J404" s="559" t="n"/>
      <c r="K404" s="559" t="n"/>
      <c r="L404" s="559" t="n"/>
      <c r="M404" s="559" t="n"/>
      <c r="N404" s="559" t="n"/>
      <c r="O404" s="559" t="n"/>
      <c r="P404" s="559" t="n"/>
      <c r="Q404" s="559" t="n"/>
      <c r="R404" s="559" t="n"/>
    </row>
    <row r="405">
      <c r="A405" s="559" t="n"/>
      <c r="B405" s="559" t="n"/>
      <c r="C405" s="559" t="n"/>
      <c r="D405" s="559" t="n"/>
      <c r="E405" s="559" t="n"/>
      <c r="F405" s="559" t="n"/>
      <c r="G405" s="559" t="n"/>
      <c r="H405" s="559" t="n"/>
      <c r="I405" s="559" t="n"/>
      <c r="J405" s="559" t="n"/>
      <c r="K405" s="559" t="n"/>
      <c r="L405" s="559" t="n"/>
      <c r="M405" s="559" t="n"/>
      <c r="N405" s="559" t="n"/>
      <c r="O405" s="559" t="n"/>
      <c r="P405" s="559" t="n"/>
      <c r="Q405" s="559" t="n"/>
      <c r="R405" s="559" t="n"/>
    </row>
    <row r="406">
      <c r="A406" s="559" t="n"/>
      <c r="B406" s="559" t="n"/>
      <c r="C406" s="559" t="n"/>
      <c r="D406" s="559" t="n"/>
      <c r="E406" s="559" t="n"/>
      <c r="F406" s="559" t="n"/>
      <c r="G406" s="559" t="n"/>
      <c r="H406" s="559" t="n"/>
      <c r="I406" s="559" t="n"/>
      <c r="J406" s="559" t="n"/>
      <c r="K406" s="559" t="n"/>
      <c r="L406" s="559" t="n"/>
      <c r="M406" s="559" t="n"/>
      <c r="N406" s="559" t="n"/>
      <c r="O406" s="559" t="n"/>
      <c r="P406" s="559" t="n"/>
      <c r="Q406" s="559" t="n"/>
      <c r="R406" s="559" t="n"/>
    </row>
    <row r="407">
      <c r="A407" s="559" t="n"/>
      <c r="B407" s="559" t="n"/>
      <c r="C407" s="559" t="n"/>
      <c r="D407" s="559" t="n"/>
      <c r="E407" s="559" t="n"/>
      <c r="F407" s="559" t="n"/>
      <c r="G407" s="559" t="n"/>
      <c r="H407" s="559" t="n"/>
      <c r="I407" s="559" t="n"/>
      <c r="J407" s="559" t="n"/>
      <c r="K407" s="559" t="n"/>
      <c r="L407" s="559" t="n"/>
      <c r="M407" s="559" t="n"/>
      <c r="N407" s="559" t="n"/>
      <c r="O407" s="559" t="n"/>
      <c r="P407" s="559" t="n"/>
      <c r="Q407" s="559" t="n"/>
      <c r="R407" s="559" t="n"/>
    </row>
    <row r="408">
      <c r="A408" s="559" t="n"/>
      <c r="B408" s="559" t="n"/>
      <c r="C408" s="559" t="n"/>
      <c r="D408" s="559" t="n"/>
      <c r="E408" s="559" t="n"/>
      <c r="F408" s="559" t="n"/>
      <c r="G408" s="559" t="n"/>
      <c r="H408" s="559" t="n"/>
      <c r="I408" s="559" t="n"/>
      <c r="J408" s="559" t="n"/>
      <c r="K408" s="559" t="n"/>
      <c r="L408" s="559" t="n"/>
      <c r="M408" s="559" t="n"/>
      <c r="N408" s="559" t="n"/>
      <c r="O408" s="559" t="n"/>
      <c r="P408" s="559" t="n"/>
      <c r="Q408" s="559" t="n"/>
      <c r="R408" s="559" t="n"/>
    </row>
    <row r="409">
      <c r="A409" s="559" t="n"/>
      <c r="B409" s="559" t="n"/>
      <c r="C409" s="559" t="n"/>
      <c r="D409" s="559" t="n"/>
      <c r="E409" s="559" t="n"/>
      <c r="F409" s="559" t="n"/>
      <c r="G409" s="559" t="n"/>
      <c r="H409" s="559" t="n"/>
      <c r="I409" s="559" t="n"/>
      <c r="J409" s="559" t="n"/>
      <c r="K409" s="559" t="n"/>
      <c r="L409" s="559" t="n"/>
      <c r="M409" s="559" t="n"/>
      <c r="N409" s="559" t="n"/>
      <c r="O409" s="559" t="n"/>
      <c r="P409" s="559" t="n"/>
      <c r="Q409" s="559" t="n"/>
      <c r="R409" s="559" t="n"/>
    </row>
    <row r="410">
      <c r="A410" s="559" t="n"/>
      <c r="B410" s="559" t="n"/>
      <c r="C410" s="559" t="n"/>
      <c r="D410" s="559" t="n"/>
      <c r="E410" s="559" t="n"/>
      <c r="F410" s="559" t="n"/>
      <c r="G410" s="559" t="n"/>
      <c r="H410" s="559" t="n"/>
      <c r="I410" s="559" t="n"/>
      <c r="J410" s="559" t="n"/>
      <c r="K410" s="559" t="n"/>
      <c r="L410" s="559" t="n"/>
      <c r="M410" s="559" t="n"/>
      <c r="N410" s="559" t="n"/>
      <c r="O410" s="559" t="n"/>
      <c r="P410" s="559" t="n"/>
      <c r="Q410" s="559" t="n"/>
      <c r="R410" s="559" t="n"/>
    </row>
    <row r="411">
      <c r="A411" s="559" t="n"/>
      <c r="B411" s="559" t="n"/>
      <c r="C411" s="559" t="n"/>
      <c r="D411" s="559" t="n"/>
      <c r="E411" s="559" t="n"/>
      <c r="F411" s="559" t="n"/>
      <c r="G411" s="559" t="n"/>
      <c r="H411" s="559" t="n"/>
      <c r="I411" s="559" t="n"/>
      <c r="J411" s="559" t="n"/>
      <c r="K411" s="559" t="n"/>
      <c r="L411" s="559" t="n"/>
      <c r="M411" s="559" t="n"/>
      <c r="N411" s="559" t="n"/>
      <c r="O411" s="559" t="n"/>
      <c r="P411" s="559" t="n"/>
      <c r="Q411" s="559" t="n"/>
      <c r="R411" s="559" t="n"/>
    </row>
    <row r="412">
      <c r="A412" s="559" t="n"/>
      <c r="B412" s="559" t="n"/>
      <c r="C412" s="559" t="n"/>
      <c r="D412" s="559" t="n"/>
      <c r="E412" s="559" t="n"/>
      <c r="F412" s="559" t="n"/>
      <c r="G412" s="559" t="n"/>
      <c r="H412" s="559" t="n"/>
      <c r="I412" s="559" t="n"/>
      <c r="J412" s="559" t="n"/>
      <c r="K412" s="559" t="n"/>
      <c r="L412" s="559" t="n"/>
      <c r="M412" s="559" t="n"/>
      <c r="N412" s="559" t="n"/>
      <c r="O412" s="559" t="n"/>
      <c r="P412" s="559" t="n"/>
      <c r="Q412" s="559" t="n"/>
      <c r="R412" s="559" t="n"/>
    </row>
    <row r="413">
      <c r="A413" s="559" t="n"/>
      <c r="B413" s="559" t="n"/>
      <c r="C413" s="559" t="n"/>
      <c r="D413" s="559" t="n"/>
      <c r="E413" s="559" t="n"/>
      <c r="F413" s="559" t="n"/>
      <c r="G413" s="559" t="n"/>
      <c r="H413" s="559" t="n"/>
      <c r="I413" s="559" t="n"/>
      <c r="J413" s="559" t="n"/>
      <c r="K413" s="559" t="n"/>
      <c r="L413" s="559" t="n"/>
      <c r="M413" s="559" t="n"/>
      <c r="N413" s="559" t="n"/>
      <c r="O413" s="559" t="n"/>
      <c r="P413" s="559" t="n"/>
      <c r="Q413" s="559" t="n"/>
      <c r="R413" s="559" t="n"/>
    </row>
    <row r="414">
      <c r="A414" s="559" t="n"/>
      <c r="B414" s="559" t="n"/>
      <c r="C414" s="559" t="n"/>
      <c r="D414" s="559" t="n"/>
      <c r="E414" s="559" t="n"/>
      <c r="F414" s="559" t="n"/>
      <c r="G414" s="559" t="n"/>
      <c r="H414" s="559" t="n"/>
      <c r="I414" s="559" t="n"/>
      <c r="J414" s="559" t="n"/>
      <c r="K414" s="559" t="n"/>
      <c r="L414" s="559" t="n"/>
      <c r="M414" s="559" t="n"/>
      <c r="N414" s="559" t="n"/>
      <c r="O414" s="559" t="n"/>
      <c r="P414" s="559" t="n"/>
      <c r="Q414" s="559" t="n"/>
      <c r="R414" s="559" t="n"/>
    </row>
    <row r="415">
      <c r="A415" s="559" t="n"/>
      <c r="B415" s="559" t="n"/>
      <c r="C415" s="559" t="n"/>
      <c r="D415" s="559" t="n"/>
      <c r="E415" s="559" t="n"/>
      <c r="F415" s="559" t="n"/>
      <c r="G415" s="559" t="n"/>
      <c r="H415" s="559" t="n"/>
      <c r="I415" s="559" t="n"/>
      <c r="J415" s="559" t="n"/>
      <c r="K415" s="559" t="n"/>
      <c r="L415" s="559" t="n"/>
      <c r="M415" s="559" t="n"/>
      <c r="N415" s="559" t="n"/>
      <c r="O415" s="559" t="n"/>
      <c r="P415" s="559" t="n"/>
      <c r="Q415" s="559" t="n"/>
      <c r="R415" s="559" t="n"/>
    </row>
    <row r="416">
      <c r="A416" s="559" t="n"/>
      <c r="B416" s="559" t="n"/>
      <c r="C416" s="559" t="n"/>
      <c r="D416" s="559" t="n"/>
      <c r="E416" s="559" t="n"/>
      <c r="F416" s="559" t="n"/>
      <c r="G416" s="559" t="n"/>
      <c r="H416" s="559" t="n"/>
      <c r="I416" s="559" t="n"/>
      <c r="J416" s="559" t="n"/>
      <c r="K416" s="559" t="n"/>
      <c r="L416" s="559" t="n"/>
      <c r="M416" s="559" t="n"/>
      <c r="N416" s="559" t="n"/>
      <c r="O416" s="559" t="n"/>
      <c r="P416" s="559" t="n"/>
      <c r="Q416" s="559" t="n"/>
      <c r="R416" s="559" t="n"/>
    </row>
    <row r="417">
      <c r="A417" s="559" t="n"/>
      <c r="B417" s="559" t="n"/>
      <c r="C417" s="559" t="n"/>
      <c r="D417" s="559" t="n"/>
      <c r="E417" s="559" t="n"/>
      <c r="F417" s="559" t="n"/>
      <c r="G417" s="559" t="n"/>
      <c r="H417" s="559" t="n"/>
      <c r="I417" s="559" t="n"/>
      <c r="J417" s="559" t="n"/>
      <c r="K417" s="559" t="n"/>
      <c r="L417" s="559" t="n"/>
      <c r="M417" s="559" t="n"/>
      <c r="N417" s="559" t="n"/>
      <c r="O417" s="559" t="n"/>
      <c r="P417" s="559" t="n"/>
      <c r="Q417" s="559" t="n"/>
      <c r="R417" s="559" t="n"/>
    </row>
    <row r="418">
      <c r="A418" s="559" t="n"/>
      <c r="B418" s="559" t="n"/>
      <c r="C418" s="559" t="n"/>
      <c r="D418" s="559" t="n"/>
      <c r="E418" s="559" t="n"/>
      <c r="F418" s="559" t="n"/>
      <c r="G418" s="559" t="n"/>
      <c r="H418" s="559" t="n"/>
      <c r="I418" s="559" t="n"/>
      <c r="J418" s="559" t="n"/>
      <c r="K418" s="559" t="n"/>
      <c r="L418" s="559" t="n"/>
      <c r="M418" s="559" t="n"/>
      <c r="N418" s="559" t="n"/>
      <c r="O418" s="559" t="n"/>
      <c r="P418" s="559" t="n"/>
      <c r="Q418" s="559" t="n"/>
      <c r="R418" s="559" t="n"/>
    </row>
    <row r="419">
      <c r="A419" s="559" t="n"/>
      <c r="B419" s="559" t="n"/>
      <c r="C419" s="559" t="n"/>
      <c r="D419" s="559" t="n"/>
      <c r="E419" s="559" t="n"/>
      <c r="F419" s="559" t="n"/>
      <c r="G419" s="559" t="n"/>
      <c r="H419" s="559" t="n"/>
      <c r="I419" s="559" t="n"/>
      <c r="J419" s="559" t="n"/>
      <c r="K419" s="559" t="n"/>
      <c r="L419" s="559" t="n"/>
      <c r="M419" s="559" t="n"/>
      <c r="N419" s="559" t="n"/>
      <c r="O419" s="559" t="n"/>
      <c r="P419" s="559" t="n"/>
      <c r="Q419" s="559" t="n"/>
      <c r="R419" s="559" t="n"/>
    </row>
    <row r="420">
      <c r="A420" s="559" t="n"/>
      <c r="B420" s="559" t="n"/>
      <c r="C420" s="559" t="n"/>
      <c r="D420" s="559" t="n"/>
      <c r="E420" s="559" t="n"/>
      <c r="F420" s="559" t="n"/>
      <c r="G420" s="559" t="n"/>
      <c r="H420" s="559" t="n"/>
      <c r="I420" s="559" t="n"/>
      <c r="J420" s="559" t="n"/>
      <c r="K420" s="559" t="n"/>
      <c r="L420" s="559" t="n"/>
      <c r="M420" s="559" t="n"/>
      <c r="N420" s="559" t="n"/>
      <c r="O420" s="559" t="n"/>
      <c r="P420" s="559" t="n"/>
      <c r="Q420" s="559" t="n"/>
      <c r="R420" s="559" t="n"/>
    </row>
    <row r="421">
      <c r="A421" s="559" t="n"/>
      <c r="B421" s="559" t="n"/>
      <c r="C421" s="559" t="n"/>
      <c r="D421" s="559" t="n"/>
      <c r="E421" s="559" t="n"/>
      <c r="F421" s="559" t="n"/>
      <c r="G421" s="559" t="n"/>
      <c r="H421" s="559" t="n"/>
      <c r="I421" s="559" t="n"/>
      <c r="J421" s="559" t="n"/>
      <c r="K421" s="559" t="n"/>
      <c r="L421" s="559" t="n"/>
      <c r="M421" s="559" t="n"/>
      <c r="N421" s="559" t="n"/>
      <c r="O421" s="559" t="n"/>
      <c r="P421" s="559" t="n"/>
      <c r="Q421" s="559" t="n"/>
      <c r="R421" s="559" t="n"/>
    </row>
    <row r="422">
      <c r="A422" s="559" t="n"/>
      <c r="B422" s="559" t="n"/>
      <c r="C422" s="559" t="n"/>
      <c r="D422" s="559" t="n"/>
      <c r="E422" s="559" t="n"/>
      <c r="F422" s="559" t="n"/>
      <c r="G422" s="559" t="n"/>
      <c r="H422" s="559" t="n"/>
      <c r="I422" s="559" t="n"/>
      <c r="J422" s="559" t="n"/>
      <c r="K422" s="559" t="n"/>
      <c r="L422" s="559" t="n"/>
      <c r="M422" s="559" t="n"/>
      <c r="N422" s="559" t="n"/>
      <c r="O422" s="559" t="n"/>
      <c r="P422" s="559" t="n"/>
      <c r="Q422" s="559" t="n"/>
      <c r="R422" s="559" t="n"/>
    </row>
    <row r="423">
      <c r="A423" s="559" t="n"/>
      <c r="B423" s="559" t="n"/>
      <c r="C423" s="559" t="n"/>
      <c r="D423" s="559" t="n"/>
      <c r="E423" s="559" t="n"/>
      <c r="F423" s="559" t="n"/>
      <c r="G423" s="559" t="n"/>
      <c r="H423" s="559" t="n"/>
      <c r="I423" s="559" t="n"/>
      <c r="J423" s="559" t="n"/>
      <c r="K423" s="559" t="n"/>
      <c r="L423" s="559" t="n"/>
      <c r="M423" s="559" t="n"/>
      <c r="N423" s="559" t="n"/>
      <c r="O423" s="559" t="n"/>
      <c r="P423" s="559" t="n"/>
      <c r="Q423" s="559" t="n"/>
      <c r="R423" s="559" t="n"/>
    </row>
    <row r="424">
      <c r="A424" s="559" t="n"/>
      <c r="B424" s="559" t="n"/>
      <c r="C424" s="559" t="n"/>
      <c r="D424" s="559" t="n"/>
      <c r="E424" s="559" t="n"/>
      <c r="F424" s="559" t="n"/>
      <c r="G424" s="559" t="n"/>
      <c r="H424" s="559" t="n"/>
      <c r="I424" s="559" t="n"/>
      <c r="J424" s="559" t="n"/>
      <c r="K424" s="559" t="n"/>
      <c r="L424" s="559" t="n"/>
      <c r="M424" s="559" t="n"/>
      <c r="N424" s="559" t="n"/>
      <c r="O424" s="559" t="n"/>
      <c r="P424" s="559" t="n"/>
      <c r="Q424" s="559" t="n"/>
      <c r="R424" s="559" t="n"/>
    </row>
    <row r="425">
      <c r="A425" s="559" t="n"/>
      <c r="B425" s="559" t="n"/>
      <c r="C425" s="559" t="n"/>
      <c r="D425" s="559" t="n"/>
      <c r="E425" s="559" t="n"/>
      <c r="F425" s="559" t="n"/>
      <c r="G425" s="559" t="n"/>
      <c r="H425" s="559" t="n"/>
      <c r="I425" s="559" t="n"/>
      <c r="J425" s="559" t="n"/>
      <c r="K425" s="559" t="n"/>
      <c r="L425" s="559" t="n"/>
      <c r="M425" s="559" t="n"/>
      <c r="N425" s="559" t="n"/>
      <c r="O425" s="559" t="n"/>
      <c r="P425" s="559" t="n"/>
      <c r="Q425" s="559" t="n"/>
      <c r="R425" s="559" t="n"/>
    </row>
    <row r="426">
      <c r="A426" s="559" t="n"/>
      <c r="B426" s="559" t="n"/>
      <c r="C426" s="559" t="n"/>
      <c r="D426" s="559" t="n"/>
      <c r="E426" s="559" t="n"/>
      <c r="F426" s="559" t="n"/>
      <c r="G426" s="559" t="n"/>
      <c r="H426" s="559" t="n"/>
      <c r="I426" s="559" t="n"/>
      <c r="J426" s="559" t="n"/>
      <c r="K426" s="559" t="n"/>
      <c r="L426" s="559" t="n"/>
      <c r="M426" s="559" t="n"/>
      <c r="N426" s="559" t="n"/>
      <c r="O426" s="559" t="n"/>
      <c r="P426" s="559" t="n"/>
      <c r="Q426" s="559" t="n"/>
      <c r="R426" s="559" t="n"/>
    </row>
    <row r="427">
      <c r="A427" s="559" t="n"/>
      <c r="B427" s="559" t="n"/>
      <c r="C427" s="559" t="n"/>
      <c r="D427" s="559" t="n"/>
      <c r="E427" s="559" t="n"/>
      <c r="F427" s="559" t="n"/>
      <c r="G427" s="559" t="n"/>
      <c r="H427" s="559" t="n"/>
      <c r="I427" s="559" t="n"/>
      <c r="J427" s="559" t="n"/>
      <c r="K427" s="559" t="n"/>
      <c r="L427" s="559" t="n"/>
      <c r="M427" s="559" t="n"/>
      <c r="N427" s="559" t="n"/>
      <c r="O427" s="559" t="n"/>
      <c r="P427" s="559" t="n"/>
      <c r="Q427" s="559" t="n"/>
      <c r="R427" s="559" t="n"/>
    </row>
    <row r="428">
      <c r="A428" s="559" t="n"/>
      <c r="B428" s="559" t="n"/>
      <c r="C428" s="559" t="n"/>
      <c r="D428" s="559" t="n"/>
      <c r="E428" s="559" t="n"/>
      <c r="F428" s="559" t="n"/>
      <c r="G428" s="559" t="n"/>
      <c r="H428" s="559" t="n"/>
      <c r="I428" s="559" t="n"/>
      <c r="J428" s="559" t="n"/>
      <c r="K428" s="559" t="n"/>
      <c r="L428" s="559" t="n"/>
      <c r="M428" s="559" t="n"/>
      <c r="N428" s="559" t="n"/>
      <c r="O428" s="559" t="n"/>
      <c r="P428" s="559" t="n"/>
      <c r="Q428" s="559" t="n"/>
      <c r="R428" s="559" t="n"/>
    </row>
    <row r="429">
      <c r="A429" s="559" t="n"/>
      <c r="B429" s="559" t="n"/>
      <c r="C429" s="559" t="n"/>
      <c r="D429" s="559" t="n"/>
      <c r="E429" s="559" t="n"/>
      <c r="F429" s="559" t="n"/>
      <c r="G429" s="559" t="n"/>
      <c r="H429" s="559" t="n"/>
      <c r="I429" s="559" t="n"/>
      <c r="J429" s="559" t="n"/>
      <c r="K429" s="559" t="n"/>
      <c r="L429" s="559" t="n"/>
      <c r="M429" s="559" t="n"/>
      <c r="N429" s="559" t="n"/>
      <c r="O429" s="559" t="n"/>
      <c r="P429" s="559" t="n"/>
      <c r="Q429" s="559" t="n"/>
      <c r="R429" s="559" t="n"/>
    </row>
    <row r="430">
      <c r="A430" s="559" t="n"/>
      <c r="B430" s="559" t="n"/>
      <c r="C430" s="559" t="n"/>
      <c r="D430" s="559" t="n"/>
      <c r="E430" s="559" t="n"/>
      <c r="F430" s="559" t="n"/>
      <c r="G430" s="559" t="n"/>
      <c r="H430" s="559" t="n"/>
      <c r="I430" s="559" t="n"/>
      <c r="J430" s="559" t="n"/>
      <c r="K430" s="559" t="n"/>
      <c r="L430" s="559" t="n"/>
      <c r="M430" s="559" t="n"/>
      <c r="N430" s="559" t="n"/>
      <c r="O430" s="559" t="n"/>
      <c r="P430" s="559" t="n"/>
      <c r="Q430" s="559" t="n"/>
      <c r="R430" s="559" t="n"/>
    </row>
    <row r="431">
      <c r="A431" s="559" t="n"/>
      <c r="B431" s="559" t="n"/>
      <c r="C431" s="559" t="n"/>
      <c r="D431" s="559" t="n"/>
      <c r="E431" s="559" t="n"/>
      <c r="F431" s="559" t="n"/>
      <c r="G431" s="559" t="n"/>
      <c r="H431" s="559" t="n"/>
      <c r="I431" s="559" t="n"/>
      <c r="J431" s="559" t="n"/>
      <c r="K431" s="559" t="n"/>
      <c r="L431" s="559" t="n"/>
      <c r="M431" s="559" t="n"/>
      <c r="N431" s="559" t="n"/>
      <c r="O431" s="559" t="n"/>
      <c r="P431" s="559" t="n"/>
      <c r="Q431" s="559" t="n"/>
      <c r="R431" s="559" t="n"/>
    </row>
    <row r="432">
      <c r="A432" s="559" t="n"/>
      <c r="B432" s="559" t="n"/>
      <c r="C432" s="559" t="n"/>
      <c r="D432" s="559" t="n"/>
      <c r="E432" s="559" t="n"/>
      <c r="F432" s="559" t="n"/>
      <c r="G432" s="559" t="n"/>
      <c r="H432" s="559" t="n"/>
      <c r="I432" s="559" t="n"/>
      <c r="J432" s="559" t="n"/>
      <c r="K432" s="559" t="n"/>
      <c r="L432" s="559" t="n"/>
      <c r="M432" s="559" t="n"/>
      <c r="N432" s="559" t="n"/>
      <c r="O432" s="559" t="n"/>
      <c r="P432" s="559" t="n"/>
      <c r="Q432" s="559" t="n"/>
      <c r="R432" s="559" t="n"/>
    </row>
    <row r="433">
      <c r="A433" s="559" t="n"/>
      <c r="B433" s="559" t="n"/>
      <c r="C433" s="559" t="n"/>
      <c r="D433" s="559" t="n"/>
      <c r="E433" s="559" t="n"/>
      <c r="F433" s="559" t="n"/>
      <c r="G433" s="559" t="n"/>
      <c r="H433" s="559" t="n"/>
      <c r="I433" s="559" t="n"/>
      <c r="J433" s="559" t="n"/>
      <c r="K433" s="559" t="n"/>
      <c r="L433" s="559" t="n"/>
      <c r="M433" s="559" t="n"/>
      <c r="N433" s="559" t="n"/>
      <c r="O433" s="559" t="n"/>
      <c r="P433" s="559" t="n"/>
      <c r="Q433" s="559" t="n"/>
      <c r="R433" s="559" t="n"/>
    </row>
    <row r="434">
      <c r="A434" s="559" t="n"/>
      <c r="B434" s="559" t="n"/>
      <c r="C434" s="559" t="n"/>
      <c r="D434" s="559" t="n"/>
      <c r="E434" s="559" t="n"/>
      <c r="F434" s="559" t="n"/>
      <c r="G434" s="559" t="n"/>
      <c r="H434" s="559" t="n"/>
      <c r="I434" s="559" t="n"/>
      <c r="J434" s="559" t="n"/>
      <c r="K434" s="559" t="n"/>
      <c r="L434" s="559" t="n"/>
      <c r="M434" s="559" t="n"/>
      <c r="N434" s="559" t="n"/>
      <c r="O434" s="559" t="n"/>
      <c r="P434" s="559" t="n"/>
      <c r="Q434" s="559" t="n"/>
      <c r="R434" s="559" t="n"/>
    </row>
    <row r="435">
      <c r="A435" s="559" t="n"/>
      <c r="B435" s="559" t="n"/>
      <c r="C435" s="559" t="n"/>
      <c r="D435" s="559" t="n"/>
      <c r="E435" s="559" t="n"/>
      <c r="F435" s="559" t="n"/>
      <c r="G435" s="559" t="n"/>
      <c r="H435" s="559" t="n"/>
      <c r="I435" s="559" t="n"/>
      <c r="J435" s="559" t="n"/>
      <c r="K435" s="559" t="n"/>
      <c r="L435" s="559" t="n"/>
      <c r="M435" s="559" t="n"/>
      <c r="N435" s="559" t="n"/>
      <c r="O435" s="559" t="n"/>
      <c r="P435" s="559" t="n"/>
      <c r="Q435" s="559" t="n"/>
      <c r="R435" s="559" t="n"/>
    </row>
    <row r="436">
      <c r="A436" s="559" t="n"/>
      <c r="B436" s="559" t="n"/>
      <c r="C436" s="559" t="n"/>
      <c r="D436" s="559" t="n"/>
      <c r="E436" s="559" t="n"/>
      <c r="F436" s="559" t="n"/>
      <c r="G436" s="559" t="n"/>
      <c r="H436" s="559" t="n"/>
      <c r="I436" s="559" t="n"/>
      <c r="J436" s="559" t="n"/>
      <c r="K436" s="559" t="n"/>
      <c r="L436" s="559" t="n"/>
      <c r="M436" s="559" t="n"/>
      <c r="N436" s="559" t="n"/>
      <c r="O436" s="559" t="n"/>
      <c r="P436" s="559" t="n"/>
      <c r="Q436" s="559" t="n"/>
      <c r="R436" s="559" t="n"/>
    </row>
    <row r="437">
      <c r="A437" s="559" t="n"/>
      <c r="B437" s="559" t="n"/>
      <c r="C437" s="559" t="n"/>
      <c r="D437" s="559" t="n"/>
      <c r="E437" s="559" t="n"/>
      <c r="F437" s="559" t="n"/>
      <c r="G437" s="559" t="n"/>
      <c r="H437" s="559" t="n"/>
      <c r="I437" s="559" t="n"/>
      <c r="J437" s="559" t="n"/>
      <c r="K437" s="559" t="n"/>
      <c r="L437" s="559" t="n"/>
      <c r="M437" s="559" t="n"/>
      <c r="N437" s="559" t="n"/>
      <c r="O437" s="559" t="n"/>
      <c r="P437" s="559" t="n"/>
      <c r="Q437" s="559" t="n"/>
      <c r="R437" s="559" t="n"/>
    </row>
    <row r="438">
      <c r="A438" s="559" t="n"/>
      <c r="B438" s="559" t="n"/>
      <c r="C438" s="559" t="n"/>
      <c r="D438" s="559" t="n"/>
      <c r="E438" s="559" t="n"/>
      <c r="F438" s="559" t="n"/>
      <c r="G438" s="559" t="n"/>
      <c r="H438" s="559" t="n"/>
      <c r="I438" s="559" t="n"/>
      <c r="J438" s="559" t="n"/>
      <c r="K438" s="559" t="n"/>
      <c r="L438" s="559" t="n"/>
      <c r="M438" s="559" t="n"/>
      <c r="N438" s="559" t="n"/>
      <c r="O438" s="559" t="n"/>
      <c r="P438" s="559" t="n"/>
      <c r="Q438" s="559" t="n"/>
      <c r="R438" s="559" t="n"/>
    </row>
    <row r="439">
      <c r="A439" s="559" t="n"/>
      <c r="B439" s="559" t="n"/>
      <c r="C439" s="559" t="n"/>
      <c r="D439" s="559" t="n"/>
      <c r="E439" s="559" t="n"/>
      <c r="F439" s="559" t="n"/>
      <c r="G439" s="559" t="n"/>
      <c r="H439" s="559" t="n"/>
      <c r="I439" s="559" t="n"/>
      <c r="J439" s="559" t="n"/>
      <c r="K439" s="559" t="n"/>
      <c r="L439" s="559" t="n"/>
      <c r="M439" s="559" t="n"/>
      <c r="N439" s="559" t="n"/>
      <c r="O439" s="559" t="n"/>
      <c r="P439" s="559" t="n"/>
      <c r="Q439" s="559" t="n"/>
      <c r="R439" s="559" t="n"/>
    </row>
    <row r="440">
      <c r="A440" s="559" t="n"/>
      <c r="B440" s="559" t="n"/>
      <c r="C440" s="559" t="n"/>
      <c r="D440" s="559" t="n"/>
      <c r="E440" s="559" t="n"/>
      <c r="F440" s="559" t="n"/>
      <c r="G440" s="559" t="n"/>
      <c r="H440" s="559" t="n"/>
      <c r="I440" s="559" t="n"/>
      <c r="J440" s="559" t="n"/>
      <c r="K440" s="559" t="n"/>
      <c r="L440" s="559" t="n"/>
      <c r="M440" s="559" t="n"/>
      <c r="N440" s="559" t="n"/>
      <c r="O440" s="559" t="n"/>
      <c r="P440" s="559" t="n"/>
      <c r="Q440" s="559" t="n"/>
      <c r="R440" s="559" t="n"/>
    </row>
    <row r="441">
      <c r="A441" s="559" t="n"/>
      <c r="B441" s="559" t="n"/>
      <c r="C441" s="559" t="n"/>
      <c r="D441" s="559" t="n"/>
      <c r="E441" s="559" t="n"/>
      <c r="F441" s="559" t="n"/>
      <c r="G441" s="559" t="n"/>
      <c r="H441" s="559" t="n"/>
      <c r="I441" s="559" t="n"/>
      <c r="J441" s="559" t="n"/>
      <c r="K441" s="559" t="n"/>
      <c r="L441" s="559" t="n"/>
      <c r="M441" s="559" t="n"/>
      <c r="N441" s="559" t="n"/>
      <c r="O441" s="559" t="n"/>
      <c r="P441" s="559" t="n"/>
      <c r="Q441" s="559" t="n"/>
      <c r="R441" s="559" t="n"/>
    </row>
    <row r="442">
      <c r="A442" s="559" t="n"/>
      <c r="B442" s="559" t="n"/>
      <c r="C442" s="559" t="n"/>
      <c r="D442" s="559" t="n"/>
      <c r="E442" s="559" t="n"/>
      <c r="F442" s="559" t="n"/>
      <c r="G442" s="559" t="n"/>
      <c r="H442" s="559" t="n"/>
      <c r="I442" s="559" t="n"/>
      <c r="J442" s="559" t="n"/>
      <c r="K442" s="559" t="n"/>
      <c r="L442" s="559" t="n"/>
      <c r="M442" s="559" t="n"/>
      <c r="N442" s="559" t="n"/>
      <c r="O442" s="559" t="n"/>
      <c r="P442" s="559" t="n"/>
      <c r="Q442" s="559" t="n"/>
      <c r="R442" s="559" t="n"/>
    </row>
    <row r="443">
      <c r="A443" s="559" t="n"/>
      <c r="B443" s="559" t="n"/>
      <c r="C443" s="559" t="n"/>
      <c r="D443" s="559" t="n"/>
      <c r="E443" s="559" t="n"/>
      <c r="F443" s="559" t="n"/>
      <c r="G443" s="559" t="n"/>
      <c r="H443" s="559" t="n"/>
      <c r="I443" s="559" t="n"/>
      <c r="J443" s="559" t="n"/>
      <c r="K443" s="559" t="n"/>
      <c r="L443" s="559" t="n"/>
      <c r="M443" s="559" t="n"/>
      <c r="N443" s="559" t="n"/>
      <c r="O443" s="559" t="n"/>
      <c r="P443" s="559" t="n"/>
      <c r="Q443" s="559" t="n"/>
      <c r="R443" s="559" t="n"/>
    </row>
    <row r="444">
      <c r="A444" s="559" t="n"/>
      <c r="B444" s="559" t="n"/>
      <c r="C444" s="559" t="n"/>
      <c r="D444" s="559" t="n"/>
      <c r="E444" s="559" t="n"/>
      <c r="F444" s="559" t="n"/>
      <c r="G444" s="559" t="n"/>
      <c r="H444" s="559" t="n"/>
      <c r="I444" s="559" t="n"/>
      <c r="J444" s="559" t="n"/>
      <c r="K444" s="559" t="n"/>
      <c r="L444" s="559" t="n"/>
      <c r="M444" s="559" t="n"/>
      <c r="N444" s="559" t="n"/>
      <c r="O444" s="559" t="n"/>
      <c r="P444" s="559" t="n"/>
      <c r="Q444" s="559" t="n"/>
      <c r="R444" s="559" t="n"/>
    </row>
    <row r="445">
      <c r="A445" s="559" t="n"/>
      <c r="B445" s="559" t="n"/>
      <c r="C445" s="559" t="n"/>
      <c r="D445" s="559" t="n"/>
      <c r="E445" s="559" t="n"/>
      <c r="F445" s="559" t="n"/>
      <c r="G445" s="559" t="n"/>
      <c r="H445" s="559" t="n"/>
      <c r="I445" s="559" t="n"/>
      <c r="J445" s="559" t="n"/>
      <c r="K445" s="559" t="n"/>
      <c r="L445" s="559" t="n"/>
      <c r="M445" s="559" t="n"/>
      <c r="N445" s="559" t="n"/>
      <c r="O445" s="559" t="n"/>
      <c r="P445" s="559" t="n"/>
      <c r="Q445" s="559" t="n"/>
      <c r="R445" s="559" t="n"/>
    </row>
    <row r="446">
      <c r="A446" s="559" t="n"/>
      <c r="B446" s="559" t="n"/>
      <c r="C446" s="559" t="n"/>
      <c r="D446" s="559" t="n"/>
      <c r="E446" s="559" t="n"/>
      <c r="F446" s="559" t="n"/>
      <c r="G446" s="559" t="n"/>
      <c r="H446" s="559" t="n"/>
      <c r="I446" s="559" t="n"/>
      <c r="J446" s="559" t="n"/>
      <c r="K446" s="559" t="n"/>
      <c r="L446" s="559" t="n"/>
      <c r="M446" s="559" t="n"/>
      <c r="N446" s="559" t="n"/>
      <c r="O446" s="559" t="n"/>
      <c r="P446" s="559" t="n"/>
      <c r="Q446" s="559" t="n"/>
      <c r="R446" s="559" t="n"/>
    </row>
    <row r="447">
      <c r="A447" s="559" t="n"/>
      <c r="B447" s="559" t="n"/>
      <c r="C447" s="559" t="n"/>
      <c r="D447" s="559" t="n"/>
      <c r="E447" s="559" t="n"/>
      <c r="F447" s="559" t="n"/>
      <c r="G447" s="559" t="n"/>
      <c r="H447" s="559" t="n"/>
      <c r="I447" s="559" t="n"/>
      <c r="J447" s="559" t="n"/>
      <c r="K447" s="559" t="n"/>
      <c r="L447" s="559" t="n"/>
      <c r="M447" s="559" t="n"/>
      <c r="N447" s="559" t="n"/>
      <c r="O447" s="559" t="n"/>
      <c r="P447" s="559" t="n"/>
      <c r="Q447" s="559" t="n"/>
      <c r="R447" s="559" t="n"/>
    </row>
    <row r="448">
      <c r="A448" s="559" t="n"/>
      <c r="B448" s="559" t="n"/>
      <c r="C448" s="559" t="n"/>
      <c r="D448" s="559" t="n"/>
      <c r="E448" s="559" t="n"/>
      <c r="F448" s="559" t="n"/>
      <c r="G448" s="559" t="n"/>
      <c r="H448" s="559" t="n"/>
      <c r="I448" s="559" t="n"/>
      <c r="J448" s="559" t="n"/>
      <c r="K448" s="559" t="n"/>
      <c r="L448" s="559" t="n"/>
      <c r="M448" s="559" t="n"/>
      <c r="N448" s="559" t="n"/>
      <c r="O448" s="559" t="n"/>
      <c r="P448" s="559" t="n"/>
      <c r="Q448" s="559" t="n"/>
      <c r="R448" s="559" t="n"/>
    </row>
    <row r="449">
      <c r="A449" s="559" t="n"/>
      <c r="B449" s="559" t="n"/>
      <c r="C449" s="559" t="n"/>
      <c r="D449" s="559" t="n"/>
      <c r="E449" s="559" t="n"/>
      <c r="F449" s="559" t="n"/>
      <c r="G449" s="559" t="n"/>
      <c r="H449" s="559" t="n"/>
      <c r="I449" s="559" t="n"/>
      <c r="J449" s="559" t="n"/>
      <c r="K449" s="559" t="n"/>
      <c r="L449" s="559" t="n"/>
      <c r="M449" s="559" t="n"/>
      <c r="N449" s="559" t="n"/>
      <c r="O449" s="559" t="n"/>
      <c r="P449" s="559" t="n"/>
      <c r="Q449" s="559" t="n"/>
      <c r="R449" s="559" t="n"/>
    </row>
    <row r="450">
      <c r="A450" s="559" t="n"/>
      <c r="B450" s="559" t="n"/>
      <c r="C450" s="559" t="n"/>
      <c r="D450" s="559" t="n"/>
      <c r="E450" s="559" t="n"/>
      <c r="F450" s="559" t="n"/>
      <c r="G450" s="559" t="n"/>
      <c r="H450" s="559" t="n"/>
      <c r="I450" s="559" t="n"/>
      <c r="J450" s="559" t="n"/>
      <c r="K450" s="559" t="n"/>
      <c r="L450" s="559" t="n"/>
      <c r="M450" s="559" t="n"/>
      <c r="N450" s="559" t="n"/>
      <c r="O450" s="559" t="n"/>
      <c r="P450" s="559" t="n"/>
      <c r="Q450" s="559" t="n"/>
      <c r="R450" s="559" t="n"/>
    </row>
    <row r="451">
      <c r="A451" s="559" t="n"/>
      <c r="B451" s="559" t="n"/>
      <c r="C451" s="559" t="n"/>
      <c r="D451" s="559" t="n"/>
      <c r="E451" s="559" t="n"/>
      <c r="F451" s="559" t="n"/>
      <c r="G451" s="559" t="n"/>
      <c r="H451" s="559" t="n"/>
      <c r="I451" s="559" t="n"/>
      <c r="J451" s="559" t="n"/>
      <c r="K451" s="559" t="n"/>
      <c r="L451" s="559" t="n"/>
      <c r="M451" s="559" t="n"/>
      <c r="N451" s="559" t="n"/>
      <c r="O451" s="559" t="n"/>
      <c r="P451" s="559" t="n"/>
      <c r="Q451" s="559" t="n"/>
      <c r="R451" s="559" t="n"/>
    </row>
    <row r="452">
      <c r="A452" s="559" t="n"/>
      <c r="B452" s="559" t="n"/>
      <c r="C452" s="559" t="n"/>
      <c r="D452" s="559" t="n"/>
      <c r="E452" s="559" t="n"/>
      <c r="F452" s="559" t="n"/>
      <c r="G452" s="559" t="n"/>
      <c r="H452" s="559" t="n"/>
      <c r="I452" s="559" t="n"/>
      <c r="J452" s="559" t="n"/>
      <c r="K452" s="559" t="n"/>
      <c r="L452" s="559" t="n"/>
      <c r="M452" s="559" t="n"/>
      <c r="N452" s="559" t="n"/>
      <c r="O452" s="559" t="n"/>
      <c r="P452" s="559" t="n"/>
      <c r="Q452" s="559" t="n"/>
      <c r="R452" s="559" t="n"/>
    </row>
    <row r="453">
      <c r="A453" s="559" t="n"/>
      <c r="B453" s="559" t="n"/>
      <c r="C453" s="559" t="n"/>
      <c r="D453" s="559" t="n"/>
      <c r="E453" s="559" t="n"/>
      <c r="F453" s="559" t="n"/>
      <c r="G453" s="559" t="n"/>
      <c r="H453" s="559" t="n"/>
      <c r="I453" s="559" t="n"/>
      <c r="J453" s="559" t="n"/>
      <c r="K453" s="559" t="n"/>
      <c r="L453" s="559" t="n"/>
      <c r="M453" s="559" t="n"/>
      <c r="N453" s="559" t="n"/>
      <c r="O453" s="559" t="n"/>
      <c r="P453" s="559" t="n"/>
      <c r="Q453" s="559" t="n"/>
      <c r="R453" s="559" t="n"/>
    </row>
    <row r="454">
      <c r="A454" s="559" t="n"/>
      <c r="B454" s="559" t="n"/>
      <c r="C454" s="559" t="n"/>
      <c r="D454" s="559" t="n"/>
      <c r="E454" s="559" t="n"/>
      <c r="F454" s="559" t="n"/>
      <c r="G454" s="559" t="n"/>
      <c r="H454" s="559" t="n"/>
      <c r="I454" s="559" t="n"/>
      <c r="J454" s="559" t="n"/>
      <c r="K454" s="559" t="n"/>
      <c r="L454" s="559" t="n"/>
      <c r="M454" s="559" t="n"/>
      <c r="N454" s="559" t="n"/>
      <c r="O454" s="559" t="n"/>
      <c r="P454" s="559" t="n"/>
      <c r="Q454" s="559" t="n"/>
      <c r="R454" s="559" t="n"/>
    </row>
    <row r="455">
      <c r="A455" s="559" t="n"/>
      <c r="B455" s="559" t="n"/>
      <c r="C455" s="559" t="n"/>
      <c r="D455" s="559" t="n"/>
      <c r="E455" s="559" t="n"/>
      <c r="F455" s="559" t="n"/>
      <c r="G455" s="559" t="n"/>
      <c r="H455" s="559" t="n"/>
      <c r="I455" s="559" t="n"/>
      <c r="J455" s="559" t="n"/>
      <c r="K455" s="559" t="n"/>
      <c r="L455" s="559" t="n"/>
      <c r="M455" s="559" t="n"/>
      <c r="N455" s="559" t="n"/>
      <c r="O455" s="559" t="n"/>
      <c r="P455" s="559" t="n"/>
      <c r="Q455" s="559" t="n"/>
      <c r="R455" s="559" t="n"/>
    </row>
    <row r="456">
      <c r="A456" s="559" t="n"/>
      <c r="B456" s="559" t="n"/>
      <c r="C456" s="559" t="n"/>
      <c r="D456" s="559" t="n"/>
      <c r="E456" s="559" t="n"/>
      <c r="F456" s="559" t="n"/>
      <c r="G456" s="559" t="n"/>
      <c r="H456" s="559" t="n"/>
      <c r="I456" s="559" t="n"/>
      <c r="J456" s="559" t="n"/>
      <c r="K456" s="559" t="n"/>
      <c r="L456" s="559" t="n"/>
      <c r="M456" s="559" t="n"/>
      <c r="N456" s="559" t="n"/>
      <c r="O456" s="559" t="n"/>
      <c r="P456" s="559" t="n"/>
      <c r="Q456" s="559" t="n"/>
      <c r="R456" s="559" t="n"/>
    </row>
    <row r="457">
      <c r="A457" s="559" t="n"/>
      <c r="B457" s="559" t="n"/>
      <c r="C457" s="559" t="n"/>
      <c r="D457" s="559" t="n"/>
      <c r="E457" s="559" t="n"/>
      <c r="F457" s="559" t="n"/>
      <c r="G457" s="559" t="n"/>
      <c r="H457" s="559" t="n"/>
      <c r="I457" s="559" t="n"/>
      <c r="J457" s="559" t="n"/>
      <c r="K457" s="559" t="n"/>
      <c r="L457" s="559" t="n"/>
      <c r="M457" s="559" t="n"/>
      <c r="N457" s="559" t="n"/>
      <c r="O457" s="559" t="n"/>
      <c r="P457" s="559" t="n"/>
      <c r="Q457" s="559" t="n"/>
      <c r="R457" s="559" t="n"/>
    </row>
    <row r="458">
      <c r="A458" s="559" t="n"/>
      <c r="B458" s="559" t="n"/>
      <c r="C458" s="559" t="n"/>
      <c r="D458" s="559" t="n"/>
      <c r="E458" s="559" t="n"/>
      <c r="F458" s="559" t="n"/>
      <c r="G458" s="559" t="n"/>
      <c r="H458" s="559" t="n"/>
      <c r="I458" s="559" t="n"/>
      <c r="J458" s="559" t="n"/>
      <c r="K458" s="559" t="n"/>
      <c r="L458" s="559" t="n"/>
      <c r="M458" s="559" t="n"/>
      <c r="N458" s="559" t="n"/>
      <c r="O458" s="559" t="n"/>
      <c r="P458" s="559" t="n"/>
      <c r="Q458" s="559" t="n"/>
      <c r="R458" s="559" t="n"/>
    </row>
    <row r="459">
      <c r="A459" s="559" t="n"/>
      <c r="B459" s="559" t="n"/>
      <c r="C459" s="559" t="n"/>
      <c r="D459" s="559" t="n"/>
      <c r="E459" s="559" t="n"/>
      <c r="F459" s="559" t="n"/>
      <c r="G459" s="559" t="n"/>
      <c r="H459" s="559" t="n"/>
      <c r="I459" s="559" t="n"/>
      <c r="J459" s="559" t="n"/>
      <c r="K459" s="559" t="n"/>
      <c r="L459" s="559" t="n"/>
      <c r="M459" s="559" t="n"/>
      <c r="N459" s="559" t="n"/>
      <c r="O459" s="559" t="n"/>
      <c r="P459" s="559" t="n"/>
      <c r="Q459" s="559" t="n"/>
      <c r="R459" s="559" t="n"/>
    </row>
    <row r="460">
      <c r="A460" s="559" t="n"/>
      <c r="B460" s="559" t="n"/>
      <c r="C460" s="559" t="n"/>
      <c r="D460" s="559" t="n"/>
      <c r="E460" s="559" t="n"/>
      <c r="F460" s="559" t="n"/>
      <c r="G460" s="559" t="n"/>
      <c r="H460" s="559" t="n"/>
      <c r="I460" s="559" t="n"/>
      <c r="J460" s="559" t="n"/>
      <c r="K460" s="559" t="n"/>
      <c r="L460" s="559" t="n"/>
      <c r="M460" s="559" t="n"/>
      <c r="N460" s="559" t="n"/>
      <c r="O460" s="559" t="n"/>
      <c r="P460" s="559" t="n"/>
      <c r="Q460" s="559" t="n"/>
      <c r="R460" s="559" t="n"/>
    </row>
    <row r="461">
      <c r="A461" s="559" t="n"/>
      <c r="B461" s="559" t="n"/>
      <c r="C461" s="559" t="n"/>
      <c r="D461" s="559" t="n"/>
      <c r="E461" s="559" t="n"/>
      <c r="F461" s="559" t="n"/>
      <c r="G461" s="559" t="n"/>
      <c r="H461" s="559" t="n"/>
      <c r="I461" s="559" t="n"/>
      <c r="J461" s="559" t="n"/>
      <c r="K461" s="559" t="n"/>
      <c r="L461" s="559" t="n"/>
      <c r="M461" s="559" t="n"/>
      <c r="N461" s="559" t="n"/>
      <c r="O461" s="559" t="n"/>
      <c r="P461" s="559" t="n"/>
      <c r="Q461" s="559" t="n"/>
      <c r="R461" s="559" t="n"/>
    </row>
    <row r="462">
      <c r="A462" s="559" t="n"/>
      <c r="B462" s="559" t="n"/>
      <c r="C462" s="559" t="n"/>
      <c r="D462" s="559" t="n"/>
      <c r="E462" s="559" t="n"/>
      <c r="F462" s="559" t="n"/>
      <c r="G462" s="559" t="n"/>
      <c r="H462" s="559" t="n"/>
      <c r="I462" s="559" t="n"/>
      <c r="J462" s="559" t="n"/>
      <c r="K462" s="559" t="n"/>
      <c r="L462" s="559" t="n"/>
      <c r="M462" s="559" t="n"/>
      <c r="N462" s="559" t="n"/>
      <c r="O462" s="559" t="n"/>
      <c r="P462" s="559" t="n"/>
      <c r="Q462" s="559" t="n"/>
      <c r="R462" s="559" t="n"/>
    </row>
    <row r="463">
      <c r="A463" s="559" t="n"/>
      <c r="B463" s="559" t="n"/>
      <c r="C463" s="559" t="n"/>
      <c r="D463" s="559" t="n"/>
      <c r="E463" s="559" t="n"/>
      <c r="F463" s="559" t="n"/>
      <c r="G463" s="559" t="n"/>
      <c r="H463" s="559" t="n"/>
      <c r="I463" s="559" t="n"/>
      <c r="J463" s="559" t="n"/>
      <c r="K463" s="559" t="n"/>
      <c r="L463" s="559" t="n"/>
      <c r="M463" s="559" t="n"/>
      <c r="N463" s="559" t="n"/>
      <c r="O463" s="559" t="n"/>
      <c r="P463" s="559" t="n"/>
      <c r="Q463" s="559" t="n"/>
      <c r="R463" s="559" t="n"/>
    </row>
    <row r="464">
      <c r="A464" s="559" t="n"/>
      <c r="B464" s="559" t="n"/>
      <c r="C464" s="559" t="n"/>
      <c r="D464" s="559" t="n"/>
      <c r="E464" s="559" t="n"/>
      <c r="F464" s="559" t="n"/>
      <c r="G464" s="559" t="n"/>
      <c r="H464" s="559" t="n"/>
      <c r="I464" s="559" t="n"/>
      <c r="J464" s="559" t="n"/>
      <c r="K464" s="559" t="n"/>
      <c r="L464" s="559" t="n"/>
      <c r="M464" s="559" t="n"/>
      <c r="N464" s="559" t="n"/>
      <c r="O464" s="559" t="n"/>
      <c r="P464" s="559" t="n"/>
      <c r="Q464" s="559" t="n"/>
      <c r="R464" s="559" t="n"/>
    </row>
    <row r="465">
      <c r="A465" s="559" t="n"/>
      <c r="B465" s="559" t="n"/>
      <c r="C465" s="559" t="n"/>
      <c r="D465" s="559" t="n"/>
      <c r="E465" s="559" t="n"/>
      <c r="F465" s="559" t="n"/>
      <c r="G465" s="559" t="n"/>
      <c r="H465" s="559" t="n"/>
      <c r="I465" s="559" t="n"/>
      <c r="J465" s="559" t="n"/>
      <c r="K465" s="559" t="n"/>
      <c r="L465" s="559" t="n"/>
      <c r="M465" s="559" t="n"/>
      <c r="N465" s="559" t="n"/>
      <c r="O465" s="559" t="n"/>
      <c r="P465" s="559" t="n"/>
      <c r="Q465" s="559" t="n"/>
      <c r="R465" s="559" t="n"/>
    </row>
    <row r="466">
      <c r="A466" s="559" t="n"/>
      <c r="B466" s="559" t="n"/>
      <c r="C466" s="559" t="n"/>
      <c r="D466" s="559" t="n"/>
      <c r="E466" s="559" t="n"/>
      <c r="F466" s="559" t="n"/>
      <c r="G466" s="559" t="n"/>
      <c r="H466" s="559" t="n"/>
      <c r="I466" s="559" t="n"/>
      <c r="J466" s="559" t="n"/>
      <c r="K466" s="559" t="n"/>
      <c r="L466" s="559" t="n"/>
      <c r="M466" s="559" t="n"/>
      <c r="N466" s="559" t="n"/>
      <c r="O466" s="559" t="n"/>
      <c r="P466" s="559" t="n"/>
      <c r="Q466" s="559" t="n"/>
      <c r="R466" s="559" t="n"/>
    </row>
    <row r="467">
      <c r="A467" s="559" t="n"/>
      <c r="B467" s="559" t="n"/>
      <c r="C467" s="559" t="n"/>
      <c r="D467" s="559" t="n"/>
      <c r="E467" s="559" t="n"/>
      <c r="F467" s="559" t="n"/>
      <c r="G467" s="559" t="n"/>
      <c r="H467" s="559" t="n"/>
      <c r="I467" s="559" t="n"/>
      <c r="J467" s="559" t="n"/>
      <c r="K467" s="559" t="n"/>
      <c r="L467" s="559" t="n"/>
      <c r="M467" s="559" t="n"/>
      <c r="N467" s="559" t="n"/>
      <c r="O467" s="559" t="n"/>
      <c r="P467" s="559" t="n"/>
      <c r="Q467" s="559" t="n"/>
      <c r="R467" s="559" t="n"/>
    </row>
    <row r="468">
      <c r="A468" s="559" t="n"/>
      <c r="B468" s="559" t="n"/>
      <c r="C468" s="559" t="n"/>
      <c r="D468" s="559" t="n"/>
      <c r="E468" s="559" t="n"/>
      <c r="F468" s="559" t="n"/>
      <c r="G468" s="559" t="n"/>
      <c r="H468" s="559" t="n"/>
      <c r="I468" s="559" t="n"/>
      <c r="J468" s="559" t="n"/>
      <c r="K468" s="559" t="n"/>
      <c r="L468" s="559" t="n"/>
      <c r="M468" s="559" t="n"/>
      <c r="N468" s="559" t="n"/>
      <c r="O468" s="559" t="n"/>
      <c r="P468" s="559" t="n"/>
      <c r="Q468" s="559" t="n"/>
      <c r="R468" s="559" t="n"/>
    </row>
    <row r="469">
      <c r="A469" s="559" t="n"/>
      <c r="B469" s="559" t="n"/>
      <c r="C469" s="559" t="n"/>
      <c r="D469" s="559" t="n"/>
      <c r="E469" s="559" t="n"/>
      <c r="F469" s="559" t="n"/>
      <c r="G469" s="559" t="n"/>
      <c r="H469" s="559" t="n"/>
      <c r="I469" s="559" t="n"/>
      <c r="J469" s="559" t="n"/>
      <c r="K469" s="559" t="n"/>
      <c r="L469" s="559" t="n"/>
      <c r="M469" s="559" t="n"/>
      <c r="N469" s="559" t="n"/>
      <c r="O469" s="559" t="n"/>
      <c r="P469" s="559" t="n"/>
      <c r="Q469" s="559" t="n"/>
      <c r="R469" s="559" t="n"/>
    </row>
    <row r="470">
      <c r="A470" s="559" t="n"/>
      <c r="B470" s="559" t="n"/>
      <c r="C470" s="559" t="n"/>
      <c r="D470" s="559" t="n"/>
      <c r="E470" s="559" t="n"/>
      <c r="F470" s="559" t="n"/>
      <c r="G470" s="559" t="n"/>
      <c r="H470" s="559" t="n"/>
      <c r="I470" s="559" t="n"/>
      <c r="J470" s="559" t="n"/>
      <c r="K470" s="559" t="n"/>
      <c r="L470" s="559" t="n"/>
      <c r="M470" s="559" t="n"/>
      <c r="N470" s="559" t="n"/>
      <c r="O470" s="559" t="n"/>
      <c r="P470" s="559" t="n"/>
      <c r="Q470" s="559" t="n"/>
      <c r="R470" s="559" t="n"/>
    </row>
    <row r="471">
      <c r="A471" s="559" t="n"/>
      <c r="B471" s="559" t="n"/>
      <c r="C471" s="559" t="n"/>
      <c r="D471" s="559" t="n"/>
      <c r="E471" s="559" t="n"/>
      <c r="F471" s="559" t="n"/>
      <c r="G471" s="559" t="n"/>
      <c r="H471" s="559" t="n"/>
      <c r="I471" s="559" t="n"/>
      <c r="J471" s="559" t="n"/>
      <c r="K471" s="559" t="n"/>
      <c r="L471" s="559" t="n"/>
      <c r="M471" s="559" t="n"/>
      <c r="N471" s="559" t="n"/>
      <c r="O471" s="559" t="n"/>
      <c r="P471" s="559" t="n"/>
      <c r="Q471" s="559" t="n"/>
      <c r="R471" s="559" t="n"/>
    </row>
    <row r="472">
      <c r="A472" s="559" t="n"/>
      <c r="B472" s="559" t="n"/>
      <c r="C472" s="559" t="n"/>
      <c r="D472" s="559" t="n"/>
      <c r="E472" s="559" t="n"/>
      <c r="F472" s="559" t="n"/>
      <c r="G472" s="559" t="n"/>
      <c r="H472" s="559" t="n"/>
      <c r="I472" s="559" t="n"/>
      <c r="J472" s="559" t="n"/>
      <c r="K472" s="559" t="n"/>
      <c r="L472" s="559" t="n"/>
      <c r="M472" s="559" t="n"/>
      <c r="N472" s="559" t="n"/>
      <c r="O472" s="559" t="n"/>
      <c r="P472" s="559" t="n"/>
      <c r="Q472" s="559" t="n"/>
      <c r="R472" s="559" t="n"/>
    </row>
    <row r="473">
      <c r="A473" s="559" t="n"/>
      <c r="B473" s="559" t="n"/>
      <c r="C473" s="559" t="n"/>
      <c r="D473" s="559" t="n"/>
      <c r="E473" s="559" t="n"/>
      <c r="F473" s="559" t="n"/>
      <c r="G473" s="559" t="n"/>
      <c r="H473" s="559" t="n"/>
      <c r="I473" s="559" t="n"/>
      <c r="J473" s="559" t="n"/>
      <c r="K473" s="559" t="n"/>
      <c r="L473" s="559" t="n"/>
      <c r="M473" s="559" t="n"/>
      <c r="N473" s="559" t="n"/>
      <c r="O473" s="559" t="n"/>
      <c r="P473" s="559" t="n"/>
      <c r="Q473" s="559" t="n"/>
      <c r="R473" s="559" t="n"/>
    </row>
    <row r="474">
      <c r="A474" s="559" t="n"/>
      <c r="B474" s="559" t="n"/>
      <c r="C474" s="559" t="n"/>
      <c r="D474" s="559" t="n"/>
      <c r="E474" s="559" t="n"/>
      <c r="F474" s="559" t="n"/>
      <c r="G474" s="559" t="n"/>
      <c r="H474" s="559" t="n"/>
      <c r="I474" s="559" t="n"/>
      <c r="J474" s="559" t="n"/>
      <c r="K474" s="559" t="n"/>
      <c r="L474" s="559" t="n"/>
      <c r="M474" s="559" t="n"/>
      <c r="N474" s="559" t="n"/>
      <c r="O474" s="559" t="n"/>
      <c r="P474" s="559" t="n"/>
      <c r="Q474" s="559" t="n"/>
      <c r="R474" s="559" t="n"/>
    </row>
    <row r="475">
      <c r="A475" s="559" t="n"/>
      <c r="B475" s="559" t="n"/>
      <c r="C475" s="559" t="n"/>
      <c r="D475" s="559" t="n"/>
      <c r="E475" s="559" t="n"/>
      <c r="F475" s="559" t="n"/>
      <c r="G475" s="559" t="n"/>
      <c r="H475" s="559" t="n"/>
      <c r="I475" s="559" t="n"/>
      <c r="J475" s="559" t="n"/>
      <c r="K475" s="559" t="n"/>
      <c r="L475" s="559" t="n"/>
      <c r="M475" s="559" t="n"/>
      <c r="N475" s="559" t="n"/>
      <c r="O475" s="559" t="n"/>
      <c r="P475" s="559" t="n"/>
      <c r="Q475" s="559" t="n"/>
      <c r="R475" s="559" t="n"/>
    </row>
    <row r="476">
      <c r="A476" s="559" t="n"/>
      <c r="B476" s="559" t="n"/>
      <c r="C476" s="559" t="n"/>
      <c r="D476" s="559" t="n"/>
      <c r="E476" s="559" t="n"/>
      <c r="F476" s="559" t="n"/>
      <c r="G476" s="559" t="n"/>
      <c r="H476" s="559" t="n"/>
      <c r="I476" s="559" t="n"/>
      <c r="J476" s="559" t="n"/>
      <c r="K476" s="559" t="n"/>
      <c r="L476" s="559" t="n"/>
      <c r="M476" s="559" t="n"/>
      <c r="N476" s="559" t="n"/>
      <c r="O476" s="559" t="n"/>
      <c r="P476" s="559" t="n"/>
      <c r="Q476" s="559" t="n"/>
      <c r="R476" s="559" t="n"/>
    </row>
    <row r="477">
      <c r="A477" s="559" t="n"/>
      <c r="B477" s="559" t="n"/>
      <c r="C477" s="559" t="n"/>
      <c r="D477" s="559" t="n"/>
      <c r="E477" s="559" t="n"/>
      <c r="F477" s="559" t="n"/>
      <c r="G477" s="559" t="n"/>
      <c r="H477" s="559" t="n"/>
      <c r="I477" s="559" t="n"/>
      <c r="J477" s="559" t="n"/>
      <c r="K477" s="559" t="n"/>
      <c r="L477" s="559" t="n"/>
      <c r="M477" s="559" t="n"/>
      <c r="N477" s="559" t="n"/>
      <c r="O477" s="559" t="n"/>
      <c r="P477" s="559" t="n"/>
      <c r="Q477" s="559" t="n"/>
      <c r="R477" s="559" t="n"/>
    </row>
    <row r="478">
      <c r="A478" s="559" t="n"/>
      <c r="B478" s="559" t="n"/>
      <c r="C478" s="559" t="n"/>
      <c r="D478" s="559" t="n"/>
      <c r="E478" s="559" t="n"/>
      <c r="F478" s="559" t="n"/>
      <c r="G478" s="559" t="n"/>
      <c r="H478" s="559" t="n"/>
      <c r="I478" s="559" t="n"/>
      <c r="J478" s="559" t="n"/>
      <c r="K478" s="559" t="n"/>
      <c r="L478" s="559" t="n"/>
      <c r="M478" s="559" t="n"/>
      <c r="N478" s="559" t="n"/>
      <c r="O478" s="559" t="n"/>
      <c r="P478" s="559" t="n"/>
      <c r="Q478" s="559" t="n"/>
      <c r="R478" s="559" t="n"/>
    </row>
    <row r="479">
      <c r="A479" s="559" t="n"/>
      <c r="B479" s="559" t="n"/>
      <c r="C479" s="559" t="n"/>
      <c r="D479" s="559" t="n"/>
      <c r="E479" s="559" t="n"/>
      <c r="F479" s="559" t="n"/>
      <c r="G479" s="559" t="n"/>
      <c r="H479" s="559" t="n"/>
      <c r="I479" s="559" t="n"/>
      <c r="J479" s="559" t="n"/>
      <c r="K479" s="559" t="n"/>
      <c r="L479" s="559" t="n"/>
      <c r="M479" s="559" t="n"/>
      <c r="N479" s="559" t="n"/>
      <c r="O479" s="559" t="n"/>
      <c r="P479" s="559" t="n"/>
      <c r="Q479" s="559" t="n"/>
      <c r="R479" s="559" t="n"/>
    </row>
    <row r="480">
      <c r="A480" s="559" t="n"/>
      <c r="B480" s="559" t="n"/>
      <c r="C480" s="559" t="n"/>
      <c r="D480" s="559" t="n"/>
      <c r="E480" s="559" t="n"/>
      <c r="F480" s="559" t="n"/>
      <c r="G480" s="559" t="n"/>
      <c r="H480" s="559" t="n"/>
      <c r="I480" s="559" t="n"/>
      <c r="J480" s="559" t="n"/>
      <c r="K480" s="559" t="n"/>
      <c r="L480" s="559" t="n"/>
      <c r="M480" s="559" t="n"/>
      <c r="N480" s="559" t="n"/>
      <c r="O480" s="559" t="n"/>
      <c r="P480" s="559" t="n"/>
      <c r="Q480" s="559" t="n"/>
      <c r="R480" s="559" t="n"/>
    </row>
    <row r="481">
      <c r="A481" s="559" t="n"/>
      <c r="B481" s="559" t="n"/>
      <c r="C481" s="559" t="n"/>
      <c r="D481" s="559" t="n"/>
      <c r="E481" s="559" t="n"/>
      <c r="F481" s="559" t="n"/>
      <c r="G481" s="559" t="n"/>
      <c r="H481" s="559" t="n"/>
      <c r="I481" s="559" t="n"/>
      <c r="J481" s="559" t="n"/>
      <c r="K481" s="559" t="n"/>
      <c r="L481" s="559" t="n"/>
      <c r="M481" s="559" t="n"/>
      <c r="N481" s="559" t="n"/>
      <c r="O481" s="559" t="n"/>
      <c r="P481" s="559" t="n"/>
      <c r="Q481" s="559" t="n"/>
      <c r="R481" s="559" t="n"/>
    </row>
    <row r="482">
      <c r="A482" s="559" t="n"/>
      <c r="B482" s="559" t="n"/>
      <c r="C482" s="559" t="n"/>
      <c r="D482" s="559" t="n"/>
      <c r="E482" s="559" t="n"/>
      <c r="F482" s="559" t="n"/>
      <c r="G482" s="559" t="n"/>
      <c r="H482" s="559" t="n"/>
      <c r="I482" s="559" t="n"/>
      <c r="J482" s="559" t="n"/>
      <c r="K482" s="559" t="n"/>
      <c r="L482" s="559" t="n"/>
      <c r="M482" s="559" t="n"/>
      <c r="N482" s="559" t="n"/>
      <c r="O482" s="559" t="n"/>
      <c r="P482" s="559" t="n"/>
      <c r="Q482" s="559" t="n"/>
      <c r="R482" s="559" t="n"/>
    </row>
    <row r="483">
      <c r="A483" s="559" t="n"/>
      <c r="B483" s="559" t="n"/>
      <c r="C483" s="559" t="n"/>
      <c r="D483" s="559" t="n"/>
      <c r="E483" s="559" t="n"/>
      <c r="F483" s="559" t="n"/>
      <c r="G483" s="559" t="n"/>
      <c r="H483" s="559" t="n"/>
      <c r="I483" s="559" t="n"/>
      <c r="J483" s="559" t="n"/>
      <c r="K483" s="559" t="n"/>
      <c r="L483" s="559" t="n"/>
      <c r="M483" s="559" t="n"/>
      <c r="N483" s="559" t="n"/>
      <c r="O483" s="559" t="n"/>
      <c r="P483" s="559" t="n"/>
      <c r="Q483" s="559" t="n"/>
      <c r="R483" s="559" t="n"/>
    </row>
    <row r="484">
      <c r="A484" s="559" t="n"/>
      <c r="B484" s="559" t="n"/>
      <c r="C484" s="559" t="n"/>
      <c r="D484" s="559" t="n"/>
      <c r="E484" s="559" t="n"/>
      <c r="F484" s="559" t="n"/>
      <c r="G484" s="559" t="n"/>
      <c r="H484" s="559" t="n"/>
      <c r="I484" s="559" t="n"/>
      <c r="J484" s="559" t="n"/>
      <c r="K484" s="559" t="n"/>
      <c r="L484" s="559" t="n"/>
      <c r="M484" s="559" t="n"/>
      <c r="N484" s="559" t="n"/>
      <c r="O484" s="559" t="n"/>
      <c r="P484" s="559" t="n"/>
      <c r="Q484" s="559" t="n"/>
      <c r="R484" s="559" t="n"/>
    </row>
    <row r="485">
      <c r="A485" s="559" t="n"/>
      <c r="B485" s="559" t="n"/>
      <c r="C485" s="559" t="n"/>
      <c r="D485" s="559" t="n"/>
      <c r="E485" s="559" t="n"/>
      <c r="F485" s="559" t="n"/>
      <c r="G485" s="559" t="n"/>
      <c r="H485" s="559" t="n"/>
      <c r="I485" s="559" t="n"/>
      <c r="J485" s="559" t="n"/>
      <c r="K485" s="559" t="n"/>
      <c r="L485" s="559" t="n"/>
      <c r="M485" s="559" t="n"/>
      <c r="N485" s="559" t="n"/>
      <c r="O485" s="559" t="n"/>
      <c r="P485" s="559" t="n"/>
      <c r="Q485" s="559" t="n"/>
      <c r="R485" s="559" t="n"/>
    </row>
    <row r="486">
      <c r="A486" s="559" t="n"/>
      <c r="B486" s="559" t="n"/>
      <c r="C486" s="559" t="n"/>
      <c r="D486" s="559" t="n"/>
      <c r="E486" s="559" t="n"/>
      <c r="F486" s="559" t="n"/>
      <c r="G486" s="559" t="n"/>
      <c r="H486" s="559" t="n"/>
      <c r="I486" s="559" t="n"/>
      <c r="J486" s="559" t="n"/>
      <c r="K486" s="559" t="n"/>
      <c r="L486" s="559" t="n"/>
      <c r="M486" s="559" t="n"/>
      <c r="N486" s="559" t="n"/>
      <c r="O486" s="559" t="n"/>
      <c r="P486" s="559" t="n"/>
      <c r="Q486" s="559" t="n"/>
      <c r="R486" s="559" t="n"/>
    </row>
    <row r="487">
      <c r="A487" s="559" t="n"/>
      <c r="B487" s="559" t="n"/>
      <c r="C487" s="559" t="n"/>
      <c r="D487" s="559" t="n"/>
      <c r="E487" s="559" t="n"/>
      <c r="F487" s="559" t="n"/>
      <c r="G487" s="559" t="n"/>
      <c r="H487" s="559" t="n"/>
      <c r="I487" s="559" t="n"/>
      <c r="J487" s="559" t="n"/>
      <c r="K487" s="559" t="n"/>
      <c r="L487" s="559" t="n"/>
      <c r="M487" s="559" t="n"/>
      <c r="N487" s="559" t="n"/>
      <c r="O487" s="559" t="n"/>
      <c r="P487" s="559" t="n"/>
      <c r="Q487" s="559" t="n"/>
      <c r="R487" s="559" t="n"/>
    </row>
    <row r="488">
      <c r="A488" s="559" t="n"/>
      <c r="B488" s="559" t="n"/>
      <c r="C488" s="559" t="n"/>
      <c r="D488" s="559" t="n"/>
      <c r="E488" s="559" t="n"/>
      <c r="F488" s="559" t="n"/>
      <c r="G488" s="559" t="n"/>
      <c r="H488" s="559" t="n"/>
      <c r="I488" s="559" t="n"/>
      <c r="J488" s="559" t="n"/>
      <c r="K488" s="559" t="n"/>
      <c r="L488" s="559" t="n"/>
      <c r="M488" s="559" t="n"/>
      <c r="N488" s="559" t="n"/>
      <c r="O488" s="559" t="n"/>
      <c r="P488" s="559" t="n"/>
      <c r="Q488" s="559" t="n"/>
      <c r="R488" s="559" t="n"/>
    </row>
    <row r="489">
      <c r="A489" s="559" t="n"/>
      <c r="B489" s="559" t="n"/>
      <c r="C489" s="559" t="n"/>
      <c r="D489" s="559" t="n"/>
      <c r="E489" s="559" t="n"/>
      <c r="F489" s="559" t="n"/>
      <c r="G489" s="559" t="n"/>
      <c r="H489" s="559" t="n"/>
      <c r="I489" s="559" t="n"/>
      <c r="J489" s="559" t="n"/>
      <c r="K489" s="559" t="n"/>
      <c r="L489" s="559" t="n"/>
      <c r="M489" s="559" t="n"/>
      <c r="N489" s="559" t="n"/>
      <c r="O489" s="559" t="n"/>
      <c r="P489" s="559" t="n"/>
      <c r="Q489" s="559" t="n"/>
      <c r="R489" s="559" t="n"/>
    </row>
    <row r="490">
      <c r="A490" s="559" t="n"/>
      <c r="B490" s="559" t="n"/>
      <c r="C490" s="559" t="n"/>
      <c r="D490" s="559" t="n"/>
      <c r="E490" s="559" t="n"/>
      <c r="F490" s="559" t="n"/>
      <c r="G490" s="559" t="n"/>
      <c r="H490" s="559" t="n"/>
      <c r="I490" s="559" t="n"/>
      <c r="J490" s="559" t="n"/>
      <c r="K490" s="559" t="n"/>
      <c r="L490" s="559" t="n"/>
      <c r="M490" s="559" t="n"/>
      <c r="N490" s="559" t="n"/>
      <c r="O490" s="559" t="n"/>
      <c r="P490" s="559" t="n"/>
      <c r="Q490" s="559" t="n"/>
      <c r="R490" s="559" t="n"/>
    </row>
    <row r="491">
      <c r="A491" s="559" t="n"/>
      <c r="B491" s="559" t="n"/>
      <c r="C491" s="559" t="n"/>
      <c r="D491" s="559" t="n"/>
      <c r="E491" s="559" t="n"/>
      <c r="F491" s="559" t="n"/>
      <c r="G491" s="559" t="n"/>
      <c r="H491" s="559" t="n"/>
      <c r="I491" s="559" t="n"/>
      <c r="J491" s="559" t="n"/>
      <c r="K491" s="559" t="n"/>
      <c r="L491" s="559" t="n"/>
      <c r="M491" s="559" t="n"/>
      <c r="N491" s="559" t="n"/>
      <c r="O491" s="559" t="n"/>
      <c r="P491" s="559" t="n"/>
      <c r="Q491" s="559" t="n"/>
      <c r="R491" s="559" t="n"/>
    </row>
    <row r="492">
      <c r="A492" s="559" t="n"/>
      <c r="B492" s="559" t="n"/>
      <c r="C492" s="559" t="n"/>
      <c r="D492" s="559" t="n"/>
      <c r="E492" s="559" t="n"/>
      <c r="F492" s="559" t="n"/>
      <c r="G492" s="559" t="n"/>
      <c r="H492" s="559" t="n"/>
      <c r="I492" s="559" t="n"/>
      <c r="J492" s="559" t="n"/>
      <c r="K492" s="559" t="n"/>
      <c r="L492" s="559" t="n"/>
      <c r="M492" s="559" t="n"/>
      <c r="N492" s="559" t="n"/>
      <c r="O492" s="559" t="n"/>
      <c r="P492" s="559" t="n"/>
      <c r="Q492" s="559" t="n"/>
      <c r="R492" s="559" t="n"/>
    </row>
    <row r="493">
      <c r="A493" s="559" t="n"/>
      <c r="B493" s="559" t="n"/>
      <c r="C493" s="559" t="n"/>
      <c r="D493" s="559" t="n"/>
      <c r="E493" s="559" t="n"/>
      <c r="F493" s="559" t="n"/>
      <c r="G493" s="559" t="n"/>
      <c r="H493" s="559" t="n"/>
      <c r="I493" s="559" t="n"/>
      <c r="J493" s="559" t="n"/>
      <c r="K493" s="559" t="n"/>
      <c r="L493" s="559" t="n"/>
      <c r="M493" s="559" t="n"/>
      <c r="N493" s="559" t="n"/>
      <c r="O493" s="559" t="n"/>
      <c r="P493" s="559" t="n"/>
      <c r="Q493" s="559" t="n"/>
      <c r="R493" s="559" t="n"/>
    </row>
    <row r="494">
      <c r="A494" s="559" t="n"/>
      <c r="B494" s="559" t="n"/>
      <c r="C494" s="559" t="n"/>
      <c r="D494" s="559" t="n"/>
      <c r="E494" s="559" t="n"/>
      <c r="F494" s="559" t="n"/>
      <c r="G494" s="559" t="n"/>
      <c r="H494" s="559" t="n"/>
      <c r="I494" s="559" t="n"/>
      <c r="J494" s="559" t="n"/>
      <c r="K494" s="559" t="n"/>
      <c r="L494" s="559" t="n"/>
      <c r="M494" s="559" t="n"/>
      <c r="N494" s="559" t="n"/>
      <c r="O494" s="559" t="n"/>
      <c r="P494" s="559" t="n"/>
      <c r="Q494" s="559" t="n"/>
      <c r="R494" s="559" t="n"/>
    </row>
    <row r="495">
      <c r="A495" s="559" t="n"/>
      <c r="B495" s="559" t="n"/>
      <c r="C495" s="559" t="n"/>
      <c r="D495" s="559" t="n"/>
      <c r="E495" s="559" t="n"/>
      <c r="F495" s="559" t="n"/>
      <c r="G495" s="559" t="n"/>
      <c r="H495" s="559" t="n"/>
      <c r="I495" s="559" t="n"/>
      <c r="J495" s="559" t="n"/>
      <c r="K495" s="559" t="n"/>
      <c r="L495" s="559" t="n"/>
      <c r="M495" s="559" t="n"/>
      <c r="N495" s="559" t="n"/>
      <c r="O495" s="559" t="n"/>
      <c r="P495" s="559" t="n"/>
      <c r="Q495" s="559" t="n"/>
      <c r="R495" s="559" t="n"/>
    </row>
    <row r="496">
      <c r="A496" s="559" t="n"/>
      <c r="B496" s="559" t="n"/>
      <c r="C496" s="559" t="n"/>
      <c r="D496" s="559" t="n"/>
      <c r="E496" s="559" t="n"/>
      <c r="F496" s="559" t="n"/>
      <c r="G496" s="559" t="n"/>
      <c r="H496" s="559" t="n"/>
      <c r="I496" s="559" t="n"/>
      <c r="J496" s="559" t="n"/>
      <c r="K496" s="559" t="n"/>
      <c r="L496" s="559" t="n"/>
      <c r="M496" s="559" t="n"/>
      <c r="N496" s="559" t="n"/>
      <c r="O496" s="559" t="n"/>
      <c r="P496" s="559" t="n"/>
      <c r="Q496" s="559" t="n"/>
      <c r="R496" s="559" t="n"/>
    </row>
    <row r="497">
      <c r="A497" s="559" t="n"/>
      <c r="B497" s="559" t="n"/>
      <c r="C497" s="559" t="n"/>
      <c r="D497" s="559" t="n"/>
      <c r="E497" s="559" t="n"/>
      <c r="F497" s="559" t="n"/>
      <c r="G497" s="559" t="n"/>
      <c r="H497" s="559" t="n"/>
      <c r="I497" s="559" t="n"/>
      <c r="J497" s="559" t="n"/>
      <c r="K497" s="559" t="n"/>
      <c r="L497" s="559" t="n"/>
      <c r="M497" s="559" t="n"/>
      <c r="N497" s="559" t="n"/>
      <c r="O497" s="559" t="n"/>
      <c r="P497" s="559" t="n"/>
      <c r="Q497" s="559" t="n"/>
      <c r="R497" s="559" t="n"/>
    </row>
    <row r="498">
      <c r="A498" s="559" t="n"/>
      <c r="B498" s="559" t="n"/>
      <c r="C498" s="559" t="n"/>
      <c r="D498" s="559" t="n"/>
      <c r="E498" s="559" t="n"/>
      <c r="F498" s="559" t="n"/>
      <c r="G498" s="559" t="n"/>
      <c r="H498" s="559" t="n"/>
      <c r="I498" s="559" t="n"/>
      <c r="J498" s="559" t="n"/>
      <c r="K498" s="559" t="n"/>
      <c r="L498" s="559" t="n"/>
      <c r="M498" s="559" t="n"/>
      <c r="N498" s="559" t="n"/>
      <c r="O498" s="559" t="n"/>
      <c r="P498" s="559" t="n"/>
      <c r="Q498" s="559" t="n"/>
      <c r="R498" s="559" t="n"/>
    </row>
    <row r="499">
      <c r="A499" s="559" t="n"/>
      <c r="B499" s="559" t="n"/>
      <c r="C499" s="559" t="n"/>
      <c r="D499" s="559" t="n"/>
      <c r="E499" s="559" t="n"/>
      <c r="F499" s="559" t="n"/>
      <c r="G499" s="559" t="n"/>
      <c r="H499" s="559" t="n"/>
      <c r="I499" s="559" t="n"/>
      <c r="J499" s="559" t="n"/>
      <c r="K499" s="559" t="n"/>
      <c r="L499" s="559" t="n"/>
      <c r="M499" s="559" t="n"/>
      <c r="N499" s="559" t="n"/>
      <c r="O499" s="559" t="n"/>
      <c r="P499" s="559" t="n"/>
      <c r="Q499" s="559" t="n"/>
      <c r="R499" s="559" t="n"/>
    </row>
    <row r="500">
      <c r="A500" s="559" t="n"/>
      <c r="B500" s="559" t="n"/>
      <c r="C500" s="559" t="n"/>
      <c r="D500" s="559" t="n"/>
      <c r="E500" s="559" t="n"/>
      <c r="F500" s="559" t="n"/>
      <c r="G500" s="559" t="n"/>
      <c r="H500" s="559" t="n"/>
      <c r="I500" s="559" t="n"/>
      <c r="J500" s="559" t="n"/>
      <c r="K500" s="559" t="n"/>
      <c r="L500" s="559" t="n"/>
      <c r="M500" s="559" t="n"/>
      <c r="N500" s="559" t="n"/>
      <c r="O500" s="559" t="n"/>
      <c r="P500" s="559" t="n"/>
      <c r="Q500" s="559" t="n"/>
      <c r="R500" s="559" t="n"/>
    </row>
    <row r="501">
      <c r="A501" s="559" t="n"/>
      <c r="B501" s="559" t="n"/>
      <c r="C501" s="559" t="n"/>
      <c r="D501" s="559" t="n"/>
      <c r="E501" s="559" t="n"/>
      <c r="F501" s="559" t="n"/>
      <c r="G501" s="559" t="n"/>
      <c r="H501" s="559" t="n"/>
      <c r="I501" s="559" t="n"/>
      <c r="J501" s="559" t="n"/>
      <c r="K501" s="559" t="n"/>
      <c r="L501" s="559" t="n"/>
      <c r="M501" s="559" t="n"/>
      <c r="N501" s="559" t="n"/>
      <c r="O501" s="559" t="n"/>
      <c r="P501" s="559" t="n"/>
      <c r="Q501" s="559" t="n"/>
      <c r="R501" s="559" t="n"/>
    </row>
    <row r="502">
      <c r="A502" s="559" t="n"/>
      <c r="B502" s="559" t="n"/>
      <c r="C502" s="559" t="n"/>
      <c r="D502" s="559" t="n"/>
      <c r="E502" s="559" t="n"/>
      <c r="F502" s="559" t="n"/>
      <c r="G502" s="559" t="n"/>
      <c r="H502" s="559" t="n"/>
      <c r="I502" s="559" t="n"/>
      <c r="J502" s="559" t="n"/>
      <c r="K502" s="559" t="n"/>
      <c r="L502" s="559" t="n"/>
      <c r="M502" s="559" t="n"/>
      <c r="N502" s="559" t="n"/>
      <c r="O502" s="559" t="n"/>
      <c r="P502" s="559" t="n"/>
      <c r="Q502" s="559" t="n"/>
      <c r="R502" s="559" t="n"/>
    </row>
    <row r="503">
      <c r="A503" s="559" t="n"/>
      <c r="B503" s="559" t="n"/>
      <c r="C503" s="559" t="n"/>
      <c r="D503" s="559" t="n"/>
      <c r="E503" s="559" t="n"/>
      <c r="F503" s="559" t="n"/>
      <c r="G503" s="559" t="n"/>
      <c r="H503" s="559" t="n"/>
      <c r="I503" s="559" t="n"/>
      <c r="J503" s="559" t="n"/>
      <c r="K503" s="559" t="n"/>
      <c r="L503" s="559" t="n"/>
      <c r="M503" s="559" t="n"/>
      <c r="N503" s="559" t="n"/>
      <c r="O503" s="559" t="n"/>
      <c r="P503" s="559" t="n"/>
      <c r="Q503" s="559" t="n"/>
      <c r="R503" s="559" t="n"/>
    </row>
    <row r="504">
      <c r="A504" s="559" t="n"/>
      <c r="B504" s="559" t="n"/>
      <c r="C504" s="559" t="n"/>
      <c r="D504" s="559" t="n"/>
      <c r="E504" s="559" t="n"/>
      <c r="F504" s="559" t="n"/>
      <c r="G504" s="559" t="n"/>
      <c r="H504" s="559" t="n"/>
      <c r="I504" s="559" t="n"/>
      <c r="J504" s="559" t="n"/>
      <c r="K504" s="559" t="n"/>
      <c r="L504" s="559" t="n"/>
      <c r="M504" s="559" t="n"/>
      <c r="N504" s="559" t="n"/>
      <c r="O504" s="559" t="n"/>
      <c r="P504" s="559" t="n"/>
      <c r="Q504" s="559" t="n"/>
      <c r="R504" s="559" t="n"/>
    </row>
  </sheetData>
  <mergeCells count="2">
    <mergeCell ref="A2:R2"/>
    <mergeCell ref="A1:R1"/>
  </mergeCells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12">
    <tabColor rgb="FF00B0F0"/>
    <outlinePr summaryBelow="1" summaryRight="1"/>
    <pageSetUpPr/>
  </sheetPr>
  <dimension ref="A1:Z502"/>
  <sheetViews>
    <sheetView showGridLines="0" workbookViewId="0">
      <pane xSplit="4" ySplit="2" topLeftCell="E72" activePane="bottomRight" state="frozen"/>
      <selection pane="topRight" activeCell="E1" sqref="E1"/>
      <selection pane="bottomLeft" activeCell="A3" sqref="A3"/>
      <selection pane="bottomRight" activeCell="Z92" sqref="Z92"/>
    </sheetView>
  </sheetViews>
  <sheetFormatPr baseColWidth="8" defaultRowHeight="13.5"/>
  <cols>
    <col width="5.625" customWidth="1" style="570" min="1" max="1"/>
    <col width="7.625" customWidth="1" style="570" min="2" max="2"/>
    <col width="8.625" customWidth="1" style="570" min="3" max="3"/>
    <col width="18.625" customWidth="1" style="570" min="4" max="4"/>
    <col width="11.625" customWidth="1" style="570" min="5" max="5"/>
    <col width="10.625" customWidth="1" style="570" min="6" max="12"/>
    <col width="12.625" customWidth="1" style="570" min="13" max="13"/>
    <col width="10.625" customWidth="1" style="570" min="14" max="19"/>
    <col width="9.625" customWidth="1" style="570" min="20" max="20"/>
    <col width="14.625" customWidth="1" style="570" min="21" max="21"/>
    <col width="8.625" customWidth="1" style="570" min="22" max="22"/>
    <col width="14.625" customWidth="1" style="570" min="23" max="24"/>
    <col width="8.625" customWidth="1" style="570" min="25" max="25"/>
    <col width="20.625" customWidth="1" style="570" min="26" max="26"/>
    <col width="9" customWidth="1" style="570" min="27" max="16384"/>
  </cols>
  <sheetData>
    <row r="1" ht="44.1" customHeight="1" s="574" thickBot="1">
      <c r="A1" s="576" t="inlineStr">
        <is>
          <t>◆  打ち出の無限こづち  ◆  買い候補ダッシュボード  ◆</t>
        </is>
      </c>
      <c r="B1" s="597" t="n"/>
      <c r="C1" s="597" t="n"/>
      <c r="D1" s="597" t="n"/>
      <c r="E1" s="597" t="n"/>
      <c r="F1" s="597" t="n"/>
      <c r="G1" s="597" t="n"/>
      <c r="H1" s="597" t="n"/>
      <c r="I1" s="597" t="n"/>
      <c r="J1" s="597" t="n"/>
      <c r="K1" s="597" t="n"/>
      <c r="L1" s="597" t="n"/>
      <c r="M1" s="597" t="n"/>
      <c r="N1" s="597" t="n"/>
      <c r="O1" s="597" t="n"/>
      <c r="P1" s="597" t="n"/>
      <c r="Q1" s="597" t="n"/>
      <c r="R1" s="597" t="n"/>
      <c r="S1" s="597" t="n"/>
      <c r="T1" s="597" t="n"/>
      <c r="U1" s="597" t="n"/>
      <c r="V1" s="597" t="n"/>
      <c r="W1" s="597" t="n"/>
      <c r="X1" s="597" t="n"/>
      <c r="Y1" s="597" t="n"/>
      <c r="Z1" s="597" t="n"/>
    </row>
    <row r="2" ht="38.1" customHeight="1" s="574" thickTop="1">
      <c r="A2" s="117" t="inlineStr">
        <is>
          <t>No</t>
        </is>
      </c>
      <c r="B2" s="117" t="inlineStr">
        <is>
          <t>株探</t>
        </is>
      </c>
      <c r="C2" s="117" t="inlineStr">
        <is>
          <t>銘柄コード</t>
        </is>
      </c>
      <c r="D2" s="117" t="inlineStr">
        <is>
          <t>銘柄名称</t>
        </is>
      </c>
      <c r="E2" s="118" t="inlineStr">
        <is>
          <t>現在値</t>
        </is>
      </c>
      <c r="F2" s="119" t="inlineStr">
        <is>
          <t>始値</t>
        </is>
      </c>
      <c r="G2" s="119" t="inlineStr">
        <is>
          <t>高値</t>
        </is>
      </c>
      <c r="H2" s="119" t="inlineStr">
        <is>
          <t>安値</t>
        </is>
      </c>
      <c r="I2" s="119" t="inlineStr">
        <is>
          <t>出来高</t>
        </is>
      </c>
      <c r="J2" s="119" t="inlineStr">
        <is>
          <t>5日EMA</t>
        </is>
      </c>
      <c r="K2" s="119" t="inlineStr">
        <is>
          <t>25日EMA</t>
        </is>
      </c>
      <c r="L2" s="119" t="inlineStr">
        <is>
          <t>年初来高値</t>
        </is>
      </c>
      <c r="M2" s="120" t="inlineStr">
        <is>
          <t>出来高トレンド</t>
        </is>
      </c>
      <c r="N2" s="120" t="inlineStr">
        <is>
          <t>出来高倍率</t>
        </is>
      </c>
      <c r="O2" s="120" t="inlineStr">
        <is>
          <t>MACD</t>
        </is>
      </c>
      <c r="P2" s="120" t="inlineStr">
        <is>
          <t>高値距離%</t>
        </is>
      </c>
      <c r="Q2" s="121" t="inlineStr">
        <is>
          <t>損切ライン</t>
        </is>
      </c>
      <c r="R2" s="121" t="inlineStr">
        <is>
          <t>利確ライン</t>
        </is>
      </c>
      <c r="S2" s="122" t="inlineStr">
        <is>
          <t>ステータス</t>
        </is>
      </c>
      <c r="T2" s="122" t="inlineStr">
        <is>
          <t>前日比%</t>
        </is>
      </c>
      <c r="U2" s="122" t="inlineStr">
        <is>
          <t>高値更新</t>
        </is>
      </c>
      <c r="V2" s="122" t="inlineStr">
        <is>
          <t>RSI(14)</t>
        </is>
      </c>
      <c r="W2" s="123" t="inlineStr">
        <is>
          <t>EMAトレンド</t>
        </is>
      </c>
      <c r="X2" s="124" t="inlineStr">
        <is>
          <t>押し目判定</t>
        </is>
      </c>
      <c r="Y2" s="125" t="inlineStr">
        <is>
          <t>総合スコア</t>
        </is>
      </c>
      <c r="Z2" s="126" t="inlineStr">
        <is>
          <t>最終シグナル</t>
        </is>
      </c>
    </row>
    <row r="3" ht="26.1" customHeight="1" s="574">
      <c r="A3" s="141">
        <f>IF(分析!C122&lt;&gt;"",ROW()-2,"")</f>
        <v/>
      </c>
      <c r="B3" s="142">
        <f>IF(分析!C122&lt;&gt;"",HYPERLINK("https://kabutan.jp/stock/?code="&amp;分析!C122,"株探"),"")</f>
        <v/>
      </c>
      <c r="C3" s="598">
        <f>IF(分析!C122&lt;&gt;"",分析!C122,"")</f>
        <v/>
      </c>
      <c r="D3" s="144">
        <f>IF(分析!D122&lt;&gt;"",分析!D122,"")</f>
        <v/>
      </c>
      <c r="E3" s="145">
        <f>IF(分析!E122&lt;&gt;"",分析!E122,"")</f>
        <v/>
      </c>
      <c r="F3" s="146">
        <f>IF(分析!F122&lt;&gt;"",分析!F122,"")</f>
        <v/>
      </c>
      <c r="G3" s="146">
        <f>IF(分析!H122&lt;&gt;"",分析!H122,"")</f>
        <v/>
      </c>
      <c r="H3" s="146">
        <f>IF(分析!I122&lt;&gt;"",分析!I122,"")</f>
        <v/>
      </c>
      <c r="I3" s="146">
        <f>IF(分析!J122&lt;&gt;"",分析!J122,"")</f>
        <v/>
      </c>
      <c r="J3" s="146">
        <f>IF(分析!AB122&lt;&gt;"",分析!AB122,"")</f>
        <v/>
      </c>
      <c r="K3" s="146">
        <f>IF(分析!AC122&lt;&gt;"",分析!AC122,"")</f>
        <v/>
      </c>
      <c r="L3" s="146">
        <f>IF(分析!K122&lt;&gt;"",分析!K122,"")</f>
        <v/>
      </c>
      <c r="M3" s="141">
        <f>IF(分析!P122&lt;&gt;"",分析!P122,"")</f>
        <v/>
      </c>
      <c r="N3" s="599">
        <f>IF(分析!O122&lt;&gt;"",分析!O122,"")</f>
        <v/>
      </c>
      <c r="O3" s="148">
        <f>IF(分析!X122&lt;&gt;"",分析!X122,"")</f>
        <v/>
      </c>
      <c r="P3" s="600">
        <f>IF(分析!L122&lt;&gt;"",分析!L122,"")</f>
        <v/>
      </c>
      <c r="Q3" s="146">
        <f>IF(分析!S122&lt;&gt;"",分析!S122,"")</f>
        <v/>
      </c>
      <c r="R3" s="146">
        <f>IF(分析!R122&lt;&gt;"",分析!R122,"")</f>
        <v/>
      </c>
      <c r="S3" s="141">
        <f>IF(分析!AA122&lt;&gt;"",分析!AA122,"")</f>
        <v/>
      </c>
      <c r="T3" s="601">
        <f>IF(分析!Z122&lt;&gt;"",分析!Z122,"")</f>
        <v/>
      </c>
      <c r="U3" s="141">
        <f>IF(分析!V122&lt;&gt;"",分析!V122,"")</f>
        <v/>
      </c>
      <c r="V3" s="602">
        <f>IF(分析!W122&lt;&gt;"",分析!W122,"")</f>
        <v/>
      </c>
      <c r="W3" s="152">
        <f>IF(分析!AD122&lt;&gt;"",分析!AD122,"")</f>
        <v/>
      </c>
      <c r="X3" s="153">
        <f>IF(分析!AE122&lt;&gt;"",分析!AE122,"")</f>
        <v/>
      </c>
      <c r="Y3" s="154">
        <f>IF(分析!T122&lt;&gt;"",分析!T122,"")</f>
        <v/>
      </c>
      <c r="Z3" s="155">
        <f>IF(分析!Y122&lt;&gt;"",分析!Y122,"")</f>
        <v/>
      </c>
    </row>
    <row r="4" ht="21.95" customHeight="1" s="574">
      <c r="A4" s="141">
        <f>IF(分析!C180&lt;&gt;"",ROW()-2,"")</f>
        <v/>
      </c>
      <c r="B4" s="142">
        <f>IF(分析!C180&lt;&gt;"",HYPERLINK("https://kabutan.jp/stock/?code="&amp;分析!C180,"株探"),"")</f>
        <v/>
      </c>
      <c r="C4" s="598">
        <f>IF(分析!C180&lt;&gt;"",分析!C180,"")</f>
        <v/>
      </c>
      <c r="D4" s="144">
        <f>IF(分析!D180&lt;&gt;"",分析!D180,"")</f>
        <v/>
      </c>
      <c r="E4" s="145">
        <f>IF(分析!E180&lt;&gt;"",分析!E180,"")</f>
        <v/>
      </c>
      <c r="F4" s="146">
        <f>IF(分析!F180&lt;&gt;"",分析!F180,"")</f>
        <v/>
      </c>
      <c r="G4" s="146">
        <f>IF(分析!H180&lt;&gt;"",分析!H180,"")</f>
        <v/>
      </c>
      <c r="H4" s="146">
        <f>IF(分析!I180&lt;&gt;"",分析!I180,"")</f>
        <v/>
      </c>
      <c r="I4" s="146">
        <f>IF(分析!J180&lt;&gt;"",分析!J180,"")</f>
        <v/>
      </c>
      <c r="J4" s="146">
        <f>IF(分析!AB180&lt;&gt;"",分析!AB180,"")</f>
        <v/>
      </c>
      <c r="K4" s="146">
        <f>IF(分析!AC180&lt;&gt;"",分析!AC180,"")</f>
        <v/>
      </c>
      <c r="L4" s="146">
        <f>IF(分析!K180&lt;&gt;"",分析!K180,"")</f>
        <v/>
      </c>
      <c r="M4" s="141">
        <f>IF(分析!P180&lt;&gt;"",分析!P180,"")</f>
        <v/>
      </c>
      <c r="N4" s="599">
        <f>IF(分析!O180&lt;&gt;"",分析!O180,"")</f>
        <v/>
      </c>
      <c r="O4" s="148">
        <f>IF(分析!X180&lt;&gt;"",分析!X180,"")</f>
        <v/>
      </c>
      <c r="P4" s="600">
        <f>IF(分析!L180&lt;&gt;"",分析!L180,"")</f>
        <v/>
      </c>
      <c r="Q4" s="146">
        <f>IF(分析!S180&lt;&gt;"",分析!S180,"")</f>
        <v/>
      </c>
      <c r="R4" s="146">
        <f>IF(分析!R180&lt;&gt;"",分析!R180,"")</f>
        <v/>
      </c>
      <c r="S4" s="141">
        <f>IF(分析!AA180&lt;&gt;"",分析!AA180,"")</f>
        <v/>
      </c>
      <c r="T4" s="601">
        <f>IF(分析!Z180&lt;&gt;"",分析!Z180,"")</f>
        <v/>
      </c>
      <c r="U4" s="141">
        <f>IF(分析!V180&lt;&gt;"",分析!V180,"")</f>
        <v/>
      </c>
      <c r="V4" s="602">
        <f>IF(分析!W180&lt;&gt;"",分析!W180,"")</f>
        <v/>
      </c>
      <c r="W4" s="152">
        <f>IF(分析!AD180&lt;&gt;"",分析!AD180,"")</f>
        <v/>
      </c>
      <c r="X4" s="153">
        <f>IF(分析!AE180&lt;&gt;"",分析!AE180,"")</f>
        <v/>
      </c>
      <c r="Y4" s="154">
        <f>IF(分析!T180&lt;&gt;"",分析!T180,"")</f>
        <v/>
      </c>
      <c r="Z4" s="155">
        <f>IF(分析!Y180&lt;&gt;"",分析!Y180,"")</f>
        <v/>
      </c>
    </row>
    <row r="5" ht="21.95" customHeight="1" s="574">
      <c r="A5" s="156">
        <f>IF(分析!C181&lt;&gt;"",ROW()-2,"")</f>
        <v/>
      </c>
      <c r="B5" s="157">
        <f>IF(分析!C181&lt;&gt;"",HYPERLINK("https://kabutan.jp/stock/?code="&amp;分析!C181,"株探"),"")</f>
        <v/>
      </c>
      <c r="C5" s="603">
        <f>IF(分析!C181&lt;&gt;"",分析!C181,"")</f>
        <v/>
      </c>
      <c r="D5" s="159">
        <f>IF(分析!D181&lt;&gt;"",分析!D181,"")</f>
        <v/>
      </c>
      <c r="E5" s="160">
        <f>IF(分析!E181&lt;&gt;"",分析!E181,"")</f>
        <v/>
      </c>
      <c r="F5" s="161">
        <f>IF(分析!F181&lt;&gt;"",分析!F181,"")</f>
        <v/>
      </c>
      <c r="G5" s="161">
        <f>IF(分析!H181&lt;&gt;"",分析!H181,"")</f>
        <v/>
      </c>
      <c r="H5" s="161">
        <f>IF(分析!I181&lt;&gt;"",分析!I181,"")</f>
        <v/>
      </c>
      <c r="I5" s="161">
        <f>IF(分析!J181&lt;&gt;"",分析!J181,"")</f>
        <v/>
      </c>
      <c r="J5" s="161">
        <f>IF(分析!AB181&lt;&gt;"",分析!AB181,"")</f>
        <v/>
      </c>
      <c r="K5" s="161">
        <f>IF(分析!AC181&lt;&gt;"",分析!AC181,"")</f>
        <v/>
      </c>
      <c r="L5" s="161">
        <f>IF(分析!K181&lt;&gt;"",分析!K181,"")</f>
        <v/>
      </c>
      <c r="M5" s="156">
        <f>IF(分析!P181&lt;&gt;"",分析!P181,"")</f>
        <v/>
      </c>
      <c r="N5" s="604">
        <f>IF(分析!O181&lt;&gt;"",分析!O181,"")</f>
        <v/>
      </c>
      <c r="O5" s="163">
        <f>IF(分析!X181&lt;&gt;"",分析!X181,"")</f>
        <v/>
      </c>
      <c r="P5" s="605">
        <f>IF(分析!L181&lt;&gt;"",分析!L181,"")</f>
        <v/>
      </c>
      <c r="Q5" s="161">
        <f>IF(分析!S181&lt;&gt;"",分析!S181,"")</f>
        <v/>
      </c>
      <c r="R5" s="161">
        <f>IF(分析!R181&lt;&gt;"",分析!R181,"")</f>
        <v/>
      </c>
      <c r="S5" s="156">
        <f>IF(分析!AA181&lt;&gt;"",分析!AA181,"")</f>
        <v/>
      </c>
      <c r="T5" s="606">
        <f>IF(分析!Z181&lt;&gt;"",分析!Z181,"")</f>
        <v/>
      </c>
      <c r="U5" s="156">
        <f>IF(分析!V181&lt;&gt;"",分析!V181,"")</f>
        <v/>
      </c>
      <c r="V5" s="607">
        <f>IF(分析!W181&lt;&gt;"",分析!W181,"")</f>
        <v/>
      </c>
      <c r="W5" s="167">
        <f>IF(分析!AD181&lt;&gt;"",分析!AD181,"")</f>
        <v/>
      </c>
      <c r="X5" s="168">
        <f>IF(分析!AE181&lt;&gt;"",分析!AE181,"")</f>
        <v/>
      </c>
      <c r="Y5" s="169">
        <f>IF(分析!T181&lt;&gt;"",分析!T181,"")</f>
        <v/>
      </c>
      <c r="Z5" s="155">
        <f>IF(分析!Y181&lt;&gt;"",分析!Y181,"")</f>
        <v/>
      </c>
    </row>
    <row r="6" ht="21.95" customHeight="1" s="574">
      <c r="A6" s="141">
        <f>IF(分析!C32&lt;&gt;"",ROW()-2,"")</f>
        <v/>
      </c>
      <c r="B6" s="142">
        <f>IF(分析!C32&lt;&gt;"",HYPERLINK("https://kabutan.jp/stock/?code="&amp;分析!C32,"株探"),"")</f>
        <v/>
      </c>
      <c r="C6" s="598">
        <f>IF(分析!C32&lt;&gt;"",分析!C32,"")</f>
        <v/>
      </c>
      <c r="D6" s="144">
        <f>IF(分析!D32&lt;&gt;"",分析!D32,"")</f>
        <v/>
      </c>
      <c r="E6" s="145">
        <f>IF(分析!E32&lt;&gt;"",分析!E32,"")</f>
        <v/>
      </c>
      <c r="F6" s="146">
        <f>IF(分析!F32&lt;&gt;"",分析!F32,"")</f>
        <v/>
      </c>
      <c r="G6" s="146">
        <f>IF(分析!H32&lt;&gt;"",分析!H32,"")</f>
        <v/>
      </c>
      <c r="H6" s="146">
        <f>IF(分析!I32&lt;&gt;"",分析!I32,"")</f>
        <v/>
      </c>
      <c r="I6" s="146">
        <f>IF(分析!J32&lt;&gt;"",分析!J32,"")</f>
        <v/>
      </c>
      <c r="J6" s="146">
        <f>IF(分析!AB32&lt;&gt;"",分析!AB32,"")</f>
        <v/>
      </c>
      <c r="K6" s="146">
        <f>IF(分析!AC32&lt;&gt;"",分析!AC32,"")</f>
        <v/>
      </c>
      <c r="L6" s="146">
        <f>IF(分析!K32&lt;&gt;"",分析!K32,"")</f>
        <v/>
      </c>
      <c r="M6" s="141">
        <f>IF(分析!P32&lt;&gt;"",分析!P32,"")</f>
        <v/>
      </c>
      <c r="N6" s="599">
        <f>IF(分析!O32&lt;&gt;"",分析!O32,"")</f>
        <v/>
      </c>
      <c r="O6" s="148">
        <f>IF(分析!X32&lt;&gt;"",分析!X32,"")</f>
        <v/>
      </c>
      <c r="P6" s="600">
        <f>IF(分析!L32&lt;&gt;"",分析!L32,"")</f>
        <v/>
      </c>
      <c r="Q6" s="146">
        <f>IF(分析!S32&lt;&gt;"",分析!S32,"")</f>
        <v/>
      </c>
      <c r="R6" s="146">
        <f>IF(分析!R32&lt;&gt;"",分析!R32,"")</f>
        <v/>
      </c>
      <c r="S6" s="141">
        <f>IF(分析!AA32&lt;&gt;"",分析!AA32,"")</f>
        <v/>
      </c>
      <c r="T6" s="601">
        <f>IF(分析!Z32&lt;&gt;"",分析!Z32,"")</f>
        <v/>
      </c>
      <c r="U6" s="141">
        <f>IF(分析!V32&lt;&gt;"",分析!V32,"")</f>
        <v/>
      </c>
      <c r="V6" s="602">
        <f>IF(分析!W32&lt;&gt;"",分析!W32,"")</f>
        <v/>
      </c>
      <c r="W6" s="152">
        <f>IF(分析!AD32&lt;&gt;"",分析!AD32,"")</f>
        <v/>
      </c>
      <c r="X6" s="153">
        <f>IF(分析!AE32&lt;&gt;"",分析!AE32,"")</f>
        <v/>
      </c>
      <c r="Y6" s="154">
        <f>IF(分析!T32&lt;&gt;"",分析!T32,"")</f>
        <v/>
      </c>
      <c r="Z6" s="155">
        <f>IF(分析!Y32&lt;&gt;"",分析!Y32,"")</f>
        <v/>
      </c>
    </row>
    <row r="7" ht="21.95" customHeight="1" s="574">
      <c r="A7" s="156">
        <f>IF(分析!C51&lt;&gt;"",ROW()-2,"")</f>
        <v/>
      </c>
      <c r="B7" s="157">
        <f>IF(分析!C51&lt;&gt;"",HYPERLINK("https://kabutan.jp/stock/?code="&amp;分析!C51,"株探"),"")</f>
        <v/>
      </c>
      <c r="C7" s="603">
        <f>IF(分析!C51&lt;&gt;"",分析!C51,"")</f>
        <v/>
      </c>
      <c r="D7" s="159">
        <f>IF(分析!D51&lt;&gt;"",分析!D51,"")</f>
        <v/>
      </c>
      <c r="E7" s="160">
        <f>IF(分析!E51&lt;&gt;"",分析!E51,"")</f>
        <v/>
      </c>
      <c r="F7" s="161">
        <f>IF(分析!F51&lt;&gt;"",分析!F51,"")</f>
        <v/>
      </c>
      <c r="G7" s="161">
        <f>IF(分析!H51&lt;&gt;"",分析!H51,"")</f>
        <v/>
      </c>
      <c r="H7" s="161">
        <f>IF(分析!I51&lt;&gt;"",分析!I51,"")</f>
        <v/>
      </c>
      <c r="I7" s="161">
        <f>IF(分析!J51&lt;&gt;"",分析!J51,"")</f>
        <v/>
      </c>
      <c r="J7" s="161">
        <f>IF(分析!AB51&lt;&gt;"",分析!AB51,"")</f>
        <v/>
      </c>
      <c r="K7" s="161">
        <f>IF(分析!AC51&lt;&gt;"",分析!AC51,"")</f>
        <v/>
      </c>
      <c r="L7" s="161">
        <f>IF(分析!K51&lt;&gt;"",分析!K51,"")</f>
        <v/>
      </c>
      <c r="M7" s="156">
        <f>IF(分析!P51&lt;&gt;"",分析!P51,"")</f>
        <v/>
      </c>
      <c r="N7" s="604">
        <f>IF(分析!O51&lt;&gt;"",分析!O51,"")</f>
        <v/>
      </c>
      <c r="O7" s="163">
        <f>IF(分析!X51&lt;&gt;"",分析!X51,"")</f>
        <v/>
      </c>
      <c r="P7" s="605">
        <f>IF(分析!L51&lt;&gt;"",分析!L51,"")</f>
        <v/>
      </c>
      <c r="Q7" s="161">
        <f>IF(分析!S51&lt;&gt;"",分析!S51,"")</f>
        <v/>
      </c>
      <c r="R7" s="161">
        <f>IF(分析!R51&lt;&gt;"",分析!R51,"")</f>
        <v/>
      </c>
      <c r="S7" s="156">
        <f>IF(分析!AA51&lt;&gt;"",分析!AA51,"")</f>
        <v/>
      </c>
      <c r="T7" s="606">
        <f>IF(分析!Z51&lt;&gt;"",分析!Z51,"")</f>
        <v/>
      </c>
      <c r="U7" s="156">
        <f>IF(分析!V51&lt;&gt;"",分析!V51,"")</f>
        <v/>
      </c>
      <c r="V7" s="607">
        <f>IF(分析!W51&lt;&gt;"",分析!W51,"")</f>
        <v/>
      </c>
      <c r="W7" s="167">
        <f>IF(分析!AD51&lt;&gt;"",分析!AD51,"")</f>
        <v/>
      </c>
      <c r="X7" s="168">
        <f>IF(分析!AE51&lt;&gt;"",分析!AE51,"")</f>
        <v/>
      </c>
      <c r="Y7" s="169">
        <f>IF(分析!T51&lt;&gt;"",分析!T51,"")</f>
        <v/>
      </c>
      <c r="Z7" s="155">
        <f>IF(分析!Y51&lt;&gt;"",分析!Y51,"")</f>
        <v/>
      </c>
    </row>
    <row r="8" ht="21.95" customHeight="1" s="574">
      <c r="A8" s="156">
        <f>IF(分析!C187&lt;&gt;"",ROW()-2,"")</f>
        <v/>
      </c>
      <c r="B8" s="157">
        <f>IF(分析!C187&lt;&gt;"",HYPERLINK("https://kabutan.jp/stock/?code="&amp;分析!C187,"株探"),"")</f>
        <v/>
      </c>
      <c r="C8" s="603">
        <f>IF(分析!C187&lt;&gt;"",分析!C187,"")</f>
        <v/>
      </c>
      <c r="D8" s="159">
        <f>IF(分析!D187&lt;&gt;"",分析!D187,"")</f>
        <v/>
      </c>
      <c r="E8" s="160">
        <f>IF(分析!E187&lt;&gt;"",分析!E187,"")</f>
        <v/>
      </c>
      <c r="F8" s="161">
        <f>IF(分析!F187&lt;&gt;"",分析!F187,"")</f>
        <v/>
      </c>
      <c r="G8" s="161">
        <f>IF(分析!H187&lt;&gt;"",分析!H187,"")</f>
        <v/>
      </c>
      <c r="H8" s="161">
        <f>IF(分析!I187&lt;&gt;"",分析!I187,"")</f>
        <v/>
      </c>
      <c r="I8" s="161">
        <f>IF(分析!J187&lt;&gt;"",分析!J187,"")</f>
        <v/>
      </c>
      <c r="J8" s="161">
        <f>IF(分析!AB187&lt;&gt;"",分析!AB187,"")</f>
        <v/>
      </c>
      <c r="K8" s="161">
        <f>IF(分析!AC187&lt;&gt;"",分析!AC187,"")</f>
        <v/>
      </c>
      <c r="L8" s="161">
        <f>IF(分析!K187&lt;&gt;"",分析!K187,"")</f>
        <v/>
      </c>
      <c r="M8" s="156">
        <f>IF(分析!P187&lt;&gt;"",分析!P187,"")</f>
        <v/>
      </c>
      <c r="N8" s="604">
        <f>IF(分析!O187&lt;&gt;"",分析!O187,"")</f>
        <v/>
      </c>
      <c r="O8" s="163">
        <f>IF(分析!X187&lt;&gt;"",分析!X187,"")</f>
        <v/>
      </c>
      <c r="P8" s="605">
        <f>IF(分析!L187&lt;&gt;"",分析!L187,"")</f>
        <v/>
      </c>
      <c r="Q8" s="161">
        <f>IF(分析!S187&lt;&gt;"",分析!S187,"")</f>
        <v/>
      </c>
      <c r="R8" s="161">
        <f>IF(分析!R187&lt;&gt;"",分析!R187,"")</f>
        <v/>
      </c>
      <c r="S8" s="156">
        <f>IF(分析!AA187&lt;&gt;"",分析!AA187,"")</f>
        <v/>
      </c>
      <c r="T8" s="606">
        <f>IF(分析!Z187&lt;&gt;"",分析!Z187,"")</f>
        <v/>
      </c>
      <c r="U8" s="156">
        <f>IF(分析!V187&lt;&gt;"",分析!V187,"")</f>
        <v/>
      </c>
      <c r="V8" s="607">
        <f>IF(分析!W187&lt;&gt;"",分析!W187,"")</f>
        <v/>
      </c>
      <c r="W8" s="167">
        <f>IF(分析!AD187&lt;&gt;"",分析!AD187,"")</f>
        <v/>
      </c>
      <c r="X8" s="168">
        <f>IF(分析!AE187&lt;&gt;"",分析!AE187,"")</f>
        <v/>
      </c>
      <c r="Y8" s="169">
        <f>IF(分析!T187&lt;&gt;"",分析!T187,"")</f>
        <v/>
      </c>
      <c r="Z8" s="155">
        <f>IF(分析!Y187&lt;&gt;"",分析!Y187,"")</f>
        <v/>
      </c>
    </row>
    <row r="9" ht="21.95" customHeight="1" s="574">
      <c r="A9" s="141">
        <f>IF(分析!C154&lt;&gt;"",ROW()-2,"")</f>
        <v/>
      </c>
      <c r="B9" s="142">
        <f>IF(分析!C154&lt;&gt;"",HYPERLINK("https://kabutan.jp/stock/?code="&amp;分析!C154,"株探"),"")</f>
        <v/>
      </c>
      <c r="C9" s="598">
        <f>IF(分析!C154&lt;&gt;"",分析!C154,"")</f>
        <v/>
      </c>
      <c r="D9" s="144">
        <f>IF(分析!D154&lt;&gt;"",分析!D154,"")</f>
        <v/>
      </c>
      <c r="E9" s="145">
        <f>IF(分析!E154&lt;&gt;"",分析!E154,"")</f>
        <v/>
      </c>
      <c r="F9" s="146">
        <f>IF(分析!F154&lt;&gt;"",分析!F154,"")</f>
        <v/>
      </c>
      <c r="G9" s="146">
        <f>IF(分析!H154&lt;&gt;"",分析!H154,"")</f>
        <v/>
      </c>
      <c r="H9" s="146">
        <f>IF(分析!I154&lt;&gt;"",分析!I154,"")</f>
        <v/>
      </c>
      <c r="I9" s="146">
        <f>IF(分析!J154&lt;&gt;"",分析!J154,"")</f>
        <v/>
      </c>
      <c r="J9" s="146">
        <f>IF(分析!AB154&lt;&gt;"",分析!AB154,"")</f>
        <v/>
      </c>
      <c r="K9" s="146">
        <f>IF(分析!AC154&lt;&gt;"",分析!AC154,"")</f>
        <v/>
      </c>
      <c r="L9" s="146">
        <f>IF(分析!K154&lt;&gt;"",分析!K154,"")</f>
        <v/>
      </c>
      <c r="M9" s="141">
        <f>IF(分析!P154&lt;&gt;"",分析!P154,"")</f>
        <v/>
      </c>
      <c r="N9" s="599">
        <f>IF(分析!O154&lt;&gt;"",分析!O154,"")</f>
        <v/>
      </c>
      <c r="O9" s="148">
        <f>IF(分析!X154&lt;&gt;"",分析!X154,"")</f>
        <v/>
      </c>
      <c r="P9" s="600">
        <f>IF(分析!L154&lt;&gt;"",分析!L154,"")</f>
        <v/>
      </c>
      <c r="Q9" s="146">
        <f>IF(分析!S154&lt;&gt;"",分析!S154,"")</f>
        <v/>
      </c>
      <c r="R9" s="146">
        <f>IF(分析!R154&lt;&gt;"",分析!R154,"")</f>
        <v/>
      </c>
      <c r="S9" s="141">
        <f>IF(分析!AA154&lt;&gt;"",分析!AA154,"")</f>
        <v/>
      </c>
      <c r="T9" s="601">
        <f>IF(分析!Z154&lt;&gt;"",分析!Z154,"")</f>
        <v/>
      </c>
      <c r="U9" s="141">
        <f>IF(分析!V154&lt;&gt;"",分析!V154,"")</f>
        <v/>
      </c>
      <c r="V9" s="602">
        <f>IF(分析!W154&lt;&gt;"",分析!W154,"")</f>
        <v/>
      </c>
      <c r="W9" s="152">
        <f>IF(分析!AD154&lt;&gt;"",分析!AD154,"")</f>
        <v/>
      </c>
      <c r="X9" s="153">
        <f>IF(分析!AE154&lt;&gt;"",分析!AE154,"")</f>
        <v/>
      </c>
      <c r="Y9" s="154">
        <f>IF(分析!T154&lt;&gt;"",分析!T154,"")</f>
        <v/>
      </c>
      <c r="Z9" s="155">
        <f>IF(分析!Y154&lt;&gt;"",分析!Y154,"")</f>
        <v/>
      </c>
    </row>
    <row r="10" ht="21.95" customHeight="1" s="574">
      <c r="A10" s="156">
        <f>IF(分析!C23&lt;&gt;"",ROW()-2,"")</f>
        <v/>
      </c>
      <c r="B10" s="157">
        <f>IF(分析!C23&lt;&gt;"",HYPERLINK("https://kabutan.jp/stock/?code="&amp;分析!C23,"株探"),"")</f>
        <v/>
      </c>
      <c r="C10" s="603">
        <f>IF(分析!C23&lt;&gt;"",分析!C23,"")</f>
        <v/>
      </c>
      <c r="D10" s="159">
        <f>IF(分析!D23&lt;&gt;"",分析!D23,"")</f>
        <v/>
      </c>
      <c r="E10" s="160">
        <f>IF(分析!E23&lt;&gt;"",分析!E23,"")</f>
        <v/>
      </c>
      <c r="F10" s="161">
        <f>IF(分析!F23&lt;&gt;"",分析!F23,"")</f>
        <v/>
      </c>
      <c r="G10" s="161">
        <f>IF(分析!H23&lt;&gt;"",分析!H23,"")</f>
        <v/>
      </c>
      <c r="H10" s="161">
        <f>IF(分析!I23&lt;&gt;"",分析!I23,"")</f>
        <v/>
      </c>
      <c r="I10" s="161">
        <f>IF(分析!J23&lt;&gt;"",分析!J23,"")</f>
        <v/>
      </c>
      <c r="J10" s="161">
        <f>IF(分析!AB23&lt;&gt;"",分析!AB23,"")</f>
        <v/>
      </c>
      <c r="K10" s="161">
        <f>IF(分析!AC23&lt;&gt;"",分析!AC23,"")</f>
        <v/>
      </c>
      <c r="L10" s="161">
        <f>IF(分析!K23&lt;&gt;"",分析!K23,"")</f>
        <v/>
      </c>
      <c r="M10" s="156">
        <f>IF(分析!P23&lt;&gt;"",分析!P23,"")</f>
        <v/>
      </c>
      <c r="N10" s="604">
        <f>IF(分析!O23&lt;&gt;"",分析!O23,"")</f>
        <v/>
      </c>
      <c r="O10" s="163">
        <f>IF(分析!X23&lt;&gt;"",分析!X23,"")</f>
        <v/>
      </c>
      <c r="P10" s="605">
        <f>IF(分析!L23&lt;&gt;"",分析!L23,"")</f>
        <v/>
      </c>
      <c r="Q10" s="161">
        <f>IF(分析!S23&lt;&gt;"",分析!S23,"")</f>
        <v/>
      </c>
      <c r="R10" s="161">
        <f>IF(分析!R23&lt;&gt;"",分析!R23,"")</f>
        <v/>
      </c>
      <c r="S10" s="156">
        <f>IF(分析!AA23&lt;&gt;"",分析!AA23,"")</f>
        <v/>
      </c>
      <c r="T10" s="606">
        <f>IF(分析!Z23&lt;&gt;"",分析!Z23,"")</f>
        <v/>
      </c>
      <c r="U10" s="156">
        <f>IF(分析!V23&lt;&gt;"",分析!V23,"")</f>
        <v/>
      </c>
      <c r="V10" s="607">
        <f>IF(分析!W23&lt;&gt;"",分析!W23,"")</f>
        <v/>
      </c>
      <c r="W10" s="167">
        <f>IF(分析!AD23&lt;&gt;"",分析!AD23,"")</f>
        <v/>
      </c>
      <c r="X10" s="168">
        <f>IF(分析!AE23&lt;&gt;"",分析!AE23,"")</f>
        <v/>
      </c>
      <c r="Y10" s="169">
        <f>IF(分析!T23&lt;&gt;"",分析!T23,"")</f>
        <v/>
      </c>
      <c r="Z10" s="155">
        <f>IF(分析!Y23&lt;&gt;"",分析!Y23,"")</f>
        <v/>
      </c>
    </row>
    <row r="11" ht="21.95" customHeight="1" s="574">
      <c r="A11" s="156">
        <f>IF(分析!C81&lt;&gt;"",ROW()-2,"")</f>
        <v/>
      </c>
      <c r="B11" s="157">
        <f>IF(分析!C81&lt;&gt;"",HYPERLINK("https://kabutan.jp/stock/?code="&amp;分析!C81,"株探"),"")</f>
        <v/>
      </c>
      <c r="C11" s="603">
        <f>IF(分析!C81&lt;&gt;"",分析!C81,"")</f>
        <v/>
      </c>
      <c r="D11" s="159">
        <f>IF(分析!D81&lt;&gt;"",分析!D81,"")</f>
        <v/>
      </c>
      <c r="E11" s="160">
        <f>IF(分析!E81&lt;&gt;"",分析!E81,"")</f>
        <v/>
      </c>
      <c r="F11" s="161">
        <f>IF(分析!F81&lt;&gt;"",分析!F81,"")</f>
        <v/>
      </c>
      <c r="G11" s="161">
        <f>IF(分析!H81&lt;&gt;"",分析!H81,"")</f>
        <v/>
      </c>
      <c r="H11" s="161">
        <f>IF(分析!I81&lt;&gt;"",分析!I81,"")</f>
        <v/>
      </c>
      <c r="I11" s="161">
        <f>IF(分析!J81&lt;&gt;"",分析!J81,"")</f>
        <v/>
      </c>
      <c r="J11" s="161">
        <f>IF(分析!AB81&lt;&gt;"",分析!AB81,"")</f>
        <v/>
      </c>
      <c r="K11" s="161">
        <f>IF(分析!AC81&lt;&gt;"",分析!AC81,"")</f>
        <v/>
      </c>
      <c r="L11" s="161">
        <f>IF(分析!K81&lt;&gt;"",分析!K81,"")</f>
        <v/>
      </c>
      <c r="M11" s="156">
        <f>IF(分析!P81&lt;&gt;"",分析!P81,"")</f>
        <v/>
      </c>
      <c r="N11" s="604">
        <f>IF(分析!O81&lt;&gt;"",分析!O81,"")</f>
        <v/>
      </c>
      <c r="O11" s="163">
        <f>IF(分析!X81&lt;&gt;"",分析!X81,"")</f>
        <v/>
      </c>
      <c r="P11" s="605">
        <f>IF(分析!L81&lt;&gt;"",分析!L81,"")</f>
        <v/>
      </c>
      <c r="Q11" s="161">
        <f>IF(分析!S81&lt;&gt;"",分析!S81,"")</f>
        <v/>
      </c>
      <c r="R11" s="161">
        <f>IF(分析!R81&lt;&gt;"",分析!R81,"")</f>
        <v/>
      </c>
      <c r="S11" s="156">
        <f>IF(分析!AA81&lt;&gt;"",分析!AA81,"")</f>
        <v/>
      </c>
      <c r="T11" s="606">
        <f>IF(分析!Z81&lt;&gt;"",分析!Z81,"")</f>
        <v/>
      </c>
      <c r="U11" s="156">
        <f>IF(分析!V81&lt;&gt;"",分析!V81,"")</f>
        <v/>
      </c>
      <c r="V11" s="607">
        <f>IF(分析!W81&lt;&gt;"",分析!W81,"")</f>
        <v/>
      </c>
      <c r="W11" s="167">
        <f>IF(分析!AD81&lt;&gt;"",分析!AD81,"")</f>
        <v/>
      </c>
      <c r="X11" s="168">
        <f>IF(分析!AE81&lt;&gt;"",分析!AE81,"")</f>
        <v/>
      </c>
      <c r="Y11" s="169">
        <f>IF(分析!T81&lt;&gt;"",分析!T81,"")</f>
        <v/>
      </c>
      <c r="Z11" s="155">
        <f>IF(分析!Y81&lt;&gt;"",分析!Y81,"")</f>
        <v/>
      </c>
    </row>
    <row r="12" ht="21.95" customHeight="1" s="574">
      <c r="A12" s="156">
        <f>IF(分析!C183&lt;&gt;"",ROW()-2,"")</f>
        <v/>
      </c>
      <c r="B12" s="157">
        <f>IF(分析!C183&lt;&gt;"",HYPERLINK("https://kabutan.jp/stock/?code="&amp;分析!C183,"株探"),"")</f>
        <v/>
      </c>
      <c r="C12" s="603">
        <f>IF(分析!C183&lt;&gt;"",分析!C183,"")</f>
        <v/>
      </c>
      <c r="D12" s="159">
        <f>IF(分析!D183&lt;&gt;"",分析!D183,"")</f>
        <v/>
      </c>
      <c r="E12" s="160">
        <f>IF(分析!E183&lt;&gt;"",分析!E183,"")</f>
        <v/>
      </c>
      <c r="F12" s="161">
        <f>IF(分析!F183&lt;&gt;"",分析!F183,"")</f>
        <v/>
      </c>
      <c r="G12" s="161">
        <f>IF(分析!H183&lt;&gt;"",分析!H183,"")</f>
        <v/>
      </c>
      <c r="H12" s="161">
        <f>IF(分析!I183&lt;&gt;"",分析!I183,"")</f>
        <v/>
      </c>
      <c r="I12" s="161">
        <f>IF(分析!J183&lt;&gt;"",分析!J183,"")</f>
        <v/>
      </c>
      <c r="J12" s="161">
        <f>IF(分析!AB183&lt;&gt;"",分析!AB183,"")</f>
        <v/>
      </c>
      <c r="K12" s="161">
        <f>IF(分析!AC183&lt;&gt;"",分析!AC183,"")</f>
        <v/>
      </c>
      <c r="L12" s="161">
        <f>IF(分析!K183&lt;&gt;"",分析!K183,"")</f>
        <v/>
      </c>
      <c r="M12" s="156">
        <f>IF(分析!P183&lt;&gt;"",分析!P183,"")</f>
        <v/>
      </c>
      <c r="N12" s="604">
        <f>IF(分析!O183&lt;&gt;"",分析!O183,"")</f>
        <v/>
      </c>
      <c r="O12" s="163">
        <f>IF(分析!X183&lt;&gt;"",分析!X183,"")</f>
        <v/>
      </c>
      <c r="P12" s="605">
        <f>IF(分析!L183&lt;&gt;"",分析!L183,"")</f>
        <v/>
      </c>
      <c r="Q12" s="161">
        <f>IF(分析!S183&lt;&gt;"",分析!S183,"")</f>
        <v/>
      </c>
      <c r="R12" s="161">
        <f>IF(分析!R183&lt;&gt;"",分析!R183,"")</f>
        <v/>
      </c>
      <c r="S12" s="156">
        <f>IF(分析!AA183&lt;&gt;"",分析!AA183,"")</f>
        <v/>
      </c>
      <c r="T12" s="606">
        <f>IF(分析!Z183&lt;&gt;"",分析!Z183,"")</f>
        <v/>
      </c>
      <c r="U12" s="156">
        <f>IF(分析!V183&lt;&gt;"",分析!V183,"")</f>
        <v/>
      </c>
      <c r="V12" s="607">
        <f>IF(分析!W183&lt;&gt;"",分析!W183,"")</f>
        <v/>
      </c>
      <c r="W12" s="167">
        <f>IF(分析!AD183&lt;&gt;"",分析!AD183,"")</f>
        <v/>
      </c>
      <c r="X12" s="168">
        <f>IF(分析!AE183&lt;&gt;"",分析!AE183,"")</f>
        <v/>
      </c>
      <c r="Y12" s="169">
        <f>IF(分析!T183&lt;&gt;"",分析!T183,"")</f>
        <v/>
      </c>
      <c r="Z12" s="155">
        <f>IF(分析!Y183&lt;&gt;"",分析!Y183,"")</f>
        <v/>
      </c>
    </row>
    <row r="13" ht="21.95" customHeight="1" s="574">
      <c r="A13" s="141">
        <f>IF(分析!C4&lt;&gt;"",ROW()-2,"")</f>
        <v/>
      </c>
      <c r="B13" s="142">
        <f>IF(分析!C4&lt;&gt;"",HYPERLINK("https://kabutan.jp/stock/?code="&amp;分析!C4,"株探"),"")</f>
        <v/>
      </c>
      <c r="C13" s="598">
        <f>IF(分析!C4&lt;&gt;"",分析!C4,"")</f>
        <v/>
      </c>
      <c r="D13" s="144">
        <f>IF(分析!D4&lt;&gt;"",分析!D4,"")</f>
        <v/>
      </c>
      <c r="E13" s="145">
        <f>IF(分析!E4&lt;&gt;"",分析!E4,"")</f>
        <v/>
      </c>
      <c r="F13" s="146">
        <f>IF(分析!F4&lt;&gt;"",分析!F4,"")</f>
        <v/>
      </c>
      <c r="G13" s="146">
        <f>IF(分析!H4&lt;&gt;"",分析!H4,"")</f>
        <v/>
      </c>
      <c r="H13" s="146">
        <f>IF(分析!I4&lt;&gt;"",分析!I4,"")</f>
        <v/>
      </c>
      <c r="I13" s="146">
        <f>IF(分析!J4&lt;&gt;"",分析!J4,"")</f>
        <v/>
      </c>
      <c r="J13" s="146">
        <f>IF(分析!AB4&lt;&gt;"",分析!AB4,"")</f>
        <v/>
      </c>
      <c r="K13" s="146">
        <f>IF(分析!AC4&lt;&gt;"",分析!AC4,"")</f>
        <v/>
      </c>
      <c r="L13" s="146">
        <f>IF(分析!K4&lt;&gt;"",分析!K4,"")</f>
        <v/>
      </c>
      <c r="M13" s="141">
        <f>IF(分析!P4&lt;&gt;"",分析!P4,"")</f>
        <v/>
      </c>
      <c r="N13" s="599">
        <f>IF(分析!O4&lt;&gt;"",分析!O4,"")</f>
        <v/>
      </c>
      <c r="O13" s="148">
        <f>IF(分析!X4&lt;&gt;"",分析!X4,"")</f>
        <v/>
      </c>
      <c r="P13" s="600">
        <f>IF(分析!L4&lt;&gt;"",分析!L4,"")</f>
        <v/>
      </c>
      <c r="Q13" s="146">
        <f>IF(分析!S4&lt;&gt;"",分析!S4,"")</f>
        <v/>
      </c>
      <c r="R13" s="146">
        <f>IF(分析!R4&lt;&gt;"",分析!R4,"")</f>
        <v/>
      </c>
      <c r="S13" s="141">
        <f>IF(分析!AA4&lt;&gt;"",分析!AA4,"")</f>
        <v/>
      </c>
      <c r="T13" s="601">
        <f>IF(分析!Z4&lt;&gt;"",分析!Z4,"")</f>
        <v/>
      </c>
      <c r="U13" s="141">
        <f>IF(分析!V4&lt;&gt;"",分析!V4,"")</f>
        <v/>
      </c>
      <c r="V13" s="602">
        <f>IF(分析!W4&lt;&gt;"",分析!W4,"")</f>
        <v/>
      </c>
      <c r="W13" s="152">
        <f>IF(分析!AD4&lt;&gt;"",分析!AD4,"")</f>
        <v/>
      </c>
      <c r="X13" s="153">
        <f>IF(分析!AE4&lt;&gt;"",分析!AE4,"")</f>
        <v/>
      </c>
      <c r="Y13" s="154">
        <f>IF(分析!T4&lt;&gt;"",分析!T4,"")</f>
        <v/>
      </c>
      <c r="Z13" s="155">
        <f>IF(分析!Y4&lt;&gt;"",分析!Y4,"")</f>
        <v/>
      </c>
    </row>
    <row r="14" ht="21.95" customHeight="1" s="574">
      <c r="A14" s="141">
        <f>IF(分析!C142&lt;&gt;"",ROW()-2,"")</f>
        <v/>
      </c>
      <c r="B14" s="142">
        <f>IF(分析!C142&lt;&gt;"",HYPERLINK("https://kabutan.jp/stock/?code="&amp;分析!C142,"株探"),"")</f>
        <v/>
      </c>
      <c r="C14" s="598">
        <f>IF(分析!C142&lt;&gt;"",分析!C142,"")</f>
        <v/>
      </c>
      <c r="D14" s="144">
        <f>IF(分析!D142&lt;&gt;"",分析!D142,"")</f>
        <v/>
      </c>
      <c r="E14" s="145">
        <f>IF(分析!E142&lt;&gt;"",分析!E142,"")</f>
        <v/>
      </c>
      <c r="F14" s="146">
        <f>IF(分析!F142&lt;&gt;"",分析!F142,"")</f>
        <v/>
      </c>
      <c r="G14" s="146">
        <f>IF(分析!H142&lt;&gt;"",分析!H142,"")</f>
        <v/>
      </c>
      <c r="H14" s="146">
        <f>IF(分析!I142&lt;&gt;"",分析!I142,"")</f>
        <v/>
      </c>
      <c r="I14" s="146">
        <f>IF(分析!J142&lt;&gt;"",分析!J142,"")</f>
        <v/>
      </c>
      <c r="J14" s="146">
        <f>IF(分析!AB142&lt;&gt;"",分析!AB142,"")</f>
        <v/>
      </c>
      <c r="K14" s="146">
        <f>IF(分析!AC142&lt;&gt;"",分析!AC142,"")</f>
        <v/>
      </c>
      <c r="L14" s="146">
        <f>IF(分析!K142&lt;&gt;"",分析!K142,"")</f>
        <v/>
      </c>
      <c r="M14" s="141">
        <f>IF(分析!P142&lt;&gt;"",分析!P142,"")</f>
        <v/>
      </c>
      <c r="N14" s="599">
        <f>IF(分析!O142&lt;&gt;"",分析!O142,"")</f>
        <v/>
      </c>
      <c r="O14" s="148">
        <f>IF(分析!X142&lt;&gt;"",分析!X142,"")</f>
        <v/>
      </c>
      <c r="P14" s="600">
        <f>IF(分析!L142&lt;&gt;"",分析!L142,"")</f>
        <v/>
      </c>
      <c r="Q14" s="146">
        <f>IF(分析!S142&lt;&gt;"",分析!S142,"")</f>
        <v/>
      </c>
      <c r="R14" s="146">
        <f>IF(分析!R142&lt;&gt;"",分析!R142,"")</f>
        <v/>
      </c>
      <c r="S14" s="141">
        <f>IF(分析!AA142&lt;&gt;"",分析!AA142,"")</f>
        <v/>
      </c>
      <c r="T14" s="601">
        <f>IF(分析!Z142&lt;&gt;"",分析!Z142,"")</f>
        <v/>
      </c>
      <c r="U14" s="141">
        <f>IF(分析!V142&lt;&gt;"",分析!V142,"")</f>
        <v/>
      </c>
      <c r="V14" s="602">
        <f>IF(分析!W142&lt;&gt;"",分析!W142,"")</f>
        <v/>
      </c>
      <c r="W14" s="152">
        <f>IF(分析!AD142&lt;&gt;"",分析!AD142,"")</f>
        <v/>
      </c>
      <c r="X14" s="153">
        <f>IF(分析!AE142&lt;&gt;"",分析!AE142,"")</f>
        <v/>
      </c>
      <c r="Y14" s="154">
        <f>IF(分析!T142&lt;&gt;"",分析!T142,"")</f>
        <v/>
      </c>
      <c r="Z14" s="155">
        <f>IF(分析!Y142&lt;&gt;"",分析!Y142,"")</f>
        <v/>
      </c>
    </row>
    <row r="15" ht="21.95" customHeight="1" s="574">
      <c r="A15" s="141">
        <f>IF(分析!C178&lt;&gt;"",ROW()-2,"")</f>
        <v/>
      </c>
      <c r="B15" s="142">
        <f>IF(分析!C178&lt;&gt;"",HYPERLINK("https://kabutan.jp/stock/?code="&amp;分析!C178,"株探"),"")</f>
        <v/>
      </c>
      <c r="C15" s="598">
        <f>IF(分析!C178&lt;&gt;"",分析!C178,"")</f>
        <v/>
      </c>
      <c r="D15" s="144">
        <f>IF(分析!D178&lt;&gt;"",分析!D178,"")</f>
        <v/>
      </c>
      <c r="E15" s="145">
        <f>IF(分析!E178&lt;&gt;"",分析!E178,"")</f>
        <v/>
      </c>
      <c r="F15" s="146">
        <f>IF(分析!F178&lt;&gt;"",分析!F178,"")</f>
        <v/>
      </c>
      <c r="G15" s="146">
        <f>IF(分析!H178&lt;&gt;"",分析!H178,"")</f>
        <v/>
      </c>
      <c r="H15" s="146">
        <f>IF(分析!I178&lt;&gt;"",分析!I178,"")</f>
        <v/>
      </c>
      <c r="I15" s="146">
        <f>IF(分析!J178&lt;&gt;"",分析!J178,"")</f>
        <v/>
      </c>
      <c r="J15" s="146">
        <f>IF(分析!AB178&lt;&gt;"",分析!AB178,"")</f>
        <v/>
      </c>
      <c r="K15" s="146">
        <f>IF(分析!AC178&lt;&gt;"",分析!AC178,"")</f>
        <v/>
      </c>
      <c r="L15" s="146">
        <f>IF(分析!K178&lt;&gt;"",分析!K178,"")</f>
        <v/>
      </c>
      <c r="M15" s="141">
        <f>IF(分析!P178&lt;&gt;"",分析!P178,"")</f>
        <v/>
      </c>
      <c r="N15" s="599">
        <f>IF(分析!O178&lt;&gt;"",分析!O178,"")</f>
        <v/>
      </c>
      <c r="O15" s="148">
        <f>IF(分析!X178&lt;&gt;"",分析!X178,"")</f>
        <v/>
      </c>
      <c r="P15" s="600">
        <f>IF(分析!L178&lt;&gt;"",分析!L178,"")</f>
        <v/>
      </c>
      <c r="Q15" s="146">
        <f>IF(分析!S178&lt;&gt;"",分析!S178,"")</f>
        <v/>
      </c>
      <c r="R15" s="146">
        <f>IF(分析!R178&lt;&gt;"",分析!R178,"")</f>
        <v/>
      </c>
      <c r="S15" s="141">
        <f>IF(分析!AA178&lt;&gt;"",分析!AA178,"")</f>
        <v/>
      </c>
      <c r="T15" s="601">
        <f>IF(分析!Z178&lt;&gt;"",分析!Z178,"")</f>
        <v/>
      </c>
      <c r="U15" s="141">
        <f>IF(分析!V178&lt;&gt;"",分析!V178,"")</f>
        <v/>
      </c>
      <c r="V15" s="602">
        <f>IF(分析!W178&lt;&gt;"",分析!W178,"")</f>
        <v/>
      </c>
      <c r="W15" s="152">
        <f>IF(分析!AD178&lt;&gt;"",分析!AD178,"")</f>
        <v/>
      </c>
      <c r="X15" s="153">
        <f>IF(分析!AE178&lt;&gt;"",分析!AE178,"")</f>
        <v/>
      </c>
      <c r="Y15" s="154">
        <f>IF(分析!T178&lt;&gt;"",分析!T178,"")</f>
        <v/>
      </c>
      <c r="Z15" s="155">
        <f>IF(分析!Y178&lt;&gt;"",分析!Y178,"")</f>
        <v/>
      </c>
    </row>
    <row r="16" ht="21.95" customHeight="1" s="574">
      <c r="A16" s="156">
        <f>IF(分析!C9&lt;&gt;"",ROW()-2,"")</f>
        <v/>
      </c>
      <c r="B16" s="157">
        <f>IF(分析!C9&lt;&gt;"",HYPERLINK("https://kabutan.jp/stock/?code="&amp;分析!C9,"株探"),"")</f>
        <v/>
      </c>
      <c r="C16" s="603">
        <f>IF(分析!C9&lt;&gt;"",分析!C9,"")</f>
        <v/>
      </c>
      <c r="D16" s="159">
        <f>IF(分析!D9&lt;&gt;"",分析!D9,"")</f>
        <v/>
      </c>
      <c r="E16" s="160">
        <f>IF(分析!E9&lt;&gt;"",分析!E9,"")</f>
        <v/>
      </c>
      <c r="F16" s="161">
        <f>IF(分析!F9&lt;&gt;"",分析!F9,"")</f>
        <v/>
      </c>
      <c r="G16" s="161">
        <f>IF(分析!H9&lt;&gt;"",分析!H9,"")</f>
        <v/>
      </c>
      <c r="H16" s="161">
        <f>IF(分析!I9&lt;&gt;"",分析!I9,"")</f>
        <v/>
      </c>
      <c r="I16" s="161">
        <f>IF(分析!J9&lt;&gt;"",分析!J9,"")</f>
        <v/>
      </c>
      <c r="J16" s="161">
        <f>IF(分析!AB9&lt;&gt;"",分析!AB9,"")</f>
        <v/>
      </c>
      <c r="K16" s="161">
        <f>IF(分析!AC9&lt;&gt;"",分析!AC9,"")</f>
        <v/>
      </c>
      <c r="L16" s="161">
        <f>IF(分析!K9&lt;&gt;"",分析!K9,"")</f>
        <v/>
      </c>
      <c r="M16" s="156">
        <f>IF(分析!P9&lt;&gt;"",分析!P9,"")</f>
        <v/>
      </c>
      <c r="N16" s="604">
        <f>IF(分析!O9&lt;&gt;"",分析!O9,"")</f>
        <v/>
      </c>
      <c r="O16" s="163">
        <f>IF(分析!X9&lt;&gt;"",分析!X9,"")</f>
        <v/>
      </c>
      <c r="P16" s="605">
        <f>IF(分析!L9&lt;&gt;"",分析!L9,"")</f>
        <v/>
      </c>
      <c r="Q16" s="161">
        <f>IF(分析!S9&lt;&gt;"",分析!S9,"")</f>
        <v/>
      </c>
      <c r="R16" s="161">
        <f>IF(分析!R9&lt;&gt;"",分析!R9,"")</f>
        <v/>
      </c>
      <c r="S16" s="156">
        <f>IF(分析!AA9&lt;&gt;"",分析!AA9,"")</f>
        <v/>
      </c>
      <c r="T16" s="606">
        <f>IF(分析!Z9&lt;&gt;"",分析!Z9,"")</f>
        <v/>
      </c>
      <c r="U16" s="156">
        <f>IF(分析!V9&lt;&gt;"",分析!V9,"")</f>
        <v/>
      </c>
      <c r="V16" s="607">
        <f>IF(分析!W9&lt;&gt;"",分析!W9,"")</f>
        <v/>
      </c>
      <c r="W16" s="167">
        <f>IF(分析!AD9&lt;&gt;"",分析!AD9,"")</f>
        <v/>
      </c>
      <c r="X16" s="168">
        <f>IF(分析!AE9&lt;&gt;"",分析!AE9,"")</f>
        <v/>
      </c>
      <c r="Y16" s="169">
        <f>IF(分析!T9&lt;&gt;"",分析!T9,"")</f>
        <v/>
      </c>
      <c r="Z16" s="155">
        <f>IF(分析!Y9&lt;&gt;"",分析!Y9,"")</f>
        <v/>
      </c>
    </row>
    <row r="17" ht="21.95" customHeight="1" s="574">
      <c r="A17" s="156">
        <f>IF(分析!C75&lt;&gt;"",ROW()-2,"")</f>
        <v/>
      </c>
      <c r="B17" s="157">
        <f>IF(分析!C75&lt;&gt;"",HYPERLINK("https://kabutan.jp/stock/?code="&amp;分析!C75,"株探"),"")</f>
        <v/>
      </c>
      <c r="C17" s="603">
        <f>IF(分析!C75&lt;&gt;"",分析!C75,"")</f>
        <v/>
      </c>
      <c r="D17" s="159">
        <f>IF(分析!D75&lt;&gt;"",分析!D75,"")</f>
        <v/>
      </c>
      <c r="E17" s="160">
        <f>IF(分析!E75&lt;&gt;"",分析!E75,"")</f>
        <v/>
      </c>
      <c r="F17" s="161">
        <f>IF(分析!F75&lt;&gt;"",分析!F75,"")</f>
        <v/>
      </c>
      <c r="G17" s="161">
        <f>IF(分析!H75&lt;&gt;"",分析!H75,"")</f>
        <v/>
      </c>
      <c r="H17" s="161">
        <f>IF(分析!I75&lt;&gt;"",分析!I75,"")</f>
        <v/>
      </c>
      <c r="I17" s="161">
        <f>IF(分析!J75&lt;&gt;"",分析!J75,"")</f>
        <v/>
      </c>
      <c r="J17" s="161">
        <f>IF(分析!AB75&lt;&gt;"",分析!AB75,"")</f>
        <v/>
      </c>
      <c r="K17" s="161">
        <f>IF(分析!AC75&lt;&gt;"",分析!AC75,"")</f>
        <v/>
      </c>
      <c r="L17" s="161">
        <f>IF(分析!K75&lt;&gt;"",分析!K75,"")</f>
        <v/>
      </c>
      <c r="M17" s="156">
        <f>IF(分析!P75&lt;&gt;"",分析!P75,"")</f>
        <v/>
      </c>
      <c r="N17" s="604">
        <f>IF(分析!O75&lt;&gt;"",分析!O75,"")</f>
        <v/>
      </c>
      <c r="O17" s="163">
        <f>IF(分析!X75&lt;&gt;"",分析!X75,"")</f>
        <v/>
      </c>
      <c r="P17" s="605">
        <f>IF(分析!L75&lt;&gt;"",分析!L75,"")</f>
        <v/>
      </c>
      <c r="Q17" s="161">
        <f>IF(分析!S75&lt;&gt;"",分析!S75,"")</f>
        <v/>
      </c>
      <c r="R17" s="161">
        <f>IF(分析!R75&lt;&gt;"",分析!R75,"")</f>
        <v/>
      </c>
      <c r="S17" s="156">
        <f>IF(分析!AA75&lt;&gt;"",分析!AA75,"")</f>
        <v/>
      </c>
      <c r="T17" s="606">
        <f>IF(分析!Z75&lt;&gt;"",分析!Z75,"")</f>
        <v/>
      </c>
      <c r="U17" s="156">
        <f>IF(分析!V75&lt;&gt;"",分析!V75,"")</f>
        <v/>
      </c>
      <c r="V17" s="607">
        <f>IF(分析!W75&lt;&gt;"",分析!W75,"")</f>
        <v/>
      </c>
      <c r="W17" s="167">
        <f>IF(分析!AD75&lt;&gt;"",分析!AD75,"")</f>
        <v/>
      </c>
      <c r="X17" s="168">
        <f>IF(分析!AE75&lt;&gt;"",分析!AE75,"")</f>
        <v/>
      </c>
      <c r="Y17" s="169">
        <f>IF(分析!T75&lt;&gt;"",分析!T75,"")</f>
        <v/>
      </c>
      <c r="Z17" s="155">
        <f>IF(分析!Y75&lt;&gt;"",分析!Y75,"")</f>
        <v/>
      </c>
    </row>
    <row r="18" ht="21.95" customHeight="1" s="574">
      <c r="A18" s="156">
        <f>IF(分析!C145&lt;&gt;"",ROW()-2,"")</f>
        <v/>
      </c>
      <c r="B18" s="157">
        <f>IF(分析!C145&lt;&gt;"",HYPERLINK("https://kabutan.jp/stock/?code="&amp;分析!C145,"株探"),"")</f>
        <v/>
      </c>
      <c r="C18" s="603">
        <f>IF(分析!C145&lt;&gt;"",分析!C145,"")</f>
        <v/>
      </c>
      <c r="D18" s="159">
        <f>IF(分析!D145&lt;&gt;"",分析!D145,"")</f>
        <v/>
      </c>
      <c r="E18" s="160">
        <f>IF(分析!E145&lt;&gt;"",分析!E145,"")</f>
        <v/>
      </c>
      <c r="F18" s="161">
        <f>IF(分析!F145&lt;&gt;"",分析!F145,"")</f>
        <v/>
      </c>
      <c r="G18" s="161">
        <f>IF(分析!H145&lt;&gt;"",分析!H145,"")</f>
        <v/>
      </c>
      <c r="H18" s="161">
        <f>IF(分析!I145&lt;&gt;"",分析!I145,"")</f>
        <v/>
      </c>
      <c r="I18" s="161">
        <f>IF(分析!J145&lt;&gt;"",分析!J145,"")</f>
        <v/>
      </c>
      <c r="J18" s="161">
        <f>IF(分析!AB145&lt;&gt;"",分析!AB145,"")</f>
        <v/>
      </c>
      <c r="K18" s="161">
        <f>IF(分析!AC145&lt;&gt;"",分析!AC145,"")</f>
        <v/>
      </c>
      <c r="L18" s="161">
        <f>IF(分析!K145&lt;&gt;"",分析!K145,"")</f>
        <v/>
      </c>
      <c r="M18" s="156">
        <f>IF(分析!P145&lt;&gt;"",分析!P145,"")</f>
        <v/>
      </c>
      <c r="N18" s="604">
        <f>IF(分析!O145&lt;&gt;"",分析!O145,"")</f>
        <v/>
      </c>
      <c r="O18" s="163">
        <f>IF(分析!X145&lt;&gt;"",分析!X145,"")</f>
        <v/>
      </c>
      <c r="P18" s="605">
        <f>IF(分析!L145&lt;&gt;"",分析!L145,"")</f>
        <v/>
      </c>
      <c r="Q18" s="161">
        <f>IF(分析!S145&lt;&gt;"",分析!S145,"")</f>
        <v/>
      </c>
      <c r="R18" s="161">
        <f>IF(分析!R145&lt;&gt;"",分析!R145,"")</f>
        <v/>
      </c>
      <c r="S18" s="156">
        <f>IF(分析!AA145&lt;&gt;"",分析!AA145,"")</f>
        <v/>
      </c>
      <c r="T18" s="606">
        <f>IF(分析!Z145&lt;&gt;"",分析!Z145,"")</f>
        <v/>
      </c>
      <c r="U18" s="156">
        <f>IF(分析!V145&lt;&gt;"",分析!V145,"")</f>
        <v/>
      </c>
      <c r="V18" s="607">
        <f>IF(分析!W145&lt;&gt;"",分析!W145,"")</f>
        <v/>
      </c>
      <c r="W18" s="167">
        <f>IF(分析!AD145&lt;&gt;"",分析!AD145,"")</f>
        <v/>
      </c>
      <c r="X18" s="168">
        <f>IF(分析!AE145&lt;&gt;"",分析!AE145,"")</f>
        <v/>
      </c>
      <c r="Y18" s="169">
        <f>IF(分析!T145&lt;&gt;"",分析!T145,"")</f>
        <v/>
      </c>
      <c r="Z18" s="155">
        <f>IF(分析!Y145&lt;&gt;"",分析!Y145,"")</f>
        <v/>
      </c>
    </row>
    <row r="19" ht="21.95" customHeight="1" s="574">
      <c r="A19" s="156">
        <f>IF(分析!C151&lt;&gt;"",ROW()-2,"")</f>
        <v/>
      </c>
      <c r="B19" s="157">
        <f>IF(分析!C151&lt;&gt;"",HYPERLINK("https://kabutan.jp/stock/?code="&amp;分析!C151,"株探"),"")</f>
        <v/>
      </c>
      <c r="C19" s="603">
        <f>IF(分析!C151&lt;&gt;"",分析!C151,"")</f>
        <v/>
      </c>
      <c r="D19" s="159">
        <f>IF(分析!D151&lt;&gt;"",分析!D151,"")</f>
        <v/>
      </c>
      <c r="E19" s="160">
        <f>IF(分析!E151&lt;&gt;"",分析!E151,"")</f>
        <v/>
      </c>
      <c r="F19" s="161">
        <f>IF(分析!F151&lt;&gt;"",分析!F151,"")</f>
        <v/>
      </c>
      <c r="G19" s="161">
        <f>IF(分析!H151&lt;&gt;"",分析!H151,"")</f>
        <v/>
      </c>
      <c r="H19" s="161">
        <f>IF(分析!I151&lt;&gt;"",分析!I151,"")</f>
        <v/>
      </c>
      <c r="I19" s="161">
        <f>IF(分析!J151&lt;&gt;"",分析!J151,"")</f>
        <v/>
      </c>
      <c r="J19" s="161">
        <f>IF(分析!AB151&lt;&gt;"",分析!AB151,"")</f>
        <v/>
      </c>
      <c r="K19" s="161">
        <f>IF(分析!AC151&lt;&gt;"",分析!AC151,"")</f>
        <v/>
      </c>
      <c r="L19" s="161">
        <f>IF(分析!K151&lt;&gt;"",分析!K151,"")</f>
        <v/>
      </c>
      <c r="M19" s="156">
        <f>IF(分析!P151&lt;&gt;"",分析!P151,"")</f>
        <v/>
      </c>
      <c r="N19" s="604">
        <f>IF(分析!O151&lt;&gt;"",分析!O151,"")</f>
        <v/>
      </c>
      <c r="O19" s="163">
        <f>IF(分析!X151&lt;&gt;"",分析!X151,"")</f>
        <v/>
      </c>
      <c r="P19" s="605">
        <f>IF(分析!L151&lt;&gt;"",分析!L151,"")</f>
        <v/>
      </c>
      <c r="Q19" s="161">
        <f>IF(分析!S151&lt;&gt;"",分析!S151,"")</f>
        <v/>
      </c>
      <c r="R19" s="161">
        <f>IF(分析!R151&lt;&gt;"",分析!R151,"")</f>
        <v/>
      </c>
      <c r="S19" s="156">
        <f>IF(分析!AA151&lt;&gt;"",分析!AA151,"")</f>
        <v/>
      </c>
      <c r="T19" s="606">
        <f>IF(分析!Z151&lt;&gt;"",分析!Z151,"")</f>
        <v/>
      </c>
      <c r="U19" s="156">
        <f>IF(分析!V151&lt;&gt;"",分析!V151,"")</f>
        <v/>
      </c>
      <c r="V19" s="607">
        <f>IF(分析!W151&lt;&gt;"",分析!W151,"")</f>
        <v/>
      </c>
      <c r="W19" s="167">
        <f>IF(分析!AD151&lt;&gt;"",分析!AD151,"")</f>
        <v/>
      </c>
      <c r="X19" s="168">
        <f>IF(分析!AE151&lt;&gt;"",分析!AE151,"")</f>
        <v/>
      </c>
      <c r="Y19" s="169">
        <f>IF(分析!T151&lt;&gt;"",分析!T151,"")</f>
        <v/>
      </c>
      <c r="Z19" s="155">
        <f>IF(分析!Y151&lt;&gt;"",分析!Y151,"")</f>
        <v/>
      </c>
    </row>
    <row r="20" ht="21.95" customHeight="1" s="574">
      <c r="A20" s="141">
        <f>IF(分析!C192&lt;&gt;"",ROW()-2,"")</f>
        <v/>
      </c>
      <c r="B20" s="142">
        <f>IF(分析!C192&lt;&gt;"",HYPERLINK("https://kabutan.jp/stock/?code="&amp;分析!C192,"株探"),"")</f>
        <v/>
      </c>
      <c r="C20" s="598">
        <f>IF(分析!C192&lt;&gt;"",分析!C192,"")</f>
        <v/>
      </c>
      <c r="D20" s="144">
        <f>IF(分析!D192&lt;&gt;"",分析!D192,"")</f>
        <v/>
      </c>
      <c r="E20" s="145">
        <f>IF(分析!E192&lt;&gt;"",分析!E192,"")</f>
        <v/>
      </c>
      <c r="F20" s="146">
        <f>IF(分析!F192&lt;&gt;"",分析!F192,"")</f>
        <v/>
      </c>
      <c r="G20" s="146">
        <f>IF(分析!H192&lt;&gt;"",分析!H192,"")</f>
        <v/>
      </c>
      <c r="H20" s="146">
        <f>IF(分析!I192&lt;&gt;"",分析!I192,"")</f>
        <v/>
      </c>
      <c r="I20" s="146">
        <f>IF(分析!J192&lt;&gt;"",分析!J192,"")</f>
        <v/>
      </c>
      <c r="J20" s="146">
        <f>IF(分析!AB192&lt;&gt;"",分析!AB192,"")</f>
        <v/>
      </c>
      <c r="K20" s="146">
        <f>IF(分析!AC192&lt;&gt;"",分析!AC192,"")</f>
        <v/>
      </c>
      <c r="L20" s="146">
        <f>IF(分析!K192&lt;&gt;"",分析!K192,"")</f>
        <v/>
      </c>
      <c r="M20" s="141">
        <f>IF(分析!P192&lt;&gt;"",分析!P192,"")</f>
        <v/>
      </c>
      <c r="N20" s="599">
        <f>IF(分析!O192&lt;&gt;"",分析!O192,"")</f>
        <v/>
      </c>
      <c r="O20" s="148">
        <f>IF(分析!X192&lt;&gt;"",分析!X192,"")</f>
        <v/>
      </c>
      <c r="P20" s="600">
        <f>IF(分析!L192&lt;&gt;"",分析!L192,"")</f>
        <v/>
      </c>
      <c r="Q20" s="146">
        <f>IF(分析!S192&lt;&gt;"",分析!S192,"")</f>
        <v/>
      </c>
      <c r="R20" s="146">
        <f>IF(分析!R192&lt;&gt;"",分析!R192,"")</f>
        <v/>
      </c>
      <c r="S20" s="141">
        <f>IF(分析!AA192&lt;&gt;"",分析!AA192,"")</f>
        <v/>
      </c>
      <c r="T20" s="601">
        <f>IF(分析!Z192&lt;&gt;"",分析!Z192,"")</f>
        <v/>
      </c>
      <c r="U20" s="141">
        <f>IF(分析!V192&lt;&gt;"",分析!V192,"")</f>
        <v/>
      </c>
      <c r="V20" s="602">
        <f>IF(分析!W192&lt;&gt;"",分析!W192,"")</f>
        <v/>
      </c>
      <c r="W20" s="152">
        <f>IF(分析!AD192&lt;&gt;"",分析!AD192,"")</f>
        <v/>
      </c>
      <c r="X20" s="153">
        <f>IF(分析!AE192&lt;&gt;"",分析!AE192,"")</f>
        <v/>
      </c>
      <c r="Y20" s="154">
        <f>IF(分析!T192&lt;&gt;"",分析!T192,"")</f>
        <v/>
      </c>
      <c r="Z20" s="155">
        <f>IF(分析!Y192&lt;&gt;"",分析!Y192,"")</f>
        <v/>
      </c>
    </row>
    <row r="21" ht="21.95" customHeight="1" s="574">
      <c r="A21" s="141">
        <f>IF(分析!C188&lt;&gt;"",ROW()-2,"")</f>
        <v/>
      </c>
      <c r="B21" s="142">
        <f>IF(分析!C188&lt;&gt;"",HYPERLINK("https://kabutan.jp/stock/?code="&amp;分析!C188,"株探"),"")</f>
        <v/>
      </c>
      <c r="C21" s="598">
        <f>IF(分析!C188&lt;&gt;"",分析!C188,"")</f>
        <v/>
      </c>
      <c r="D21" s="144">
        <f>IF(分析!D188&lt;&gt;"",分析!D188,"")</f>
        <v/>
      </c>
      <c r="E21" s="145">
        <f>IF(分析!E188&lt;&gt;"",分析!E188,"")</f>
        <v/>
      </c>
      <c r="F21" s="146">
        <f>IF(分析!F188&lt;&gt;"",分析!F188,"")</f>
        <v/>
      </c>
      <c r="G21" s="146">
        <f>IF(分析!H188&lt;&gt;"",分析!H188,"")</f>
        <v/>
      </c>
      <c r="H21" s="146">
        <f>IF(分析!I188&lt;&gt;"",分析!I188,"")</f>
        <v/>
      </c>
      <c r="I21" s="146">
        <f>IF(分析!J188&lt;&gt;"",分析!J188,"")</f>
        <v/>
      </c>
      <c r="J21" s="146">
        <f>IF(分析!AB188&lt;&gt;"",分析!AB188,"")</f>
        <v/>
      </c>
      <c r="K21" s="146">
        <f>IF(分析!AC188&lt;&gt;"",分析!AC188,"")</f>
        <v/>
      </c>
      <c r="L21" s="146">
        <f>IF(分析!K188&lt;&gt;"",分析!K188,"")</f>
        <v/>
      </c>
      <c r="M21" s="141">
        <f>IF(分析!P188&lt;&gt;"",分析!P188,"")</f>
        <v/>
      </c>
      <c r="N21" s="599">
        <f>IF(分析!O188&lt;&gt;"",分析!O188,"")</f>
        <v/>
      </c>
      <c r="O21" s="148">
        <f>IF(分析!X188&lt;&gt;"",分析!X188,"")</f>
        <v/>
      </c>
      <c r="P21" s="600">
        <f>IF(分析!L188&lt;&gt;"",分析!L188,"")</f>
        <v/>
      </c>
      <c r="Q21" s="146">
        <f>IF(分析!S188&lt;&gt;"",分析!S188,"")</f>
        <v/>
      </c>
      <c r="R21" s="146">
        <f>IF(分析!R188&lt;&gt;"",分析!R188,"")</f>
        <v/>
      </c>
      <c r="S21" s="141">
        <f>IF(分析!AA188&lt;&gt;"",分析!AA188,"")</f>
        <v/>
      </c>
      <c r="T21" s="601">
        <f>IF(分析!Z188&lt;&gt;"",分析!Z188,"")</f>
        <v/>
      </c>
      <c r="U21" s="141">
        <f>IF(分析!V188&lt;&gt;"",分析!V188,"")</f>
        <v/>
      </c>
      <c r="V21" s="602">
        <f>IF(分析!W188&lt;&gt;"",分析!W188,"")</f>
        <v/>
      </c>
      <c r="W21" s="152">
        <f>IF(分析!AD188&lt;&gt;"",分析!AD188,"")</f>
        <v/>
      </c>
      <c r="X21" s="153">
        <f>IF(分析!AE188&lt;&gt;"",分析!AE188,"")</f>
        <v/>
      </c>
      <c r="Y21" s="154">
        <f>IF(分析!T188&lt;&gt;"",分析!T188,"")</f>
        <v/>
      </c>
      <c r="Z21" s="155">
        <f>IF(分析!Y188&lt;&gt;"",分析!Y188,"")</f>
        <v/>
      </c>
    </row>
    <row r="22" ht="21.95" customHeight="1" s="574">
      <c r="A22" s="141">
        <f>IF(分析!C184&lt;&gt;"",ROW()-2,"")</f>
        <v/>
      </c>
      <c r="B22" s="142">
        <f>IF(分析!C184&lt;&gt;"",HYPERLINK("https://kabutan.jp/stock/?code="&amp;分析!C184,"株探"),"")</f>
        <v/>
      </c>
      <c r="C22" s="598">
        <f>IF(分析!C184&lt;&gt;"",分析!C184,"")</f>
        <v/>
      </c>
      <c r="D22" s="144">
        <f>IF(分析!D184&lt;&gt;"",分析!D184,"")</f>
        <v/>
      </c>
      <c r="E22" s="145">
        <f>IF(分析!E184&lt;&gt;"",分析!E184,"")</f>
        <v/>
      </c>
      <c r="F22" s="146">
        <f>IF(分析!F184&lt;&gt;"",分析!F184,"")</f>
        <v/>
      </c>
      <c r="G22" s="146">
        <f>IF(分析!H184&lt;&gt;"",分析!H184,"")</f>
        <v/>
      </c>
      <c r="H22" s="146">
        <f>IF(分析!I184&lt;&gt;"",分析!I184,"")</f>
        <v/>
      </c>
      <c r="I22" s="146">
        <f>IF(分析!J184&lt;&gt;"",分析!J184,"")</f>
        <v/>
      </c>
      <c r="J22" s="146">
        <f>IF(分析!AB184&lt;&gt;"",分析!AB184,"")</f>
        <v/>
      </c>
      <c r="K22" s="146">
        <f>IF(分析!AC184&lt;&gt;"",分析!AC184,"")</f>
        <v/>
      </c>
      <c r="L22" s="146">
        <f>IF(分析!K184&lt;&gt;"",分析!K184,"")</f>
        <v/>
      </c>
      <c r="M22" s="141">
        <f>IF(分析!P184&lt;&gt;"",分析!P184,"")</f>
        <v/>
      </c>
      <c r="N22" s="599">
        <f>IF(分析!O184&lt;&gt;"",分析!O184,"")</f>
        <v/>
      </c>
      <c r="O22" s="148">
        <f>IF(分析!X184&lt;&gt;"",分析!X184,"")</f>
        <v/>
      </c>
      <c r="P22" s="600">
        <f>IF(分析!L184&lt;&gt;"",分析!L184,"")</f>
        <v/>
      </c>
      <c r="Q22" s="146">
        <f>IF(分析!S184&lt;&gt;"",分析!S184,"")</f>
        <v/>
      </c>
      <c r="R22" s="146">
        <f>IF(分析!R184&lt;&gt;"",分析!R184,"")</f>
        <v/>
      </c>
      <c r="S22" s="141">
        <f>IF(分析!AA184&lt;&gt;"",分析!AA184,"")</f>
        <v/>
      </c>
      <c r="T22" s="601">
        <f>IF(分析!Z184&lt;&gt;"",分析!Z184,"")</f>
        <v/>
      </c>
      <c r="U22" s="141">
        <f>IF(分析!V184&lt;&gt;"",分析!V184,"")</f>
        <v/>
      </c>
      <c r="V22" s="602">
        <f>IF(分析!W184&lt;&gt;"",分析!W184,"")</f>
        <v/>
      </c>
      <c r="W22" s="152">
        <f>IF(分析!AD184&lt;&gt;"",分析!AD184,"")</f>
        <v/>
      </c>
      <c r="X22" s="153">
        <f>IF(分析!AE184&lt;&gt;"",分析!AE184,"")</f>
        <v/>
      </c>
      <c r="Y22" s="154">
        <f>IF(分析!T184&lt;&gt;"",分析!T184,"")</f>
        <v/>
      </c>
      <c r="Z22" s="155">
        <f>IF(分析!Y184&lt;&gt;"",分析!Y184,"")</f>
        <v/>
      </c>
    </row>
    <row r="23" ht="21.95" customHeight="1" s="574">
      <c r="A23" s="141">
        <f>IF(分析!C124&lt;&gt;"",ROW()-2,"")</f>
        <v/>
      </c>
      <c r="B23" s="142">
        <f>IF(分析!C124&lt;&gt;"",HYPERLINK("https://kabutan.jp/stock/?code="&amp;分析!C124,"株探"),"")</f>
        <v/>
      </c>
      <c r="C23" s="598">
        <f>IF(分析!C124&lt;&gt;"",分析!C124,"")</f>
        <v/>
      </c>
      <c r="D23" s="144">
        <f>IF(分析!D124&lt;&gt;"",分析!D124,"")</f>
        <v/>
      </c>
      <c r="E23" s="145">
        <f>IF(分析!E124&lt;&gt;"",分析!E124,"")</f>
        <v/>
      </c>
      <c r="F23" s="146">
        <f>IF(分析!F124&lt;&gt;"",分析!F124,"")</f>
        <v/>
      </c>
      <c r="G23" s="146">
        <f>IF(分析!H124&lt;&gt;"",分析!H124,"")</f>
        <v/>
      </c>
      <c r="H23" s="146">
        <f>IF(分析!I124&lt;&gt;"",分析!I124,"")</f>
        <v/>
      </c>
      <c r="I23" s="146">
        <f>IF(分析!J124&lt;&gt;"",分析!J124,"")</f>
        <v/>
      </c>
      <c r="J23" s="146">
        <f>IF(分析!AB124&lt;&gt;"",分析!AB124,"")</f>
        <v/>
      </c>
      <c r="K23" s="146">
        <f>IF(分析!AC124&lt;&gt;"",分析!AC124,"")</f>
        <v/>
      </c>
      <c r="L23" s="146">
        <f>IF(分析!K124&lt;&gt;"",分析!K124,"")</f>
        <v/>
      </c>
      <c r="M23" s="141">
        <f>IF(分析!P124&lt;&gt;"",分析!P124,"")</f>
        <v/>
      </c>
      <c r="N23" s="599">
        <f>IF(分析!O124&lt;&gt;"",分析!O124,"")</f>
        <v/>
      </c>
      <c r="O23" s="148">
        <f>IF(分析!X124&lt;&gt;"",分析!X124,"")</f>
        <v/>
      </c>
      <c r="P23" s="600">
        <f>IF(分析!L124&lt;&gt;"",分析!L124,"")</f>
        <v/>
      </c>
      <c r="Q23" s="146">
        <f>IF(分析!S124&lt;&gt;"",分析!S124,"")</f>
        <v/>
      </c>
      <c r="R23" s="146">
        <f>IF(分析!R124&lt;&gt;"",分析!R124,"")</f>
        <v/>
      </c>
      <c r="S23" s="141">
        <f>IF(分析!AA124&lt;&gt;"",分析!AA124,"")</f>
        <v/>
      </c>
      <c r="T23" s="601">
        <f>IF(分析!Z124&lt;&gt;"",分析!Z124,"")</f>
        <v/>
      </c>
      <c r="U23" s="141">
        <f>IF(分析!V124&lt;&gt;"",分析!V124,"")</f>
        <v/>
      </c>
      <c r="V23" s="602">
        <f>IF(分析!W124&lt;&gt;"",分析!W124,"")</f>
        <v/>
      </c>
      <c r="W23" s="152">
        <f>IF(分析!AD124&lt;&gt;"",分析!AD124,"")</f>
        <v/>
      </c>
      <c r="X23" s="153">
        <f>IF(分析!AE124&lt;&gt;"",分析!AE124,"")</f>
        <v/>
      </c>
      <c r="Y23" s="154">
        <f>IF(分析!T124&lt;&gt;"",分析!T124,"")</f>
        <v/>
      </c>
      <c r="Z23" s="155">
        <f>IF(分析!Y124&lt;&gt;"",分析!Y124,"")</f>
        <v/>
      </c>
    </row>
    <row r="24" ht="21.95" customHeight="1" s="574">
      <c r="A24" s="156">
        <f>IF(分析!C103&lt;&gt;"",ROW()-2,"")</f>
        <v/>
      </c>
      <c r="B24" s="157">
        <f>IF(分析!C103&lt;&gt;"",HYPERLINK("https://kabutan.jp/stock/?code="&amp;分析!C103,"株探"),"")</f>
        <v/>
      </c>
      <c r="C24" s="603">
        <f>IF(分析!C103&lt;&gt;"",分析!C103,"")</f>
        <v/>
      </c>
      <c r="D24" s="159">
        <f>IF(分析!D103&lt;&gt;"",分析!D103,"")</f>
        <v/>
      </c>
      <c r="E24" s="160">
        <f>IF(分析!E103&lt;&gt;"",分析!E103,"")</f>
        <v/>
      </c>
      <c r="F24" s="161">
        <f>IF(分析!F103&lt;&gt;"",分析!F103,"")</f>
        <v/>
      </c>
      <c r="G24" s="161">
        <f>IF(分析!H103&lt;&gt;"",分析!H103,"")</f>
        <v/>
      </c>
      <c r="H24" s="161">
        <f>IF(分析!I103&lt;&gt;"",分析!I103,"")</f>
        <v/>
      </c>
      <c r="I24" s="161">
        <f>IF(分析!J103&lt;&gt;"",分析!J103,"")</f>
        <v/>
      </c>
      <c r="J24" s="161">
        <f>IF(分析!AB103&lt;&gt;"",分析!AB103,"")</f>
        <v/>
      </c>
      <c r="K24" s="161">
        <f>IF(分析!AC103&lt;&gt;"",分析!AC103,"")</f>
        <v/>
      </c>
      <c r="L24" s="161">
        <f>IF(分析!K103&lt;&gt;"",分析!K103,"")</f>
        <v/>
      </c>
      <c r="M24" s="156">
        <f>IF(分析!P103&lt;&gt;"",分析!P103,"")</f>
        <v/>
      </c>
      <c r="N24" s="604">
        <f>IF(分析!O103&lt;&gt;"",分析!O103,"")</f>
        <v/>
      </c>
      <c r="O24" s="163">
        <f>IF(分析!X103&lt;&gt;"",分析!X103,"")</f>
        <v/>
      </c>
      <c r="P24" s="605">
        <f>IF(分析!L103&lt;&gt;"",分析!L103,"")</f>
        <v/>
      </c>
      <c r="Q24" s="161">
        <f>IF(分析!S103&lt;&gt;"",分析!S103,"")</f>
        <v/>
      </c>
      <c r="R24" s="161">
        <f>IF(分析!R103&lt;&gt;"",分析!R103,"")</f>
        <v/>
      </c>
      <c r="S24" s="156">
        <f>IF(分析!AA103&lt;&gt;"",分析!AA103,"")</f>
        <v/>
      </c>
      <c r="T24" s="606">
        <f>IF(分析!Z103&lt;&gt;"",分析!Z103,"")</f>
        <v/>
      </c>
      <c r="U24" s="156">
        <f>IF(分析!V103&lt;&gt;"",分析!V103,"")</f>
        <v/>
      </c>
      <c r="V24" s="607">
        <f>IF(分析!W103&lt;&gt;"",分析!W103,"")</f>
        <v/>
      </c>
      <c r="W24" s="167">
        <f>IF(分析!AD103&lt;&gt;"",分析!AD103,"")</f>
        <v/>
      </c>
      <c r="X24" s="168">
        <f>IF(分析!AE103&lt;&gt;"",分析!AE103,"")</f>
        <v/>
      </c>
      <c r="Y24" s="169">
        <f>IF(分析!T103&lt;&gt;"",分析!T103,"")</f>
        <v/>
      </c>
      <c r="Z24" s="155">
        <f>IF(分析!Y103&lt;&gt;"",分析!Y103,"")</f>
        <v/>
      </c>
    </row>
    <row r="25" ht="21.95" customHeight="1" s="574">
      <c r="A25" s="156">
        <f>IF(分析!C133&lt;&gt;"",ROW()-2,"")</f>
        <v/>
      </c>
      <c r="B25" s="157">
        <f>IF(分析!C133&lt;&gt;"",HYPERLINK("https://kabutan.jp/stock/?code="&amp;分析!C133,"株探"),"")</f>
        <v/>
      </c>
      <c r="C25" s="603">
        <f>IF(分析!C133&lt;&gt;"",分析!C133,"")</f>
        <v/>
      </c>
      <c r="D25" s="159">
        <f>IF(分析!D133&lt;&gt;"",分析!D133,"")</f>
        <v/>
      </c>
      <c r="E25" s="160">
        <f>IF(分析!E133&lt;&gt;"",分析!E133,"")</f>
        <v/>
      </c>
      <c r="F25" s="161">
        <f>IF(分析!F133&lt;&gt;"",分析!F133,"")</f>
        <v/>
      </c>
      <c r="G25" s="161">
        <f>IF(分析!H133&lt;&gt;"",分析!H133,"")</f>
        <v/>
      </c>
      <c r="H25" s="161">
        <f>IF(分析!I133&lt;&gt;"",分析!I133,"")</f>
        <v/>
      </c>
      <c r="I25" s="161">
        <f>IF(分析!J133&lt;&gt;"",分析!J133,"")</f>
        <v/>
      </c>
      <c r="J25" s="161">
        <f>IF(分析!AB133&lt;&gt;"",分析!AB133,"")</f>
        <v/>
      </c>
      <c r="K25" s="161">
        <f>IF(分析!AC133&lt;&gt;"",分析!AC133,"")</f>
        <v/>
      </c>
      <c r="L25" s="161">
        <f>IF(分析!K133&lt;&gt;"",分析!K133,"")</f>
        <v/>
      </c>
      <c r="M25" s="156">
        <f>IF(分析!P133&lt;&gt;"",分析!P133,"")</f>
        <v/>
      </c>
      <c r="N25" s="604">
        <f>IF(分析!O133&lt;&gt;"",分析!O133,"")</f>
        <v/>
      </c>
      <c r="O25" s="163">
        <f>IF(分析!X133&lt;&gt;"",分析!X133,"")</f>
        <v/>
      </c>
      <c r="P25" s="605">
        <f>IF(分析!L133&lt;&gt;"",分析!L133,"")</f>
        <v/>
      </c>
      <c r="Q25" s="161">
        <f>IF(分析!S133&lt;&gt;"",分析!S133,"")</f>
        <v/>
      </c>
      <c r="R25" s="161">
        <f>IF(分析!R133&lt;&gt;"",分析!R133,"")</f>
        <v/>
      </c>
      <c r="S25" s="156">
        <f>IF(分析!AA133&lt;&gt;"",分析!AA133,"")</f>
        <v/>
      </c>
      <c r="T25" s="606">
        <f>IF(分析!Z133&lt;&gt;"",分析!Z133,"")</f>
        <v/>
      </c>
      <c r="U25" s="156">
        <f>IF(分析!V133&lt;&gt;"",分析!V133,"")</f>
        <v/>
      </c>
      <c r="V25" s="607">
        <f>IF(分析!W133&lt;&gt;"",分析!W133,"")</f>
        <v/>
      </c>
      <c r="W25" s="167">
        <f>IF(分析!AD133&lt;&gt;"",分析!AD133,"")</f>
        <v/>
      </c>
      <c r="X25" s="168">
        <f>IF(分析!AE133&lt;&gt;"",分析!AE133,"")</f>
        <v/>
      </c>
      <c r="Y25" s="169">
        <f>IF(分析!T133&lt;&gt;"",分析!T133,"")</f>
        <v/>
      </c>
      <c r="Z25" s="155">
        <f>IF(分析!Y133&lt;&gt;"",分析!Y133,"")</f>
        <v/>
      </c>
    </row>
    <row r="26" ht="21.95" customHeight="1" s="574">
      <c r="A26" s="156">
        <f>IF(分析!C195&lt;&gt;"",ROW()-2,"")</f>
        <v/>
      </c>
      <c r="B26" s="157">
        <f>IF(分析!C195&lt;&gt;"",HYPERLINK("https://kabutan.jp/stock/?code="&amp;分析!C195,"株探"),"")</f>
        <v/>
      </c>
      <c r="C26" s="603">
        <f>IF(分析!C195&lt;&gt;"",分析!C195,"")</f>
        <v/>
      </c>
      <c r="D26" s="159">
        <f>IF(分析!D195&lt;&gt;"",分析!D195,"")</f>
        <v/>
      </c>
      <c r="E26" s="160">
        <f>IF(分析!E195&lt;&gt;"",分析!E195,"")</f>
        <v/>
      </c>
      <c r="F26" s="161">
        <f>IF(分析!F195&lt;&gt;"",分析!F195,"")</f>
        <v/>
      </c>
      <c r="G26" s="161">
        <f>IF(分析!H195&lt;&gt;"",分析!H195,"")</f>
        <v/>
      </c>
      <c r="H26" s="161">
        <f>IF(分析!I195&lt;&gt;"",分析!I195,"")</f>
        <v/>
      </c>
      <c r="I26" s="161">
        <f>IF(分析!J195&lt;&gt;"",分析!J195,"")</f>
        <v/>
      </c>
      <c r="J26" s="161">
        <f>IF(分析!AB195&lt;&gt;"",分析!AB195,"")</f>
        <v/>
      </c>
      <c r="K26" s="161">
        <f>IF(分析!AC195&lt;&gt;"",分析!AC195,"")</f>
        <v/>
      </c>
      <c r="L26" s="161">
        <f>IF(分析!K195&lt;&gt;"",分析!K195,"")</f>
        <v/>
      </c>
      <c r="M26" s="156">
        <f>IF(分析!P195&lt;&gt;"",分析!P195,"")</f>
        <v/>
      </c>
      <c r="N26" s="604">
        <f>IF(分析!O195&lt;&gt;"",分析!O195,"")</f>
        <v/>
      </c>
      <c r="O26" s="163">
        <f>IF(分析!X195&lt;&gt;"",分析!X195,"")</f>
        <v/>
      </c>
      <c r="P26" s="605">
        <f>IF(分析!L195&lt;&gt;"",分析!L195,"")</f>
        <v/>
      </c>
      <c r="Q26" s="161">
        <f>IF(分析!S195&lt;&gt;"",分析!S195,"")</f>
        <v/>
      </c>
      <c r="R26" s="161">
        <f>IF(分析!R195&lt;&gt;"",分析!R195,"")</f>
        <v/>
      </c>
      <c r="S26" s="156">
        <f>IF(分析!AA195&lt;&gt;"",分析!AA195,"")</f>
        <v/>
      </c>
      <c r="T26" s="606">
        <f>IF(分析!Z195&lt;&gt;"",分析!Z195,"")</f>
        <v/>
      </c>
      <c r="U26" s="156">
        <f>IF(分析!V195&lt;&gt;"",分析!V195,"")</f>
        <v/>
      </c>
      <c r="V26" s="607">
        <f>IF(分析!W195&lt;&gt;"",分析!W195,"")</f>
        <v/>
      </c>
      <c r="W26" s="167">
        <f>IF(分析!AD195&lt;&gt;"",分析!AD195,"")</f>
        <v/>
      </c>
      <c r="X26" s="168">
        <f>IF(分析!AE195&lt;&gt;"",分析!AE195,"")</f>
        <v/>
      </c>
      <c r="Y26" s="169">
        <f>IF(分析!T195&lt;&gt;"",分析!T195,"")</f>
        <v/>
      </c>
      <c r="Z26" s="155">
        <f>IF(分析!Y195&lt;&gt;"",分析!Y195,"")</f>
        <v/>
      </c>
    </row>
    <row r="27" ht="21.95" customHeight="1" s="574">
      <c r="A27" s="156">
        <f>IF(分析!C131&lt;&gt;"",ROW()-2,"")</f>
        <v/>
      </c>
      <c r="B27" s="157">
        <f>IF(分析!C131&lt;&gt;"",HYPERLINK("https://kabutan.jp/stock/?code="&amp;分析!C131,"株探"),"")</f>
        <v/>
      </c>
      <c r="C27" s="603">
        <f>IF(分析!C131&lt;&gt;"",分析!C131,"")</f>
        <v/>
      </c>
      <c r="D27" s="159">
        <f>IF(分析!D131&lt;&gt;"",分析!D131,"")</f>
        <v/>
      </c>
      <c r="E27" s="160">
        <f>IF(分析!E131&lt;&gt;"",分析!E131,"")</f>
        <v/>
      </c>
      <c r="F27" s="161">
        <f>IF(分析!F131&lt;&gt;"",分析!F131,"")</f>
        <v/>
      </c>
      <c r="G27" s="161">
        <f>IF(分析!H131&lt;&gt;"",分析!H131,"")</f>
        <v/>
      </c>
      <c r="H27" s="161">
        <f>IF(分析!I131&lt;&gt;"",分析!I131,"")</f>
        <v/>
      </c>
      <c r="I27" s="161">
        <f>IF(分析!J131&lt;&gt;"",分析!J131,"")</f>
        <v/>
      </c>
      <c r="J27" s="161">
        <f>IF(分析!AB131&lt;&gt;"",分析!AB131,"")</f>
        <v/>
      </c>
      <c r="K27" s="161">
        <f>IF(分析!AC131&lt;&gt;"",分析!AC131,"")</f>
        <v/>
      </c>
      <c r="L27" s="161">
        <f>IF(分析!K131&lt;&gt;"",分析!K131,"")</f>
        <v/>
      </c>
      <c r="M27" s="156">
        <f>IF(分析!P131&lt;&gt;"",分析!P131,"")</f>
        <v/>
      </c>
      <c r="N27" s="604">
        <f>IF(分析!O131&lt;&gt;"",分析!O131,"")</f>
        <v/>
      </c>
      <c r="O27" s="163">
        <f>IF(分析!X131&lt;&gt;"",分析!X131,"")</f>
        <v/>
      </c>
      <c r="P27" s="605">
        <f>IF(分析!L131&lt;&gt;"",分析!L131,"")</f>
        <v/>
      </c>
      <c r="Q27" s="161">
        <f>IF(分析!S131&lt;&gt;"",分析!S131,"")</f>
        <v/>
      </c>
      <c r="R27" s="161">
        <f>IF(分析!R131&lt;&gt;"",分析!R131,"")</f>
        <v/>
      </c>
      <c r="S27" s="156">
        <f>IF(分析!AA131&lt;&gt;"",分析!AA131,"")</f>
        <v/>
      </c>
      <c r="T27" s="606">
        <f>IF(分析!Z131&lt;&gt;"",分析!Z131,"")</f>
        <v/>
      </c>
      <c r="U27" s="156">
        <f>IF(分析!V131&lt;&gt;"",分析!V131,"")</f>
        <v/>
      </c>
      <c r="V27" s="607">
        <f>IF(分析!W131&lt;&gt;"",分析!W131,"")</f>
        <v/>
      </c>
      <c r="W27" s="167">
        <f>IF(分析!AD131&lt;&gt;"",分析!AD131,"")</f>
        <v/>
      </c>
      <c r="X27" s="168">
        <f>IF(分析!AE131&lt;&gt;"",分析!AE131,"")</f>
        <v/>
      </c>
      <c r="Y27" s="169">
        <f>IF(分析!T131&lt;&gt;"",分析!T131,"")</f>
        <v/>
      </c>
      <c r="Z27" s="155">
        <f>IF(分析!Y131&lt;&gt;"",分析!Y131,"")</f>
        <v/>
      </c>
    </row>
    <row r="28" ht="21.95" customHeight="1" s="574">
      <c r="A28" s="141">
        <f>IF(分析!C34&lt;&gt;"",ROW()-2,"")</f>
        <v/>
      </c>
      <c r="B28" s="142">
        <f>IF(分析!C34&lt;&gt;"",HYPERLINK("https://kabutan.jp/stock/?code="&amp;分析!C34,"株探"),"")</f>
        <v/>
      </c>
      <c r="C28" s="598">
        <f>IF(分析!C34&lt;&gt;"",分析!C34,"")</f>
        <v/>
      </c>
      <c r="D28" s="144">
        <f>IF(分析!D34&lt;&gt;"",分析!D34,"")</f>
        <v/>
      </c>
      <c r="E28" s="145">
        <f>IF(分析!E34&lt;&gt;"",分析!E34,"")</f>
        <v/>
      </c>
      <c r="F28" s="146">
        <f>IF(分析!F34&lt;&gt;"",分析!F34,"")</f>
        <v/>
      </c>
      <c r="G28" s="146">
        <f>IF(分析!H34&lt;&gt;"",分析!H34,"")</f>
        <v/>
      </c>
      <c r="H28" s="146">
        <f>IF(分析!I34&lt;&gt;"",分析!I34,"")</f>
        <v/>
      </c>
      <c r="I28" s="146">
        <f>IF(分析!J34&lt;&gt;"",分析!J34,"")</f>
        <v/>
      </c>
      <c r="J28" s="146">
        <f>IF(分析!AB34&lt;&gt;"",分析!AB34,"")</f>
        <v/>
      </c>
      <c r="K28" s="146">
        <f>IF(分析!AC34&lt;&gt;"",分析!AC34,"")</f>
        <v/>
      </c>
      <c r="L28" s="146">
        <f>IF(分析!K34&lt;&gt;"",分析!K34,"")</f>
        <v/>
      </c>
      <c r="M28" s="141">
        <f>IF(分析!P34&lt;&gt;"",分析!P34,"")</f>
        <v/>
      </c>
      <c r="N28" s="599">
        <f>IF(分析!O34&lt;&gt;"",分析!O34,"")</f>
        <v/>
      </c>
      <c r="O28" s="148">
        <f>IF(分析!X34&lt;&gt;"",分析!X34,"")</f>
        <v/>
      </c>
      <c r="P28" s="600">
        <f>IF(分析!L34&lt;&gt;"",分析!L34,"")</f>
        <v/>
      </c>
      <c r="Q28" s="146">
        <f>IF(分析!S34&lt;&gt;"",分析!S34,"")</f>
        <v/>
      </c>
      <c r="R28" s="146">
        <f>IF(分析!R34&lt;&gt;"",分析!R34,"")</f>
        <v/>
      </c>
      <c r="S28" s="141">
        <f>IF(分析!AA34&lt;&gt;"",分析!AA34,"")</f>
        <v/>
      </c>
      <c r="T28" s="601">
        <f>IF(分析!Z34&lt;&gt;"",分析!Z34,"")</f>
        <v/>
      </c>
      <c r="U28" s="141">
        <f>IF(分析!V34&lt;&gt;"",分析!V34,"")</f>
        <v/>
      </c>
      <c r="V28" s="602">
        <f>IF(分析!W34&lt;&gt;"",分析!W34,"")</f>
        <v/>
      </c>
      <c r="W28" s="152">
        <f>IF(分析!AD34&lt;&gt;"",分析!AD34,"")</f>
        <v/>
      </c>
      <c r="X28" s="153">
        <f>IF(分析!AE34&lt;&gt;"",分析!AE34,"")</f>
        <v/>
      </c>
      <c r="Y28" s="154">
        <f>IF(分析!T34&lt;&gt;"",分析!T34,"")</f>
        <v/>
      </c>
      <c r="Z28" s="155">
        <f>IF(分析!Y34&lt;&gt;"",分析!Y34,"")</f>
        <v/>
      </c>
    </row>
    <row r="29" ht="21.95" customHeight="1" s="574">
      <c r="A29" s="141">
        <f>IF(分析!C88&lt;&gt;"",ROW()-2,"")</f>
        <v/>
      </c>
      <c r="B29" s="142">
        <f>IF(分析!C88&lt;&gt;"",HYPERLINK("https://kabutan.jp/stock/?code="&amp;分析!C88,"株探"),"")</f>
        <v/>
      </c>
      <c r="C29" s="598">
        <f>IF(分析!C88&lt;&gt;"",分析!C88,"")</f>
        <v/>
      </c>
      <c r="D29" s="144">
        <f>IF(分析!D88&lt;&gt;"",分析!D88,"")</f>
        <v/>
      </c>
      <c r="E29" s="145">
        <f>IF(分析!E88&lt;&gt;"",分析!E88,"")</f>
        <v/>
      </c>
      <c r="F29" s="146">
        <f>IF(分析!F88&lt;&gt;"",分析!F88,"")</f>
        <v/>
      </c>
      <c r="G29" s="146">
        <f>IF(分析!H88&lt;&gt;"",分析!H88,"")</f>
        <v/>
      </c>
      <c r="H29" s="146">
        <f>IF(分析!I88&lt;&gt;"",分析!I88,"")</f>
        <v/>
      </c>
      <c r="I29" s="146">
        <f>IF(分析!J88&lt;&gt;"",分析!J88,"")</f>
        <v/>
      </c>
      <c r="J29" s="146">
        <f>IF(分析!AB88&lt;&gt;"",分析!AB88,"")</f>
        <v/>
      </c>
      <c r="K29" s="146">
        <f>IF(分析!AC88&lt;&gt;"",分析!AC88,"")</f>
        <v/>
      </c>
      <c r="L29" s="146">
        <f>IF(分析!K88&lt;&gt;"",分析!K88,"")</f>
        <v/>
      </c>
      <c r="M29" s="141">
        <f>IF(分析!P88&lt;&gt;"",分析!P88,"")</f>
        <v/>
      </c>
      <c r="N29" s="599">
        <f>IF(分析!O88&lt;&gt;"",分析!O88,"")</f>
        <v/>
      </c>
      <c r="O29" s="148">
        <f>IF(分析!X88&lt;&gt;"",分析!X88,"")</f>
        <v/>
      </c>
      <c r="P29" s="600">
        <f>IF(分析!L88&lt;&gt;"",分析!L88,"")</f>
        <v/>
      </c>
      <c r="Q29" s="146">
        <f>IF(分析!S88&lt;&gt;"",分析!S88,"")</f>
        <v/>
      </c>
      <c r="R29" s="146">
        <f>IF(分析!R88&lt;&gt;"",分析!R88,"")</f>
        <v/>
      </c>
      <c r="S29" s="141">
        <f>IF(分析!AA88&lt;&gt;"",分析!AA88,"")</f>
        <v/>
      </c>
      <c r="T29" s="601">
        <f>IF(分析!Z88&lt;&gt;"",分析!Z88,"")</f>
        <v/>
      </c>
      <c r="U29" s="141">
        <f>IF(分析!V88&lt;&gt;"",分析!V88,"")</f>
        <v/>
      </c>
      <c r="V29" s="602">
        <f>IF(分析!W88&lt;&gt;"",分析!W88,"")</f>
        <v/>
      </c>
      <c r="W29" s="152">
        <f>IF(分析!AD88&lt;&gt;"",分析!AD88,"")</f>
        <v/>
      </c>
      <c r="X29" s="153">
        <f>IF(分析!AE88&lt;&gt;"",分析!AE88,"")</f>
        <v/>
      </c>
      <c r="Y29" s="154">
        <f>IF(分析!T88&lt;&gt;"",分析!T88,"")</f>
        <v/>
      </c>
      <c r="Z29" s="155">
        <f>IF(分析!Y88&lt;&gt;"",分析!Y88,"")</f>
        <v/>
      </c>
    </row>
    <row r="30" ht="21.95" customHeight="1" s="574">
      <c r="A30" s="141">
        <f>IF(分析!C170&lt;&gt;"",ROW()-2,"")</f>
        <v/>
      </c>
      <c r="B30" s="142">
        <f>IF(分析!C170&lt;&gt;"",HYPERLINK("https://kabutan.jp/stock/?code="&amp;分析!C170,"株探"),"")</f>
        <v/>
      </c>
      <c r="C30" s="598">
        <f>IF(分析!C170&lt;&gt;"",分析!C170,"")</f>
        <v/>
      </c>
      <c r="D30" s="144">
        <f>IF(分析!D170&lt;&gt;"",分析!D170,"")</f>
        <v/>
      </c>
      <c r="E30" s="145">
        <f>IF(分析!E170&lt;&gt;"",分析!E170,"")</f>
        <v/>
      </c>
      <c r="F30" s="146">
        <f>IF(分析!F170&lt;&gt;"",分析!F170,"")</f>
        <v/>
      </c>
      <c r="G30" s="146">
        <f>IF(分析!H170&lt;&gt;"",分析!H170,"")</f>
        <v/>
      </c>
      <c r="H30" s="146">
        <f>IF(分析!I170&lt;&gt;"",分析!I170,"")</f>
        <v/>
      </c>
      <c r="I30" s="146">
        <f>IF(分析!J170&lt;&gt;"",分析!J170,"")</f>
        <v/>
      </c>
      <c r="J30" s="146">
        <f>IF(分析!AB170&lt;&gt;"",分析!AB170,"")</f>
        <v/>
      </c>
      <c r="K30" s="146">
        <f>IF(分析!AC170&lt;&gt;"",分析!AC170,"")</f>
        <v/>
      </c>
      <c r="L30" s="146">
        <f>IF(分析!K170&lt;&gt;"",分析!K170,"")</f>
        <v/>
      </c>
      <c r="M30" s="141">
        <f>IF(分析!P170&lt;&gt;"",分析!P170,"")</f>
        <v/>
      </c>
      <c r="N30" s="599">
        <f>IF(分析!O170&lt;&gt;"",分析!O170,"")</f>
        <v/>
      </c>
      <c r="O30" s="148">
        <f>IF(分析!X170&lt;&gt;"",分析!X170,"")</f>
        <v/>
      </c>
      <c r="P30" s="600">
        <f>IF(分析!L170&lt;&gt;"",分析!L170,"")</f>
        <v/>
      </c>
      <c r="Q30" s="146">
        <f>IF(分析!S170&lt;&gt;"",分析!S170,"")</f>
        <v/>
      </c>
      <c r="R30" s="146">
        <f>IF(分析!R170&lt;&gt;"",分析!R170,"")</f>
        <v/>
      </c>
      <c r="S30" s="141">
        <f>IF(分析!AA170&lt;&gt;"",分析!AA170,"")</f>
        <v/>
      </c>
      <c r="T30" s="601">
        <f>IF(分析!Z170&lt;&gt;"",分析!Z170,"")</f>
        <v/>
      </c>
      <c r="U30" s="141">
        <f>IF(分析!V170&lt;&gt;"",分析!V170,"")</f>
        <v/>
      </c>
      <c r="V30" s="602">
        <f>IF(分析!W170&lt;&gt;"",分析!W170,"")</f>
        <v/>
      </c>
      <c r="W30" s="152">
        <f>IF(分析!AD170&lt;&gt;"",分析!AD170,"")</f>
        <v/>
      </c>
      <c r="X30" s="153">
        <f>IF(分析!AE170&lt;&gt;"",分析!AE170,"")</f>
        <v/>
      </c>
      <c r="Y30" s="154">
        <f>IF(分析!T170&lt;&gt;"",分析!T170,"")</f>
        <v/>
      </c>
      <c r="Z30" s="155">
        <f>IF(分析!Y170&lt;&gt;"",分析!Y170,"")</f>
        <v/>
      </c>
    </row>
    <row r="31" ht="21.95" customHeight="1" s="574">
      <c r="A31" s="141">
        <f>IF(分析!C138&lt;&gt;"",ROW()-2,"")</f>
        <v/>
      </c>
      <c r="B31" s="142">
        <f>IF(分析!C138&lt;&gt;"",HYPERLINK("https://kabutan.jp/stock/?code="&amp;分析!C138,"株探"),"")</f>
        <v/>
      </c>
      <c r="C31" s="598">
        <f>IF(分析!C138&lt;&gt;"",分析!C138,"")</f>
        <v/>
      </c>
      <c r="D31" s="144">
        <f>IF(分析!D138&lt;&gt;"",分析!D138,"")</f>
        <v/>
      </c>
      <c r="E31" s="145">
        <f>IF(分析!E138&lt;&gt;"",分析!E138,"")</f>
        <v/>
      </c>
      <c r="F31" s="146">
        <f>IF(分析!F138&lt;&gt;"",分析!F138,"")</f>
        <v/>
      </c>
      <c r="G31" s="146">
        <f>IF(分析!H138&lt;&gt;"",分析!H138,"")</f>
        <v/>
      </c>
      <c r="H31" s="146">
        <f>IF(分析!I138&lt;&gt;"",分析!I138,"")</f>
        <v/>
      </c>
      <c r="I31" s="146">
        <f>IF(分析!J138&lt;&gt;"",分析!J138,"")</f>
        <v/>
      </c>
      <c r="J31" s="146">
        <f>IF(分析!AB138&lt;&gt;"",分析!AB138,"")</f>
        <v/>
      </c>
      <c r="K31" s="146">
        <f>IF(分析!AC138&lt;&gt;"",分析!AC138,"")</f>
        <v/>
      </c>
      <c r="L31" s="146">
        <f>IF(分析!K138&lt;&gt;"",分析!K138,"")</f>
        <v/>
      </c>
      <c r="M31" s="141">
        <f>IF(分析!P138&lt;&gt;"",分析!P138,"")</f>
        <v/>
      </c>
      <c r="N31" s="599">
        <f>IF(分析!O138&lt;&gt;"",分析!O138,"")</f>
        <v/>
      </c>
      <c r="O31" s="148">
        <f>IF(分析!X138&lt;&gt;"",分析!X138,"")</f>
        <v/>
      </c>
      <c r="P31" s="600">
        <f>IF(分析!L138&lt;&gt;"",分析!L138,"")</f>
        <v/>
      </c>
      <c r="Q31" s="146">
        <f>IF(分析!S138&lt;&gt;"",分析!S138,"")</f>
        <v/>
      </c>
      <c r="R31" s="146">
        <f>IF(分析!R138&lt;&gt;"",分析!R138,"")</f>
        <v/>
      </c>
      <c r="S31" s="141">
        <f>IF(分析!AA138&lt;&gt;"",分析!AA138,"")</f>
        <v/>
      </c>
      <c r="T31" s="601">
        <f>IF(分析!Z138&lt;&gt;"",分析!Z138,"")</f>
        <v/>
      </c>
      <c r="U31" s="141">
        <f>IF(分析!V138&lt;&gt;"",分析!V138,"")</f>
        <v/>
      </c>
      <c r="V31" s="602">
        <f>IF(分析!W138&lt;&gt;"",分析!W138,"")</f>
        <v/>
      </c>
      <c r="W31" s="152">
        <f>IF(分析!AD138&lt;&gt;"",分析!AD138,"")</f>
        <v/>
      </c>
      <c r="X31" s="153">
        <f>IF(分析!AE138&lt;&gt;"",分析!AE138,"")</f>
        <v/>
      </c>
      <c r="Y31" s="154">
        <f>IF(分析!T138&lt;&gt;"",分析!T138,"")</f>
        <v/>
      </c>
      <c r="Z31" s="155">
        <f>IF(分析!Y138&lt;&gt;"",分析!Y138,"")</f>
        <v/>
      </c>
    </row>
    <row r="32" ht="21.95" customHeight="1" s="574">
      <c r="A32" s="156">
        <f>IF(分析!C173&lt;&gt;"",ROW()-2,"")</f>
        <v/>
      </c>
      <c r="B32" s="157">
        <f>IF(分析!C173&lt;&gt;"",HYPERLINK("https://kabutan.jp/stock/?code="&amp;分析!C173,"株探"),"")</f>
        <v/>
      </c>
      <c r="C32" s="603">
        <f>IF(分析!C173&lt;&gt;"",分析!C173,"")</f>
        <v/>
      </c>
      <c r="D32" s="159">
        <f>IF(分析!D173&lt;&gt;"",分析!D173,"")</f>
        <v/>
      </c>
      <c r="E32" s="160">
        <f>IF(分析!E173&lt;&gt;"",分析!E173,"")</f>
        <v/>
      </c>
      <c r="F32" s="161">
        <f>IF(分析!F173&lt;&gt;"",分析!F173,"")</f>
        <v/>
      </c>
      <c r="G32" s="161">
        <f>IF(分析!H173&lt;&gt;"",分析!H173,"")</f>
        <v/>
      </c>
      <c r="H32" s="161">
        <f>IF(分析!I173&lt;&gt;"",分析!I173,"")</f>
        <v/>
      </c>
      <c r="I32" s="161">
        <f>IF(分析!J173&lt;&gt;"",分析!J173,"")</f>
        <v/>
      </c>
      <c r="J32" s="161">
        <f>IF(分析!AB173&lt;&gt;"",分析!AB173,"")</f>
        <v/>
      </c>
      <c r="K32" s="161">
        <f>IF(分析!AC173&lt;&gt;"",分析!AC173,"")</f>
        <v/>
      </c>
      <c r="L32" s="161">
        <f>IF(分析!K173&lt;&gt;"",分析!K173,"")</f>
        <v/>
      </c>
      <c r="M32" s="156">
        <f>IF(分析!P173&lt;&gt;"",分析!P173,"")</f>
        <v/>
      </c>
      <c r="N32" s="604">
        <f>IF(分析!O173&lt;&gt;"",分析!O173,"")</f>
        <v/>
      </c>
      <c r="O32" s="163">
        <f>IF(分析!X173&lt;&gt;"",分析!X173,"")</f>
        <v/>
      </c>
      <c r="P32" s="605">
        <f>IF(分析!L173&lt;&gt;"",分析!L173,"")</f>
        <v/>
      </c>
      <c r="Q32" s="161">
        <f>IF(分析!S173&lt;&gt;"",分析!S173,"")</f>
        <v/>
      </c>
      <c r="R32" s="161">
        <f>IF(分析!R173&lt;&gt;"",分析!R173,"")</f>
        <v/>
      </c>
      <c r="S32" s="156">
        <f>IF(分析!AA173&lt;&gt;"",分析!AA173,"")</f>
        <v/>
      </c>
      <c r="T32" s="606">
        <f>IF(分析!Z173&lt;&gt;"",分析!Z173,"")</f>
        <v/>
      </c>
      <c r="U32" s="156">
        <f>IF(分析!V173&lt;&gt;"",分析!V173,"")</f>
        <v/>
      </c>
      <c r="V32" s="607">
        <f>IF(分析!W173&lt;&gt;"",分析!W173,"")</f>
        <v/>
      </c>
      <c r="W32" s="167">
        <f>IF(分析!AD173&lt;&gt;"",分析!AD173,"")</f>
        <v/>
      </c>
      <c r="X32" s="168">
        <f>IF(分析!AE173&lt;&gt;"",分析!AE173,"")</f>
        <v/>
      </c>
      <c r="Y32" s="169">
        <f>IF(分析!T173&lt;&gt;"",分析!T173,"")</f>
        <v/>
      </c>
      <c r="Z32" s="155">
        <f>IF(分析!Y173&lt;&gt;"",分析!Y173,"")</f>
        <v/>
      </c>
    </row>
    <row r="33" ht="21.95" customHeight="1" s="574">
      <c r="A33" s="141">
        <f>IF(分析!C118&lt;&gt;"",ROW()-2,"")</f>
        <v/>
      </c>
      <c r="B33" s="142">
        <f>IF(分析!C118&lt;&gt;"",HYPERLINK("https://kabutan.jp/stock/?code="&amp;分析!C118,"株探"),"")</f>
        <v/>
      </c>
      <c r="C33" s="598">
        <f>IF(分析!C118&lt;&gt;"",分析!C118,"")</f>
        <v/>
      </c>
      <c r="D33" s="144">
        <f>IF(分析!D118&lt;&gt;"",分析!D118,"")</f>
        <v/>
      </c>
      <c r="E33" s="145">
        <f>IF(分析!E118&lt;&gt;"",分析!E118,"")</f>
        <v/>
      </c>
      <c r="F33" s="146">
        <f>IF(分析!F118&lt;&gt;"",分析!F118,"")</f>
        <v/>
      </c>
      <c r="G33" s="146">
        <f>IF(分析!H118&lt;&gt;"",分析!H118,"")</f>
        <v/>
      </c>
      <c r="H33" s="146">
        <f>IF(分析!I118&lt;&gt;"",分析!I118,"")</f>
        <v/>
      </c>
      <c r="I33" s="146">
        <f>IF(分析!J118&lt;&gt;"",分析!J118,"")</f>
        <v/>
      </c>
      <c r="J33" s="146">
        <f>IF(分析!AB118&lt;&gt;"",分析!AB118,"")</f>
        <v/>
      </c>
      <c r="K33" s="146">
        <f>IF(分析!AC118&lt;&gt;"",分析!AC118,"")</f>
        <v/>
      </c>
      <c r="L33" s="146">
        <f>IF(分析!K118&lt;&gt;"",分析!K118,"")</f>
        <v/>
      </c>
      <c r="M33" s="141">
        <f>IF(分析!P118&lt;&gt;"",分析!P118,"")</f>
        <v/>
      </c>
      <c r="N33" s="599">
        <f>IF(分析!O118&lt;&gt;"",分析!O118,"")</f>
        <v/>
      </c>
      <c r="O33" s="148">
        <f>IF(分析!X118&lt;&gt;"",分析!X118,"")</f>
        <v/>
      </c>
      <c r="P33" s="600">
        <f>IF(分析!L118&lt;&gt;"",分析!L118,"")</f>
        <v/>
      </c>
      <c r="Q33" s="146">
        <f>IF(分析!S118&lt;&gt;"",分析!S118,"")</f>
        <v/>
      </c>
      <c r="R33" s="146">
        <f>IF(分析!R118&lt;&gt;"",分析!R118,"")</f>
        <v/>
      </c>
      <c r="S33" s="141">
        <f>IF(分析!AA118&lt;&gt;"",分析!AA118,"")</f>
        <v/>
      </c>
      <c r="T33" s="601">
        <f>IF(分析!Z118&lt;&gt;"",分析!Z118,"")</f>
        <v/>
      </c>
      <c r="U33" s="141">
        <f>IF(分析!V118&lt;&gt;"",分析!V118,"")</f>
        <v/>
      </c>
      <c r="V33" s="602">
        <f>IF(分析!W118&lt;&gt;"",分析!W118,"")</f>
        <v/>
      </c>
      <c r="W33" s="152">
        <f>IF(分析!AD118&lt;&gt;"",分析!AD118,"")</f>
        <v/>
      </c>
      <c r="X33" s="153">
        <f>IF(分析!AE118&lt;&gt;"",分析!AE118,"")</f>
        <v/>
      </c>
      <c r="Y33" s="154">
        <f>IF(分析!T118&lt;&gt;"",分析!T118,"")</f>
        <v/>
      </c>
      <c r="Z33" s="155">
        <f>IF(分析!Y118&lt;&gt;"",分析!Y118,"")</f>
        <v/>
      </c>
    </row>
    <row r="34" ht="21.95" customHeight="1" s="574">
      <c r="A34" s="141">
        <f>IF(分析!C156&lt;&gt;"",ROW()-2,"")</f>
        <v/>
      </c>
      <c r="B34" s="142">
        <f>IF(分析!C156&lt;&gt;"",HYPERLINK("https://kabutan.jp/stock/?code="&amp;分析!C156,"株探"),"")</f>
        <v/>
      </c>
      <c r="C34" s="598">
        <f>IF(分析!C156&lt;&gt;"",分析!C156,"")</f>
        <v/>
      </c>
      <c r="D34" s="144">
        <f>IF(分析!D156&lt;&gt;"",分析!D156,"")</f>
        <v/>
      </c>
      <c r="E34" s="145">
        <f>IF(分析!E156&lt;&gt;"",分析!E156,"")</f>
        <v/>
      </c>
      <c r="F34" s="146">
        <f>IF(分析!F156&lt;&gt;"",分析!F156,"")</f>
        <v/>
      </c>
      <c r="G34" s="146">
        <f>IF(分析!H156&lt;&gt;"",分析!H156,"")</f>
        <v/>
      </c>
      <c r="H34" s="146">
        <f>IF(分析!I156&lt;&gt;"",分析!I156,"")</f>
        <v/>
      </c>
      <c r="I34" s="146">
        <f>IF(分析!J156&lt;&gt;"",分析!J156,"")</f>
        <v/>
      </c>
      <c r="J34" s="146">
        <f>IF(分析!AB156&lt;&gt;"",分析!AB156,"")</f>
        <v/>
      </c>
      <c r="K34" s="146">
        <f>IF(分析!AC156&lt;&gt;"",分析!AC156,"")</f>
        <v/>
      </c>
      <c r="L34" s="146">
        <f>IF(分析!K156&lt;&gt;"",分析!K156,"")</f>
        <v/>
      </c>
      <c r="M34" s="141">
        <f>IF(分析!P156&lt;&gt;"",分析!P156,"")</f>
        <v/>
      </c>
      <c r="N34" s="599">
        <f>IF(分析!O156&lt;&gt;"",分析!O156,"")</f>
        <v/>
      </c>
      <c r="O34" s="148">
        <f>IF(分析!X156&lt;&gt;"",分析!X156,"")</f>
        <v/>
      </c>
      <c r="P34" s="600">
        <f>IF(分析!L156&lt;&gt;"",分析!L156,"")</f>
        <v/>
      </c>
      <c r="Q34" s="146">
        <f>IF(分析!S156&lt;&gt;"",分析!S156,"")</f>
        <v/>
      </c>
      <c r="R34" s="146">
        <f>IF(分析!R156&lt;&gt;"",分析!R156,"")</f>
        <v/>
      </c>
      <c r="S34" s="141">
        <f>IF(分析!AA156&lt;&gt;"",分析!AA156,"")</f>
        <v/>
      </c>
      <c r="T34" s="601">
        <f>IF(分析!Z156&lt;&gt;"",分析!Z156,"")</f>
        <v/>
      </c>
      <c r="U34" s="141">
        <f>IF(分析!V156&lt;&gt;"",分析!V156,"")</f>
        <v/>
      </c>
      <c r="V34" s="602">
        <f>IF(分析!W156&lt;&gt;"",分析!W156,"")</f>
        <v/>
      </c>
      <c r="W34" s="152">
        <f>IF(分析!AD156&lt;&gt;"",分析!AD156,"")</f>
        <v/>
      </c>
      <c r="X34" s="153">
        <f>IF(分析!AE156&lt;&gt;"",分析!AE156,"")</f>
        <v/>
      </c>
      <c r="Y34" s="154">
        <f>IF(分析!T156&lt;&gt;"",分析!T156,"")</f>
        <v/>
      </c>
      <c r="Z34" s="155">
        <f>IF(分析!Y156&lt;&gt;"",分析!Y156,"")</f>
        <v/>
      </c>
    </row>
    <row r="35" ht="21.95" customHeight="1" s="574">
      <c r="A35" s="156">
        <f>IF(分析!C97&lt;&gt;"",ROW()-2,"")</f>
        <v/>
      </c>
      <c r="B35" s="157">
        <f>IF(分析!C97&lt;&gt;"",HYPERLINK("https://kabutan.jp/stock/?code="&amp;分析!C97,"株探"),"")</f>
        <v/>
      </c>
      <c r="C35" s="603">
        <f>IF(分析!C97&lt;&gt;"",分析!C97,"")</f>
        <v/>
      </c>
      <c r="D35" s="159">
        <f>IF(分析!D97&lt;&gt;"",分析!D97,"")</f>
        <v/>
      </c>
      <c r="E35" s="160">
        <f>IF(分析!E97&lt;&gt;"",分析!E97,"")</f>
        <v/>
      </c>
      <c r="F35" s="161">
        <f>IF(分析!F97&lt;&gt;"",分析!F97,"")</f>
        <v/>
      </c>
      <c r="G35" s="161">
        <f>IF(分析!H97&lt;&gt;"",分析!H97,"")</f>
        <v/>
      </c>
      <c r="H35" s="161">
        <f>IF(分析!I97&lt;&gt;"",分析!I97,"")</f>
        <v/>
      </c>
      <c r="I35" s="161">
        <f>IF(分析!J97&lt;&gt;"",分析!J97,"")</f>
        <v/>
      </c>
      <c r="J35" s="161">
        <f>IF(分析!AB97&lt;&gt;"",分析!AB97,"")</f>
        <v/>
      </c>
      <c r="K35" s="161">
        <f>IF(分析!AC97&lt;&gt;"",分析!AC97,"")</f>
        <v/>
      </c>
      <c r="L35" s="161">
        <f>IF(分析!K97&lt;&gt;"",分析!K97,"")</f>
        <v/>
      </c>
      <c r="M35" s="156">
        <f>IF(分析!P97&lt;&gt;"",分析!P97,"")</f>
        <v/>
      </c>
      <c r="N35" s="604">
        <f>IF(分析!O97&lt;&gt;"",分析!O97,"")</f>
        <v/>
      </c>
      <c r="O35" s="163">
        <f>IF(分析!X97&lt;&gt;"",分析!X97,"")</f>
        <v/>
      </c>
      <c r="P35" s="605">
        <f>IF(分析!L97&lt;&gt;"",分析!L97,"")</f>
        <v/>
      </c>
      <c r="Q35" s="161">
        <f>IF(分析!S97&lt;&gt;"",分析!S97,"")</f>
        <v/>
      </c>
      <c r="R35" s="161">
        <f>IF(分析!R97&lt;&gt;"",分析!R97,"")</f>
        <v/>
      </c>
      <c r="S35" s="156">
        <f>IF(分析!AA97&lt;&gt;"",分析!AA97,"")</f>
        <v/>
      </c>
      <c r="T35" s="606">
        <f>IF(分析!Z97&lt;&gt;"",分析!Z97,"")</f>
        <v/>
      </c>
      <c r="U35" s="156">
        <f>IF(分析!V97&lt;&gt;"",分析!V97,"")</f>
        <v/>
      </c>
      <c r="V35" s="607">
        <f>IF(分析!W97&lt;&gt;"",分析!W97,"")</f>
        <v/>
      </c>
      <c r="W35" s="167">
        <f>IF(分析!AD97&lt;&gt;"",分析!AD97,"")</f>
        <v/>
      </c>
      <c r="X35" s="168">
        <f>IF(分析!AE97&lt;&gt;"",分析!AE97,"")</f>
        <v/>
      </c>
      <c r="Y35" s="169">
        <f>IF(分析!T97&lt;&gt;"",分析!T97,"")</f>
        <v/>
      </c>
      <c r="Z35" s="155">
        <f>IF(分析!Y97&lt;&gt;"",分析!Y97,"")</f>
        <v/>
      </c>
    </row>
    <row r="36" ht="21.95" customHeight="1" s="574">
      <c r="A36" s="141">
        <f>IF(分析!C90&lt;&gt;"",ROW()-2,"")</f>
        <v/>
      </c>
      <c r="B36" s="142">
        <f>IF(分析!C90&lt;&gt;"",HYPERLINK("https://kabutan.jp/stock/?code="&amp;分析!C90,"株探"),"")</f>
        <v/>
      </c>
      <c r="C36" s="598">
        <f>IF(分析!C90&lt;&gt;"",分析!C90,"")</f>
        <v/>
      </c>
      <c r="D36" s="144">
        <f>IF(分析!D90&lt;&gt;"",分析!D90,"")</f>
        <v/>
      </c>
      <c r="E36" s="145">
        <f>IF(分析!E90&lt;&gt;"",分析!E90,"")</f>
        <v/>
      </c>
      <c r="F36" s="146">
        <f>IF(分析!F90&lt;&gt;"",分析!F90,"")</f>
        <v/>
      </c>
      <c r="G36" s="146">
        <f>IF(分析!H90&lt;&gt;"",分析!H90,"")</f>
        <v/>
      </c>
      <c r="H36" s="146">
        <f>IF(分析!I90&lt;&gt;"",分析!I90,"")</f>
        <v/>
      </c>
      <c r="I36" s="146">
        <f>IF(分析!J90&lt;&gt;"",分析!J90,"")</f>
        <v/>
      </c>
      <c r="J36" s="146">
        <f>IF(分析!AB90&lt;&gt;"",分析!AB90,"")</f>
        <v/>
      </c>
      <c r="K36" s="146">
        <f>IF(分析!AC90&lt;&gt;"",分析!AC90,"")</f>
        <v/>
      </c>
      <c r="L36" s="146">
        <f>IF(分析!K90&lt;&gt;"",分析!K90,"")</f>
        <v/>
      </c>
      <c r="M36" s="141">
        <f>IF(分析!P90&lt;&gt;"",分析!P90,"")</f>
        <v/>
      </c>
      <c r="N36" s="599">
        <f>IF(分析!O90&lt;&gt;"",分析!O90,"")</f>
        <v/>
      </c>
      <c r="O36" s="148">
        <f>IF(分析!X90&lt;&gt;"",分析!X90,"")</f>
        <v/>
      </c>
      <c r="P36" s="600">
        <f>IF(分析!L90&lt;&gt;"",分析!L90,"")</f>
        <v/>
      </c>
      <c r="Q36" s="146">
        <f>IF(分析!S90&lt;&gt;"",分析!S90,"")</f>
        <v/>
      </c>
      <c r="R36" s="146">
        <f>IF(分析!R90&lt;&gt;"",分析!R90,"")</f>
        <v/>
      </c>
      <c r="S36" s="141">
        <f>IF(分析!AA90&lt;&gt;"",分析!AA90,"")</f>
        <v/>
      </c>
      <c r="T36" s="601">
        <f>IF(分析!Z90&lt;&gt;"",分析!Z90,"")</f>
        <v/>
      </c>
      <c r="U36" s="141">
        <f>IF(分析!V90&lt;&gt;"",分析!V90,"")</f>
        <v/>
      </c>
      <c r="V36" s="602">
        <f>IF(分析!W90&lt;&gt;"",分析!W90,"")</f>
        <v/>
      </c>
      <c r="W36" s="152">
        <f>IF(分析!AD90&lt;&gt;"",分析!AD90,"")</f>
        <v/>
      </c>
      <c r="X36" s="153">
        <f>IF(分析!AE90&lt;&gt;"",分析!AE90,"")</f>
        <v/>
      </c>
      <c r="Y36" s="154">
        <f>IF(分析!T90&lt;&gt;"",分析!T90,"")</f>
        <v/>
      </c>
      <c r="Z36" s="155">
        <f>IF(分析!Y90&lt;&gt;"",分析!Y90,"")</f>
        <v/>
      </c>
    </row>
    <row r="37" ht="21.95" customHeight="1" s="574">
      <c r="A37" s="141">
        <f>IF(分析!C58&lt;&gt;"",ROW()-2,"")</f>
        <v/>
      </c>
      <c r="B37" s="142">
        <f>IF(分析!C58&lt;&gt;"",HYPERLINK("https://kabutan.jp/stock/?code="&amp;分析!C58,"株探"),"")</f>
        <v/>
      </c>
      <c r="C37" s="598">
        <f>IF(分析!C58&lt;&gt;"",分析!C58,"")</f>
        <v/>
      </c>
      <c r="D37" s="144">
        <f>IF(分析!D58&lt;&gt;"",分析!D58,"")</f>
        <v/>
      </c>
      <c r="E37" s="145">
        <f>IF(分析!E58&lt;&gt;"",分析!E58,"")</f>
        <v/>
      </c>
      <c r="F37" s="146">
        <f>IF(分析!F58&lt;&gt;"",分析!F58,"")</f>
        <v/>
      </c>
      <c r="G37" s="146">
        <f>IF(分析!H58&lt;&gt;"",分析!H58,"")</f>
        <v/>
      </c>
      <c r="H37" s="146">
        <f>IF(分析!I58&lt;&gt;"",分析!I58,"")</f>
        <v/>
      </c>
      <c r="I37" s="146">
        <f>IF(分析!J58&lt;&gt;"",分析!J58,"")</f>
        <v/>
      </c>
      <c r="J37" s="146">
        <f>IF(分析!AB58&lt;&gt;"",分析!AB58,"")</f>
        <v/>
      </c>
      <c r="K37" s="146">
        <f>IF(分析!AC58&lt;&gt;"",分析!AC58,"")</f>
        <v/>
      </c>
      <c r="L37" s="146">
        <f>IF(分析!K58&lt;&gt;"",分析!K58,"")</f>
        <v/>
      </c>
      <c r="M37" s="141">
        <f>IF(分析!P58&lt;&gt;"",分析!P58,"")</f>
        <v/>
      </c>
      <c r="N37" s="599">
        <f>IF(分析!O58&lt;&gt;"",分析!O58,"")</f>
        <v/>
      </c>
      <c r="O37" s="148">
        <f>IF(分析!X58&lt;&gt;"",分析!X58,"")</f>
        <v/>
      </c>
      <c r="P37" s="600">
        <f>IF(分析!L58&lt;&gt;"",分析!L58,"")</f>
        <v/>
      </c>
      <c r="Q37" s="146">
        <f>IF(分析!S58&lt;&gt;"",分析!S58,"")</f>
        <v/>
      </c>
      <c r="R37" s="146">
        <f>IF(分析!R58&lt;&gt;"",分析!R58,"")</f>
        <v/>
      </c>
      <c r="S37" s="141">
        <f>IF(分析!AA58&lt;&gt;"",分析!AA58,"")</f>
        <v/>
      </c>
      <c r="T37" s="601">
        <f>IF(分析!Z58&lt;&gt;"",分析!Z58,"")</f>
        <v/>
      </c>
      <c r="U37" s="141">
        <f>IF(分析!V58&lt;&gt;"",分析!V58,"")</f>
        <v/>
      </c>
      <c r="V37" s="602">
        <f>IF(分析!W58&lt;&gt;"",分析!W58,"")</f>
        <v/>
      </c>
      <c r="W37" s="152">
        <f>IF(分析!AD58&lt;&gt;"",分析!AD58,"")</f>
        <v/>
      </c>
      <c r="X37" s="153">
        <f>IF(分析!AE58&lt;&gt;"",分析!AE58,"")</f>
        <v/>
      </c>
      <c r="Y37" s="154">
        <f>IF(分析!T58&lt;&gt;"",分析!T58,"")</f>
        <v/>
      </c>
      <c r="Z37" s="155">
        <f>IF(分析!Y58&lt;&gt;"",分析!Y58,"")</f>
        <v/>
      </c>
    </row>
    <row r="38" ht="21.95" customHeight="1" s="574">
      <c r="A38" s="141">
        <f>IF(分析!C52&lt;&gt;"",ROW()-2,"")</f>
        <v/>
      </c>
      <c r="B38" s="142">
        <f>IF(分析!C52&lt;&gt;"",HYPERLINK("https://kabutan.jp/stock/?code="&amp;分析!C52,"株探"),"")</f>
        <v/>
      </c>
      <c r="C38" s="598">
        <f>IF(分析!C52&lt;&gt;"",分析!C52,"")</f>
        <v/>
      </c>
      <c r="D38" s="144">
        <f>IF(分析!D52&lt;&gt;"",分析!D52,"")</f>
        <v/>
      </c>
      <c r="E38" s="145">
        <f>IF(分析!E52&lt;&gt;"",分析!E52,"")</f>
        <v/>
      </c>
      <c r="F38" s="146">
        <f>IF(分析!F52&lt;&gt;"",分析!F52,"")</f>
        <v/>
      </c>
      <c r="G38" s="146">
        <f>IF(分析!H52&lt;&gt;"",分析!H52,"")</f>
        <v/>
      </c>
      <c r="H38" s="146">
        <f>IF(分析!I52&lt;&gt;"",分析!I52,"")</f>
        <v/>
      </c>
      <c r="I38" s="146">
        <f>IF(分析!J52&lt;&gt;"",分析!J52,"")</f>
        <v/>
      </c>
      <c r="J38" s="146">
        <f>IF(分析!AB52&lt;&gt;"",分析!AB52,"")</f>
        <v/>
      </c>
      <c r="K38" s="146">
        <f>IF(分析!AC52&lt;&gt;"",分析!AC52,"")</f>
        <v/>
      </c>
      <c r="L38" s="146">
        <f>IF(分析!K52&lt;&gt;"",分析!K52,"")</f>
        <v/>
      </c>
      <c r="M38" s="141">
        <f>IF(分析!P52&lt;&gt;"",分析!P52,"")</f>
        <v/>
      </c>
      <c r="N38" s="599">
        <f>IF(分析!O52&lt;&gt;"",分析!O52,"")</f>
        <v/>
      </c>
      <c r="O38" s="148">
        <f>IF(分析!X52&lt;&gt;"",分析!X52,"")</f>
        <v/>
      </c>
      <c r="P38" s="600">
        <f>IF(分析!L52&lt;&gt;"",分析!L52,"")</f>
        <v/>
      </c>
      <c r="Q38" s="146">
        <f>IF(分析!S52&lt;&gt;"",分析!S52,"")</f>
        <v/>
      </c>
      <c r="R38" s="146">
        <f>IF(分析!R52&lt;&gt;"",分析!R52,"")</f>
        <v/>
      </c>
      <c r="S38" s="141">
        <f>IF(分析!AA52&lt;&gt;"",分析!AA52,"")</f>
        <v/>
      </c>
      <c r="T38" s="601">
        <f>IF(分析!Z52&lt;&gt;"",分析!Z52,"")</f>
        <v/>
      </c>
      <c r="U38" s="141">
        <f>IF(分析!V52&lt;&gt;"",分析!V52,"")</f>
        <v/>
      </c>
      <c r="V38" s="602">
        <f>IF(分析!W52&lt;&gt;"",分析!W52,"")</f>
        <v/>
      </c>
      <c r="W38" s="152">
        <f>IF(分析!AD52&lt;&gt;"",分析!AD52,"")</f>
        <v/>
      </c>
      <c r="X38" s="153">
        <f>IF(分析!AE52&lt;&gt;"",分析!AE52,"")</f>
        <v/>
      </c>
      <c r="Y38" s="154">
        <f>IF(分析!T52&lt;&gt;"",分析!T52,"")</f>
        <v/>
      </c>
      <c r="Z38" s="155">
        <f>IF(分析!Y52&lt;&gt;"",分析!Y52,"")</f>
        <v/>
      </c>
    </row>
    <row r="39" ht="21.95" customHeight="1" s="574">
      <c r="A39" s="141">
        <f>IF(分析!C74&lt;&gt;"",ROW()-2,"")</f>
        <v/>
      </c>
      <c r="B39" s="142">
        <f>IF(分析!C74&lt;&gt;"",HYPERLINK("https://kabutan.jp/stock/?code="&amp;分析!C74,"株探"),"")</f>
        <v/>
      </c>
      <c r="C39" s="598">
        <f>IF(分析!C74&lt;&gt;"",分析!C74,"")</f>
        <v/>
      </c>
      <c r="D39" s="144">
        <f>IF(分析!D74&lt;&gt;"",分析!D74,"")</f>
        <v/>
      </c>
      <c r="E39" s="145">
        <f>IF(分析!E74&lt;&gt;"",分析!E74,"")</f>
        <v/>
      </c>
      <c r="F39" s="146">
        <f>IF(分析!F74&lt;&gt;"",分析!F74,"")</f>
        <v/>
      </c>
      <c r="G39" s="146">
        <f>IF(分析!H74&lt;&gt;"",分析!H74,"")</f>
        <v/>
      </c>
      <c r="H39" s="146">
        <f>IF(分析!I74&lt;&gt;"",分析!I74,"")</f>
        <v/>
      </c>
      <c r="I39" s="146">
        <f>IF(分析!J74&lt;&gt;"",分析!J74,"")</f>
        <v/>
      </c>
      <c r="J39" s="146">
        <f>IF(分析!AB74&lt;&gt;"",分析!AB74,"")</f>
        <v/>
      </c>
      <c r="K39" s="146">
        <f>IF(分析!AC74&lt;&gt;"",分析!AC74,"")</f>
        <v/>
      </c>
      <c r="L39" s="146">
        <f>IF(分析!K74&lt;&gt;"",分析!K74,"")</f>
        <v/>
      </c>
      <c r="M39" s="141">
        <f>IF(分析!P74&lt;&gt;"",分析!P74,"")</f>
        <v/>
      </c>
      <c r="N39" s="599">
        <f>IF(分析!O74&lt;&gt;"",分析!O74,"")</f>
        <v/>
      </c>
      <c r="O39" s="148">
        <f>IF(分析!X74&lt;&gt;"",分析!X74,"")</f>
        <v/>
      </c>
      <c r="P39" s="600">
        <f>IF(分析!L74&lt;&gt;"",分析!L74,"")</f>
        <v/>
      </c>
      <c r="Q39" s="146">
        <f>IF(分析!S74&lt;&gt;"",分析!S74,"")</f>
        <v/>
      </c>
      <c r="R39" s="146">
        <f>IF(分析!R74&lt;&gt;"",分析!R74,"")</f>
        <v/>
      </c>
      <c r="S39" s="141">
        <f>IF(分析!AA74&lt;&gt;"",分析!AA74,"")</f>
        <v/>
      </c>
      <c r="T39" s="601">
        <f>IF(分析!Z74&lt;&gt;"",分析!Z74,"")</f>
        <v/>
      </c>
      <c r="U39" s="141">
        <f>IF(分析!V74&lt;&gt;"",分析!V74,"")</f>
        <v/>
      </c>
      <c r="V39" s="602">
        <f>IF(分析!W74&lt;&gt;"",分析!W74,"")</f>
        <v/>
      </c>
      <c r="W39" s="152">
        <f>IF(分析!AD74&lt;&gt;"",分析!AD74,"")</f>
        <v/>
      </c>
      <c r="X39" s="153">
        <f>IF(分析!AE74&lt;&gt;"",分析!AE74,"")</f>
        <v/>
      </c>
      <c r="Y39" s="154">
        <f>IF(分析!T74&lt;&gt;"",分析!T74,"")</f>
        <v/>
      </c>
      <c r="Z39" s="155">
        <f>IF(分析!Y74&lt;&gt;"",分析!Y74,"")</f>
        <v/>
      </c>
    </row>
    <row r="40" ht="21.95" customHeight="1" s="574">
      <c r="A40" s="156">
        <f>IF(分析!C71&lt;&gt;"",ROW()-2,"")</f>
        <v/>
      </c>
      <c r="B40" s="157">
        <f>IF(分析!C71&lt;&gt;"",HYPERLINK("https://kabutan.jp/stock/?code="&amp;分析!C71,"株探"),"")</f>
        <v/>
      </c>
      <c r="C40" s="603">
        <f>IF(分析!C71&lt;&gt;"",分析!C71,"")</f>
        <v/>
      </c>
      <c r="D40" s="159">
        <f>IF(分析!D71&lt;&gt;"",分析!D71,"")</f>
        <v/>
      </c>
      <c r="E40" s="160">
        <f>IF(分析!E71&lt;&gt;"",分析!E71,"")</f>
        <v/>
      </c>
      <c r="F40" s="161">
        <f>IF(分析!F71&lt;&gt;"",分析!F71,"")</f>
        <v/>
      </c>
      <c r="G40" s="161">
        <f>IF(分析!H71&lt;&gt;"",分析!H71,"")</f>
        <v/>
      </c>
      <c r="H40" s="161">
        <f>IF(分析!I71&lt;&gt;"",分析!I71,"")</f>
        <v/>
      </c>
      <c r="I40" s="161">
        <f>IF(分析!J71&lt;&gt;"",分析!J71,"")</f>
        <v/>
      </c>
      <c r="J40" s="161">
        <f>IF(分析!AB71&lt;&gt;"",分析!AB71,"")</f>
        <v/>
      </c>
      <c r="K40" s="161">
        <f>IF(分析!AC71&lt;&gt;"",分析!AC71,"")</f>
        <v/>
      </c>
      <c r="L40" s="161">
        <f>IF(分析!K71&lt;&gt;"",分析!K71,"")</f>
        <v/>
      </c>
      <c r="M40" s="156">
        <f>IF(分析!P71&lt;&gt;"",分析!P71,"")</f>
        <v/>
      </c>
      <c r="N40" s="604">
        <f>IF(分析!O71&lt;&gt;"",分析!O71,"")</f>
        <v/>
      </c>
      <c r="O40" s="163">
        <f>IF(分析!X71&lt;&gt;"",分析!X71,"")</f>
        <v/>
      </c>
      <c r="P40" s="605">
        <f>IF(分析!L71&lt;&gt;"",分析!L71,"")</f>
        <v/>
      </c>
      <c r="Q40" s="161">
        <f>IF(分析!S71&lt;&gt;"",分析!S71,"")</f>
        <v/>
      </c>
      <c r="R40" s="161">
        <f>IF(分析!R71&lt;&gt;"",分析!R71,"")</f>
        <v/>
      </c>
      <c r="S40" s="156">
        <f>IF(分析!AA71&lt;&gt;"",分析!AA71,"")</f>
        <v/>
      </c>
      <c r="T40" s="606">
        <f>IF(分析!Z71&lt;&gt;"",分析!Z71,"")</f>
        <v/>
      </c>
      <c r="U40" s="156">
        <f>IF(分析!V71&lt;&gt;"",分析!V71,"")</f>
        <v/>
      </c>
      <c r="V40" s="607">
        <f>IF(分析!W71&lt;&gt;"",分析!W71,"")</f>
        <v/>
      </c>
      <c r="W40" s="167">
        <f>IF(分析!AD71&lt;&gt;"",分析!AD71,"")</f>
        <v/>
      </c>
      <c r="X40" s="168">
        <f>IF(分析!AE71&lt;&gt;"",分析!AE71,"")</f>
        <v/>
      </c>
      <c r="Y40" s="169">
        <f>IF(分析!T71&lt;&gt;"",分析!T71,"")</f>
        <v/>
      </c>
      <c r="Z40" s="155">
        <f>IF(分析!Y71&lt;&gt;"",分析!Y71,"")</f>
        <v/>
      </c>
    </row>
    <row r="41" ht="21.95" customHeight="1" s="574">
      <c r="A41" s="156">
        <f>IF(分析!C93&lt;&gt;"",ROW()-2,"")</f>
        <v/>
      </c>
      <c r="B41" s="157">
        <f>IF(分析!C93&lt;&gt;"",HYPERLINK("https://kabutan.jp/stock/?code="&amp;分析!C93,"株探"),"")</f>
        <v/>
      </c>
      <c r="C41" s="603">
        <f>IF(分析!C93&lt;&gt;"",分析!C93,"")</f>
        <v/>
      </c>
      <c r="D41" s="159">
        <f>IF(分析!D93&lt;&gt;"",分析!D93,"")</f>
        <v/>
      </c>
      <c r="E41" s="160">
        <f>IF(分析!E93&lt;&gt;"",分析!E93,"")</f>
        <v/>
      </c>
      <c r="F41" s="161">
        <f>IF(分析!F93&lt;&gt;"",分析!F93,"")</f>
        <v/>
      </c>
      <c r="G41" s="161">
        <f>IF(分析!H93&lt;&gt;"",分析!H93,"")</f>
        <v/>
      </c>
      <c r="H41" s="161">
        <f>IF(分析!I93&lt;&gt;"",分析!I93,"")</f>
        <v/>
      </c>
      <c r="I41" s="161">
        <f>IF(分析!J93&lt;&gt;"",分析!J93,"")</f>
        <v/>
      </c>
      <c r="J41" s="161">
        <f>IF(分析!AB93&lt;&gt;"",分析!AB93,"")</f>
        <v/>
      </c>
      <c r="K41" s="161">
        <f>IF(分析!AC93&lt;&gt;"",分析!AC93,"")</f>
        <v/>
      </c>
      <c r="L41" s="161">
        <f>IF(分析!K93&lt;&gt;"",分析!K93,"")</f>
        <v/>
      </c>
      <c r="M41" s="156">
        <f>IF(分析!P93&lt;&gt;"",分析!P93,"")</f>
        <v/>
      </c>
      <c r="N41" s="604">
        <f>IF(分析!O93&lt;&gt;"",分析!O93,"")</f>
        <v/>
      </c>
      <c r="O41" s="163">
        <f>IF(分析!X93&lt;&gt;"",分析!X93,"")</f>
        <v/>
      </c>
      <c r="P41" s="605">
        <f>IF(分析!L93&lt;&gt;"",分析!L93,"")</f>
        <v/>
      </c>
      <c r="Q41" s="161">
        <f>IF(分析!S93&lt;&gt;"",分析!S93,"")</f>
        <v/>
      </c>
      <c r="R41" s="161">
        <f>IF(分析!R93&lt;&gt;"",分析!R93,"")</f>
        <v/>
      </c>
      <c r="S41" s="156">
        <f>IF(分析!AA93&lt;&gt;"",分析!AA93,"")</f>
        <v/>
      </c>
      <c r="T41" s="606">
        <f>IF(分析!Z93&lt;&gt;"",分析!Z93,"")</f>
        <v/>
      </c>
      <c r="U41" s="156">
        <f>IF(分析!V93&lt;&gt;"",分析!V93,"")</f>
        <v/>
      </c>
      <c r="V41" s="607">
        <f>IF(分析!W93&lt;&gt;"",分析!W93,"")</f>
        <v/>
      </c>
      <c r="W41" s="167">
        <f>IF(分析!AD93&lt;&gt;"",分析!AD93,"")</f>
        <v/>
      </c>
      <c r="X41" s="168">
        <f>IF(分析!AE93&lt;&gt;"",分析!AE93,"")</f>
        <v/>
      </c>
      <c r="Y41" s="169">
        <f>IF(分析!T93&lt;&gt;"",分析!T93,"")</f>
        <v/>
      </c>
      <c r="Z41" s="155">
        <f>IF(分析!Y93&lt;&gt;"",分析!Y93,"")</f>
        <v/>
      </c>
    </row>
    <row r="42" ht="21.95" customHeight="1" s="574">
      <c r="A42" s="141">
        <f>IF(分析!C150&lt;&gt;"",ROW()-2,"")</f>
        <v/>
      </c>
      <c r="B42" s="142">
        <f>IF(分析!C150&lt;&gt;"",HYPERLINK("https://kabutan.jp/stock/?code="&amp;分析!C150,"株探"),"")</f>
        <v/>
      </c>
      <c r="C42" s="598">
        <f>IF(分析!C150&lt;&gt;"",分析!C150,"")</f>
        <v/>
      </c>
      <c r="D42" s="144">
        <f>IF(分析!D150&lt;&gt;"",分析!D150,"")</f>
        <v/>
      </c>
      <c r="E42" s="145">
        <f>IF(分析!E150&lt;&gt;"",分析!E150,"")</f>
        <v/>
      </c>
      <c r="F42" s="146">
        <f>IF(分析!F150&lt;&gt;"",分析!F150,"")</f>
        <v/>
      </c>
      <c r="G42" s="146">
        <f>IF(分析!H150&lt;&gt;"",分析!H150,"")</f>
        <v/>
      </c>
      <c r="H42" s="146">
        <f>IF(分析!I150&lt;&gt;"",分析!I150,"")</f>
        <v/>
      </c>
      <c r="I42" s="146">
        <f>IF(分析!J150&lt;&gt;"",分析!J150,"")</f>
        <v/>
      </c>
      <c r="J42" s="146">
        <f>IF(分析!AB150&lt;&gt;"",分析!AB150,"")</f>
        <v/>
      </c>
      <c r="K42" s="146">
        <f>IF(分析!AC150&lt;&gt;"",分析!AC150,"")</f>
        <v/>
      </c>
      <c r="L42" s="146">
        <f>IF(分析!K150&lt;&gt;"",分析!K150,"")</f>
        <v/>
      </c>
      <c r="M42" s="141">
        <f>IF(分析!P150&lt;&gt;"",分析!P150,"")</f>
        <v/>
      </c>
      <c r="N42" s="599">
        <f>IF(分析!O150&lt;&gt;"",分析!O150,"")</f>
        <v/>
      </c>
      <c r="O42" s="148">
        <f>IF(分析!X150&lt;&gt;"",分析!X150,"")</f>
        <v/>
      </c>
      <c r="P42" s="600">
        <f>IF(分析!L150&lt;&gt;"",分析!L150,"")</f>
        <v/>
      </c>
      <c r="Q42" s="146">
        <f>IF(分析!S150&lt;&gt;"",分析!S150,"")</f>
        <v/>
      </c>
      <c r="R42" s="146">
        <f>IF(分析!R150&lt;&gt;"",分析!R150,"")</f>
        <v/>
      </c>
      <c r="S42" s="141">
        <f>IF(分析!AA150&lt;&gt;"",分析!AA150,"")</f>
        <v/>
      </c>
      <c r="T42" s="601">
        <f>IF(分析!Z150&lt;&gt;"",分析!Z150,"")</f>
        <v/>
      </c>
      <c r="U42" s="141">
        <f>IF(分析!V150&lt;&gt;"",分析!V150,"")</f>
        <v/>
      </c>
      <c r="V42" s="602">
        <f>IF(分析!W150&lt;&gt;"",分析!W150,"")</f>
        <v/>
      </c>
      <c r="W42" s="152">
        <f>IF(分析!AD150&lt;&gt;"",分析!AD150,"")</f>
        <v/>
      </c>
      <c r="X42" s="153">
        <f>IF(分析!AE150&lt;&gt;"",分析!AE150,"")</f>
        <v/>
      </c>
      <c r="Y42" s="154">
        <f>IF(分析!T150&lt;&gt;"",分析!T150,"")</f>
        <v/>
      </c>
      <c r="Z42" s="155">
        <f>IF(分析!Y150&lt;&gt;"",分析!Y150,"")</f>
        <v/>
      </c>
    </row>
    <row r="43" ht="21.95" customHeight="1" s="574">
      <c r="A43" s="156">
        <f>IF(分析!C25&lt;&gt;"",ROW()-2,"")</f>
        <v/>
      </c>
      <c r="B43" s="157">
        <f>IF(分析!C25&lt;&gt;"",HYPERLINK("https://kabutan.jp/stock/?code="&amp;分析!C25,"株探"),"")</f>
        <v/>
      </c>
      <c r="C43" s="603">
        <f>IF(分析!C25&lt;&gt;"",分析!C25,"")</f>
        <v/>
      </c>
      <c r="D43" s="159">
        <f>IF(分析!D25&lt;&gt;"",分析!D25,"")</f>
        <v/>
      </c>
      <c r="E43" s="160">
        <f>IF(分析!E25&lt;&gt;"",分析!E25,"")</f>
        <v/>
      </c>
      <c r="F43" s="161">
        <f>IF(分析!F25&lt;&gt;"",分析!F25,"")</f>
        <v/>
      </c>
      <c r="G43" s="161">
        <f>IF(分析!H25&lt;&gt;"",分析!H25,"")</f>
        <v/>
      </c>
      <c r="H43" s="161">
        <f>IF(分析!I25&lt;&gt;"",分析!I25,"")</f>
        <v/>
      </c>
      <c r="I43" s="161">
        <f>IF(分析!J25&lt;&gt;"",分析!J25,"")</f>
        <v/>
      </c>
      <c r="J43" s="161">
        <f>IF(分析!AB25&lt;&gt;"",分析!AB25,"")</f>
        <v/>
      </c>
      <c r="K43" s="161">
        <f>IF(分析!AC25&lt;&gt;"",分析!AC25,"")</f>
        <v/>
      </c>
      <c r="L43" s="161">
        <f>IF(分析!K25&lt;&gt;"",分析!K25,"")</f>
        <v/>
      </c>
      <c r="M43" s="156">
        <f>IF(分析!P25&lt;&gt;"",分析!P25,"")</f>
        <v/>
      </c>
      <c r="N43" s="604">
        <f>IF(分析!O25&lt;&gt;"",分析!O25,"")</f>
        <v/>
      </c>
      <c r="O43" s="163">
        <f>IF(分析!X25&lt;&gt;"",分析!X25,"")</f>
        <v/>
      </c>
      <c r="P43" s="605">
        <f>IF(分析!L25&lt;&gt;"",分析!L25,"")</f>
        <v/>
      </c>
      <c r="Q43" s="161">
        <f>IF(分析!S25&lt;&gt;"",分析!S25,"")</f>
        <v/>
      </c>
      <c r="R43" s="161">
        <f>IF(分析!R25&lt;&gt;"",分析!R25,"")</f>
        <v/>
      </c>
      <c r="S43" s="156">
        <f>IF(分析!AA25&lt;&gt;"",分析!AA25,"")</f>
        <v/>
      </c>
      <c r="T43" s="606">
        <f>IF(分析!Z25&lt;&gt;"",分析!Z25,"")</f>
        <v/>
      </c>
      <c r="U43" s="156">
        <f>IF(分析!V25&lt;&gt;"",分析!V25,"")</f>
        <v/>
      </c>
      <c r="V43" s="607">
        <f>IF(分析!W25&lt;&gt;"",分析!W25,"")</f>
        <v/>
      </c>
      <c r="W43" s="167">
        <f>IF(分析!AD25&lt;&gt;"",分析!AD25,"")</f>
        <v/>
      </c>
      <c r="X43" s="168">
        <f>IF(分析!AE25&lt;&gt;"",分析!AE25,"")</f>
        <v/>
      </c>
      <c r="Y43" s="169">
        <f>IF(分析!T25&lt;&gt;"",分析!T25,"")</f>
        <v/>
      </c>
      <c r="Z43" s="155">
        <f>IF(分析!Y25&lt;&gt;"",分析!Y25,"")</f>
        <v/>
      </c>
    </row>
    <row r="44" ht="21.95" customHeight="1" s="574">
      <c r="A44" s="141">
        <f>IF(分析!C120&lt;&gt;"",ROW()-2,"")</f>
        <v/>
      </c>
      <c r="B44" s="142">
        <f>IF(分析!C120&lt;&gt;"",HYPERLINK("https://kabutan.jp/stock/?code="&amp;分析!C120,"株探"),"")</f>
        <v/>
      </c>
      <c r="C44" s="598">
        <f>IF(分析!C120&lt;&gt;"",分析!C120,"")</f>
        <v/>
      </c>
      <c r="D44" s="144">
        <f>IF(分析!D120&lt;&gt;"",分析!D120,"")</f>
        <v/>
      </c>
      <c r="E44" s="145">
        <f>IF(分析!E120&lt;&gt;"",分析!E120,"")</f>
        <v/>
      </c>
      <c r="F44" s="146">
        <f>IF(分析!F120&lt;&gt;"",分析!F120,"")</f>
        <v/>
      </c>
      <c r="G44" s="146">
        <f>IF(分析!H120&lt;&gt;"",分析!H120,"")</f>
        <v/>
      </c>
      <c r="H44" s="146">
        <f>IF(分析!I120&lt;&gt;"",分析!I120,"")</f>
        <v/>
      </c>
      <c r="I44" s="146">
        <f>IF(分析!J120&lt;&gt;"",分析!J120,"")</f>
        <v/>
      </c>
      <c r="J44" s="146">
        <f>IF(分析!AB120&lt;&gt;"",分析!AB120,"")</f>
        <v/>
      </c>
      <c r="K44" s="146">
        <f>IF(分析!AC120&lt;&gt;"",分析!AC120,"")</f>
        <v/>
      </c>
      <c r="L44" s="146">
        <f>IF(分析!K120&lt;&gt;"",分析!K120,"")</f>
        <v/>
      </c>
      <c r="M44" s="141">
        <f>IF(分析!P120&lt;&gt;"",分析!P120,"")</f>
        <v/>
      </c>
      <c r="N44" s="599">
        <f>IF(分析!O120&lt;&gt;"",分析!O120,"")</f>
        <v/>
      </c>
      <c r="O44" s="148">
        <f>IF(分析!X120&lt;&gt;"",分析!X120,"")</f>
        <v/>
      </c>
      <c r="P44" s="600">
        <f>IF(分析!L120&lt;&gt;"",分析!L120,"")</f>
        <v/>
      </c>
      <c r="Q44" s="146">
        <f>IF(分析!S120&lt;&gt;"",分析!S120,"")</f>
        <v/>
      </c>
      <c r="R44" s="146">
        <f>IF(分析!R120&lt;&gt;"",分析!R120,"")</f>
        <v/>
      </c>
      <c r="S44" s="141">
        <f>IF(分析!AA120&lt;&gt;"",分析!AA120,"")</f>
        <v/>
      </c>
      <c r="T44" s="601">
        <f>IF(分析!Z120&lt;&gt;"",分析!Z120,"")</f>
        <v/>
      </c>
      <c r="U44" s="141">
        <f>IF(分析!V120&lt;&gt;"",分析!V120,"")</f>
        <v/>
      </c>
      <c r="V44" s="602">
        <f>IF(分析!W120&lt;&gt;"",分析!W120,"")</f>
        <v/>
      </c>
      <c r="W44" s="152">
        <f>IF(分析!AD120&lt;&gt;"",分析!AD120,"")</f>
        <v/>
      </c>
      <c r="X44" s="153">
        <f>IF(分析!AE120&lt;&gt;"",分析!AE120,"")</f>
        <v/>
      </c>
      <c r="Y44" s="154">
        <f>IF(分析!T120&lt;&gt;"",分析!T120,"")</f>
        <v/>
      </c>
      <c r="Z44" s="155">
        <f>IF(分析!Y120&lt;&gt;"",分析!Y120,"")</f>
        <v/>
      </c>
    </row>
    <row r="45" ht="21.95" customHeight="1" s="574">
      <c r="A45" s="141">
        <f>IF(分析!C50&lt;&gt;"",ROW()-2,"")</f>
        <v/>
      </c>
      <c r="B45" s="142">
        <f>IF(分析!C50&lt;&gt;"",HYPERLINK("https://kabutan.jp/stock/?code="&amp;分析!C50,"株探"),"")</f>
        <v/>
      </c>
      <c r="C45" s="598">
        <f>IF(分析!C50&lt;&gt;"",分析!C50,"")</f>
        <v/>
      </c>
      <c r="D45" s="144">
        <f>IF(分析!D50&lt;&gt;"",分析!D50,"")</f>
        <v/>
      </c>
      <c r="E45" s="145">
        <f>IF(分析!E50&lt;&gt;"",分析!E50,"")</f>
        <v/>
      </c>
      <c r="F45" s="146">
        <f>IF(分析!F50&lt;&gt;"",分析!F50,"")</f>
        <v/>
      </c>
      <c r="G45" s="146">
        <f>IF(分析!H50&lt;&gt;"",分析!H50,"")</f>
        <v/>
      </c>
      <c r="H45" s="146">
        <f>IF(分析!I50&lt;&gt;"",分析!I50,"")</f>
        <v/>
      </c>
      <c r="I45" s="146">
        <f>IF(分析!J50&lt;&gt;"",分析!J50,"")</f>
        <v/>
      </c>
      <c r="J45" s="146">
        <f>IF(分析!AB50&lt;&gt;"",分析!AB50,"")</f>
        <v/>
      </c>
      <c r="K45" s="146">
        <f>IF(分析!AC50&lt;&gt;"",分析!AC50,"")</f>
        <v/>
      </c>
      <c r="L45" s="146">
        <f>IF(分析!K50&lt;&gt;"",分析!K50,"")</f>
        <v/>
      </c>
      <c r="M45" s="141">
        <f>IF(分析!P50&lt;&gt;"",分析!P50,"")</f>
        <v/>
      </c>
      <c r="N45" s="599">
        <f>IF(分析!O50&lt;&gt;"",分析!O50,"")</f>
        <v/>
      </c>
      <c r="O45" s="148">
        <f>IF(分析!X50&lt;&gt;"",分析!X50,"")</f>
        <v/>
      </c>
      <c r="P45" s="600">
        <f>IF(分析!L50&lt;&gt;"",分析!L50,"")</f>
        <v/>
      </c>
      <c r="Q45" s="146">
        <f>IF(分析!S50&lt;&gt;"",分析!S50,"")</f>
        <v/>
      </c>
      <c r="R45" s="146">
        <f>IF(分析!R50&lt;&gt;"",分析!R50,"")</f>
        <v/>
      </c>
      <c r="S45" s="141">
        <f>IF(分析!AA50&lt;&gt;"",分析!AA50,"")</f>
        <v/>
      </c>
      <c r="T45" s="601">
        <f>IF(分析!Z50&lt;&gt;"",分析!Z50,"")</f>
        <v/>
      </c>
      <c r="U45" s="141">
        <f>IF(分析!V50&lt;&gt;"",分析!V50,"")</f>
        <v/>
      </c>
      <c r="V45" s="602">
        <f>IF(分析!W50&lt;&gt;"",分析!W50,"")</f>
        <v/>
      </c>
      <c r="W45" s="152">
        <f>IF(分析!AD50&lt;&gt;"",分析!AD50,"")</f>
        <v/>
      </c>
      <c r="X45" s="153">
        <f>IF(分析!AE50&lt;&gt;"",分析!AE50,"")</f>
        <v/>
      </c>
      <c r="Y45" s="154">
        <f>IF(分析!T50&lt;&gt;"",分析!T50,"")</f>
        <v/>
      </c>
      <c r="Z45" s="155">
        <f>IF(分析!Y50&lt;&gt;"",分析!Y50,"")</f>
        <v/>
      </c>
    </row>
    <row r="46" ht="21.95" customHeight="1" s="574">
      <c r="A46" s="141">
        <f>IF(分析!C28&lt;&gt;"",ROW()-2,"")</f>
        <v/>
      </c>
      <c r="B46" s="142">
        <f>IF(分析!C28&lt;&gt;"",HYPERLINK("https://kabutan.jp/stock/?code="&amp;分析!C28,"株探"),"")</f>
        <v/>
      </c>
      <c r="C46" s="598">
        <f>IF(分析!C28&lt;&gt;"",分析!C28,"")</f>
        <v/>
      </c>
      <c r="D46" s="144">
        <f>IF(分析!D28&lt;&gt;"",分析!D28,"")</f>
        <v/>
      </c>
      <c r="E46" s="145">
        <f>IF(分析!E28&lt;&gt;"",分析!E28,"")</f>
        <v/>
      </c>
      <c r="F46" s="146">
        <f>IF(分析!F28&lt;&gt;"",分析!F28,"")</f>
        <v/>
      </c>
      <c r="G46" s="146">
        <f>IF(分析!H28&lt;&gt;"",分析!H28,"")</f>
        <v/>
      </c>
      <c r="H46" s="146">
        <f>IF(分析!I28&lt;&gt;"",分析!I28,"")</f>
        <v/>
      </c>
      <c r="I46" s="146">
        <f>IF(分析!J28&lt;&gt;"",分析!J28,"")</f>
        <v/>
      </c>
      <c r="J46" s="146">
        <f>IF(分析!AB28&lt;&gt;"",分析!AB28,"")</f>
        <v/>
      </c>
      <c r="K46" s="146">
        <f>IF(分析!AC28&lt;&gt;"",分析!AC28,"")</f>
        <v/>
      </c>
      <c r="L46" s="146">
        <f>IF(分析!K28&lt;&gt;"",分析!K28,"")</f>
        <v/>
      </c>
      <c r="M46" s="141">
        <f>IF(分析!P28&lt;&gt;"",分析!P28,"")</f>
        <v/>
      </c>
      <c r="N46" s="599">
        <f>IF(分析!O28&lt;&gt;"",分析!O28,"")</f>
        <v/>
      </c>
      <c r="O46" s="148">
        <f>IF(分析!X28&lt;&gt;"",分析!X28,"")</f>
        <v/>
      </c>
      <c r="P46" s="600">
        <f>IF(分析!L28&lt;&gt;"",分析!L28,"")</f>
        <v/>
      </c>
      <c r="Q46" s="146">
        <f>IF(分析!S28&lt;&gt;"",分析!S28,"")</f>
        <v/>
      </c>
      <c r="R46" s="146">
        <f>IF(分析!R28&lt;&gt;"",分析!R28,"")</f>
        <v/>
      </c>
      <c r="S46" s="141">
        <f>IF(分析!AA28&lt;&gt;"",分析!AA28,"")</f>
        <v/>
      </c>
      <c r="T46" s="601">
        <f>IF(分析!Z28&lt;&gt;"",分析!Z28,"")</f>
        <v/>
      </c>
      <c r="U46" s="141">
        <f>IF(分析!V28&lt;&gt;"",分析!V28,"")</f>
        <v/>
      </c>
      <c r="V46" s="602">
        <f>IF(分析!W28&lt;&gt;"",分析!W28,"")</f>
        <v/>
      </c>
      <c r="W46" s="152">
        <f>IF(分析!AD28&lt;&gt;"",分析!AD28,"")</f>
        <v/>
      </c>
      <c r="X46" s="153">
        <f>IF(分析!AE28&lt;&gt;"",分析!AE28,"")</f>
        <v/>
      </c>
      <c r="Y46" s="154">
        <f>IF(分析!T28&lt;&gt;"",分析!T28,"")</f>
        <v/>
      </c>
      <c r="Z46" s="155">
        <f>IF(分析!Y28&lt;&gt;"",分析!Y28,"")</f>
        <v/>
      </c>
    </row>
    <row r="47" ht="21.95" customHeight="1" s="574">
      <c r="A47" s="156">
        <f>IF(分析!C85&lt;&gt;"",ROW()-2,"")</f>
        <v/>
      </c>
      <c r="B47" s="157">
        <f>IF(分析!C85&lt;&gt;"",HYPERLINK("https://kabutan.jp/stock/?code="&amp;分析!C85,"株探"),"")</f>
        <v/>
      </c>
      <c r="C47" s="603">
        <f>IF(分析!C85&lt;&gt;"",分析!C85,"")</f>
        <v/>
      </c>
      <c r="D47" s="159">
        <f>IF(分析!D85&lt;&gt;"",分析!D85,"")</f>
        <v/>
      </c>
      <c r="E47" s="160">
        <f>IF(分析!E85&lt;&gt;"",分析!E85,"")</f>
        <v/>
      </c>
      <c r="F47" s="161">
        <f>IF(分析!F85&lt;&gt;"",分析!F85,"")</f>
        <v/>
      </c>
      <c r="G47" s="161">
        <f>IF(分析!H85&lt;&gt;"",分析!H85,"")</f>
        <v/>
      </c>
      <c r="H47" s="161">
        <f>IF(分析!I85&lt;&gt;"",分析!I85,"")</f>
        <v/>
      </c>
      <c r="I47" s="161">
        <f>IF(分析!J85&lt;&gt;"",分析!J85,"")</f>
        <v/>
      </c>
      <c r="J47" s="161">
        <f>IF(分析!AB85&lt;&gt;"",分析!AB85,"")</f>
        <v/>
      </c>
      <c r="K47" s="161">
        <f>IF(分析!AC85&lt;&gt;"",分析!AC85,"")</f>
        <v/>
      </c>
      <c r="L47" s="161">
        <f>IF(分析!K85&lt;&gt;"",分析!K85,"")</f>
        <v/>
      </c>
      <c r="M47" s="156">
        <f>IF(分析!P85&lt;&gt;"",分析!P85,"")</f>
        <v/>
      </c>
      <c r="N47" s="604">
        <f>IF(分析!O85&lt;&gt;"",分析!O85,"")</f>
        <v/>
      </c>
      <c r="O47" s="163">
        <f>IF(分析!X85&lt;&gt;"",分析!X85,"")</f>
        <v/>
      </c>
      <c r="P47" s="605">
        <f>IF(分析!L85&lt;&gt;"",分析!L85,"")</f>
        <v/>
      </c>
      <c r="Q47" s="161">
        <f>IF(分析!S85&lt;&gt;"",分析!S85,"")</f>
        <v/>
      </c>
      <c r="R47" s="161">
        <f>IF(分析!R85&lt;&gt;"",分析!R85,"")</f>
        <v/>
      </c>
      <c r="S47" s="156">
        <f>IF(分析!AA85&lt;&gt;"",分析!AA85,"")</f>
        <v/>
      </c>
      <c r="T47" s="606">
        <f>IF(分析!Z85&lt;&gt;"",分析!Z85,"")</f>
        <v/>
      </c>
      <c r="U47" s="156">
        <f>IF(分析!V85&lt;&gt;"",分析!V85,"")</f>
        <v/>
      </c>
      <c r="V47" s="607">
        <f>IF(分析!W85&lt;&gt;"",分析!W85,"")</f>
        <v/>
      </c>
      <c r="W47" s="167">
        <f>IF(分析!AD85&lt;&gt;"",分析!AD85,"")</f>
        <v/>
      </c>
      <c r="X47" s="168">
        <f>IF(分析!AE85&lt;&gt;"",分析!AE85,"")</f>
        <v/>
      </c>
      <c r="Y47" s="169">
        <f>IF(分析!T85&lt;&gt;"",分析!T85,"")</f>
        <v/>
      </c>
      <c r="Z47" s="155">
        <f>IF(分析!Y85&lt;&gt;"",分析!Y85,"")</f>
        <v/>
      </c>
    </row>
    <row r="48" ht="21.95" customHeight="1" s="574">
      <c r="A48" s="156">
        <f>IF(分析!C41&lt;&gt;"",ROW()-2,"")</f>
        <v/>
      </c>
      <c r="B48" s="157">
        <f>IF(分析!C41&lt;&gt;"",HYPERLINK("https://kabutan.jp/stock/?code="&amp;分析!C41,"株探"),"")</f>
        <v/>
      </c>
      <c r="C48" s="603">
        <f>IF(分析!C41&lt;&gt;"",分析!C41,"")</f>
        <v/>
      </c>
      <c r="D48" s="159">
        <f>IF(分析!D41&lt;&gt;"",分析!D41,"")</f>
        <v/>
      </c>
      <c r="E48" s="160">
        <f>IF(分析!E41&lt;&gt;"",分析!E41,"")</f>
        <v/>
      </c>
      <c r="F48" s="161">
        <f>IF(分析!F41&lt;&gt;"",分析!F41,"")</f>
        <v/>
      </c>
      <c r="G48" s="161">
        <f>IF(分析!H41&lt;&gt;"",分析!H41,"")</f>
        <v/>
      </c>
      <c r="H48" s="161">
        <f>IF(分析!I41&lt;&gt;"",分析!I41,"")</f>
        <v/>
      </c>
      <c r="I48" s="161">
        <f>IF(分析!J41&lt;&gt;"",分析!J41,"")</f>
        <v/>
      </c>
      <c r="J48" s="161">
        <f>IF(分析!AB41&lt;&gt;"",分析!AB41,"")</f>
        <v/>
      </c>
      <c r="K48" s="161">
        <f>IF(分析!AC41&lt;&gt;"",分析!AC41,"")</f>
        <v/>
      </c>
      <c r="L48" s="161">
        <f>IF(分析!K41&lt;&gt;"",分析!K41,"")</f>
        <v/>
      </c>
      <c r="M48" s="156">
        <f>IF(分析!P41&lt;&gt;"",分析!P41,"")</f>
        <v/>
      </c>
      <c r="N48" s="604">
        <f>IF(分析!O41&lt;&gt;"",分析!O41,"")</f>
        <v/>
      </c>
      <c r="O48" s="163">
        <f>IF(分析!X41&lt;&gt;"",分析!X41,"")</f>
        <v/>
      </c>
      <c r="P48" s="605">
        <f>IF(分析!L41&lt;&gt;"",分析!L41,"")</f>
        <v/>
      </c>
      <c r="Q48" s="161">
        <f>IF(分析!S41&lt;&gt;"",分析!S41,"")</f>
        <v/>
      </c>
      <c r="R48" s="161">
        <f>IF(分析!R41&lt;&gt;"",分析!R41,"")</f>
        <v/>
      </c>
      <c r="S48" s="156">
        <f>IF(分析!AA41&lt;&gt;"",分析!AA41,"")</f>
        <v/>
      </c>
      <c r="T48" s="606">
        <f>IF(分析!Z41&lt;&gt;"",分析!Z41,"")</f>
        <v/>
      </c>
      <c r="U48" s="156">
        <f>IF(分析!V41&lt;&gt;"",分析!V41,"")</f>
        <v/>
      </c>
      <c r="V48" s="607">
        <f>IF(分析!W41&lt;&gt;"",分析!W41,"")</f>
        <v/>
      </c>
      <c r="W48" s="167">
        <f>IF(分析!AD41&lt;&gt;"",分析!AD41,"")</f>
        <v/>
      </c>
      <c r="X48" s="168">
        <f>IF(分析!AE41&lt;&gt;"",分析!AE41,"")</f>
        <v/>
      </c>
      <c r="Y48" s="169">
        <f>IF(分析!T41&lt;&gt;"",分析!T41,"")</f>
        <v/>
      </c>
      <c r="Z48" s="155">
        <f>IF(分析!Y41&lt;&gt;"",分析!Y41,"")</f>
        <v/>
      </c>
    </row>
    <row r="49" ht="21.95" customHeight="1" s="574">
      <c r="A49" s="141">
        <f>IF(分析!C186&lt;&gt;"",ROW()-2,"")</f>
        <v/>
      </c>
      <c r="B49" s="142">
        <f>IF(分析!C186&lt;&gt;"",HYPERLINK("https://kabutan.jp/stock/?code="&amp;分析!C186,"株探"),"")</f>
        <v/>
      </c>
      <c r="C49" s="598">
        <f>IF(分析!C186&lt;&gt;"",分析!C186,"")</f>
        <v/>
      </c>
      <c r="D49" s="144">
        <f>IF(分析!D186&lt;&gt;"",分析!D186,"")</f>
        <v/>
      </c>
      <c r="E49" s="145">
        <f>IF(分析!E186&lt;&gt;"",分析!E186,"")</f>
        <v/>
      </c>
      <c r="F49" s="146">
        <f>IF(分析!F186&lt;&gt;"",分析!F186,"")</f>
        <v/>
      </c>
      <c r="G49" s="146">
        <f>IF(分析!H186&lt;&gt;"",分析!H186,"")</f>
        <v/>
      </c>
      <c r="H49" s="146">
        <f>IF(分析!I186&lt;&gt;"",分析!I186,"")</f>
        <v/>
      </c>
      <c r="I49" s="146">
        <f>IF(分析!J186&lt;&gt;"",分析!J186,"")</f>
        <v/>
      </c>
      <c r="J49" s="146">
        <f>IF(分析!AB186&lt;&gt;"",分析!AB186,"")</f>
        <v/>
      </c>
      <c r="K49" s="146">
        <f>IF(分析!AC186&lt;&gt;"",分析!AC186,"")</f>
        <v/>
      </c>
      <c r="L49" s="146">
        <f>IF(分析!K186&lt;&gt;"",分析!K186,"")</f>
        <v/>
      </c>
      <c r="M49" s="141">
        <f>IF(分析!P186&lt;&gt;"",分析!P186,"")</f>
        <v/>
      </c>
      <c r="N49" s="599">
        <f>IF(分析!O186&lt;&gt;"",分析!O186,"")</f>
        <v/>
      </c>
      <c r="O49" s="148">
        <f>IF(分析!X186&lt;&gt;"",分析!X186,"")</f>
        <v/>
      </c>
      <c r="P49" s="600">
        <f>IF(分析!L186&lt;&gt;"",分析!L186,"")</f>
        <v/>
      </c>
      <c r="Q49" s="146">
        <f>IF(分析!S186&lt;&gt;"",分析!S186,"")</f>
        <v/>
      </c>
      <c r="R49" s="146">
        <f>IF(分析!R186&lt;&gt;"",分析!R186,"")</f>
        <v/>
      </c>
      <c r="S49" s="141">
        <f>IF(分析!AA186&lt;&gt;"",分析!AA186,"")</f>
        <v/>
      </c>
      <c r="T49" s="601">
        <f>IF(分析!Z186&lt;&gt;"",分析!Z186,"")</f>
        <v/>
      </c>
      <c r="U49" s="141">
        <f>IF(分析!V186&lt;&gt;"",分析!V186,"")</f>
        <v/>
      </c>
      <c r="V49" s="602">
        <f>IF(分析!W186&lt;&gt;"",分析!W186,"")</f>
        <v/>
      </c>
      <c r="W49" s="152">
        <f>IF(分析!AD186&lt;&gt;"",分析!AD186,"")</f>
        <v/>
      </c>
      <c r="X49" s="153">
        <f>IF(分析!AE186&lt;&gt;"",分析!AE186,"")</f>
        <v/>
      </c>
      <c r="Y49" s="154">
        <f>IF(分析!T186&lt;&gt;"",分析!T186,"")</f>
        <v/>
      </c>
      <c r="Z49" s="155">
        <f>IF(分析!Y186&lt;&gt;"",分析!Y186,"")</f>
        <v/>
      </c>
    </row>
    <row r="50" ht="21.95" customHeight="1" s="574">
      <c r="A50" s="141">
        <f>IF(分析!C64&lt;&gt;"",ROW()-2,"")</f>
        <v/>
      </c>
      <c r="B50" s="142">
        <f>IF(分析!C64&lt;&gt;"",HYPERLINK("https://kabutan.jp/stock/?code="&amp;分析!C64,"株探"),"")</f>
        <v/>
      </c>
      <c r="C50" s="598">
        <f>IF(分析!C64&lt;&gt;"",分析!C64,"")</f>
        <v/>
      </c>
      <c r="D50" s="144">
        <f>IF(分析!D64&lt;&gt;"",分析!D64,"")</f>
        <v/>
      </c>
      <c r="E50" s="145">
        <f>IF(分析!E64&lt;&gt;"",分析!E64,"")</f>
        <v/>
      </c>
      <c r="F50" s="146">
        <f>IF(分析!F64&lt;&gt;"",分析!F64,"")</f>
        <v/>
      </c>
      <c r="G50" s="146">
        <f>IF(分析!H64&lt;&gt;"",分析!H64,"")</f>
        <v/>
      </c>
      <c r="H50" s="146">
        <f>IF(分析!I64&lt;&gt;"",分析!I64,"")</f>
        <v/>
      </c>
      <c r="I50" s="146">
        <f>IF(分析!J64&lt;&gt;"",分析!J64,"")</f>
        <v/>
      </c>
      <c r="J50" s="146">
        <f>IF(分析!AB64&lt;&gt;"",分析!AB64,"")</f>
        <v/>
      </c>
      <c r="K50" s="146">
        <f>IF(分析!AC64&lt;&gt;"",分析!AC64,"")</f>
        <v/>
      </c>
      <c r="L50" s="146">
        <f>IF(分析!K64&lt;&gt;"",分析!K64,"")</f>
        <v/>
      </c>
      <c r="M50" s="141">
        <f>IF(分析!P64&lt;&gt;"",分析!P64,"")</f>
        <v/>
      </c>
      <c r="N50" s="599">
        <f>IF(分析!O64&lt;&gt;"",分析!O64,"")</f>
        <v/>
      </c>
      <c r="O50" s="148">
        <f>IF(分析!X64&lt;&gt;"",分析!X64,"")</f>
        <v/>
      </c>
      <c r="P50" s="600">
        <f>IF(分析!L64&lt;&gt;"",分析!L64,"")</f>
        <v/>
      </c>
      <c r="Q50" s="146">
        <f>IF(分析!S64&lt;&gt;"",分析!S64,"")</f>
        <v/>
      </c>
      <c r="R50" s="146">
        <f>IF(分析!R64&lt;&gt;"",分析!R64,"")</f>
        <v/>
      </c>
      <c r="S50" s="141">
        <f>IF(分析!AA64&lt;&gt;"",分析!AA64,"")</f>
        <v/>
      </c>
      <c r="T50" s="601">
        <f>IF(分析!Z64&lt;&gt;"",分析!Z64,"")</f>
        <v/>
      </c>
      <c r="U50" s="141">
        <f>IF(分析!V64&lt;&gt;"",分析!V64,"")</f>
        <v/>
      </c>
      <c r="V50" s="602">
        <f>IF(分析!W64&lt;&gt;"",分析!W64,"")</f>
        <v/>
      </c>
      <c r="W50" s="152">
        <f>IF(分析!AD64&lt;&gt;"",分析!AD64,"")</f>
        <v/>
      </c>
      <c r="X50" s="153">
        <f>IF(分析!AE64&lt;&gt;"",分析!AE64,"")</f>
        <v/>
      </c>
      <c r="Y50" s="154">
        <f>IF(分析!T64&lt;&gt;"",分析!T64,"")</f>
        <v/>
      </c>
      <c r="Z50" s="155">
        <f>IF(分析!Y64&lt;&gt;"",分析!Y64,"")</f>
        <v/>
      </c>
    </row>
    <row r="51" ht="21.95" customHeight="1" s="574">
      <c r="A51" s="156">
        <f>IF(分析!C111&lt;&gt;"",ROW()-2,"")</f>
        <v/>
      </c>
      <c r="B51" s="157">
        <f>IF(分析!C111&lt;&gt;"",HYPERLINK("https://kabutan.jp/stock/?code="&amp;分析!C111,"株探"),"")</f>
        <v/>
      </c>
      <c r="C51" s="603">
        <f>IF(分析!C111&lt;&gt;"",分析!C111,"")</f>
        <v/>
      </c>
      <c r="D51" s="159">
        <f>IF(分析!D111&lt;&gt;"",分析!D111,"")</f>
        <v/>
      </c>
      <c r="E51" s="160">
        <f>IF(分析!E111&lt;&gt;"",分析!E111,"")</f>
        <v/>
      </c>
      <c r="F51" s="161">
        <f>IF(分析!F111&lt;&gt;"",分析!F111,"")</f>
        <v/>
      </c>
      <c r="G51" s="161">
        <f>IF(分析!H111&lt;&gt;"",分析!H111,"")</f>
        <v/>
      </c>
      <c r="H51" s="161">
        <f>IF(分析!I111&lt;&gt;"",分析!I111,"")</f>
        <v/>
      </c>
      <c r="I51" s="161">
        <f>IF(分析!J111&lt;&gt;"",分析!J111,"")</f>
        <v/>
      </c>
      <c r="J51" s="161">
        <f>IF(分析!AB111&lt;&gt;"",分析!AB111,"")</f>
        <v/>
      </c>
      <c r="K51" s="161">
        <f>IF(分析!AC111&lt;&gt;"",分析!AC111,"")</f>
        <v/>
      </c>
      <c r="L51" s="161">
        <f>IF(分析!K111&lt;&gt;"",分析!K111,"")</f>
        <v/>
      </c>
      <c r="M51" s="156">
        <f>IF(分析!P111&lt;&gt;"",分析!P111,"")</f>
        <v/>
      </c>
      <c r="N51" s="604">
        <f>IF(分析!O111&lt;&gt;"",分析!O111,"")</f>
        <v/>
      </c>
      <c r="O51" s="163">
        <f>IF(分析!X111&lt;&gt;"",分析!X111,"")</f>
        <v/>
      </c>
      <c r="P51" s="605">
        <f>IF(分析!L111&lt;&gt;"",分析!L111,"")</f>
        <v/>
      </c>
      <c r="Q51" s="161">
        <f>IF(分析!S111&lt;&gt;"",分析!S111,"")</f>
        <v/>
      </c>
      <c r="R51" s="161">
        <f>IF(分析!R111&lt;&gt;"",分析!R111,"")</f>
        <v/>
      </c>
      <c r="S51" s="156">
        <f>IF(分析!AA111&lt;&gt;"",分析!AA111,"")</f>
        <v/>
      </c>
      <c r="T51" s="606">
        <f>IF(分析!Z111&lt;&gt;"",分析!Z111,"")</f>
        <v/>
      </c>
      <c r="U51" s="156">
        <f>IF(分析!V111&lt;&gt;"",分析!V111,"")</f>
        <v/>
      </c>
      <c r="V51" s="607">
        <f>IF(分析!W111&lt;&gt;"",分析!W111,"")</f>
        <v/>
      </c>
      <c r="W51" s="167">
        <f>IF(分析!AD111&lt;&gt;"",分析!AD111,"")</f>
        <v/>
      </c>
      <c r="X51" s="168">
        <f>IF(分析!AE111&lt;&gt;"",分析!AE111,"")</f>
        <v/>
      </c>
      <c r="Y51" s="169">
        <f>IF(分析!T111&lt;&gt;"",分析!T111,"")</f>
        <v/>
      </c>
      <c r="Z51" s="155">
        <f>IF(分析!Y111&lt;&gt;"",分析!Y111,"")</f>
        <v/>
      </c>
    </row>
    <row r="52" ht="21.95" customHeight="1" s="574">
      <c r="A52" s="156">
        <f>IF(分析!C189&lt;&gt;"",ROW()-2,"")</f>
        <v/>
      </c>
      <c r="B52" s="157">
        <f>IF(分析!C189&lt;&gt;"",HYPERLINK("https://kabutan.jp/stock/?code="&amp;分析!C189,"株探"),"")</f>
        <v/>
      </c>
      <c r="C52" s="603">
        <f>IF(分析!C189&lt;&gt;"",分析!C189,"")</f>
        <v/>
      </c>
      <c r="D52" s="159">
        <f>IF(分析!D189&lt;&gt;"",分析!D189,"")</f>
        <v/>
      </c>
      <c r="E52" s="160">
        <f>IF(分析!E189&lt;&gt;"",分析!E189,"")</f>
        <v/>
      </c>
      <c r="F52" s="161">
        <f>IF(分析!F189&lt;&gt;"",分析!F189,"")</f>
        <v/>
      </c>
      <c r="G52" s="161">
        <f>IF(分析!H189&lt;&gt;"",分析!H189,"")</f>
        <v/>
      </c>
      <c r="H52" s="161">
        <f>IF(分析!I189&lt;&gt;"",分析!I189,"")</f>
        <v/>
      </c>
      <c r="I52" s="161">
        <f>IF(分析!J189&lt;&gt;"",分析!J189,"")</f>
        <v/>
      </c>
      <c r="J52" s="161">
        <f>IF(分析!AB189&lt;&gt;"",分析!AB189,"")</f>
        <v/>
      </c>
      <c r="K52" s="161">
        <f>IF(分析!AC189&lt;&gt;"",分析!AC189,"")</f>
        <v/>
      </c>
      <c r="L52" s="161">
        <f>IF(分析!K189&lt;&gt;"",分析!K189,"")</f>
        <v/>
      </c>
      <c r="M52" s="156">
        <f>IF(分析!P189&lt;&gt;"",分析!P189,"")</f>
        <v/>
      </c>
      <c r="N52" s="604">
        <f>IF(分析!O189&lt;&gt;"",分析!O189,"")</f>
        <v/>
      </c>
      <c r="O52" s="163">
        <f>IF(分析!X189&lt;&gt;"",分析!X189,"")</f>
        <v/>
      </c>
      <c r="P52" s="605">
        <f>IF(分析!L189&lt;&gt;"",分析!L189,"")</f>
        <v/>
      </c>
      <c r="Q52" s="161">
        <f>IF(分析!S189&lt;&gt;"",分析!S189,"")</f>
        <v/>
      </c>
      <c r="R52" s="161">
        <f>IF(分析!R189&lt;&gt;"",分析!R189,"")</f>
        <v/>
      </c>
      <c r="S52" s="156">
        <f>IF(分析!AA189&lt;&gt;"",分析!AA189,"")</f>
        <v/>
      </c>
      <c r="T52" s="606">
        <f>IF(分析!Z189&lt;&gt;"",分析!Z189,"")</f>
        <v/>
      </c>
      <c r="U52" s="156">
        <f>IF(分析!V189&lt;&gt;"",分析!V189,"")</f>
        <v/>
      </c>
      <c r="V52" s="607">
        <f>IF(分析!W189&lt;&gt;"",分析!W189,"")</f>
        <v/>
      </c>
      <c r="W52" s="167">
        <f>IF(分析!AD189&lt;&gt;"",分析!AD189,"")</f>
        <v/>
      </c>
      <c r="X52" s="168">
        <f>IF(分析!AE189&lt;&gt;"",分析!AE189,"")</f>
        <v/>
      </c>
      <c r="Y52" s="169">
        <f>IF(分析!T189&lt;&gt;"",分析!T189,"")</f>
        <v/>
      </c>
      <c r="Z52" s="155">
        <f>IF(分析!Y189&lt;&gt;"",分析!Y189,"")</f>
        <v/>
      </c>
    </row>
    <row r="53" ht="21.95" customHeight="1" s="574">
      <c r="A53" s="141">
        <f>IF(分析!C86&lt;&gt;"",ROW()-2,"")</f>
        <v/>
      </c>
      <c r="B53" s="142">
        <f>IF(分析!C86&lt;&gt;"",HYPERLINK("https://kabutan.jp/stock/?code="&amp;分析!C86,"株探"),"")</f>
        <v/>
      </c>
      <c r="C53" s="598">
        <f>IF(分析!C86&lt;&gt;"",分析!C86,"")</f>
        <v/>
      </c>
      <c r="D53" s="144">
        <f>IF(分析!D86&lt;&gt;"",分析!D86,"")</f>
        <v/>
      </c>
      <c r="E53" s="145">
        <f>IF(分析!E86&lt;&gt;"",分析!E86,"")</f>
        <v/>
      </c>
      <c r="F53" s="146">
        <f>IF(分析!F86&lt;&gt;"",分析!F86,"")</f>
        <v/>
      </c>
      <c r="G53" s="146">
        <f>IF(分析!H86&lt;&gt;"",分析!H86,"")</f>
        <v/>
      </c>
      <c r="H53" s="146">
        <f>IF(分析!I86&lt;&gt;"",分析!I86,"")</f>
        <v/>
      </c>
      <c r="I53" s="146">
        <f>IF(分析!J86&lt;&gt;"",分析!J86,"")</f>
        <v/>
      </c>
      <c r="J53" s="146">
        <f>IF(分析!AB86&lt;&gt;"",分析!AB86,"")</f>
        <v/>
      </c>
      <c r="K53" s="146">
        <f>IF(分析!AC86&lt;&gt;"",分析!AC86,"")</f>
        <v/>
      </c>
      <c r="L53" s="146">
        <f>IF(分析!K86&lt;&gt;"",分析!K86,"")</f>
        <v/>
      </c>
      <c r="M53" s="141">
        <f>IF(分析!P86&lt;&gt;"",分析!P86,"")</f>
        <v/>
      </c>
      <c r="N53" s="599">
        <f>IF(分析!O86&lt;&gt;"",分析!O86,"")</f>
        <v/>
      </c>
      <c r="O53" s="148">
        <f>IF(分析!X86&lt;&gt;"",分析!X86,"")</f>
        <v/>
      </c>
      <c r="P53" s="600">
        <f>IF(分析!L86&lt;&gt;"",分析!L86,"")</f>
        <v/>
      </c>
      <c r="Q53" s="146">
        <f>IF(分析!S86&lt;&gt;"",分析!S86,"")</f>
        <v/>
      </c>
      <c r="R53" s="146">
        <f>IF(分析!R86&lt;&gt;"",分析!R86,"")</f>
        <v/>
      </c>
      <c r="S53" s="141">
        <f>IF(分析!AA86&lt;&gt;"",分析!AA86,"")</f>
        <v/>
      </c>
      <c r="T53" s="601">
        <f>IF(分析!Z86&lt;&gt;"",分析!Z86,"")</f>
        <v/>
      </c>
      <c r="U53" s="141">
        <f>IF(分析!V86&lt;&gt;"",分析!V86,"")</f>
        <v/>
      </c>
      <c r="V53" s="602">
        <f>IF(分析!W86&lt;&gt;"",分析!W86,"")</f>
        <v/>
      </c>
      <c r="W53" s="152">
        <f>IF(分析!AD86&lt;&gt;"",分析!AD86,"")</f>
        <v/>
      </c>
      <c r="X53" s="153">
        <f>IF(分析!AE86&lt;&gt;"",分析!AE86,"")</f>
        <v/>
      </c>
      <c r="Y53" s="154">
        <f>IF(分析!T86&lt;&gt;"",分析!T86,"")</f>
        <v/>
      </c>
      <c r="Z53" s="155">
        <f>IF(分析!Y86&lt;&gt;"",分析!Y86,"")</f>
        <v/>
      </c>
    </row>
    <row r="54" ht="21.95" customHeight="1" s="574">
      <c r="A54" s="141">
        <f>IF(分析!C130&lt;&gt;"",ROW()-2,"")</f>
        <v/>
      </c>
      <c r="B54" s="142">
        <f>IF(分析!C130&lt;&gt;"",HYPERLINK("https://kabutan.jp/stock/?code="&amp;分析!C130,"株探"),"")</f>
        <v/>
      </c>
      <c r="C54" s="598">
        <f>IF(分析!C130&lt;&gt;"",分析!C130,"")</f>
        <v/>
      </c>
      <c r="D54" s="144">
        <f>IF(分析!D130&lt;&gt;"",分析!D130,"")</f>
        <v/>
      </c>
      <c r="E54" s="145">
        <f>IF(分析!E130&lt;&gt;"",分析!E130,"")</f>
        <v/>
      </c>
      <c r="F54" s="146">
        <f>IF(分析!F130&lt;&gt;"",分析!F130,"")</f>
        <v/>
      </c>
      <c r="G54" s="146">
        <f>IF(分析!H130&lt;&gt;"",分析!H130,"")</f>
        <v/>
      </c>
      <c r="H54" s="146">
        <f>IF(分析!I130&lt;&gt;"",分析!I130,"")</f>
        <v/>
      </c>
      <c r="I54" s="146">
        <f>IF(分析!J130&lt;&gt;"",分析!J130,"")</f>
        <v/>
      </c>
      <c r="J54" s="146">
        <f>IF(分析!AB130&lt;&gt;"",分析!AB130,"")</f>
        <v/>
      </c>
      <c r="K54" s="146">
        <f>IF(分析!AC130&lt;&gt;"",分析!AC130,"")</f>
        <v/>
      </c>
      <c r="L54" s="146">
        <f>IF(分析!K130&lt;&gt;"",分析!K130,"")</f>
        <v/>
      </c>
      <c r="M54" s="141">
        <f>IF(分析!P130&lt;&gt;"",分析!P130,"")</f>
        <v/>
      </c>
      <c r="N54" s="599">
        <f>IF(分析!O130&lt;&gt;"",分析!O130,"")</f>
        <v/>
      </c>
      <c r="O54" s="148">
        <f>IF(分析!X130&lt;&gt;"",分析!X130,"")</f>
        <v/>
      </c>
      <c r="P54" s="600">
        <f>IF(分析!L130&lt;&gt;"",分析!L130,"")</f>
        <v/>
      </c>
      <c r="Q54" s="146">
        <f>IF(分析!S130&lt;&gt;"",分析!S130,"")</f>
        <v/>
      </c>
      <c r="R54" s="146">
        <f>IF(分析!R130&lt;&gt;"",分析!R130,"")</f>
        <v/>
      </c>
      <c r="S54" s="141">
        <f>IF(分析!AA130&lt;&gt;"",分析!AA130,"")</f>
        <v/>
      </c>
      <c r="T54" s="601">
        <f>IF(分析!Z130&lt;&gt;"",分析!Z130,"")</f>
        <v/>
      </c>
      <c r="U54" s="141">
        <f>IF(分析!V130&lt;&gt;"",分析!V130,"")</f>
        <v/>
      </c>
      <c r="V54" s="602">
        <f>IF(分析!W130&lt;&gt;"",分析!W130,"")</f>
        <v/>
      </c>
      <c r="W54" s="152">
        <f>IF(分析!AD130&lt;&gt;"",分析!AD130,"")</f>
        <v/>
      </c>
      <c r="X54" s="153">
        <f>IF(分析!AE130&lt;&gt;"",分析!AE130,"")</f>
        <v/>
      </c>
      <c r="Y54" s="154">
        <f>IF(分析!T130&lt;&gt;"",分析!T130,"")</f>
        <v/>
      </c>
      <c r="Z54" s="155">
        <f>IF(分析!Y130&lt;&gt;"",分析!Y130,"")</f>
        <v/>
      </c>
    </row>
    <row r="55" ht="21.95" customHeight="1" s="574">
      <c r="A55" s="141">
        <f>IF(分析!C6&lt;&gt;"",ROW()-2,"")</f>
        <v/>
      </c>
      <c r="B55" s="142">
        <f>IF(分析!C6&lt;&gt;"",HYPERLINK("https://kabutan.jp/stock/?code="&amp;分析!C6,"株探"),"")</f>
        <v/>
      </c>
      <c r="C55" s="598">
        <f>IF(分析!C6&lt;&gt;"",分析!C6,"")</f>
        <v/>
      </c>
      <c r="D55" s="144">
        <f>IF(分析!D6&lt;&gt;"",分析!D6,"")</f>
        <v/>
      </c>
      <c r="E55" s="145">
        <f>IF(分析!E6&lt;&gt;"",分析!E6,"")</f>
        <v/>
      </c>
      <c r="F55" s="146">
        <f>IF(分析!F6&lt;&gt;"",分析!F6,"")</f>
        <v/>
      </c>
      <c r="G55" s="146">
        <f>IF(分析!H6&lt;&gt;"",分析!H6,"")</f>
        <v/>
      </c>
      <c r="H55" s="146">
        <f>IF(分析!I6&lt;&gt;"",分析!I6,"")</f>
        <v/>
      </c>
      <c r="I55" s="146">
        <f>IF(分析!J6&lt;&gt;"",分析!J6,"")</f>
        <v/>
      </c>
      <c r="J55" s="146">
        <f>IF(分析!AB6&lt;&gt;"",分析!AB6,"")</f>
        <v/>
      </c>
      <c r="K55" s="146">
        <f>IF(分析!AC6&lt;&gt;"",分析!AC6,"")</f>
        <v/>
      </c>
      <c r="L55" s="146">
        <f>IF(分析!K6&lt;&gt;"",分析!K6,"")</f>
        <v/>
      </c>
      <c r="M55" s="141">
        <f>IF(分析!P6&lt;&gt;"",分析!P6,"")</f>
        <v/>
      </c>
      <c r="N55" s="599">
        <f>IF(分析!O6&lt;&gt;"",分析!O6,"")</f>
        <v/>
      </c>
      <c r="O55" s="148">
        <f>IF(分析!X6&lt;&gt;"",分析!X6,"")</f>
        <v/>
      </c>
      <c r="P55" s="600">
        <f>IF(分析!L6&lt;&gt;"",分析!L6,"")</f>
        <v/>
      </c>
      <c r="Q55" s="146">
        <f>IF(分析!S6&lt;&gt;"",分析!S6,"")</f>
        <v/>
      </c>
      <c r="R55" s="146">
        <f>IF(分析!R6&lt;&gt;"",分析!R6,"")</f>
        <v/>
      </c>
      <c r="S55" s="141">
        <f>IF(分析!AA6&lt;&gt;"",分析!AA6,"")</f>
        <v/>
      </c>
      <c r="T55" s="601">
        <f>IF(分析!Z6&lt;&gt;"",分析!Z6,"")</f>
        <v/>
      </c>
      <c r="U55" s="141">
        <f>IF(分析!V6&lt;&gt;"",分析!V6,"")</f>
        <v/>
      </c>
      <c r="V55" s="602">
        <f>IF(分析!W6&lt;&gt;"",分析!W6,"")</f>
        <v/>
      </c>
      <c r="W55" s="152">
        <f>IF(分析!AD6&lt;&gt;"",分析!AD6,"")</f>
        <v/>
      </c>
      <c r="X55" s="153">
        <f>IF(分析!AE6&lt;&gt;"",分析!AE6,"")</f>
        <v/>
      </c>
      <c r="Y55" s="154">
        <f>IF(分析!T6&lt;&gt;"",分析!T6,"")</f>
        <v/>
      </c>
      <c r="Z55" s="155">
        <f>IF(分析!Y6&lt;&gt;"",分析!Y6,"")</f>
        <v/>
      </c>
    </row>
    <row r="56" ht="21.95" customHeight="1" s="574">
      <c r="A56" s="141">
        <f>IF(分析!C100&lt;&gt;"",ROW()-2,"")</f>
        <v/>
      </c>
      <c r="B56" s="142">
        <f>IF(分析!C100&lt;&gt;"",HYPERLINK("https://kabutan.jp/stock/?code="&amp;分析!C100,"株探"),"")</f>
        <v/>
      </c>
      <c r="C56" s="598">
        <f>IF(分析!C100&lt;&gt;"",分析!C100,"")</f>
        <v/>
      </c>
      <c r="D56" s="144">
        <f>IF(分析!D100&lt;&gt;"",分析!D100,"")</f>
        <v/>
      </c>
      <c r="E56" s="145">
        <f>IF(分析!E100&lt;&gt;"",分析!E100,"")</f>
        <v/>
      </c>
      <c r="F56" s="146">
        <f>IF(分析!F100&lt;&gt;"",分析!F100,"")</f>
        <v/>
      </c>
      <c r="G56" s="146">
        <f>IF(分析!H100&lt;&gt;"",分析!H100,"")</f>
        <v/>
      </c>
      <c r="H56" s="146">
        <f>IF(分析!I100&lt;&gt;"",分析!I100,"")</f>
        <v/>
      </c>
      <c r="I56" s="146">
        <f>IF(分析!J100&lt;&gt;"",分析!J100,"")</f>
        <v/>
      </c>
      <c r="J56" s="146">
        <f>IF(分析!AB100&lt;&gt;"",分析!AB100,"")</f>
        <v/>
      </c>
      <c r="K56" s="146">
        <f>IF(分析!AC100&lt;&gt;"",分析!AC100,"")</f>
        <v/>
      </c>
      <c r="L56" s="146">
        <f>IF(分析!K100&lt;&gt;"",分析!K100,"")</f>
        <v/>
      </c>
      <c r="M56" s="141">
        <f>IF(分析!P100&lt;&gt;"",分析!P100,"")</f>
        <v/>
      </c>
      <c r="N56" s="599">
        <f>IF(分析!O100&lt;&gt;"",分析!O100,"")</f>
        <v/>
      </c>
      <c r="O56" s="148">
        <f>IF(分析!X100&lt;&gt;"",分析!X100,"")</f>
        <v/>
      </c>
      <c r="P56" s="600">
        <f>IF(分析!L100&lt;&gt;"",分析!L100,"")</f>
        <v/>
      </c>
      <c r="Q56" s="146">
        <f>IF(分析!S100&lt;&gt;"",分析!S100,"")</f>
        <v/>
      </c>
      <c r="R56" s="146">
        <f>IF(分析!R100&lt;&gt;"",分析!R100,"")</f>
        <v/>
      </c>
      <c r="S56" s="141">
        <f>IF(分析!AA100&lt;&gt;"",分析!AA100,"")</f>
        <v/>
      </c>
      <c r="T56" s="601">
        <f>IF(分析!Z100&lt;&gt;"",分析!Z100,"")</f>
        <v/>
      </c>
      <c r="U56" s="141">
        <f>IF(分析!V100&lt;&gt;"",分析!V100,"")</f>
        <v/>
      </c>
      <c r="V56" s="602">
        <f>IF(分析!W100&lt;&gt;"",分析!W100,"")</f>
        <v/>
      </c>
      <c r="W56" s="152">
        <f>IF(分析!AD100&lt;&gt;"",分析!AD100,"")</f>
        <v/>
      </c>
      <c r="X56" s="153">
        <f>IF(分析!AE100&lt;&gt;"",分析!AE100,"")</f>
        <v/>
      </c>
      <c r="Y56" s="154">
        <f>IF(分析!T100&lt;&gt;"",分析!T100,"")</f>
        <v/>
      </c>
      <c r="Z56" s="155">
        <f>IF(分析!Y100&lt;&gt;"",分析!Y100,"")</f>
        <v/>
      </c>
    </row>
    <row r="57" ht="21.95" customHeight="1" s="574">
      <c r="A57" s="156">
        <f>IF(分析!C113&lt;&gt;"",ROW()-2,"")</f>
        <v/>
      </c>
      <c r="B57" s="157">
        <f>IF(分析!C113&lt;&gt;"",HYPERLINK("https://kabutan.jp/stock/?code="&amp;分析!C113,"株探"),"")</f>
        <v/>
      </c>
      <c r="C57" s="603">
        <f>IF(分析!C113&lt;&gt;"",分析!C113,"")</f>
        <v/>
      </c>
      <c r="D57" s="159">
        <f>IF(分析!D113&lt;&gt;"",分析!D113,"")</f>
        <v/>
      </c>
      <c r="E57" s="160">
        <f>IF(分析!E113&lt;&gt;"",分析!E113,"")</f>
        <v/>
      </c>
      <c r="F57" s="161">
        <f>IF(分析!F113&lt;&gt;"",分析!F113,"")</f>
        <v/>
      </c>
      <c r="G57" s="161">
        <f>IF(分析!H113&lt;&gt;"",分析!H113,"")</f>
        <v/>
      </c>
      <c r="H57" s="161">
        <f>IF(分析!I113&lt;&gt;"",分析!I113,"")</f>
        <v/>
      </c>
      <c r="I57" s="161">
        <f>IF(分析!J113&lt;&gt;"",分析!J113,"")</f>
        <v/>
      </c>
      <c r="J57" s="161">
        <f>IF(分析!AB113&lt;&gt;"",分析!AB113,"")</f>
        <v/>
      </c>
      <c r="K57" s="161">
        <f>IF(分析!AC113&lt;&gt;"",分析!AC113,"")</f>
        <v/>
      </c>
      <c r="L57" s="161">
        <f>IF(分析!K113&lt;&gt;"",分析!K113,"")</f>
        <v/>
      </c>
      <c r="M57" s="156">
        <f>IF(分析!P113&lt;&gt;"",分析!P113,"")</f>
        <v/>
      </c>
      <c r="N57" s="604">
        <f>IF(分析!O113&lt;&gt;"",分析!O113,"")</f>
        <v/>
      </c>
      <c r="O57" s="163">
        <f>IF(分析!X113&lt;&gt;"",分析!X113,"")</f>
        <v/>
      </c>
      <c r="P57" s="605">
        <f>IF(分析!L113&lt;&gt;"",分析!L113,"")</f>
        <v/>
      </c>
      <c r="Q57" s="161">
        <f>IF(分析!S113&lt;&gt;"",分析!S113,"")</f>
        <v/>
      </c>
      <c r="R57" s="161">
        <f>IF(分析!R113&lt;&gt;"",分析!R113,"")</f>
        <v/>
      </c>
      <c r="S57" s="156">
        <f>IF(分析!AA113&lt;&gt;"",分析!AA113,"")</f>
        <v/>
      </c>
      <c r="T57" s="606">
        <f>IF(分析!Z113&lt;&gt;"",分析!Z113,"")</f>
        <v/>
      </c>
      <c r="U57" s="156">
        <f>IF(分析!V113&lt;&gt;"",分析!V113,"")</f>
        <v/>
      </c>
      <c r="V57" s="607">
        <f>IF(分析!W113&lt;&gt;"",分析!W113,"")</f>
        <v/>
      </c>
      <c r="W57" s="167">
        <f>IF(分析!AD113&lt;&gt;"",分析!AD113,"")</f>
        <v/>
      </c>
      <c r="X57" s="168">
        <f>IF(分析!AE113&lt;&gt;"",分析!AE113,"")</f>
        <v/>
      </c>
      <c r="Y57" s="169">
        <f>IF(分析!T113&lt;&gt;"",分析!T113,"")</f>
        <v/>
      </c>
      <c r="Z57" s="155">
        <f>IF(分析!Y113&lt;&gt;"",分析!Y113,"")</f>
        <v/>
      </c>
    </row>
    <row r="58" ht="21.95" customHeight="1" s="574">
      <c r="A58" s="156">
        <f>IF(分析!C33&lt;&gt;"",ROW()-2,"")</f>
        <v/>
      </c>
      <c r="B58" s="157">
        <f>IF(分析!C33&lt;&gt;"",HYPERLINK("https://kabutan.jp/stock/?code="&amp;分析!C33,"株探"),"")</f>
        <v/>
      </c>
      <c r="C58" s="603">
        <f>IF(分析!C33&lt;&gt;"",分析!C33,"")</f>
        <v/>
      </c>
      <c r="D58" s="159">
        <f>IF(分析!D33&lt;&gt;"",分析!D33,"")</f>
        <v/>
      </c>
      <c r="E58" s="160">
        <f>IF(分析!E33&lt;&gt;"",分析!E33,"")</f>
        <v/>
      </c>
      <c r="F58" s="161">
        <f>IF(分析!F33&lt;&gt;"",分析!F33,"")</f>
        <v/>
      </c>
      <c r="G58" s="161">
        <f>IF(分析!H33&lt;&gt;"",分析!H33,"")</f>
        <v/>
      </c>
      <c r="H58" s="161">
        <f>IF(分析!I33&lt;&gt;"",分析!I33,"")</f>
        <v/>
      </c>
      <c r="I58" s="161">
        <f>IF(分析!J33&lt;&gt;"",分析!J33,"")</f>
        <v/>
      </c>
      <c r="J58" s="161">
        <f>IF(分析!AB33&lt;&gt;"",分析!AB33,"")</f>
        <v/>
      </c>
      <c r="K58" s="161">
        <f>IF(分析!AC33&lt;&gt;"",分析!AC33,"")</f>
        <v/>
      </c>
      <c r="L58" s="161">
        <f>IF(分析!K33&lt;&gt;"",分析!K33,"")</f>
        <v/>
      </c>
      <c r="M58" s="156">
        <f>IF(分析!P33&lt;&gt;"",分析!P33,"")</f>
        <v/>
      </c>
      <c r="N58" s="604">
        <f>IF(分析!O33&lt;&gt;"",分析!O33,"")</f>
        <v/>
      </c>
      <c r="O58" s="163">
        <f>IF(分析!X33&lt;&gt;"",分析!X33,"")</f>
        <v/>
      </c>
      <c r="P58" s="605">
        <f>IF(分析!L33&lt;&gt;"",分析!L33,"")</f>
        <v/>
      </c>
      <c r="Q58" s="161">
        <f>IF(分析!S33&lt;&gt;"",分析!S33,"")</f>
        <v/>
      </c>
      <c r="R58" s="161">
        <f>IF(分析!R33&lt;&gt;"",分析!R33,"")</f>
        <v/>
      </c>
      <c r="S58" s="156">
        <f>IF(分析!AA33&lt;&gt;"",分析!AA33,"")</f>
        <v/>
      </c>
      <c r="T58" s="606">
        <f>IF(分析!Z33&lt;&gt;"",分析!Z33,"")</f>
        <v/>
      </c>
      <c r="U58" s="156">
        <f>IF(分析!V33&lt;&gt;"",分析!V33,"")</f>
        <v/>
      </c>
      <c r="V58" s="607">
        <f>IF(分析!W33&lt;&gt;"",分析!W33,"")</f>
        <v/>
      </c>
      <c r="W58" s="167">
        <f>IF(分析!AD33&lt;&gt;"",分析!AD33,"")</f>
        <v/>
      </c>
      <c r="X58" s="168">
        <f>IF(分析!AE33&lt;&gt;"",分析!AE33,"")</f>
        <v/>
      </c>
      <c r="Y58" s="169">
        <f>IF(分析!T33&lt;&gt;"",分析!T33,"")</f>
        <v/>
      </c>
      <c r="Z58" s="155">
        <f>IF(分析!Y33&lt;&gt;"",分析!Y33,"")</f>
        <v/>
      </c>
    </row>
    <row r="59" ht="21.95" customHeight="1" s="574">
      <c r="A59" s="141">
        <f>IF(分析!C84&lt;&gt;"",ROW()-2,"")</f>
        <v/>
      </c>
      <c r="B59" s="142">
        <f>IF(分析!C84&lt;&gt;"",HYPERLINK("https://kabutan.jp/stock/?code="&amp;分析!C84,"株探"),"")</f>
        <v/>
      </c>
      <c r="C59" s="598">
        <f>IF(分析!C84&lt;&gt;"",分析!C84,"")</f>
        <v/>
      </c>
      <c r="D59" s="144">
        <f>IF(分析!D84&lt;&gt;"",分析!D84,"")</f>
        <v/>
      </c>
      <c r="E59" s="145">
        <f>IF(分析!E84&lt;&gt;"",分析!E84,"")</f>
        <v/>
      </c>
      <c r="F59" s="146">
        <f>IF(分析!F84&lt;&gt;"",分析!F84,"")</f>
        <v/>
      </c>
      <c r="G59" s="146">
        <f>IF(分析!H84&lt;&gt;"",分析!H84,"")</f>
        <v/>
      </c>
      <c r="H59" s="146">
        <f>IF(分析!I84&lt;&gt;"",分析!I84,"")</f>
        <v/>
      </c>
      <c r="I59" s="146">
        <f>IF(分析!J84&lt;&gt;"",分析!J84,"")</f>
        <v/>
      </c>
      <c r="J59" s="146">
        <f>IF(分析!AB84&lt;&gt;"",分析!AB84,"")</f>
        <v/>
      </c>
      <c r="K59" s="146">
        <f>IF(分析!AC84&lt;&gt;"",分析!AC84,"")</f>
        <v/>
      </c>
      <c r="L59" s="146">
        <f>IF(分析!K84&lt;&gt;"",分析!K84,"")</f>
        <v/>
      </c>
      <c r="M59" s="141">
        <f>IF(分析!P84&lt;&gt;"",分析!P84,"")</f>
        <v/>
      </c>
      <c r="N59" s="599">
        <f>IF(分析!O84&lt;&gt;"",分析!O84,"")</f>
        <v/>
      </c>
      <c r="O59" s="148">
        <f>IF(分析!X84&lt;&gt;"",分析!X84,"")</f>
        <v/>
      </c>
      <c r="P59" s="600">
        <f>IF(分析!L84&lt;&gt;"",分析!L84,"")</f>
        <v/>
      </c>
      <c r="Q59" s="146">
        <f>IF(分析!S84&lt;&gt;"",分析!S84,"")</f>
        <v/>
      </c>
      <c r="R59" s="146">
        <f>IF(分析!R84&lt;&gt;"",分析!R84,"")</f>
        <v/>
      </c>
      <c r="S59" s="141">
        <f>IF(分析!AA84&lt;&gt;"",分析!AA84,"")</f>
        <v/>
      </c>
      <c r="T59" s="601">
        <f>IF(分析!Z84&lt;&gt;"",分析!Z84,"")</f>
        <v/>
      </c>
      <c r="U59" s="141">
        <f>IF(分析!V84&lt;&gt;"",分析!V84,"")</f>
        <v/>
      </c>
      <c r="V59" s="602">
        <f>IF(分析!W84&lt;&gt;"",分析!W84,"")</f>
        <v/>
      </c>
      <c r="W59" s="152">
        <f>IF(分析!AD84&lt;&gt;"",分析!AD84,"")</f>
        <v/>
      </c>
      <c r="X59" s="153">
        <f>IF(分析!AE84&lt;&gt;"",分析!AE84,"")</f>
        <v/>
      </c>
      <c r="Y59" s="154">
        <f>IF(分析!T84&lt;&gt;"",分析!T84,"")</f>
        <v/>
      </c>
      <c r="Z59" s="155">
        <f>IF(分析!Y84&lt;&gt;"",分析!Y84,"")</f>
        <v/>
      </c>
    </row>
    <row r="60" ht="21.95" customHeight="1" s="574">
      <c r="A60" s="141">
        <f>IF(分析!C42&lt;&gt;"",ROW()-2,"")</f>
        <v/>
      </c>
      <c r="B60" s="142">
        <f>IF(分析!C42&lt;&gt;"",HYPERLINK("https://kabutan.jp/stock/?code="&amp;分析!C42,"株探"),"")</f>
        <v/>
      </c>
      <c r="C60" s="598">
        <f>IF(分析!C42&lt;&gt;"",分析!C42,"")</f>
        <v/>
      </c>
      <c r="D60" s="144">
        <f>IF(分析!D42&lt;&gt;"",分析!D42,"")</f>
        <v/>
      </c>
      <c r="E60" s="145">
        <f>IF(分析!E42&lt;&gt;"",分析!E42,"")</f>
        <v/>
      </c>
      <c r="F60" s="146">
        <f>IF(分析!F42&lt;&gt;"",分析!F42,"")</f>
        <v/>
      </c>
      <c r="G60" s="146">
        <f>IF(分析!H42&lt;&gt;"",分析!H42,"")</f>
        <v/>
      </c>
      <c r="H60" s="146">
        <f>IF(分析!I42&lt;&gt;"",分析!I42,"")</f>
        <v/>
      </c>
      <c r="I60" s="146">
        <f>IF(分析!J42&lt;&gt;"",分析!J42,"")</f>
        <v/>
      </c>
      <c r="J60" s="146">
        <f>IF(分析!AB42&lt;&gt;"",分析!AB42,"")</f>
        <v/>
      </c>
      <c r="K60" s="146">
        <f>IF(分析!AC42&lt;&gt;"",分析!AC42,"")</f>
        <v/>
      </c>
      <c r="L60" s="146">
        <f>IF(分析!K42&lt;&gt;"",分析!K42,"")</f>
        <v/>
      </c>
      <c r="M60" s="141">
        <f>IF(分析!P42&lt;&gt;"",分析!P42,"")</f>
        <v/>
      </c>
      <c r="N60" s="599">
        <f>IF(分析!O42&lt;&gt;"",分析!O42,"")</f>
        <v/>
      </c>
      <c r="O60" s="148">
        <f>IF(分析!X42&lt;&gt;"",分析!X42,"")</f>
        <v/>
      </c>
      <c r="P60" s="600">
        <f>IF(分析!L42&lt;&gt;"",分析!L42,"")</f>
        <v/>
      </c>
      <c r="Q60" s="146">
        <f>IF(分析!S42&lt;&gt;"",分析!S42,"")</f>
        <v/>
      </c>
      <c r="R60" s="146">
        <f>IF(分析!R42&lt;&gt;"",分析!R42,"")</f>
        <v/>
      </c>
      <c r="S60" s="141">
        <f>IF(分析!AA42&lt;&gt;"",分析!AA42,"")</f>
        <v/>
      </c>
      <c r="T60" s="601">
        <f>IF(分析!Z42&lt;&gt;"",分析!Z42,"")</f>
        <v/>
      </c>
      <c r="U60" s="141">
        <f>IF(分析!V42&lt;&gt;"",分析!V42,"")</f>
        <v/>
      </c>
      <c r="V60" s="602">
        <f>IF(分析!W42&lt;&gt;"",分析!W42,"")</f>
        <v/>
      </c>
      <c r="W60" s="152">
        <f>IF(分析!AD42&lt;&gt;"",分析!AD42,"")</f>
        <v/>
      </c>
      <c r="X60" s="153">
        <f>IF(分析!AE42&lt;&gt;"",分析!AE42,"")</f>
        <v/>
      </c>
      <c r="Y60" s="154">
        <f>IF(分析!T42&lt;&gt;"",分析!T42,"")</f>
        <v/>
      </c>
      <c r="Z60" s="155">
        <f>IF(分析!Y42&lt;&gt;"",分析!Y42,"")</f>
        <v/>
      </c>
    </row>
    <row r="61" ht="21.95" customHeight="1" s="574">
      <c r="A61" s="156">
        <f>IF(分析!C197&lt;&gt;"",ROW()-2,"")</f>
        <v/>
      </c>
      <c r="B61" s="157">
        <f>IF(分析!C197&lt;&gt;"",HYPERLINK("https://kabutan.jp/stock/?code="&amp;分析!C197,"株探"),"")</f>
        <v/>
      </c>
      <c r="C61" s="603">
        <f>IF(分析!C197&lt;&gt;"",分析!C197,"")</f>
        <v/>
      </c>
      <c r="D61" s="159">
        <f>IF(分析!D197&lt;&gt;"",分析!D197,"")</f>
        <v/>
      </c>
      <c r="E61" s="160">
        <f>IF(分析!E197&lt;&gt;"",分析!E197,"")</f>
        <v/>
      </c>
      <c r="F61" s="161">
        <f>IF(分析!F197&lt;&gt;"",分析!F197,"")</f>
        <v/>
      </c>
      <c r="G61" s="161">
        <f>IF(分析!H197&lt;&gt;"",分析!H197,"")</f>
        <v/>
      </c>
      <c r="H61" s="161">
        <f>IF(分析!I197&lt;&gt;"",分析!I197,"")</f>
        <v/>
      </c>
      <c r="I61" s="161">
        <f>IF(分析!J197&lt;&gt;"",分析!J197,"")</f>
        <v/>
      </c>
      <c r="J61" s="161">
        <f>IF(分析!AB197&lt;&gt;"",分析!AB197,"")</f>
        <v/>
      </c>
      <c r="K61" s="161">
        <f>IF(分析!AC197&lt;&gt;"",分析!AC197,"")</f>
        <v/>
      </c>
      <c r="L61" s="161">
        <f>IF(分析!K197&lt;&gt;"",分析!K197,"")</f>
        <v/>
      </c>
      <c r="M61" s="156">
        <f>IF(分析!P197&lt;&gt;"",分析!P197,"")</f>
        <v/>
      </c>
      <c r="N61" s="604">
        <f>IF(分析!O197&lt;&gt;"",分析!O197,"")</f>
        <v/>
      </c>
      <c r="O61" s="163">
        <f>IF(分析!X197&lt;&gt;"",分析!X197,"")</f>
        <v/>
      </c>
      <c r="P61" s="605">
        <f>IF(分析!L197&lt;&gt;"",分析!L197,"")</f>
        <v/>
      </c>
      <c r="Q61" s="161">
        <f>IF(分析!S197&lt;&gt;"",分析!S197,"")</f>
        <v/>
      </c>
      <c r="R61" s="161">
        <f>IF(分析!R197&lt;&gt;"",分析!R197,"")</f>
        <v/>
      </c>
      <c r="S61" s="156">
        <f>IF(分析!AA197&lt;&gt;"",分析!AA197,"")</f>
        <v/>
      </c>
      <c r="T61" s="606">
        <f>IF(分析!Z197&lt;&gt;"",分析!Z197,"")</f>
        <v/>
      </c>
      <c r="U61" s="156">
        <f>IF(分析!V197&lt;&gt;"",分析!V197,"")</f>
        <v/>
      </c>
      <c r="V61" s="607">
        <f>IF(分析!W197&lt;&gt;"",分析!W197,"")</f>
        <v/>
      </c>
      <c r="W61" s="167">
        <f>IF(分析!AD197&lt;&gt;"",分析!AD197,"")</f>
        <v/>
      </c>
      <c r="X61" s="168">
        <f>IF(分析!AE197&lt;&gt;"",分析!AE197,"")</f>
        <v/>
      </c>
      <c r="Y61" s="169">
        <f>IF(分析!T197&lt;&gt;"",分析!T197,"")</f>
        <v/>
      </c>
      <c r="Z61" s="155">
        <f>IF(分析!Y197&lt;&gt;"",分析!Y197,"")</f>
        <v/>
      </c>
    </row>
    <row r="62" ht="21.95" customHeight="1" s="574">
      <c r="A62" s="141">
        <f>IF(分析!C76&lt;&gt;"",ROW()-2,"")</f>
        <v/>
      </c>
      <c r="B62" s="142">
        <f>IF(分析!C76&lt;&gt;"",HYPERLINK("https://kabutan.jp/stock/?code="&amp;分析!C76,"株探"),"")</f>
        <v/>
      </c>
      <c r="C62" s="598">
        <f>IF(分析!C76&lt;&gt;"",分析!C76,"")</f>
        <v/>
      </c>
      <c r="D62" s="144">
        <f>IF(分析!D76&lt;&gt;"",分析!D76,"")</f>
        <v/>
      </c>
      <c r="E62" s="145">
        <f>IF(分析!E76&lt;&gt;"",分析!E76,"")</f>
        <v/>
      </c>
      <c r="F62" s="146">
        <f>IF(分析!F76&lt;&gt;"",分析!F76,"")</f>
        <v/>
      </c>
      <c r="G62" s="146">
        <f>IF(分析!H76&lt;&gt;"",分析!H76,"")</f>
        <v/>
      </c>
      <c r="H62" s="146">
        <f>IF(分析!I76&lt;&gt;"",分析!I76,"")</f>
        <v/>
      </c>
      <c r="I62" s="146">
        <f>IF(分析!J76&lt;&gt;"",分析!J76,"")</f>
        <v/>
      </c>
      <c r="J62" s="146">
        <f>IF(分析!AB76&lt;&gt;"",分析!AB76,"")</f>
        <v/>
      </c>
      <c r="K62" s="146">
        <f>IF(分析!AC76&lt;&gt;"",分析!AC76,"")</f>
        <v/>
      </c>
      <c r="L62" s="146">
        <f>IF(分析!K76&lt;&gt;"",分析!K76,"")</f>
        <v/>
      </c>
      <c r="M62" s="141">
        <f>IF(分析!P76&lt;&gt;"",分析!P76,"")</f>
        <v/>
      </c>
      <c r="N62" s="599">
        <f>IF(分析!O76&lt;&gt;"",分析!O76,"")</f>
        <v/>
      </c>
      <c r="O62" s="148">
        <f>IF(分析!X76&lt;&gt;"",分析!X76,"")</f>
        <v/>
      </c>
      <c r="P62" s="600">
        <f>IF(分析!L76&lt;&gt;"",分析!L76,"")</f>
        <v/>
      </c>
      <c r="Q62" s="146">
        <f>IF(分析!S76&lt;&gt;"",分析!S76,"")</f>
        <v/>
      </c>
      <c r="R62" s="146">
        <f>IF(分析!R76&lt;&gt;"",分析!R76,"")</f>
        <v/>
      </c>
      <c r="S62" s="141">
        <f>IF(分析!AA76&lt;&gt;"",分析!AA76,"")</f>
        <v/>
      </c>
      <c r="T62" s="601">
        <f>IF(分析!Z76&lt;&gt;"",分析!Z76,"")</f>
        <v/>
      </c>
      <c r="U62" s="141">
        <f>IF(分析!V76&lt;&gt;"",分析!V76,"")</f>
        <v/>
      </c>
      <c r="V62" s="602">
        <f>IF(分析!W76&lt;&gt;"",分析!W76,"")</f>
        <v/>
      </c>
      <c r="W62" s="152">
        <f>IF(分析!AD76&lt;&gt;"",分析!AD76,"")</f>
        <v/>
      </c>
      <c r="X62" s="153">
        <f>IF(分析!AE76&lt;&gt;"",分析!AE76,"")</f>
        <v/>
      </c>
      <c r="Y62" s="154">
        <f>IF(分析!T76&lt;&gt;"",分析!T76,"")</f>
        <v/>
      </c>
      <c r="Z62" s="155">
        <f>IF(分析!Y76&lt;&gt;"",分析!Y76,"")</f>
        <v/>
      </c>
    </row>
    <row r="63" ht="21.95" customHeight="1" s="574">
      <c r="A63" s="156">
        <f>IF(分析!C73&lt;&gt;"",ROW()-2,"")</f>
        <v/>
      </c>
      <c r="B63" s="157">
        <f>IF(分析!C73&lt;&gt;"",HYPERLINK("https://kabutan.jp/stock/?code="&amp;分析!C73,"株探"),"")</f>
        <v/>
      </c>
      <c r="C63" s="603">
        <f>IF(分析!C73&lt;&gt;"",分析!C73,"")</f>
        <v/>
      </c>
      <c r="D63" s="159">
        <f>IF(分析!D73&lt;&gt;"",分析!D73,"")</f>
        <v/>
      </c>
      <c r="E63" s="160">
        <f>IF(分析!E73&lt;&gt;"",分析!E73,"")</f>
        <v/>
      </c>
      <c r="F63" s="161">
        <f>IF(分析!F73&lt;&gt;"",分析!F73,"")</f>
        <v/>
      </c>
      <c r="G63" s="161">
        <f>IF(分析!H73&lt;&gt;"",分析!H73,"")</f>
        <v/>
      </c>
      <c r="H63" s="161">
        <f>IF(分析!I73&lt;&gt;"",分析!I73,"")</f>
        <v/>
      </c>
      <c r="I63" s="161">
        <f>IF(分析!J73&lt;&gt;"",分析!J73,"")</f>
        <v/>
      </c>
      <c r="J63" s="161">
        <f>IF(分析!AB73&lt;&gt;"",分析!AB73,"")</f>
        <v/>
      </c>
      <c r="K63" s="161">
        <f>IF(分析!AC73&lt;&gt;"",分析!AC73,"")</f>
        <v/>
      </c>
      <c r="L63" s="161">
        <f>IF(分析!K73&lt;&gt;"",分析!K73,"")</f>
        <v/>
      </c>
      <c r="M63" s="156">
        <f>IF(分析!P73&lt;&gt;"",分析!P73,"")</f>
        <v/>
      </c>
      <c r="N63" s="604">
        <f>IF(分析!O73&lt;&gt;"",分析!O73,"")</f>
        <v/>
      </c>
      <c r="O63" s="163">
        <f>IF(分析!X73&lt;&gt;"",分析!X73,"")</f>
        <v/>
      </c>
      <c r="P63" s="605">
        <f>IF(分析!L73&lt;&gt;"",分析!L73,"")</f>
        <v/>
      </c>
      <c r="Q63" s="161">
        <f>IF(分析!S73&lt;&gt;"",分析!S73,"")</f>
        <v/>
      </c>
      <c r="R63" s="161">
        <f>IF(分析!R73&lt;&gt;"",分析!R73,"")</f>
        <v/>
      </c>
      <c r="S63" s="156">
        <f>IF(分析!AA73&lt;&gt;"",分析!AA73,"")</f>
        <v/>
      </c>
      <c r="T63" s="606">
        <f>IF(分析!Z73&lt;&gt;"",分析!Z73,"")</f>
        <v/>
      </c>
      <c r="U63" s="156">
        <f>IF(分析!V73&lt;&gt;"",分析!V73,"")</f>
        <v/>
      </c>
      <c r="V63" s="607">
        <f>IF(分析!W73&lt;&gt;"",分析!W73,"")</f>
        <v/>
      </c>
      <c r="W63" s="167">
        <f>IF(分析!AD73&lt;&gt;"",分析!AD73,"")</f>
        <v/>
      </c>
      <c r="X63" s="168">
        <f>IF(分析!AE73&lt;&gt;"",分析!AE73,"")</f>
        <v/>
      </c>
      <c r="Y63" s="169">
        <f>IF(分析!T73&lt;&gt;"",分析!T73,"")</f>
        <v/>
      </c>
      <c r="Z63" s="155">
        <f>IF(分析!Y73&lt;&gt;"",分析!Y73,"")</f>
        <v/>
      </c>
    </row>
    <row r="64" ht="21.95" customHeight="1" s="574">
      <c r="A64" s="156">
        <f>IF(分析!C137&lt;&gt;"",ROW()-2,"")</f>
        <v/>
      </c>
      <c r="B64" s="157">
        <f>IF(分析!C137&lt;&gt;"",HYPERLINK("https://kabutan.jp/stock/?code="&amp;分析!C137,"株探"),"")</f>
        <v/>
      </c>
      <c r="C64" s="603">
        <f>IF(分析!C137&lt;&gt;"",分析!C137,"")</f>
        <v/>
      </c>
      <c r="D64" s="159">
        <f>IF(分析!D137&lt;&gt;"",分析!D137,"")</f>
        <v/>
      </c>
      <c r="E64" s="160">
        <f>IF(分析!E137&lt;&gt;"",分析!E137,"")</f>
        <v/>
      </c>
      <c r="F64" s="161">
        <f>IF(分析!F137&lt;&gt;"",分析!F137,"")</f>
        <v/>
      </c>
      <c r="G64" s="161">
        <f>IF(分析!H137&lt;&gt;"",分析!H137,"")</f>
        <v/>
      </c>
      <c r="H64" s="161">
        <f>IF(分析!I137&lt;&gt;"",分析!I137,"")</f>
        <v/>
      </c>
      <c r="I64" s="161">
        <f>IF(分析!J137&lt;&gt;"",分析!J137,"")</f>
        <v/>
      </c>
      <c r="J64" s="161">
        <f>IF(分析!AB137&lt;&gt;"",分析!AB137,"")</f>
        <v/>
      </c>
      <c r="K64" s="161">
        <f>IF(分析!AC137&lt;&gt;"",分析!AC137,"")</f>
        <v/>
      </c>
      <c r="L64" s="161">
        <f>IF(分析!K137&lt;&gt;"",分析!K137,"")</f>
        <v/>
      </c>
      <c r="M64" s="156">
        <f>IF(分析!P137&lt;&gt;"",分析!P137,"")</f>
        <v/>
      </c>
      <c r="N64" s="604">
        <f>IF(分析!O137&lt;&gt;"",分析!O137,"")</f>
        <v/>
      </c>
      <c r="O64" s="163">
        <f>IF(分析!X137&lt;&gt;"",分析!X137,"")</f>
        <v/>
      </c>
      <c r="P64" s="605">
        <f>IF(分析!L137&lt;&gt;"",分析!L137,"")</f>
        <v/>
      </c>
      <c r="Q64" s="161">
        <f>IF(分析!S137&lt;&gt;"",分析!S137,"")</f>
        <v/>
      </c>
      <c r="R64" s="161">
        <f>IF(分析!R137&lt;&gt;"",分析!R137,"")</f>
        <v/>
      </c>
      <c r="S64" s="156">
        <f>IF(分析!AA137&lt;&gt;"",分析!AA137,"")</f>
        <v/>
      </c>
      <c r="T64" s="606">
        <f>IF(分析!Z137&lt;&gt;"",分析!Z137,"")</f>
        <v/>
      </c>
      <c r="U64" s="156">
        <f>IF(分析!V137&lt;&gt;"",分析!V137,"")</f>
        <v/>
      </c>
      <c r="V64" s="607">
        <f>IF(分析!W137&lt;&gt;"",分析!W137,"")</f>
        <v/>
      </c>
      <c r="W64" s="167">
        <f>IF(分析!AD137&lt;&gt;"",分析!AD137,"")</f>
        <v/>
      </c>
      <c r="X64" s="168">
        <f>IF(分析!AE137&lt;&gt;"",分析!AE137,"")</f>
        <v/>
      </c>
      <c r="Y64" s="169">
        <f>IF(分析!T137&lt;&gt;"",分析!T137,"")</f>
        <v/>
      </c>
      <c r="Z64" s="155">
        <f>IF(分析!Y137&lt;&gt;"",分析!Y137,"")</f>
        <v/>
      </c>
    </row>
    <row r="65" ht="21.95" customHeight="1" s="574">
      <c r="A65" s="141">
        <f>IF(分析!C144&lt;&gt;"",ROW()-2,"")</f>
        <v/>
      </c>
      <c r="B65" s="142">
        <f>IF(分析!C144&lt;&gt;"",HYPERLINK("https://kabutan.jp/stock/?code="&amp;分析!C144,"株探"),"")</f>
        <v/>
      </c>
      <c r="C65" s="598">
        <f>IF(分析!C144&lt;&gt;"",分析!C144,"")</f>
        <v/>
      </c>
      <c r="D65" s="144">
        <f>IF(分析!D144&lt;&gt;"",分析!D144,"")</f>
        <v/>
      </c>
      <c r="E65" s="145">
        <f>IF(分析!E144&lt;&gt;"",分析!E144,"")</f>
        <v/>
      </c>
      <c r="F65" s="146">
        <f>IF(分析!F144&lt;&gt;"",分析!F144,"")</f>
        <v/>
      </c>
      <c r="G65" s="146">
        <f>IF(分析!H144&lt;&gt;"",分析!H144,"")</f>
        <v/>
      </c>
      <c r="H65" s="146">
        <f>IF(分析!I144&lt;&gt;"",分析!I144,"")</f>
        <v/>
      </c>
      <c r="I65" s="146">
        <f>IF(分析!J144&lt;&gt;"",分析!J144,"")</f>
        <v/>
      </c>
      <c r="J65" s="146">
        <f>IF(分析!AB144&lt;&gt;"",分析!AB144,"")</f>
        <v/>
      </c>
      <c r="K65" s="146">
        <f>IF(分析!AC144&lt;&gt;"",分析!AC144,"")</f>
        <v/>
      </c>
      <c r="L65" s="146">
        <f>IF(分析!K144&lt;&gt;"",分析!K144,"")</f>
        <v/>
      </c>
      <c r="M65" s="141">
        <f>IF(分析!P144&lt;&gt;"",分析!P144,"")</f>
        <v/>
      </c>
      <c r="N65" s="599">
        <f>IF(分析!O144&lt;&gt;"",分析!O144,"")</f>
        <v/>
      </c>
      <c r="O65" s="148">
        <f>IF(分析!X144&lt;&gt;"",分析!X144,"")</f>
        <v/>
      </c>
      <c r="P65" s="600">
        <f>IF(分析!L144&lt;&gt;"",分析!L144,"")</f>
        <v/>
      </c>
      <c r="Q65" s="146">
        <f>IF(分析!S144&lt;&gt;"",分析!S144,"")</f>
        <v/>
      </c>
      <c r="R65" s="146">
        <f>IF(分析!R144&lt;&gt;"",分析!R144,"")</f>
        <v/>
      </c>
      <c r="S65" s="141">
        <f>IF(分析!AA144&lt;&gt;"",分析!AA144,"")</f>
        <v/>
      </c>
      <c r="T65" s="601">
        <f>IF(分析!Z144&lt;&gt;"",分析!Z144,"")</f>
        <v/>
      </c>
      <c r="U65" s="141">
        <f>IF(分析!V144&lt;&gt;"",分析!V144,"")</f>
        <v/>
      </c>
      <c r="V65" s="602">
        <f>IF(分析!W144&lt;&gt;"",分析!W144,"")</f>
        <v/>
      </c>
      <c r="W65" s="152">
        <f>IF(分析!AD144&lt;&gt;"",分析!AD144,"")</f>
        <v/>
      </c>
      <c r="X65" s="153">
        <f>IF(分析!AE144&lt;&gt;"",分析!AE144,"")</f>
        <v/>
      </c>
      <c r="Y65" s="154">
        <f>IF(分析!T144&lt;&gt;"",分析!T144,"")</f>
        <v/>
      </c>
      <c r="Z65" s="155">
        <f>IF(分析!Y144&lt;&gt;"",分析!Y144,"")</f>
        <v/>
      </c>
    </row>
    <row r="66" ht="21.95" customHeight="1" s="574">
      <c r="A66" s="141">
        <f>IF(分析!C80&lt;&gt;"",ROW()-2,"")</f>
        <v/>
      </c>
      <c r="B66" s="142">
        <f>IF(分析!C80&lt;&gt;"",HYPERLINK("https://kabutan.jp/stock/?code="&amp;分析!C80,"株探"),"")</f>
        <v/>
      </c>
      <c r="C66" s="598">
        <f>IF(分析!C80&lt;&gt;"",分析!C80,"")</f>
        <v/>
      </c>
      <c r="D66" s="144">
        <f>IF(分析!D80&lt;&gt;"",分析!D80,"")</f>
        <v/>
      </c>
      <c r="E66" s="145">
        <f>IF(分析!E80&lt;&gt;"",分析!E80,"")</f>
        <v/>
      </c>
      <c r="F66" s="146">
        <f>IF(分析!F80&lt;&gt;"",分析!F80,"")</f>
        <v/>
      </c>
      <c r="G66" s="146">
        <f>IF(分析!H80&lt;&gt;"",分析!H80,"")</f>
        <v/>
      </c>
      <c r="H66" s="146">
        <f>IF(分析!I80&lt;&gt;"",分析!I80,"")</f>
        <v/>
      </c>
      <c r="I66" s="146">
        <f>IF(分析!J80&lt;&gt;"",分析!J80,"")</f>
        <v/>
      </c>
      <c r="J66" s="146">
        <f>IF(分析!AB80&lt;&gt;"",分析!AB80,"")</f>
        <v/>
      </c>
      <c r="K66" s="146">
        <f>IF(分析!AC80&lt;&gt;"",分析!AC80,"")</f>
        <v/>
      </c>
      <c r="L66" s="146">
        <f>IF(分析!K80&lt;&gt;"",分析!K80,"")</f>
        <v/>
      </c>
      <c r="M66" s="141">
        <f>IF(分析!P80&lt;&gt;"",分析!P80,"")</f>
        <v/>
      </c>
      <c r="N66" s="599">
        <f>IF(分析!O80&lt;&gt;"",分析!O80,"")</f>
        <v/>
      </c>
      <c r="O66" s="148">
        <f>IF(分析!X80&lt;&gt;"",分析!X80,"")</f>
        <v/>
      </c>
      <c r="P66" s="600">
        <f>IF(分析!L80&lt;&gt;"",分析!L80,"")</f>
        <v/>
      </c>
      <c r="Q66" s="146">
        <f>IF(分析!S80&lt;&gt;"",分析!S80,"")</f>
        <v/>
      </c>
      <c r="R66" s="146">
        <f>IF(分析!R80&lt;&gt;"",分析!R80,"")</f>
        <v/>
      </c>
      <c r="S66" s="141">
        <f>IF(分析!AA80&lt;&gt;"",分析!AA80,"")</f>
        <v/>
      </c>
      <c r="T66" s="601">
        <f>IF(分析!Z80&lt;&gt;"",分析!Z80,"")</f>
        <v/>
      </c>
      <c r="U66" s="141">
        <f>IF(分析!V80&lt;&gt;"",分析!V80,"")</f>
        <v/>
      </c>
      <c r="V66" s="602">
        <f>IF(分析!W80&lt;&gt;"",分析!W80,"")</f>
        <v/>
      </c>
      <c r="W66" s="152">
        <f>IF(分析!AD80&lt;&gt;"",分析!AD80,"")</f>
        <v/>
      </c>
      <c r="X66" s="153">
        <f>IF(分析!AE80&lt;&gt;"",分析!AE80,"")</f>
        <v/>
      </c>
      <c r="Y66" s="154">
        <f>IF(分析!T80&lt;&gt;"",分析!T80,"")</f>
        <v/>
      </c>
      <c r="Z66" s="155">
        <f>IF(分析!Y80&lt;&gt;"",分析!Y80,"")</f>
        <v/>
      </c>
    </row>
    <row r="67" ht="21.95" customHeight="1" s="574">
      <c r="A67" s="141">
        <f>IF(分析!C116&lt;&gt;"",ROW()-2,"")</f>
        <v/>
      </c>
      <c r="B67" s="142">
        <f>IF(分析!C116&lt;&gt;"",HYPERLINK("https://kabutan.jp/stock/?code="&amp;分析!C116,"株探"),"")</f>
        <v/>
      </c>
      <c r="C67" s="598">
        <f>IF(分析!C116&lt;&gt;"",分析!C116,"")</f>
        <v/>
      </c>
      <c r="D67" s="144">
        <f>IF(分析!D116&lt;&gt;"",分析!D116,"")</f>
        <v/>
      </c>
      <c r="E67" s="145">
        <f>IF(分析!E116&lt;&gt;"",分析!E116,"")</f>
        <v/>
      </c>
      <c r="F67" s="146">
        <f>IF(分析!F116&lt;&gt;"",分析!F116,"")</f>
        <v/>
      </c>
      <c r="G67" s="146">
        <f>IF(分析!H116&lt;&gt;"",分析!H116,"")</f>
        <v/>
      </c>
      <c r="H67" s="146">
        <f>IF(分析!I116&lt;&gt;"",分析!I116,"")</f>
        <v/>
      </c>
      <c r="I67" s="146">
        <f>IF(分析!J116&lt;&gt;"",分析!J116,"")</f>
        <v/>
      </c>
      <c r="J67" s="146">
        <f>IF(分析!AB116&lt;&gt;"",分析!AB116,"")</f>
        <v/>
      </c>
      <c r="K67" s="146">
        <f>IF(分析!AC116&lt;&gt;"",分析!AC116,"")</f>
        <v/>
      </c>
      <c r="L67" s="146">
        <f>IF(分析!K116&lt;&gt;"",分析!K116,"")</f>
        <v/>
      </c>
      <c r="M67" s="141">
        <f>IF(分析!P116&lt;&gt;"",分析!P116,"")</f>
        <v/>
      </c>
      <c r="N67" s="599">
        <f>IF(分析!O116&lt;&gt;"",分析!O116,"")</f>
        <v/>
      </c>
      <c r="O67" s="148">
        <f>IF(分析!X116&lt;&gt;"",分析!X116,"")</f>
        <v/>
      </c>
      <c r="P67" s="600">
        <f>IF(分析!L116&lt;&gt;"",分析!L116,"")</f>
        <v/>
      </c>
      <c r="Q67" s="146">
        <f>IF(分析!S116&lt;&gt;"",分析!S116,"")</f>
        <v/>
      </c>
      <c r="R67" s="146">
        <f>IF(分析!R116&lt;&gt;"",分析!R116,"")</f>
        <v/>
      </c>
      <c r="S67" s="141">
        <f>IF(分析!AA116&lt;&gt;"",分析!AA116,"")</f>
        <v/>
      </c>
      <c r="T67" s="601">
        <f>IF(分析!Z116&lt;&gt;"",分析!Z116,"")</f>
        <v/>
      </c>
      <c r="U67" s="141">
        <f>IF(分析!V116&lt;&gt;"",分析!V116,"")</f>
        <v/>
      </c>
      <c r="V67" s="602">
        <f>IF(分析!W116&lt;&gt;"",分析!W116,"")</f>
        <v/>
      </c>
      <c r="W67" s="152">
        <f>IF(分析!AD116&lt;&gt;"",分析!AD116,"")</f>
        <v/>
      </c>
      <c r="X67" s="153">
        <f>IF(分析!AE116&lt;&gt;"",分析!AE116,"")</f>
        <v/>
      </c>
      <c r="Y67" s="154">
        <f>IF(分析!T116&lt;&gt;"",分析!T116,"")</f>
        <v/>
      </c>
      <c r="Z67" s="155">
        <f>IF(分析!Y116&lt;&gt;"",分析!Y116,"")</f>
        <v/>
      </c>
    </row>
    <row r="68" ht="21.95" customHeight="1" s="574">
      <c r="A68" s="156">
        <f>IF(分析!C191&lt;&gt;"",ROW()-2,"")</f>
        <v/>
      </c>
      <c r="B68" s="157">
        <f>IF(分析!C191&lt;&gt;"",HYPERLINK("https://kabutan.jp/stock/?code="&amp;分析!C191,"株探"),"")</f>
        <v/>
      </c>
      <c r="C68" s="603">
        <f>IF(分析!C191&lt;&gt;"",分析!C191,"")</f>
        <v/>
      </c>
      <c r="D68" s="159">
        <f>IF(分析!D191&lt;&gt;"",分析!D191,"")</f>
        <v/>
      </c>
      <c r="E68" s="160">
        <f>IF(分析!E191&lt;&gt;"",分析!E191,"")</f>
        <v/>
      </c>
      <c r="F68" s="161">
        <f>IF(分析!F191&lt;&gt;"",分析!F191,"")</f>
        <v/>
      </c>
      <c r="G68" s="161">
        <f>IF(分析!H191&lt;&gt;"",分析!H191,"")</f>
        <v/>
      </c>
      <c r="H68" s="161">
        <f>IF(分析!I191&lt;&gt;"",分析!I191,"")</f>
        <v/>
      </c>
      <c r="I68" s="161">
        <f>IF(分析!J191&lt;&gt;"",分析!J191,"")</f>
        <v/>
      </c>
      <c r="J68" s="161">
        <f>IF(分析!AB191&lt;&gt;"",分析!AB191,"")</f>
        <v/>
      </c>
      <c r="K68" s="161">
        <f>IF(分析!AC191&lt;&gt;"",分析!AC191,"")</f>
        <v/>
      </c>
      <c r="L68" s="161">
        <f>IF(分析!K191&lt;&gt;"",分析!K191,"")</f>
        <v/>
      </c>
      <c r="M68" s="156">
        <f>IF(分析!P191&lt;&gt;"",分析!P191,"")</f>
        <v/>
      </c>
      <c r="N68" s="604">
        <f>IF(分析!O191&lt;&gt;"",分析!O191,"")</f>
        <v/>
      </c>
      <c r="O68" s="163">
        <f>IF(分析!X191&lt;&gt;"",分析!X191,"")</f>
        <v/>
      </c>
      <c r="P68" s="605">
        <f>IF(分析!L191&lt;&gt;"",分析!L191,"")</f>
        <v/>
      </c>
      <c r="Q68" s="161">
        <f>IF(分析!S191&lt;&gt;"",分析!S191,"")</f>
        <v/>
      </c>
      <c r="R68" s="161">
        <f>IF(分析!R191&lt;&gt;"",分析!R191,"")</f>
        <v/>
      </c>
      <c r="S68" s="156">
        <f>IF(分析!AA191&lt;&gt;"",分析!AA191,"")</f>
        <v/>
      </c>
      <c r="T68" s="606">
        <f>IF(分析!Z191&lt;&gt;"",分析!Z191,"")</f>
        <v/>
      </c>
      <c r="U68" s="156">
        <f>IF(分析!V191&lt;&gt;"",分析!V191,"")</f>
        <v/>
      </c>
      <c r="V68" s="607">
        <f>IF(分析!W191&lt;&gt;"",分析!W191,"")</f>
        <v/>
      </c>
      <c r="W68" s="167">
        <f>IF(分析!AD191&lt;&gt;"",分析!AD191,"")</f>
        <v/>
      </c>
      <c r="X68" s="168">
        <f>IF(分析!AE191&lt;&gt;"",分析!AE191,"")</f>
        <v/>
      </c>
      <c r="Y68" s="169">
        <f>IF(分析!T191&lt;&gt;"",分析!T191,"")</f>
        <v/>
      </c>
      <c r="Z68" s="155">
        <f>IF(分析!Y191&lt;&gt;"",分析!Y191,"")</f>
        <v/>
      </c>
    </row>
    <row r="69" ht="21.95" customHeight="1" s="574">
      <c r="A69" s="156">
        <f>IF(分析!C185&lt;&gt;"",ROW()-2,"")</f>
        <v/>
      </c>
      <c r="B69" s="157">
        <f>IF(分析!C185&lt;&gt;"",HYPERLINK("https://kabutan.jp/stock/?code="&amp;分析!C185,"株探"),"")</f>
        <v/>
      </c>
      <c r="C69" s="603">
        <f>IF(分析!C185&lt;&gt;"",分析!C185,"")</f>
        <v/>
      </c>
      <c r="D69" s="159">
        <f>IF(分析!D185&lt;&gt;"",分析!D185,"")</f>
        <v/>
      </c>
      <c r="E69" s="160">
        <f>IF(分析!E185&lt;&gt;"",分析!E185,"")</f>
        <v/>
      </c>
      <c r="F69" s="161">
        <f>IF(分析!F185&lt;&gt;"",分析!F185,"")</f>
        <v/>
      </c>
      <c r="G69" s="161">
        <f>IF(分析!H185&lt;&gt;"",分析!H185,"")</f>
        <v/>
      </c>
      <c r="H69" s="161">
        <f>IF(分析!I185&lt;&gt;"",分析!I185,"")</f>
        <v/>
      </c>
      <c r="I69" s="161">
        <f>IF(分析!J185&lt;&gt;"",分析!J185,"")</f>
        <v/>
      </c>
      <c r="J69" s="161">
        <f>IF(分析!AB185&lt;&gt;"",分析!AB185,"")</f>
        <v/>
      </c>
      <c r="K69" s="161">
        <f>IF(分析!AC185&lt;&gt;"",分析!AC185,"")</f>
        <v/>
      </c>
      <c r="L69" s="161">
        <f>IF(分析!K185&lt;&gt;"",分析!K185,"")</f>
        <v/>
      </c>
      <c r="M69" s="156">
        <f>IF(分析!P185&lt;&gt;"",分析!P185,"")</f>
        <v/>
      </c>
      <c r="N69" s="604">
        <f>IF(分析!O185&lt;&gt;"",分析!O185,"")</f>
        <v/>
      </c>
      <c r="O69" s="163">
        <f>IF(分析!X185&lt;&gt;"",分析!X185,"")</f>
        <v/>
      </c>
      <c r="P69" s="605">
        <f>IF(分析!L185&lt;&gt;"",分析!L185,"")</f>
        <v/>
      </c>
      <c r="Q69" s="161">
        <f>IF(分析!S185&lt;&gt;"",分析!S185,"")</f>
        <v/>
      </c>
      <c r="R69" s="161">
        <f>IF(分析!R185&lt;&gt;"",分析!R185,"")</f>
        <v/>
      </c>
      <c r="S69" s="156">
        <f>IF(分析!AA185&lt;&gt;"",分析!AA185,"")</f>
        <v/>
      </c>
      <c r="T69" s="606">
        <f>IF(分析!Z185&lt;&gt;"",分析!Z185,"")</f>
        <v/>
      </c>
      <c r="U69" s="156">
        <f>IF(分析!V185&lt;&gt;"",分析!V185,"")</f>
        <v/>
      </c>
      <c r="V69" s="607">
        <f>IF(分析!W185&lt;&gt;"",分析!W185,"")</f>
        <v/>
      </c>
      <c r="W69" s="167">
        <f>IF(分析!AD185&lt;&gt;"",分析!AD185,"")</f>
        <v/>
      </c>
      <c r="X69" s="168">
        <f>IF(分析!AE185&lt;&gt;"",分析!AE185,"")</f>
        <v/>
      </c>
      <c r="Y69" s="169">
        <f>IF(分析!T185&lt;&gt;"",分析!T185,"")</f>
        <v/>
      </c>
      <c r="Z69" s="155">
        <f>IF(分析!Y185&lt;&gt;"",分析!Y185,"")</f>
        <v/>
      </c>
    </row>
    <row r="70" ht="21.95" customHeight="1" s="574">
      <c r="A70" s="156">
        <f>IF(分析!C171&lt;&gt;"",ROW()-2,"")</f>
        <v/>
      </c>
      <c r="B70" s="157">
        <f>IF(分析!C171&lt;&gt;"",HYPERLINK("https://kabutan.jp/stock/?code="&amp;分析!C171,"株探"),"")</f>
        <v/>
      </c>
      <c r="C70" s="603">
        <f>IF(分析!C171&lt;&gt;"",分析!C171,"")</f>
        <v/>
      </c>
      <c r="D70" s="159">
        <f>IF(分析!D171&lt;&gt;"",分析!D171,"")</f>
        <v/>
      </c>
      <c r="E70" s="160">
        <f>IF(分析!E171&lt;&gt;"",分析!E171,"")</f>
        <v/>
      </c>
      <c r="F70" s="161">
        <f>IF(分析!F171&lt;&gt;"",分析!F171,"")</f>
        <v/>
      </c>
      <c r="G70" s="161">
        <f>IF(分析!H171&lt;&gt;"",分析!H171,"")</f>
        <v/>
      </c>
      <c r="H70" s="161">
        <f>IF(分析!I171&lt;&gt;"",分析!I171,"")</f>
        <v/>
      </c>
      <c r="I70" s="161">
        <f>IF(分析!J171&lt;&gt;"",分析!J171,"")</f>
        <v/>
      </c>
      <c r="J70" s="161">
        <f>IF(分析!AB171&lt;&gt;"",分析!AB171,"")</f>
        <v/>
      </c>
      <c r="K70" s="161">
        <f>IF(分析!AC171&lt;&gt;"",分析!AC171,"")</f>
        <v/>
      </c>
      <c r="L70" s="161">
        <f>IF(分析!K171&lt;&gt;"",分析!K171,"")</f>
        <v/>
      </c>
      <c r="M70" s="156">
        <f>IF(分析!P171&lt;&gt;"",分析!P171,"")</f>
        <v/>
      </c>
      <c r="N70" s="604">
        <f>IF(分析!O171&lt;&gt;"",分析!O171,"")</f>
        <v/>
      </c>
      <c r="O70" s="163">
        <f>IF(分析!X171&lt;&gt;"",分析!X171,"")</f>
        <v/>
      </c>
      <c r="P70" s="605">
        <f>IF(分析!L171&lt;&gt;"",分析!L171,"")</f>
        <v/>
      </c>
      <c r="Q70" s="161">
        <f>IF(分析!S171&lt;&gt;"",分析!S171,"")</f>
        <v/>
      </c>
      <c r="R70" s="161">
        <f>IF(分析!R171&lt;&gt;"",分析!R171,"")</f>
        <v/>
      </c>
      <c r="S70" s="156">
        <f>IF(分析!AA171&lt;&gt;"",分析!AA171,"")</f>
        <v/>
      </c>
      <c r="T70" s="606">
        <f>IF(分析!Z171&lt;&gt;"",分析!Z171,"")</f>
        <v/>
      </c>
      <c r="U70" s="156">
        <f>IF(分析!V171&lt;&gt;"",分析!V171,"")</f>
        <v/>
      </c>
      <c r="V70" s="607">
        <f>IF(分析!W171&lt;&gt;"",分析!W171,"")</f>
        <v/>
      </c>
      <c r="W70" s="167">
        <f>IF(分析!AD171&lt;&gt;"",分析!AD171,"")</f>
        <v/>
      </c>
      <c r="X70" s="168">
        <f>IF(分析!AE171&lt;&gt;"",分析!AE171,"")</f>
        <v/>
      </c>
      <c r="Y70" s="169">
        <f>IF(分析!T171&lt;&gt;"",分析!T171,"")</f>
        <v/>
      </c>
      <c r="Z70" s="155">
        <f>IF(分析!Y171&lt;&gt;"",分析!Y171,"")</f>
        <v/>
      </c>
    </row>
    <row r="71" ht="21.95" customHeight="1" s="574">
      <c r="A71" s="141">
        <f>IF(分析!C176&lt;&gt;"",ROW()-2,"")</f>
        <v/>
      </c>
      <c r="B71" s="142">
        <f>IF(分析!C176&lt;&gt;"",HYPERLINK("https://kabutan.jp/stock/?code="&amp;分析!C176,"株探"),"")</f>
        <v/>
      </c>
      <c r="C71" s="598">
        <f>IF(分析!C176&lt;&gt;"",分析!C176,"")</f>
        <v/>
      </c>
      <c r="D71" s="144">
        <f>IF(分析!D176&lt;&gt;"",分析!D176,"")</f>
        <v/>
      </c>
      <c r="E71" s="145">
        <f>IF(分析!E176&lt;&gt;"",分析!E176,"")</f>
        <v/>
      </c>
      <c r="F71" s="146">
        <f>IF(分析!F176&lt;&gt;"",分析!F176,"")</f>
        <v/>
      </c>
      <c r="G71" s="146">
        <f>IF(分析!H176&lt;&gt;"",分析!H176,"")</f>
        <v/>
      </c>
      <c r="H71" s="146">
        <f>IF(分析!I176&lt;&gt;"",分析!I176,"")</f>
        <v/>
      </c>
      <c r="I71" s="146">
        <f>IF(分析!J176&lt;&gt;"",分析!J176,"")</f>
        <v/>
      </c>
      <c r="J71" s="146">
        <f>IF(分析!AB176&lt;&gt;"",分析!AB176,"")</f>
        <v/>
      </c>
      <c r="K71" s="146">
        <f>IF(分析!AC176&lt;&gt;"",分析!AC176,"")</f>
        <v/>
      </c>
      <c r="L71" s="146">
        <f>IF(分析!K176&lt;&gt;"",分析!K176,"")</f>
        <v/>
      </c>
      <c r="M71" s="141">
        <f>IF(分析!P176&lt;&gt;"",分析!P176,"")</f>
        <v/>
      </c>
      <c r="N71" s="599">
        <f>IF(分析!O176&lt;&gt;"",分析!O176,"")</f>
        <v/>
      </c>
      <c r="O71" s="148">
        <f>IF(分析!X176&lt;&gt;"",分析!X176,"")</f>
        <v/>
      </c>
      <c r="P71" s="600">
        <f>IF(分析!L176&lt;&gt;"",分析!L176,"")</f>
        <v/>
      </c>
      <c r="Q71" s="146">
        <f>IF(分析!S176&lt;&gt;"",分析!S176,"")</f>
        <v/>
      </c>
      <c r="R71" s="146">
        <f>IF(分析!R176&lt;&gt;"",分析!R176,"")</f>
        <v/>
      </c>
      <c r="S71" s="141">
        <f>IF(分析!AA176&lt;&gt;"",分析!AA176,"")</f>
        <v/>
      </c>
      <c r="T71" s="601">
        <f>IF(分析!Z176&lt;&gt;"",分析!Z176,"")</f>
        <v/>
      </c>
      <c r="U71" s="141">
        <f>IF(分析!V176&lt;&gt;"",分析!V176,"")</f>
        <v/>
      </c>
      <c r="V71" s="602">
        <f>IF(分析!W176&lt;&gt;"",分析!W176,"")</f>
        <v/>
      </c>
      <c r="W71" s="152">
        <f>IF(分析!AD176&lt;&gt;"",分析!AD176,"")</f>
        <v/>
      </c>
      <c r="X71" s="153">
        <f>IF(分析!AE176&lt;&gt;"",分析!AE176,"")</f>
        <v/>
      </c>
      <c r="Y71" s="154">
        <f>IF(分析!T176&lt;&gt;"",分析!T176,"")</f>
        <v/>
      </c>
      <c r="Z71" s="155">
        <f>IF(分析!Y176&lt;&gt;"",分析!Y176,"")</f>
        <v/>
      </c>
    </row>
    <row r="72" ht="21.95" customHeight="1" s="574">
      <c r="A72" s="156">
        <f>IF(分析!C129&lt;&gt;"",ROW()-2,"")</f>
        <v/>
      </c>
      <c r="B72" s="157">
        <f>IF(分析!C129&lt;&gt;"",HYPERLINK("https://kabutan.jp/stock/?code="&amp;分析!C129,"株探"),"")</f>
        <v/>
      </c>
      <c r="C72" s="603">
        <f>IF(分析!C129&lt;&gt;"",分析!C129,"")</f>
        <v/>
      </c>
      <c r="D72" s="159">
        <f>IF(分析!D129&lt;&gt;"",分析!D129,"")</f>
        <v/>
      </c>
      <c r="E72" s="160">
        <f>IF(分析!E129&lt;&gt;"",分析!E129,"")</f>
        <v/>
      </c>
      <c r="F72" s="161">
        <f>IF(分析!F129&lt;&gt;"",分析!F129,"")</f>
        <v/>
      </c>
      <c r="G72" s="161">
        <f>IF(分析!H129&lt;&gt;"",分析!H129,"")</f>
        <v/>
      </c>
      <c r="H72" s="161">
        <f>IF(分析!I129&lt;&gt;"",分析!I129,"")</f>
        <v/>
      </c>
      <c r="I72" s="161">
        <f>IF(分析!J129&lt;&gt;"",分析!J129,"")</f>
        <v/>
      </c>
      <c r="J72" s="161">
        <f>IF(分析!AB129&lt;&gt;"",分析!AB129,"")</f>
        <v/>
      </c>
      <c r="K72" s="161">
        <f>IF(分析!AC129&lt;&gt;"",分析!AC129,"")</f>
        <v/>
      </c>
      <c r="L72" s="161">
        <f>IF(分析!K129&lt;&gt;"",分析!K129,"")</f>
        <v/>
      </c>
      <c r="M72" s="156">
        <f>IF(分析!P129&lt;&gt;"",分析!P129,"")</f>
        <v/>
      </c>
      <c r="N72" s="604">
        <f>IF(分析!O129&lt;&gt;"",分析!O129,"")</f>
        <v/>
      </c>
      <c r="O72" s="163">
        <f>IF(分析!X129&lt;&gt;"",分析!X129,"")</f>
        <v/>
      </c>
      <c r="P72" s="605">
        <f>IF(分析!L129&lt;&gt;"",分析!L129,"")</f>
        <v/>
      </c>
      <c r="Q72" s="161">
        <f>IF(分析!S129&lt;&gt;"",分析!S129,"")</f>
        <v/>
      </c>
      <c r="R72" s="161">
        <f>IF(分析!R129&lt;&gt;"",分析!R129,"")</f>
        <v/>
      </c>
      <c r="S72" s="156">
        <f>IF(分析!AA129&lt;&gt;"",分析!AA129,"")</f>
        <v/>
      </c>
      <c r="T72" s="606">
        <f>IF(分析!Z129&lt;&gt;"",分析!Z129,"")</f>
        <v/>
      </c>
      <c r="U72" s="156">
        <f>IF(分析!V129&lt;&gt;"",分析!V129,"")</f>
        <v/>
      </c>
      <c r="V72" s="607">
        <f>IF(分析!W129&lt;&gt;"",分析!W129,"")</f>
        <v/>
      </c>
      <c r="W72" s="167">
        <f>IF(分析!AD129&lt;&gt;"",分析!AD129,"")</f>
        <v/>
      </c>
      <c r="X72" s="168">
        <f>IF(分析!AE129&lt;&gt;"",分析!AE129,"")</f>
        <v/>
      </c>
      <c r="Y72" s="169">
        <f>IF(分析!T129&lt;&gt;"",分析!T129,"")</f>
        <v/>
      </c>
      <c r="Z72" s="155">
        <f>IF(分析!Y129&lt;&gt;"",分析!Y129,"")</f>
        <v/>
      </c>
    </row>
    <row r="73" ht="21.95" customHeight="1" s="574">
      <c r="A73" s="156">
        <f>IF(分析!C149&lt;&gt;"",ROW()-2,"")</f>
        <v/>
      </c>
      <c r="B73" s="157">
        <f>IF(分析!C149&lt;&gt;"",HYPERLINK("https://kabutan.jp/stock/?code="&amp;分析!C149,"株探"),"")</f>
        <v/>
      </c>
      <c r="C73" s="603">
        <f>IF(分析!C149&lt;&gt;"",分析!C149,"")</f>
        <v/>
      </c>
      <c r="D73" s="159">
        <f>IF(分析!D149&lt;&gt;"",分析!D149,"")</f>
        <v/>
      </c>
      <c r="E73" s="160">
        <f>IF(分析!E149&lt;&gt;"",分析!E149,"")</f>
        <v/>
      </c>
      <c r="F73" s="161">
        <f>IF(分析!F149&lt;&gt;"",分析!F149,"")</f>
        <v/>
      </c>
      <c r="G73" s="161">
        <f>IF(分析!H149&lt;&gt;"",分析!H149,"")</f>
        <v/>
      </c>
      <c r="H73" s="161">
        <f>IF(分析!I149&lt;&gt;"",分析!I149,"")</f>
        <v/>
      </c>
      <c r="I73" s="161">
        <f>IF(分析!J149&lt;&gt;"",分析!J149,"")</f>
        <v/>
      </c>
      <c r="J73" s="161">
        <f>IF(分析!AB149&lt;&gt;"",分析!AB149,"")</f>
        <v/>
      </c>
      <c r="K73" s="161">
        <f>IF(分析!AC149&lt;&gt;"",分析!AC149,"")</f>
        <v/>
      </c>
      <c r="L73" s="161">
        <f>IF(分析!K149&lt;&gt;"",分析!K149,"")</f>
        <v/>
      </c>
      <c r="M73" s="156">
        <f>IF(分析!P149&lt;&gt;"",分析!P149,"")</f>
        <v/>
      </c>
      <c r="N73" s="604">
        <f>IF(分析!O149&lt;&gt;"",分析!O149,"")</f>
        <v/>
      </c>
      <c r="O73" s="163">
        <f>IF(分析!X149&lt;&gt;"",分析!X149,"")</f>
        <v/>
      </c>
      <c r="P73" s="605">
        <f>IF(分析!L149&lt;&gt;"",分析!L149,"")</f>
        <v/>
      </c>
      <c r="Q73" s="161">
        <f>IF(分析!S149&lt;&gt;"",分析!S149,"")</f>
        <v/>
      </c>
      <c r="R73" s="161">
        <f>IF(分析!R149&lt;&gt;"",分析!R149,"")</f>
        <v/>
      </c>
      <c r="S73" s="156">
        <f>IF(分析!AA149&lt;&gt;"",分析!AA149,"")</f>
        <v/>
      </c>
      <c r="T73" s="606">
        <f>IF(分析!Z149&lt;&gt;"",分析!Z149,"")</f>
        <v/>
      </c>
      <c r="U73" s="156">
        <f>IF(分析!V149&lt;&gt;"",分析!V149,"")</f>
        <v/>
      </c>
      <c r="V73" s="607">
        <f>IF(分析!W149&lt;&gt;"",分析!W149,"")</f>
        <v/>
      </c>
      <c r="W73" s="167">
        <f>IF(分析!AD149&lt;&gt;"",分析!AD149,"")</f>
        <v/>
      </c>
      <c r="X73" s="168">
        <f>IF(分析!AE149&lt;&gt;"",分析!AE149,"")</f>
        <v/>
      </c>
      <c r="Y73" s="169">
        <f>IF(分析!T149&lt;&gt;"",分析!T149,"")</f>
        <v/>
      </c>
      <c r="Z73" s="155">
        <f>IF(分析!Y149&lt;&gt;"",分析!Y149,"")</f>
        <v/>
      </c>
    </row>
    <row r="74" ht="21.95" customHeight="1" s="574">
      <c r="A74" s="156">
        <f>IF(分析!C159&lt;&gt;"",ROW()-2,"")</f>
        <v/>
      </c>
      <c r="B74" s="157">
        <f>IF(分析!C159&lt;&gt;"",HYPERLINK("https://kabutan.jp/stock/?code="&amp;分析!C159,"株探"),"")</f>
        <v/>
      </c>
      <c r="C74" s="603">
        <f>IF(分析!C159&lt;&gt;"",分析!C159,"")</f>
        <v/>
      </c>
      <c r="D74" s="159">
        <f>IF(分析!D159&lt;&gt;"",分析!D159,"")</f>
        <v/>
      </c>
      <c r="E74" s="160">
        <f>IF(分析!E159&lt;&gt;"",分析!E159,"")</f>
        <v/>
      </c>
      <c r="F74" s="161">
        <f>IF(分析!F159&lt;&gt;"",分析!F159,"")</f>
        <v/>
      </c>
      <c r="G74" s="161">
        <f>IF(分析!H159&lt;&gt;"",分析!H159,"")</f>
        <v/>
      </c>
      <c r="H74" s="161">
        <f>IF(分析!I159&lt;&gt;"",分析!I159,"")</f>
        <v/>
      </c>
      <c r="I74" s="161">
        <f>IF(分析!J159&lt;&gt;"",分析!J159,"")</f>
        <v/>
      </c>
      <c r="J74" s="161">
        <f>IF(分析!AB159&lt;&gt;"",分析!AB159,"")</f>
        <v/>
      </c>
      <c r="K74" s="161">
        <f>IF(分析!AC159&lt;&gt;"",分析!AC159,"")</f>
        <v/>
      </c>
      <c r="L74" s="161">
        <f>IF(分析!K159&lt;&gt;"",分析!K159,"")</f>
        <v/>
      </c>
      <c r="M74" s="156">
        <f>IF(分析!P159&lt;&gt;"",分析!P159,"")</f>
        <v/>
      </c>
      <c r="N74" s="604">
        <f>IF(分析!O159&lt;&gt;"",分析!O159,"")</f>
        <v/>
      </c>
      <c r="O74" s="163">
        <f>IF(分析!X159&lt;&gt;"",分析!X159,"")</f>
        <v/>
      </c>
      <c r="P74" s="605">
        <f>IF(分析!L159&lt;&gt;"",分析!L159,"")</f>
        <v/>
      </c>
      <c r="Q74" s="161">
        <f>IF(分析!S159&lt;&gt;"",分析!S159,"")</f>
        <v/>
      </c>
      <c r="R74" s="161">
        <f>IF(分析!R159&lt;&gt;"",分析!R159,"")</f>
        <v/>
      </c>
      <c r="S74" s="156">
        <f>IF(分析!AA159&lt;&gt;"",分析!AA159,"")</f>
        <v/>
      </c>
      <c r="T74" s="606">
        <f>IF(分析!Z159&lt;&gt;"",分析!Z159,"")</f>
        <v/>
      </c>
      <c r="U74" s="156">
        <f>IF(分析!V159&lt;&gt;"",分析!V159,"")</f>
        <v/>
      </c>
      <c r="V74" s="607">
        <f>IF(分析!W159&lt;&gt;"",分析!W159,"")</f>
        <v/>
      </c>
      <c r="W74" s="167">
        <f>IF(分析!AD159&lt;&gt;"",分析!AD159,"")</f>
        <v/>
      </c>
      <c r="X74" s="168">
        <f>IF(分析!AE159&lt;&gt;"",分析!AE159,"")</f>
        <v/>
      </c>
      <c r="Y74" s="169">
        <f>IF(分析!T159&lt;&gt;"",分析!T159,"")</f>
        <v/>
      </c>
      <c r="Z74" s="155">
        <f>IF(分析!Y159&lt;&gt;"",分析!Y159,"")</f>
        <v/>
      </c>
    </row>
    <row r="75" ht="21.95" customHeight="1" s="574">
      <c r="A75" s="156">
        <f>IF(分析!C15&lt;&gt;"",ROW()-2,"")</f>
        <v/>
      </c>
      <c r="B75" s="157">
        <f>IF(分析!C15&lt;&gt;"",HYPERLINK("https://kabutan.jp/stock/?code="&amp;分析!C15,"株探"),"")</f>
        <v/>
      </c>
      <c r="C75" s="603">
        <f>IF(分析!C15&lt;&gt;"",分析!C15,"")</f>
        <v/>
      </c>
      <c r="D75" s="159">
        <f>IF(分析!D15&lt;&gt;"",分析!D15,"")</f>
        <v/>
      </c>
      <c r="E75" s="160">
        <f>IF(分析!E15&lt;&gt;"",分析!E15,"")</f>
        <v/>
      </c>
      <c r="F75" s="161">
        <f>IF(分析!F15&lt;&gt;"",分析!F15,"")</f>
        <v/>
      </c>
      <c r="G75" s="161">
        <f>IF(分析!H15&lt;&gt;"",分析!H15,"")</f>
        <v/>
      </c>
      <c r="H75" s="161">
        <f>IF(分析!I15&lt;&gt;"",分析!I15,"")</f>
        <v/>
      </c>
      <c r="I75" s="161">
        <f>IF(分析!J15&lt;&gt;"",分析!J15,"")</f>
        <v/>
      </c>
      <c r="J75" s="161">
        <f>IF(分析!AB15&lt;&gt;"",分析!AB15,"")</f>
        <v/>
      </c>
      <c r="K75" s="161">
        <f>IF(分析!AC15&lt;&gt;"",分析!AC15,"")</f>
        <v/>
      </c>
      <c r="L75" s="161">
        <f>IF(分析!K15&lt;&gt;"",分析!K15,"")</f>
        <v/>
      </c>
      <c r="M75" s="156">
        <f>IF(分析!P15&lt;&gt;"",分析!P15,"")</f>
        <v/>
      </c>
      <c r="N75" s="604">
        <f>IF(分析!O15&lt;&gt;"",分析!O15,"")</f>
        <v/>
      </c>
      <c r="O75" s="163">
        <f>IF(分析!X15&lt;&gt;"",分析!X15,"")</f>
        <v/>
      </c>
      <c r="P75" s="605">
        <f>IF(分析!L15&lt;&gt;"",分析!L15,"")</f>
        <v/>
      </c>
      <c r="Q75" s="161">
        <f>IF(分析!S15&lt;&gt;"",分析!S15,"")</f>
        <v/>
      </c>
      <c r="R75" s="161">
        <f>IF(分析!R15&lt;&gt;"",分析!R15,"")</f>
        <v/>
      </c>
      <c r="S75" s="156">
        <f>IF(分析!AA15&lt;&gt;"",分析!AA15,"")</f>
        <v/>
      </c>
      <c r="T75" s="606">
        <f>IF(分析!Z15&lt;&gt;"",分析!Z15,"")</f>
        <v/>
      </c>
      <c r="U75" s="156">
        <f>IF(分析!V15&lt;&gt;"",分析!V15,"")</f>
        <v/>
      </c>
      <c r="V75" s="607">
        <f>IF(分析!W15&lt;&gt;"",分析!W15,"")</f>
        <v/>
      </c>
      <c r="W75" s="167">
        <f>IF(分析!AD15&lt;&gt;"",分析!AD15,"")</f>
        <v/>
      </c>
      <c r="X75" s="168">
        <f>IF(分析!AE15&lt;&gt;"",分析!AE15,"")</f>
        <v/>
      </c>
      <c r="Y75" s="169">
        <f>IF(分析!T15&lt;&gt;"",分析!T15,"")</f>
        <v/>
      </c>
      <c r="Z75" s="155">
        <f>IF(分析!Y15&lt;&gt;"",分析!Y15,"")</f>
        <v/>
      </c>
    </row>
    <row r="76" ht="21.95" customHeight="1" s="574">
      <c r="A76" s="156">
        <f>IF(分析!C157&lt;&gt;"",ROW()-2,"")</f>
        <v/>
      </c>
      <c r="B76" s="157">
        <f>IF(分析!C157&lt;&gt;"",HYPERLINK("https://kabutan.jp/stock/?code="&amp;分析!C157,"株探"),"")</f>
        <v/>
      </c>
      <c r="C76" s="603">
        <f>IF(分析!C157&lt;&gt;"",分析!C157,"")</f>
        <v/>
      </c>
      <c r="D76" s="159">
        <f>IF(分析!D157&lt;&gt;"",分析!D157,"")</f>
        <v/>
      </c>
      <c r="E76" s="160">
        <f>IF(分析!E157&lt;&gt;"",分析!E157,"")</f>
        <v/>
      </c>
      <c r="F76" s="161">
        <f>IF(分析!F157&lt;&gt;"",分析!F157,"")</f>
        <v/>
      </c>
      <c r="G76" s="161">
        <f>IF(分析!H157&lt;&gt;"",分析!H157,"")</f>
        <v/>
      </c>
      <c r="H76" s="161">
        <f>IF(分析!I157&lt;&gt;"",分析!I157,"")</f>
        <v/>
      </c>
      <c r="I76" s="161">
        <f>IF(分析!J157&lt;&gt;"",分析!J157,"")</f>
        <v/>
      </c>
      <c r="J76" s="161">
        <f>IF(分析!AB157&lt;&gt;"",分析!AB157,"")</f>
        <v/>
      </c>
      <c r="K76" s="161">
        <f>IF(分析!AC157&lt;&gt;"",分析!AC157,"")</f>
        <v/>
      </c>
      <c r="L76" s="161">
        <f>IF(分析!K157&lt;&gt;"",分析!K157,"")</f>
        <v/>
      </c>
      <c r="M76" s="156">
        <f>IF(分析!P157&lt;&gt;"",分析!P157,"")</f>
        <v/>
      </c>
      <c r="N76" s="604">
        <f>IF(分析!O157&lt;&gt;"",分析!O157,"")</f>
        <v/>
      </c>
      <c r="O76" s="163">
        <f>IF(分析!X157&lt;&gt;"",分析!X157,"")</f>
        <v/>
      </c>
      <c r="P76" s="605">
        <f>IF(分析!L157&lt;&gt;"",分析!L157,"")</f>
        <v/>
      </c>
      <c r="Q76" s="161">
        <f>IF(分析!S157&lt;&gt;"",分析!S157,"")</f>
        <v/>
      </c>
      <c r="R76" s="161">
        <f>IF(分析!R157&lt;&gt;"",分析!R157,"")</f>
        <v/>
      </c>
      <c r="S76" s="156">
        <f>IF(分析!AA157&lt;&gt;"",分析!AA157,"")</f>
        <v/>
      </c>
      <c r="T76" s="606">
        <f>IF(分析!Z157&lt;&gt;"",分析!Z157,"")</f>
        <v/>
      </c>
      <c r="U76" s="156">
        <f>IF(分析!V157&lt;&gt;"",分析!V157,"")</f>
        <v/>
      </c>
      <c r="V76" s="607">
        <f>IF(分析!W157&lt;&gt;"",分析!W157,"")</f>
        <v/>
      </c>
      <c r="W76" s="167">
        <f>IF(分析!AD157&lt;&gt;"",分析!AD157,"")</f>
        <v/>
      </c>
      <c r="X76" s="168">
        <f>IF(分析!AE157&lt;&gt;"",分析!AE157,"")</f>
        <v/>
      </c>
      <c r="Y76" s="169">
        <f>IF(分析!T157&lt;&gt;"",分析!T157,"")</f>
        <v/>
      </c>
      <c r="Z76" s="155">
        <f>IF(分析!Y157&lt;&gt;"",分析!Y157,"")</f>
        <v/>
      </c>
    </row>
    <row r="77" ht="21.95" customHeight="1" s="574">
      <c r="A77" s="156">
        <f>IF(分析!C193&lt;&gt;"",ROW()-2,"")</f>
        <v/>
      </c>
      <c r="B77" s="157">
        <f>IF(分析!C193&lt;&gt;"",HYPERLINK("https://kabutan.jp/stock/?code="&amp;分析!C193,"株探"),"")</f>
        <v/>
      </c>
      <c r="C77" s="603">
        <f>IF(分析!C193&lt;&gt;"",分析!C193,"")</f>
        <v/>
      </c>
      <c r="D77" s="159">
        <f>IF(分析!D193&lt;&gt;"",分析!D193,"")</f>
        <v/>
      </c>
      <c r="E77" s="160">
        <f>IF(分析!E193&lt;&gt;"",分析!E193,"")</f>
        <v/>
      </c>
      <c r="F77" s="161">
        <f>IF(分析!F193&lt;&gt;"",分析!F193,"")</f>
        <v/>
      </c>
      <c r="G77" s="161">
        <f>IF(分析!H193&lt;&gt;"",分析!H193,"")</f>
        <v/>
      </c>
      <c r="H77" s="161">
        <f>IF(分析!I193&lt;&gt;"",分析!I193,"")</f>
        <v/>
      </c>
      <c r="I77" s="161">
        <f>IF(分析!J193&lt;&gt;"",分析!J193,"")</f>
        <v/>
      </c>
      <c r="J77" s="161">
        <f>IF(分析!AB193&lt;&gt;"",分析!AB193,"")</f>
        <v/>
      </c>
      <c r="K77" s="161">
        <f>IF(分析!AC193&lt;&gt;"",分析!AC193,"")</f>
        <v/>
      </c>
      <c r="L77" s="161">
        <f>IF(分析!K193&lt;&gt;"",分析!K193,"")</f>
        <v/>
      </c>
      <c r="M77" s="156">
        <f>IF(分析!P193&lt;&gt;"",分析!P193,"")</f>
        <v/>
      </c>
      <c r="N77" s="604">
        <f>IF(分析!O193&lt;&gt;"",分析!O193,"")</f>
        <v/>
      </c>
      <c r="O77" s="163">
        <f>IF(分析!X193&lt;&gt;"",分析!X193,"")</f>
        <v/>
      </c>
      <c r="P77" s="605">
        <f>IF(分析!L193&lt;&gt;"",分析!L193,"")</f>
        <v/>
      </c>
      <c r="Q77" s="161">
        <f>IF(分析!S193&lt;&gt;"",分析!S193,"")</f>
        <v/>
      </c>
      <c r="R77" s="161">
        <f>IF(分析!R193&lt;&gt;"",分析!R193,"")</f>
        <v/>
      </c>
      <c r="S77" s="156">
        <f>IF(分析!AA193&lt;&gt;"",分析!AA193,"")</f>
        <v/>
      </c>
      <c r="T77" s="606">
        <f>IF(分析!Z193&lt;&gt;"",分析!Z193,"")</f>
        <v/>
      </c>
      <c r="U77" s="156">
        <f>IF(分析!V193&lt;&gt;"",分析!V193,"")</f>
        <v/>
      </c>
      <c r="V77" s="607">
        <f>IF(分析!W193&lt;&gt;"",分析!W193,"")</f>
        <v/>
      </c>
      <c r="W77" s="167">
        <f>IF(分析!AD193&lt;&gt;"",分析!AD193,"")</f>
        <v/>
      </c>
      <c r="X77" s="168">
        <f>IF(分析!AE193&lt;&gt;"",分析!AE193,"")</f>
        <v/>
      </c>
      <c r="Y77" s="169">
        <f>IF(分析!T193&lt;&gt;"",分析!T193,"")</f>
        <v/>
      </c>
      <c r="Z77" s="155">
        <f>IF(分析!Y193&lt;&gt;"",分析!Y193,"")</f>
        <v/>
      </c>
    </row>
    <row r="78" ht="21.95" customHeight="1" s="574">
      <c r="A78" s="141">
        <f>IF(分析!C160&lt;&gt;"",ROW()-2,"")</f>
        <v/>
      </c>
      <c r="B78" s="142">
        <f>IF(分析!C160&lt;&gt;"",HYPERLINK("https://kabutan.jp/stock/?code="&amp;分析!C160,"株探"),"")</f>
        <v/>
      </c>
      <c r="C78" s="598">
        <f>IF(分析!C160&lt;&gt;"",分析!C160,"")</f>
        <v/>
      </c>
      <c r="D78" s="144">
        <f>IF(分析!D160&lt;&gt;"",分析!D160,"")</f>
        <v/>
      </c>
      <c r="E78" s="145">
        <f>IF(分析!E160&lt;&gt;"",分析!E160,"")</f>
        <v/>
      </c>
      <c r="F78" s="146">
        <f>IF(分析!F160&lt;&gt;"",分析!F160,"")</f>
        <v/>
      </c>
      <c r="G78" s="146">
        <f>IF(分析!H160&lt;&gt;"",分析!H160,"")</f>
        <v/>
      </c>
      <c r="H78" s="146">
        <f>IF(分析!I160&lt;&gt;"",分析!I160,"")</f>
        <v/>
      </c>
      <c r="I78" s="146">
        <f>IF(分析!J160&lt;&gt;"",分析!J160,"")</f>
        <v/>
      </c>
      <c r="J78" s="146">
        <f>IF(分析!AB160&lt;&gt;"",分析!AB160,"")</f>
        <v/>
      </c>
      <c r="K78" s="146">
        <f>IF(分析!AC160&lt;&gt;"",分析!AC160,"")</f>
        <v/>
      </c>
      <c r="L78" s="146">
        <f>IF(分析!K160&lt;&gt;"",分析!K160,"")</f>
        <v/>
      </c>
      <c r="M78" s="141">
        <f>IF(分析!P160&lt;&gt;"",分析!P160,"")</f>
        <v/>
      </c>
      <c r="N78" s="599">
        <f>IF(分析!O160&lt;&gt;"",分析!O160,"")</f>
        <v/>
      </c>
      <c r="O78" s="148">
        <f>IF(分析!X160&lt;&gt;"",分析!X160,"")</f>
        <v/>
      </c>
      <c r="P78" s="600">
        <f>IF(分析!L160&lt;&gt;"",分析!L160,"")</f>
        <v/>
      </c>
      <c r="Q78" s="146">
        <f>IF(分析!S160&lt;&gt;"",分析!S160,"")</f>
        <v/>
      </c>
      <c r="R78" s="146">
        <f>IF(分析!R160&lt;&gt;"",分析!R160,"")</f>
        <v/>
      </c>
      <c r="S78" s="141">
        <f>IF(分析!AA160&lt;&gt;"",分析!AA160,"")</f>
        <v/>
      </c>
      <c r="T78" s="601">
        <f>IF(分析!Z160&lt;&gt;"",分析!Z160,"")</f>
        <v/>
      </c>
      <c r="U78" s="141">
        <f>IF(分析!V160&lt;&gt;"",分析!V160,"")</f>
        <v/>
      </c>
      <c r="V78" s="602">
        <f>IF(分析!W160&lt;&gt;"",分析!W160,"")</f>
        <v/>
      </c>
      <c r="W78" s="152">
        <f>IF(分析!AD160&lt;&gt;"",分析!AD160,"")</f>
        <v/>
      </c>
      <c r="X78" s="153">
        <f>IF(分析!AE160&lt;&gt;"",分析!AE160,"")</f>
        <v/>
      </c>
      <c r="Y78" s="154">
        <f>IF(分析!T160&lt;&gt;"",分析!T160,"")</f>
        <v/>
      </c>
      <c r="Z78" s="155">
        <f>IF(分析!Y160&lt;&gt;"",分析!Y160,"")</f>
        <v/>
      </c>
    </row>
    <row r="79" ht="21.95" customHeight="1" s="574">
      <c r="A79" s="156">
        <f>IF(分析!C153&lt;&gt;"",ROW()-2,"")</f>
        <v/>
      </c>
      <c r="B79" s="157">
        <f>IF(分析!C153&lt;&gt;"",HYPERLINK("https://kabutan.jp/stock/?code="&amp;分析!C153,"株探"),"")</f>
        <v/>
      </c>
      <c r="C79" s="603">
        <f>IF(分析!C153&lt;&gt;"",分析!C153,"")</f>
        <v/>
      </c>
      <c r="D79" s="159">
        <f>IF(分析!D153&lt;&gt;"",分析!D153,"")</f>
        <v/>
      </c>
      <c r="E79" s="160">
        <f>IF(分析!E153&lt;&gt;"",分析!E153,"")</f>
        <v/>
      </c>
      <c r="F79" s="161">
        <f>IF(分析!F153&lt;&gt;"",分析!F153,"")</f>
        <v/>
      </c>
      <c r="G79" s="161">
        <f>IF(分析!H153&lt;&gt;"",分析!H153,"")</f>
        <v/>
      </c>
      <c r="H79" s="161">
        <f>IF(分析!I153&lt;&gt;"",分析!I153,"")</f>
        <v/>
      </c>
      <c r="I79" s="161">
        <f>IF(分析!J153&lt;&gt;"",分析!J153,"")</f>
        <v/>
      </c>
      <c r="J79" s="161">
        <f>IF(分析!AB153&lt;&gt;"",分析!AB153,"")</f>
        <v/>
      </c>
      <c r="K79" s="161">
        <f>IF(分析!AC153&lt;&gt;"",分析!AC153,"")</f>
        <v/>
      </c>
      <c r="L79" s="161">
        <f>IF(分析!K153&lt;&gt;"",分析!K153,"")</f>
        <v/>
      </c>
      <c r="M79" s="156">
        <f>IF(分析!P153&lt;&gt;"",分析!P153,"")</f>
        <v/>
      </c>
      <c r="N79" s="604">
        <f>IF(分析!O153&lt;&gt;"",分析!O153,"")</f>
        <v/>
      </c>
      <c r="O79" s="163">
        <f>IF(分析!X153&lt;&gt;"",分析!X153,"")</f>
        <v/>
      </c>
      <c r="P79" s="605">
        <f>IF(分析!L153&lt;&gt;"",分析!L153,"")</f>
        <v/>
      </c>
      <c r="Q79" s="161">
        <f>IF(分析!S153&lt;&gt;"",分析!S153,"")</f>
        <v/>
      </c>
      <c r="R79" s="161">
        <f>IF(分析!R153&lt;&gt;"",分析!R153,"")</f>
        <v/>
      </c>
      <c r="S79" s="156">
        <f>IF(分析!AA153&lt;&gt;"",分析!AA153,"")</f>
        <v/>
      </c>
      <c r="T79" s="606">
        <f>IF(分析!Z153&lt;&gt;"",分析!Z153,"")</f>
        <v/>
      </c>
      <c r="U79" s="156">
        <f>IF(分析!V153&lt;&gt;"",分析!V153,"")</f>
        <v/>
      </c>
      <c r="V79" s="607">
        <f>IF(分析!W153&lt;&gt;"",分析!W153,"")</f>
        <v/>
      </c>
      <c r="W79" s="167">
        <f>IF(分析!AD153&lt;&gt;"",分析!AD153,"")</f>
        <v/>
      </c>
      <c r="X79" s="168">
        <f>IF(分析!AE153&lt;&gt;"",分析!AE153,"")</f>
        <v/>
      </c>
      <c r="Y79" s="169">
        <f>IF(分析!T153&lt;&gt;"",分析!T153,"")</f>
        <v/>
      </c>
      <c r="Z79" s="155">
        <f>IF(分析!Y153&lt;&gt;"",分析!Y153,"")</f>
        <v/>
      </c>
    </row>
    <row r="80" ht="21.95" customHeight="1" s="574">
      <c r="A80" s="141">
        <f>IF(分析!C128&lt;&gt;"",ROW()-2,"")</f>
        <v/>
      </c>
      <c r="B80" s="142">
        <f>IF(分析!C128&lt;&gt;"",HYPERLINK("https://kabutan.jp/stock/?code="&amp;分析!C128,"株探"),"")</f>
        <v/>
      </c>
      <c r="C80" s="598">
        <f>IF(分析!C128&lt;&gt;"",分析!C128,"")</f>
        <v/>
      </c>
      <c r="D80" s="144">
        <f>IF(分析!D128&lt;&gt;"",分析!D128,"")</f>
        <v/>
      </c>
      <c r="E80" s="145">
        <f>IF(分析!E128&lt;&gt;"",分析!E128,"")</f>
        <v/>
      </c>
      <c r="F80" s="146">
        <f>IF(分析!F128&lt;&gt;"",分析!F128,"")</f>
        <v/>
      </c>
      <c r="G80" s="146">
        <f>IF(分析!H128&lt;&gt;"",分析!H128,"")</f>
        <v/>
      </c>
      <c r="H80" s="146">
        <f>IF(分析!I128&lt;&gt;"",分析!I128,"")</f>
        <v/>
      </c>
      <c r="I80" s="146">
        <f>IF(分析!J128&lt;&gt;"",分析!J128,"")</f>
        <v/>
      </c>
      <c r="J80" s="146">
        <f>IF(分析!AB128&lt;&gt;"",分析!AB128,"")</f>
        <v/>
      </c>
      <c r="K80" s="146">
        <f>IF(分析!AC128&lt;&gt;"",分析!AC128,"")</f>
        <v/>
      </c>
      <c r="L80" s="146">
        <f>IF(分析!K128&lt;&gt;"",分析!K128,"")</f>
        <v/>
      </c>
      <c r="M80" s="141">
        <f>IF(分析!P128&lt;&gt;"",分析!P128,"")</f>
        <v/>
      </c>
      <c r="N80" s="599">
        <f>IF(分析!O128&lt;&gt;"",分析!O128,"")</f>
        <v/>
      </c>
      <c r="O80" s="148">
        <f>IF(分析!X128&lt;&gt;"",分析!X128,"")</f>
        <v/>
      </c>
      <c r="P80" s="600">
        <f>IF(分析!L128&lt;&gt;"",分析!L128,"")</f>
        <v/>
      </c>
      <c r="Q80" s="146">
        <f>IF(分析!S128&lt;&gt;"",分析!S128,"")</f>
        <v/>
      </c>
      <c r="R80" s="146">
        <f>IF(分析!R128&lt;&gt;"",分析!R128,"")</f>
        <v/>
      </c>
      <c r="S80" s="141">
        <f>IF(分析!AA128&lt;&gt;"",分析!AA128,"")</f>
        <v/>
      </c>
      <c r="T80" s="601">
        <f>IF(分析!Z128&lt;&gt;"",分析!Z128,"")</f>
        <v/>
      </c>
      <c r="U80" s="141">
        <f>IF(分析!V128&lt;&gt;"",分析!V128,"")</f>
        <v/>
      </c>
      <c r="V80" s="602">
        <f>IF(分析!W128&lt;&gt;"",分析!W128,"")</f>
        <v/>
      </c>
      <c r="W80" s="152">
        <f>IF(分析!AD128&lt;&gt;"",分析!AD128,"")</f>
        <v/>
      </c>
      <c r="X80" s="153">
        <f>IF(分析!AE128&lt;&gt;"",分析!AE128,"")</f>
        <v/>
      </c>
      <c r="Y80" s="154">
        <f>IF(分析!T128&lt;&gt;"",分析!T128,"")</f>
        <v/>
      </c>
      <c r="Z80" s="155">
        <f>IF(分析!Y128&lt;&gt;"",分析!Y128,"")</f>
        <v/>
      </c>
    </row>
    <row r="81" ht="21.95" customHeight="1" s="574">
      <c r="A81" s="156">
        <f>IF(分析!C119&lt;&gt;"",ROW()-2,"")</f>
        <v/>
      </c>
      <c r="B81" s="157">
        <f>IF(分析!C119&lt;&gt;"",HYPERLINK("https://kabutan.jp/stock/?code="&amp;分析!C119,"株探"),"")</f>
        <v/>
      </c>
      <c r="C81" s="603">
        <f>IF(分析!C119&lt;&gt;"",分析!C119,"")</f>
        <v/>
      </c>
      <c r="D81" s="159">
        <f>IF(分析!D119&lt;&gt;"",分析!D119,"")</f>
        <v/>
      </c>
      <c r="E81" s="160">
        <f>IF(分析!E119&lt;&gt;"",分析!E119,"")</f>
        <v/>
      </c>
      <c r="F81" s="161">
        <f>IF(分析!F119&lt;&gt;"",分析!F119,"")</f>
        <v/>
      </c>
      <c r="G81" s="161">
        <f>IF(分析!H119&lt;&gt;"",分析!H119,"")</f>
        <v/>
      </c>
      <c r="H81" s="161">
        <f>IF(分析!I119&lt;&gt;"",分析!I119,"")</f>
        <v/>
      </c>
      <c r="I81" s="161">
        <f>IF(分析!J119&lt;&gt;"",分析!J119,"")</f>
        <v/>
      </c>
      <c r="J81" s="161">
        <f>IF(分析!AB119&lt;&gt;"",分析!AB119,"")</f>
        <v/>
      </c>
      <c r="K81" s="161">
        <f>IF(分析!AC119&lt;&gt;"",分析!AC119,"")</f>
        <v/>
      </c>
      <c r="L81" s="161">
        <f>IF(分析!K119&lt;&gt;"",分析!K119,"")</f>
        <v/>
      </c>
      <c r="M81" s="156">
        <f>IF(分析!P119&lt;&gt;"",分析!P119,"")</f>
        <v/>
      </c>
      <c r="N81" s="604">
        <f>IF(分析!O119&lt;&gt;"",分析!O119,"")</f>
        <v/>
      </c>
      <c r="O81" s="163">
        <f>IF(分析!X119&lt;&gt;"",分析!X119,"")</f>
        <v/>
      </c>
      <c r="P81" s="605">
        <f>IF(分析!L119&lt;&gt;"",分析!L119,"")</f>
        <v/>
      </c>
      <c r="Q81" s="161">
        <f>IF(分析!S119&lt;&gt;"",分析!S119,"")</f>
        <v/>
      </c>
      <c r="R81" s="161">
        <f>IF(分析!R119&lt;&gt;"",分析!R119,"")</f>
        <v/>
      </c>
      <c r="S81" s="156">
        <f>IF(分析!AA119&lt;&gt;"",分析!AA119,"")</f>
        <v/>
      </c>
      <c r="T81" s="606">
        <f>IF(分析!Z119&lt;&gt;"",分析!Z119,"")</f>
        <v/>
      </c>
      <c r="U81" s="156">
        <f>IF(分析!V119&lt;&gt;"",分析!V119,"")</f>
        <v/>
      </c>
      <c r="V81" s="607">
        <f>IF(分析!W119&lt;&gt;"",分析!W119,"")</f>
        <v/>
      </c>
      <c r="W81" s="167">
        <f>IF(分析!AD119&lt;&gt;"",分析!AD119,"")</f>
        <v/>
      </c>
      <c r="X81" s="168">
        <f>IF(分析!AE119&lt;&gt;"",分析!AE119,"")</f>
        <v/>
      </c>
      <c r="Y81" s="169">
        <f>IF(分析!T119&lt;&gt;"",分析!T119,"")</f>
        <v/>
      </c>
      <c r="Z81" s="155">
        <f>IF(分析!Y119&lt;&gt;"",分析!Y119,"")</f>
        <v/>
      </c>
    </row>
    <row r="82" ht="21.95" customHeight="1" s="574">
      <c r="A82" s="141">
        <f>IF(分析!C166&lt;&gt;"",ROW()-2,"")</f>
        <v/>
      </c>
      <c r="B82" s="142">
        <f>IF(分析!C166&lt;&gt;"",HYPERLINK("https://kabutan.jp/stock/?code="&amp;分析!C166,"株探"),"")</f>
        <v/>
      </c>
      <c r="C82" s="598">
        <f>IF(分析!C166&lt;&gt;"",分析!C166,"")</f>
        <v/>
      </c>
      <c r="D82" s="144">
        <f>IF(分析!D166&lt;&gt;"",分析!D166,"")</f>
        <v/>
      </c>
      <c r="E82" s="145">
        <f>IF(分析!E166&lt;&gt;"",分析!E166,"")</f>
        <v/>
      </c>
      <c r="F82" s="146">
        <f>IF(分析!F166&lt;&gt;"",分析!F166,"")</f>
        <v/>
      </c>
      <c r="G82" s="146">
        <f>IF(分析!H166&lt;&gt;"",分析!H166,"")</f>
        <v/>
      </c>
      <c r="H82" s="146">
        <f>IF(分析!I166&lt;&gt;"",分析!I166,"")</f>
        <v/>
      </c>
      <c r="I82" s="146">
        <f>IF(分析!J166&lt;&gt;"",分析!J166,"")</f>
        <v/>
      </c>
      <c r="J82" s="146">
        <f>IF(分析!AB166&lt;&gt;"",分析!AB166,"")</f>
        <v/>
      </c>
      <c r="K82" s="146">
        <f>IF(分析!AC166&lt;&gt;"",分析!AC166,"")</f>
        <v/>
      </c>
      <c r="L82" s="146">
        <f>IF(分析!K166&lt;&gt;"",分析!K166,"")</f>
        <v/>
      </c>
      <c r="M82" s="141">
        <f>IF(分析!P166&lt;&gt;"",分析!P166,"")</f>
        <v/>
      </c>
      <c r="N82" s="599">
        <f>IF(分析!O166&lt;&gt;"",分析!O166,"")</f>
        <v/>
      </c>
      <c r="O82" s="148">
        <f>IF(分析!X166&lt;&gt;"",分析!X166,"")</f>
        <v/>
      </c>
      <c r="P82" s="600">
        <f>IF(分析!L166&lt;&gt;"",分析!L166,"")</f>
        <v/>
      </c>
      <c r="Q82" s="146">
        <f>IF(分析!S166&lt;&gt;"",分析!S166,"")</f>
        <v/>
      </c>
      <c r="R82" s="146">
        <f>IF(分析!R166&lt;&gt;"",分析!R166,"")</f>
        <v/>
      </c>
      <c r="S82" s="141">
        <f>IF(分析!AA166&lt;&gt;"",分析!AA166,"")</f>
        <v/>
      </c>
      <c r="T82" s="601">
        <f>IF(分析!Z166&lt;&gt;"",分析!Z166,"")</f>
        <v/>
      </c>
      <c r="U82" s="141">
        <f>IF(分析!V166&lt;&gt;"",分析!V166,"")</f>
        <v/>
      </c>
      <c r="V82" s="602">
        <f>IF(分析!W166&lt;&gt;"",分析!W166,"")</f>
        <v/>
      </c>
      <c r="W82" s="152">
        <f>IF(分析!AD166&lt;&gt;"",分析!AD166,"")</f>
        <v/>
      </c>
      <c r="X82" s="153">
        <f>IF(分析!AE166&lt;&gt;"",分析!AE166,"")</f>
        <v/>
      </c>
      <c r="Y82" s="154">
        <f>IF(分析!T166&lt;&gt;"",分析!T166,"")</f>
        <v/>
      </c>
      <c r="Z82" s="155">
        <f>IF(分析!Y166&lt;&gt;"",分析!Y166,"")</f>
        <v/>
      </c>
    </row>
    <row r="83" ht="21.95" customHeight="1" s="574">
      <c r="A83" s="156">
        <f>IF(分析!C121&lt;&gt;"",ROW()-2,"")</f>
        <v/>
      </c>
      <c r="B83" s="157">
        <f>IF(分析!C121&lt;&gt;"",HYPERLINK("https://kabutan.jp/stock/?code="&amp;分析!C121,"株探"),"")</f>
        <v/>
      </c>
      <c r="C83" s="603">
        <f>IF(分析!C121&lt;&gt;"",分析!C121,"")</f>
        <v/>
      </c>
      <c r="D83" s="159">
        <f>IF(分析!D121&lt;&gt;"",分析!D121,"")</f>
        <v/>
      </c>
      <c r="E83" s="160">
        <f>IF(分析!E121&lt;&gt;"",分析!E121,"")</f>
        <v/>
      </c>
      <c r="F83" s="161">
        <f>IF(分析!F121&lt;&gt;"",分析!F121,"")</f>
        <v/>
      </c>
      <c r="G83" s="161">
        <f>IF(分析!H121&lt;&gt;"",分析!H121,"")</f>
        <v/>
      </c>
      <c r="H83" s="161">
        <f>IF(分析!I121&lt;&gt;"",分析!I121,"")</f>
        <v/>
      </c>
      <c r="I83" s="161">
        <f>IF(分析!J121&lt;&gt;"",分析!J121,"")</f>
        <v/>
      </c>
      <c r="J83" s="161">
        <f>IF(分析!AB121&lt;&gt;"",分析!AB121,"")</f>
        <v/>
      </c>
      <c r="K83" s="161">
        <f>IF(分析!AC121&lt;&gt;"",分析!AC121,"")</f>
        <v/>
      </c>
      <c r="L83" s="161">
        <f>IF(分析!K121&lt;&gt;"",分析!K121,"")</f>
        <v/>
      </c>
      <c r="M83" s="156">
        <f>IF(分析!P121&lt;&gt;"",分析!P121,"")</f>
        <v/>
      </c>
      <c r="N83" s="604">
        <f>IF(分析!O121&lt;&gt;"",分析!O121,"")</f>
        <v/>
      </c>
      <c r="O83" s="163">
        <f>IF(分析!X121&lt;&gt;"",分析!X121,"")</f>
        <v/>
      </c>
      <c r="P83" s="605">
        <f>IF(分析!L121&lt;&gt;"",分析!L121,"")</f>
        <v/>
      </c>
      <c r="Q83" s="161">
        <f>IF(分析!S121&lt;&gt;"",分析!S121,"")</f>
        <v/>
      </c>
      <c r="R83" s="161">
        <f>IF(分析!R121&lt;&gt;"",分析!R121,"")</f>
        <v/>
      </c>
      <c r="S83" s="156">
        <f>IF(分析!AA121&lt;&gt;"",分析!AA121,"")</f>
        <v/>
      </c>
      <c r="T83" s="606">
        <f>IF(分析!Z121&lt;&gt;"",分析!Z121,"")</f>
        <v/>
      </c>
      <c r="U83" s="156">
        <f>IF(分析!V121&lt;&gt;"",分析!V121,"")</f>
        <v/>
      </c>
      <c r="V83" s="607">
        <f>IF(分析!W121&lt;&gt;"",分析!W121,"")</f>
        <v/>
      </c>
      <c r="W83" s="167">
        <f>IF(分析!AD121&lt;&gt;"",分析!AD121,"")</f>
        <v/>
      </c>
      <c r="X83" s="168">
        <f>IF(分析!AE121&lt;&gt;"",分析!AE121,"")</f>
        <v/>
      </c>
      <c r="Y83" s="169">
        <f>IF(分析!T121&lt;&gt;"",分析!T121,"")</f>
        <v/>
      </c>
      <c r="Z83" s="155">
        <f>IF(分析!Y121&lt;&gt;"",分析!Y121,"")</f>
        <v/>
      </c>
    </row>
    <row r="84" ht="21.95" customHeight="1" s="574">
      <c r="A84" s="156">
        <f>IF(分析!C83&lt;&gt;"",ROW()-2,"")</f>
        <v/>
      </c>
      <c r="B84" s="157">
        <f>IF(分析!C83&lt;&gt;"",HYPERLINK("https://kabutan.jp/stock/?code="&amp;分析!C83,"株探"),"")</f>
        <v/>
      </c>
      <c r="C84" s="603">
        <f>IF(分析!C83&lt;&gt;"",分析!C83,"")</f>
        <v/>
      </c>
      <c r="D84" s="159">
        <f>IF(分析!D83&lt;&gt;"",分析!D83,"")</f>
        <v/>
      </c>
      <c r="E84" s="160">
        <f>IF(分析!E83&lt;&gt;"",分析!E83,"")</f>
        <v/>
      </c>
      <c r="F84" s="161">
        <f>IF(分析!F83&lt;&gt;"",分析!F83,"")</f>
        <v/>
      </c>
      <c r="G84" s="161">
        <f>IF(分析!H83&lt;&gt;"",分析!H83,"")</f>
        <v/>
      </c>
      <c r="H84" s="161">
        <f>IF(分析!I83&lt;&gt;"",分析!I83,"")</f>
        <v/>
      </c>
      <c r="I84" s="161">
        <f>IF(分析!J83&lt;&gt;"",分析!J83,"")</f>
        <v/>
      </c>
      <c r="J84" s="161">
        <f>IF(分析!AB83&lt;&gt;"",分析!AB83,"")</f>
        <v/>
      </c>
      <c r="K84" s="161">
        <f>IF(分析!AC83&lt;&gt;"",分析!AC83,"")</f>
        <v/>
      </c>
      <c r="L84" s="161">
        <f>IF(分析!K83&lt;&gt;"",分析!K83,"")</f>
        <v/>
      </c>
      <c r="M84" s="156">
        <f>IF(分析!P83&lt;&gt;"",分析!P83,"")</f>
        <v/>
      </c>
      <c r="N84" s="604">
        <f>IF(分析!O83&lt;&gt;"",分析!O83,"")</f>
        <v/>
      </c>
      <c r="O84" s="163">
        <f>IF(分析!X83&lt;&gt;"",分析!X83,"")</f>
        <v/>
      </c>
      <c r="P84" s="605">
        <f>IF(分析!L83&lt;&gt;"",分析!L83,"")</f>
        <v/>
      </c>
      <c r="Q84" s="161">
        <f>IF(分析!S83&lt;&gt;"",分析!S83,"")</f>
        <v/>
      </c>
      <c r="R84" s="161">
        <f>IF(分析!R83&lt;&gt;"",分析!R83,"")</f>
        <v/>
      </c>
      <c r="S84" s="156">
        <f>IF(分析!AA83&lt;&gt;"",分析!AA83,"")</f>
        <v/>
      </c>
      <c r="T84" s="606">
        <f>IF(分析!Z83&lt;&gt;"",分析!Z83,"")</f>
        <v/>
      </c>
      <c r="U84" s="156">
        <f>IF(分析!V83&lt;&gt;"",分析!V83,"")</f>
        <v/>
      </c>
      <c r="V84" s="607">
        <f>IF(分析!W83&lt;&gt;"",分析!W83,"")</f>
        <v/>
      </c>
      <c r="W84" s="167">
        <f>IF(分析!AD83&lt;&gt;"",分析!AD83,"")</f>
        <v/>
      </c>
      <c r="X84" s="168">
        <f>IF(分析!AE83&lt;&gt;"",分析!AE83,"")</f>
        <v/>
      </c>
      <c r="Y84" s="169">
        <f>IF(分析!T83&lt;&gt;"",分析!T83,"")</f>
        <v/>
      </c>
      <c r="Z84" s="155">
        <f>IF(分析!Y83&lt;&gt;"",分析!Y83,"")</f>
        <v/>
      </c>
    </row>
    <row r="85" ht="21.95" customHeight="1" s="574">
      <c r="A85" s="156">
        <f>IF(分析!C117&lt;&gt;"",ROW()-2,"")</f>
        <v/>
      </c>
      <c r="B85" s="157">
        <f>IF(分析!C117&lt;&gt;"",HYPERLINK("https://kabutan.jp/stock/?code="&amp;分析!C117,"株探"),"")</f>
        <v/>
      </c>
      <c r="C85" s="603">
        <f>IF(分析!C117&lt;&gt;"",分析!C117,"")</f>
        <v/>
      </c>
      <c r="D85" s="159">
        <f>IF(分析!D117&lt;&gt;"",分析!D117,"")</f>
        <v/>
      </c>
      <c r="E85" s="160">
        <f>IF(分析!E117&lt;&gt;"",分析!E117,"")</f>
        <v/>
      </c>
      <c r="F85" s="161">
        <f>IF(分析!F117&lt;&gt;"",分析!F117,"")</f>
        <v/>
      </c>
      <c r="G85" s="161">
        <f>IF(分析!H117&lt;&gt;"",分析!H117,"")</f>
        <v/>
      </c>
      <c r="H85" s="161">
        <f>IF(分析!I117&lt;&gt;"",分析!I117,"")</f>
        <v/>
      </c>
      <c r="I85" s="161">
        <f>IF(分析!J117&lt;&gt;"",分析!J117,"")</f>
        <v/>
      </c>
      <c r="J85" s="161">
        <f>IF(分析!AB117&lt;&gt;"",分析!AB117,"")</f>
        <v/>
      </c>
      <c r="K85" s="161">
        <f>IF(分析!AC117&lt;&gt;"",分析!AC117,"")</f>
        <v/>
      </c>
      <c r="L85" s="161">
        <f>IF(分析!K117&lt;&gt;"",分析!K117,"")</f>
        <v/>
      </c>
      <c r="M85" s="156">
        <f>IF(分析!P117&lt;&gt;"",分析!P117,"")</f>
        <v/>
      </c>
      <c r="N85" s="604">
        <f>IF(分析!O117&lt;&gt;"",分析!O117,"")</f>
        <v/>
      </c>
      <c r="O85" s="163">
        <f>IF(分析!X117&lt;&gt;"",分析!X117,"")</f>
        <v/>
      </c>
      <c r="P85" s="605">
        <f>IF(分析!L117&lt;&gt;"",分析!L117,"")</f>
        <v/>
      </c>
      <c r="Q85" s="161">
        <f>IF(分析!S117&lt;&gt;"",分析!S117,"")</f>
        <v/>
      </c>
      <c r="R85" s="161">
        <f>IF(分析!R117&lt;&gt;"",分析!R117,"")</f>
        <v/>
      </c>
      <c r="S85" s="156">
        <f>IF(分析!AA117&lt;&gt;"",分析!AA117,"")</f>
        <v/>
      </c>
      <c r="T85" s="606">
        <f>IF(分析!Z117&lt;&gt;"",分析!Z117,"")</f>
        <v/>
      </c>
      <c r="U85" s="156">
        <f>IF(分析!V117&lt;&gt;"",分析!V117,"")</f>
        <v/>
      </c>
      <c r="V85" s="607">
        <f>IF(分析!W117&lt;&gt;"",分析!W117,"")</f>
        <v/>
      </c>
      <c r="W85" s="167">
        <f>IF(分析!AD117&lt;&gt;"",分析!AD117,"")</f>
        <v/>
      </c>
      <c r="X85" s="168">
        <f>IF(分析!AE117&lt;&gt;"",分析!AE117,"")</f>
        <v/>
      </c>
      <c r="Y85" s="169">
        <f>IF(分析!T117&lt;&gt;"",分析!T117,"")</f>
        <v/>
      </c>
      <c r="Z85" s="155">
        <f>IF(分析!Y117&lt;&gt;"",分析!Y117,"")</f>
        <v/>
      </c>
    </row>
    <row r="86" ht="21.95" customHeight="1" s="574">
      <c r="A86" s="141">
        <f>IF(分析!C206&lt;&gt;"",ROW()-2,"")</f>
        <v/>
      </c>
      <c r="B86" s="142">
        <f>IF(分析!C206&lt;&gt;"",HYPERLINK("https://kabutan.jp/stock/?code="&amp;分析!C206,"株探"),"")</f>
        <v/>
      </c>
      <c r="C86" s="598">
        <f>IF(分析!C206&lt;&gt;"",分析!C206,"")</f>
        <v/>
      </c>
      <c r="D86" s="144">
        <f>IF(分析!D206&lt;&gt;"",分析!D206,"")</f>
        <v/>
      </c>
      <c r="E86" s="145">
        <f>IF(分析!E206&lt;&gt;"",分析!E206,"")</f>
        <v/>
      </c>
      <c r="F86" s="146">
        <f>IF(分析!F206&lt;&gt;"",分析!F206,"")</f>
        <v/>
      </c>
      <c r="G86" s="146">
        <f>IF(分析!H206&lt;&gt;"",分析!H206,"")</f>
        <v/>
      </c>
      <c r="H86" s="146">
        <f>IF(分析!I206&lt;&gt;"",分析!I206,"")</f>
        <v/>
      </c>
      <c r="I86" s="146">
        <f>IF(分析!J206&lt;&gt;"",分析!J206,"")</f>
        <v/>
      </c>
      <c r="J86" s="146">
        <f>IF(分析!AB206&lt;&gt;"",分析!AB206,"")</f>
        <v/>
      </c>
      <c r="K86" s="146">
        <f>IF(分析!AC206&lt;&gt;"",分析!AC206,"")</f>
        <v/>
      </c>
      <c r="L86" s="146">
        <f>IF(分析!K206&lt;&gt;"",分析!K206,"")</f>
        <v/>
      </c>
      <c r="M86" s="141">
        <f>IF(分析!P206&lt;&gt;"",分析!P206,"")</f>
        <v/>
      </c>
      <c r="N86" s="599">
        <f>IF(分析!O206&lt;&gt;"",分析!O206,"")</f>
        <v/>
      </c>
      <c r="O86" s="148">
        <f>IF(分析!X206&lt;&gt;"",分析!X206,"")</f>
        <v/>
      </c>
      <c r="P86" s="600">
        <f>IF(分析!L206&lt;&gt;"",分析!L206,"")</f>
        <v/>
      </c>
      <c r="Q86" s="146">
        <f>IF(分析!S206&lt;&gt;"",分析!S206,"")</f>
        <v/>
      </c>
      <c r="R86" s="146">
        <f>IF(分析!R206&lt;&gt;"",分析!R206,"")</f>
        <v/>
      </c>
      <c r="S86" s="141">
        <f>IF(分析!AA206&lt;&gt;"",分析!AA206,"")</f>
        <v/>
      </c>
      <c r="T86" s="601">
        <f>IF(分析!Z206&lt;&gt;"",分析!Z206,"")</f>
        <v/>
      </c>
      <c r="U86" s="141">
        <f>IF(分析!V206&lt;&gt;"",分析!V206,"")</f>
        <v/>
      </c>
      <c r="V86" s="602">
        <f>IF(分析!W206&lt;&gt;"",分析!W206,"")</f>
        <v/>
      </c>
      <c r="W86" s="152">
        <f>IF(分析!AD206&lt;&gt;"",分析!AD206,"")</f>
        <v/>
      </c>
      <c r="X86" s="153">
        <f>IF(分析!AE206&lt;&gt;"",分析!AE206,"")</f>
        <v/>
      </c>
      <c r="Y86" s="154">
        <f>IF(分析!T206&lt;&gt;"",分析!T206,"")</f>
        <v/>
      </c>
      <c r="Z86" s="155">
        <f>IF(分析!Y206&lt;&gt;"",分析!Y206,"")</f>
        <v/>
      </c>
    </row>
    <row r="87" ht="21.95" customHeight="1" s="574">
      <c r="A87" s="156">
        <f>IF(分析!C169&lt;&gt;"",ROW()-2,"")</f>
        <v/>
      </c>
      <c r="B87" s="157">
        <f>IF(分析!C169&lt;&gt;"",HYPERLINK("https://kabutan.jp/stock/?code="&amp;分析!C169,"株探"),"")</f>
        <v/>
      </c>
      <c r="C87" s="603">
        <f>IF(分析!C169&lt;&gt;"",分析!C169,"")</f>
        <v/>
      </c>
      <c r="D87" s="159">
        <f>IF(分析!D169&lt;&gt;"",分析!D169,"")</f>
        <v/>
      </c>
      <c r="E87" s="160">
        <f>IF(分析!E169&lt;&gt;"",分析!E169,"")</f>
        <v/>
      </c>
      <c r="F87" s="161">
        <f>IF(分析!F169&lt;&gt;"",分析!F169,"")</f>
        <v/>
      </c>
      <c r="G87" s="161">
        <f>IF(分析!H169&lt;&gt;"",分析!H169,"")</f>
        <v/>
      </c>
      <c r="H87" s="161">
        <f>IF(分析!I169&lt;&gt;"",分析!I169,"")</f>
        <v/>
      </c>
      <c r="I87" s="161">
        <f>IF(分析!J169&lt;&gt;"",分析!J169,"")</f>
        <v/>
      </c>
      <c r="J87" s="161">
        <f>IF(分析!AB169&lt;&gt;"",分析!AB169,"")</f>
        <v/>
      </c>
      <c r="K87" s="161">
        <f>IF(分析!AC169&lt;&gt;"",分析!AC169,"")</f>
        <v/>
      </c>
      <c r="L87" s="161">
        <f>IF(分析!K169&lt;&gt;"",分析!K169,"")</f>
        <v/>
      </c>
      <c r="M87" s="156">
        <f>IF(分析!P169&lt;&gt;"",分析!P169,"")</f>
        <v/>
      </c>
      <c r="N87" s="604">
        <f>IF(分析!O169&lt;&gt;"",分析!O169,"")</f>
        <v/>
      </c>
      <c r="O87" s="163">
        <f>IF(分析!X169&lt;&gt;"",分析!X169,"")</f>
        <v/>
      </c>
      <c r="P87" s="605">
        <f>IF(分析!L169&lt;&gt;"",分析!L169,"")</f>
        <v/>
      </c>
      <c r="Q87" s="161">
        <f>IF(分析!S169&lt;&gt;"",分析!S169,"")</f>
        <v/>
      </c>
      <c r="R87" s="161">
        <f>IF(分析!R169&lt;&gt;"",分析!R169,"")</f>
        <v/>
      </c>
      <c r="S87" s="156">
        <f>IF(分析!AA169&lt;&gt;"",分析!AA169,"")</f>
        <v/>
      </c>
      <c r="T87" s="606">
        <f>IF(分析!Z169&lt;&gt;"",分析!Z169,"")</f>
        <v/>
      </c>
      <c r="U87" s="156">
        <f>IF(分析!V169&lt;&gt;"",分析!V169,"")</f>
        <v/>
      </c>
      <c r="V87" s="607">
        <f>IF(分析!W169&lt;&gt;"",分析!W169,"")</f>
        <v/>
      </c>
      <c r="W87" s="167">
        <f>IF(分析!AD169&lt;&gt;"",分析!AD169,"")</f>
        <v/>
      </c>
      <c r="X87" s="168">
        <f>IF(分析!AE169&lt;&gt;"",分析!AE169,"")</f>
        <v/>
      </c>
      <c r="Y87" s="169">
        <f>IF(分析!T169&lt;&gt;"",分析!T169,"")</f>
        <v/>
      </c>
      <c r="Z87" s="155">
        <f>IF(分析!Y169&lt;&gt;"",分析!Y169,"")</f>
        <v/>
      </c>
    </row>
    <row r="88" ht="21.95" customHeight="1" s="574">
      <c r="A88" s="141">
        <f>IF(分析!C172&lt;&gt;"",ROW()-2,"")</f>
        <v/>
      </c>
      <c r="B88" s="142">
        <f>IF(分析!C172&lt;&gt;"",HYPERLINK("https://kabutan.jp/stock/?code="&amp;分析!C172,"株探"),"")</f>
        <v/>
      </c>
      <c r="C88" s="598">
        <f>IF(分析!C172&lt;&gt;"",分析!C172,"")</f>
        <v/>
      </c>
      <c r="D88" s="144">
        <f>IF(分析!D172&lt;&gt;"",分析!D172,"")</f>
        <v/>
      </c>
      <c r="E88" s="145">
        <f>IF(分析!E172&lt;&gt;"",分析!E172,"")</f>
        <v/>
      </c>
      <c r="F88" s="146">
        <f>IF(分析!F172&lt;&gt;"",分析!F172,"")</f>
        <v/>
      </c>
      <c r="G88" s="146">
        <f>IF(分析!H172&lt;&gt;"",分析!H172,"")</f>
        <v/>
      </c>
      <c r="H88" s="146">
        <f>IF(分析!I172&lt;&gt;"",分析!I172,"")</f>
        <v/>
      </c>
      <c r="I88" s="146">
        <f>IF(分析!J172&lt;&gt;"",分析!J172,"")</f>
        <v/>
      </c>
      <c r="J88" s="146">
        <f>IF(分析!AB172&lt;&gt;"",分析!AB172,"")</f>
        <v/>
      </c>
      <c r="K88" s="146">
        <f>IF(分析!AC172&lt;&gt;"",分析!AC172,"")</f>
        <v/>
      </c>
      <c r="L88" s="146">
        <f>IF(分析!K172&lt;&gt;"",分析!K172,"")</f>
        <v/>
      </c>
      <c r="M88" s="141">
        <f>IF(分析!P172&lt;&gt;"",分析!P172,"")</f>
        <v/>
      </c>
      <c r="N88" s="599">
        <f>IF(分析!O172&lt;&gt;"",分析!O172,"")</f>
        <v/>
      </c>
      <c r="O88" s="148">
        <f>IF(分析!X172&lt;&gt;"",分析!X172,"")</f>
        <v/>
      </c>
      <c r="P88" s="600">
        <f>IF(分析!L172&lt;&gt;"",分析!L172,"")</f>
        <v/>
      </c>
      <c r="Q88" s="146">
        <f>IF(分析!S172&lt;&gt;"",分析!S172,"")</f>
        <v/>
      </c>
      <c r="R88" s="146">
        <f>IF(分析!R172&lt;&gt;"",分析!R172,"")</f>
        <v/>
      </c>
      <c r="S88" s="141">
        <f>IF(分析!AA172&lt;&gt;"",分析!AA172,"")</f>
        <v/>
      </c>
      <c r="T88" s="601">
        <f>IF(分析!Z172&lt;&gt;"",分析!Z172,"")</f>
        <v/>
      </c>
      <c r="U88" s="141">
        <f>IF(分析!V172&lt;&gt;"",分析!V172,"")</f>
        <v/>
      </c>
      <c r="V88" s="602">
        <f>IF(分析!W172&lt;&gt;"",分析!W172,"")</f>
        <v/>
      </c>
      <c r="W88" s="152">
        <f>IF(分析!AD172&lt;&gt;"",分析!AD172,"")</f>
        <v/>
      </c>
      <c r="X88" s="153">
        <f>IF(分析!AE172&lt;&gt;"",分析!AE172,"")</f>
        <v/>
      </c>
      <c r="Y88" s="154">
        <f>IF(分析!T172&lt;&gt;"",分析!T172,"")</f>
        <v/>
      </c>
      <c r="Z88" s="155">
        <f>IF(分析!Y172&lt;&gt;"",分析!Y172,"")</f>
        <v/>
      </c>
    </row>
    <row r="89" ht="21.95" customHeight="1" s="574">
      <c r="A89" s="156">
        <f>IF(分析!C123&lt;&gt;"",ROW()-2,"")</f>
        <v/>
      </c>
      <c r="B89" s="157">
        <f>IF(分析!C123&lt;&gt;"",HYPERLINK("https://kabutan.jp/stock/?code="&amp;分析!C123,"株探"),"")</f>
        <v/>
      </c>
      <c r="C89" s="603">
        <f>IF(分析!C123&lt;&gt;"",分析!C123,"")</f>
        <v/>
      </c>
      <c r="D89" s="159">
        <f>IF(分析!D123&lt;&gt;"",分析!D123,"")</f>
        <v/>
      </c>
      <c r="E89" s="160">
        <f>IF(分析!E123&lt;&gt;"",分析!E123,"")</f>
        <v/>
      </c>
      <c r="F89" s="161">
        <f>IF(分析!F123&lt;&gt;"",分析!F123,"")</f>
        <v/>
      </c>
      <c r="G89" s="161">
        <f>IF(分析!H123&lt;&gt;"",分析!H123,"")</f>
        <v/>
      </c>
      <c r="H89" s="161">
        <f>IF(分析!I123&lt;&gt;"",分析!I123,"")</f>
        <v/>
      </c>
      <c r="I89" s="161">
        <f>IF(分析!J123&lt;&gt;"",分析!J123,"")</f>
        <v/>
      </c>
      <c r="J89" s="161">
        <f>IF(分析!AB123&lt;&gt;"",分析!AB123,"")</f>
        <v/>
      </c>
      <c r="K89" s="161">
        <f>IF(分析!AC123&lt;&gt;"",分析!AC123,"")</f>
        <v/>
      </c>
      <c r="L89" s="161">
        <f>IF(分析!K123&lt;&gt;"",分析!K123,"")</f>
        <v/>
      </c>
      <c r="M89" s="156">
        <f>IF(分析!P123&lt;&gt;"",分析!P123,"")</f>
        <v/>
      </c>
      <c r="N89" s="604">
        <f>IF(分析!O123&lt;&gt;"",分析!O123,"")</f>
        <v/>
      </c>
      <c r="O89" s="163">
        <f>IF(分析!X123&lt;&gt;"",分析!X123,"")</f>
        <v/>
      </c>
      <c r="P89" s="605">
        <f>IF(分析!L123&lt;&gt;"",分析!L123,"")</f>
        <v/>
      </c>
      <c r="Q89" s="161">
        <f>IF(分析!S123&lt;&gt;"",分析!S123,"")</f>
        <v/>
      </c>
      <c r="R89" s="161">
        <f>IF(分析!R123&lt;&gt;"",分析!R123,"")</f>
        <v/>
      </c>
      <c r="S89" s="156">
        <f>IF(分析!AA123&lt;&gt;"",分析!AA123,"")</f>
        <v/>
      </c>
      <c r="T89" s="606">
        <f>IF(分析!Z123&lt;&gt;"",分析!Z123,"")</f>
        <v/>
      </c>
      <c r="U89" s="156">
        <f>IF(分析!V123&lt;&gt;"",分析!V123,"")</f>
        <v/>
      </c>
      <c r="V89" s="607">
        <f>IF(分析!W123&lt;&gt;"",分析!W123,"")</f>
        <v/>
      </c>
      <c r="W89" s="167">
        <f>IF(分析!AD123&lt;&gt;"",分析!AD123,"")</f>
        <v/>
      </c>
      <c r="X89" s="168">
        <f>IF(分析!AE123&lt;&gt;"",分析!AE123,"")</f>
        <v/>
      </c>
      <c r="Y89" s="169">
        <f>IF(分析!T123&lt;&gt;"",分析!T123,"")</f>
        <v/>
      </c>
      <c r="Z89" s="155">
        <f>IF(分析!Y123&lt;&gt;"",分析!Y123,"")</f>
        <v/>
      </c>
    </row>
    <row r="90" ht="21.95" customHeight="1" s="574">
      <c r="A90" s="156">
        <f>IF(分析!C21&lt;&gt;"",ROW()-2,"")</f>
        <v/>
      </c>
      <c r="B90" s="157">
        <f>IF(分析!C21&lt;&gt;"",HYPERLINK("https://kabutan.jp/stock/?code="&amp;分析!C21,"株探"),"")</f>
        <v/>
      </c>
      <c r="C90" s="603">
        <f>IF(分析!C21&lt;&gt;"",分析!C21,"")</f>
        <v/>
      </c>
      <c r="D90" s="159">
        <f>IF(分析!D21&lt;&gt;"",分析!D21,"")</f>
        <v/>
      </c>
      <c r="E90" s="160">
        <f>IF(分析!E21&lt;&gt;"",分析!E21,"")</f>
        <v/>
      </c>
      <c r="F90" s="161">
        <f>IF(分析!F21&lt;&gt;"",分析!F21,"")</f>
        <v/>
      </c>
      <c r="G90" s="161">
        <f>IF(分析!H21&lt;&gt;"",分析!H21,"")</f>
        <v/>
      </c>
      <c r="H90" s="161">
        <f>IF(分析!I21&lt;&gt;"",分析!I21,"")</f>
        <v/>
      </c>
      <c r="I90" s="161">
        <f>IF(分析!J21&lt;&gt;"",分析!J21,"")</f>
        <v/>
      </c>
      <c r="J90" s="161">
        <f>IF(分析!AB21&lt;&gt;"",分析!AB21,"")</f>
        <v/>
      </c>
      <c r="K90" s="161">
        <f>IF(分析!AC21&lt;&gt;"",分析!AC21,"")</f>
        <v/>
      </c>
      <c r="L90" s="161">
        <f>IF(分析!K21&lt;&gt;"",分析!K21,"")</f>
        <v/>
      </c>
      <c r="M90" s="156">
        <f>IF(分析!P21&lt;&gt;"",分析!P21,"")</f>
        <v/>
      </c>
      <c r="N90" s="604">
        <f>IF(分析!O21&lt;&gt;"",分析!O21,"")</f>
        <v/>
      </c>
      <c r="O90" s="163">
        <f>IF(分析!X21&lt;&gt;"",分析!X21,"")</f>
        <v/>
      </c>
      <c r="P90" s="605">
        <f>IF(分析!L21&lt;&gt;"",分析!L21,"")</f>
        <v/>
      </c>
      <c r="Q90" s="161">
        <f>IF(分析!S21&lt;&gt;"",分析!S21,"")</f>
        <v/>
      </c>
      <c r="R90" s="161">
        <f>IF(分析!R21&lt;&gt;"",分析!R21,"")</f>
        <v/>
      </c>
      <c r="S90" s="156">
        <f>IF(分析!AA21&lt;&gt;"",分析!AA21,"")</f>
        <v/>
      </c>
      <c r="T90" s="606">
        <f>IF(分析!Z21&lt;&gt;"",分析!Z21,"")</f>
        <v/>
      </c>
      <c r="U90" s="156">
        <f>IF(分析!V21&lt;&gt;"",分析!V21,"")</f>
        <v/>
      </c>
      <c r="V90" s="607">
        <f>IF(分析!W21&lt;&gt;"",分析!W21,"")</f>
        <v/>
      </c>
      <c r="W90" s="167">
        <f>IF(分析!AD21&lt;&gt;"",分析!AD21,"")</f>
        <v/>
      </c>
      <c r="X90" s="168">
        <f>IF(分析!AE21&lt;&gt;"",分析!AE21,"")</f>
        <v/>
      </c>
      <c r="Y90" s="169">
        <f>IF(分析!T21&lt;&gt;"",分析!T21,"")</f>
        <v/>
      </c>
      <c r="Z90" s="155">
        <f>IF(分析!Y21&lt;&gt;"",分析!Y21,"")</f>
        <v/>
      </c>
    </row>
    <row r="91" ht="21.95" customHeight="1" s="574">
      <c r="A91" s="156">
        <f>IF(分析!C177&lt;&gt;"",ROW()-2,"")</f>
        <v/>
      </c>
      <c r="B91" s="157">
        <f>IF(分析!C177&lt;&gt;"",HYPERLINK("https://kabutan.jp/stock/?code="&amp;分析!C177,"株探"),"")</f>
        <v/>
      </c>
      <c r="C91" s="603">
        <f>IF(分析!C177&lt;&gt;"",分析!C177,"")</f>
        <v/>
      </c>
      <c r="D91" s="159">
        <f>IF(分析!D177&lt;&gt;"",分析!D177,"")</f>
        <v/>
      </c>
      <c r="E91" s="160">
        <f>IF(分析!E177&lt;&gt;"",分析!E177,"")</f>
        <v/>
      </c>
      <c r="F91" s="161">
        <f>IF(分析!F177&lt;&gt;"",分析!F177,"")</f>
        <v/>
      </c>
      <c r="G91" s="161">
        <f>IF(分析!H177&lt;&gt;"",分析!H177,"")</f>
        <v/>
      </c>
      <c r="H91" s="161">
        <f>IF(分析!I177&lt;&gt;"",分析!I177,"")</f>
        <v/>
      </c>
      <c r="I91" s="161">
        <f>IF(分析!J177&lt;&gt;"",分析!J177,"")</f>
        <v/>
      </c>
      <c r="J91" s="161">
        <f>IF(分析!AB177&lt;&gt;"",分析!AB177,"")</f>
        <v/>
      </c>
      <c r="K91" s="161">
        <f>IF(分析!AC177&lt;&gt;"",分析!AC177,"")</f>
        <v/>
      </c>
      <c r="L91" s="161">
        <f>IF(分析!K177&lt;&gt;"",分析!K177,"")</f>
        <v/>
      </c>
      <c r="M91" s="156">
        <f>IF(分析!P177&lt;&gt;"",分析!P177,"")</f>
        <v/>
      </c>
      <c r="N91" s="604">
        <f>IF(分析!O177&lt;&gt;"",分析!O177,"")</f>
        <v/>
      </c>
      <c r="O91" s="163">
        <f>IF(分析!X177&lt;&gt;"",分析!X177,"")</f>
        <v/>
      </c>
      <c r="P91" s="605">
        <f>IF(分析!L177&lt;&gt;"",分析!L177,"")</f>
        <v/>
      </c>
      <c r="Q91" s="161">
        <f>IF(分析!S177&lt;&gt;"",分析!S177,"")</f>
        <v/>
      </c>
      <c r="R91" s="161">
        <f>IF(分析!R177&lt;&gt;"",分析!R177,"")</f>
        <v/>
      </c>
      <c r="S91" s="156">
        <f>IF(分析!AA177&lt;&gt;"",分析!AA177,"")</f>
        <v/>
      </c>
      <c r="T91" s="606">
        <f>IF(分析!Z177&lt;&gt;"",分析!Z177,"")</f>
        <v/>
      </c>
      <c r="U91" s="156">
        <f>IF(分析!V177&lt;&gt;"",分析!V177,"")</f>
        <v/>
      </c>
      <c r="V91" s="607">
        <f>IF(分析!W177&lt;&gt;"",分析!W177,"")</f>
        <v/>
      </c>
      <c r="W91" s="167">
        <f>IF(分析!AD177&lt;&gt;"",分析!AD177,"")</f>
        <v/>
      </c>
      <c r="X91" s="168">
        <f>IF(分析!AE177&lt;&gt;"",分析!AE177,"")</f>
        <v/>
      </c>
      <c r="Y91" s="169">
        <f>IF(分析!T177&lt;&gt;"",分析!T177,"")</f>
        <v/>
      </c>
      <c r="Z91" s="155">
        <f>IF(分析!Y177&lt;&gt;"",分析!Y177,"")</f>
        <v/>
      </c>
    </row>
    <row r="92" ht="21.95" customHeight="1" s="574">
      <c r="A92" s="141">
        <f>IF(分析!C140&lt;&gt;"",ROW()-2,"")</f>
        <v/>
      </c>
      <c r="B92" s="142">
        <f>IF(分析!C140&lt;&gt;"",HYPERLINK("https://kabutan.jp/stock/?code="&amp;分析!C140,"株探"),"")</f>
        <v/>
      </c>
      <c r="C92" s="598">
        <f>IF(分析!C140&lt;&gt;"",分析!C140,"")</f>
        <v/>
      </c>
      <c r="D92" s="144">
        <f>IF(分析!D140&lt;&gt;"",分析!D140,"")</f>
        <v/>
      </c>
      <c r="E92" s="145">
        <f>IF(分析!E140&lt;&gt;"",分析!E140,"")</f>
        <v/>
      </c>
      <c r="F92" s="146">
        <f>IF(分析!F140&lt;&gt;"",分析!F140,"")</f>
        <v/>
      </c>
      <c r="G92" s="146">
        <f>IF(分析!H140&lt;&gt;"",分析!H140,"")</f>
        <v/>
      </c>
      <c r="H92" s="146">
        <f>IF(分析!I140&lt;&gt;"",分析!I140,"")</f>
        <v/>
      </c>
      <c r="I92" s="146">
        <f>IF(分析!J140&lt;&gt;"",分析!J140,"")</f>
        <v/>
      </c>
      <c r="J92" s="146">
        <f>IF(分析!AB140&lt;&gt;"",分析!AB140,"")</f>
        <v/>
      </c>
      <c r="K92" s="146">
        <f>IF(分析!AC140&lt;&gt;"",分析!AC140,"")</f>
        <v/>
      </c>
      <c r="L92" s="146">
        <f>IF(分析!K140&lt;&gt;"",分析!K140,"")</f>
        <v/>
      </c>
      <c r="M92" s="141">
        <f>IF(分析!P140&lt;&gt;"",分析!P140,"")</f>
        <v/>
      </c>
      <c r="N92" s="599">
        <f>IF(分析!O140&lt;&gt;"",分析!O140,"")</f>
        <v/>
      </c>
      <c r="O92" s="148">
        <f>IF(分析!X140&lt;&gt;"",分析!X140,"")</f>
        <v/>
      </c>
      <c r="P92" s="600">
        <f>IF(分析!L140&lt;&gt;"",分析!L140,"")</f>
        <v/>
      </c>
      <c r="Q92" s="146">
        <f>IF(分析!S140&lt;&gt;"",分析!S140,"")</f>
        <v/>
      </c>
      <c r="R92" s="146">
        <f>IF(分析!R140&lt;&gt;"",分析!R140,"")</f>
        <v/>
      </c>
      <c r="S92" s="141">
        <f>IF(分析!AA140&lt;&gt;"",分析!AA140,"")</f>
        <v/>
      </c>
      <c r="T92" s="601">
        <f>IF(分析!Z140&lt;&gt;"",分析!Z140,"")</f>
        <v/>
      </c>
      <c r="U92" s="141">
        <f>IF(分析!V140&lt;&gt;"",分析!V140,"")</f>
        <v/>
      </c>
      <c r="V92" s="602">
        <f>IF(分析!W140&lt;&gt;"",分析!W140,"")</f>
        <v/>
      </c>
      <c r="W92" s="152">
        <f>IF(分析!AD140&lt;&gt;"",分析!AD140,"")</f>
        <v/>
      </c>
      <c r="X92" s="153">
        <f>IF(分析!AE140&lt;&gt;"",分析!AE140,"")</f>
        <v/>
      </c>
      <c r="Y92" s="154">
        <f>IF(分析!T140&lt;&gt;"",分析!T140,"")</f>
        <v/>
      </c>
      <c r="Z92" s="155">
        <f>IF(分析!Y140&lt;&gt;"",分析!Y140,"")</f>
        <v/>
      </c>
    </row>
    <row r="93" ht="21.95" customHeight="1" s="574">
      <c r="A93" s="156">
        <f>IF(分析!C141&lt;&gt;"",ROW()-2,"")</f>
        <v/>
      </c>
      <c r="B93" s="157">
        <f>IF(分析!C141&lt;&gt;"",HYPERLINK("https://kabutan.jp/stock/?code="&amp;分析!C141,"株探"),"")</f>
        <v/>
      </c>
      <c r="C93" s="603">
        <f>IF(分析!C141&lt;&gt;"",分析!C141,"")</f>
        <v/>
      </c>
      <c r="D93" s="159">
        <f>IF(分析!D141&lt;&gt;"",分析!D141,"")</f>
        <v/>
      </c>
      <c r="E93" s="160">
        <f>IF(分析!E141&lt;&gt;"",分析!E141,"")</f>
        <v/>
      </c>
      <c r="F93" s="161">
        <f>IF(分析!F141&lt;&gt;"",分析!F141,"")</f>
        <v/>
      </c>
      <c r="G93" s="161">
        <f>IF(分析!H141&lt;&gt;"",分析!H141,"")</f>
        <v/>
      </c>
      <c r="H93" s="161">
        <f>IF(分析!I141&lt;&gt;"",分析!I141,"")</f>
        <v/>
      </c>
      <c r="I93" s="161">
        <f>IF(分析!J141&lt;&gt;"",分析!J141,"")</f>
        <v/>
      </c>
      <c r="J93" s="161">
        <f>IF(分析!AB141&lt;&gt;"",分析!AB141,"")</f>
        <v/>
      </c>
      <c r="K93" s="161">
        <f>IF(分析!AC141&lt;&gt;"",分析!AC141,"")</f>
        <v/>
      </c>
      <c r="L93" s="161">
        <f>IF(分析!K141&lt;&gt;"",分析!K141,"")</f>
        <v/>
      </c>
      <c r="M93" s="156">
        <f>IF(分析!P141&lt;&gt;"",分析!P141,"")</f>
        <v/>
      </c>
      <c r="N93" s="604">
        <f>IF(分析!O141&lt;&gt;"",分析!O141,"")</f>
        <v/>
      </c>
      <c r="O93" s="163">
        <f>IF(分析!X141&lt;&gt;"",分析!X141,"")</f>
        <v/>
      </c>
      <c r="P93" s="605">
        <f>IF(分析!L141&lt;&gt;"",分析!L141,"")</f>
        <v/>
      </c>
      <c r="Q93" s="161">
        <f>IF(分析!S141&lt;&gt;"",分析!S141,"")</f>
        <v/>
      </c>
      <c r="R93" s="161">
        <f>IF(分析!R141&lt;&gt;"",分析!R141,"")</f>
        <v/>
      </c>
      <c r="S93" s="156">
        <f>IF(分析!AA141&lt;&gt;"",分析!AA141,"")</f>
        <v/>
      </c>
      <c r="T93" s="606">
        <f>IF(分析!Z141&lt;&gt;"",分析!Z141,"")</f>
        <v/>
      </c>
      <c r="U93" s="156">
        <f>IF(分析!V141&lt;&gt;"",分析!V141,"")</f>
        <v/>
      </c>
      <c r="V93" s="607">
        <f>IF(分析!W141&lt;&gt;"",分析!W141,"")</f>
        <v/>
      </c>
      <c r="W93" s="167">
        <f>IF(分析!AD141&lt;&gt;"",分析!AD141,"")</f>
        <v/>
      </c>
      <c r="X93" s="168">
        <f>IF(分析!AE141&lt;&gt;"",分析!AE141,"")</f>
        <v/>
      </c>
      <c r="Y93" s="169">
        <f>IF(分析!T141&lt;&gt;"",分析!T141,"")</f>
        <v/>
      </c>
      <c r="Z93" s="155">
        <f>IF(分析!Y141&lt;&gt;"",分析!Y141,"")</f>
        <v/>
      </c>
    </row>
    <row r="94" ht="21.95" customHeight="1" s="574">
      <c r="A94" s="156">
        <f>IF(分析!C7&lt;&gt;"",ROW()-2,"")</f>
        <v/>
      </c>
      <c r="B94" s="157">
        <f>IF(分析!C7&lt;&gt;"",HYPERLINK("https://kabutan.jp/stock/?code="&amp;分析!C7,"株探"),"")</f>
        <v/>
      </c>
      <c r="C94" s="603">
        <f>IF(分析!C7&lt;&gt;"",分析!C7,"")</f>
        <v/>
      </c>
      <c r="D94" s="159">
        <f>IF(分析!D7&lt;&gt;"",分析!D7,"")</f>
        <v/>
      </c>
      <c r="E94" s="160">
        <f>IF(分析!E7&lt;&gt;"",分析!E7,"")</f>
        <v/>
      </c>
      <c r="F94" s="161">
        <f>IF(分析!F7&lt;&gt;"",分析!F7,"")</f>
        <v/>
      </c>
      <c r="G94" s="161">
        <f>IF(分析!H7&lt;&gt;"",分析!H7,"")</f>
        <v/>
      </c>
      <c r="H94" s="161">
        <f>IF(分析!I7&lt;&gt;"",分析!I7,"")</f>
        <v/>
      </c>
      <c r="I94" s="161">
        <f>IF(分析!J7&lt;&gt;"",分析!J7,"")</f>
        <v/>
      </c>
      <c r="J94" s="161">
        <f>IF(分析!AB7&lt;&gt;"",分析!AB7,"")</f>
        <v/>
      </c>
      <c r="K94" s="161">
        <f>IF(分析!AC7&lt;&gt;"",分析!AC7,"")</f>
        <v/>
      </c>
      <c r="L94" s="161">
        <f>IF(分析!K7&lt;&gt;"",分析!K7,"")</f>
        <v/>
      </c>
      <c r="M94" s="156">
        <f>IF(分析!P7&lt;&gt;"",分析!P7,"")</f>
        <v/>
      </c>
      <c r="N94" s="604">
        <f>IF(分析!O7&lt;&gt;"",分析!O7,"")</f>
        <v/>
      </c>
      <c r="O94" s="163">
        <f>IF(分析!X7&lt;&gt;"",分析!X7,"")</f>
        <v/>
      </c>
      <c r="P94" s="605">
        <f>IF(分析!L7&lt;&gt;"",分析!L7,"")</f>
        <v/>
      </c>
      <c r="Q94" s="161">
        <f>IF(分析!S7&lt;&gt;"",分析!S7,"")</f>
        <v/>
      </c>
      <c r="R94" s="161">
        <f>IF(分析!R7&lt;&gt;"",分析!R7,"")</f>
        <v/>
      </c>
      <c r="S94" s="156">
        <f>IF(分析!AA7&lt;&gt;"",分析!AA7,"")</f>
        <v/>
      </c>
      <c r="T94" s="606">
        <f>IF(分析!Z7&lt;&gt;"",分析!Z7,"")</f>
        <v/>
      </c>
      <c r="U94" s="156">
        <f>IF(分析!V7&lt;&gt;"",分析!V7,"")</f>
        <v/>
      </c>
      <c r="V94" s="607">
        <f>IF(分析!W7&lt;&gt;"",分析!W7,"")</f>
        <v/>
      </c>
      <c r="W94" s="167">
        <f>IF(分析!AD7&lt;&gt;"",分析!AD7,"")</f>
        <v/>
      </c>
      <c r="X94" s="168">
        <f>IF(分析!AE7&lt;&gt;"",分析!AE7,"")</f>
        <v/>
      </c>
      <c r="Y94" s="169">
        <f>IF(分析!T7&lt;&gt;"",分析!T7,"")</f>
        <v/>
      </c>
      <c r="Z94" s="155">
        <f>IF(分析!Y7&lt;&gt;"",分析!Y7,"")</f>
        <v/>
      </c>
    </row>
    <row r="95" ht="21.95" customHeight="1" s="574">
      <c r="A95" s="156">
        <f>IF(分析!C165&lt;&gt;"",ROW()-2,"")</f>
        <v/>
      </c>
      <c r="B95" s="157">
        <f>IF(分析!C165&lt;&gt;"",HYPERLINK("https://kabutan.jp/stock/?code="&amp;分析!C165,"株探"),"")</f>
        <v/>
      </c>
      <c r="C95" s="603">
        <f>IF(分析!C165&lt;&gt;"",分析!C165,"")</f>
        <v/>
      </c>
      <c r="D95" s="159">
        <f>IF(分析!D165&lt;&gt;"",分析!D165,"")</f>
        <v/>
      </c>
      <c r="E95" s="160">
        <f>IF(分析!E165&lt;&gt;"",分析!E165,"")</f>
        <v/>
      </c>
      <c r="F95" s="161">
        <f>IF(分析!F165&lt;&gt;"",分析!F165,"")</f>
        <v/>
      </c>
      <c r="G95" s="161">
        <f>IF(分析!H165&lt;&gt;"",分析!H165,"")</f>
        <v/>
      </c>
      <c r="H95" s="161">
        <f>IF(分析!I165&lt;&gt;"",分析!I165,"")</f>
        <v/>
      </c>
      <c r="I95" s="161">
        <f>IF(分析!J165&lt;&gt;"",分析!J165,"")</f>
        <v/>
      </c>
      <c r="J95" s="161">
        <f>IF(分析!AB165&lt;&gt;"",分析!AB165,"")</f>
        <v/>
      </c>
      <c r="K95" s="161">
        <f>IF(分析!AC165&lt;&gt;"",分析!AC165,"")</f>
        <v/>
      </c>
      <c r="L95" s="161">
        <f>IF(分析!K165&lt;&gt;"",分析!K165,"")</f>
        <v/>
      </c>
      <c r="M95" s="156">
        <f>IF(分析!P165&lt;&gt;"",分析!P165,"")</f>
        <v/>
      </c>
      <c r="N95" s="604">
        <f>IF(分析!O165&lt;&gt;"",分析!O165,"")</f>
        <v/>
      </c>
      <c r="O95" s="163">
        <f>IF(分析!X165&lt;&gt;"",分析!X165,"")</f>
        <v/>
      </c>
      <c r="P95" s="605">
        <f>IF(分析!L165&lt;&gt;"",分析!L165,"")</f>
        <v/>
      </c>
      <c r="Q95" s="161">
        <f>IF(分析!S165&lt;&gt;"",分析!S165,"")</f>
        <v/>
      </c>
      <c r="R95" s="161">
        <f>IF(分析!R165&lt;&gt;"",分析!R165,"")</f>
        <v/>
      </c>
      <c r="S95" s="156">
        <f>IF(分析!AA165&lt;&gt;"",分析!AA165,"")</f>
        <v/>
      </c>
      <c r="T95" s="606">
        <f>IF(分析!Z165&lt;&gt;"",分析!Z165,"")</f>
        <v/>
      </c>
      <c r="U95" s="156">
        <f>IF(分析!V165&lt;&gt;"",分析!V165,"")</f>
        <v/>
      </c>
      <c r="V95" s="607">
        <f>IF(分析!W165&lt;&gt;"",分析!W165,"")</f>
        <v/>
      </c>
      <c r="W95" s="167">
        <f>IF(分析!AD165&lt;&gt;"",分析!AD165,"")</f>
        <v/>
      </c>
      <c r="X95" s="168">
        <f>IF(分析!AE165&lt;&gt;"",分析!AE165,"")</f>
        <v/>
      </c>
      <c r="Y95" s="169">
        <f>IF(分析!T165&lt;&gt;"",分析!T165,"")</f>
        <v/>
      </c>
      <c r="Z95" s="155">
        <f>IF(分析!Y165&lt;&gt;"",分析!Y165,"")</f>
        <v/>
      </c>
    </row>
    <row r="96" ht="21.95" customHeight="1" s="574">
      <c r="A96" s="156">
        <f>IF(分析!C87&lt;&gt;"",ROW()-2,"")</f>
        <v/>
      </c>
      <c r="B96" s="157">
        <f>IF(分析!C87&lt;&gt;"",HYPERLINK("https://kabutan.jp/stock/?code="&amp;分析!C87,"株探"),"")</f>
        <v/>
      </c>
      <c r="C96" s="603">
        <f>IF(分析!C87&lt;&gt;"",分析!C87,"")</f>
        <v/>
      </c>
      <c r="D96" s="159">
        <f>IF(分析!D87&lt;&gt;"",分析!D87,"")</f>
        <v/>
      </c>
      <c r="E96" s="160">
        <f>IF(分析!E87&lt;&gt;"",分析!E87,"")</f>
        <v/>
      </c>
      <c r="F96" s="161">
        <f>IF(分析!F87&lt;&gt;"",分析!F87,"")</f>
        <v/>
      </c>
      <c r="G96" s="161">
        <f>IF(分析!H87&lt;&gt;"",分析!H87,"")</f>
        <v/>
      </c>
      <c r="H96" s="161">
        <f>IF(分析!I87&lt;&gt;"",分析!I87,"")</f>
        <v/>
      </c>
      <c r="I96" s="161">
        <f>IF(分析!J87&lt;&gt;"",分析!J87,"")</f>
        <v/>
      </c>
      <c r="J96" s="161">
        <f>IF(分析!AB87&lt;&gt;"",分析!AB87,"")</f>
        <v/>
      </c>
      <c r="K96" s="161">
        <f>IF(分析!AC87&lt;&gt;"",分析!AC87,"")</f>
        <v/>
      </c>
      <c r="L96" s="161">
        <f>IF(分析!K87&lt;&gt;"",分析!K87,"")</f>
        <v/>
      </c>
      <c r="M96" s="156">
        <f>IF(分析!P87&lt;&gt;"",分析!P87,"")</f>
        <v/>
      </c>
      <c r="N96" s="604">
        <f>IF(分析!O87&lt;&gt;"",分析!O87,"")</f>
        <v/>
      </c>
      <c r="O96" s="163">
        <f>IF(分析!X87&lt;&gt;"",分析!X87,"")</f>
        <v/>
      </c>
      <c r="P96" s="605">
        <f>IF(分析!L87&lt;&gt;"",分析!L87,"")</f>
        <v/>
      </c>
      <c r="Q96" s="161">
        <f>IF(分析!S87&lt;&gt;"",分析!S87,"")</f>
        <v/>
      </c>
      <c r="R96" s="161">
        <f>IF(分析!R87&lt;&gt;"",分析!R87,"")</f>
        <v/>
      </c>
      <c r="S96" s="156">
        <f>IF(分析!AA87&lt;&gt;"",分析!AA87,"")</f>
        <v/>
      </c>
      <c r="T96" s="606">
        <f>IF(分析!Z87&lt;&gt;"",分析!Z87,"")</f>
        <v/>
      </c>
      <c r="U96" s="156">
        <f>IF(分析!V87&lt;&gt;"",分析!V87,"")</f>
        <v/>
      </c>
      <c r="V96" s="607">
        <f>IF(分析!W87&lt;&gt;"",分析!W87,"")</f>
        <v/>
      </c>
      <c r="W96" s="167">
        <f>IF(分析!AD87&lt;&gt;"",分析!AD87,"")</f>
        <v/>
      </c>
      <c r="X96" s="168">
        <f>IF(分析!AE87&lt;&gt;"",分析!AE87,"")</f>
        <v/>
      </c>
      <c r="Y96" s="169">
        <f>IF(分析!T87&lt;&gt;"",分析!T87,"")</f>
        <v/>
      </c>
      <c r="Z96" s="155">
        <f>IF(分析!Y87&lt;&gt;"",分析!Y87,"")</f>
        <v/>
      </c>
    </row>
    <row r="97" ht="21.95" customHeight="1" s="574">
      <c r="A97" s="141">
        <f>IF(分析!C46&lt;&gt;"",ROW()-2,"")</f>
        <v/>
      </c>
      <c r="B97" s="142">
        <f>IF(分析!C46&lt;&gt;"",HYPERLINK("https://kabutan.jp/stock/?code="&amp;分析!C46,"株探"),"")</f>
        <v/>
      </c>
      <c r="C97" s="598">
        <f>IF(分析!C46&lt;&gt;"",分析!C46,"")</f>
        <v/>
      </c>
      <c r="D97" s="144">
        <f>IF(分析!D46&lt;&gt;"",分析!D46,"")</f>
        <v/>
      </c>
      <c r="E97" s="145">
        <f>IF(分析!E46&lt;&gt;"",分析!E46,"")</f>
        <v/>
      </c>
      <c r="F97" s="146">
        <f>IF(分析!F46&lt;&gt;"",分析!F46,"")</f>
        <v/>
      </c>
      <c r="G97" s="146">
        <f>IF(分析!H46&lt;&gt;"",分析!H46,"")</f>
        <v/>
      </c>
      <c r="H97" s="146">
        <f>IF(分析!I46&lt;&gt;"",分析!I46,"")</f>
        <v/>
      </c>
      <c r="I97" s="146">
        <f>IF(分析!J46&lt;&gt;"",分析!J46,"")</f>
        <v/>
      </c>
      <c r="J97" s="146">
        <f>IF(分析!AB46&lt;&gt;"",分析!AB46,"")</f>
        <v/>
      </c>
      <c r="K97" s="146">
        <f>IF(分析!AC46&lt;&gt;"",分析!AC46,"")</f>
        <v/>
      </c>
      <c r="L97" s="146">
        <f>IF(分析!K46&lt;&gt;"",分析!K46,"")</f>
        <v/>
      </c>
      <c r="M97" s="141">
        <f>IF(分析!P46&lt;&gt;"",分析!P46,"")</f>
        <v/>
      </c>
      <c r="N97" s="599">
        <f>IF(分析!O46&lt;&gt;"",分析!O46,"")</f>
        <v/>
      </c>
      <c r="O97" s="148">
        <f>IF(分析!X46&lt;&gt;"",分析!X46,"")</f>
        <v/>
      </c>
      <c r="P97" s="600">
        <f>IF(分析!L46&lt;&gt;"",分析!L46,"")</f>
        <v/>
      </c>
      <c r="Q97" s="146">
        <f>IF(分析!S46&lt;&gt;"",分析!S46,"")</f>
        <v/>
      </c>
      <c r="R97" s="146">
        <f>IF(分析!R46&lt;&gt;"",分析!R46,"")</f>
        <v/>
      </c>
      <c r="S97" s="141">
        <f>IF(分析!AA46&lt;&gt;"",分析!AA46,"")</f>
        <v/>
      </c>
      <c r="T97" s="601">
        <f>IF(分析!Z46&lt;&gt;"",分析!Z46,"")</f>
        <v/>
      </c>
      <c r="U97" s="141">
        <f>IF(分析!V46&lt;&gt;"",分析!V46,"")</f>
        <v/>
      </c>
      <c r="V97" s="602">
        <f>IF(分析!W46&lt;&gt;"",分析!W46,"")</f>
        <v/>
      </c>
      <c r="W97" s="152">
        <f>IF(分析!AD46&lt;&gt;"",分析!AD46,"")</f>
        <v/>
      </c>
      <c r="X97" s="153">
        <f>IF(分析!AE46&lt;&gt;"",分析!AE46,"")</f>
        <v/>
      </c>
      <c r="Y97" s="154">
        <f>IF(分析!T46&lt;&gt;"",分析!T46,"")</f>
        <v/>
      </c>
      <c r="Z97" s="155">
        <f>IF(分析!Y46&lt;&gt;"",分析!Y46,"")</f>
        <v/>
      </c>
    </row>
    <row r="98" ht="21.95" customHeight="1" s="574">
      <c r="A98" s="156">
        <f>IF(分析!C69&lt;&gt;"",ROW()-2,"")</f>
        <v/>
      </c>
      <c r="B98" s="157">
        <f>IF(分析!C69&lt;&gt;"",HYPERLINK("https://kabutan.jp/stock/?code="&amp;分析!C69,"株探"),"")</f>
        <v/>
      </c>
      <c r="C98" s="603">
        <f>IF(分析!C69&lt;&gt;"",分析!C69,"")</f>
        <v/>
      </c>
      <c r="D98" s="159">
        <f>IF(分析!D69&lt;&gt;"",分析!D69,"")</f>
        <v/>
      </c>
      <c r="E98" s="160">
        <f>IF(分析!E69&lt;&gt;"",分析!E69,"")</f>
        <v/>
      </c>
      <c r="F98" s="161">
        <f>IF(分析!F69&lt;&gt;"",分析!F69,"")</f>
        <v/>
      </c>
      <c r="G98" s="161">
        <f>IF(分析!H69&lt;&gt;"",分析!H69,"")</f>
        <v/>
      </c>
      <c r="H98" s="161">
        <f>IF(分析!I69&lt;&gt;"",分析!I69,"")</f>
        <v/>
      </c>
      <c r="I98" s="161">
        <f>IF(分析!J69&lt;&gt;"",分析!J69,"")</f>
        <v/>
      </c>
      <c r="J98" s="161">
        <f>IF(分析!AB69&lt;&gt;"",分析!AB69,"")</f>
        <v/>
      </c>
      <c r="K98" s="161">
        <f>IF(分析!AC69&lt;&gt;"",分析!AC69,"")</f>
        <v/>
      </c>
      <c r="L98" s="161">
        <f>IF(分析!K69&lt;&gt;"",分析!K69,"")</f>
        <v/>
      </c>
      <c r="M98" s="156">
        <f>IF(分析!P69&lt;&gt;"",分析!P69,"")</f>
        <v/>
      </c>
      <c r="N98" s="604">
        <f>IF(分析!O69&lt;&gt;"",分析!O69,"")</f>
        <v/>
      </c>
      <c r="O98" s="163">
        <f>IF(分析!X69&lt;&gt;"",分析!X69,"")</f>
        <v/>
      </c>
      <c r="P98" s="605">
        <f>IF(分析!L69&lt;&gt;"",分析!L69,"")</f>
        <v/>
      </c>
      <c r="Q98" s="161">
        <f>IF(分析!S69&lt;&gt;"",分析!S69,"")</f>
        <v/>
      </c>
      <c r="R98" s="161">
        <f>IF(分析!R69&lt;&gt;"",分析!R69,"")</f>
        <v/>
      </c>
      <c r="S98" s="156">
        <f>IF(分析!AA69&lt;&gt;"",分析!AA69,"")</f>
        <v/>
      </c>
      <c r="T98" s="606">
        <f>IF(分析!Z69&lt;&gt;"",分析!Z69,"")</f>
        <v/>
      </c>
      <c r="U98" s="156">
        <f>IF(分析!V69&lt;&gt;"",分析!V69,"")</f>
        <v/>
      </c>
      <c r="V98" s="607">
        <f>IF(分析!W69&lt;&gt;"",分析!W69,"")</f>
        <v/>
      </c>
      <c r="W98" s="167">
        <f>IF(分析!AD69&lt;&gt;"",分析!AD69,"")</f>
        <v/>
      </c>
      <c r="X98" s="168">
        <f>IF(分析!AE69&lt;&gt;"",分析!AE69,"")</f>
        <v/>
      </c>
      <c r="Y98" s="169">
        <f>IF(分析!T69&lt;&gt;"",分析!T69,"")</f>
        <v/>
      </c>
      <c r="Z98" s="155">
        <f>IF(分析!Y69&lt;&gt;"",分析!Y69,"")</f>
        <v/>
      </c>
    </row>
    <row r="99" ht="21.95" customHeight="1" s="574">
      <c r="A99" s="141">
        <f>IF(分析!C96&lt;&gt;"",ROW()-2,"")</f>
        <v/>
      </c>
      <c r="B99" s="142">
        <f>IF(分析!C96&lt;&gt;"",HYPERLINK("https://kabutan.jp/stock/?code="&amp;分析!C96,"株探"),"")</f>
        <v/>
      </c>
      <c r="C99" s="598">
        <f>IF(分析!C96&lt;&gt;"",分析!C96,"")</f>
        <v/>
      </c>
      <c r="D99" s="144">
        <f>IF(分析!D96&lt;&gt;"",分析!D96,"")</f>
        <v/>
      </c>
      <c r="E99" s="145">
        <f>IF(分析!E96&lt;&gt;"",分析!E96,"")</f>
        <v/>
      </c>
      <c r="F99" s="146">
        <f>IF(分析!F96&lt;&gt;"",分析!F96,"")</f>
        <v/>
      </c>
      <c r="G99" s="146">
        <f>IF(分析!H96&lt;&gt;"",分析!H96,"")</f>
        <v/>
      </c>
      <c r="H99" s="146">
        <f>IF(分析!I96&lt;&gt;"",分析!I96,"")</f>
        <v/>
      </c>
      <c r="I99" s="146">
        <f>IF(分析!J96&lt;&gt;"",分析!J96,"")</f>
        <v/>
      </c>
      <c r="J99" s="146">
        <f>IF(分析!AB96&lt;&gt;"",分析!AB96,"")</f>
        <v/>
      </c>
      <c r="K99" s="146">
        <f>IF(分析!AC96&lt;&gt;"",分析!AC96,"")</f>
        <v/>
      </c>
      <c r="L99" s="146">
        <f>IF(分析!K96&lt;&gt;"",分析!K96,"")</f>
        <v/>
      </c>
      <c r="M99" s="141">
        <f>IF(分析!P96&lt;&gt;"",分析!P96,"")</f>
        <v/>
      </c>
      <c r="N99" s="599">
        <f>IF(分析!O96&lt;&gt;"",分析!O96,"")</f>
        <v/>
      </c>
      <c r="O99" s="148">
        <f>IF(分析!X96&lt;&gt;"",分析!X96,"")</f>
        <v/>
      </c>
      <c r="P99" s="600">
        <f>IF(分析!L96&lt;&gt;"",分析!L96,"")</f>
        <v/>
      </c>
      <c r="Q99" s="146">
        <f>IF(分析!S96&lt;&gt;"",分析!S96,"")</f>
        <v/>
      </c>
      <c r="R99" s="146">
        <f>IF(分析!R96&lt;&gt;"",分析!R96,"")</f>
        <v/>
      </c>
      <c r="S99" s="141">
        <f>IF(分析!AA96&lt;&gt;"",分析!AA96,"")</f>
        <v/>
      </c>
      <c r="T99" s="601">
        <f>IF(分析!Z96&lt;&gt;"",分析!Z96,"")</f>
        <v/>
      </c>
      <c r="U99" s="141">
        <f>IF(分析!V96&lt;&gt;"",分析!V96,"")</f>
        <v/>
      </c>
      <c r="V99" s="602">
        <f>IF(分析!W96&lt;&gt;"",分析!W96,"")</f>
        <v/>
      </c>
      <c r="W99" s="152">
        <f>IF(分析!AD96&lt;&gt;"",分析!AD96,"")</f>
        <v/>
      </c>
      <c r="X99" s="153">
        <f>IF(分析!AE96&lt;&gt;"",分析!AE96,"")</f>
        <v/>
      </c>
      <c r="Y99" s="154">
        <f>IF(分析!T96&lt;&gt;"",分析!T96,"")</f>
        <v/>
      </c>
      <c r="Z99" s="155">
        <f>IF(分析!Y96&lt;&gt;"",分析!Y96,"")</f>
        <v/>
      </c>
    </row>
    <row r="100" ht="21.95" customHeight="1" s="574">
      <c r="A100" s="141">
        <f>IF(分析!C98&lt;&gt;"",ROW()-2,"")</f>
        <v/>
      </c>
      <c r="B100" s="142">
        <f>IF(分析!C98&lt;&gt;"",HYPERLINK("https://kabutan.jp/stock/?code="&amp;分析!C98,"株探"),"")</f>
        <v/>
      </c>
      <c r="C100" s="598">
        <f>IF(分析!C98&lt;&gt;"",分析!C98,"")</f>
        <v/>
      </c>
      <c r="D100" s="144">
        <f>IF(分析!D98&lt;&gt;"",分析!D98,"")</f>
        <v/>
      </c>
      <c r="E100" s="145">
        <f>IF(分析!E98&lt;&gt;"",分析!E98,"")</f>
        <v/>
      </c>
      <c r="F100" s="146">
        <f>IF(分析!F98&lt;&gt;"",分析!F98,"")</f>
        <v/>
      </c>
      <c r="G100" s="146">
        <f>IF(分析!H98&lt;&gt;"",分析!H98,"")</f>
        <v/>
      </c>
      <c r="H100" s="146">
        <f>IF(分析!I98&lt;&gt;"",分析!I98,"")</f>
        <v/>
      </c>
      <c r="I100" s="146">
        <f>IF(分析!J98&lt;&gt;"",分析!J98,"")</f>
        <v/>
      </c>
      <c r="J100" s="146">
        <f>IF(分析!AB98&lt;&gt;"",分析!AB98,"")</f>
        <v/>
      </c>
      <c r="K100" s="146">
        <f>IF(分析!AC98&lt;&gt;"",分析!AC98,"")</f>
        <v/>
      </c>
      <c r="L100" s="146">
        <f>IF(分析!K98&lt;&gt;"",分析!K98,"")</f>
        <v/>
      </c>
      <c r="M100" s="141">
        <f>IF(分析!P98&lt;&gt;"",分析!P98,"")</f>
        <v/>
      </c>
      <c r="N100" s="599">
        <f>IF(分析!O98&lt;&gt;"",分析!O98,"")</f>
        <v/>
      </c>
      <c r="O100" s="148">
        <f>IF(分析!X98&lt;&gt;"",分析!X98,"")</f>
        <v/>
      </c>
      <c r="P100" s="600">
        <f>IF(分析!L98&lt;&gt;"",分析!L98,"")</f>
        <v/>
      </c>
      <c r="Q100" s="146">
        <f>IF(分析!S98&lt;&gt;"",分析!S98,"")</f>
        <v/>
      </c>
      <c r="R100" s="146">
        <f>IF(分析!R98&lt;&gt;"",分析!R98,"")</f>
        <v/>
      </c>
      <c r="S100" s="141">
        <f>IF(分析!AA98&lt;&gt;"",分析!AA98,"")</f>
        <v/>
      </c>
      <c r="T100" s="601">
        <f>IF(分析!Z98&lt;&gt;"",分析!Z98,"")</f>
        <v/>
      </c>
      <c r="U100" s="141">
        <f>IF(分析!V98&lt;&gt;"",分析!V98,"")</f>
        <v/>
      </c>
      <c r="V100" s="602">
        <f>IF(分析!W98&lt;&gt;"",分析!W98,"")</f>
        <v/>
      </c>
      <c r="W100" s="152">
        <f>IF(分析!AD98&lt;&gt;"",分析!AD98,"")</f>
        <v/>
      </c>
      <c r="X100" s="153">
        <f>IF(分析!AE98&lt;&gt;"",分析!AE98,"")</f>
        <v/>
      </c>
      <c r="Y100" s="154">
        <f>IF(分析!T98&lt;&gt;"",分析!T98,"")</f>
        <v/>
      </c>
      <c r="Z100" s="155">
        <f>IF(分析!Y98&lt;&gt;"",分析!Y98,"")</f>
        <v/>
      </c>
    </row>
    <row r="101" ht="21.95" customHeight="1" s="574">
      <c r="A101" s="141">
        <f>IF(分析!C108&lt;&gt;"",ROW()-2,"")</f>
        <v/>
      </c>
      <c r="B101" s="142">
        <f>IF(分析!C108&lt;&gt;"",HYPERLINK("https://kabutan.jp/stock/?code="&amp;分析!C108,"株探"),"")</f>
        <v/>
      </c>
      <c r="C101" s="598">
        <f>IF(分析!C108&lt;&gt;"",分析!C108,"")</f>
        <v/>
      </c>
      <c r="D101" s="144">
        <f>IF(分析!D108&lt;&gt;"",分析!D108,"")</f>
        <v/>
      </c>
      <c r="E101" s="145">
        <f>IF(分析!E108&lt;&gt;"",分析!E108,"")</f>
        <v/>
      </c>
      <c r="F101" s="146">
        <f>IF(分析!F108&lt;&gt;"",分析!F108,"")</f>
        <v/>
      </c>
      <c r="G101" s="146">
        <f>IF(分析!H108&lt;&gt;"",分析!H108,"")</f>
        <v/>
      </c>
      <c r="H101" s="146">
        <f>IF(分析!I108&lt;&gt;"",分析!I108,"")</f>
        <v/>
      </c>
      <c r="I101" s="146">
        <f>IF(分析!J108&lt;&gt;"",分析!J108,"")</f>
        <v/>
      </c>
      <c r="J101" s="146">
        <f>IF(分析!AB108&lt;&gt;"",分析!AB108,"")</f>
        <v/>
      </c>
      <c r="K101" s="146">
        <f>IF(分析!AC108&lt;&gt;"",分析!AC108,"")</f>
        <v/>
      </c>
      <c r="L101" s="146">
        <f>IF(分析!K108&lt;&gt;"",分析!K108,"")</f>
        <v/>
      </c>
      <c r="M101" s="141">
        <f>IF(分析!P108&lt;&gt;"",分析!P108,"")</f>
        <v/>
      </c>
      <c r="N101" s="599">
        <f>IF(分析!O108&lt;&gt;"",分析!O108,"")</f>
        <v/>
      </c>
      <c r="O101" s="148">
        <f>IF(分析!X108&lt;&gt;"",分析!X108,"")</f>
        <v/>
      </c>
      <c r="P101" s="600">
        <f>IF(分析!L108&lt;&gt;"",分析!L108,"")</f>
        <v/>
      </c>
      <c r="Q101" s="146">
        <f>IF(分析!S108&lt;&gt;"",分析!S108,"")</f>
        <v/>
      </c>
      <c r="R101" s="146">
        <f>IF(分析!R108&lt;&gt;"",分析!R108,"")</f>
        <v/>
      </c>
      <c r="S101" s="141">
        <f>IF(分析!AA108&lt;&gt;"",分析!AA108,"")</f>
        <v/>
      </c>
      <c r="T101" s="601">
        <f>IF(分析!Z108&lt;&gt;"",分析!Z108,"")</f>
        <v/>
      </c>
      <c r="U101" s="141">
        <f>IF(分析!V108&lt;&gt;"",分析!V108,"")</f>
        <v/>
      </c>
      <c r="V101" s="602">
        <f>IF(分析!W108&lt;&gt;"",分析!W108,"")</f>
        <v/>
      </c>
      <c r="W101" s="152">
        <f>IF(分析!AD108&lt;&gt;"",分析!AD108,"")</f>
        <v/>
      </c>
      <c r="X101" s="153">
        <f>IF(分析!AE108&lt;&gt;"",分析!AE108,"")</f>
        <v/>
      </c>
      <c r="Y101" s="154">
        <f>IF(分析!T108&lt;&gt;"",分析!T108,"")</f>
        <v/>
      </c>
      <c r="Z101" s="155">
        <f>IF(分析!Y108&lt;&gt;"",分析!Y108,"")</f>
        <v/>
      </c>
    </row>
    <row r="102" ht="21.95" customHeight="1" s="574">
      <c r="A102" s="156">
        <f>IF(分析!C155&lt;&gt;"",ROW()-2,"")</f>
        <v/>
      </c>
      <c r="B102" s="157">
        <f>IF(分析!C155&lt;&gt;"",HYPERLINK("https://kabutan.jp/stock/?code="&amp;分析!C155,"株探"),"")</f>
        <v/>
      </c>
      <c r="C102" s="603">
        <f>IF(分析!C155&lt;&gt;"",分析!C155,"")</f>
        <v/>
      </c>
      <c r="D102" s="159">
        <f>IF(分析!D155&lt;&gt;"",分析!D155,"")</f>
        <v/>
      </c>
      <c r="E102" s="160">
        <f>IF(分析!E155&lt;&gt;"",分析!E155,"")</f>
        <v/>
      </c>
      <c r="F102" s="161">
        <f>IF(分析!F155&lt;&gt;"",分析!F155,"")</f>
        <v/>
      </c>
      <c r="G102" s="161">
        <f>IF(分析!H155&lt;&gt;"",分析!H155,"")</f>
        <v/>
      </c>
      <c r="H102" s="161">
        <f>IF(分析!I155&lt;&gt;"",分析!I155,"")</f>
        <v/>
      </c>
      <c r="I102" s="161">
        <f>IF(分析!J155&lt;&gt;"",分析!J155,"")</f>
        <v/>
      </c>
      <c r="J102" s="161">
        <f>IF(分析!AB155&lt;&gt;"",分析!AB155,"")</f>
        <v/>
      </c>
      <c r="K102" s="161">
        <f>IF(分析!AC155&lt;&gt;"",分析!AC155,"")</f>
        <v/>
      </c>
      <c r="L102" s="161">
        <f>IF(分析!K155&lt;&gt;"",分析!K155,"")</f>
        <v/>
      </c>
      <c r="M102" s="156">
        <f>IF(分析!P155&lt;&gt;"",分析!P155,"")</f>
        <v/>
      </c>
      <c r="N102" s="604">
        <f>IF(分析!O155&lt;&gt;"",分析!O155,"")</f>
        <v/>
      </c>
      <c r="O102" s="163">
        <f>IF(分析!X155&lt;&gt;"",分析!X155,"")</f>
        <v/>
      </c>
      <c r="P102" s="605">
        <f>IF(分析!L155&lt;&gt;"",分析!L155,"")</f>
        <v/>
      </c>
      <c r="Q102" s="161">
        <f>IF(分析!S155&lt;&gt;"",分析!S155,"")</f>
        <v/>
      </c>
      <c r="R102" s="161">
        <f>IF(分析!R155&lt;&gt;"",分析!R155,"")</f>
        <v/>
      </c>
      <c r="S102" s="156">
        <f>IF(分析!AA155&lt;&gt;"",分析!AA155,"")</f>
        <v/>
      </c>
      <c r="T102" s="606">
        <f>IF(分析!Z155&lt;&gt;"",分析!Z155,"")</f>
        <v/>
      </c>
      <c r="U102" s="156">
        <f>IF(分析!V155&lt;&gt;"",分析!V155,"")</f>
        <v/>
      </c>
      <c r="V102" s="607">
        <f>IF(分析!W155&lt;&gt;"",分析!W155,"")</f>
        <v/>
      </c>
      <c r="W102" s="167">
        <f>IF(分析!AD155&lt;&gt;"",分析!AD155,"")</f>
        <v/>
      </c>
      <c r="X102" s="168">
        <f>IF(分析!AE155&lt;&gt;"",分析!AE155,"")</f>
        <v/>
      </c>
      <c r="Y102" s="169">
        <f>IF(分析!T155&lt;&gt;"",分析!T155,"")</f>
        <v/>
      </c>
      <c r="Z102" s="155">
        <f>IF(分析!Y155&lt;&gt;"",分析!Y155,"")</f>
        <v/>
      </c>
    </row>
    <row r="103" ht="21.95" customHeight="1" s="574">
      <c r="A103" s="156">
        <f>IF(分析!C139&lt;&gt;"",ROW()-2,"")</f>
        <v/>
      </c>
      <c r="B103" s="157">
        <f>IF(分析!C139&lt;&gt;"",HYPERLINK("https://kabutan.jp/stock/?code="&amp;分析!C139,"株探"),"")</f>
        <v/>
      </c>
      <c r="C103" s="603">
        <f>IF(分析!C139&lt;&gt;"",分析!C139,"")</f>
        <v/>
      </c>
      <c r="D103" s="159">
        <f>IF(分析!D139&lt;&gt;"",分析!D139,"")</f>
        <v/>
      </c>
      <c r="E103" s="160">
        <f>IF(分析!E139&lt;&gt;"",分析!E139,"")</f>
        <v/>
      </c>
      <c r="F103" s="161">
        <f>IF(分析!F139&lt;&gt;"",分析!F139,"")</f>
        <v/>
      </c>
      <c r="G103" s="161">
        <f>IF(分析!H139&lt;&gt;"",分析!H139,"")</f>
        <v/>
      </c>
      <c r="H103" s="161">
        <f>IF(分析!I139&lt;&gt;"",分析!I139,"")</f>
        <v/>
      </c>
      <c r="I103" s="161">
        <f>IF(分析!J139&lt;&gt;"",分析!J139,"")</f>
        <v/>
      </c>
      <c r="J103" s="161">
        <f>IF(分析!AB139&lt;&gt;"",分析!AB139,"")</f>
        <v/>
      </c>
      <c r="K103" s="161">
        <f>IF(分析!AC139&lt;&gt;"",分析!AC139,"")</f>
        <v/>
      </c>
      <c r="L103" s="161">
        <f>IF(分析!K139&lt;&gt;"",分析!K139,"")</f>
        <v/>
      </c>
      <c r="M103" s="156">
        <f>IF(分析!P139&lt;&gt;"",分析!P139,"")</f>
        <v/>
      </c>
      <c r="N103" s="604">
        <f>IF(分析!O139&lt;&gt;"",分析!O139,"")</f>
        <v/>
      </c>
      <c r="O103" s="163">
        <f>IF(分析!X139&lt;&gt;"",分析!X139,"")</f>
        <v/>
      </c>
      <c r="P103" s="605">
        <f>IF(分析!L139&lt;&gt;"",分析!L139,"")</f>
        <v/>
      </c>
      <c r="Q103" s="161">
        <f>IF(分析!S139&lt;&gt;"",分析!S139,"")</f>
        <v/>
      </c>
      <c r="R103" s="161">
        <f>IF(分析!R139&lt;&gt;"",分析!R139,"")</f>
        <v/>
      </c>
      <c r="S103" s="156">
        <f>IF(分析!AA139&lt;&gt;"",分析!AA139,"")</f>
        <v/>
      </c>
      <c r="T103" s="606">
        <f>IF(分析!Z139&lt;&gt;"",分析!Z139,"")</f>
        <v/>
      </c>
      <c r="U103" s="156">
        <f>IF(分析!V139&lt;&gt;"",分析!V139,"")</f>
        <v/>
      </c>
      <c r="V103" s="607">
        <f>IF(分析!W139&lt;&gt;"",分析!W139,"")</f>
        <v/>
      </c>
      <c r="W103" s="167">
        <f>IF(分析!AD139&lt;&gt;"",分析!AD139,"")</f>
        <v/>
      </c>
      <c r="X103" s="168">
        <f>IF(分析!AE139&lt;&gt;"",分析!AE139,"")</f>
        <v/>
      </c>
      <c r="Y103" s="169">
        <f>IF(分析!T139&lt;&gt;"",分析!T139,"")</f>
        <v/>
      </c>
      <c r="Z103" s="155">
        <f>IF(分析!Y139&lt;&gt;"",分析!Y139,"")</f>
        <v/>
      </c>
    </row>
    <row r="104" ht="21.95" customHeight="1" s="574">
      <c r="A104" s="141">
        <f>IF(分析!C18&lt;&gt;"",ROW()-2,"")</f>
        <v/>
      </c>
      <c r="B104" s="142">
        <f>IF(分析!C18&lt;&gt;"",HYPERLINK("https://kabutan.jp/stock/?code="&amp;分析!C18,"株探"),"")</f>
        <v/>
      </c>
      <c r="C104" s="598">
        <f>IF(分析!C18&lt;&gt;"",分析!C18,"")</f>
        <v/>
      </c>
      <c r="D104" s="144">
        <f>IF(分析!D18&lt;&gt;"",分析!D18,"")</f>
        <v/>
      </c>
      <c r="E104" s="145">
        <f>IF(分析!E18&lt;&gt;"",分析!E18,"")</f>
        <v/>
      </c>
      <c r="F104" s="146">
        <f>IF(分析!F18&lt;&gt;"",分析!F18,"")</f>
        <v/>
      </c>
      <c r="G104" s="146">
        <f>IF(分析!H18&lt;&gt;"",分析!H18,"")</f>
        <v/>
      </c>
      <c r="H104" s="146">
        <f>IF(分析!I18&lt;&gt;"",分析!I18,"")</f>
        <v/>
      </c>
      <c r="I104" s="146">
        <f>IF(分析!J18&lt;&gt;"",分析!J18,"")</f>
        <v/>
      </c>
      <c r="J104" s="146">
        <f>IF(分析!AB18&lt;&gt;"",分析!AB18,"")</f>
        <v/>
      </c>
      <c r="K104" s="146">
        <f>IF(分析!AC18&lt;&gt;"",分析!AC18,"")</f>
        <v/>
      </c>
      <c r="L104" s="146">
        <f>IF(分析!K18&lt;&gt;"",分析!K18,"")</f>
        <v/>
      </c>
      <c r="M104" s="141">
        <f>IF(分析!P18&lt;&gt;"",分析!P18,"")</f>
        <v/>
      </c>
      <c r="N104" s="599">
        <f>IF(分析!O18&lt;&gt;"",分析!O18,"")</f>
        <v/>
      </c>
      <c r="O104" s="148">
        <f>IF(分析!X18&lt;&gt;"",分析!X18,"")</f>
        <v/>
      </c>
      <c r="P104" s="600">
        <f>IF(分析!L18&lt;&gt;"",分析!L18,"")</f>
        <v/>
      </c>
      <c r="Q104" s="146">
        <f>IF(分析!S18&lt;&gt;"",分析!S18,"")</f>
        <v/>
      </c>
      <c r="R104" s="146">
        <f>IF(分析!R18&lt;&gt;"",分析!R18,"")</f>
        <v/>
      </c>
      <c r="S104" s="141">
        <f>IF(分析!AA18&lt;&gt;"",分析!AA18,"")</f>
        <v/>
      </c>
      <c r="T104" s="601">
        <f>IF(分析!Z18&lt;&gt;"",分析!Z18,"")</f>
        <v/>
      </c>
      <c r="U104" s="141">
        <f>IF(分析!V18&lt;&gt;"",分析!V18,"")</f>
        <v/>
      </c>
      <c r="V104" s="602">
        <f>IF(分析!W18&lt;&gt;"",分析!W18,"")</f>
        <v/>
      </c>
      <c r="W104" s="152">
        <f>IF(分析!AD18&lt;&gt;"",分析!AD18,"")</f>
        <v/>
      </c>
      <c r="X104" s="153">
        <f>IF(分析!AE18&lt;&gt;"",分析!AE18,"")</f>
        <v/>
      </c>
      <c r="Y104" s="154">
        <f>IF(分析!T18&lt;&gt;"",分析!T18,"")</f>
        <v/>
      </c>
      <c r="Z104" s="155">
        <f>IF(分析!Y18&lt;&gt;"",分析!Y18,"")</f>
        <v/>
      </c>
    </row>
    <row r="105" ht="21.95" customHeight="1" s="574">
      <c r="A105" s="156">
        <f>IF(分析!C55&lt;&gt;"",ROW()-2,"")</f>
        <v/>
      </c>
      <c r="B105" s="157">
        <f>IF(分析!C55&lt;&gt;"",HYPERLINK("https://kabutan.jp/stock/?code="&amp;分析!C55,"株探"),"")</f>
        <v/>
      </c>
      <c r="C105" s="603">
        <f>IF(分析!C55&lt;&gt;"",分析!C55,"")</f>
        <v/>
      </c>
      <c r="D105" s="159">
        <f>IF(分析!D55&lt;&gt;"",分析!D55,"")</f>
        <v/>
      </c>
      <c r="E105" s="160">
        <f>IF(分析!E55&lt;&gt;"",分析!E55,"")</f>
        <v/>
      </c>
      <c r="F105" s="161">
        <f>IF(分析!F55&lt;&gt;"",分析!F55,"")</f>
        <v/>
      </c>
      <c r="G105" s="161">
        <f>IF(分析!H55&lt;&gt;"",分析!H55,"")</f>
        <v/>
      </c>
      <c r="H105" s="161">
        <f>IF(分析!I55&lt;&gt;"",分析!I55,"")</f>
        <v/>
      </c>
      <c r="I105" s="161">
        <f>IF(分析!J55&lt;&gt;"",分析!J55,"")</f>
        <v/>
      </c>
      <c r="J105" s="161">
        <f>IF(分析!AB55&lt;&gt;"",分析!AB55,"")</f>
        <v/>
      </c>
      <c r="K105" s="161">
        <f>IF(分析!AC55&lt;&gt;"",分析!AC55,"")</f>
        <v/>
      </c>
      <c r="L105" s="161">
        <f>IF(分析!K55&lt;&gt;"",分析!K55,"")</f>
        <v/>
      </c>
      <c r="M105" s="156">
        <f>IF(分析!P55&lt;&gt;"",分析!P55,"")</f>
        <v/>
      </c>
      <c r="N105" s="604">
        <f>IF(分析!O55&lt;&gt;"",分析!O55,"")</f>
        <v/>
      </c>
      <c r="O105" s="163">
        <f>IF(分析!X55&lt;&gt;"",分析!X55,"")</f>
        <v/>
      </c>
      <c r="P105" s="605">
        <f>IF(分析!L55&lt;&gt;"",分析!L55,"")</f>
        <v/>
      </c>
      <c r="Q105" s="161">
        <f>IF(分析!S55&lt;&gt;"",分析!S55,"")</f>
        <v/>
      </c>
      <c r="R105" s="161">
        <f>IF(分析!R55&lt;&gt;"",分析!R55,"")</f>
        <v/>
      </c>
      <c r="S105" s="156">
        <f>IF(分析!AA55&lt;&gt;"",分析!AA55,"")</f>
        <v/>
      </c>
      <c r="T105" s="606">
        <f>IF(分析!Z55&lt;&gt;"",分析!Z55,"")</f>
        <v/>
      </c>
      <c r="U105" s="156">
        <f>IF(分析!V55&lt;&gt;"",分析!V55,"")</f>
        <v/>
      </c>
      <c r="V105" s="607">
        <f>IF(分析!W55&lt;&gt;"",分析!W55,"")</f>
        <v/>
      </c>
      <c r="W105" s="167">
        <f>IF(分析!AD55&lt;&gt;"",分析!AD55,"")</f>
        <v/>
      </c>
      <c r="X105" s="168">
        <f>IF(分析!AE55&lt;&gt;"",分析!AE55,"")</f>
        <v/>
      </c>
      <c r="Y105" s="169">
        <f>IF(分析!T55&lt;&gt;"",分析!T55,"")</f>
        <v/>
      </c>
      <c r="Z105" s="155">
        <f>IF(分析!Y55&lt;&gt;"",分析!Y55,"")</f>
        <v/>
      </c>
    </row>
    <row r="106" ht="21.95" customHeight="1" s="574">
      <c r="A106" s="156">
        <f>IF(分析!C167&lt;&gt;"",ROW()-2,"")</f>
        <v/>
      </c>
      <c r="B106" s="157">
        <f>IF(分析!C167&lt;&gt;"",HYPERLINK("https://kabutan.jp/stock/?code="&amp;分析!C167,"株探"),"")</f>
        <v/>
      </c>
      <c r="C106" s="603">
        <f>IF(分析!C167&lt;&gt;"",分析!C167,"")</f>
        <v/>
      </c>
      <c r="D106" s="159">
        <f>IF(分析!D167&lt;&gt;"",分析!D167,"")</f>
        <v/>
      </c>
      <c r="E106" s="160">
        <f>IF(分析!E167&lt;&gt;"",分析!E167,"")</f>
        <v/>
      </c>
      <c r="F106" s="161">
        <f>IF(分析!F167&lt;&gt;"",分析!F167,"")</f>
        <v/>
      </c>
      <c r="G106" s="161">
        <f>IF(分析!H167&lt;&gt;"",分析!H167,"")</f>
        <v/>
      </c>
      <c r="H106" s="161">
        <f>IF(分析!I167&lt;&gt;"",分析!I167,"")</f>
        <v/>
      </c>
      <c r="I106" s="161">
        <f>IF(分析!J167&lt;&gt;"",分析!J167,"")</f>
        <v/>
      </c>
      <c r="J106" s="161">
        <f>IF(分析!AB167&lt;&gt;"",分析!AB167,"")</f>
        <v/>
      </c>
      <c r="K106" s="161">
        <f>IF(分析!AC167&lt;&gt;"",分析!AC167,"")</f>
        <v/>
      </c>
      <c r="L106" s="161">
        <f>IF(分析!K167&lt;&gt;"",分析!K167,"")</f>
        <v/>
      </c>
      <c r="M106" s="156">
        <f>IF(分析!P167&lt;&gt;"",分析!P167,"")</f>
        <v/>
      </c>
      <c r="N106" s="604">
        <f>IF(分析!O167&lt;&gt;"",分析!O167,"")</f>
        <v/>
      </c>
      <c r="O106" s="163">
        <f>IF(分析!X167&lt;&gt;"",分析!X167,"")</f>
        <v/>
      </c>
      <c r="P106" s="605">
        <f>IF(分析!L167&lt;&gt;"",分析!L167,"")</f>
        <v/>
      </c>
      <c r="Q106" s="161">
        <f>IF(分析!S167&lt;&gt;"",分析!S167,"")</f>
        <v/>
      </c>
      <c r="R106" s="161">
        <f>IF(分析!R167&lt;&gt;"",分析!R167,"")</f>
        <v/>
      </c>
      <c r="S106" s="156">
        <f>IF(分析!AA167&lt;&gt;"",分析!AA167,"")</f>
        <v/>
      </c>
      <c r="T106" s="606">
        <f>IF(分析!Z167&lt;&gt;"",分析!Z167,"")</f>
        <v/>
      </c>
      <c r="U106" s="156">
        <f>IF(分析!V167&lt;&gt;"",分析!V167,"")</f>
        <v/>
      </c>
      <c r="V106" s="607">
        <f>IF(分析!W167&lt;&gt;"",分析!W167,"")</f>
        <v/>
      </c>
      <c r="W106" s="167">
        <f>IF(分析!AD167&lt;&gt;"",分析!AD167,"")</f>
        <v/>
      </c>
      <c r="X106" s="168">
        <f>IF(分析!AE167&lt;&gt;"",分析!AE167,"")</f>
        <v/>
      </c>
      <c r="Y106" s="169">
        <f>IF(分析!T167&lt;&gt;"",分析!T167,"")</f>
        <v/>
      </c>
      <c r="Z106" s="155">
        <f>IF(分析!Y167&lt;&gt;"",分析!Y167,"")</f>
        <v/>
      </c>
    </row>
    <row r="107" ht="21.95" customHeight="1" s="574">
      <c r="A107" s="141">
        <f>IF(分析!C158&lt;&gt;"",ROW()-2,"")</f>
        <v/>
      </c>
      <c r="B107" s="142">
        <f>IF(分析!C158&lt;&gt;"",HYPERLINK("https://kabutan.jp/stock/?code="&amp;分析!C158,"株探"),"")</f>
        <v/>
      </c>
      <c r="C107" s="598">
        <f>IF(分析!C158&lt;&gt;"",分析!C158,"")</f>
        <v/>
      </c>
      <c r="D107" s="144">
        <f>IF(分析!D158&lt;&gt;"",分析!D158,"")</f>
        <v/>
      </c>
      <c r="E107" s="145">
        <f>IF(分析!E158&lt;&gt;"",分析!E158,"")</f>
        <v/>
      </c>
      <c r="F107" s="146">
        <f>IF(分析!F158&lt;&gt;"",分析!F158,"")</f>
        <v/>
      </c>
      <c r="G107" s="146">
        <f>IF(分析!H158&lt;&gt;"",分析!H158,"")</f>
        <v/>
      </c>
      <c r="H107" s="146">
        <f>IF(分析!I158&lt;&gt;"",分析!I158,"")</f>
        <v/>
      </c>
      <c r="I107" s="146">
        <f>IF(分析!J158&lt;&gt;"",分析!J158,"")</f>
        <v/>
      </c>
      <c r="J107" s="146">
        <f>IF(分析!AB158&lt;&gt;"",分析!AB158,"")</f>
        <v/>
      </c>
      <c r="K107" s="146">
        <f>IF(分析!AC158&lt;&gt;"",分析!AC158,"")</f>
        <v/>
      </c>
      <c r="L107" s="146">
        <f>IF(分析!K158&lt;&gt;"",分析!K158,"")</f>
        <v/>
      </c>
      <c r="M107" s="141">
        <f>IF(分析!P158&lt;&gt;"",分析!P158,"")</f>
        <v/>
      </c>
      <c r="N107" s="599">
        <f>IF(分析!O158&lt;&gt;"",分析!O158,"")</f>
        <v/>
      </c>
      <c r="O107" s="148">
        <f>IF(分析!X158&lt;&gt;"",分析!X158,"")</f>
        <v/>
      </c>
      <c r="P107" s="600">
        <f>IF(分析!L158&lt;&gt;"",分析!L158,"")</f>
        <v/>
      </c>
      <c r="Q107" s="146">
        <f>IF(分析!S158&lt;&gt;"",分析!S158,"")</f>
        <v/>
      </c>
      <c r="R107" s="146">
        <f>IF(分析!R158&lt;&gt;"",分析!R158,"")</f>
        <v/>
      </c>
      <c r="S107" s="141">
        <f>IF(分析!AA158&lt;&gt;"",分析!AA158,"")</f>
        <v/>
      </c>
      <c r="T107" s="601">
        <f>IF(分析!Z158&lt;&gt;"",分析!Z158,"")</f>
        <v/>
      </c>
      <c r="U107" s="141">
        <f>IF(分析!V158&lt;&gt;"",分析!V158,"")</f>
        <v/>
      </c>
      <c r="V107" s="602">
        <f>IF(分析!W158&lt;&gt;"",分析!W158,"")</f>
        <v/>
      </c>
      <c r="W107" s="152">
        <f>IF(分析!AD158&lt;&gt;"",分析!AD158,"")</f>
        <v/>
      </c>
      <c r="X107" s="153">
        <f>IF(分析!AE158&lt;&gt;"",分析!AE158,"")</f>
        <v/>
      </c>
      <c r="Y107" s="154">
        <f>IF(分析!T158&lt;&gt;"",分析!T158,"")</f>
        <v/>
      </c>
      <c r="Z107" s="155">
        <f>IF(分析!Y158&lt;&gt;"",分析!Y158,"")</f>
        <v/>
      </c>
    </row>
    <row r="108" ht="21.95" customHeight="1" s="574">
      <c r="A108" s="141">
        <f>IF(分析!C94&lt;&gt;"",ROW()-2,"")</f>
        <v/>
      </c>
      <c r="B108" s="142">
        <f>IF(分析!C94&lt;&gt;"",HYPERLINK("https://kabutan.jp/stock/?code="&amp;分析!C94,"株探"),"")</f>
        <v/>
      </c>
      <c r="C108" s="598">
        <f>IF(分析!C94&lt;&gt;"",分析!C94,"")</f>
        <v/>
      </c>
      <c r="D108" s="144">
        <f>IF(分析!D94&lt;&gt;"",分析!D94,"")</f>
        <v/>
      </c>
      <c r="E108" s="145">
        <f>IF(分析!E94&lt;&gt;"",分析!E94,"")</f>
        <v/>
      </c>
      <c r="F108" s="146">
        <f>IF(分析!F94&lt;&gt;"",分析!F94,"")</f>
        <v/>
      </c>
      <c r="G108" s="146">
        <f>IF(分析!H94&lt;&gt;"",分析!H94,"")</f>
        <v/>
      </c>
      <c r="H108" s="146">
        <f>IF(分析!I94&lt;&gt;"",分析!I94,"")</f>
        <v/>
      </c>
      <c r="I108" s="146">
        <f>IF(分析!J94&lt;&gt;"",分析!J94,"")</f>
        <v/>
      </c>
      <c r="J108" s="146">
        <f>IF(分析!AB94&lt;&gt;"",分析!AB94,"")</f>
        <v/>
      </c>
      <c r="K108" s="146">
        <f>IF(分析!AC94&lt;&gt;"",分析!AC94,"")</f>
        <v/>
      </c>
      <c r="L108" s="146">
        <f>IF(分析!K94&lt;&gt;"",分析!K94,"")</f>
        <v/>
      </c>
      <c r="M108" s="141">
        <f>IF(分析!P94&lt;&gt;"",分析!P94,"")</f>
        <v/>
      </c>
      <c r="N108" s="599">
        <f>IF(分析!O94&lt;&gt;"",分析!O94,"")</f>
        <v/>
      </c>
      <c r="O108" s="148">
        <f>IF(分析!X94&lt;&gt;"",分析!X94,"")</f>
        <v/>
      </c>
      <c r="P108" s="600">
        <f>IF(分析!L94&lt;&gt;"",分析!L94,"")</f>
        <v/>
      </c>
      <c r="Q108" s="146">
        <f>IF(分析!S94&lt;&gt;"",分析!S94,"")</f>
        <v/>
      </c>
      <c r="R108" s="146">
        <f>IF(分析!R94&lt;&gt;"",分析!R94,"")</f>
        <v/>
      </c>
      <c r="S108" s="141">
        <f>IF(分析!AA94&lt;&gt;"",分析!AA94,"")</f>
        <v/>
      </c>
      <c r="T108" s="601">
        <f>IF(分析!Z94&lt;&gt;"",分析!Z94,"")</f>
        <v/>
      </c>
      <c r="U108" s="141">
        <f>IF(分析!V94&lt;&gt;"",分析!V94,"")</f>
        <v/>
      </c>
      <c r="V108" s="602">
        <f>IF(分析!W94&lt;&gt;"",分析!W94,"")</f>
        <v/>
      </c>
      <c r="W108" s="152">
        <f>IF(分析!AD94&lt;&gt;"",分析!AD94,"")</f>
        <v/>
      </c>
      <c r="X108" s="153">
        <f>IF(分析!AE94&lt;&gt;"",分析!AE94,"")</f>
        <v/>
      </c>
      <c r="Y108" s="154">
        <f>IF(分析!T94&lt;&gt;"",分析!T94,"")</f>
        <v/>
      </c>
      <c r="Z108" s="155">
        <f>IF(分析!Y94&lt;&gt;"",分析!Y94,"")</f>
        <v/>
      </c>
    </row>
    <row r="109" ht="21.95" customHeight="1" s="574">
      <c r="A109" s="141">
        <f>IF(分析!C38&lt;&gt;"",ROW()-2,"")</f>
        <v/>
      </c>
      <c r="B109" s="142">
        <f>IF(分析!C38&lt;&gt;"",HYPERLINK("https://kabutan.jp/stock/?code="&amp;分析!C38,"株探"),"")</f>
        <v/>
      </c>
      <c r="C109" s="598">
        <f>IF(分析!C38&lt;&gt;"",分析!C38,"")</f>
        <v/>
      </c>
      <c r="D109" s="144">
        <f>IF(分析!D38&lt;&gt;"",分析!D38,"")</f>
        <v/>
      </c>
      <c r="E109" s="145">
        <f>IF(分析!E38&lt;&gt;"",分析!E38,"")</f>
        <v/>
      </c>
      <c r="F109" s="146">
        <f>IF(分析!F38&lt;&gt;"",分析!F38,"")</f>
        <v/>
      </c>
      <c r="G109" s="146">
        <f>IF(分析!H38&lt;&gt;"",分析!H38,"")</f>
        <v/>
      </c>
      <c r="H109" s="146">
        <f>IF(分析!I38&lt;&gt;"",分析!I38,"")</f>
        <v/>
      </c>
      <c r="I109" s="146">
        <f>IF(分析!J38&lt;&gt;"",分析!J38,"")</f>
        <v/>
      </c>
      <c r="J109" s="146">
        <f>IF(分析!AB38&lt;&gt;"",分析!AB38,"")</f>
        <v/>
      </c>
      <c r="K109" s="146">
        <f>IF(分析!AC38&lt;&gt;"",分析!AC38,"")</f>
        <v/>
      </c>
      <c r="L109" s="146">
        <f>IF(分析!K38&lt;&gt;"",分析!K38,"")</f>
        <v/>
      </c>
      <c r="M109" s="141">
        <f>IF(分析!P38&lt;&gt;"",分析!P38,"")</f>
        <v/>
      </c>
      <c r="N109" s="599">
        <f>IF(分析!O38&lt;&gt;"",分析!O38,"")</f>
        <v/>
      </c>
      <c r="O109" s="148">
        <f>IF(分析!X38&lt;&gt;"",分析!X38,"")</f>
        <v/>
      </c>
      <c r="P109" s="600">
        <f>IF(分析!L38&lt;&gt;"",分析!L38,"")</f>
        <v/>
      </c>
      <c r="Q109" s="146">
        <f>IF(分析!S38&lt;&gt;"",分析!S38,"")</f>
        <v/>
      </c>
      <c r="R109" s="146">
        <f>IF(分析!R38&lt;&gt;"",分析!R38,"")</f>
        <v/>
      </c>
      <c r="S109" s="141">
        <f>IF(分析!AA38&lt;&gt;"",分析!AA38,"")</f>
        <v/>
      </c>
      <c r="T109" s="601">
        <f>IF(分析!Z38&lt;&gt;"",分析!Z38,"")</f>
        <v/>
      </c>
      <c r="U109" s="141">
        <f>IF(分析!V38&lt;&gt;"",分析!V38,"")</f>
        <v/>
      </c>
      <c r="V109" s="602">
        <f>IF(分析!W38&lt;&gt;"",分析!W38,"")</f>
        <v/>
      </c>
      <c r="W109" s="152">
        <f>IF(分析!AD38&lt;&gt;"",分析!AD38,"")</f>
        <v/>
      </c>
      <c r="X109" s="153">
        <f>IF(分析!AE38&lt;&gt;"",分析!AE38,"")</f>
        <v/>
      </c>
      <c r="Y109" s="154">
        <f>IF(分析!T38&lt;&gt;"",分析!T38,"")</f>
        <v/>
      </c>
      <c r="Z109" s="155">
        <f>IF(分析!Y38&lt;&gt;"",分析!Y38,"")</f>
        <v/>
      </c>
    </row>
    <row r="110" ht="21.95" customHeight="1" s="574">
      <c r="A110" s="141">
        <f>IF(分析!C174&lt;&gt;"",ROW()-2,"")</f>
        <v/>
      </c>
      <c r="B110" s="142">
        <f>IF(分析!C174&lt;&gt;"",HYPERLINK("https://kabutan.jp/stock/?code="&amp;分析!C174,"株探"),"")</f>
        <v/>
      </c>
      <c r="C110" s="598">
        <f>IF(分析!C174&lt;&gt;"",分析!C174,"")</f>
        <v/>
      </c>
      <c r="D110" s="144">
        <f>IF(分析!D174&lt;&gt;"",分析!D174,"")</f>
        <v/>
      </c>
      <c r="E110" s="145">
        <f>IF(分析!E174&lt;&gt;"",分析!E174,"")</f>
        <v/>
      </c>
      <c r="F110" s="146">
        <f>IF(分析!F174&lt;&gt;"",分析!F174,"")</f>
        <v/>
      </c>
      <c r="G110" s="146">
        <f>IF(分析!H174&lt;&gt;"",分析!H174,"")</f>
        <v/>
      </c>
      <c r="H110" s="146">
        <f>IF(分析!I174&lt;&gt;"",分析!I174,"")</f>
        <v/>
      </c>
      <c r="I110" s="146">
        <f>IF(分析!J174&lt;&gt;"",分析!J174,"")</f>
        <v/>
      </c>
      <c r="J110" s="146">
        <f>IF(分析!AB174&lt;&gt;"",分析!AB174,"")</f>
        <v/>
      </c>
      <c r="K110" s="146">
        <f>IF(分析!AC174&lt;&gt;"",分析!AC174,"")</f>
        <v/>
      </c>
      <c r="L110" s="146">
        <f>IF(分析!K174&lt;&gt;"",分析!K174,"")</f>
        <v/>
      </c>
      <c r="M110" s="141">
        <f>IF(分析!P174&lt;&gt;"",分析!P174,"")</f>
        <v/>
      </c>
      <c r="N110" s="599">
        <f>IF(分析!O174&lt;&gt;"",分析!O174,"")</f>
        <v/>
      </c>
      <c r="O110" s="148">
        <f>IF(分析!X174&lt;&gt;"",分析!X174,"")</f>
        <v/>
      </c>
      <c r="P110" s="600">
        <f>IF(分析!L174&lt;&gt;"",分析!L174,"")</f>
        <v/>
      </c>
      <c r="Q110" s="146">
        <f>IF(分析!S174&lt;&gt;"",分析!S174,"")</f>
        <v/>
      </c>
      <c r="R110" s="146">
        <f>IF(分析!R174&lt;&gt;"",分析!R174,"")</f>
        <v/>
      </c>
      <c r="S110" s="141">
        <f>IF(分析!AA174&lt;&gt;"",分析!AA174,"")</f>
        <v/>
      </c>
      <c r="T110" s="601">
        <f>IF(分析!Z174&lt;&gt;"",分析!Z174,"")</f>
        <v/>
      </c>
      <c r="U110" s="141">
        <f>IF(分析!V174&lt;&gt;"",分析!V174,"")</f>
        <v/>
      </c>
      <c r="V110" s="602">
        <f>IF(分析!W174&lt;&gt;"",分析!W174,"")</f>
        <v/>
      </c>
      <c r="W110" s="152">
        <f>IF(分析!AD174&lt;&gt;"",分析!AD174,"")</f>
        <v/>
      </c>
      <c r="X110" s="153">
        <f>IF(分析!AE174&lt;&gt;"",分析!AE174,"")</f>
        <v/>
      </c>
      <c r="Y110" s="154">
        <f>IF(分析!T174&lt;&gt;"",分析!T174,"")</f>
        <v/>
      </c>
      <c r="Z110" s="155">
        <f>IF(分析!Y174&lt;&gt;"",分析!Y174,"")</f>
        <v/>
      </c>
    </row>
    <row r="111" ht="21.95" customHeight="1" s="574">
      <c r="A111" s="141">
        <f>IF(分析!C114&lt;&gt;"",ROW()-2,"")</f>
        <v/>
      </c>
      <c r="B111" s="142">
        <f>IF(分析!C114&lt;&gt;"",HYPERLINK("https://kabutan.jp/stock/?code="&amp;分析!C114,"株探"),"")</f>
        <v/>
      </c>
      <c r="C111" s="598">
        <f>IF(分析!C114&lt;&gt;"",分析!C114,"")</f>
        <v/>
      </c>
      <c r="D111" s="144">
        <f>IF(分析!D114&lt;&gt;"",分析!D114,"")</f>
        <v/>
      </c>
      <c r="E111" s="145">
        <f>IF(分析!E114&lt;&gt;"",分析!E114,"")</f>
        <v/>
      </c>
      <c r="F111" s="146">
        <f>IF(分析!F114&lt;&gt;"",分析!F114,"")</f>
        <v/>
      </c>
      <c r="G111" s="146">
        <f>IF(分析!H114&lt;&gt;"",分析!H114,"")</f>
        <v/>
      </c>
      <c r="H111" s="146">
        <f>IF(分析!I114&lt;&gt;"",分析!I114,"")</f>
        <v/>
      </c>
      <c r="I111" s="146">
        <f>IF(分析!J114&lt;&gt;"",分析!J114,"")</f>
        <v/>
      </c>
      <c r="J111" s="146">
        <f>IF(分析!AB114&lt;&gt;"",分析!AB114,"")</f>
        <v/>
      </c>
      <c r="K111" s="146">
        <f>IF(分析!AC114&lt;&gt;"",分析!AC114,"")</f>
        <v/>
      </c>
      <c r="L111" s="146">
        <f>IF(分析!K114&lt;&gt;"",分析!K114,"")</f>
        <v/>
      </c>
      <c r="M111" s="141">
        <f>IF(分析!P114&lt;&gt;"",分析!P114,"")</f>
        <v/>
      </c>
      <c r="N111" s="599">
        <f>IF(分析!O114&lt;&gt;"",分析!O114,"")</f>
        <v/>
      </c>
      <c r="O111" s="148">
        <f>IF(分析!X114&lt;&gt;"",分析!X114,"")</f>
        <v/>
      </c>
      <c r="P111" s="600">
        <f>IF(分析!L114&lt;&gt;"",分析!L114,"")</f>
        <v/>
      </c>
      <c r="Q111" s="146">
        <f>IF(分析!S114&lt;&gt;"",分析!S114,"")</f>
        <v/>
      </c>
      <c r="R111" s="146">
        <f>IF(分析!R114&lt;&gt;"",分析!R114,"")</f>
        <v/>
      </c>
      <c r="S111" s="141">
        <f>IF(分析!AA114&lt;&gt;"",分析!AA114,"")</f>
        <v/>
      </c>
      <c r="T111" s="601">
        <f>IF(分析!Z114&lt;&gt;"",分析!Z114,"")</f>
        <v/>
      </c>
      <c r="U111" s="141">
        <f>IF(分析!V114&lt;&gt;"",分析!V114,"")</f>
        <v/>
      </c>
      <c r="V111" s="602">
        <f>IF(分析!W114&lt;&gt;"",分析!W114,"")</f>
        <v/>
      </c>
      <c r="W111" s="152">
        <f>IF(分析!AD114&lt;&gt;"",分析!AD114,"")</f>
        <v/>
      </c>
      <c r="X111" s="153">
        <f>IF(分析!AE114&lt;&gt;"",分析!AE114,"")</f>
        <v/>
      </c>
      <c r="Y111" s="154">
        <f>IF(分析!T114&lt;&gt;"",分析!T114,"")</f>
        <v/>
      </c>
      <c r="Z111" s="155">
        <f>IF(分析!Y114&lt;&gt;"",分析!Y114,"")</f>
        <v/>
      </c>
    </row>
    <row r="112" ht="21.95" customHeight="1" s="574">
      <c r="A112" s="141">
        <f>IF(分析!C104&lt;&gt;"",ROW()-2,"")</f>
        <v/>
      </c>
      <c r="B112" s="142">
        <f>IF(分析!C104&lt;&gt;"",HYPERLINK("https://kabutan.jp/stock/?code="&amp;分析!C104,"株探"),"")</f>
        <v/>
      </c>
      <c r="C112" s="598">
        <f>IF(分析!C104&lt;&gt;"",分析!C104,"")</f>
        <v/>
      </c>
      <c r="D112" s="144">
        <f>IF(分析!D104&lt;&gt;"",分析!D104,"")</f>
        <v/>
      </c>
      <c r="E112" s="145">
        <f>IF(分析!E104&lt;&gt;"",分析!E104,"")</f>
        <v/>
      </c>
      <c r="F112" s="146">
        <f>IF(分析!F104&lt;&gt;"",分析!F104,"")</f>
        <v/>
      </c>
      <c r="G112" s="146">
        <f>IF(分析!H104&lt;&gt;"",分析!H104,"")</f>
        <v/>
      </c>
      <c r="H112" s="146">
        <f>IF(分析!I104&lt;&gt;"",分析!I104,"")</f>
        <v/>
      </c>
      <c r="I112" s="146">
        <f>IF(分析!J104&lt;&gt;"",分析!J104,"")</f>
        <v/>
      </c>
      <c r="J112" s="146">
        <f>IF(分析!AB104&lt;&gt;"",分析!AB104,"")</f>
        <v/>
      </c>
      <c r="K112" s="146">
        <f>IF(分析!AC104&lt;&gt;"",分析!AC104,"")</f>
        <v/>
      </c>
      <c r="L112" s="146">
        <f>IF(分析!K104&lt;&gt;"",分析!K104,"")</f>
        <v/>
      </c>
      <c r="M112" s="141">
        <f>IF(分析!P104&lt;&gt;"",分析!P104,"")</f>
        <v/>
      </c>
      <c r="N112" s="599">
        <f>IF(分析!O104&lt;&gt;"",分析!O104,"")</f>
        <v/>
      </c>
      <c r="O112" s="148">
        <f>IF(分析!X104&lt;&gt;"",分析!X104,"")</f>
        <v/>
      </c>
      <c r="P112" s="600">
        <f>IF(分析!L104&lt;&gt;"",分析!L104,"")</f>
        <v/>
      </c>
      <c r="Q112" s="146">
        <f>IF(分析!S104&lt;&gt;"",分析!S104,"")</f>
        <v/>
      </c>
      <c r="R112" s="146">
        <f>IF(分析!R104&lt;&gt;"",分析!R104,"")</f>
        <v/>
      </c>
      <c r="S112" s="141">
        <f>IF(分析!AA104&lt;&gt;"",分析!AA104,"")</f>
        <v/>
      </c>
      <c r="T112" s="601">
        <f>IF(分析!Z104&lt;&gt;"",分析!Z104,"")</f>
        <v/>
      </c>
      <c r="U112" s="141">
        <f>IF(分析!V104&lt;&gt;"",分析!V104,"")</f>
        <v/>
      </c>
      <c r="V112" s="602">
        <f>IF(分析!W104&lt;&gt;"",分析!W104,"")</f>
        <v/>
      </c>
      <c r="W112" s="152">
        <f>IF(分析!AD104&lt;&gt;"",分析!AD104,"")</f>
        <v/>
      </c>
      <c r="X112" s="153">
        <f>IF(分析!AE104&lt;&gt;"",分析!AE104,"")</f>
        <v/>
      </c>
      <c r="Y112" s="154">
        <f>IF(分析!T104&lt;&gt;"",分析!T104,"")</f>
        <v/>
      </c>
      <c r="Z112" s="155">
        <f>IF(分析!Y104&lt;&gt;"",分析!Y104,"")</f>
        <v/>
      </c>
    </row>
    <row r="113" ht="21.95" customHeight="1" s="574">
      <c r="A113" s="141">
        <f>IF(分析!C164&lt;&gt;"",ROW()-2,"")</f>
        <v/>
      </c>
      <c r="B113" s="142">
        <f>IF(分析!C164&lt;&gt;"",HYPERLINK("https://kabutan.jp/stock/?code="&amp;分析!C164,"株探"),"")</f>
        <v/>
      </c>
      <c r="C113" s="598">
        <f>IF(分析!C164&lt;&gt;"",分析!C164,"")</f>
        <v/>
      </c>
      <c r="D113" s="144">
        <f>IF(分析!D164&lt;&gt;"",分析!D164,"")</f>
        <v/>
      </c>
      <c r="E113" s="145">
        <f>IF(分析!E164&lt;&gt;"",分析!E164,"")</f>
        <v/>
      </c>
      <c r="F113" s="146">
        <f>IF(分析!F164&lt;&gt;"",分析!F164,"")</f>
        <v/>
      </c>
      <c r="G113" s="146">
        <f>IF(分析!H164&lt;&gt;"",分析!H164,"")</f>
        <v/>
      </c>
      <c r="H113" s="146">
        <f>IF(分析!I164&lt;&gt;"",分析!I164,"")</f>
        <v/>
      </c>
      <c r="I113" s="146">
        <f>IF(分析!J164&lt;&gt;"",分析!J164,"")</f>
        <v/>
      </c>
      <c r="J113" s="146">
        <f>IF(分析!AB164&lt;&gt;"",分析!AB164,"")</f>
        <v/>
      </c>
      <c r="K113" s="146">
        <f>IF(分析!AC164&lt;&gt;"",分析!AC164,"")</f>
        <v/>
      </c>
      <c r="L113" s="146">
        <f>IF(分析!K164&lt;&gt;"",分析!K164,"")</f>
        <v/>
      </c>
      <c r="M113" s="141">
        <f>IF(分析!P164&lt;&gt;"",分析!P164,"")</f>
        <v/>
      </c>
      <c r="N113" s="599">
        <f>IF(分析!O164&lt;&gt;"",分析!O164,"")</f>
        <v/>
      </c>
      <c r="O113" s="148">
        <f>IF(分析!X164&lt;&gt;"",分析!X164,"")</f>
        <v/>
      </c>
      <c r="P113" s="600">
        <f>IF(分析!L164&lt;&gt;"",分析!L164,"")</f>
        <v/>
      </c>
      <c r="Q113" s="146">
        <f>IF(分析!S164&lt;&gt;"",分析!S164,"")</f>
        <v/>
      </c>
      <c r="R113" s="146">
        <f>IF(分析!R164&lt;&gt;"",分析!R164,"")</f>
        <v/>
      </c>
      <c r="S113" s="141">
        <f>IF(分析!AA164&lt;&gt;"",分析!AA164,"")</f>
        <v/>
      </c>
      <c r="T113" s="601">
        <f>IF(分析!Z164&lt;&gt;"",分析!Z164,"")</f>
        <v/>
      </c>
      <c r="U113" s="141">
        <f>IF(分析!V164&lt;&gt;"",分析!V164,"")</f>
        <v/>
      </c>
      <c r="V113" s="602">
        <f>IF(分析!W164&lt;&gt;"",分析!W164,"")</f>
        <v/>
      </c>
      <c r="W113" s="152">
        <f>IF(分析!AD164&lt;&gt;"",分析!AD164,"")</f>
        <v/>
      </c>
      <c r="X113" s="153">
        <f>IF(分析!AE164&lt;&gt;"",分析!AE164,"")</f>
        <v/>
      </c>
      <c r="Y113" s="154">
        <f>IF(分析!T164&lt;&gt;"",分析!T164,"")</f>
        <v/>
      </c>
      <c r="Z113" s="155">
        <f>IF(分析!Y164&lt;&gt;"",分析!Y164,"")</f>
        <v/>
      </c>
    </row>
    <row r="114" ht="21.95" customHeight="1" s="574">
      <c r="A114" s="141">
        <f>IF(分析!C78&lt;&gt;"",ROW()-2,"")</f>
        <v/>
      </c>
      <c r="B114" s="142">
        <f>IF(分析!C78&lt;&gt;"",HYPERLINK("https://kabutan.jp/stock/?code="&amp;分析!C78,"株探"),"")</f>
        <v/>
      </c>
      <c r="C114" s="598">
        <f>IF(分析!C78&lt;&gt;"",分析!C78,"")</f>
        <v/>
      </c>
      <c r="D114" s="144">
        <f>IF(分析!D78&lt;&gt;"",分析!D78,"")</f>
        <v/>
      </c>
      <c r="E114" s="145">
        <f>IF(分析!E78&lt;&gt;"",分析!E78,"")</f>
        <v/>
      </c>
      <c r="F114" s="146">
        <f>IF(分析!F78&lt;&gt;"",分析!F78,"")</f>
        <v/>
      </c>
      <c r="G114" s="146">
        <f>IF(分析!H78&lt;&gt;"",分析!H78,"")</f>
        <v/>
      </c>
      <c r="H114" s="146">
        <f>IF(分析!I78&lt;&gt;"",分析!I78,"")</f>
        <v/>
      </c>
      <c r="I114" s="146">
        <f>IF(分析!J78&lt;&gt;"",分析!J78,"")</f>
        <v/>
      </c>
      <c r="J114" s="146">
        <f>IF(分析!AB78&lt;&gt;"",分析!AB78,"")</f>
        <v/>
      </c>
      <c r="K114" s="146">
        <f>IF(分析!AC78&lt;&gt;"",分析!AC78,"")</f>
        <v/>
      </c>
      <c r="L114" s="146">
        <f>IF(分析!K78&lt;&gt;"",分析!K78,"")</f>
        <v/>
      </c>
      <c r="M114" s="141">
        <f>IF(分析!P78&lt;&gt;"",分析!P78,"")</f>
        <v/>
      </c>
      <c r="N114" s="599">
        <f>IF(分析!O78&lt;&gt;"",分析!O78,"")</f>
        <v/>
      </c>
      <c r="O114" s="148">
        <f>IF(分析!X78&lt;&gt;"",分析!X78,"")</f>
        <v/>
      </c>
      <c r="P114" s="600">
        <f>IF(分析!L78&lt;&gt;"",分析!L78,"")</f>
        <v/>
      </c>
      <c r="Q114" s="146">
        <f>IF(分析!S78&lt;&gt;"",分析!S78,"")</f>
        <v/>
      </c>
      <c r="R114" s="146">
        <f>IF(分析!R78&lt;&gt;"",分析!R78,"")</f>
        <v/>
      </c>
      <c r="S114" s="141">
        <f>IF(分析!AA78&lt;&gt;"",分析!AA78,"")</f>
        <v/>
      </c>
      <c r="T114" s="601">
        <f>IF(分析!Z78&lt;&gt;"",分析!Z78,"")</f>
        <v/>
      </c>
      <c r="U114" s="141">
        <f>IF(分析!V78&lt;&gt;"",分析!V78,"")</f>
        <v/>
      </c>
      <c r="V114" s="602">
        <f>IF(分析!W78&lt;&gt;"",分析!W78,"")</f>
        <v/>
      </c>
      <c r="W114" s="152">
        <f>IF(分析!AD78&lt;&gt;"",分析!AD78,"")</f>
        <v/>
      </c>
      <c r="X114" s="153">
        <f>IF(分析!AE78&lt;&gt;"",分析!AE78,"")</f>
        <v/>
      </c>
      <c r="Y114" s="154">
        <f>IF(分析!T78&lt;&gt;"",分析!T78,"")</f>
        <v/>
      </c>
      <c r="Z114" s="155">
        <f>IF(分析!Y78&lt;&gt;"",分析!Y78,"")</f>
        <v/>
      </c>
    </row>
    <row r="115" ht="21.95" customHeight="1" s="574">
      <c r="A115" s="156">
        <f>IF(分析!C107&lt;&gt;"",ROW()-2,"")</f>
        <v/>
      </c>
      <c r="B115" s="157">
        <f>IF(分析!C107&lt;&gt;"",HYPERLINK("https://kabutan.jp/stock/?code="&amp;分析!C107,"株探"),"")</f>
        <v/>
      </c>
      <c r="C115" s="603">
        <f>IF(分析!C107&lt;&gt;"",分析!C107,"")</f>
        <v/>
      </c>
      <c r="D115" s="159">
        <f>IF(分析!D107&lt;&gt;"",分析!D107,"")</f>
        <v/>
      </c>
      <c r="E115" s="160">
        <f>IF(分析!E107&lt;&gt;"",分析!E107,"")</f>
        <v/>
      </c>
      <c r="F115" s="161">
        <f>IF(分析!F107&lt;&gt;"",分析!F107,"")</f>
        <v/>
      </c>
      <c r="G115" s="161">
        <f>IF(分析!H107&lt;&gt;"",分析!H107,"")</f>
        <v/>
      </c>
      <c r="H115" s="161">
        <f>IF(分析!I107&lt;&gt;"",分析!I107,"")</f>
        <v/>
      </c>
      <c r="I115" s="161">
        <f>IF(分析!J107&lt;&gt;"",分析!J107,"")</f>
        <v/>
      </c>
      <c r="J115" s="161">
        <f>IF(分析!AB107&lt;&gt;"",分析!AB107,"")</f>
        <v/>
      </c>
      <c r="K115" s="161">
        <f>IF(分析!AC107&lt;&gt;"",分析!AC107,"")</f>
        <v/>
      </c>
      <c r="L115" s="161">
        <f>IF(分析!K107&lt;&gt;"",分析!K107,"")</f>
        <v/>
      </c>
      <c r="M115" s="156">
        <f>IF(分析!P107&lt;&gt;"",分析!P107,"")</f>
        <v/>
      </c>
      <c r="N115" s="604">
        <f>IF(分析!O107&lt;&gt;"",分析!O107,"")</f>
        <v/>
      </c>
      <c r="O115" s="163">
        <f>IF(分析!X107&lt;&gt;"",分析!X107,"")</f>
        <v/>
      </c>
      <c r="P115" s="605">
        <f>IF(分析!L107&lt;&gt;"",分析!L107,"")</f>
        <v/>
      </c>
      <c r="Q115" s="161">
        <f>IF(分析!S107&lt;&gt;"",分析!S107,"")</f>
        <v/>
      </c>
      <c r="R115" s="161">
        <f>IF(分析!R107&lt;&gt;"",分析!R107,"")</f>
        <v/>
      </c>
      <c r="S115" s="156">
        <f>IF(分析!AA107&lt;&gt;"",分析!AA107,"")</f>
        <v/>
      </c>
      <c r="T115" s="606">
        <f>IF(分析!Z107&lt;&gt;"",分析!Z107,"")</f>
        <v/>
      </c>
      <c r="U115" s="156">
        <f>IF(分析!V107&lt;&gt;"",分析!V107,"")</f>
        <v/>
      </c>
      <c r="V115" s="607">
        <f>IF(分析!W107&lt;&gt;"",分析!W107,"")</f>
        <v/>
      </c>
      <c r="W115" s="167">
        <f>IF(分析!AD107&lt;&gt;"",分析!AD107,"")</f>
        <v/>
      </c>
      <c r="X115" s="168">
        <f>IF(分析!AE107&lt;&gt;"",分析!AE107,"")</f>
        <v/>
      </c>
      <c r="Y115" s="169">
        <f>IF(分析!T107&lt;&gt;"",分析!T107,"")</f>
        <v/>
      </c>
      <c r="Z115" s="155">
        <f>IF(分析!Y107&lt;&gt;"",分析!Y107,"")</f>
        <v/>
      </c>
    </row>
    <row r="116" ht="21.95" customHeight="1" s="574">
      <c r="A116" s="156">
        <f>IF(分析!C105&lt;&gt;"",ROW()-2,"")</f>
        <v/>
      </c>
      <c r="B116" s="157">
        <f>IF(分析!C105&lt;&gt;"",HYPERLINK("https://kabutan.jp/stock/?code="&amp;分析!C105,"株探"),"")</f>
        <v/>
      </c>
      <c r="C116" s="603">
        <f>IF(分析!C105&lt;&gt;"",分析!C105,"")</f>
        <v/>
      </c>
      <c r="D116" s="159">
        <f>IF(分析!D105&lt;&gt;"",分析!D105,"")</f>
        <v/>
      </c>
      <c r="E116" s="160">
        <f>IF(分析!E105&lt;&gt;"",分析!E105,"")</f>
        <v/>
      </c>
      <c r="F116" s="161">
        <f>IF(分析!F105&lt;&gt;"",分析!F105,"")</f>
        <v/>
      </c>
      <c r="G116" s="161">
        <f>IF(分析!H105&lt;&gt;"",分析!H105,"")</f>
        <v/>
      </c>
      <c r="H116" s="161">
        <f>IF(分析!I105&lt;&gt;"",分析!I105,"")</f>
        <v/>
      </c>
      <c r="I116" s="161">
        <f>IF(分析!J105&lt;&gt;"",分析!J105,"")</f>
        <v/>
      </c>
      <c r="J116" s="161">
        <f>IF(分析!AB105&lt;&gt;"",分析!AB105,"")</f>
        <v/>
      </c>
      <c r="K116" s="161">
        <f>IF(分析!AC105&lt;&gt;"",分析!AC105,"")</f>
        <v/>
      </c>
      <c r="L116" s="161">
        <f>IF(分析!K105&lt;&gt;"",分析!K105,"")</f>
        <v/>
      </c>
      <c r="M116" s="156">
        <f>IF(分析!P105&lt;&gt;"",分析!P105,"")</f>
        <v/>
      </c>
      <c r="N116" s="604">
        <f>IF(分析!O105&lt;&gt;"",分析!O105,"")</f>
        <v/>
      </c>
      <c r="O116" s="163">
        <f>IF(分析!X105&lt;&gt;"",分析!X105,"")</f>
        <v/>
      </c>
      <c r="P116" s="605">
        <f>IF(分析!L105&lt;&gt;"",分析!L105,"")</f>
        <v/>
      </c>
      <c r="Q116" s="161">
        <f>IF(分析!S105&lt;&gt;"",分析!S105,"")</f>
        <v/>
      </c>
      <c r="R116" s="161">
        <f>IF(分析!R105&lt;&gt;"",分析!R105,"")</f>
        <v/>
      </c>
      <c r="S116" s="156">
        <f>IF(分析!AA105&lt;&gt;"",分析!AA105,"")</f>
        <v/>
      </c>
      <c r="T116" s="606">
        <f>IF(分析!Z105&lt;&gt;"",分析!Z105,"")</f>
        <v/>
      </c>
      <c r="U116" s="156">
        <f>IF(分析!V105&lt;&gt;"",分析!V105,"")</f>
        <v/>
      </c>
      <c r="V116" s="607">
        <f>IF(分析!W105&lt;&gt;"",分析!W105,"")</f>
        <v/>
      </c>
      <c r="W116" s="167">
        <f>IF(分析!AD105&lt;&gt;"",分析!AD105,"")</f>
        <v/>
      </c>
      <c r="X116" s="168">
        <f>IF(分析!AE105&lt;&gt;"",分析!AE105,"")</f>
        <v/>
      </c>
      <c r="Y116" s="169">
        <f>IF(分析!T105&lt;&gt;"",分析!T105,"")</f>
        <v/>
      </c>
      <c r="Z116" s="155">
        <f>IF(分析!Y105&lt;&gt;"",分析!Y105,"")</f>
        <v/>
      </c>
    </row>
    <row r="117" ht="21.95" customHeight="1" s="574">
      <c r="A117" s="156">
        <f>IF(分析!C203&lt;&gt;"",ROW()-2,"")</f>
        <v/>
      </c>
      <c r="B117" s="157">
        <f>IF(分析!C203&lt;&gt;"",HYPERLINK("https://kabutan.jp/stock/?code="&amp;分析!C203,"株探"),"")</f>
        <v/>
      </c>
      <c r="C117" s="603">
        <f>IF(分析!C203&lt;&gt;"",分析!C203,"")</f>
        <v/>
      </c>
      <c r="D117" s="159">
        <f>IF(分析!D203&lt;&gt;"",分析!D203,"")</f>
        <v/>
      </c>
      <c r="E117" s="160">
        <f>IF(分析!E203&lt;&gt;"",分析!E203,"")</f>
        <v/>
      </c>
      <c r="F117" s="161">
        <f>IF(分析!F203&lt;&gt;"",分析!F203,"")</f>
        <v/>
      </c>
      <c r="G117" s="161">
        <f>IF(分析!H203&lt;&gt;"",分析!H203,"")</f>
        <v/>
      </c>
      <c r="H117" s="161">
        <f>IF(分析!I203&lt;&gt;"",分析!I203,"")</f>
        <v/>
      </c>
      <c r="I117" s="161">
        <f>IF(分析!J203&lt;&gt;"",分析!J203,"")</f>
        <v/>
      </c>
      <c r="J117" s="161">
        <f>IF(分析!AB203&lt;&gt;"",分析!AB203,"")</f>
        <v/>
      </c>
      <c r="K117" s="161">
        <f>IF(分析!AC203&lt;&gt;"",分析!AC203,"")</f>
        <v/>
      </c>
      <c r="L117" s="161">
        <f>IF(分析!K203&lt;&gt;"",分析!K203,"")</f>
        <v/>
      </c>
      <c r="M117" s="156">
        <f>IF(分析!P203&lt;&gt;"",分析!P203,"")</f>
        <v/>
      </c>
      <c r="N117" s="604">
        <f>IF(分析!O203&lt;&gt;"",分析!O203,"")</f>
        <v/>
      </c>
      <c r="O117" s="163">
        <f>IF(分析!X203&lt;&gt;"",分析!X203,"")</f>
        <v/>
      </c>
      <c r="P117" s="605">
        <f>IF(分析!L203&lt;&gt;"",分析!L203,"")</f>
        <v/>
      </c>
      <c r="Q117" s="161">
        <f>IF(分析!S203&lt;&gt;"",分析!S203,"")</f>
        <v/>
      </c>
      <c r="R117" s="161">
        <f>IF(分析!R203&lt;&gt;"",分析!R203,"")</f>
        <v/>
      </c>
      <c r="S117" s="156">
        <f>IF(分析!AA203&lt;&gt;"",分析!AA203,"")</f>
        <v/>
      </c>
      <c r="T117" s="606">
        <f>IF(分析!Z203&lt;&gt;"",分析!Z203,"")</f>
        <v/>
      </c>
      <c r="U117" s="156">
        <f>IF(分析!V203&lt;&gt;"",分析!V203,"")</f>
        <v/>
      </c>
      <c r="V117" s="607">
        <f>IF(分析!W203&lt;&gt;"",分析!W203,"")</f>
        <v/>
      </c>
      <c r="W117" s="167">
        <f>IF(分析!AD203&lt;&gt;"",分析!AD203,"")</f>
        <v/>
      </c>
      <c r="X117" s="168">
        <f>IF(分析!AE203&lt;&gt;"",分析!AE203,"")</f>
        <v/>
      </c>
      <c r="Y117" s="169">
        <f>IF(分析!T203&lt;&gt;"",分析!T203,"")</f>
        <v/>
      </c>
      <c r="Z117" s="155">
        <f>IF(分析!Y203&lt;&gt;"",分析!Y203,"")</f>
        <v/>
      </c>
    </row>
    <row r="118" ht="21.95" customHeight="1" s="574">
      <c r="A118" s="156">
        <f>IF(分析!C79&lt;&gt;"",ROW()-2,"")</f>
        <v/>
      </c>
      <c r="B118" s="157">
        <f>IF(分析!C79&lt;&gt;"",HYPERLINK("https://kabutan.jp/stock/?code="&amp;分析!C79,"株探"),"")</f>
        <v/>
      </c>
      <c r="C118" s="603">
        <f>IF(分析!C79&lt;&gt;"",分析!C79,"")</f>
        <v/>
      </c>
      <c r="D118" s="159">
        <f>IF(分析!D79&lt;&gt;"",分析!D79,"")</f>
        <v/>
      </c>
      <c r="E118" s="160">
        <f>IF(分析!E79&lt;&gt;"",分析!E79,"")</f>
        <v/>
      </c>
      <c r="F118" s="161">
        <f>IF(分析!F79&lt;&gt;"",分析!F79,"")</f>
        <v/>
      </c>
      <c r="G118" s="161">
        <f>IF(分析!H79&lt;&gt;"",分析!H79,"")</f>
        <v/>
      </c>
      <c r="H118" s="161">
        <f>IF(分析!I79&lt;&gt;"",分析!I79,"")</f>
        <v/>
      </c>
      <c r="I118" s="161">
        <f>IF(分析!J79&lt;&gt;"",分析!J79,"")</f>
        <v/>
      </c>
      <c r="J118" s="161">
        <f>IF(分析!AB79&lt;&gt;"",分析!AB79,"")</f>
        <v/>
      </c>
      <c r="K118" s="161">
        <f>IF(分析!AC79&lt;&gt;"",分析!AC79,"")</f>
        <v/>
      </c>
      <c r="L118" s="161">
        <f>IF(分析!K79&lt;&gt;"",分析!K79,"")</f>
        <v/>
      </c>
      <c r="M118" s="156">
        <f>IF(分析!P79&lt;&gt;"",分析!P79,"")</f>
        <v/>
      </c>
      <c r="N118" s="604">
        <f>IF(分析!O79&lt;&gt;"",分析!O79,"")</f>
        <v/>
      </c>
      <c r="O118" s="163">
        <f>IF(分析!X79&lt;&gt;"",分析!X79,"")</f>
        <v/>
      </c>
      <c r="P118" s="605">
        <f>IF(分析!L79&lt;&gt;"",分析!L79,"")</f>
        <v/>
      </c>
      <c r="Q118" s="161">
        <f>IF(分析!S79&lt;&gt;"",分析!S79,"")</f>
        <v/>
      </c>
      <c r="R118" s="161">
        <f>IF(分析!R79&lt;&gt;"",分析!R79,"")</f>
        <v/>
      </c>
      <c r="S118" s="156">
        <f>IF(分析!AA79&lt;&gt;"",分析!AA79,"")</f>
        <v/>
      </c>
      <c r="T118" s="606">
        <f>IF(分析!Z79&lt;&gt;"",分析!Z79,"")</f>
        <v/>
      </c>
      <c r="U118" s="156">
        <f>IF(分析!V79&lt;&gt;"",分析!V79,"")</f>
        <v/>
      </c>
      <c r="V118" s="607">
        <f>IF(分析!W79&lt;&gt;"",分析!W79,"")</f>
        <v/>
      </c>
      <c r="W118" s="167">
        <f>IF(分析!AD79&lt;&gt;"",分析!AD79,"")</f>
        <v/>
      </c>
      <c r="X118" s="168">
        <f>IF(分析!AE79&lt;&gt;"",分析!AE79,"")</f>
        <v/>
      </c>
      <c r="Y118" s="169">
        <f>IF(分析!T79&lt;&gt;"",分析!T79,"")</f>
        <v/>
      </c>
      <c r="Z118" s="155">
        <f>IF(分析!Y79&lt;&gt;"",分析!Y79,"")</f>
        <v/>
      </c>
    </row>
    <row r="119" ht="21.95" customHeight="1" s="574">
      <c r="A119" s="141">
        <f>IF(分析!C134&lt;&gt;"",ROW()-2,"")</f>
        <v/>
      </c>
      <c r="B119" s="142">
        <f>IF(分析!C134&lt;&gt;"",HYPERLINK("https://kabutan.jp/stock/?code="&amp;分析!C134,"株探"),"")</f>
        <v/>
      </c>
      <c r="C119" s="598">
        <f>IF(分析!C134&lt;&gt;"",分析!C134,"")</f>
        <v/>
      </c>
      <c r="D119" s="144">
        <f>IF(分析!D134&lt;&gt;"",分析!D134,"")</f>
        <v/>
      </c>
      <c r="E119" s="145">
        <f>IF(分析!E134&lt;&gt;"",分析!E134,"")</f>
        <v/>
      </c>
      <c r="F119" s="146">
        <f>IF(分析!F134&lt;&gt;"",分析!F134,"")</f>
        <v/>
      </c>
      <c r="G119" s="146">
        <f>IF(分析!H134&lt;&gt;"",分析!H134,"")</f>
        <v/>
      </c>
      <c r="H119" s="146">
        <f>IF(分析!I134&lt;&gt;"",分析!I134,"")</f>
        <v/>
      </c>
      <c r="I119" s="146">
        <f>IF(分析!J134&lt;&gt;"",分析!J134,"")</f>
        <v/>
      </c>
      <c r="J119" s="146">
        <f>IF(分析!AB134&lt;&gt;"",分析!AB134,"")</f>
        <v/>
      </c>
      <c r="K119" s="146">
        <f>IF(分析!AC134&lt;&gt;"",分析!AC134,"")</f>
        <v/>
      </c>
      <c r="L119" s="146">
        <f>IF(分析!K134&lt;&gt;"",分析!K134,"")</f>
        <v/>
      </c>
      <c r="M119" s="141">
        <f>IF(分析!P134&lt;&gt;"",分析!P134,"")</f>
        <v/>
      </c>
      <c r="N119" s="599">
        <f>IF(分析!O134&lt;&gt;"",分析!O134,"")</f>
        <v/>
      </c>
      <c r="O119" s="148">
        <f>IF(分析!X134&lt;&gt;"",分析!X134,"")</f>
        <v/>
      </c>
      <c r="P119" s="600">
        <f>IF(分析!L134&lt;&gt;"",分析!L134,"")</f>
        <v/>
      </c>
      <c r="Q119" s="146">
        <f>IF(分析!S134&lt;&gt;"",分析!S134,"")</f>
        <v/>
      </c>
      <c r="R119" s="146">
        <f>IF(分析!R134&lt;&gt;"",分析!R134,"")</f>
        <v/>
      </c>
      <c r="S119" s="141">
        <f>IF(分析!AA134&lt;&gt;"",分析!AA134,"")</f>
        <v/>
      </c>
      <c r="T119" s="601">
        <f>IF(分析!Z134&lt;&gt;"",分析!Z134,"")</f>
        <v/>
      </c>
      <c r="U119" s="141">
        <f>IF(分析!V134&lt;&gt;"",分析!V134,"")</f>
        <v/>
      </c>
      <c r="V119" s="602">
        <f>IF(分析!W134&lt;&gt;"",分析!W134,"")</f>
        <v/>
      </c>
      <c r="W119" s="152">
        <f>IF(分析!AD134&lt;&gt;"",分析!AD134,"")</f>
        <v/>
      </c>
      <c r="X119" s="153">
        <f>IF(分析!AE134&lt;&gt;"",分析!AE134,"")</f>
        <v/>
      </c>
      <c r="Y119" s="154">
        <f>IF(分析!T134&lt;&gt;"",分析!T134,"")</f>
        <v/>
      </c>
      <c r="Z119" s="155">
        <f>IF(分析!Y134&lt;&gt;"",分析!Y134,"")</f>
        <v/>
      </c>
    </row>
    <row r="120" ht="21.95" customHeight="1" s="574">
      <c r="A120" s="141">
        <f>IF(分析!C110&lt;&gt;"",ROW()-2,"")</f>
        <v/>
      </c>
      <c r="B120" s="142">
        <f>IF(分析!C110&lt;&gt;"",HYPERLINK("https://kabutan.jp/stock/?code="&amp;分析!C110,"株探"),"")</f>
        <v/>
      </c>
      <c r="C120" s="598">
        <f>IF(分析!C110&lt;&gt;"",分析!C110,"")</f>
        <v/>
      </c>
      <c r="D120" s="144">
        <f>IF(分析!D110&lt;&gt;"",分析!D110,"")</f>
        <v/>
      </c>
      <c r="E120" s="145">
        <f>IF(分析!E110&lt;&gt;"",分析!E110,"")</f>
        <v/>
      </c>
      <c r="F120" s="146">
        <f>IF(分析!F110&lt;&gt;"",分析!F110,"")</f>
        <v/>
      </c>
      <c r="G120" s="146">
        <f>IF(分析!H110&lt;&gt;"",分析!H110,"")</f>
        <v/>
      </c>
      <c r="H120" s="146">
        <f>IF(分析!I110&lt;&gt;"",分析!I110,"")</f>
        <v/>
      </c>
      <c r="I120" s="146">
        <f>IF(分析!J110&lt;&gt;"",分析!J110,"")</f>
        <v/>
      </c>
      <c r="J120" s="146">
        <f>IF(分析!AB110&lt;&gt;"",分析!AB110,"")</f>
        <v/>
      </c>
      <c r="K120" s="146">
        <f>IF(分析!AC110&lt;&gt;"",分析!AC110,"")</f>
        <v/>
      </c>
      <c r="L120" s="146">
        <f>IF(分析!K110&lt;&gt;"",分析!K110,"")</f>
        <v/>
      </c>
      <c r="M120" s="141">
        <f>IF(分析!P110&lt;&gt;"",分析!P110,"")</f>
        <v/>
      </c>
      <c r="N120" s="599">
        <f>IF(分析!O110&lt;&gt;"",分析!O110,"")</f>
        <v/>
      </c>
      <c r="O120" s="148">
        <f>IF(分析!X110&lt;&gt;"",分析!X110,"")</f>
        <v/>
      </c>
      <c r="P120" s="600">
        <f>IF(分析!L110&lt;&gt;"",分析!L110,"")</f>
        <v/>
      </c>
      <c r="Q120" s="146">
        <f>IF(分析!S110&lt;&gt;"",分析!S110,"")</f>
        <v/>
      </c>
      <c r="R120" s="146">
        <f>IF(分析!R110&lt;&gt;"",分析!R110,"")</f>
        <v/>
      </c>
      <c r="S120" s="141">
        <f>IF(分析!AA110&lt;&gt;"",分析!AA110,"")</f>
        <v/>
      </c>
      <c r="T120" s="601">
        <f>IF(分析!Z110&lt;&gt;"",分析!Z110,"")</f>
        <v/>
      </c>
      <c r="U120" s="141">
        <f>IF(分析!V110&lt;&gt;"",分析!V110,"")</f>
        <v/>
      </c>
      <c r="V120" s="602">
        <f>IF(分析!W110&lt;&gt;"",分析!W110,"")</f>
        <v/>
      </c>
      <c r="W120" s="152">
        <f>IF(分析!AD110&lt;&gt;"",分析!AD110,"")</f>
        <v/>
      </c>
      <c r="X120" s="153">
        <f>IF(分析!AE110&lt;&gt;"",分析!AE110,"")</f>
        <v/>
      </c>
      <c r="Y120" s="154">
        <f>IF(分析!T110&lt;&gt;"",分析!T110,"")</f>
        <v/>
      </c>
      <c r="Z120" s="155">
        <f>IF(分析!Y110&lt;&gt;"",分析!Y110,"")</f>
        <v/>
      </c>
    </row>
    <row r="121" ht="21.95" customHeight="1" s="574">
      <c r="A121" s="141">
        <f>IF(分析!C194&lt;&gt;"",ROW()-2,"")</f>
        <v/>
      </c>
      <c r="B121" s="142">
        <f>IF(分析!C194&lt;&gt;"",HYPERLINK("https://kabutan.jp/stock/?code="&amp;分析!C194,"株探"),"")</f>
        <v/>
      </c>
      <c r="C121" s="598">
        <f>IF(分析!C194&lt;&gt;"",分析!C194,"")</f>
        <v/>
      </c>
      <c r="D121" s="144">
        <f>IF(分析!D194&lt;&gt;"",分析!D194,"")</f>
        <v/>
      </c>
      <c r="E121" s="145">
        <f>IF(分析!E194&lt;&gt;"",分析!E194,"")</f>
        <v/>
      </c>
      <c r="F121" s="146">
        <f>IF(分析!F194&lt;&gt;"",分析!F194,"")</f>
        <v/>
      </c>
      <c r="G121" s="146">
        <f>IF(分析!H194&lt;&gt;"",分析!H194,"")</f>
        <v/>
      </c>
      <c r="H121" s="146">
        <f>IF(分析!I194&lt;&gt;"",分析!I194,"")</f>
        <v/>
      </c>
      <c r="I121" s="146">
        <f>IF(分析!J194&lt;&gt;"",分析!J194,"")</f>
        <v/>
      </c>
      <c r="J121" s="146">
        <f>IF(分析!AB194&lt;&gt;"",分析!AB194,"")</f>
        <v/>
      </c>
      <c r="K121" s="146">
        <f>IF(分析!AC194&lt;&gt;"",分析!AC194,"")</f>
        <v/>
      </c>
      <c r="L121" s="146">
        <f>IF(分析!K194&lt;&gt;"",分析!K194,"")</f>
        <v/>
      </c>
      <c r="M121" s="141">
        <f>IF(分析!P194&lt;&gt;"",分析!P194,"")</f>
        <v/>
      </c>
      <c r="N121" s="599">
        <f>IF(分析!O194&lt;&gt;"",分析!O194,"")</f>
        <v/>
      </c>
      <c r="O121" s="148">
        <f>IF(分析!X194&lt;&gt;"",分析!X194,"")</f>
        <v/>
      </c>
      <c r="P121" s="600">
        <f>IF(分析!L194&lt;&gt;"",分析!L194,"")</f>
        <v/>
      </c>
      <c r="Q121" s="146">
        <f>IF(分析!S194&lt;&gt;"",分析!S194,"")</f>
        <v/>
      </c>
      <c r="R121" s="146">
        <f>IF(分析!R194&lt;&gt;"",分析!R194,"")</f>
        <v/>
      </c>
      <c r="S121" s="141">
        <f>IF(分析!AA194&lt;&gt;"",分析!AA194,"")</f>
        <v/>
      </c>
      <c r="T121" s="601">
        <f>IF(分析!Z194&lt;&gt;"",分析!Z194,"")</f>
        <v/>
      </c>
      <c r="U121" s="141">
        <f>IF(分析!V194&lt;&gt;"",分析!V194,"")</f>
        <v/>
      </c>
      <c r="V121" s="602">
        <f>IF(分析!W194&lt;&gt;"",分析!W194,"")</f>
        <v/>
      </c>
      <c r="W121" s="152">
        <f>IF(分析!AD194&lt;&gt;"",分析!AD194,"")</f>
        <v/>
      </c>
      <c r="X121" s="153">
        <f>IF(分析!AE194&lt;&gt;"",分析!AE194,"")</f>
        <v/>
      </c>
      <c r="Y121" s="154">
        <f>IF(分析!T194&lt;&gt;"",分析!T194,"")</f>
        <v/>
      </c>
      <c r="Z121" s="155">
        <f>IF(分析!Y194&lt;&gt;"",分析!Y194,"")</f>
        <v/>
      </c>
    </row>
    <row r="122" ht="21.95" customHeight="1" s="574">
      <c r="A122" s="156">
        <f>IF(分析!C163&lt;&gt;"",ROW()-2,"")</f>
        <v/>
      </c>
      <c r="B122" s="157">
        <f>IF(分析!C163&lt;&gt;"",HYPERLINK("https://kabutan.jp/stock/?code="&amp;分析!C163,"株探"),"")</f>
        <v/>
      </c>
      <c r="C122" s="603">
        <f>IF(分析!C163&lt;&gt;"",分析!C163,"")</f>
        <v/>
      </c>
      <c r="D122" s="159">
        <f>IF(分析!D163&lt;&gt;"",分析!D163,"")</f>
        <v/>
      </c>
      <c r="E122" s="160">
        <f>IF(分析!E163&lt;&gt;"",分析!E163,"")</f>
        <v/>
      </c>
      <c r="F122" s="161">
        <f>IF(分析!F163&lt;&gt;"",分析!F163,"")</f>
        <v/>
      </c>
      <c r="G122" s="161">
        <f>IF(分析!H163&lt;&gt;"",分析!H163,"")</f>
        <v/>
      </c>
      <c r="H122" s="161">
        <f>IF(分析!I163&lt;&gt;"",分析!I163,"")</f>
        <v/>
      </c>
      <c r="I122" s="161">
        <f>IF(分析!J163&lt;&gt;"",分析!J163,"")</f>
        <v/>
      </c>
      <c r="J122" s="161">
        <f>IF(分析!AB163&lt;&gt;"",分析!AB163,"")</f>
        <v/>
      </c>
      <c r="K122" s="161">
        <f>IF(分析!AC163&lt;&gt;"",分析!AC163,"")</f>
        <v/>
      </c>
      <c r="L122" s="161">
        <f>IF(分析!K163&lt;&gt;"",分析!K163,"")</f>
        <v/>
      </c>
      <c r="M122" s="156">
        <f>IF(分析!P163&lt;&gt;"",分析!P163,"")</f>
        <v/>
      </c>
      <c r="N122" s="604">
        <f>IF(分析!O163&lt;&gt;"",分析!O163,"")</f>
        <v/>
      </c>
      <c r="O122" s="163">
        <f>IF(分析!X163&lt;&gt;"",分析!X163,"")</f>
        <v/>
      </c>
      <c r="P122" s="605">
        <f>IF(分析!L163&lt;&gt;"",分析!L163,"")</f>
        <v/>
      </c>
      <c r="Q122" s="161">
        <f>IF(分析!S163&lt;&gt;"",分析!S163,"")</f>
        <v/>
      </c>
      <c r="R122" s="161">
        <f>IF(分析!R163&lt;&gt;"",分析!R163,"")</f>
        <v/>
      </c>
      <c r="S122" s="156">
        <f>IF(分析!AA163&lt;&gt;"",分析!AA163,"")</f>
        <v/>
      </c>
      <c r="T122" s="606">
        <f>IF(分析!Z163&lt;&gt;"",分析!Z163,"")</f>
        <v/>
      </c>
      <c r="U122" s="156">
        <f>IF(分析!V163&lt;&gt;"",分析!V163,"")</f>
        <v/>
      </c>
      <c r="V122" s="607">
        <f>IF(分析!W163&lt;&gt;"",分析!W163,"")</f>
        <v/>
      </c>
      <c r="W122" s="167">
        <f>IF(分析!AD163&lt;&gt;"",分析!AD163,"")</f>
        <v/>
      </c>
      <c r="X122" s="168">
        <f>IF(分析!AE163&lt;&gt;"",分析!AE163,"")</f>
        <v/>
      </c>
      <c r="Y122" s="169">
        <f>IF(分析!T163&lt;&gt;"",分析!T163,"")</f>
        <v/>
      </c>
      <c r="Z122" s="155">
        <f>IF(分析!Y163&lt;&gt;"",分析!Y163,"")</f>
        <v/>
      </c>
    </row>
    <row r="123" ht="21.95" customHeight="1" s="574">
      <c r="A123" s="156">
        <f>IF(分析!C27&lt;&gt;"",ROW()-2,"")</f>
        <v/>
      </c>
      <c r="B123" s="157">
        <f>IF(分析!C27&lt;&gt;"",HYPERLINK("https://kabutan.jp/stock/?code="&amp;分析!C27,"株探"),"")</f>
        <v/>
      </c>
      <c r="C123" s="603">
        <f>IF(分析!C27&lt;&gt;"",分析!C27,"")</f>
        <v/>
      </c>
      <c r="D123" s="159">
        <f>IF(分析!D27&lt;&gt;"",分析!D27,"")</f>
        <v/>
      </c>
      <c r="E123" s="160">
        <f>IF(分析!E27&lt;&gt;"",分析!E27,"")</f>
        <v/>
      </c>
      <c r="F123" s="161">
        <f>IF(分析!F27&lt;&gt;"",分析!F27,"")</f>
        <v/>
      </c>
      <c r="G123" s="161">
        <f>IF(分析!H27&lt;&gt;"",分析!H27,"")</f>
        <v/>
      </c>
      <c r="H123" s="161">
        <f>IF(分析!I27&lt;&gt;"",分析!I27,"")</f>
        <v/>
      </c>
      <c r="I123" s="161">
        <f>IF(分析!J27&lt;&gt;"",分析!J27,"")</f>
        <v/>
      </c>
      <c r="J123" s="161">
        <f>IF(分析!AB27&lt;&gt;"",分析!AB27,"")</f>
        <v/>
      </c>
      <c r="K123" s="161">
        <f>IF(分析!AC27&lt;&gt;"",分析!AC27,"")</f>
        <v/>
      </c>
      <c r="L123" s="161">
        <f>IF(分析!K27&lt;&gt;"",分析!K27,"")</f>
        <v/>
      </c>
      <c r="M123" s="156">
        <f>IF(分析!P27&lt;&gt;"",分析!P27,"")</f>
        <v/>
      </c>
      <c r="N123" s="604">
        <f>IF(分析!O27&lt;&gt;"",分析!O27,"")</f>
        <v/>
      </c>
      <c r="O123" s="163">
        <f>IF(分析!X27&lt;&gt;"",分析!X27,"")</f>
        <v/>
      </c>
      <c r="P123" s="605">
        <f>IF(分析!L27&lt;&gt;"",分析!L27,"")</f>
        <v/>
      </c>
      <c r="Q123" s="161">
        <f>IF(分析!S27&lt;&gt;"",分析!S27,"")</f>
        <v/>
      </c>
      <c r="R123" s="161">
        <f>IF(分析!R27&lt;&gt;"",分析!R27,"")</f>
        <v/>
      </c>
      <c r="S123" s="156">
        <f>IF(分析!AA27&lt;&gt;"",分析!AA27,"")</f>
        <v/>
      </c>
      <c r="T123" s="606">
        <f>IF(分析!Z27&lt;&gt;"",分析!Z27,"")</f>
        <v/>
      </c>
      <c r="U123" s="156">
        <f>IF(分析!V27&lt;&gt;"",分析!V27,"")</f>
        <v/>
      </c>
      <c r="V123" s="607">
        <f>IF(分析!W27&lt;&gt;"",分析!W27,"")</f>
        <v/>
      </c>
      <c r="W123" s="167">
        <f>IF(分析!AD27&lt;&gt;"",分析!AD27,"")</f>
        <v/>
      </c>
      <c r="X123" s="168">
        <f>IF(分析!AE27&lt;&gt;"",分析!AE27,"")</f>
        <v/>
      </c>
      <c r="Y123" s="169">
        <f>IF(分析!T27&lt;&gt;"",分析!T27,"")</f>
        <v/>
      </c>
      <c r="Z123" s="155">
        <f>IF(分析!Y27&lt;&gt;"",分析!Y27,"")</f>
        <v/>
      </c>
    </row>
    <row r="124" ht="21.95" customHeight="1" s="574">
      <c r="A124" s="141">
        <f>IF(分析!C8&lt;&gt;"",ROW()-2,"")</f>
        <v/>
      </c>
      <c r="B124" s="142">
        <f>IF(分析!C8&lt;&gt;"",HYPERLINK("https://kabutan.jp/stock/?code="&amp;分析!C8,"株探"),"")</f>
        <v/>
      </c>
      <c r="C124" s="598">
        <f>IF(分析!C8&lt;&gt;"",分析!C8,"")</f>
        <v/>
      </c>
      <c r="D124" s="144">
        <f>IF(分析!D8&lt;&gt;"",分析!D8,"")</f>
        <v/>
      </c>
      <c r="E124" s="145">
        <f>IF(分析!E8&lt;&gt;"",分析!E8,"")</f>
        <v/>
      </c>
      <c r="F124" s="146">
        <f>IF(分析!F8&lt;&gt;"",分析!F8,"")</f>
        <v/>
      </c>
      <c r="G124" s="146">
        <f>IF(分析!H8&lt;&gt;"",分析!H8,"")</f>
        <v/>
      </c>
      <c r="H124" s="146">
        <f>IF(分析!I8&lt;&gt;"",分析!I8,"")</f>
        <v/>
      </c>
      <c r="I124" s="146">
        <f>IF(分析!J8&lt;&gt;"",分析!J8,"")</f>
        <v/>
      </c>
      <c r="J124" s="146">
        <f>IF(分析!AB8&lt;&gt;"",分析!AB8,"")</f>
        <v/>
      </c>
      <c r="K124" s="146">
        <f>IF(分析!AC8&lt;&gt;"",分析!AC8,"")</f>
        <v/>
      </c>
      <c r="L124" s="146">
        <f>IF(分析!K8&lt;&gt;"",分析!K8,"")</f>
        <v/>
      </c>
      <c r="M124" s="141">
        <f>IF(分析!P8&lt;&gt;"",分析!P8,"")</f>
        <v/>
      </c>
      <c r="N124" s="599">
        <f>IF(分析!O8&lt;&gt;"",分析!O8,"")</f>
        <v/>
      </c>
      <c r="O124" s="148">
        <f>IF(分析!X8&lt;&gt;"",分析!X8,"")</f>
        <v/>
      </c>
      <c r="P124" s="600">
        <f>IF(分析!L8&lt;&gt;"",分析!L8,"")</f>
        <v/>
      </c>
      <c r="Q124" s="146">
        <f>IF(分析!S8&lt;&gt;"",分析!S8,"")</f>
        <v/>
      </c>
      <c r="R124" s="146">
        <f>IF(分析!R8&lt;&gt;"",分析!R8,"")</f>
        <v/>
      </c>
      <c r="S124" s="141">
        <f>IF(分析!AA8&lt;&gt;"",分析!AA8,"")</f>
        <v/>
      </c>
      <c r="T124" s="601">
        <f>IF(分析!Z8&lt;&gt;"",分析!Z8,"")</f>
        <v/>
      </c>
      <c r="U124" s="141">
        <f>IF(分析!V8&lt;&gt;"",分析!V8,"")</f>
        <v/>
      </c>
      <c r="V124" s="602">
        <f>IF(分析!W8&lt;&gt;"",分析!W8,"")</f>
        <v/>
      </c>
      <c r="W124" s="152">
        <f>IF(分析!AD8&lt;&gt;"",分析!AD8,"")</f>
        <v/>
      </c>
      <c r="X124" s="153">
        <f>IF(分析!AE8&lt;&gt;"",分析!AE8,"")</f>
        <v/>
      </c>
      <c r="Y124" s="154">
        <f>IF(分析!T8&lt;&gt;"",分析!T8,"")</f>
        <v/>
      </c>
      <c r="Z124" s="155">
        <f>IF(分析!Y8&lt;&gt;"",分析!Y8,"")</f>
        <v/>
      </c>
    </row>
    <row r="125" ht="21.95" customHeight="1" s="574">
      <c r="A125" s="141">
        <f>IF(分析!C54&lt;&gt;"",ROW()-2,"")</f>
        <v/>
      </c>
      <c r="B125" s="142">
        <f>IF(分析!C54&lt;&gt;"",HYPERLINK("https://kabutan.jp/stock/?code="&amp;分析!C54,"株探"),"")</f>
        <v/>
      </c>
      <c r="C125" s="598">
        <f>IF(分析!C54&lt;&gt;"",分析!C54,"")</f>
        <v/>
      </c>
      <c r="D125" s="144">
        <f>IF(分析!D54&lt;&gt;"",分析!D54,"")</f>
        <v/>
      </c>
      <c r="E125" s="145">
        <f>IF(分析!E54&lt;&gt;"",分析!E54,"")</f>
        <v/>
      </c>
      <c r="F125" s="146">
        <f>IF(分析!F54&lt;&gt;"",分析!F54,"")</f>
        <v/>
      </c>
      <c r="G125" s="146">
        <f>IF(分析!H54&lt;&gt;"",分析!H54,"")</f>
        <v/>
      </c>
      <c r="H125" s="146">
        <f>IF(分析!I54&lt;&gt;"",分析!I54,"")</f>
        <v/>
      </c>
      <c r="I125" s="146">
        <f>IF(分析!J54&lt;&gt;"",分析!J54,"")</f>
        <v/>
      </c>
      <c r="J125" s="146">
        <f>IF(分析!AB54&lt;&gt;"",分析!AB54,"")</f>
        <v/>
      </c>
      <c r="K125" s="146">
        <f>IF(分析!AC54&lt;&gt;"",分析!AC54,"")</f>
        <v/>
      </c>
      <c r="L125" s="146">
        <f>IF(分析!K54&lt;&gt;"",分析!K54,"")</f>
        <v/>
      </c>
      <c r="M125" s="141">
        <f>IF(分析!P54&lt;&gt;"",分析!P54,"")</f>
        <v/>
      </c>
      <c r="N125" s="599">
        <f>IF(分析!O54&lt;&gt;"",分析!O54,"")</f>
        <v/>
      </c>
      <c r="O125" s="148">
        <f>IF(分析!X54&lt;&gt;"",分析!X54,"")</f>
        <v/>
      </c>
      <c r="P125" s="600">
        <f>IF(分析!L54&lt;&gt;"",分析!L54,"")</f>
        <v/>
      </c>
      <c r="Q125" s="146">
        <f>IF(分析!S54&lt;&gt;"",分析!S54,"")</f>
        <v/>
      </c>
      <c r="R125" s="146">
        <f>IF(分析!R54&lt;&gt;"",分析!R54,"")</f>
        <v/>
      </c>
      <c r="S125" s="141">
        <f>IF(分析!AA54&lt;&gt;"",分析!AA54,"")</f>
        <v/>
      </c>
      <c r="T125" s="601">
        <f>IF(分析!Z54&lt;&gt;"",分析!Z54,"")</f>
        <v/>
      </c>
      <c r="U125" s="141">
        <f>IF(分析!V54&lt;&gt;"",分析!V54,"")</f>
        <v/>
      </c>
      <c r="V125" s="602">
        <f>IF(分析!W54&lt;&gt;"",分析!W54,"")</f>
        <v/>
      </c>
      <c r="W125" s="152">
        <f>IF(分析!AD54&lt;&gt;"",分析!AD54,"")</f>
        <v/>
      </c>
      <c r="X125" s="153">
        <f>IF(分析!AE54&lt;&gt;"",分析!AE54,"")</f>
        <v/>
      </c>
      <c r="Y125" s="154">
        <f>IF(分析!T54&lt;&gt;"",分析!T54,"")</f>
        <v/>
      </c>
      <c r="Z125" s="155">
        <f>IF(分析!Y54&lt;&gt;"",分析!Y54,"")</f>
        <v/>
      </c>
    </row>
    <row r="126" ht="21.95" customHeight="1" s="574">
      <c r="A126" s="156">
        <f>IF(分析!C43&lt;&gt;"",ROW()-2,"")</f>
        <v/>
      </c>
      <c r="B126" s="157">
        <f>IF(分析!C43&lt;&gt;"",HYPERLINK("https://kabutan.jp/stock/?code="&amp;分析!C43,"株探"),"")</f>
        <v/>
      </c>
      <c r="C126" s="603">
        <f>IF(分析!C43&lt;&gt;"",分析!C43,"")</f>
        <v/>
      </c>
      <c r="D126" s="159">
        <f>IF(分析!D43&lt;&gt;"",分析!D43,"")</f>
        <v/>
      </c>
      <c r="E126" s="160">
        <f>IF(分析!E43&lt;&gt;"",分析!E43,"")</f>
        <v/>
      </c>
      <c r="F126" s="161">
        <f>IF(分析!F43&lt;&gt;"",分析!F43,"")</f>
        <v/>
      </c>
      <c r="G126" s="161">
        <f>IF(分析!H43&lt;&gt;"",分析!H43,"")</f>
        <v/>
      </c>
      <c r="H126" s="161">
        <f>IF(分析!I43&lt;&gt;"",分析!I43,"")</f>
        <v/>
      </c>
      <c r="I126" s="161">
        <f>IF(分析!J43&lt;&gt;"",分析!J43,"")</f>
        <v/>
      </c>
      <c r="J126" s="161">
        <f>IF(分析!AB43&lt;&gt;"",分析!AB43,"")</f>
        <v/>
      </c>
      <c r="K126" s="161">
        <f>IF(分析!AC43&lt;&gt;"",分析!AC43,"")</f>
        <v/>
      </c>
      <c r="L126" s="161">
        <f>IF(分析!K43&lt;&gt;"",分析!K43,"")</f>
        <v/>
      </c>
      <c r="M126" s="156">
        <f>IF(分析!P43&lt;&gt;"",分析!P43,"")</f>
        <v/>
      </c>
      <c r="N126" s="604">
        <f>IF(分析!O43&lt;&gt;"",分析!O43,"")</f>
        <v/>
      </c>
      <c r="O126" s="163">
        <f>IF(分析!X43&lt;&gt;"",分析!X43,"")</f>
        <v/>
      </c>
      <c r="P126" s="605">
        <f>IF(分析!L43&lt;&gt;"",分析!L43,"")</f>
        <v/>
      </c>
      <c r="Q126" s="161">
        <f>IF(分析!S43&lt;&gt;"",分析!S43,"")</f>
        <v/>
      </c>
      <c r="R126" s="161">
        <f>IF(分析!R43&lt;&gt;"",分析!R43,"")</f>
        <v/>
      </c>
      <c r="S126" s="156">
        <f>IF(分析!AA43&lt;&gt;"",分析!AA43,"")</f>
        <v/>
      </c>
      <c r="T126" s="606">
        <f>IF(分析!Z43&lt;&gt;"",分析!Z43,"")</f>
        <v/>
      </c>
      <c r="U126" s="156">
        <f>IF(分析!V43&lt;&gt;"",分析!V43,"")</f>
        <v/>
      </c>
      <c r="V126" s="607">
        <f>IF(分析!W43&lt;&gt;"",分析!W43,"")</f>
        <v/>
      </c>
      <c r="W126" s="167">
        <f>IF(分析!AD43&lt;&gt;"",分析!AD43,"")</f>
        <v/>
      </c>
      <c r="X126" s="168">
        <f>IF(分析!AE43&lt;&gt;"",分析!AE43,"")</f>
        <v/>
      </c>
      <c r="Y126" s="169">
        <f>IF(分析!T43&lt;&gt;"",分析!T43,"")</f>
        <v/>
      </c>
      <c r="Z126" s="155">
        <f>IF(分析!Y43&lt;&gt;"",分析!Y43,"")</f>
        <v/>
      </c>
    </row>
    <row r="127" ht="21.95" customHeight="1" s="574">
      <c r="A127" s="156">
        <f>IF(分析!C127&lt;&gt;"",ROW()-2,"")</f>
        <v/>
      </c>
      <c r="B127" s="157">
        <f>IF(分析!C127&lt;&gt;"",HYPERLINK("https://kabutan.jp/stock/?code="&amp;分析!C127,"株探"),"")</f>
        <v/>
      </c>
      <c r="C127" s="603">
        <f>IF(分析!C127&lt;&gt;"",分析!C127,"")</f>
        <v/>
      </c>
      <c r="D127" s="159">
        <f>IF(分析!D127&lt;&gt;"",分析!D127,"")</f>
        <v/>
      </c>
      <c r="E127" s="160">
        <f>IF(分析!E127&lt;&gt;"",分析!E127,"")</f>
        <v/>
      </c>
      <c r="F127" s="161">
        <f>IF(分析!F127&lt;&gt;"",分析!F127,"")</f>
        <v/>
      </c>
      <c r="G127" s="161">
        <f>IF(分析!H127&lt;&gt;"",分析!H127,"")</f>
        <v/>
      </c>
      <c r="H127" s="161">
        <f>IF(分析!I127&lt;&gt;"",分析!I127,"")</f>
        <v/>
      </c>
      <c r="I127" s="161">
        <f>IF(分析!J127&lt;&gt;"",分析!J127,"")</f>
        <v/>
      </c>
      <c r="J127" s="161">
        <f>IF(分析!AB127&lt;&gt;"",分析!AB127,"")</f>
        <v/>
      </c>
      <c r="K127" s="161">
        <f>IF(分析!AC127&lt;&gt;"",分析!AC127,"")</f>
        <v/>
      </c>
      <c r="L127" s="161">
        <f>IF(分析!K127&lt;&gt;"",分析!K127,"")</f>
        <v/>
      </c>
      <c r="M127" s="156">
        <f>IF(分析!P127&lt;&gt;"",分析!P127,"")</f>
        <v/>
      </c>
      <c r="N127" s="604">
        <f>IF(分析!O127&lt;&gt;"",分析!O127,"")</f>
        <v/>
      </c>
      <c r="O127" s="163">
        <f>IF(分析!X127&lt;&gt;"",分析!X127,"")</f>
        <v/>
      </c>
      <c r="P127" s="605">
        <f>IF(分析!L127&lt;&gt;"",分析!L127,"")</f>
        <v/>
      </c>
      <c r="Q127" s="161">
        <f>IF(分析!S127&lt;&gt;"",分析!S127,"")</f>
        <v/>
      </c>
      <c r="R127" s="161">
        <f>IF(分析!R127&lt;&gt;"",分析!R127,"")</f>
        <v/>
      </c>
      <c r="S127" s="156">
        <f>IF(分析!AA127&lt;&gt;"",分析!AA127,"")</f>
        <v/>
      </c>
      <c r="T127" s="606">
        <f>IF(分析!Z127&lt;&gt;"",分析!Z127,"")</f>
        <v/>
      </c>
      <c r="U127" s="156">
        <f>IF(分析!V127&lt;&gt;"",分析!V127,"")</f>
        <v/>
      </c>
      <c r="V127" s="607">
        <f>IF(分析!W127&lt;&gt;"",分析!W127,"")</f>
        <v/>
      </c>
      <c r="W127" s="167">
        <f>IF(分析!AD127&lt;&gt;"",分析!AD127,"")</f>
        <v/>
      </c>
      <c r="X127" s="168">
        <f>IF(分析!AE127&lt;&gt;"",分析!AE127,"")</f>
        <v/>
      </c>
      <c r="Y127" s="169">
        <f>IF(分析!T127&lt;&gt;"",分析!T127,"")</f>
        <v/>
      </c>
      <c r="Z127" s="155">
        <f>IF(分析!Y127&lt;&gt;"",分析!Y127,"")</f>
        <v/>
      </c>
    </row>
    <row r="128" ht="21.95" customHeight="1" s="574">
      <c r="A128" s="141">
        <f>IF(分析!C56&lt;&gt;"",ROW()-2,"")</f>
        <v/>
      </c>
      <c r="B128" s="142">
        <f>IF(分析!C56&lt;&gt;"",HYPERLINK("https://kabutan.jp/stock/?code="&amp;分析!C56,"株探"),"")</f>
        <v/>
      </c>
      <c r="C128" s="598">
        <f>IF(分析!C56&lt;&gt;"",分析!C56,"")</f>
        <v/>
      </c>
      <c r="D128" s="144">
        <f>IF(分析!D56&lt;&gt;"",分析!D56,"")</f>
        <v/>
      </c>
      <c r="E128" s="145">
        <f>IF(分析!E56&lt;&gt;"",分析!E56,"")</f>
        <v/>
      </c>
      <c r="F128" s="146">
        <f>IF(分析!F56&lt;&gt;"",分析!F56,"")</f>
        <v/>
      </c>
      <c r="G128" s="146">
        <f>IF(分析!H56&lt;&gt;"",分析!H56,"")</f>
        <v/>
      </c>
      <c r="H128" s="146">
        <f>IF(分析!I56&lt;&gt;"",分析!I56,"")</f>
        <v/>
      </c>
      <c r="I128" s="146">
        <f>IF(分析!J56&lt;&gt;"",分析!J56,"")</f>
        <v/>
      </c>
      <c r="J128" s="146">
        <f>IF(分析!AB56&lt;&gt;"",分析!AB56,"")</f>
        <v/>
      </c>
      <c r="K128" s="146">
        <f>IF(分析!AC56&lt;&gt;"",分析!AC56,"")</f>
        <v/>
      </c>
      <c r="L128" s="146">
        <f>IF(分析!K56&lt;&gt;"",分析!K56,"")</f>
        <v/>
      </c>
      <c r="M128" s="141">
        <f>IF(分析!P56&lt;&gt;"",分析!P56,"")</f>
        <v/>
      </c>
      <c r="N128" s="599">
        <f>IF(分析!O56&lt;&gt;"",分析!O56,"")</f>
        <v/>
      </c>
      <c r="O128" s="148">
        <f>IF(分析!X56&lt;&gt;"",分析!X56,"")</f>
        <v/>
      </c>
      <c r="P128" s="600">
        <f>IF(分析!L56&lt;&gt;"",分析!L56,"")</f>
        <v/>
      </c>
      <c r="Q128" s="146">
        <f>IF(分析!S56&lt;&gt;"",分析!S56,"")</f>
        <v/>
      </c>
      <c r="R128" s="146">
        <f>IF(分析!R56&lt;&gt;"",分析!R56,"")</f>
        <v/>
      </c>
      <c r="S128" s="141">
        <f>IF(分析!AA56&lt;&gt;"",分析!AA56,"")</f>
        <v/>
      </c>
      <c r="T128" s="601">
        <f>IF(分析!Z56&lt;&gt;"",分析!Z56,"")</f>
        <v/>
      </c>
      <c r="U128" s="141">
        <f>IF(分析!V56&lt;&gt;"",分析!V56,"")</f>
        <v/>
      </c>
      <c r="V128" s="602">
        <f>IF(分析!W56&lt;&gt;"",分析!W56,"")</f>
        <v/>
      </c>
      <c r="W128" s="152">
        <f>IF(分析!AD56&lt;&gt;"",分析!AD56,"")</f>
        <v/>
      </c>
      <c r="X128" s="153">
        <f>IF(分析!AE56&lt;&gt;"",分析!AE56,"")</f>
        <v/>
      </c>
      <c r="Y128" s="154">
        <f>IF(分析!T56&lt;&gt;"",分析!T56,"")</f>
        <v/>
      </c>
      <c r="Z128" s="155">
        <f>IF(分析!Y56&lt;&gt;"",分析!Y56,"")</f>
        <v/>
      </c>
    </row>
    <row r="129" ht="21.95" customHeight="1" s="574">
      <c r="A129" s="141">
        <f>IF(分析!C152&lt;&gt;"",ROW()-2,"")</f>
        <v/>
      </c>
      <c r="B129" s="142">
        <f>IF(分析!C152&lt;&gt;"",HYPERLINK("https://kabutan.jp/stock/?code="&amp;分析!C152,"株探"),"")</f>
        <v/>
      </c>
      <c r="C129" s="598">
        <f>IF(分析!C152&lt;&gt;"",分析!C152,"")</f>
        <v/>
      </c>
      <c r="D129" s="144">
        <f>IF(分析!D152&lt;&gt;"",分析!D152,"")</f>
        <v/>
      </c>
      <c r="E129" s="145">
        <f>IF(分析!E152&lt;&gt;"",分析!E152,"")</f>
        <v/>
      </c>
      <c r="F129" s="146">
        <f>IF(分析!F152&lt;&gt;"",分析!F152,"")</f>
        <v/>
      </c>
      <c r="G129" s="146">
        <f>IF(分析!H152&lt;&gt;"",分析!H152,"")</f>
        <v/>
      </c>
      <c r="H129" s="146">
        <f>IF(分析!I152&lt;&gt;"",分析!I152,"")</f>
        <v/>
      </c>
      <c r="I129" s="146">
        <f>IF(分析!J152&lt;&gt;"",分析!J152,"")</f>
        <v/>
      </c>
      <c r="J129" s="146">
        <f>IF(分析!AB152&lt;&gt;"",分析!AB152,"")</f>
        <v/>
      </c>
      <c r="K129" s="146">
        <f>IF(分析!AC152&lt;&gt;"",分析!AC152,"")</f>
        <v/>
      </c>
      <c r="L129" s="146">
        <f>IF(分析!K152&lt;&gt;"",分析!K152,"")</f>
        <v/>
      </c>
      <c r="M129" s="141">
        <f>IF(分析!P152&lt;&gt;"",分析!P152,"")</f>
        <v/>
      </c>
      <c r="N129" s="599">
        <f>IF(分析!O152&lt;&gt;"",分析!O152,"")</f>
        <v/>
      </c>
      <c r="O129" s="148">
        <f>IF(分析!X152&lt;&gt;"",分析!X152,"")</f>
        <v/>
      </c>
      <c r="P129" s="600">
        <f>IF(分析!L152&lt;&gt;"",分析!L152,"")</f>
        <v/>
      </c>
      <c r="Q129" s="146">
        <f>IF(分析!S152&lt;&gt;"",分析!S152,"")</f>
        <v/>
      </c>
      <c r="R129" s="146">
        <f>IF(分析!R152&lt;&gt;"",分析!R152,"")</f>
        <v/>
      </c>
      <c r="S129" s="141">
        <f>IF(分析!AA152&lt;&gt;"",分析!AA152,"")</f>
        <v/>
      </c>
      <c r="T129" s="601">
        <f>IF(分析!Z152&lt;&gt;"",分析!Z152,"")</f>
        <v/>
      </c>
      <c r="U129" s="141">
        <f>IF(分析!V152&lt;&gt;"",分析!V152,"")</f>
        <v/>
      </c>
      <c r="V129" s="602">
        <f>IF(分析!W152&lt;&gt;"",分析!W152,"")</f>
        <v/>
      </c>
      <c r="W129" s="152">
        <f>IF(分析!AD152&lt;&gt;"",分析!AD152,"")</f>
        <v/>
      </c>
      <c r="X129" s="153">
        <f>IF(分析!AE152&lt;&gt;"",分析!AE152,"")</f>
        <v/>
      </c>
      <c r="Y129" s="154">
        <f>IF(分析!T152&lt;&gt;"",分析!T152,"")</f>
        <v/>
      </c>
      <c r="Z129" s="155">
        <f>IF(分析!Y152&lt;&gt;"",分析!Y152,"")</f>
        <v/>
      </c>
    </row>
    <row r="130" ht="21.95" customHeight="1" s="574">
      <c r="A130" s="156">
        <f>IF(分析!C5&lt;&gt;"",ROW()-2,"")</f>
        <v/>
      </c>
      <c r="B130" s="157">
        <f>IF(分析!C5&lt;&gt;"",HYPERLINK("https://kabutan.jp/stock/?code="&amp;分析!C5,"株探"),"")</f>
        <v/>
      </c>
      <c r="C130" s="603">
        <f>IF(分析!C5&lt;&gt;"",分析!C5,"")</f>
        <v/>
      </c>
      <c r="D130" s="159">
        <f>IF(分析!D5&lt;&gt;"",分析!D5,"")</f>
        <v/>
      </c>
      <c r="E130" s="160">
        <f>IF(分析!E5&lt;&gt;"",分析!E5,"")</f>
        <v/>
      </c>
      <c r="F130" s="161">
        <f>IF(分析!F5&lt;&gt;"",分析!F5,"")</f>
        <v/>
      </c>
      <c r="G130" s="161">
        <f>IF(分析!H5&lt;&gt;"",分析!H5,"")</f>
        <v/>
      </c>
      <c r="H130" s="161">
        <f>IF(分析!I5&lt;&gt;"",分析!I5,"")</f>
        <v/>
      </c>
      <c r="I130" s="161">
        <f>IF(分析!J5&lt;&gt;"",分析!J5,"")</f>
        <v/>
      </c>
      <c r="J130" s="161">
        <f>IF(分析!AB5&lt;&gt;"",分析!AB5,"")</f>
        <v/>
      </c>
      <c r="K130" s="161">
        <f>IF(分析!AC5&lt;&gt;"",分析!AC5,"")</f>
        <v/>
      </c>
      <c r="L130" s="161">
        <f>IF(分析!K5&lt;&gt;"",分析!K5,"")</f>
        <v/>
      </c>
      <c r="M130" s="156">
        <f>IF(分析!P5&lt;&gt;"",分析!P5,"")</f>
        <v/>
      </c>
      <c r="N130" s="604">
        <f>IF(分析!O5&lt;&gt;"",分析!O5,"")</f>
        <v/>
      </c>
      <c r="O130" s="163">
        <f>IF(分析!X5&lt;&gt;"",分析!X5,"")</f>
        <v/>
      </c>
      <c r="P130" s="605">
        <f>IF(分析!L5&lt;&gt;"",分析!L5,"")</f>
        <v/>
      </c>
      <c r="Q130" s="161">
        <f>IF(分析!S5&lt;&gt;"",分析!S5,"")</f>
        <v/>
      </c>
      <c r="R130" s="161">
        <f>IF(分析!R5&lt;&gt;"",分析!R5,"")</f>
        <v/>
      </c>
      <c r="S130" s="156">
        <f>IF(分析!AA5&lt;&gt;"",分析!AA5,"")</f>
        <v/>
      </c>
      <c r="T130" s="606">
        <f>IF(分析!Z5&lt;&gt;"",分析!Z5,"")</f>
        <v/>
      </c>
      <c r="U130" s="156">
        <f>IF(分析!V5&lt;&gt;"",分析!V5,"")</f>
        <v/>
      </c>
      <c r="V130" s="607">
        <f>IF(分析!W5&lt;&gt;"",分析!W5,"")</f>
        <v/>
      </c>
      <c r="W130" s="167">
        <f>IF(分析!AD5&lt;&gt;"",分析!AD5,"")</f>
        <v/>
      </c>
      <c r="X130" s="168">
        <f>IF(分析!AE5&lt;&gt;"",分析!AE5,"")</f>
        <v/>
      </c>
      <c r="Y130" s="169">
        <f>IF(分析!T5&lt;&gt;"",分析!T5,"")</f>
        <v/>
      </c>
      <c r="Z130" s="155">
        <f>IF(分析!Y5&lt;&gt;"",分析!Y5,"")</f>
        <v/>
      </c>
    </row>
    <row r="131" ht="21.95" customHeight="1" s="574">
      <c r="A131" s="141">
        <f>IF(分析!C30&lt;&gt;"",ROW()-2,"")</f>
        <v/>
      </c>
      <c r="B131" s="142">
        <f>IF(分析!C30&lt;&gt;"",HYPERLINK("https://kabutan.jp/stock/?code="&amp;分析!C30,"株探"),"")</f>
        <v/>
      </c>
      <c r="C131" s="598">
        <f>IF(分析!C30&lt;&gt;"",分析!C30,"")</f>
        <v/>
      </c>
      <c r="D131" s="144">
        <f>IF(分析!D30&lt;&gt;"",分析!D30,"")</f>
        <v/>
      </c>
      <c r="E131" s="145">
        <f>IF(分析!E30&lt;&gt;"",分析!E30,"")</f>
        <v/>
      </c>
      <c r="F131" s="146">
        <f>IF(分析!F30&lt;&gt;"",分析!F30,"")</f>
        <v/>
      </c>
      <c r="G131" s="146">
        <f>IF(分析!H30&lt;&gt;"",分析!H30,"")</f>
        <v/>
      </c>
      <c r="H131" s="146">
        <f>IF(分析!I30&lt;&gt;"",分析!I30,"")</f>
        <v/>
      </c>
      <c r="I131" s="146">
        <f>IF(分析!J30&lt;&gt;"",分析!J30,"")</f>
        <v/>
      </c>
      <c r="J131" s="146">
        <f>IF(分析!AB30&lt;&gt;"",分析!AB30,"")</f>
        <v/>
      </c>
      <c r="K131" s="146">
        <f>IF(分析!AC30&lt;&gt;"",分析!AC30,"")</f>
        <v/>
      </c>
      <c r="L131" s="146">
        <f>IF(分析!K30&lt;&gt;"",分析!K30,"")</f>
        <v/>
      </c>
      <c r="M131" s="141">
        <f>IF(分析!P30&lt;&gt;"",分析!P30,"")</f>
        <v/>
      </c>
      <c r="N131" s="599">
        <f>IF(分析!O30&lt;&gt;"",分析!O30,"")</f>
        <v/>
      </c>
      <c r="O131" s="148">
        <f>IF(分析!X30&lt;&gt;"",分析!X30,"")</f>
        <v/>
      </c>
      <c r="P131" s="600">
        <f>IF(分析!L30&lt;&gt;"",分析!L30,"")</f>
        <v/>
      </c>
      <c r="Q131" s="146">
        <f>IF(分析!S30&lt;&gt;"",分析!S30,"")</f>
        <v/>
      </c>
      <c r="R131" s="146">
        <f>IF(分析!R30&lt;&gt;"",分析!R30,"")</f>
        <v/>
      </c>
      <c r="S131" s="141">
        <f>IF(分析!AA30&lt;&gt;"",分析!AA30,"")</f>
        <v/>
      </c>
      <c r="T131" s="601">
        <f>IF(分析!Z30&lt;&gt;"",分析!Z30,"")</f>
        <v/>
      </c>
      <c r="U131" s="141">
        <f>IF(分析!V30&lt;&gt;"",分析!V30,"")</f>
        <v/>
      </c>
      <c r="V131" s="602">
        <f>IF(分析!W30&lt;&gt;"",分析!W30,"")</f>
        <v/>
      </c>
      <c r="W131" s="152">
        <f>IF(分析!AD30&lt;&gt;"",分析!AD30,"")</f>
        <v/>
      </c>
      <c r="X131" s="153">
        <f>IF(分析!AE30&lt;&gt;"",分析!AE30,"")</f>
        <v/>
      </c>
      <c r="Y131" s="154">
        <f>IF(分析!T30&lt;&gt;"",分析!T30,"")</f>
        <v/>
      </c>
      <c r="Z131" s="155">
        <f>IF(分析!Y30&lt;&gt;"",分析!Y30,"")</f>
        <v/>
      </c>
    </row>
    <row r="132" ht="21.95" customHeight="1" s="574">
      <c r="A132" s="141">
        <f>IF(分析!C190&lt;&gt;"",ROW()-2,"")</f>
        <v/>
      </c>
      <c r="B132" s="142">
        <f>IF(分析!C190&lt;&gt;"",HYPERLINK("https://kabutan.jp/stock/?code="&amp;分析!C190,"株探"),"")</f>
        <v/>
      </c>
      <c r="C132" s="598">
        <f>IF(分析!C190&lt;&gt;"",分析!C190,"")</f>
        <v/>
      </c>
      <c r="D132" s="144">
        <f>IF(分析!D190&lt;&gt;"",分析!D190,"")</f>
        <v/>
      </c>
      <c r="E132" s="145">
        <f>IF(分析!E190&lt;&gt;"",分析!E190,"")</f>
        <v/>
      </c>
      <c r="F132" s="146">
        <f>IF(分析!F190&lt;&gt;"",分析!F190,"")</f>
        <v/>
      </c>
      <c r="G132" s="146">
        <f>IF(分析!H190&lt;&gt;"",分析!H190,"")</f>
        <v/>
      </c>
      <c r="H132" s="146">
        <f>IF(分析!I190&lt;&gt;"",分析!I190,"")</f>
        <v/>
      </c>
      <c r="I132" s="146">
        <f>IF(分析!J190&lt;&gt;"",分析!J190,"")</f>
        <v/>
      </c>
      <c r="J132" s="146">
        <f>IF(分析!AB190&lt;&gt;"",分析!AB190,"")</f>
        <v/>
      </c>
      <c r="K132" s="146">
        <f>IF(分析!AC190&lt;&gt;"",分析!AC190,"")</f>
        <v/>
      </c>
      <c r="L132" s="146">
        <f>IF(分析!K190&lt;&gt;"",分析!K190,"")</f>
        <v/>
      </c>
      <c r="M132" s="141">
        <f>IF(分析!P190&lt;&gt;"",分析!P190,"")</f>
        <v/>
      </c>
      <c r="N132" s="599">
        <f>IF(分析!O190&lt;&gt;"",分析!O190,"")</f>
        <v/>
      </c>
      <c r="O132" s="148">
        <f>IF(分析!X190&lt;&gt;"",分析!X190,"")</f>
        <v/>
      </c>
      <c r="P132" s="600">
        <f>IF(分析!L190&lt;&gt;"",分析!L190,"")</f>
        <v/>
      </c>
      <c r="Q132" s="146">
        <f>IF(分析!S190&lt;&gt;"",分析!S190,"")</f>
        <v/>
      </c>
      <c r="R132" s="146">
        <f>IF(分析!R190&lt;&gt;"",分析!R190,"")</f>
        <v/>
      </c>
      <c r="S132" s="141">
        <f>IF(分析!AA190&lt;&gt;"",分析!AA190,"")</f>
        <v/>
      </c>
      <c r="T132" s="601">
        <f>IF(分析!Z190&lt;&gt;"",分析!Z190,"")</f>
        <v/>
      </c>
      <c r="U132" s="141">
        <f>IF(分析!V190&lt;&gt;"",分析!V190,"")</f>
        <v/>
      </c>
      <c r="V132" s="602">
        <f>IF(分析!W190&lt;&gt;"",分析!W190,"")</f>
        <v/>
      </c>
      <c r="W132" s="152">
        <f>IF(分析!AD190&lt;&gt;"",分析!AD190,"")</f>
        <v/>
      </c>
      <c r="X132" s="153">
        <f>IF(分析!AE190&lt;&gt;"",分析!AE190,"")</f>
        <v/>
      </c>
      <c r="Y132" s="154">
        <f>IF(分析!T190&lt;&gt;"",分析!T190,"")</f>
        <v/>
      </c>
      <c r="Z132" s="155">
        <f>IF(分析!Y190&lt;&gt;"",分析!Y190,"")</f>
        <v/>
      </c>
    </row>
    <row r="133" ht="21.95" customHeight="1" s="574">
      <c r="A133" s="156">
        <f>IF(分析!C53&lt;&gt;"",ROW()-2,"")</f>
        <v/>
      </c>
      <c r="B133" s="157">
        <f>IF(分析!C53&lt;&gt;"",HYPERLINK("https://kabutan.jp/stock/?code="&amp;分析!C53,"株探"),"")</f>
        <v/>
      </c>
      <c r="C133" s="603">
        <f>IF(分析!C53&lt;&gt;"",分析!C53,"")</f>
        <v/>
      </c>
      <c r="D133" s="159">
        <f>IF(分析!D53&lt;&gt;"",分析!D53,"")</f>
        <v/>
      </c>
      <c r="E133" s="160">
        <f>IF(分析!E53&lt;&gt;"",分析!E53,"")</f>
        <v/>
      </c>
      <c r="F133" s="161">
        <f>IF(分析!F53&lt;&gt;"",分析!F53,"")</f>
        <v/>
      </c>
      <c r="G133" s="161">
        <f>IF(分析!H53&lt;&gt;"",分析!H53,"")</f>
        <v/>
      </c>
      <c r="H133" s="161">
        <f>IF(分析!I53&lt;&gt;"",分析!I53,"")</f>
        <v/>
      </c>
      <c r="I133" s="161">
        <f>IF(分析!J53&lt;&gt;"",分析!J53,"")</f>
        <v/>
      </c>
      <c r="J133" s="161">
        <f>IF(分析!AB53&lt;&gt;"",分析!AB53,"")</f>
        <v/>
      </c>
      <c r="K133" s="161">
        <f>IF(分析!AC53&lt;&gt;"",分析!AC53,"")</f>
        <v/>
      </c>
      <c r="L133" s="161">
        <f>IF(分析!K53&lt;&gt;"",分析!K53,"")</f>
        <v/>
      </c>
      <c r="M133" s="156">
        <f>IF(分析!P53&lt;&gt;"",分析!P53,"")</f>
        <v/>
      </c>
      <c r="N133" s="604">
        <f>IF(分析!O53&lt;&gt;"",分析!O53,"")</f>
        <v/>
      </c>
      <c r="O133" s="163">
        <f>IF(分析!X53&lt;&gt;"",分析!X53,"")</f>
        <v/>
      </c>
      <c r="P133" s="605">
        <f>IF(分析!L53&lt;&gt;"",分析!L53,"")</f>
        <v/>
      </c>
      <c r="Q133" s="161">
        <f>IF(分析!S53&lt;&gt;"",分析!S53,"")</f>
        <v/>
      </c>
      <c r="R133" s="161">
        <f>IF(分析!R53&lt;&gt;"",分析!R53,"")</f>
        <v/>
      </c>
      <c r="S133" s="156">
        <f>IF(分析!AA53&lt;&gt;"",分析!AA53,"")</f>
        <v/>
      </c>
      <c r="T133" s="606">
        <f>IF(分析!Z53&lt;&gt;"",分析!Z53,"")</f>
        <v/>
      </c>
      <c r="U133" s="156">
        <f>IF(分析!V53&lt;&gt;"",分析!V53,"")</f>
        <v/>
      </c>
      <c r="V133" s="607">
        <f>IF(分析!W53&lt;&gt;"",分析!W53,"")</f>
        <v/>
      </c>
      <c r="W133" s="167">
        <f>IF(分析!AD53&lt;&gt;"",分析!AD53,"")</f>
        <v/>
      </c>
      <c r="X133" s="168">
        <f>IF(分析!AE53&lt;&gt;"",分析!AE53,"")</f>
        <v/>
      </c>
      <c r="Y133" s="169">
        <f>IF(分析!T53&lt;&gt;"",分析!T53,"")</f>
        <v/>
      </c>
      <c r="Z133" s="155">
        <f>IF(分析!Y53&lt;&gt;"",分析!Y53,"")</f>
        <v/>
      </c>
    </row>
    <row r="134" ht="21.95" customHeight="1" s="574">
      <c r="A134" s="141">
        <f>IF(分析!C182&lt;&gt;"",ROW()-2,"")</f>
        <v/>
      </c>
      <c r="B134" s="142">
        <f>IF(分析!C182&lt;&gt;"",HYPERLINK("https://kabutan.jp/stock/?code="&amp;分析!C182,"株探"),"")</f>
        <v/>
      </c>
      <c r="C134" s="598">
        <f>IF(分析!C182&lt;&gt;"",分析!C182,"")</f>
        <v/>
      </c>
      <c r="D134" s="144">
        <f>IF(分析!D182&lt;&gt;"",分析!D182,"")</f>
        <v/>
      </c>
      <c r="E134" s="145">
        <f>IF(分析!E182&lt;&gt;"",分析!E182,"")</f>
        <v/>
      </c>
      <c r="F134" s="146">
        <f>IF(分析!F182&lt;&gt;"",分析!F182,"")</f>
        <v/>
      </c>
      <c r="G134" s="146">
        <f>IF(分析!H182&lt;&gt;"",分析!H182,"")</f>
        <v/>
      </c>
      <c r="H134" s="146">
        <f>IF(分析!I182&lt;&gt;"",分析!I182,"")</f>
        <v/>
      </c>
      <c r="I134" s="146">
        <f>IF(分析!J182&lt;&gt;"",分析!J182,"")</f>
        <v/>
      </c>
      <c r="J134" s="146">
        <f>IF(分析!AB182&lt;&gt;"",分析!AB182,"")</f>
        <v/>
      </c>
      <c r="K134" s="146">
        <f>IF(分析!AC182&lt;&gt;"",分析!AC182,"")</f>
        <v/>
      </c>
      <c r="L134" s="146">
        <f>IF(分析!K182&lt;&gt;"",分析!K182,"")</f>
        <v/>
      </c>
      <c r="M134" s="141">
        <f>IF(分析!P182&lt;&gt;"",分析!P182,"")</f>
        <v/>
      </c>
      <c r="N134" s="599">
        <f>IF(分析!O182&lt;&gt;"",分析!O182,"")</f>
        <v/>
      </c>
      <c r="O134" s="148">
        <f>IF(分析!X182&lt;&gt;"",分析!X182,"")</f>
        <v/>
      </c>
      <c r="P134" s="600">
        <f>IF(分析!L182&lt;&gt;"",分析!L182,"")</f>
        <v/>
      </c>
      <c r="Q134" s="146">
        <f>IF(分析!S182&lt;&gt;"",分析!S182,"")</f>
        <v/>
      </c>
      <c r="R134" s="146">
        <f>IF(分析!R182&lt;&gt;"",分析!R182,"")</f>
        <v/>
      </c>
      <c r="S134" s="141">
        <f>IF(分析!AA182&lt;&gt;"",分析!AA182,"")</f>
        <v/>
      </c>
      <c r="T134" s="601">
        <f>IF(分析!Z182&lt;&gt;"",分析!Z182,"")</f>
        <v/>
      </c>
      <c r="U134" s="141">
        <f>IF(分析!V182&lt;&gt;"",分析!V182,"")</f>
        <v/>
      </c>
      <c r="V134" s="602">
        <f>IF(分析!W182&lt;&gt;"",分析!W182,"")</f>
        <v/>
      </c>
      <c r="W134" s="152">
        <f>IF(分析!AD182&lt;&gt;"",分析!AD182,"")</f>
        <v/>
      </c>
      <c r="X134" s="153">
        <f>IF(分析!AE182&lt;&gt;"",分析!AE182,"")</f>
        <v/>
      </c>
      <c r="Y134" s="154">
        <f>IF(分析!T182&lt;&gt;"",分析!T182,"")</f>
        <v/>
      </c>
      <c r="Z134" s="155">
        <f>IF(分析!Y182&lt;&gt;"",分析!Y182,"")</f>
        <v/>
      </c>
    </row>
    <row r="135" ht="21.95" customHeight="1" s="574">
      <c r="A135" s="156">
        <f>IF(分析!C17&lt;&gt;"",ROW()-2,"")</f>
        <v/>
      </c>
      <c r="B135" s="157">
        <f>IF(分析!C17&lt;&gt;"",HYPERLINK("https://kabutan.jp/stock/?code="&amp;分析!C17,"株探"),"")</f>
        <v/>
      </c>
      <c r="C135" s="603">
        <f>IF(分析!C17&lt;&gt;"",分析!C17,"")</f>
        <v/>
      </c>
      <c r="D135" s="159">
        <f>IF(分析!D17&lt;&gt;"",分析!D17,"")</f>
        <v/>
      </c>
      <c r="E135" s="160">
        <f>IF(分析!E17&lt;&gt;"",分析!E17,"")</f>
        <v/>
      </c>
      <c r="F135" s="161">
        <f>IF(分析!F17&lt;&gt;"",分析!F17,"")</f>
        <v/>
      </c>
      <c r="G135" s="161">
        <f>IF(分析!H17&lt;&gt;"",分析!H17,"")</f>
        <v/>
      </c>
      <c r="H135" s="161">
        <f>IF(分析!I17&lt;&gt;"",分析!I17,"")</f>
        <v/>
      </c>
      <c r="I135" s="161">
        <f>IF(分析!J17&lt;&gt;"",分析!J17,"")</f>
        <v/>
      </c>
      <c r="J135" s="161">
        <f>IF(分析!AB17&lt;&gt;"",分析!AB17,"")</f>
        <v/>
      </c>
      <c r="K135" s="161">
        <f>IF(分析!AC17&lt;&gt;"",分析!AC17,"")</f>
        <v/>
      </c>
      <c r="L135" s="161">
        <f>IF(分析!K17&lt;&gt;"",分析!K17,"")</f>
        <v/>
      </c>
      <c r="M135" s="156">
        <f>IF(分析!P17&lt;&gt;"",分析!P17,"")</f>
        <v/>
      </c>
      <c r="N135" s="604">
        <f>IF(分析!O17&lt;&gt;"",分析!O17,"")</f>
        <v/>
      </c>
      <c r="O135" s="163">
        <f>IF(分析!X17&lt;&gt;"",分析!X17,"")</f>
        <v/>
      </c>
      <c r="P135" s="605">
        <f>IF(分析!L17&lt;&gt;"",分析!L17,"")</f>
        <v/>
      </c>
      <c r="Q135" s="161">
        <f>IF(分析!S17&lt;&gt;"",分析!S17,"")</f>
        <v/>
      </c>
      <c r="R135" s="161">
        <f>IF(分析!R17&lt;&gt;"",分析!R17,"")</f>
        <v/>
      </c>
      <c r="S135" s="156">
        <f>IF(分析!AA17&lt;&gt;"",分析!AA17,"")</f>
        <v/>
      </c>
      <c r="T135" s="606">
        <f>IF(分析!Z17&lt;&gt;"",分析!Z17,"")</f>
        <v/>
      </c>
      <c r="U135" s="156">
        <f>IF(分析!V17&lt;&gt;"",分析!V17,"")</f>
        <v/>
      </c>
      <c r="V135" s="607">
        <f>IF(分析!W17&lt;&gt;"",分析!W17,"")</f>
        <v/>
      </c>
      <c r="W135" s="167">
        <f>IF(分析!AD17&lt;&gt;"",分析!AD17,"")</f>
        <v/>
      </c>
      <c r="X135" s="168">
        <f>IF(分析!AE17&lt;&gt;"",分析!AE17,"")</f>
        <v/>
      </c>
      <c r="Y135" s="169">
        <f>IF(分析!T17&lt;&gt;"",分析!T17,"")</f>
        <v/>
      </c>
      <c r="Z135" s="155">
        <f>IF(分析!Y17&lt;&gt;"",分析!Y17,"")</f>
        <v/>
      </c>
    </row>
    <row r="136" ht="21.95" customHeight="1" s="574">
      <c r="A136" s="156">
        <f>IF(分析!C125&lt;&gt;"",ROW()-2,"")</f>
        <v/>
      </c>
      <c r="B136" s="157">
        <f>IF(分析!C125&lt;&gt;"",HYPERLINK("https://kabutan.jp/stock/?code="&amp;分析!C125,"株探"),"")</f>
        <v/>
      </c>
      <c r="C136" s="603">
        <f>IF(分析!C125&lt;&gt;"",分析!C125,"")</f>
        <v/>
      </c>
      <c r="D136" s="159">
        <f>IF(分析!D125&lt;&gt;"",分析!D125,"")</f>
        <v/>
      </c>
      <c r="E136" s="160">
        <f>IF(分析!E125&lt;&gt;"",分析!E125,"")</f>
        <v/>
      </c>
      <c r="F136" s="161">
        <f>IF(分析!F125&lt;&gt;"",分析!F125,"")</f>
        <v/>
      </c>
      <c r="G136" s="161">
        <f>IF(分析!H125&lt;&gt;"",分析!H125,"")</f>
        <v/>
      </c>
      <c r="H136" s="161">
        <f>IF(分析!I125&lt;&gt;"",分析!I125,"")</f>
        <v/>
      </c>
      <c r="I136" s="161">
        <f>IF(分析!J125&lt;&gt;"",分析!J125,"")</f>
        <v/>
      </c>
      <c r="J136" s="161">
        <f>IF(分析!AB125&lt;&gt;"",分析!AB125,"")</f>
        <v/>
      </c>
      <c r="K136" s="161">
        <f>IF(分析!AC125&lt;&gt;"",分析!AC125,"")</f>
        <v/>
      </c>
      <c r="L136" s="161">
        <f>IF(分析!K125&lt;&gt;"",分析!K125,"")</f>
        <v/>
      </c>
      <c r="M136" s="156">
        <f>IF(分析!P125&lt;&gt;"",分析!P125,"")</f>
        <v/>
      </c>
      <c r="N136" s="604">
        <f>IF(分析!O125&lt;&gt;"",分析!O125,"")</f>
        <v/>
      </c>
      <c r="O136" s="163">
        <f>IF(分析!X125&lt;&gt;"",分析!X125,"")</f>
        <v/>
      </c>
      <c r="P136" s="605">
        <f>IF(分析!L125&lt;&gt;"",分析!L125,"")</f>
        <v/>
      </c>
      <c r="Q136" s="161">
        <f>IF(分析!S125&lt;&gt;"",分析!S125,"")</f>
        <v/>
      </c>
      <c r="R136" s="161">
        <f>IF(分析!R125&lt;&gt;"",分析!R125,"")</f>
        <v/>
      </c>
      <c r="S136" s="156">
        <f>IF(分析!AA125&lt;&gt;"",分析!AA125,"")</f>
        <v/>
      </c>
      <c r="T136" s="606">
        <f>IF(分析!Z125&lt;&gt;"",分析!Z125,"")</f>
        <v/>
      </c>
      <c r="U136" s="156">
        <f>IF(分析!V125&lt;&gt;"",分析!V125,"")</f>
        <v/>
      </c>
      <c r="V136" s="607">
        <f>IF(分析!W125&lt;&gt;"",分析!W125,"")</f>
        <v/>
      </c>
      <c r="W136" s="167">
        <f>IF(分析!AD125&lt;&gt;"",分析!AD125,"")</f>
        <v/>
      </c>
      <c r="X136" s="168">
        <f>IF(分析!AE125&lt;&gt;"",分析!AE125,"")</f>
        <v/>
      </c>
      <c r="Y136" s="169">
        <f>IF(分析!T125&lt;&gt;"",分析!T125,"")</f>
        <v/>
      </c>
      <c r="Z136" s="155">
        <f>IF(分析!Y125&lt;&gt;"",分析!Y125,"")</f>
        <v/>
      </c>
    </row>
    <row r="137" ht="21.95" customHeight="1" s="574">
      <c r="A137" s="156">
        <f>IF(分析!C115&lt;&gt;"",ROW()-2,"")</f>
        <v/>
      </c>
      <c r="B137" s="157">
        <f>IF(分析!C115&lt;&gt;"",HYPERLINK("https://kabutan.jp/stock/?code="&amp;分析!C115,"株探"),"")</f>
        <v/>
      </c>
      <c r="C137" s="603">
        <f>IF(分析!C115&lt;&gt;"",分析!C115,"")</f>
        <v/>
      </c>
      <c r="D137" s="159">
        <f>IF(分析!D115&lt;&gt;"",分析!D115,"")</f>
        <v/>
      </c>
      <c r="E137" s="160">
        <f>IF(分析!E115&lt;&gt;"",分析!E115,"")</f>
        <v/>
      </c>
      <c r="F137" s="161">
        <f>IF(分析!F115&lt;&gt;"",分析!F115,"")</f>
        <v/>
      </c>
      <c r="G137" s="161">
        <f>IF(分析!H115&lt;&gt;"",分析!H115,"")</f>
        <v/>
      </c>
      <c r="H137" s="161">
        <f>IF(分析!I115&lt;&gt;"",分析!I115,"")</f>
        <v/>
      </c>
      <c r="I137" s="161">
        <f>IF(分析!J115&lt;&gt;"",分析!J115,"")</f>
        <v/>
      </c>
      <c r="J137" s="161">
        <f>IF(分析!AB115&lt;&gt;"",分析!AB115,"")</f>
        <v/>
      </c>
      <c r="K137" s="161">
        <f>IF(分析!AC115&lt;&gt;"",分析!AC115,"")</f>
        <v/>
      </c>
      <c r="L137" s="161">
        <f>IF(分析!K115&lt;&gt;"",分析!K115,"")</f>
        <v/>
      </c>
      <c r="M137" s="156">
        <f>IF(分析!P115&lt;&gt;"",分析!P115,"")</f>
        <v/>
      </c>
      <c r="N137" s="604">
        <f>IF(分析!O115&lt;&gt;"",分析!O115,"")</f>
        <v/>
      </c>
      <c r="O137" s="163">
        <f>IF(分析!X115&lt;&gt;"",分析!X115,"")</f>
        <v/>
      </c>
      <c r="P137" s="605">
        <f>IF(分析!L115&lt;&gt;"",分析!L115,"")</f>
        <v/>
      </c>
      <c r="Q137" s="161">
        <f>IF(分析!S115&lt;&gt;"",分析!S115,"")</f>
        <v/>
      </c>
      <c r="R137" s="161">
        <f>IF(分析!R115&lt;&gt;"",分析!R115,"")</f>
        <v/>
      </c>
      <c r="S137" s="156">
        <f>IF(分析!AA115&lt;&gt;"",分析!AA115,"")</f>
        <v/>
      </c>
      <c r="T137" s="606">
        <f>IF(分析!Z115&lt;&gt;"",分析!Z115,"")</f>
        <v/>
      </c>
      <c r="U137" s="156">
        <f>IF(分析!V115&lt;&gt;"",分析!V115,"")</f>
        <v/>
      </c>
      <c r="V137" s="607">
        <f>IF(分析!W115&lt;&gt;"",分析!W115,"")</f>
        <v/>
      </c>
      <c r="W137" s="167">
        <f>IF(分析!AD115&lt;&gt;"",分析!AD115,"")</f>
        <v/>
      </c>
      <c r="X137" s="168">
        <f>IF(分析!AE115&lt;&gt;"",分析!AE115,"")</f>
        <v/>
      </c>
      <c r="Y137" s="169">
        <f>IF(分析!T115&lt;&gt;"",分析!T115,"")</f>
        <v/>
      </c>
      <c r="Z137" s="155">
        <f>IF(分析!Y115&lt;&gt;"",分析!Y115,"")</f>
        <v/>
      </c>
    </row>
    <row r="138" ht="21.95" customHeight="1" s="574">
      <c r="A138" s="156">
        <f>IF(分析!C47&lt;&gt;"",ROW()-2,"")</f>
        <v/>
      </c>
      <c r="B138" s="157">
        <f>IF(分析!C47&lt;&gt;"",HYPERLINK("https://kabutan.jp/stock/?code="&amp;分析!C47,"株探"),"")</f>
        <v/>
      </c>
      <c r="C138" s="603">
        <f>IF(分析!C47&lt;&gt;"",分析!C47,"")</f>
        <v/>
      </c>
      <c r="D138" s="159">
        <f>IF(分析!D47&lt;&gt;"",分析!D47,"")</f>
        <v/>
      </c>
      <c r="E138" s="160">
        <f>IF(分析!E47&lt;&gt;"",分析!E47,"")</f>
        <v/>
      </c>
      <c r="F138" s="161">
        <f>IF(分析!F47&lt;&gt;"",分析!F47,"")</f>
        <v/>
      </c>
      <c r="G138" s="161">
        <f>IF(分析!H47&lt;&gt;"",分析!H47,"")</f>
        <v/>
      </c>
      <c r="H138" s="161">
        <f>IF(分析!I47&lt;&gt;"",分析!I47,"")</f>
        <v/>
      </c>
      <c r="I138" s="161">
        <f>IF(分析!J47&lt;&gt;"",分析!J47,"")</f>
        <v/>
      </c>
      <c r="J138" s="161">
        <f>IF(分析!AB47&lt;&gt;"",分析!AB47,"")</f>
        <v/>
      </c>
      <c r="K138" s="161">
        <f>IF(分析!AC47&lt;&gt;"",分析!AC47,"")</f>
        <v/>
      </c>
      <c r="L138" s="161">
        <f>IF(分析!K47&lt;&gt;"",分析!K47,"")</f>
        <v/>
      </c>
      <c r="M138" s="156">
        <f>IF(分析!P47&lt;&gt;"",分析!P47,"")</f>
        <v/>
      </c>
      <c r="N138" s="604">
        <f>IF(分析!O47&lt;&gt;"",分析!O47,"")</f>
        <v/>
      </c>
      <c r="O138" s="163">
        <f>IF(分析!X47&lt;&gt;"",分析!X47,"")</f>
        <v/>
      </c>
      <c r="P138" s="605">
        <f>IF(分析!L47&lt;&gt;"",分析!L47,"")</f>
        <v/>
      </c>
      <c r="Q138" s="161">
        <f>IF(分析!S47&lt;&gt;"",分析!S47,"")</f>
        <v/>
      </c>
      <c r="R138" s="161">
        <f>IF(分析!R47&lt;&gt;"",分析!R47,"")</f>
        <v/>
      </c>
      <c r="S138" s="156">
        <f>IF(分析!AA47&lt;&gt;"",分析!AA47,"")</f>
        <v/>
      </c>
      <c r="T138" s="606">
        <f>IF(分析!Z47&lt;&gt;"",分析!Z47,"")</f>
        <v/>
      </c>
      <c r="U138" s="156">
        <f>IF(分析!V47&lt;&gt;"",分析!V47,"")</f>
        <v/>
      </c>
      <c r="V138" s="607">
        <f>IF(分析!W47&lt;&gt;"",分析!W47,"")</f>
        <v/>
      </c>
      <c r="W138" s="167">
        <f>IF(分析!AD47&lt;&gt;"",分析!AD47,"")</f>
        <v/>
      </c>
      <c r="X138" s="168">
        <f>IF(分析!AE47&lt;&gt;"",分析!AE47,"")</f>
        <v/>
      </c>
      <c r="Y138" s="169">
        <f>IF(分析!T47&lt;&gt;"",分析!T47,"")</f>
        <v/>
      </c>
      <c r="Z138" s="155">
        <f>IF(分析!Y47&lt;&gt;"",分析!Y47,"")</f>
        <v/>
      </c>
    </row>
    <row r="139" ht="21.95" customHeight="1" s="574">
      <c r="A139" s="156">
        <f>IF(分析!C61&lt;&gt;"",ROW()-2,"")</f>
        <v/>
      </c>
      <c r="B139" s="157">
        <f>IF(分析!C61&lt;&gt;"",HYPERLINK("https://kabutan.jp/stock/?code="&amp;分析!C61,"株探"),"")</f>
        <v/>
      </c>
      <c r="C139" s="603">
        <f>IF(分析!C61&lt;&gt;"",分析!C61,"")</f>
        <v/>
      </c>
      <c r="D139" s="159">
        <f>IF(分析!D61&lt;&gt;"",分析!D61,"")</f>
        <v/>
      </c>
      <c r="E139" s="160">
        <f>IF(分析!E61&lt;&gt;"",分析!E61,"")</f>
        <v/>
      </c>
      <c r="F139" s="161">
        <f>IF(分析!F61&lt;&gt;"",分析!F61,"")</f>
        <v/>
      </c>
      <c r="G139" s="161">
        <f>IF(分析!H61&lt;&gt;"",分析!H61,"")</f>
        <v/>
      </c>
      <c r="H139" s="161">
        <f>IF(分析!I61&lt;&gt;"",分析!I61,"")</f>
        <v/>
      </c>
      <c r="I139" s="161">
        <f>IF(分析!J61&lt;&gt;"",分析!J61,"")</f>
        <v/>
      </c>
      <c r="J139" s="161">
        <f>IF(分析!AB61&lt;&gt;"",分析!AB61,"")</f>
        <v/>
      </c>
      <c r="K139" s="161">
        <f>IF(分析!AC61&lt;&gt;"",分析!AC61,"")</f>
        <v/>
      </c>
      <c r="L139" s="161">
        <f>IF(分析!K61&lt;&gt;"",分析!K61,"")</f>
        <v/>
      </c>
      <c r="M139" s="156">
        <f>IF(分析!P61&lt;&gt;"",分析!P61,"")</f>
        <v/>
      </c>
      <c r="N139" s="604">
        <f>IF(分析!O61&lt;&gt;"",分析!O61,"")</f>
        <v/>
      </c>
      <c r="O139" s="163">
        <f>IF(分析!X61&lt;&gt;"",分析!X61,"")</f>
        <v/>
      </c>
      <c r="P139" s="605">
        <f>IF(分析!L61&lt;&gt;"",分析!L61,"")</f>
        <v/>
      </c>
      <c r="Q139" s="161">
        <f>IF(分析!S61&lt;&gt;"",分析!S61,"")</f>
        <v/>
      </c>
      <c r="R139" s="161">
        <f>IF(分析!R61&lt;&gt;"",分析!R61,"")</f>
        <v/>
      </c>
      <c r="S139" s="156">
        <f>IF(分析!AA61&lt;&gt;"",分析!AA61,"")</f>
        <v/>
      </c>
      <c r="T139" s="606">
        <f>IF(分析!Z61&lt;&gt;"",分析!Z61,"")</f>
        <v/>
      </c>
      <c r="U139" s="156">
        <f>IF(分析!V61&lt;&gt;"",分析!V61,"")</f>
        <v/>
      </c>
      <c r="V139" s="607">
        <f>IF(分析!W61&lt;&gt;"",分析!W61,"")</f>
        <v/>
      </c>
      <c r="W139" s="167">
        <f>IF(分析!AD61&lt;&gt;"",分析!AD61,"")</f>
        <v/>
      </c>
      <c r="X139" s="168">
        <f>IF(分析!AE61&lt;&gt;"",分析!AE61,"")</f>
        <v/>
      </c>
      <c r="Y139" s="169">
        <f>IF(分析!T61&lt;&gt;"",分析!T61,"")</f>
        <v/>
      </c>
      <c r="Z139" s="155">
        <f>IF(分析!Y61&lt;&gt;"",分析!Y61,"")</f>
        <v/>
      </c>
    </row>
    <row r="140" ht="21.95" customHeight="1" s="574">
      <c r="A140" s="156">
        <f>IF(分析!C59&lt;&gt;"",ROW()-2,"")</f>
        <v/>
      </c>
      <c r="B140" s="157">
        <f>IF(分析!C59&lt;&gt;"",HYPERLINK("https://kabutan.jp/stock/?code="&amp;分析!C59,"株探"),"")</f>
        <v/>
      </c>
      <c r="C140" s="603">
        <f>IF(分析!C59&lt;&gt;"",分析!C59,"")</f>
        <v/>
      </c>
      <c r="D140" s="159">
        <f>IF(分析!D59&lt;&gt;"",分析!D59,"")</f>
        <v/>
      </c>
      <c r="E140" s="160">
        <f>IF(分析!E59&lt;&gt;"",分析!E59,"")</f>
        <v/>
      </c>
      <c r="F140" s="161">
        <f>IF(分析!F59&lt;&gt;"",分析!F59,"")</f>
        <v/>
      </c>
      <c r="G140" s="161">
        <f>IF(分析!H59&lt;&gt;"",分析!H59,"")</f>
        <v/>
      </c>
      <c r="H140" s="161">
        <f>IF(分析!I59&lt;&gt;"",分析!I59,"")</f>
        <v/>
      </c>
      <c r="I140" s="161">
        <f>IF(分析!J59&lt;&gt;"",分析!J59,"")</f>
        <v/>
      </c>
      <c r="J140" s="161">
        <f>IF(分析!AB59&lt;&gt;"",分析!AB59,"")</f>
        <v/>
      </c>
      <c r="K140" s="161">
        <f>IF(分析!AC59&lt;&gt;"",分析!AC59,"")</f>
        <v/>
      </c>
      <c r="L140" s="161">
        <f>IF(分析!K59&lt;&gt;"",分析!K59,"")</f>
        <v/>
      </c>
      <c r="M140" s="156">
        <f>IF(分析!P59&lt;&gt;"",分析!P59,"")</f>
        <v/>
      </c>
      <c r="N140" s="604">
        <f>IF(分析!O59&lt;&gt;"",分析!O59,"")</f>
        <v/>
      </c>
      <c r="O140" s="163">
        <f>IF(分析!X59&lt;&gt;"",分析!X59,"")</f>
        <v/>
      </c>
      <c r="P140" s="605">
        <f>IF(分析!L59&lt;&gt;"",分析!L59,"")</f>
        <v/>
      </c>
      <c r="Q140" s="161">
        <f>IF(分析!S59&lt;&gt;"",分析!S59,"")</f>
        <v/>
      </c>
      <c r="R140" s="161">
        <f>IF(分析!R59&lt;&gt;"",分析!R59,"")</f>
        <v/>
      </c>
      <c r="S140" s="156">
        <f>IF(分析!AA59&lt;&gt;"",分析!AA59,"")</f>
        <v/>
      </c>
      <c r="T140" s="606">
        <f>IF(分析!Z59&lt;&gt;"",分析!Z59,"")</f>
        <v/>
      </c>
      <c r="U140" s="156">
        <f>IF(分析!V59&lt;&gt;"",分析!V59,"")</f>
        <v/>
      </c>
      <c r="V140" s="607">
        <f>IF(分析!W59&lt;&gt;"",分析!W59,"")</f>
        <v/>
      </c>
      <c r="W140" s="167">
        <f>IF(分析!AD59&lt;&gt;"",分析!AD59,"")</f>
        <v/>
      </c>
      <c r="X140" s="168">
        <f>IF(分析!AE59&lt;&gt;"",分析!AE59,"")</f>
        <v/>
      </c>
      <c r="Y140" s="169">
        <f>IF(分析!T59&lt;&gt;"",分析!T59,"")</f>
        <v/>
      </c>
      <c r="Z140" s="155">
        <f>IF(分析!Y59&lt;&gt;"",分析!Y59,"")</f>
        <v/>
      </c>
    </row>
    <row r="141" ht="21.95" customHeight="1" s="574">
      <c r="A141" s="141">
        <f>IF(分析!C62&lt;&gt;"",ROW()-2,"")</f>
        <v/>
      </c>
      <c r="B141" s="142">
        <f>IF(分析!C62&lt;&gt;"",HYPERLINK("https://kabutan.jp/stock/?code="&amp;分析!C62,"株探"),"")</f>
        <v/>
      </c>
      <c r="C141" s="598">
        <f>IF(分析!C62&lt;&gt;"",分析!C62,"")</f>
        <v/>
      </c>
      <c r="D141" s="144">
        <f>IF(分析!D62&lt;&gt;"",分析!D62,"")</f>
        <v/>
      </c>
      <c r="E141" s="145">
        <f>IF(分析!E62&lt;&gt;"",分析!E62,"")</f>
        <v/>
      </c>
      <c r="F141" s="146">
        <f>IF(分析!F62&lt;&gt;"",分析!F62,"")</f>
        <v/>
      </c>
      <c r="G141" s="146">
        <f>IF(分析!H62&lt;&gt;"",分析!H62,"")</f>
        <v/>
      </c>
      <c r="H141" s="146">
        <f>IF(分析!I62&lt;&gt;"",分析!I62,"")</f>
        <v/>
      </c>
      <c r="I141" s="146">
        <f>IF(分析!J62&lt;&gt;"",分析!J62,"")</f>
        <v/>
      </c>
      <c r="J141" s="146">
        <f>IF(分析!AB62&lt;&gt;"",分析!AB62,"")</f>
        <v/>
      </c>
      <c r="K141" s="146">
        <f>IF(分析!AC62&lt;&gt;"",分析!AC62,"")</f>
        <v/>
      </c>
      <c r="L141" s="146">
        <f>IF(分析!K62&lt;&gt;"",分析!K62,"")</f>
        <v/>
      </c>
      <c r="M141" s="141">
        <f>IF(分析!P62&lt;&gt;"",分析!P62,"")</f>
        <v/>
      </c>
      <c r="N141" s="599">
        <f>IF(分析!O62&lt;&gt;"",分析!O62,"")</f>
        <v/>
      </c>
      <c r="O141" s="148">
        <f>IF(分析!X62&lt;&gt;"",分析!X62,"")</f>
        <v/>
      </c>
      <c r="P141" s="600">
        <f>IF(分析!L62&lt;&gt;"",分析!L62,"")</f>
        <v/>
      </c>
      <c r="Q141" s="146">
        <f>IF(分析!S62&lt;&gt;"",分析!S62,"")</f>
        <v/>
      </c>
      <c r="R141" s="146">
        <f>IF(分析!R62&lt;&gt;"",分析!R62,"")</f>
        <v/>
      </c>
      <c r="S141" s="141">
        <f>IF(分析!AA62&lt;&gt;"",分析!AA62,"")</f>
        <v/>
      </c>
      <c r="T141" s="601">
        <f>IF(分析!Z62&lt;&gt;"",分析!Z62,"")</f>
        <v/>
      </c>
      <c r="U141" s="141">
        <f>IF(分析!V62&lt;&gt;"",分析!V62,"")</f>
        <v/>
      </c>
      <c r="V141" s="602">
        <f>IF(分析!W62&lt;&gt;"",分析!W62,"")</f>
        <v/>
      </c>
      <c r="W141" s="152">
        <f>IF(分析!AD62&lt;&gt;"",分析!AD62,"")</f>
        <v/>
      </c>
      <c r="X141" s="153">
        <f>IF(分析!AE62&lt;&gt;"",分析!AE62,"")</f>
        <v/>
      </c>
      <c r="Y141" s="154">
        <f>IF(分析!T62&lt;&gt;"",分析!T62,"")</f>
        <v/>
      </c>
      <c r="Z141" s="155">
        <f>IF(分析!Y62&lt;&gt;"",分析!Y62,"")</f>
        <v/>
      </c>
    </row>
    <row r="142" ht="21.95" customHeight="1" s="574">
      <c r="A142" s="156">
        <f>IF(分析!C39&lt;&gt;"",ROW()-2,"")</f>
        <v/>
      </c>
      <c r="B142" s="157">
        <f>IF(分析!C39&lt;&gt;"",HYPERLINK("https://kabutan.jp/stock/?code="&amp;分析!C39,"株探"),"")</f>
        <v/>
      </c>
      <c r="C142" s="603">
        <f>IF(分析!C39&lt;&gt;"",分析!C39,"")</f>
        <v/>
      </c>
      <c r="D142" s="159">
        <f>IF(分析!D39&lt;&gt;"",分析!D39,"")</f>
        <v/>
      </c>
      <c r="E142" s="160">
        <f>IF(分析!E39&lt;&gt;"",分析!E39,"")</f>
        <v/>
      </c>
      <c r="F142" s="161">
        <f>IF(分析!F39&lt;&gt;"",分析!F39,"")</f>
        <v/>
      </c>
      <c r="G142" s="161">
        <f>IF(分析!H39&lt;&gt;"",分析!H39,"")</f>
        <v/>
      </c>
      <c r="H142" s="161">
        <f>IF(分析!I39&lt;&gt;"",分析!I39,"")</f>
        <v/>
      </c>
      <c r="I142" s="161">
        <f>IF(分析!J39&lt;&gt;"",分析!J39,"")</f>
        <v/>
      </c>
      <c r="J142" s="161">
        <f>IF(分析!AB39&lt;&gt;"",分析!AB39,"")</f>
        <v/>
      </c>
      <c r="K142" s="161">
        <f>IF(分析!AC39&lt;&gt;"",分析!AC39,"")</f>
        <v/>
      </c>
      <c r="L142" s="161">
        <f>IF(分析!K39&lt;&gt;"",分析!K39,"")</f>
        <v/>
      </c>
      <c r="M142" s="156">
        <f>IF(分析!P39&lt;&gt;"",分析!P39,"")</f>
        <v/>
      </c>
      <c r="N142" s="604">
        <f>IF(分析!O39&lt;&gt;"",分析!O39,"")</f>
        <v/>
      </c>
      <c r="O142" s="163">
        <f>IF(分析!X39&lt;&gt;"",分析!X39,"")</f>
        <v/>
      </c>
      <c r="P142" s="605">
        <f>IF(分析!L39&lt;&gt;"",分析!L39,"")</f>
        <v/>
      </c>
      <c r="Q142" s="161">
        <f>IF(分析!S39&lt;&gt;"",分析!S39,"")</f>
        <v/>
      </c>
      <c r="R142" s="161">
        <f>IF(分析!R39&lt;&gt;"",分析!R39,"")</f>
        <v/>
      </c>
      <c r="S142" s="156">
        <f>IF(分析!AA39&lt;&gt;"",分析!AA39,"")</f>
        <v/>
      </c>
      <c r="T142" s="606">
        <f>IF(分析!Z39&lt;&gt;"",分析!Z39,"")</f>
        <v/>
      </c>
      <c r="U142" s="156">
        <f>IF(分析!V39&lt;&gt;"",分析!V39,"")</f>
        <v/>
      </c>
      <c r="V142" s="607">
        <f>IF(分析!W39&lt;&gt;"",分析!W39,"")</f>
        <v/>
      </c>
      <c r="W142" s="167">
        <f>IF(分析!AD39&lt;&gt;"",分析!AD39,"")</f>
        <v/>
      </c>
      <c r="X142" s="168">
        <f>IF(分析!AE39&lt;&gt;"",分析!AE39,"")</f>
        <v/>
      </c>
      <c r="Y142" s="169">
        <f>IF(分析!T39&lt;&gt;"",分析!T39,"")</f>
        <v/>
      </c>
      <c r="Z142" s="155">
        <f>IF(分析!Y39&lt;&gt;"",分析!Y39,"")</f>
        <v/>
      </c>
    </row>
    <row r="143" ht="21.95" customHeight="1" s="574">
      <c r="A143" s="156">
        <f>IF(分析!C101&lt;&gt;"",ROW()-2,"")</f>
        <v/>
      </c>
      <c r="B143" s="157">
        <f>IF(分析!C101&lt;&gt;"",HYPERLINK("https://kabutan.jp/stock/?code="&amp;分析!C101,"株探"),"")</f>
        <v/>
      </c>
      <c r="C143" s="603">
        <f>IF(分析!C101&lt;&gt;"",分析!C101,"")</f>
        <v/>
      </c>
      <c r="D143" s="159">
        <f>IF(分析!D101&lt;&gt;"",分析!D101,"")</f>
        <v/>
      </c>
      <c r="E143" s="160">
        <f>IF(分析!E101&lt;&gt;"",分析!E101,"")</f>
        <v/>
      </c>
      <c r="F143" s="161">
        <f>IF(分析!F101&lt;&gt;"",分析!F101,"")</f>
        <v/>
      </c>
      <c r="G143" s="161">
        <f>IF(分析!H101&lt;&gt;"",分析!H101,"")</f>
        <v/>
      </c>
      <c r="H143" s="161">
        <f>IF(分析!I101&lt;&gt;"",分析!I101,"")</f>
        <v/>
      </c>
      <c r="I143" s="161">
        <f>IF(分析!J101&lt;&gt;"",分析!J101,"")</f>
        <v/>
      </c>
      <c r="J143" s="161">
        <f>IF(分析!AB101&lt;&gt;"",分析!AB101,"")</f>
        <v/>
      </c>
      <c r="K143" s="161">
        <f>IF(分析!AC101&lt;&gt;"",分析!AC101,"")</f>
        <v/>
      </c>
      <c r="L143" s="161">
        <f>IF(分析!K101&lt;&gt;"",分析!K101,"")</f>
        <v/>
      </c>
      <c r="M143" s="156">
        <f>IF(分析!P101&lt;&gt;"",分析!P101,"")</f>
        <v/>
      </c>
      <c r="N143" s="604">
        <f>IF(分析!O101&lt;&gt;"",分析!O101,"")</f>
        <v/>
      </c>
      <c r="O143" s="163">
        <f>IF(分析!X101&lt;&gt;"",分析!X101,"")</f>
        <v/>
      </c>
      <c r="P143" s="605">
        <f>IF(分析!L101&lt;&gt;"",分析!L101,"")</f>
        <v/>
      </c>
      <c r="Q143" s="161">
        <f>IF(分析!S101&lt;&gt;"",分析!S101,"")</f>
        <v/>
      </c>
      <c r="R143" s="161">
        <f>IF(分析!R101&lt;&gt;"",分析!R101,"")</f>
        <v/>
      </c>
      <c r="S143" s="156">
        <f>IF(分析!AA101&lt;&gt;"",分析!AA101,"")</f>
        <v/>
      </c>
      <c r="T143" s="606">
        <f>IF(分析!Z101&lt;&gt;"",分析!Z101,"")</f>
        <v/>
      </c>
      <c r="U143" s="156">
        <f>IF(分析!V101&lt;&gt;"",分析!V101,"")</f>
        <v/>
      </c>
      <c r="V143" s="607">
        <f>IF(分析!W101&lt;&gt;"",分析!W101,"")</f>
        <v/>
      </c>
      <c r="W143" s="167">
        <f>IF(分析!AD101&lt;&gt;"",分析!AD101,"")</f>
        <v/>
      </c>
      <c r="X143" s="168">
        <f>IF(分析!AE101&lt;&gt;"",分析!AE101,"")</f>
        <v/>
      </c>
      <c r="Y143" s="169">
        <f>IF(分析!T101&lt;&gt;"",分析!T101,"")</f>
        <v/>
      </c>
      <c r="Z143" s="155">
        <f>IF(分析!Y101&lt;&gt;"",分析!Y101,"")</f>
        <v/>
      </c>
    </row>
    <row r="144" ht="21.95" customHeight="1" s="574">
      <c r="A144" s="141">
        <f>IF(分析!C102&lt;&gt;"",ROW()-2,"")</f>
        <v/>
      </c>
      <c r="B144" s="142">
        <f>IF(分析!C102&lt;&gt;"",HYPERLINK("https://kabutan.jp/stock/?code="&amp;分析!C102,"株探"),"")</f>
        <v/>
      </c>
      <c r="C144" s="598">
        <f>IF(分析!C102&lt;&gt;"",分析!C102,"")</f>
        <v/>
      </c>
      <c r="D144" s="144">
        <f>IF(分析!D102&lt;&gt;"",分析!D102,"")</f>
        <v/>
      </c>
      <c r="E144" s="145">
        <f>IF(分析!E102&lt;&gt;"",分析!E102,"")</f>
        <v/>
      </c>
      <c r="F144" s="146">
        <f>IF(分析!F102&lt;&gt;"",分析!F102,"")</f>
        <v/>
      </c>
      <c r="G144" s="146">
        <f>IF(分析!H102&lt;&gt;"",分析!H102,"")</f>
        <v/>
      </c>
      <c r="H144" s="146">
        <f>IF(分析!I102&lt;&gt;"",分析!I102,"")</f>
        <v/>
      </c>
      <c r="I144" s="146">
        <f>IF(分析!J102&lt;&gt;"",分析!J102,"")</f>
        <v/>
      </c>
      <c r="J144" s="146">
        <f>IF(分析!AB102&lt;&gt;"",分析!AB102,"")</f>
        <v/>
      </c>
      <c r="K144" s="146">
        <f>IF(分析!AC102&lt;&gt;"",分析!AC102,"")</f>
        <v/>
      </c>
      <c r="L144" s="146">
        <f>IF(分析!K102&lt;&gt;"",分析!K102,"")</f>
        <v/>
      </c>
      <c r="M144" s="141">
        <f>IF(分析!P102&lt;&gt;"",分析!P102,"")</f>
        <v/>
      </c>
      <c r="N144" s="599">
        <f>IF(分析!O102&lt;&gt;"",分析!O102,"")</f>
        <v/>
      </c>
      <c r="O144" s="148">
        <f>IF(分析!X102&lt;&gt;"",分析!X102,"")</f>
        <v/>
      </c>
      <c r="P144" s="600">
        <f>IF(分析!L102&lt;&gt;"",分析!L102,"")</f>
        <v/>
      </c>
      <c r="Q144" s="146">
        <f>IF(分析!S102&lt;&gt;"",分析!S102,"")</f>
        <v/>
      </c>
      <c r="R144" s="146">
        <f>IF(分析!R102&lt;&gt;"",分析!R102,"")</f>
        <v/>
      </c>
      <c r="S144" s="141">
        <f>IF(分析!AA102&lt;&gt;"",分析!AA102,"")</f>
        <v/>
      </c>
      <c r="T144" s="601">
        <f>IF(分析!Z102&lt;&gt;"",分析!Z102,"")</f>
        <v/>
      </c>
      <c r="U144" s="141">
        <f>IF(分析!V102&lt;&gt;"",分析!V102,"")</f>
        <v/>
      </c>
      <c r="V144" s="602">
        <f>IF(分析!W102&lt;&gt;"",分析!W102,"")</f>
        <v/>
      </c>
      <c r="W144" s="152">
        <f>IF(分析!AD102&lt;&gt;"",分析!AD102,"")</f>
        <v/>
      </c>
      <c r="X144" s="153">
        <f>IF(分析!AE102&lt;&gt;"",分析!AE102,"")</f>
        <v/>
      </c>
      <c r="Y144" s="154">
        <f>IF(分析!T102&lt;&gt;"",分析!T102,"")</f>
        <v/>
      </c>
      <c r="Z144" s="155">
        <f>IF(分析!Y102&lt;&gt;"",分析!Y102,"")</f>
        <v/>
      </c>
    </row>
    <row r="145" ht="21.95" customHeight="1" s="574">
      <c r="A145" s="156">
        <f>IF(分析!C63&lt;&gt;"",ROW()-2,"")</f>
        <v/>
      </c>
      <c r="B145" s="157">
        <f>IF(分析!C63&lt;&gt;"",HYPERLINK("https://kabutan.jp/stock/?code="&amp;分析!C63,"株探"),"")</f>
        <v/>
      </c>
      <c r="C145" s="603">
        <f>IF(分析!C63&lt;&gt;"",分析!C63,"")</f>
        <v/>
      </c>
      <c r="D145" s="159">
        <f>IF(分析!D63&lt;&gt;"",分析!D63,"")</f>
        <v/>
      </c>
      <c r="E145" s="160">
        <f>IF(分析!E63&lt;&gt;"",分析!E63,"")</f>
        <v/>
      </c>
      <c r="F145" s="161">
        <f>IF(分析!F63&lt;&gt;"",分析!F63,"")</f>
        <v/>
      </c>
      <c r="G145" s="161">
        <f>IF(分析!H63&lt;&gt;"",分析!H63,"")</f>
        <v/>
      </c>
      <c r="H145" s="161">
        <f>IF(分析!I63&lt;&gt;"",分析!I63,"")</f>
        <v/>
      </c>
      <c r="I145" s="161">
        <f>IF(分析!J63&lt;&gt;"",分析!J63,"")</f>
        <v/>
      </c>
      <c r="J145" s="161">
        <f>IF(分析!AB63&lt;&gt;"",分析!AB63,"")</f>
        <v/>
      </c>
      <c r="K145" s="161">
        <f>IF(分析!AC63&lt;&gt;"",分析!AC63,"")</f>
        <v/>
      </c>
      <c r="L145" s="161">
        <f>IF(分析!K63&lt;&gt;"",分析!K63,"")</f>
        <v/>
      </c>
      <c r="M145" s="156">
        <f>IF(分析!P63&lt;&gt;"",分析!P63,"")</f>
        <v/>
      </c>
      <c r="N145" s="604">
        <f>IF(分析!O63&lt;&gt;"",分析!O63,"")</f>
        <v/>
      </c>
      <c r="O145" s="163">
        <f>IF(分析!X63&lt;&gt;"",分析!X63,"")</f>
        <v/>
      </c>
      <c r="P145" s="605">
        <f>IF(分析!L63&lt;&gt;"",分析!L63,"")</f>
        <v/>
      </c>
      <c r="Q145" s="161">
        <f>IF(分析!S63&lt;&gt;"",分析!S63,"")</f>
        <v/>
      </c>
      <c r="R145" s="161">
        <f>IF(分析!R63&lt;&gt;"",分析!R63,"")</f>
        <v/>
      </c>
      <c r="S145" s="156">
        <f>IF(分析!AA63&lt;&gt;"",分析!AA63,"")</f>
        <v/>
      </c>
      <c r="T145" s="606">
        <f>IF(分析!Z63&lt;&gt;"",分析!Z63,"")</f>
        <v/>
      </c>
      <c r="U145" s="156">
        <f>IF(分析!V63&lt;&gt;"",分析!V63,"")</f>
        <v/>
      </c>
      <c r="V145" s="607">
        <f>IF(分析!W63&lt;&gt;"",分析!W63,"")</f>
        <v/>
      </c>
      <c r="W145" s="167">
        <f>IF(分析!AD63&lt;&gt;"",分析!AD63,"")</f>
        <v/>
      </c>
      <c r="X145" s="168">
        <f>IF(分析!AE63&lt;&gt;"",分析!AE63,"")</f>
        <v/>
      </c>
      <c r="Y145" s="169">
        <f>IF(分析!T63&lt;&gt;"",分析!T63,"")</f>
        <v/>
      </c>
      <c r="Z145" s="155">
        <f>IF(分析!Y63&lt;&gt;"",分析!Y63,"")</f>
        <v/>
      </c>
    </row>
    <row r="146" ht="21.95" customHeight="1" s="574">
      <c r="A146" s="156">
        <f>IF(分析!C65&lt;&gt;"",ROW()-2,"")</f>
        <v/>
      </c>
      <c r="B146" s="157">
        <f>IF(分析!C65&lt;&gt;"",HYPERLINK("https://kabutan.jp/stock/?code="&amp;分析!C65,"株探"),"")</f>
        <v/>
      </c>
      <c r="C146" s="603">
        <f>IF(分析!C65&lt;&gt;"",分析!C65,"")</f>
        <v/>
      </c>
      <c r="D146" s="159">
        <f>IF(分析!D65&lt;&gt;"",分析!D65,"")</f>
        <v/>
      </c>
      <c r="E146" s="160">
        <f>IF(分析!E65&lt;&gt;"",分析!E65,"")</f>
        <v/>
      </c>
      <c r="F146" s="161">
        <f>IF(分析!F65&lt;&gt;"",分析!F65,"")</f>
        <v/>
      </c>
      <c r="G146" s="161">
        <f>IF(分析!H65&lt;&gt;"",分析!H65,"")</f>
        <v/>
      </c>
      <c r="H146" s="161">
        <f>IF(分析!I65&lt;&gt;"",分析!I65,"")</f>
        <v/>
      </c>
      <c r="I146" s="161">
        <f>IF(分析!J65&lt;&gt;"",分析!J65,"")</f>
        <v/>
      </c>
      <c r="J146" s="161">
        <f>IF(分析!AB65&lt;&gt;"",分析!AB65,"")</f>
        <v/>
      </c>
      <c r="K146" s="161">
        <f>IF(分析!AC65&lt;&gt;"",分析!AC65,"")</f>
        <v/>
      </c>
      <c r="L146" s="161">
        <f>IF(分析!K65&lt;&gt;"",分析!K65,"")</f>
        <v/>
      </c>
      <c r="M146" s="156">
        <f>IF(分析!P65&lt;&gt;"",分析!P65,"")</f>
        <v/>
      </c>
      <c r="N146" s="604">
        <f>IF(分析!O65&lt;&gt;"",分析!O65,"")</f>
        <v/>
      </c>
      <c r="O146" s="163">
        <f>IF(分析!X65&lt;&gt;"",分析!X65,"")</f>
        <v/>
      </c>
      <c r="P146" s="605">
        <f>IF(分析!L65&lt;&gt;"",分析!L65,"")</f>
        <v/>
      </c>
      <c r="Q146" s="161">
        <f>IF(分析!S65&lt;&gt;"",分析!S65,"")</f>
        <v/>
      </c>
      <c r="R146" s="161">
        <f>IF(分析!R65&lt;&gt;"",分析!R65,"")</f>
        <v/>
      </c>
      <c r="S146" s="156">
        <f>IF(分析!AA65&lt;&gt;"",分析!AA65,"")</f>
        <v/>
      </c>
      <c r="T146" s="606">
        <f>IF(分析!Z65&lt;&gt;"",分析!Z65,"")</f>
        <v/>
      </c>
      <c r="U146" s="156">
        <f>IF(分析!V65&lt;&gt;"",分析!V65,"")</f>
        <v/>
      </c>
      <c r="V146" s="607">
        <f>IF(分析!W65&lt;&gt;"",分析!W65,"")</f>
        <v/>
      </c>
      <c r="W146" s="167">
        <f>IF(分析!AD65&lt;&gt;"",分析!AD65,"")</f>
        <v/>
      </c>
      <c r="X146" s="168">
        <f>IF(分析!AE65&lt;&gt;"",分析!AE65,"")</f>
        <v/>
      </c>
      <c r="Y146" s="169">
        <f>IF(分析!T65&lt;&gt;"",分析!T65,"")</f>
        <v/>
      </c>
      <c r="Z146" s="155">
        <f>IF(分析!Y65&lt;&gt;"",分析!Y65,"")</f>
        <v/>
      </c>
    </row>
    <row r="147" ht="21.95" customHeight="1" s="574">
      <c r="A147" s="156">
        <f>IF(分析!C201&lt;&gt;"",ROW()-2,"")</f>
        <v/>
      </c>
      <c r="B147" s="157">
        <f>IF(分析!C201&lt;&gt;"",HYPERLINK("https://kabutan.jp/stock/?code="&amp;分析!C201,"株探"),"")</f>
        <v/>
      </c>
      <c r="C147" s="603">
        <f>IF(分析!C201&lt;&gt;"",分析!C201,"")</f>
        <v/>
      </c>
      <c r="D147" s="159">
        <f>IF(分析!D201&lt;&gt;"",分析!D201,"")</f>
        <v/>
      </c>
      <c r="E147" s="160">
        <f>IF(分析!E201&lt;&gt;"",分析!E201,"")</f>
        <v/>
      </c>
      <c r="F147" s="161">
        <f>IF(分析!F201&lt;&gt;"",分析!F201,"")</f>
        <v/>
      </c>
      <c r="G147" s="161">
        <f>IF(分析!H201&lt;&gt;"",分析!H201,"")</f>
        <v/>
      </c>
      <c r="H147" s="161">
        <f>IF(分析!I201&lt;&gt;"",分析!I201,"")</f>
        <v/>
      </c>
      <c r="I147" s="161">
        <f>IF(分析!J201&lt;&gt;"",分析!J201,"")</f>
        <v/>
      </c>
      <c r="J147" s="161">
        <f>IF(分析!AB201&lt;&gt;"",分析!AB201,"")</f>
        <v/>
      </c>
      <c r="K147" s="161">
        <f>IF(分析!AC201&lt;&gt;"",分析!AC201,"")</f>
        <v/>
      </c>
      <c r="L147" s="161">
        <f>IF(分析!K201&lt;&gt;"",分析!K201,"")</f>
        <v/>
      </c>
      <c r="M147" s="156">
        <f>IF(分析!P201&lt;&gt;"",分析!P201,"")</f>
        <v/>
      </c>
      <c r="N147" s="604">
        <f>IF(分析!O201&lt;&gt;"",分析!O201,"")</f>
        <v/>
      </c>
      <c r="O147" s="163">
        <f>IF(分析!X201&lt;&gt;"",分析!X201,"")</f>
        <v/>
      </c>
      <c r="P147" s="605">
        <f>IF(分析!L201&lt;&gt;"",分析!L201,"")</f>
        <v/>
      </c>
      <c r="Q147" s="161">
        <f>IF(分析!S201&lt;&gt;"",分析!S201,"")</f>
        <v/>
      </c>
      <c r="R147" s="161">
        <f>IF(分析!R201&lt;&gt;"",分析!R201,"")</f>
        <v/>
      </c>
      <c r="S147" s="156">
        <f>IF(分析!AA201&lt;&gt;"",分析!AA201,"")</f>
        <v/>
      </c>
      <c r="T147" s="606">
        <f>IF(分析!Z201&lt;&gt;"",分析!Z201,"")</f>
        <v/>
      </c>
      <c r="U147" s="156">
        <f>IF(分析!V201&lt;&gt;"",分析!V201,"")</f>
        <v/>
      </c>
      <c r="V147" s="607">
        <f>IF(分析!W201&lt;&gt;"",分析!W201,"")</f>
        <v/>
      </c>
      <c r="W147" s="167">
        <f>IF(分析!AD201&lt;&gt;"",分析!AD201,"")</f>
        <v/>
      </c>
      <c r="X147" s="168">
        <f>IF(分析!AE201&lt;&gt;"",分析!AE201,"")</f>
        <v/>
      </c>
      <c r="Y147" s="169">
        <f>IF(分析!T201&lt;&gt;"",分析!T201,"")</f>
        <v/>
      </c>
      <c r="Z147" s="155">
        <f>IF(分析!Y201&lt;&gt;"",分析!Y201,"")</f>
        <v/>
      </c>
    </row>
    <row r="148" ht="21.95" customHeight="1" s="574">
      <c r="A148" s="141">
        <f>IF(分析!C68&lt;&gt;"",ROW()-2,"")</f>
        <v/>
      </c>
      <c r="B148" s="142">
        <f>IF(分析!C68&lt;&gt;"",HYPERLINK("https://kabutan.jp/stock/?code="&amp;分析!C68,"株探"),"")</f>
        <v/>
      </c>
      <c r="C148" s="598">
        <f>IF(分析!C68&lt;&gt;"",分析!C68,"")</f>
        <v/>
      </c>
      <c r="D148" s="144">
        <f>IF(分析!D68&lt;&gt;"",分析!D68,"")</f>
        <v/>
      </c>
      <c r="E148" s="145">
        <f>IF(分析!E68&lt;&gt;"",分析!E68,"")</f>
        <v/>
      </c>
      <c r="F148" s="146">
        <f>IF(分析!F68&lt;&gt;"",分析!F68,"")</f>
        <v/>
      </c>
      <c r="G148" s="146">
        <f>IF(分析!H68&lt;&gt;"",分析!H68,"")</f>
        <v/>
      </c>
      <c r="H148" s="146">
        <f>IF(分析!I68&lt;&gt;"",分析!I68,"")</f>
        <v/>
      </c>
      <c r="I148" s="146">
        <f>IF(分析!J68&lt;&gt;"",分析!J68,"")</f>
        <v/>
      </c>
      <c r="J148" s="146">
        <f>IF(分析!AB68&lt;&gt;"",分析!AB68,"")</f>
        <v/>
      </c>
      <c r="K148" s="146">
        <f>IF(分析!AC68&lt;&gt;"",分析!AC68,"")</f>
        <v/>
      </c>
      <c r="L148" s="146">
        <f>IF(分析!K68&lt;&gt;"",分析!K68,"")</f>
        <v/>
      </c>
      <c r="M148" s="141">
        <f>IF(分析!P68&lt;&gt;"",分析!P68,"")</f>
        <v/>
      </c>
      <c r="N148" s="599">
        <f>IF(分析!O68&lt;&gt;"",分析!O68,"")</f>
        <v/>
      </c>
      <c r="O148" s="148">
        <f>IF(分析!X68&lt;&gt;"",分析!X68,"")</f>
        <v/>
      </c>
      <c r="P148" s="600">
        <f>IF(分析!L68&lt;&gt;"",分析!L68,"")</f>
        <v/>
      </c>
      <c r="Q148" s="146">
        <f>IF(分析!S68&lt;&gt;"",分析!S68,"")</f>
        <v/>
      </c>
      <c r="R148" s="146">
        <f>IF(分析!R68&lt;&gt;"",分析!R68,"")</f>
        <v/>
      </c>
      <c r="S148" s="141">
        <f>IF(分析!AA68&lt;&gt;"",分析!AA68,"")</f>
        <v/>
      </c>
      <c r="T148" s="601">
        <f>IF(分析!Z68&lt;&gt;"",分析!Z68,"")</f>
        <v/>
      </c>
      <c r="U148" s="141">
        <f>IF(分析!V68&lt;&gt;"",分析!V68,"")</f>
        <v/>
      </c>
      <c r="V148" s="602">
        <f>IF(分析!W68&lt;&gt;"",分析!W68,"")</f>
        <v/>
      </c>
      <c r="W148" s="152">
        <f>IF(分析!AD68&lt;&gt;"",分析!AD68,"")</f>
        <v/>
      </c>
      <c r="X148" s="153">
        <f>IF(分析!AE68&lt;&gt;"",分析!AE68,"")</f>
        <v/>
      </c>
      <c r="Y148" s="154">
        <f>IF(分析!T68&lt;&gt;"",分析!T68,"")</f>
        <v/>
      </c>
      <c r="Z148" s="155">
        <f>IF(分析!Y68&lt;&gt;"",分析!Y68,"")</f>
        <v/>
      </c>
    </row>
    <row r="149" ht="21.95" customHeight="1" s="574">
      <c r="A149" s="141">
        <f>IF(分析!C70&lt;&gt;"",ROW()-2,"")</f>
        <v/>
      </c>
      <c r="B149" s="142">
        <f>IF(分析!C70&lt;&gt;"",HYPERLINK("https://kabutan.jp/stock/?code="&amp;分析!C70,"株探"),"")</f>
        <v/>
      </c>
      <c r="C149" s="598">
        <f>IF(分析!C70&lt;&gt;"",分析!C70,"")</f>
        <v/>
      </c>
      <c r="D149" s="144">
        <f>IF(分析!D70&lt;&gt;"",分析!D70,"")</f>
        <v/>
      </c>
      <c r="E149" s="145">
        <f>IF(分析!E70&lt;&gt;"",分析!E70,"")</f>
        <v/>
      </c>
      <c r="F149" s="146">
        <f>IF(分析!F70&lt;&gt;"",分析!F70,"")</f>
        <v/>
      </c>
      <c r="G149" s="146">
        <f>IF(分析!H70&lt;&gt;"",分析!H70,"")</f>
        <v/>
      </c>
      <c r="H149" s="146">
        <f>IF(分析!I70&lt;&gt;"",分析!I70,"")</f>
        <v/>
      </c>
      <c r="I149" s="146">
        <f>IF(分析!J70&lt;&gt;"",分析!J70,"")</f>
        <v/>
      </c>
      <c r="J149" s="146">
        <f>IF(分析!AB70&lt;&gt;"",分析!AB70,"")</f>
        <v/>
      </c>
      <c r="K149" s="146">
        <f>IF(分析!AC70&lt;&gt;"",分析!AC70,"")</f>
        <v/>
      </c>
      <c r="L149" s="146">
        <f>IF(分析!K70&lt;&gt;"",分析!K70,"")</f>
        <v/>
      </c>
      <c r="M149" s="141">
        <f>IF(分析!P70&lt;&gt;"",分析!P70,"")</f>
        <v/>
      </c>
      <c r="N149" s="599">
        <f>IF(分析!O70&lt;&gt;"",分析!O70,"")</f>
        <v/>
      </c>
      <c r="O149" s="148">
        <f>IF(分析!X70&lt;&gt;"",分析!X70,"")</f>
        <v/>
      </c>
      <c r="P149" s="600">
        <f>IF(分析!L70&lt;&gt;"",分析!L70,"")</f>
        <v/>
      </c>
      <c r="Q149" s="146">
        <f>IF(分析!S70&lt;&gt;"",分析!S70,"")</f>
        <v/>
      </c>
      <c r="R149" s="146">
        <f>IF(分析!R70&lt;&gt;"",分析!R70,"")</f>
        <v/>
      </c>
      <c r="S149" s="141">
        <f>IF(分析!AA70&lt;&gt;"",分析!AA70,"")</f>
        <v/>
      </c>
      <c r="T149" s="601">
        <f>IF(分析!Z70&lt;&gt;"",分析!Z70,"")</f>
        <v/>
      </c>
      <c r="U149" s="141">
        <f>IF(分析!V70&lt;&gt;"",分析!V70,"")</f>
        <v/>
      </c>
      <c r="V149" s="602">
        <f>IF(分析!W70&lt;&gt;"",分析!W70,"")</f>
        <v/>
      </c>
      <c r="W149" s="152">
        <f>IF(分析!AD70&lt;&gt;"",分析!AD70,"")</f>
        <v/>
      </c>
      <c r="X149" s="153">
        <f>IF(分析!AE70&lt;&gt;"",分析!AE70,"")</f>
        <v/>
      </c>
      <c r="Y149" s="154">
        <f>IF(分析!T70&lt;&gt;"",分析!T70,"")</f>
        <v/>
      </c>
      <c r="Z149" s="155">
        <f>IF(分析!Y70&lt;&gt;"",分析!Y70,"")</f>
        <v/>
      </c>
    </row>
    <row r="150" ht="21.95" customHeight="1" s="574">
      <c r="A150" s="141">
        <f>IF(分析!C204&lt;&gt;"",ROW()-2,"")</f>
        <v/>
      </c>
      <c r="B150" s="142">
        <f>IF(分析!C204&lt;&gt;"",HYPERLINK("https://kabutan.jp/stock/?code="&amp;分析!C204,"株探"),"")</f>
        <v/>
      </c>
      <c r="C150" s="598">
        <f>IF(分析!C204&lt;&gt;"",分析!C204,"")</f>
        <v/>
      </c>
      <c r="D150" s="144">
        <f>IF(分析!D204&lt;&gt;"",分析!D204,"")</f>
        <v/>
      </c>
      <c r="E150" s="145">
        <f>IF(分析!E204&lt;&gt;"",分析!E204,"")</f>
        <v/>
      </c>
      <c r="F150" s="146">
        <f>IF(分析!F204&lt;&gt;"",分析!F204,"")</f>
        <v/>
      </c>
      <c r="G150" s="146">
        <f>IF(分析!H204&lt;&gt;"",分析!H204,"")</f>
        <v/>
      </c>
      <c r="H150" s="146">
        <f>IF(分析!I204&lt;&gt;"",分析!I204,"")</f>
        <v/>
      </c>
      <c r="I150" s="146">
        <f>IF(分析!J204&lt;&gt;"",分析!J204,"")</f>
        <v/>
      </c>
      <c r="J150" s="146">
        <f>IF(分析!AB204&lt;&gt;"",分析!AB204,"")</f>
        <v/>
      </c>
      <c r="K150" s="146">
        <f>IF(分析!AC204&lt;&gt;"",分析!AC204,"")</f>
        <v/>
      </c>
      <c r="L150" s="146">
        <f>IF(分析!K204&lt;&gt;"",分析!K204,"")</f>
        <v/>
      </c>
      <c r="M150" s="141">
        <f>IF(分析!P204&lt;&gt;"",分析!P204,"")</f>
        <v/>
      </c>
      <c r="N150" s="599">
        <f>IF(分析!O204&lt;&gt;"",分析!O204,"")</f>
        <v/>
      </c>
      <c r="O150" s="148">
        <f>IF(分析!X204&lt;&gt;"",分析!X204,"")</f>
        <v/>
      </c>
      <c r="P150" s="600">
        <f>IF(分析!L204&lt;&gt;"",分析!L204,"")</f>
        <v/>
      </c>
      <c r="Q150" s="146">
        <f>IF(分析!S204&lt;&gt;"",分析!S204,"")</f>
        <v/>
      </c>
      <c r="R150" s="146">
        <f>IF(分析!R204&lt;&gt;"",分析!R204,"")</f>
        <v/>
      </c>
      <c r="S150" s="141">
        <f>IF(分析!AA204&lt;&gt;"",分析!AA204,"")</f>
        <v/>
      </c>
      <c r="T150" s="601">
        <f>IF(分析!Z204&lt;&gt;"",分析!Z204,"")</f>
        <v/>
      </c>
      <c r="U150" s="141">
        <f>IF(分析!V204&lt;&gt;"",分析!V204,"")</f>
        <v/>
      </c>
      <c r="V150" s="602">
        <f>IF(分析!W204&lt;&gt;"",分析!W204,"")</f>
        <v/>
      </c>
      <c r="W150" s="152">
        <f>IF(分析!AD204&lt;&gt;"",分析!AD204,"")</f>
        <v/>
      </c>
      <c r="X150" s="153">
        <f>IF(分析!AE204&lt;&gt;"",分析!AE204,"")</f>
        <v/>
      </c>
      <c r="Y150" s="154">
        <f>IF(分析!T204&lt;&gt;"",分析!T204,"")</f>
        <v/>
      </c>
      <c r="Z150" s="155">
        <f>IF(分析!Y204&lt;&gt;"",分析!Y204,"")</f>
        <v/>
      </c>
    </row>
    <row r="151" ht="21.95" customHeight="1" s="574">
      <c r="A151" s="141">
        <f>IF(分析!C26&lt;&gt;"",ROW()-2,"")</f>
        <v/>
      </c>
      <c r="B151" s="142">
        <f>IF(分析!C26&lt;&gt;"",HYPERLINK("https://kabutan.jp/stock/?code="&amp;分析!C26,"株探"),"")</f>
        <v/>
      </c>
      <c r="C151" s="598">
        <f>IF(分析!C26&lt;&gt;"",分析!C26,"")</f>
        <v/>
      </c>
      <c r="D151" s="144">
        <f>IF(分析!D26&lt;&gt;"",分析!D26,"")</f>
        <v/>
      </c>
      <c r="E151" s="145">
        <f>IF(分析!E26&lt;&gt;"",分析!E26,"")</f>
        <v/>
      </c>
      <c r="F151" s="146">
        <f>IF(分析!F26&lt;&gt;"",分析!F26,"")</f>
        <v/>
      </c>
      <c r="G151" s="146">
        <f>IF(分析!H26&lt;&gt;"",分析!H26,"")</f>
        <v/>
      </c>
      <c r="H151" s="146">
        <f>IF(分析!I26&lt;&gt;"",分析!I26,"")</f>
        <v/>
      </c>
      <c r="I151" s="146">
        <f>IF(分析!J26&lt;&gt;"",分析!J26,"")</f>
        <v/>
      </c>
      <c r="J151" s="146">
        <f>IF(分析!AB26&lt;&gt;"",分析!AB26,"")</f>
        <v/>
      </c>
      <c r="K151" s="146">
        <f>IF(分析!AC26&lt;&gt;"",分析!AC26,"")</f>
        <v/>
      </c>
      <c r="L151" s="146">
        <f>IF(分析!K26&lt;&gt;"",分析!K26,"")</f>
        <v/>
      </c>
      <c r="M151" s="141">
        <f>IF(分析!P26&lt;&gt;"",分析!P26,"")</f>
        <v/>
      </c>
      <c r="N151" s="599">
        <f>IF(分析!O26&lt;&gt;"",分析!O26,"")</f>
        <v/>
      </c>
      <c r="O151" s="148">
        <f>IF(分析!X26&lt;&gt;"",分析!X26,"")</f>
        <v/>
      </c>
      <c r="P151" s="600">
        <f>IF(分析!L26&lt;&gt;"",分析!L26,"")</f>
        <v/>
      </c>
      <c r="Q151" s="146">
        <f>IF(分析!S26&lt;&gt;"",分析!S26,"")</f>
        <v/>
      </c>
      <c r="R151" s="146">
        <f>IF(分析!R26&lt;&gt;"",分析!R26,"")</f>
        <v/>
      </c>
      <c r="S151" s="141">
        <f>IF(分析!AA26&lt;&gt;"",分析!AA26,"")</f>
        <v/>
      </c>
      <c r="T151" s="601">
        <f>IF(分析!Z26&lt;&gt;"",分析!Z26,"")</f>
        <v/>
      </c>
      <c r="U151" s="141">
        <f>IF(分析!V26&lt;&gt;"",分析!V26,"")</f>
        <v/>
      </c>
      <c r="V151" s="602">
        <f>IF(分析!W26&lt;&gt;"",分析!W26,"")</f>
        <v/>
      </c>
      <c r="W151" s="152">
        <f>IF(分析!AD26&lt;&gt;"",分析!AD26,"")</f>
        <v/>
      </c>
      <c r="X151" s="153">
        <f>IF(分析!AE26&lt;&gt;"",分析!AE26,"")</f>
        <v/>
      </c>
      <c r="Y151" s="154">
        <f>IF(分析!T26&lt;&gt;"",分析!T26,"")</f>
        <v/>
      </c>
      <c r="Z151" s="155">
        <f>IF(分析!Y26&lt;&gt;"",分析!Y26,"")</f>
        <v/>
      </c>
    </row>
    <row r="152" ht="21.95" customHeight="1" s="574">
      <c r="A152" s="156">
        <f>IF(分析!C91&lt;&gt;"",ROW()-2,"")</f>
        <v/>
      </c>
      <c r="B152" s="157">
        <f>IF(分析!C91&lt;&gt;"",HYPERLINK("https://kabutan.jp/stock/?code="&amp;分析!C91,"株探"),"")</f>
        <v/>
      </c>
      <c r="C152" s="603">
        <f>IF(分析!C91&lt;&gt;"",分析!C91,"")</f>
        <v/>
      </c>
      <c r="D152" s="159">
        <f>IF(分析!D91&lt;&gt;"",分析!D91,"")</f>
        <v/>
      </c>
      <c r="E152" s="160">
        <f>IF(分析!E91&lt;&gt;"",分析!E91,"")</f>
        <v/>
      </c>
      <c r="F152" s="161">
        <f>IF(分析!F91&lt;&gt;"",分析!F91,"")</f>
        <v/>
      </c>
      <c r="G152" s="161">
        <f>IF(分析!H91&lt;&gt;"",分析!H91,"")</f>
        <v/>
      </c>
      <c r="H152" s="161">
        <f>IF(分析!I91&lt;&gt;"",分析!I91,"")</f>
        <v/>
      </c>
      <c r="I152" s="161">
        <f>IF(分析!J91&lt;&gt;"",分析!J91,"")</f>
        <v/>
      </c>
      <c r="J152" s="161">
        <f>IF(分析!AB91&lt;&gt;"",分析!AB91,"")</f>
        <v/>
      </c>
      <c r="K152" s="161">
        <f>IF(分析!AC91&lt;&gt;"",分析!AC91,"")</f>
        <v/>
      </c>
      <c r="L152" s="161">
        <f>IF(分析!K91&lt;&gt;"",分析!K91,"")</f>
        <v/>
      </c>
      <c r="M152" s="156">
        <f>IF(分析!P91&lt;&gt;"",分析!P91,"")</f>
        <v/>
      </c>
      <c r="N152" s="604">
        <f>IF(分析!O91&lt;&gt;"",分析!O91,"")</f>
        <v/>
      </c>
      <c r="O152" s="163">
        <f>IF(分析!X91&lt;&gt;"",分析!X91,"")</f>
        <v/>
      </c>
      <c r="P152" s="605">
        <f>IF(分析!L91&lt;&gt;"",分析!L91,"")</f>
        <v/>
      </c>
      <c r="Q152" s="161">
        <f>IF(分析!S91&lt;&gt;"",分析!S91,"")</f>
        <v/>
      </c>
      <c r="R152" s="161">
        <f>IF(分析!R91&lt;&gt;"",分析!R91,"")</f>
        <v/>
      </c>
      <c r="S152" s="156">
        <f>IF(分析!AA91&lt;&gt;"",分析!AA91,"")</f>
        <v/>
      </c>
      <c r="T152" s="606">
        <f>IF(分析!Z91&lt;&gt;"",分析!Z91,"")</f>
        <v/>
      </c>
      <c r="U152" s="156">
        <f>IF(分析!V91&lt;&gt;"",分析!V91,"")</f>
        <v/>
      </c>
      <c r="V152" s="607">
        <f>IF(分析!W91&lt;&gt;"",分析!W91,"")</f>
        <v/>
      </c>
      <c r="W152" s="167">
        <f>IF(分析!AD91&lt;&gt;"",分析!AD91,"")</f>
        <v/>
      </c>
      <c r="X152" s="168">
        <f>IF(分析!AE91&lt;&gt;"",分析!AE91,"")</f>
        <v/>
      </c>
      <c r="Y152" s="169">
        <f>IF(分析!T91&lt;&gt;"",分析!T91,"")</f>
        <v/>
      </c>
      <c r="Z152" s="155">
        <f>IF(分析!Y91&lt;&gt;"",分析!Y91,"")</f>
        <v/>
      </c>
    </row>
    <row r="153" ht="21.95" customHeight="1" s="574">
      <c r="A153" s="141">
        <f>IF(分析!C40&lt;&gt;"",ROW()-2,"")</f>
        <v/>
      </c>
      <c r="B153" s="142">
        <f>IF(分析!C40&lt;&gt;"",HYPERLINK("https://kabutan.jp/stock/?code="&amp;分析!C40,"株探"),"")</f>
        <v/>
      </c>
      <c r="C153" s="598">
        <f>IF(分析!C40&lt;&gt;"",分析!C40,"")</f>
        <v/>
      </c>
      <c r="D153" s="144">
        <f>IF(分析!D40&lt;&gt;"",分析!D40,"")</f>
        <v/>
      </c>
      <c r="E153" s="145">
        <f>IF(分析!E40&lt;&gt;"",分析!E40,"")</f>
        <v/>
      </c>
      <c r="F153" s="146">
        <f>IF(分析!F40&lt;&gt;"",分析!F40,"")</f>
        <v/>
      </c>
      <c r="G153" s="146">
        <f>IF(分析!H40&lt;&gt;"",分析!H40,"")</f>
        <v/>
      </c>
      <c r="H153" s="146">
        <f>IF(分析!I40&lt;&gt;"",分析!I40,"")</f>
        <v/>
      </c>
      <c r="I153" s="146">
        <f>IF(分析!J40&lt;&gt;"",分析!J40,"")</f>
        <v/>
      </c>
      <c r="J153" s="146">
        <f>IF(分析!AB40&lt;&gt;"",分析!AB40,"")</f>
        <v/>
      </c>
      <c r="K153" s="146">
        <f>IF(分析!AC40&lt;&gt;"",分析!AC40,"")</f>
        <v/>
      </c>
      <c r="L153" s="146">
        <f>IF(分析!K40&lt;&gt;"",分析!K40,"")</f>
        <v/>
      </c>
      <c r="M153" s="141">
        <f>IF(分析!P40&lt;&gt;"",分析!P40,"")</f>
        <v/>
      </c>
      <c r="N153" s="599">
        <f>IF(分析!O40&lt;&gt;"",分析!O40,"")</f>
        <v/>
      </c>
      <c r="O153" s="148">
        <f>IF(分析!X40&lt;&gt;"",分析!X40,"")</f>
        <v/>
      </c>
      <c r="P153" s="600">
        <f>IF(分析!L40&lt;&gt;"",分析!L40,"")</f>
        <v/>
      </c>
      <c r="Q153" s="146">
        <f>IF(分析!S40&lt;&gt;"",分析!S40,"")</f>
        <v/>
      </c>
      <c r="R153" s="146">
        <f>IF(分析!R40&lt;&gt;"",分析!R40,"")</f>
        <v/>
      </c>
      <c r="S153" s="141">
        <f>IF(分析!AA40&lt;&gt;"",分析!AA40,"")</f>
        <v/>
      </c>
      <c r="T153" s="601">
        <f>IF(分析!Z40&lt;&gt;"",分析!Z40,"")</f>
        <v/>
      </c>
      <c r="U153" s="141">
        <f>IF(分析!V40&lt;&gt;"",分析!V40,"")</f>
        <v/>
      </c>
      <c r="V153" s="602">
        <f>IF(分析!W40&lt;&gt;"",分析!W40,"")</f>
        <v/>
      </c>
      <c r="W153" s="152">
        <f>IF(分析!AD40&lt;&gt;"",分析!AD40,"")</f>
        <v/>
      </c>
      <c r="X153" s="153">
        <f>IF(分析!AE40&lt;&gt;"",分析!AE40,"")</f>
        <v/>
      </c>
      <c r="Y153" s="154">
        <f>IF(分析!T40&lt;&gt;"",分析!T40,"")</f>
        <v/>
      </c>
      <c r="Z153" s="155">
        <f>IF(分析!Y40&lt;&gt;"",分析!Y40,"")</f>
        <v/>
      </c>
    </row>
    <row r="154" ht="21.95" customHeight="1" s="574">
      <c r="A154" s="156">
        <f>IF(分析!C161&lt;&gt;"",ROW()-2,"")</f>
        <v/>
      </c>
      <c r="B154" s="157">
        <f>IF(分析!C161&lt;&gt;"",HYPERLINK("https://kabutan.jp/stock/?code="&amp;分析!C161,"株探"),"")</f>
        <v/>
      </c>
      <c r="C154" s="603">
        <f>IF(分析!C161&lt;&gt;"",分析!C161,"")</f>
        <v/>
      </c>
      <c r="D154" s="159">
        <f>IF(分析!D161&lt;&gt;"",分析!D161,"")</f>
        <v/>
      </c>
      <c r="E154" s="160">
        <f>IF(分析!E161&lt;&gt;"",分析!E161,"")</f>
        <v/>
      </c>
      <c r="F154" s="161">
        <f>IF(分析!F161&lt;&gt;"",分析!F161,"")</f>
        <v/>
      </c>
      <c r="G154" s="161">
        <f>IF(分析!H161&lt;&gt;"",分析!H161,"")</f>
        <v/>
      </c>
      <c r="H154" s="161">
        <f>IF(分析!I161&lt;&gt;"",分析!I161,"")</f>
        <v/>
      </c>
      <c r="I154" s="161">
        <f>IF(分析!J161&lt;&gt;"",分析!J161,"")</f>
        <v/>
      </c>
      <c r="J154" s="161">
        <f>IF(分析!AB161&lt;&gt;"",分析!AB161,"")</f>
        <v/>
      </c>
      <c r="K154" s="161">
        <f>IF(分析!AC161&lt;&gt;"",分析!AC161,"")</f>
        <v/>
      </c>
      <c r="L154" s="161">
        <f>IF(分析!K161&lt;&gt;"",分析!K161,"")</f>
        <v/>
      </c>
      <c r="M154" s="156">
        <f>IF(分析!P161&lt;&gt;"",分析!P161,"")</f>
        <v/>
      </c>
      <c r="N154" s="604">
        <f>IF(分析!O161&lt;&gt;"",分析!O161,"")</f>
        <v/>
      </c>
      <c r="O154" s="163">
        <f>IF(分析!X161&lt;&gt;"",分析!X161,"")</f>
        <v/>
      </c>
      <c r="P154" s="605">
        <f>IF(分析!L161&lt;&gt;"",分析!L161,"")</f>
        <v/>
      </c>
      <c r="Q154" s="161">
        <f>IF(分析!S161&lt;&gt;"",分析!S161,"")</f>
        <v/>
      </c>
      <c r="R154" s="161">
        <f>IF(分析!R161&lt;&gt;"",分析!R161,"")</f>
        <v/>
      </c>
      <c r="S154" s="156">
        <f>IF(分析!AA161&lt;&gt;"",分析!AA161,"")</f>
        <v/>
      </c>
      <c r="T154" s="606">
        <f>IF(分析!Z161&lt;&gt;"",分析!Z161,"")</f>
        <v/>
      </c>
      <c r="U154" s="156">
        <f>IF(分析!V161&lt;&gt;"",分析!V161,"")</f>
        <v/>
      </c>
      <c r="V154" s="607">
        <f>IF(分析!W161&lt;&gt;"",分析!W161,"")</f>
        <v/>
      </c>
      <c r="W154" s="167">
        <f>IF(分析!AD161&lt;&gt;"",分析!AD161,"")</f>
        <v/>
      </c>
      <c r="X154" s="168">
        <f>IF(分析!AE161&lt;&gt;"",分析!AE161,"")</f>
        <v/>
      </c>
      <c r="Y154" s="169">
        <f>IF(分析!T161&lt;&gt;"",分析!T161,"")</f>
        <v/>
      </c>
      <c r="Z154" s="155">
        <f>IF(分析!Y161&lt;&gt;"",分析!Y161,"")</f>
        <v/>
      </c>
    </row>
    <row r="155" ht="21.95" customHeight="1" s="574">
      <c r="A155" s="156">
        <f>IF(分析!C135&lt;&gt;"",ROW()-2,"")</f>
        <v/>
      </c>
      <c r="B155" s="157">
        <f>IF(分析!C135&lt;&gt;"",HYPERLINK("https://kabutan.jp/stock/?code="&amp;分析!C135,"株探"),"")</f>
        <v/>
      </c>
      <c r="C155" s="603">
        <f>IF(分析!C135&lt;&gt;"",分析!C135,"")</f>
        <v/>
      </c>
      <c r="D155" s="159">
        <f>IF(分析!D135&lt;&gt;"",分析!D135,"")</f>
        <v/>
      </c>
      <c r="E155" s="160">
        <f>IF(分析!E135&lt;&gt;"",分析!E135,"")</f>
        <v/>
      </c>
      <c r="F155" s="161">
        <f>IF(分析!F135&lt;&gt;"",分析!F135,"")</f>
        <v/>
      </c>
      <c r="G155" s="161">
        <f>IF(分析!H135&lt;&gt;"",分析!H135,"")</f>
        <v/>
      </c>
      <c r="H155" s="161">
        <f>IF(分析!I135&lt;&gt;"",分析!I135,"")</f>
        <v/>
      </c>
      <c r="I155" s="161">
        <f>IF(分析!J135&lt;&gt;"",分析!J135,"")</f>
        <v/>
      </c>
      <c r="J155" s="161">
        <f>IF(分析!AB135&lt;&gt;"",分析!AB135,"")</f>
        <v/>
      </c>
      <c r="K155" s="161">
        <f>IF(分析!AC135&lt;&gt;"",分析!AC135,"")</f>
        <v/>
      </c>
      <c r="L155" s="161">
        <f>IF(分析!K135&lt;&gt;"",分析!K135,"")</f>
        <v/>
      </c>
      <c r="M155" s="156">
        <f>IF(分析!P135&lt;&gt;"",分析!P135,"")</f>
        <v/>
      </c>
      <c r="N155" s="604">
        <f>IF(分析!O135&lt;&gt;"",分析!O135,"")</f>
        <v/>
      </c>
      <c r="O155" s="163">
        <f>IF(分析!X135&lt;&gt;"",分析!X135,"")</f>
        <v/>
      </c>
      <c r="P155" s="605">
        <f>IF(分析!L135&lt;&gt;"",分析!L135,"")</f>
        <v/>
      </c>
      <c r="Q155" s="161">
        <f>IF(分析!S135&lt;&gt;"",分析!S135,"")</f>
        <v/>
      </c>
      <c r="R155" s="161">
        <f>IF(分析!R135&lt;&gt;"",分析!R135,"")</f>
        <v/>
      </c>
      <c r="S155" s="156">
        <f>IF(分析!AA135&lt;&gt;"",分析!AA135,"")</f>
        <v/>
      </c>
      <c r="T155" s="606">
        <f>IF(分析!Z135&lt;&gt;"",分析!Z135,"")</f>
        <v/>
      </c>
      <c r="U155" s="156">
        <f>IF(分析!V135&lt;&gt;"",分析!V135,"")</f>
        <v/>
      </c>
      <c r="V155" s="607">
        <f>IF(分析!W135&lt;&gt;"",分析!W135,"")</f>
        <v/>
      </c>
      <c r="W155" s="167">
        <f>IF(分析!AD135&lt;&gt;"",分析!AD135,"")</f>
        <v/>
      </c>
      <c r="X155" s="168">
        <f>IF(分析!AE135&lt;&gt;"",分析!AE135,"")</f>
        <v/>
      </c>
      <c r="Y155" s="169">
        <f>IF(分析!T135&lt;&gt;"",分析!T135,"")</f>
        <v/>
      </c>
      <c r="Z155" s="155">
        <f>IF(分析!Y135&lt;&gt;"",分析!Y135,"")</f>
        <v/>
      </c>
    </row>
    <row r="156" ht="21.95" customHeight="1" s="574">
      <c r="A156" s="141">
        <f>IF(分析!C196&lt;&gt;"",ROW()-2,"")</f>
        <v/>
      </c>
      <c r="B156" s="142">
        <f>IF(分析!C196&lt;&gt;"",HYPERLINK("https://kabutan.jp/stock/?code="&amp;分析!C196,"株探"),"")</f>
        <v/>
      </c>
      <c r="C156" s="598">
        <f>IF(分析!C196&lt;&gt;"",分析!C196,"")</f>
        <v/>
      </c>
      <c r="D156" s="144">
        <f>IF(分析!D196&lt;&gt;"",分析!D196,"")</f>
        <v/>
      </c>
      <c r="E156" s="145">
        <f>IF(分析!E196&lt;&gt;"",分析!E196,"")</f>
        <v/>
      </c>
      <c r="F156" s="146">
        <f>IF(分析!F196&lt;&gt;"",分析!F196,"")</f>
        <v/>
      </c>
      <c r="G156" s="146">
        <f>IF(分析!H196&lt;&gt;"",分析!H196,"")</f>
        <v/>
      </c>
      <c r="H156" s="146">
        <f>IF(分析!I196&lt;&gt;"",分析!I196,"")</f>
        <v/>
      </c>
      <c r="I156" s="146">
        <f>IF(分析!J196&lt;&gt;"",分析!J196,"")</f>
        <v/>
      </c>
      <c r="J156" s="146">
        <f>IF(分析!AB196&lt;&gt;"",分析!AB196,"")</f>
        <v/>
      </c>
      <c r="K156" s="146">
        <f>IF(分析!AC196&lt;&gt;"",分析!AC196,"")</f>
        <v/>
      </c>
      <c r="L156" s="146">
        <f>IF(分析!K196&lt;&gt;"",分析!K196,"")</f>
        <v/>
      </c>
      <c r="M156" s="141">
        <f>IF(分析!P196&lt;&gt;"",分析!P196,"")</f>
        <v/>
      </c>
      <c r="N156" s="599">
        <f>IF(分析!O196&lt;&gt;"",分析!O196,"")</f>
        <v/>
      </c>
      <c r="O156" s="148">
        <f>IF(分析!X196&lt;&gt;"",分析!X196,"")</f>
        <v/>
      </c>
      <c r="P156" s="600">
        <f>IF(分析!L196&lt;&gt;"",分析!L196,"")</f>
        <v/>
      </c>
      <c r="Q156" s="146">
        <f>IF(分析!S196&lt;&gt;"",分析!S196,"")</f>
        <v/>
      </c>
      <c r="R156" s="146">
        <f>IF(分析!R196&lt;&gt;"",分析!R196,"")</f>
        <v/>
      </c>
      <c r="S156" s="141">
        <f>IF(分析!AA196&lt;&gt;"",分析!AA196,"")</f>
        <v/>
      </c>
      <c r="T156" s="601">
        <f>IF(分析!Z196&lt;&gt;"",分析!Z196,"")</f>
        <v/>
      </c>
      <c r="U156" s="141">
        <f>IF(分析!V196&lt;&gt;"",分析!V196,"")</f>
        <v/>
      </c>
      <c r="V156" s="602">
        <f>IF(分析!W196&lt;&gt;"",分析!W196,"")</f>
        <v/>
      </c>
      <c r="W156" s="152">
        <f>IF(分析!AD196&lt;&gt;"",分析!AD196,"")</f>
        <v/>
      </c>
      <c r="X156" s="153">
        <f>IF(分析!AE196&lt;&gt;"",分析!AE196,"")</f>
        <v/>
      </c>
      <c r="Y156" s="154">
        <f>IF(分析!T196&lt;&gt;"",分析!T196,"")</f>
        <v/>
      </c>
      <c r="Z156" s="155">
        <f>IF(分析!Y196&lt;&gt;"",分析!Y196,"")</f>
        <v/>
      </c>
    </row>
    <row r="157" ht="21.95" customHeight="1" s="574">
      <c r="A157" s="156">
        <f>IF(分析!C143&lt;&gt;"",ROW()-2,"")</f>
        <v/>
      </c>
      <c r="B157" s="157">
        <f>IF(分析!C143&lt;&gt;"",HYPERLINK("https://kabutan.jp/stock/?code="&amp;分析!C143,"株探"),"")</f>
        <v/>
      </c>
      <c r="C157" s="603">
        <f>IF(分析!C143&lt;&gt;"",分析!C143,"")</f>
        <v/>
      </c>
      <c r="D157" s="159">
        <f>IF(分析!D143&lt;&gt;"",分析!D143,"")</f>
        <v/>
      </c>
      <c r="E157" s="160">
        <f>IF(分析!E143&lt;&gt;"",分析!E143,"")</f>
        <v/>
      </c>
      <c r="F157" s="161">
        <f>IF(分析!F143&lt;&gt;"",分析!F143,"")</f>
        <v/>
      </c>
      <c r="G157" s="161">
        <f>IF(分析!H143&lt;&gt;"",分析!H143,"")</f>
        <v/>
      </c>
      <c r="H157" s="161">
        <f>IF(分析!I143&lt;&gt;"",分析!I143,"")</f>
        <v/>
      </c>
      <c r="I157" s="161">
        <f>IF(分析!J143&lt;&gt;"",分析!J143,"")</f>
        <v/>
      </c>
      <c r="J157" s="161">
        <f>IF(分析!AB143&lt;&gt;"",分析!AB143,"")</f>
        <v/>
      </c>
      <c r="K157" s="161">
        <f>IF(分析!AC143&lt;&gt;"",分析!AC143,"")</f>
        <v/>
      </c>
      <c r="L157" s="161">
        <f>IF(分析!K143&lt;&gt;"",分析!K143,"")</f>
        <v/>
      </c>
      <c r="M157" s="156">
        <f>IF(分析!P143&lt;&gt;"",分析!P143,"")</f>
        <v/>
      </c>
      <c r="N157" s="604">
        <f>IF(分析!O143&lt;&gt;"",分析!O143,"")</f>
        <v/>
      </c>
      <c r="O157" s="163">
        <f>IF(分析!X143&lt;&gt;"",分析!X143,"")</f>
        <v/>
      </c>
      <c r="P157" s="605">
        <f>IF(分析!L143&lt;&gt;"",分析!L143,"")</f>
        <v/>
      </c>
      <c r="Q157" s="161">
        <f>IF(分析!S143&lt;&gt;"",分析!S143,"")</f>
        <v/>
      </c>
      <c r="R157" s="161">
        <f>IF(分析!R143&lt;&gt;"",分析!R143,"")</f>
        <v/>
      </c>
      <c r="S157" s="156">
        <f>IF(分析!AA143&lt;&gt;"",分析!AA143,"")</f>
        <v/>
      </c>
      <c r="T157" s="606">
        <f>IF(分析!Z143&lt;&gt;"",分析!Z143,"")</f>
        <v/>
      </c>
      <c r="U157" s="156">
        <f>IF(分析!V143&lt;&gt;"",分析!V143,"")</f>
        <v/>
      </c>
      <c r="V157" s="607">
        <f>IF(分析!W143&lt;&gt;"",分析!W143,"")</f>
        <v/>
      </c>
      <c r="W157" s="167">
        <f>IF(分析!AD143&lt;&gt;"",分析!AD143,"")</f>
        <v/>
      </c>
      <c r="X157" s="168">
        <f>IF(分析!AE143&lt;&gt;"",分析!AE143,"")</f>
        <v/>
      </c>
      <c r="Y157" s="169">
        <f>IF(分析!T143&lt;&gt;"",分析!T143,"")</f>
        <v/>
      </c>
      <c r="Z157" s="155">
        <f>IF(分析!Y143&lt;&gt;"",分析!Y143,"")</f>
        <v/>
      </c>
    </row>
    <row r="158" ht="21.95" customHeight="1" s="574">
      <c r="A158" s="156">
        <f>IF(分析!C13&lt;&gt;"",ROW()-2,"")</f>
        <v/>
      </c>
      <c r="B158" s="157">
        <f>IF(分析!C13&lt;&gt;"",HYPERLINK("https://kabutan.jp/stock/?code="&amp;分析!C13,"株探"),"")</f>
        <v/>
      </c>
      <c r="C158" s="603">
        <f>IF(分析!C13&lt;&gt;"",分析!C13,"")</f>
        <v/>
      </c>
      <c r="D158" s="159">
        <f>IF(分析!D13&lt;&gt;"",分析!D13,"")</f>
        <v/>
      </c>
      <c r="E158" s="160">
        <f>IF(分析!E13&lt;&gt;"",分析!E13,"")</f>
        <v/>
      </c>
      <c r="F158" s="161">
        <f>IF(分析!F13&lt;&gt;"",分析!F13,"")</f>
        <v/>
      </c>
      <c r="G158" s="161">
        <f>IF(分析!H13&lt;&gt;"",分析!H13,"")</f>
        <v/>
      </c>
      <c r="H158" s="161">
        <f>IF(分析!I13&lt;&gt;"",分析!I13,"")</f>
        <v/>
      </c>
      <c r="I158" s="161">
        <f>IF(分析!J13&lt;&gt;"",分析!J13,"")</f>
        <v/>
      </c>
      <c r="J158" s="161">
        <f>IF(分析!AB13&lt;&gt;"",分析!AB13,"")</f>
        <v/>
      </c>
      <c r="K158" s="161">
        <f>IF(分析!AC13&lt;&gt;"",分析!AC13,"")</f>
        <v/>
      </c>
      <c r="L158" s="161">
        <f>IF(分析!K13&lt;&gt;"",分析!K13,"")</f>
        <v/>
      </c>
      <c r="M158" s="156">
        <f>IF(分析!P13&lt;&gt;"",分析!P13,"")</f>
        <v/>
      </c>
      <c r="N158" s="604">
        <f>IF(分析!O13&lt;&gt;"",分析!O13,"")</f>
        <v/>
      </c>
      <c r="O158" s="163">
        <f>IF(分析!X13&lt;&gt;"",分析!X13,"")</f>
        <v/>
      </c>
      <c r="P158" s="605">
        <f>IF(分析!L13&lt;&gt;"",分析!L13,"")</f>
        <v/>
      </c>
      <c r="Q158" s="161">
        <f>IF(分析!S13&lt;&gt;"",分析!S13,"")</f>
        <v/>
      </c>
      <c r="R158" s="161">
        <f>IF(分析!R13&lt;&gt;"",分析!R13,"")</f>
        <v/>
      </c>
      <c r="S158" s="156">
        <f>IF(分析!AA13&lt;&gt;"",分析!AA13,"")</f>
        <v/>
      </c>
      <c r="T158" s="606">
        <f>IF(分析!Z13&lt;&gt;"",分析!Z13,"")</f>
        <v/>
      </c>
      <c r="U158" s="156">
        <f>IF(分析!V13&lt;&gt;"",分析!V13,"")</f>
        <v/>
      </c>
      <c r="V158" s="607">
        <f>IF(分析!W13&lt;&gt;"",分析!W13,"")</f>
        <v/>
      </c>
      <c r="W158" s="167">
        <f>IF(分析!AD13&lt;&gt;"",分析!AD13,"")</f>
        <v/>
      </c>
      <c r="X158" s="168">
        <f>IF(分析!AE13&lt;&gt;"",分析!AE13,"")</f>
        <v/>
      </c>
      <c r="Y158" s="169">
        <f>IF(分析!T13&lt;&gt;"",分析!T13,"")</f>
        <v/>
      </c>
      <c r="Z158" s="155">
        <f>IF(分析!Y13&lt;&gt;"",分析!Y13,"")</f>
        <v/>
      </c>
    </row>
    <row r="159" ht="21.95" customHeight="1" s="574">
      <c r="A159" s="156">
        <f>IF(分析!C109&lt;&gt;"",ROW()-2,"")</f>
        <v/>
      </c>
      <c r="B159" s="157">
        <f>IF(分析!C109&lt;&gt;"",HYPERLINK("https://kabutan.jp/stock/?code="&amp;分析!C109,"株探"),"")</f>
        <v/>
      </c>
      <c r="C159" s="603">
        <f>IF(分析!C109&lt;&gt;"",分析!C109,"")</f>
        <v/>
      </c>
      <c r="D159" s="159">
        <f>IF(分析!D109&lt;&gt;"",分析!D109,"")</f>
        <v/>
      </c>
      <c r="E159" s="160">
        <f>IF(分析!E109&lt;&gt;"",分析!E109,"")</f>
        <v/>
      </c>
      <c r="F159" s="161">
        <f>IF(分析!F109&lt;&gt;"",分析!F109,"")</f>
        <v/>
      </c>
      <c r="G159" s="161">
        <f>IF(分析!H109&lt;&gt;"",分析!H109,"")</f>
        <v/>
      </c>
      <c r="H159" s="161">
        <f>IF(分析!I109&lt;&gt;"",分析!I109,"")</f>
        <v/>
      </c>
      <c r="I159" s="161">
        <f>IF(分析!J109&lt;&gt;"",分析!J109,"")</f>
        <v/>
      </c>
      <c r="J159" s="161">
        <f>IF(分析!AB109&lt;&gt;"",分析!AB109,"")</f>
        <v/>
      </c>
      <c r="K159" s="161">
        <f>IF(分析!AC109&lt;&gt;"",分析!AC109,"")</f>
        <v/>
      </c>
      <c r="L159" s="161">
        <f>IF(分析!K109&lt;&gt;"",分析!K109,"")</f>
        <v/>
      </c>
      <c r="M159" s="156">
        <f>IF(分析!P109&lt;&gt;"",分析!P109,"")</f>
        <v/>
      </c>
      <c r="N159" s="604">
        <f>IF(分析!O109&lt;&gt;"",分析!O109,"")</f>
        <v/>
      </c>
      <c r="O159" s="163">
        <f>IF(分析!X109&lt;&gt;"",分析!X109,"")</f>
        <v/>
      </c>
      <c r="P159" s="605">
        <f>IF(分析!L109&lt;&gt;"",分析!L109,"")</f>
        <v/>
      </c>
      <c r="Q159" s="161">
        <f>IF(分析!S109&lt;&gt;"",分析!S109,"")</f>
        <v/>
      </c>
      <c r="R159" s="161">
        <f>IF(分析!R109&lt;&gt;"",分析!R109,"")</f>
        <v/>
      </c>
      <c r="S159" s="156">
        <f>IF(分析!AA109&lt;&gt;"",分析!AA109,"")</f>
        <v/>
      </c>
      <c r="T159" s="606">
        <f>IF(分析!Z109&lt;&gt;"",分析!Z109,"")</f>
        <v/>
      </c>
      <c r="U159" s="156">
        <f>IF(分析!V109&lt;&gt;"",分析!V109,"")</f>
        <v/>
      </c>
      <c r="V159" s="607">
        <f>IF(分析!W109&lt;&gt;"",分析!W109,"")</f>
        <v/>
      </c>
      <c r="W159" s="167">
        <f>IF(分析!AD109&lt;&gt;"",分析!AD109,"")</f>
        <v/>
      </c>
      <c r="X159" s="168">
        <f>IF(分析!AE109&lt;&gt;"",分析!AE109,"")</f>
        <v/>
      </c>
      <c r="Y159" s="169">
        <f>IF(分析!T109&lt;&gt;"",分析!T109,"")</f>
        <v/>
      </c>
      <c r="Z159" s="155">
        <f>IF(分析!Y109&lt;&gt;"",分析!Y109,"")</f>
        <v/>
      </c>
    </row>
    <row r="160" ht="21.95" customHeight="1" s="574">
      <c r="A160" s="141">
        <f>IF(分析!C14&lt;&gt;"",ROW()-2,"")</f>
        <v/>
      </c>
      <c r="B160" s="142">
        <f>IF(分析!C14&lt;&gt;"",HYPERLINK("https://kabutan.jp/stock/?code="&amp;分析!C14,"株探"),"")</f>
        <v/>
      </c>
      <c r="C160" s="598">
        <f>IF(分析!C14&lt;&gt;"",分析!C14,"")</f>
        <v/>
      </c>
      <c r="D160" s="144">
        <f>IF(分析!D14&lt;&gt;"",分析!D14,"")</f>
        <v/>
      </c>
      <c r="E160" s="145">
        <f>IF(分析!E14&lt;&gt;"",分析!E14,"")</f>
        <v/>
      </c>
      <c r="F160" s="146">
        <f>IF(分析!F14&lt;&gt;"",分析!F14,"")</f>
        <v/>
      </c>
      <c r="G160" s="146">
        <f>IF(分析!H14&lt;&gt;"",分析!H14,"")</f>
        <v/>
      </c>
      <c r="H160" s="146">
        <f>IF(分析!I14&lt;&gt;"",分析!I14,"")</f>
        <v/>
      </c>
      <c r="I160" s="146">
        <f>IF(分析!J14&lt;&gt;"",分析!J14,"")</f>
        <v/>
      </c>
      <c r="J160" s="146">
        <f>IF(分析!AB14&lt;&gt;"",分析!AB14,"")</f>
        <v/>
      </c>
      <c r="K160" s="146">
        <f>IF(分析!AC14&lt;&gt;"",分析!AC14,"")</f>
        <v/>
      </c>
      <c r="L160" s="146">
        <f>IF(分析!K14&lt;&gt;"",分析!K14,"")</f>
        <v/>
      </c>
      <c r="M160" s="141">
        <f>IF(分析!P14&lt;&gt;"",分析!P14,"")</f>
        <v/>
      </c>
      <c r="N160" s="599">
        <f>IF(分析!O14&lt;&gt;"",分析!O14,"")</f>
        <v/>
      </c>
      <c r="O160" s="148">
        <f>IF(分析!X14&lt;&gt;"",分析!X14,"")</f>
        <v/>
      </c>
      <c r="P160" s="600">
        <f>IF(分析!L14&lt;&gt;"",分析!L14,"")</f>
        <v/>
      </c>
      <c r="Q160" s="146">
        <f>IF(分析!S14&lt;&gt;"",分析!S14,"")</f>
        <v/>
      </c>
      <c r="R160" s="146">
        <f>IF(分析!R14&lt;&gt;"",分析!R14,"")</f>
        <v/>
      </c>
      <c r="S160" s="141">
        <f>IF(分析!AA14&lt;&gt;"",分析!AA14,"")</f>
        <v/>
      </c>
      <c r="T160" s="601">
        <f>IF(分析!Z14&lt;&gt;"",分析!Z14,"")</f>
        <v/>
      </c>
      <c r="U160" s="141">
        <f>IF(分析!V14&lt;&gt;"",分析!V14,"")</f>
        <v/>
      </c>
      <c r="V160" s="602">
        <f>IF(分析!W14&lt;&gt;"",分析!W14,"")</f>
        <v/>
      </c>
      <c r="W160" s="152">
        <f>IF(分析!AD14&lt;&gt;"",分析!AD14,"")</f>
        <v/>
      </c>
      <c r="X160" s="153">
        <f>IF(分析!AE14&lt;&gt;"",分析!AE14,"")</f>
        <v/>
      </c>
      <c r="Y160" s="154">
        <f>IF(分析!T14&lt;&gt;"",分析!T14,"")</f>
        <v/>
      </c>
      <c r="Z160" s="155">
        <f>IF(分析!Y14&lt;&gt;"",分析!Y14,"")</f>
        <v/>
      </c>
    </row>
    <row r="161" ht="21.95" customHeight="1" s="574">
      <c r="A161" s="141">
        <f>IF(分析!C132&lt;&gt;"",ROW()-2,"")</f>
        <v/>
      </c>
      <c r="B161" s="142">
        <f>IF(分析!C132&lt;&gt;"",HYPERLINK("https://kabutan.jp/stock/?code="&amp;分析!C132,"株探"),"")</f>
        <v/>
      </c>
      <c r="C161" s="598">
        <f>IF(分析!C132&lt;&gt;"",分析!C132,"")</f>
        <v/>
      </c>
      <c r="D161" s="144">
        <f>IF(分析!D132&lt;&gt;"",分析!D132,"")</f>
        <v/>
      </c>
      <c r="E161" s="145">
        <f>IF(分析!E132&lt;&gt;"",分析!E132,"")</f>
        <v/>
      </c>
      <c r="F161" s="146">
        <f>IF(分析!F132&lt;&gt;"",分析!F132,"")</f>
        <v/>
      </c>
      <c r="G161" s="146">
        <f>IF(分析!H132&lt;&gt;"",分析!H132,"")</f>
        <v/>
      </c>
      <c r="H161" s="146">
        <f>IF(分析!I132&lt;&gt;"",分析!I132,"")</f>
        <v/>
      </c>
      <c r="I161" s="146">
        <f>IF(分析!J132&lt;&gt;"",分析!J132,"")</f>
        <v/>
      </c>
      <c r="J161" s="146">
        <f>IF(分析!AB132&lt;&gt;"",分析!AB132,"")</f>
        <v/>
      </c>
      <c r="K161" s="146">
        <f>IF(分析!AC132&lt;&gt;"",分析!AC132,"")</f>
        <v/>
      </c>
      <c r="L161" s="146">
        <f>IF(分析!K132&lt;&gt;"",分析!K132,"")</f>
        <v/>
      </c>
      <c r="M161" s="141">
        <f>IF(分析!P132&lt;&gt;"",分析!P132,"")</f>
        <v/>
      </c>
      <c r="N161" s="599">
        <f>IF(分析!O132&lt;&gt;"",分析!O132,"")</f>
        <v/>
      </c>
      <c r="O161" s="148">
        <f>IF(分析!X132&lt;&gt;"",分析!X132,"")</f>
        <v/>
      </c>
      <c r="P161" s="600">
        <f>IF(分析!L132&lt;&gt;"",分析!L132,"")</f>
        <v/>
      </c>
      <c r="Q161" s="146">
        <f>IF(分析!S132&lt;&gt;"",分析!S132,"")</f>
        <v/>
      </c>
      <c r="R161" s="146">
        <f>IF(分析!R132&lt;&gt;"",分析!R132,"")</f>
        <v/>
      </c>
      <c r="S161" s="141">
        <f>IF(分析!AA132&lt;&gt;"",分析!AA132,"")</f>
        <v/>
      </c>
      <c r="T161" s="601">
        <f>IF(分析!Z132&lt;&gt;"",分析!Z132,"")</f>
        <v/>
      </c>
      <c r="U161" s="141">
        <f>IF(分析!V132&lt;&gt;"",分析!V132,"")</f>
        <v/>
      </c>
      <c r="V161" s="602">
        <f>IF(分析!W132&lt;&gt;"",分析!W132,"")</f>
        <v/>
      </c>
      <c r="W161" s="152">
        <f>IF(分析!AD132&lt;&gt;"",分析!AD132,"")</f>
        <v/>
      </c>
      <c r="X161" s="153">
        <f>IF(分析!AE132&lt;&gt;"",分析!AE132,"")</f>
        <v/>
      </c>
      <c r="Y161" s="154">
        <f>IF(分析!T132&lt;&gt;"",分析!T132,"")</f>
        <v/>
      </c>
      <c r="Z161" s="155">
        <f>IF(分析!Y132&lt;&gt;"",分析!Y132,"")</f>
        <v/>
      </c>
    </row>
    <row r="162" ht="21.95" customHeight="1" s="574">
      <c r="A162" s="141">
        <f>IF(分析!C82&lt;&gt;"",ROW()-2,"")</f>
        <v/>
      </c>
      <c r="B162" s="142">
        <f>IF(分析!C82&lt;&gt;"",HYPERLINK("https://kabutan.jp/stock/?code="&amp;分析!C82,"株探"),"")</f>
        <v/>
      </c>
      <c r="C162" s="598">
        <f>IF(分析!C82&lt;&gt;"",分析!C82,"")</f>
        <v/>
      </c>
      <c r="D162" s="144">
        <f>IF(分析!D82&lt;&gt;"",分析!D82,"")</f>
        <v/>
      </c>
      <c r="E162" s="145">
        <f>IF(分析!E82&lt;&gt;"",分析!E82,"")</f>
        <v/>
      </c>
      <c r="F162" s="146">
        <f>IF(分析!F82&lt;&gt;"",分析!F82,"")</f>
        <v/>
      </c>
      <c r="G162" s="146">
        <f>IF(分析!H82&lt;&gt;"",分析!H82,"")</f>
        <v/>
      </c>
      <c r="H162" s="146">
        <f>IF(分析!I82&lt;&gt;"",分析!I82,"")</f>
        <v/>
      </c>
      <c r="I162" s="146">
        <f>IF(分析!J82&lt;&gt;"",分析!J82,"")</f>
        <v/>
      </c>
      <c r="J162" s="146">
        <f>IF(分析!AB82&lt;&gt;"",分析!AB82,"")</f>
        <v/>
      </c>
      <c r="K162" s="146">
        <f>IF(分析!AC82&lt;&gt;"",分析!AC82,"")</f>
        <v/>
      </c>
      <c r="L162" s="146">
        <f>IF(分析!K82&lt;&gt;"",分析!K82,"")</f>
        <v/>
      </c>
      <c r="M162" s="141">
        <f>IF(分析!P82&lt;&gt;"",分析!P82,"")</f>
        <v/>
      </c>
      <c r="N162" s="599">
        <f>IF(分析!O82&lt;&gt;"",分析!O82,"")</f>
        <v/>
      </c>
      <c r="O162" s="148">
        <f>IF(分析!X82&lt;&gt;"",分析!X82,"")</f>
        <v/>
      </c>
      <c r="P162" s="600">
        <f>IF(分析!L82&lt;&gt;"",分析!L82,"")</f>
        <v/>
      </c>
      <c r="Q162" s="146">
        <f>IF(分析!S82&lt;&gt;"",分析!S82,"")</f>
        <v/>
      </c>
      <c r="R162" s="146">
        <f>IF(分析!R82&lt;&gt;"",分析!R82,"")</f>
        <v/>
      </c>
      <c r="S162" s="141">
        <f>IF(分析!AA82&lt;&gt;"",分析!AA82,"")</f>
        <v/>
      </c>
      <c r="T162" s="601">
        <f>IF(分析!Z82&lt;&gt;"",分析!Z82,"")</f>
        <v/>
      </c>
      <c r="U162" s="141">
        <f>IF(分析!V82&lt;&gt;"",分析!V82,"")</f>
        <v/>
      </c>
      <c r="V162" s="602">
        <f>IF(分析!W82&lt;&gt;"",分析!W82,"")</f>
        <v/>
      </c>
      <c r="W162" s="152">
        <f>IF(分析!AD82&lt;&gt;"",分析!AD82,"")</f>
        <v/>
      </c>
      <c r="X162" s="153">
        <f>IF(分析!AE82&lt;&gt;"",分析!AE82,"")</f>
        <v/>
      </c>
      <c r="Y162" s="154">
        <f>IF(分析!T82&lt;&gt;"",分析!T82,"")</f>
        <v/>
      </c>
      <c r="Z162" s="155">
        <f>IF(分析!Y82&lt;&gt;"",分析!Y82,"")</f>
        <v/>
      </c>
    </row>
    <row r="163" ht="21.95" customHeight="1" s="574">
      <c r="A163" s="141">
        <f>IF(分析!C112&lt;&gt;"",ROW()-2,"")</f>
        <v/>
      </c>
      <c r="B163" s="142">
        <f>IF(分析!C112&lt;&gt;"",HYPERLINK("https://kabutan.jp/stock/?code="&amp;分析!C112,"株探"),"")</f>
        <v/>
      </c>
      <c r="C163" s="598">
        <f>IF(分析!C112&lt;&gt;"",分析!C112,"")</f>
        <v/>
      </c>
      <c r="D163" s="144">
        <f>IF(分析!D112&lt;&gt;"",分析!D112,"")</f>
        <v/>
      </c>
      <c r="E163" s="145">
        <f>IF(分析!E112&lt;&gt;"",分析!E112,"")</f>
        <v/>
      </c>
      <c r="F163" s="146">
        <f>IF(分析!F112&lt;&gt;"",分析!F112,"")</f>
        <v/>
      </c>
      <c r="G163" s="146">
        <f>IF(分析!H112&lt;&gt;"",分析!H112,"")</f>
        <v/>
      </c>
      <c r="H163" s="146">
        <f>IF(分析!I112&lt;&gt;"",分析!I112,"")</f>
        <v/>
      </c>
      <c r="I163" s="146">
        <f>IF(分析!J112&lt;&gt;"",分析!J112,"")</f>
        <v/>
      </c>
      <c r="J163" s="146">
        <f>IF(分析!AB112&lt;&gt;"",分析!AB112,"")</f>
        <v/>
      </c>
      <c r="K163" s="146">
        <f>IF(分析!AC112&lt;&gt;"",分析!AC112,"")</f>
        <v/>
      </c>
      <c r="L163" s="146">
        <f>IF(分析!K112&lt;&gt;"",分析!K112,"")</f>
        <v/>
      </c>
      <c r="M163" s="141">
        <f>IF(分析!P112&lt;&gt;"",分析!P112,"")</f>
        <v/>
      </c>
      <c r="N163" s="599">
        <f>IF(分析!O112&lt;&gt;"",分析!O112,"")</f>
        <v/>
      </c>
      <c r="O163" s="148">
        <f>IF(分析!X112&lt;&gt;"",分析!X112,"")</f>
        <v/>
      </c>
      <c r="P163" s="600">
        <f>IF(分析!L112&lt;&gt;"",分析!L112,"")</f>
        <v/>
      </c>
      <c r="Q163" s="146">
        <f>IF(分析!S112&lt;&gt;"",分析!S112,"")</f>
        <v/>
      </c>
      <c r="R163" s="146">
        <f>IF(分析!R112&lt;&gt;"",分析!R112,"")</f>
        <v/>
      </c>
      <c r="S163" s="141">
        <f>IF(分析!AA112&lt;&gt;"",分析!AA112,"")</f>
        <v/>
      </c>
      <c r="T163" s="601">
        <f>IF(分析!Z112&lt;&gt;"",分析!Z112,"")</f>
        <v/>
      </c>
      <c r="U163" s="141">
        <f>IF(分析!V112&lt;&gt;"",分析!V112,"")</f>
        <v/>
      </c>
      <c r="V163" s="602">
        <f>IF(分析!W112&lt;&gt;"",分析!W112,"")</f>
        <v/>
      </c>
      <c r="W163" s="152">
        <f>IF(分析!AD112&lt;&gt;"",分析!AD112,"")</f>
        <v/>
      </c>
      <c r="X163" s="153">
        <f>IF(分析!AE112&lt;&gt;"",分析!AE112,"")</f>
        <v/>
      </c>
      <c r="Y163" s="154">
        <f>IF(分析!T112&lt;&gt;"",分析!T112,"")</f>
        <v/>
      </c>
      <c r="Z163" s="155">
        <f>IF(分析!Y112&lt;&gt;"",分析!Y112,"")</f>
        <v/>
      </c>
    </row>
    <row r="164" ht="21.95" customHeight="1" s="574">
      <c r="A164" s="156">
        <f>IF(分析!C205&lt;&gt;"",ROW()-2,"")</f>
        <v/>
      </c>
      <c r="B164" s="157">
        <f>IF(分析!C205&lt;&gt;"",HYPERLINK("https://kabutan.jp/stock/?code="&amp;分析!C205,"株探"),"")</f>
        <v/>
      </c>
      <c r="C164" s="603">
        <f>IF(分析!C205&lt;&gt;"",分析!C205,"")</f>
        <v/>
      </c>
      <c r="D164" s="159">
        <f>IF(分析!D205&lt;&gt;"",分析!D205,"")</f>
        <v/>
      </c>
      <c r="E164" s="160">
        <f>IF(分析!E205&lt;&gt;"",分析!E205,"")</f>
        <v/>
      </c>
      <c r="F164" s="161">
        <f>IF(分析!F205&lt;&gt;"",分析!F205,"")</f>
        <v/>
      </c>
      <c r="G164" s="161">
        <f>IF(分析!H205&lt;&gt;"",分析!H205,"")</f>
        <v/>
      </c>
      <c r="H164" s="161">
        <f>IF(分析!I205&lt;&gt;"",分析!I205,"")</f>
        <v/>
      </c>
      <c r="I164" s="161">
        <f>IF(分析!J205&lt;&gt;"",分析!J205,"")</f>
        <v/>
      </c>
      <c r="J164" s="161">
        <f>IF(分析!AB205&lt;&gt;"",分析!AB205,"")</f>
        <v/>
      </c>
      <c r="K164" s="161">
        <f>IF(分析!AC205&lt;&gt;"",分析!AC205,"")</f>
        <v/>
      </c>
      <c r="L164" s="161">
        <f>IF(分析!K205&lt;&gt;"",分析!K205,"")</f>
        <v/>
      </c>
      <c r="M164" s="156">
        <f>IF(分析!P205&lt;&gt;"",分析!P205,"")</f>
        <v/>
      </c>
      <c r="N164" s="604">
        <f>IF(分析!O205&lt;&gt;"",分析!O205,"")</f>
        <v/>
      </c>
      <c r="O164" s="163">
        <f>IF(分析!X205&lt;&gt;"",分析!X205,"")</f>
        <v/>
      </c>
      <c r="P164" s="605">
        <f>IF(分析!L205&lt;&gt;"",分析!L205,"")</f>
        <v/>
      </c>
      <c r="Q164" s="161">
        <f>IF(分析!S205&lt;&gt;"",分析!S205,"")</f>
        <v/>
      </c>
      <c r="R164" s="161">
        <f>IF(分析!R205&lt;&gt;"",分析!R205,"")</f>
        <v/>
      </c>
      <c r="S164" s="156">
        <f>IF(分析!AA205&lt;&gt;"",分析!AA205,"")</f>
        <v/>
      </c>
      <c r="T164" s="606">
        <f>IF(分析!Z205&lt;&gt;"",分析!Z205,"")</f>
        <v/>
      </c>
      <c r="U164" s="156">
        <f>IF(分析!V205&lt;&gt;"",分析!V205,"")</f>
        <v/>
      </c>
      <c r="V164" s="607">
        <f>IF(分析!W205&lt;&gt;"",分析!W205,"")</f>
        <v/>
      </c>
      <c r="W164" s="167">
        <f>IF(分析!AD205&lt;&gt;"",分析!AD205,"")</f>
        <v/>
      </c>
      <c r="X164" s="168">
        <f>IF(分析!AE205&lt;&gt;"",分析!AE205,"")</f>
        <v/>
      </c>
      <c r="Y164" s="169">
        <f>IF(分析!T205&lt;&gt;"",分析!T205,"")</f>
        <v/>
      </c>
      <c r="Z164" s="155">
        <f>IF(分析!Y205&lt;&gt;"",分析!Y205,"")</f>
        <v/>
      </c>
    </row>
    <row r="165" ht="21.95" customHeight="1" s="574">
      <c r="A165" s="141">
        <f>IF(分析!C72&lt;&gt;"",ROW()-2,"")</f>
        <v/>
      </c>
      <c r="B165" s="142">
        <f>IF(分析!C72&lt;&gt;"",HYPERLINK("https://kabutan.jp/stock/?code="&amp;分析!C72,"株探"),"")</f>
        <v/>
      </c>
      <c r="C165" s="598">
        <f>IF(分析!C72&lt;&gt;"",分析!C72,"")</f>
        <v/>
      </c>
      <c r="D165" s="144">
        <f>IF(分析!D72&lt;&gt;"",分析!D72,"")</f>
        <v/>
      </c>
      <c r="E165" s="145">
        <f>IF(分析!E72&lt;&gt;"",分析!E72,"")</f>
        <v/>
      </c>
      <c r="F165" s="146">
        <f>IF(分析!F72&lt;&gt;"",分析!F72,"")</f>
        <v/>
      </c>
      <c r="G165" s="146">
        <f>IF(分析!H72&lt;&gt;"",分析!H72,"")</f>
        <v/>
      </c>
      <c r="H165" s="146">
        <f>IF(分析!I72&lt;&gt;"",分析!I72,"")</f>
        <v/>
      </c>
      <c r="I165" s="146">
        <f>IF(分析!J72&lt;&gt;"",分析!J72,"")</f>
        <v/>
      </c>
      <c r="J165" s="146">
        <f>IF(分析!AB72&lt;&gt;"",分析!AB72,"")</f>
        <v/>
      </c>
      <c r="K165" s="146">
        <f>IF(分析!AC72&lt;&gt;"",分析!AC72,"")</f>
        <v/>
      </c>
      <c r="L165" s="146">
        <f>IF(分析!K72&lt;&gt;"",分析!K72,"")</f>
        <v/>
      </c>
      <c r="M165" s="141">
        <f>IF(分析!P72&lt;&gt;"",分析!P72,"")</f>
        <v/>
      </c>
      <c r="N165" s="599">
        <f>IF(分析!O72&lt;&gt;"",分析!O72,"")</f>
        <v/>
      </c>
      <c r="O165" s="148">
        <f>IF(分析!X72&lt;&gt;"",分析!X72,"")</f>
        <v/>
      </c>
      <c r="P165" s="600">
        <f>IF(分析!L72&lt;&gt;"",分析!L72,"")</f>
        <v/>
      </c>
      <c r="Q165" s="146">
        <f>IF(分析!S72&lt;&gt;"",分析!S72,"")</f>
        <v/>
      </c>
      <c r="R165" s="146">
        <f>IF(分析!R72&lt;&gt;"",分析!R72,"")</f>
        <v/>
      </c>
      <c r="S165" s="141">
        <f>IF(分析!AA72&lt;&gt;"",分析!AA72,"")</f>
        <v/>
      </c>
      <c r="T165" s="601">
        <f>IF(分析!Z72&lt;&gt;"",分析!Z72,"")</f>
        <v/>
      </c>
      <c r="U165" s="141">
        <f>IF(分析!V72&lt;&gt;"",分析!V72,"")</f>
        <v/>
      </c>
      <c r="V165" s="602">
        <f>IF(分析!W72&lt;&gt;"",分析!W72,"")</f>
        <v/>
      </c>
      <c r="W165" s="152">
        <f>IF(分析!AD72&lt;&gt;"",分析!AD72,"")</f>
        <v/>
      </c>
      <c r="X165" s="153">
        <f>IF(分析!AE72&lt;&gt;"",分析!AE72,"")</f>
        <v/>
      </c>
      <c r="Y165" s="154">
        <f>IF(分析!T72&lt;&gt;"",分析!T72,"")</f>
        <v/>
      </c>
      <c r="Z165" s="155">
        <f>IF(分析!Y72&lt;&gt;"",分析!Y72,"")</f>
        <v/>
      </c>
    </row>
    <row r="166" ht="21.95" customHeight="1" s="574">
      <c r="A166" s="156">
        <f>IF(分析!C175&lt;&gt;"",ROW()-2,"")</f>
        <v/>
      </c>
      <c r="B166" s="157">
        <f>IF(分析!C175&lt;&gt;"",HYPERLINK("https://kabutan.jp/stock/?code="&amp;分析!C175,"株探"),"")</f>
        <v/>
      </c>
      <c r="C166" s="603">
        <f>IF(分析!C175&lt;&gt;"",分析!C175,"")</f>
        <v/>
      </c>
      <c r="D166" s="159">
        <f>IF(分析!D175&lt;&gt;"",分析!D175,"")</f>
        <v/>
      </c>
      <c r="E166" s="160">
        <f>IF(分析!E175&lt;&gt;"",分析!E175,"")</f>
        <v/>
      </c>
      <c r="F166" s="161">
        <f>IF(分析!F175&lt;&gt;"",分析!F175,"")</f>
        <v/>
      </c>
      <c r="G166" s="161">
        <f>IF(分析!H175&lt;&gt;"",分析!H175,"")</f>
        <v/>
      </c>
      <c r="H166" s="161">
        <f>IF(分析!I175&lt;&gt;"",分析!I175,"")</f>
        <v/>
      </c>
      <c r="I166" s="161">
        <f>IF(分析!J175&lt;&gt;"",分析!J175,"")</f>
        <v/>
      </c>
      <c r="J166" s="161">
        <f>IF(分析!AB175&lt;&gt;"",分析!AB175,"")</f>
        <v/>
      </c>
      <c r="K166" s="161">
        <f>IF(分析!AC175&lt;&gt;"",分析!AC175,"")</f>
        <v/>
      </c>
      <c r="L166" s="161">
        <f>IF(分析!K175&lt;&gt;"",分析!K175,"")</f>
        <v/>
      </c>
      <c r="M166" s="156">
        <f>IF(分析!P175&lt;&gt;"",分析!P175,"")</f>
        <v/>
      </c>
      <c r="N166" s="604">
        <f>IF(分析!O175&lt;&gt;"",分析!O175,"")</f>
        <v/>
      </c>
      <c r="O166" s="163">
        <f>IF(分析!X175&lt;&gt;"",分析!X175,"")</f>
        <v/>
      </c>
      <c r="P166" s="605">
        <f>IF(分析!L175&lt;&gt;"",分析!L175,"")</f>
        <v/>
      </c>
      <c r="Q166" s="161">
        <f>IF(分析!S175&lt;&gt;"",分析!S175,"")</f>
        <v/>
      </c>
      <c r="R166" s="161">
        <f>IF(分析!R175&lt;&gt;"",分析!R175,"")</f>
        <v/>
      </c>
      <c r="S166" s="156">
        <f>IF(分析!AA175&lt;&gt;"",分析!AA175,"")</f>
        <v/>
      </c>
      <c r="T166" s="606">
        <f>IF(分析!Z175&lt;&gt;"",分析!Z175,"")</f>
        <v/>
      </c>
      <c r="U166" s="156">
        <f>IF(分析!V175&lt;&gt;"",分析!V175,"")</f>
        <v/>
      </c>
      <c r="V166" s="607">
        <f>IF(分析!W175&lt;&gt;"",分析!W175,"")</f>
        <v/>
      </c>
      <c r="W166" s="167">
        <f>IF(分析!AD175&lt;&gt;"",分析!AD175,"")</f>
        <v/>
      </c>
      <c r="X166" s="168">
        <f>IF(分析!AE175&lt;&gt;"",分析!AE175,"")</f>
        <v/>
      </c>
      <c r="Y166" s="169">
        <f>IF(分析!T175&lt;&gt;"",分析!T175,"")</f>
        <v/>
      </c>
      <c r="Z166" s="155">
        <f>IF(分析!Y175&lt;&gt;"",分析!Y175,"")</f>
        <v/>
      </c>
    </row>
    <row r="167" ht="21.95" customHeight="1" s="574">
      <c r="A167" s="141">
        <f>IF(分析!C12&lt;&gt;"",ROW()-2,"")</f>
        <v/>
      </c>
      <c r="B167" s="142">
        <f>IF(分析!C12&lt;&gt;"",HYPERLINK("https://kabutan.jp/stock/?code="&amp;分析!C12,"株探"),"")</f>
        <v/>
      </c>
      <c r="C167" s="598">
        <f>IF(分析!C12&lt;&gt;"",分析!C12,"")</f>
        <v/>
      </c>
      <c r="D167" s="144">
        <f>IF(分析!D12&lt;&gt;"",分析!D12,"")</f>
        <v/>
      </c>
      <c r="E167" s="145">
        <f>IF(分析!E12&lt;&gt;"",分析!E12,"")</f>
        <v/>
      </c>
      <c r="F167" s="146">
        <f>IF(分析!F12&lt;&gt;"",分析!F12,"")</f>
        <v/>
      </c>
      <c r="G167" s="146">
        <f>IF(分析!H12&lt;&gt;"",分析!H12,"")</f>
        <v/>
      </c>
      <c r="H167" s="146">
        <f>IF(分析!I12&lt;&gt;"",分析!I12,"")</f>
        <v/>
      </c>
      <c r="I167" s="146">
        <f>IF(分析!J12&lt;&gt;"",分析!J12,"")</f>
        <v/>
      </c>
      <c r="J167" s="146">
        <f>IF(分析!AB12&lt;&gt;"",分析!AB12,"")</f>
        <v/>
      </c>
      <c r="K167" s="146">
        <f>IF(分析!AC12&lt;&gt;"",分析!AC12,"")</f>
        <v/>
      </c>
      <c r="L167" s="146">
        <f>IF(分析!K12&lt;&gt;"",分析!K12,"")</f>
        <v/>
      </c>
      <c r="M167" s="141">
        <f>IF(分析!P12&lt;&gt;"",分析!P12,"")</f>
        <v/>
      </c>
      <c r="N167" s="599">
        <f>IF(分析!O12&lt;&gt;"",分析!O12,"")</f>
        <v/>
      </c>
      <c r="O167" s="148">
        <f>IF(分析!X12&lt;&gt;"",分析!X12,"")</f>
        <v/>
      </c>
      <c r="P167" s="600">
        <f>IF(分析!L12&lt;&gt;"",分析!L12,"")</f>
        <v/>
      </c>
      <c r="Q167" s="146">
        <f>IF(分析!S12&lt;&gt;"",分析!S12,"")</f>
        <v/>
      </c>
      <c r="R167" s="146">
        <f>IF(分析!R12&lt;&gt;"",分析!R12,"")</f>
        <v/>
      </c>
      <c r="S167" s="141">
        <f>IF(分析!AA12&lt;&gt;"",分析!AA12,"")</f>
        <v/>
      </c>
      <c r="T167" s="601">
        <f>IF(分析!Z12&lt;&gt;"",分析!Z12,"")</f>
        <v/>
      </c>
      <c r="U167" s="141">
        <f>IF(分析!V12&lt;&gt;"",分析!V12,"")</f>
        <v/>
      </c>
      <c r="V167" s="602">
        <f>IF(分析!W12&lt;&gt;"",分析!W12,"")</f>
        <v/>
      </c>
      <c r="W167" s="152">
        <f>IF(分析!AD12&lt;&gt;"",分析!AD12,"")</f>
        <v/>
      </c>
      <c r="X167" s="153">
        <f>IF(分析!AE12&lt;&gt;"",分析!AE12,"")</f>
        <v/>
      </c>
      <c r="Y167" s="154">
        <f>IF(分析!T12&lt;&gt;"",分析!T12,"")</f>
        <v/>
      </c>
      <c r="Z167" s="155">
        <f>IF(分析!Y12&lt;&gt;"",分析!Y12,"")</f>
        <v/>
      </c>
    </row>
    <row r="168" ht="21.95" customHeight="1" s="574">
      <c r="A168" s="156">
        <f>IF(分析!C37&lt;&gt;"",ROW()-2,"")</f>
        <v/>
      </c>
      <c r="B168" s="157">
        <f>IF(分析!C37&lt;&gt;"",HYPERLINK("https://kabutan.jp/stock/?code="&amp;分析!C37,"株探"),"")</f>
        <v/>
      </c>
      <c r="C168" s="603">
        <f>IF(分析!C37&lt;&gt;"",分析!C37,"")</f>
        <v/>
      </c>
      <c r="D168" s="159">
        <f>IF(分析!D37&lt;&gt;"",分析!D37,"")</f>
        <v/>
      </c>
      <c r="E168" s="160">
        <f>IF(分析!E37&lt;&gt;"",分析!E37,"")</f>
        <v/>
      </c>
      <c r="F168" s="161">
        <f>IF(分析!F37&lt;&gt;"",分析!F37,"")</f>
        <v/>
      </c>
      <c r="G168" s="161">
        <f>IF(分析!H37&lt;&gt;"",分析!H37,"")</f>
        <v/>
      </c>
      <c r="H168" s="161">
        <f>IF(分析!I37&lt;&gt;"",分析!I37,"")</f>
        <v/>
      </c>
      <c r="I168" s="161">
        <f>IF(分析!J37&lt;&gt;"",分析!J37,"")</f>
        <v/>
      </c>
      <c r="J168" s="161">
        <f>IF(分析!AB37&lt;&gt;"",分析!AB37,"")</f>
        <v/>
      </c>
      <c r="K168" s="161">
        <f>IF(分析!AC37&lt;&gt;"",分析!AC37,"")</f>
        <v/>
      </c>
      <c r="L168" s="161">
        <f>IF(分析!K37&lt;&gt;"",分析!K37,"")</f>
        <v/>
      </c>
      <c r="M168" s="156">
        <f>IF(分析!P37&lt;&gt;"",分析!P37,"")</f>
        <v/>
      </c>
      <c r="N168" s="604">
        <f>IF(分析!O37&lt;&gt;"",分析!O37,"")</f>
        <v/>
      </c>
      <c r="O168" s="163">
        <f>IF(分析!X37&lt;&gt;"",分析!X37,"")</f>
        <v/>
      </c>
      <c r="P168" s="605">
        <f>IF(分析!L37&lt;&gt;"",分析!L37,"")</f>
        <v/>
      </c>
      <c r="Q168" s="161">
        <f>IF(分析!S37&lt;&gt;"",分析!S37,"")</f>
        <v/>
      </c>
      <c r="R168" s="161">
        <f>IF(分析!R37&lt;&gt;"",分析!R37,"")</f>
        <v/>
      </c>
      <c r="S168" s="156">
        <f>IF(分析!AA37&lt;&gt;"",分析!AA37,"")</f>
        <v/>
      </c>
      <c r="T168" s="606">
        <f>IF(分析!Z37&lt;&gt;"",分析!Z37,"")</f>
        <v/>
      </c>
      <c r="U168" s="156">
        <f>IF(分析!V37&lt;&gt;"",分析!V37,"")</f>
        <v/>
      </c>
      <c r="V168" s="607">
        <f>IF(分析!W37&lt;&gt;"",分析!W37,"")</f>
        <v/>
      </c>
      <c r="W168" s="167">
        <f>IF(分析!AD37&lt;&gt;"",分析!AD37,"")</f>
        <v/>
      </c>
      <c r="X168" s="168">
        <f>IF(分析!AE37&lt;&gt;"",分析!AE37,"")</f>
        <v/>
      </c>
      <c r="Y168" s="169">
        <f>IF(分析!T37&lt;&gt;"",分析!T37,"")</f>
        <v/>
      </c>
      <c r="Z168" s="155">
        <f>IF(分析!Y37&lt;&gt;"",分析!Y37,"")</f>
        <v/>
      </c>
    </row>
    <row r="169" ht="21.95" customHeight="1" s="574">
      <c r="A169" s="156">
        <f>IF(分析!C95&lt;&gt;"",ROW()-2,"")</f>
        <v/>
      </c>
      <c r="B169" s="157">
        <f>IF(分析!C95&lt;&gt;"",HYPERLINK("https://kabutan.jp/stock/?code="&amp;分析!C95,"株探"),"")</f>
        <v/>
      </c>
      <c r="C169" s="603">
        <f>IF(分析!C95&lt;&gt;"",分析!C95,"")</f>
        <v/>
      </c>
      <c r="D169" s="159">
        <f>IF(分析!D95&lt;&gt;"",分析!D95,"")</f>
        <v/>
      </c>
      <c r="E169" s="160">
        <f>IF(分析!E95&lt;&gt;"",分析!E95,"")</f>
        <v/>
      </c>
      <c r="F169" s="161">
        <f>IF(分析!F95&lt;&gt;"",分析!F95,"")</f>
        <v/>
      </c>
      <c r="G169" s="161">
        <f>IF(分析!H95&lt;&gt;"",分析!H95,"")</f>
        <v/>
      </c>
      <c r="H169" s="161">
        <f>IF(分析!I95&lt;&gt;"",分析!I95,"")</f>
        <v/>
      </c>
      <c r="I169" s="161">
        <f>IF(分析!J95&lt;&gt;"",分析!J95,"")</f>
        <v/>
      </c>
      <c r="J169" s="161">
        <f>IF(分析!AB95&lt;&gt;"",分析!AB95,"")</f>
        <v/>
      </c>
      <c r="K169" s="161">
        <f>IF(分析!AC95&lt;&gt;"",分析!AC95,"")</f>
        <v/>
      </c>
      <c r="L169" s="161">
        <f>IF(分析!K95&lt;&gt;"",分析!K95,"")</f>
        <v/>
      </c>
      <c r="M169" s="156">
        <f>IF(分析!P95&lt;&gt;"",分析!P95,"")</f>
        <v/>
      </c>
      <c r="N169" s="604">
        <f>IF(分析!O95&lt;&gt;"",分析!O95,"")</f>
        <v/>
      </c>
      <c r="O169" s="163">
        <f>IF(分析!X95&lt;&gt;"",分析!X95,"")</f>
        <v/>
      </c>
      <c r="P169" s="605">
        <f>IF(分析!L95&lt;&gt;"",分析!L95,"")</f>
        <v/>
      </c>
      <c r="Q169" s="161">
        <f>IF(分析!S95&lt;&gt;"",分析!S95,"")</f>
        <v/>
      </c>
      <c r="R169" s="161">
        <f>IF(分析!R95&lt;&gt;"",分析!R95,"")</f>
        <v/>
      </c>
      <c r="S169" s="156">
        <f>IF(分析!AA95&lt;&gt;"",分析!AA95,"")</f>
        <v/>
      </c>
      <c r="T169" s="606">
        <f>IF(分析!Z95&lt;&gt;"",分析!Z95,"")</f>
        <v/>
      </c>
      <c r="U169" s="156">
        <f>IF(分析!V95&lt;&gt;"",分析!V95,"")</f>
        <v/>
      </c>
      <c r="V169" s="607">
        <f>IF(分析!W95&lt;&gt;"",分析!W95,"")</f>
        <v/>
      </c>
      <c r="W169" s="167">
        <f>IF(分析!AD95&lt;&gt;"",分析!AD95,"")</f>
        <v/>
      </c>
      <c r="X169" s="168">
        <f>IF(分析!AE95&lt;&gt;"",分析!AE95,"")</f>
        <v/>
      </c>
      <c r="Y169" s="169">
        <f>IF(分析!T95&lt;&gt;"",分析!T95,"")</f>
        <v/>
      </c>
      <c r="Z169" s="155">
        <f>IF(分析!Y95&lt;&gt;"",分析!Y95,"")</f>
        <v/>
      </c>
    </row>
    <row r="170" ht="21.95" customHeight="1" s="574">
      <c r="A170" s="141">
        <f>IF(分析!C48&lt;&gt;"",ROW()-2,"")</f>
        <v/>
      </c>
      <c r="B170" s="142">
        <f>IF(分析!C48&lt;&gt;"",HYPERLINK("https://kabutan.jp/stock/?code="&amp;分析!C48,"株探"),"")</f>
        <v/>
      </c>
      <c r="C170" s="598">
        <f>IF(分析!C48&lt;&gt;"",分析!C48,"")</f>
        <v/>
      </c>
      <c r="D170" s="144">
        <f>IF(分析!D48&lt;&gt;"",分析!D48,"")</f>
        <v/>
      </c>
      <c r="E170" s="145">
        <f>IF(分析!E48&lt;&gt;"",分析!E48,"")</f>
        <v/>
      </c>
      <c r="F170" s="146">
        <f>IF(分析!F48&lt;&gt;"",分析!F48,"")</f>
        <v/>
      </c>
      <c r="G170" s="146">
        <f>IF(分析!H48&lt;&gt;"",分析!H48,"")</f>
        <v/>
      </c>
      <c r="H170" s="146">
        <f>IF(分析!I48&lt;&gt;"",分析!I48,"")</f>
        <v/>
      </c>
      <c r="I170" s="146">
        <f>IF(分析!J48&lt;&gt;"",分析!J48,"")</f>
        <v/>
      </c>
      <c r="J170" s="146">
        <f>IF(分析!AB48&lt;&gt;"",分析!AB48,"")</f>
        <v/>
      </c>
      <c r="K170" s="146">
        <f>IF(分析!AC48&lt;&gt;"",分析!AC48,"")</f>
        <v/>
      </c>
      <c r="L170" s="146">
        <f>IF(分析!K48&lt;&gt;"",分析!K48,"")</f>
        <v/>
      </c>
      <c r="M170" s="141">
        <f>IF(分析!P48&lt;&gt;"",分析!P48,"")</f>
        <v/>
      </c>
      <c r="N170" s="599">
        <f>IF(分析!O48&lt;&gt;"",分析!O48,"")</f>
        <v/>
      </c>
      <c r="O170" s="148">
        <f>IF(分析!X48&lt;&gt;"",分析!X48,"")</f>
        <v/>
      </c>
      <c r="P170" s="600">
        <f>IF(分析!L48&lt;&gt;"",分析!L48,"")</f>
        <v/>
      </c>
      <c r="Q170" s="146">
        <f>IF(分析!S48&lt;&gt;"",分析!S48,"")</f>
        <v/>
      </c>
      <c r="R170" s="146">
        <f>IF(分析!R48&lt;&gt;"",分析!R48,"")</f>
        <v/>
      </c>
      <c r="S170" s="141">
        <f>IF(分析!AA48&lt;&gt;"",分析!AA48,"")</f>
        <v/>
      </c>
      <c r="T170" s="601">
        <f>IF(分析!Z48&lt;&gt;"",分析!Z48,"")</f>
        <v/>
      </c>
      <c r="U170" s="141">
        <f>IF(分析!V48&lt;&gt;"",分析!V48,"")</f>
        <v/>
      </c>
      <c r="V170" s="602">
        <f>IF(分析!W48&lt;&gt;"",分析!W48,"")</f>
        <v/>
      </c>
      <c r="W170" s="152">
        <f>IF(分析!AD48&lt;&gt;"",分析!AD48,"")</f>
        <v/>
      </c>
      <c r="X170" s="153">
        <f>IF(分析!AE48&lt;&gt;"",分析!AE48,"")</f>
        <v/>
      </c>
      <c r="Y170" s="154">
        <f>IF(分析!T48&lt;&gt;"",分析!T48,"")</f>
        <v/>
      </c>
      <c r="Z170" s="155">
        <f>IF(分析!Y48&lt;&gt;"",分析!Y48,"")</f>
        <v/>
      </c>
    </row>
    <row r="171" ht="21.95" customHeight="1" s="574">
      <c r="A171" s="156">
        <f>IF(分析!C11&lt;&gt;"",ROW()-2,"")</f>
        <v/>
      </c>
      <c r="B171" s="157">
        <f>IF(分析!C11&lt;&gt;"",HYPERLINK("https://kabutan.jp/stock/?code="&amp;分析!C11,"株探"),"")</f>
        <v/>
      </c>
      <c r="C171" s="603">
        <f>IF(分析!C11&lt;&gt;"",分析!C11,"")</f>
        <v/>
      </c>
      <c r="D171" s="159">
        <f>IF(分析!D11&lt;&gt;"",分析!D11,"")</f>
        <v/>
      </c>
      <c r="E171" s="160">
        <f>IF(分析!E11&lt;&gt;"",分析!E11,"")</f>
        <v/>
      </c>
      <c r="F171" s="161">
        <f>IF(分析!F11&lt;&gt;"",分析!F11,"")</f>
        <v/>
      </c>
      <c r="G171" s="161">
        <f>IF(分析!H11&lt;&gt;"",分析!H11,"")</f>
        <v/>
      </c>
      <c r="H171" s="161">
        <f>IF(分析!I11&lt;&gt;"",分析!I11,"")</f>
        <v/>
      </c>
      <c r="I171" s="161">
        <f>IF(分析!J11&lt;&gt;"",分析!J11,"")</f>
        <v/>
      </c>
      <c r="J171" s="161">
        <f>IF(分析!AB11&lt;&gt;"",分析!AB11,"")</f>
        <v/>
      </c>
      <c r="K171" s="161">
        <f>IF(分析!AC11&lt;&gt;"",分析!AC11,"")</f>
        <v/>
      </c>
      <c r="L171" s="161">
        <f>IF(分析!K11&lt;&gt;"",分析!K11,"")</f>
        <v/>
      </c>
      <c r="M171" s="156">
        <f>IF(分析!P11&lt;&gt;"",分析!P11,"")</f>
        <v/>
      </c>
      <c r="N171" s="604">
        <f>IF(分析!O11&lt;&gt;"",分析!O11,"")</f>
        <v/>
      </c>
      <c r="O171" s="163">
        <f>IF(分析!X11&lt;&gt;"",分析!X11,"")</f>
        <v/>
      </c>
      <c r="P171" s="605">
        <f>IF(分析!L11&lt;&gt;"",分析!L11,"")</f>
        <v/>
      </c>
      <c r="Q171" s="161">
        <f>IF(分析!S11&lt;&gt;"",分析!S11,"")</f>
        <v/>
      </c>
      <c r="R171" s="161">
        <f>IF(分析!R11&lt;&gt;"",分析!R11,"")</f>
        <v/>
      </c>
      <c r="S171" s="156">
        <f>IF(分析!AA11&lt;&gt;"",分析!AA11,"")</f>
        <v/>
      </c>
      <c r="T171" s="606">
        <f>IF(分析!Z11&lt;&gt;"",分析!Z11,"")</f>
        <v/>
      </c>
      <c r="U171" s="156">
        <f>IF(分析!V11&lt;&gt;"",分析!V11,"")</f>
        <v/>
      </c>
      <c r="V171" s="607">
        <f>IF(分析!W11&lt;&gt;"",分析!W11,"")</f>
        <v/>
      </c>
      <c r="W171" s="167">
        <f>IF(分析!AD11&lt;&gt;"",分析!AD11,"")</f>
        <v/>
      </c>
      <c r="X171" s="168">
        <f>IF(分析!AE11&lt;&gt;"",分析!AE11,"")</f>
        <v/>
      </c>
      <c r="Y171" s="169">
        <f>IF(分析!T11&lt;&gt;"",分析!T11,"")</f>
        <v/>
      </c>
      <c r="Z171" s="155">
        <f>IF(分析!Y11&lt;&gt;"",分析!Y11,"")</f>
        <v/>
      </c>
    </row>
    <row r="172" ht="21.95" customHeight="1" s="574">
      <c r="A172" s="156">
        <f>IF(分析!C45&lt;&gt;"",ROW()-2,"")</f>
        <v/>
      </c>
      <c r="B172" s="157">
        <f>IF(分析!C45&lt;&gt;"",HYPERLINK("https://kabutan.jp/stock/?code="&amp;分析!C45,"株探"),"")</f>
        <v/>
      </c>
      <c r="C172" s="603">
        <f>IF(分析!C45&lt;&gt;"",分析!C45,"")</f>
        <v/>
      </c>
      <c r="D172" s="159">
        <f>IF(分析!D45&lt;&gt;"",分析!D45,"")</f>
        <v/>
      </c>
      <c r="E172" s="160">
        <f>IF(分析!E45&lt;&gt;"",分析!E45,"")</f>
        <v/>
      </c>
      <c r="F172" s="161">
        <f>IF(分析!F45&lt;&gt;"",分析!F45,"")</f>
        <v/>
      </c>
      <c r="G172" s="161">
        <f>IF(分析!H45&lt;&gt;"",分析!H45,"")</f>
        <v/>
      </c>
      <c r="H172" s="161">
        <f>IF(分析!I45&lt;&gt;"",分析!I45,"")</f>
        <v/>
      </c>
      <c r="I172" s="161">
        <f>IF(分析!J45&lt;&gt;"",分析!J45,"")</f>
        <v/>
      </c>
      <c r="J172" s="161">
        <f>IF(分析!AB45&lt;&gt;"",分析!AB45,"")</f>
        <v/>
      </c>
      <c r="K172" s="161">
        <f>IF(分析!AC45&lt;&gt;"",分析!AC45,"")</f>
        <v/>
      </c>
      <c r="L172" s="161">
        <f>IF(分析!K45&lt;&gt;"",分析!K45,"")</f>
        <v/>
      </c>
      <c r="M172" s="156">
        <f>IF(分析!P45&lt;&gt;"",分析!P45,"")</f>
        <v/>
      </c>
      <c r="N172" s="604">
        <f>IF(分析!O45&lt;&gt;"",分析!O45,"")</f>
        <v/>
      </c>
      <c r="O172" s="163">
        <f>IF(分析!X45&lt;&gt;"",分析!X45,"")</f>
        <v/>
      </c>
      <c r="P172" s="605">
        <f>IF(分析!L45&lt;&gt;"",分析!L45,"")</f>
        <v/>
      </c>
      <c r="Q172" s="161">
        <f>IF(分析!S45&lt;&gt;"",分析!S45,"")</f>
        <v/>
      </c>
      <c r="R172" s="161">
        <f>IF(分析!R45&lt;&gt;"",分析!R45,"")</f>
        <v/>
      </c>
      <c r="S172" s="156">
        <f>IF(分析!AA45&lt;&gt;"",分析!AA45,"")</f>
        <v/>
      </c>
      <c r="T172" s="606">
        <f>IF(分析!Z45&lt;&gt;"",分析!Z45,"")</f>
        <v/>
      </c>
      <c r="U172" s="156">
        <f>IF(分析!V45&lt;&gt;"",分析!V45,"")</f>
        <v/>
      </c>
      <c r="V172" s="607">
        <f>IF(分析!W45&lt;&gt;"",分析!W45,"")</f>
        <v/>
      </c>
      <c r="W172" s="167">
        <f>IF(分析!AD45&lt;&gt;"",分析!AD45,"")</f>
        <v/>
      </c>
      <c r="X172" s="168">
        <f>IF(分析!AE45&lt;&gt;"",分析!AE45,"")</f>
        <v/>
      </c>
      <c r="Y172" s="169">
        <f>IF(分析!T45&lt;&gt;"",分析!T45,"")</f>
        <v/>
      </c>
      <c r="Z172" s="155">
        <f>IF(分析!Y45&lt;&gt;"",分析!Y45,"")</f>
        <v/>
      </c>
    </row>
    <row r="173" ht="21.95" customHeight="1" s="574">
      <c r="A173" s="156">
        <f>IF(分析!C57&lt;&gt;"",ROW()-2,"")</f>
        <v/>
      </c>
      <c r="B173" s="157">
        <f>IF(分析!C57&lt;&gt;"",HYPERLINK("https://kabutan.jp/stock/?code="&amp;分析!C57,"株探"),"")</f>
        <v/>
      </c>
      <c r="C173" s="603">
        <f>IF(分析!C57&lt;&gt;"",分析!C57,"")</f>
        <v/>
      </c>
      <c r="D173" s="159">
        <f>IF(分析!D57&lt;&gt;"",分析!D57,"")</f>
        <v/>
      </c>
      <c r="E173" s="160">
        <f>IF(分析!E57&lt;&gt;"",分析!E57,"")</f>
        <v/>
      </c>
      <c r="F173" s="161">
        <f>IF(分析!F57&lt;&gt;"",分析!F57,"")</f>
        <v/>
      </c>
      <c r="G173" s="161">
        <f>IF(分析!H57&lt;&gt;"",分析!H57,"")</f>
        <v/>
      </c>
      <c r="H173" s="161">
        <f>IF(分析!I57&lt;&gt;"",分析!I57,"")</f>
        <v/>
      </c>
      <c r="I173" s="161">
        <f>IF(分析!J57&lt;&gt;"",分析!J57,"")</f>
        <v/>
      </c>
      <c r="J173" s="161">
        <f>IF(分析!AB57&lt;&gt;"",分析!AB57,"")</f>
        <v/>
      </c>
      <c r="K173" s="161">
        <f>IF(分析!AC57&lt;&gt;"",分析!AC57,"")</f>
        <v/>
      </c>
      <c r="L173" s="161">
        <f>IF(分析!K57&lt;&gt;"",分析!K57,"")</f>
        <v/>
      </c>
      <c r="M173" s="156">
        <f>IF(分析!P57&lt;&gt;"",分析!P57,"")</f>
        <v/>
      </c>
      <c r="N173" s="604">
        <f>IF(分析!O57&lt;&gt;"",分析!O57,"")</f>
        <v/>
      </c>
      <c r="O173" s="163">
        <f>IF(分析!X57&lt;&gt;"",分析!X57,"")</f>
        <v/>
      </c>
      <c r="P173" s="605">
        <f>IF(分析!L57&lt;&gt;"",分析!L57,"")</f>
        <v/>
      </c>
      <c r="Q173" s="161">
        <f>IF(分析!S57&lt;&gt;"",分析!S57,"")</f>
        <v/>
      </c>
      <c r="R173" s="161">
        <f>IF(分析!R57&lt;&gt;"",分析!R57,"")</f>
        <v/>
      </c>
      <c r="S173" s="156">
        <f>IF(分析!AA57&lt;&gt;"",分析!AA57,"")</f>
        <v/>
      </c>
      <c r="T173" s="606">
        <f>IF(分析!Z57&lt;&gt;"",分析!Z57,"")</f>
        <v/>
      </c>
      <c r="U173" s="156">
        <f>IF(分析!V57&lt;&gt;"",分析!V57,"")</f>
        <v/>
      </c>
      <c r="V173" s="607">
        <f>IF(分析!W57&lt;&gt;"",分析!W57,"")</f>
        <v/>
      </c>
      <c r="W173" s="167">
        <f>IF(分析!AD57&lt;&gt;"",分析!AD57,"")</f>
        <v/>
      </c>
      <c r="X173" s="168">
        <f>IF(分析!AE57&lt;&gt;"",分析!AE57,"")</f>
        <v/>
      </c>
      <c r="Y173" s="169">
        <f>IF(分析!T57&lt;&gt;"",分析!T57,"")</f>
        <v/>
      </c>
      <c r="Z173" s="155">
        <f>IF(分析!Y57&lt;&gt;"",分析!Y57,"")</f>
        <v/>
      </c>
    </row>
    <row r="174" ht="21.95" customHeight="1" s="574">
      <c r="A174" s="156">
        <f>IF(分析!C147&lt;&gt;"",ROW()-2,"")</f>
        <v/>
      </c>
      <c r="B174" s="157">
        <f>IF(分析!C147&lt;&gt;"",HYPERLINK("https://kabutan.jp/stock/?code="&amp;分析!C147,"株探"),"")</f>
        <v/>
      </c>
      <c r="C174" s="603">
        <f>IF(分析!C147&lt;&gt;"",分析!C147,"")</f>
        <v/>
      </c>
      <c r="D174" s="159">
        <f>IF(分析!D147&lt;&gt;"",分析!D147,"")</f>
        <v/>
      </c>
      <c r="E174" s="160">
        <f>IF(分析!E147&lt;&gt;"",分析!E147,"")</f>
        <v/>
      </c>
      <c r="F174" s="161">
        <f>IF(分析!F147&lt;&gt;"",分析!F147,"")</f>
        <v/>
      </c>
      <c r="G174" s="161">
        <f>IF(分析!H147&lt;&gt;"",分析!H147,"")</f>
        <v/>
      </c>
      <c r="H174" s="161">
        <f>IF(分析!I147&lt;&gt;"",分析!I147,"")</f>
        <v/>
      </c>
      <c r="I174" s="161">
        <f>IF(分析!J147&lt;&gt;"",分析!J147,"")</f>
        <v/>
      </c>
      <c r="J174" s="161">
        <f>IF(分析!AB147&lt;&gt;"",分析!AB147,"")</f>
        <v/>
      </c>
      <c r="K174" s="161">
        <f>IF(分析!AC147&lt;&gt;"",分析!AC147,"")</f>
        <v/>
      </c>
      <c r="L174" s="161">
        <f>IF(分析!K147&lt;&gt;"",分析!K147,"")</f>
        <v/>
      </c>
      <c r="M174" s="156">
        <f>IF(分析!P147&lt;&gt;"",分析!P147,"")</f>
        <v/>
      </c>
      <c r="N174" s="604">
        <f>IF(分析!O147&lt;&gt;"",分析!O147,"")</f>
        <v/>
      </c>
      <c r="O174" s="163">
        <f>IF(分析!X147&lt;&gt;"",分析!X147,"")</f>
        <v/>
      </c>
      <c r="P174" s="605">
        <f>IF(分析!L147&lt;&gt;"",分析!L147,"")</f>
        <v/>
      </c>
      <c r="Q174" s="161">
        <f>IF(分析!S147&lt;&gt;"",分析!S147,"")</f>
        <v/>
      </c>
      <c r="R174" s="161">
        <f>IF(分析!R147&lt;&gt;"",分析!R147,"")</f>
        <v/>
      </c>
      <c r="S174" s="156">
        <f>IF(分析!AA147&lt;&gt;"",分析!AA147,"")</f>
        <v/>
      </c>
      <c r="T174" s="606">
        <f>IF(分析!Z147&lt;&gt;"",分析!Z147,"")</f>
        <v/>
      </c>
      <c r="U174" s="156">
        <f>IF(分析!V147&lt;&gt;"",分析!V147,"")</f>
        <v/>
      </c>
      <c r="V174" s="607">
        <f>IF(分析!W147&lt;&gt;"",分析!W147,"")</f>
        <v/>
      </c>
      <c r="W174" s="167">
        <f>IF(分析!AD147&lt;&gt;"",分析!AD147,"")</f>
        <v/>
      </c>
      <c r="X174" s="168">
        <f>IF(分析!AE147&lt;&gt;"",分析!AE147,"")</f>
        <v/>
      </c>
      <c r="Y174" s="169">
        <f>IF(分析!T147&lt;&gt;"",分析!T147,"")</f>
        <v/>
      </c>
      <c r="Z174" s="155">
        <f>IF(分析!Y147&lt;&gt;"",分析!Y147,"")</f>
        <v/>
      </c>
    </row>
    <row r="175" ht="21.95" customHeight="1" s="574">
      <c r="A175" s="141">
        <f>IF(分析!C24&lt;&gt;"",ROW()-2,"")</f>
        <v/>
      </c>
      <c r="B175" s="142">
        <f>IF(分析!C24&lt;&gt;"",HYPERLINK("https://kabutan.jp/stock/?code="&amp;分析!C24,"株探"),"")</f>
        <v/>
      </c>
      <c r="C175" s="598">
        <f>IF(分析!C24&lt;&gt;"",分析!C24,"")</f>
        <v/>
      </c>
      <c r="D175" s="144">
        <f>IF(分析!D24&lt;&gt;"",分析!D24,"")</f>
        <v/>
      </c>
      <c r="E175" s="145">
        <f>IF(分析!E24&lt;&gt;"",分析!E24,"")</f>
        <v/>
      </c>
      <c r="F175" s="146">
        <f>IF(分析!F24&lt;&gt;"",分析!F24,"")</f>
        <v/>
      </c>
      <c r="G175" s="146">
        <f>IF(分析!H24&lt;&gt;"",分析!H24,"")</f>
        <v/>
      </c>
      <c r="H175" s="146">
        <f>IF(分析!I24&lt;&gt;"",分析!I24,"")</f>
        <v/>
      </c>
      <c r="I175" s="146">
        <f>IF(分析!J24&lt;&gt;"",分析!J24,"")</f>
        <v/>
      </c>
      <c r="J175" s="146">
        <f>IF(分析!AB24&lt;&gt;"",分析!AB24,"")</f>
        <v/>
      </c>
      <c r="K175" s="146">
        <f>IF(分析!AC24&lt;&gt;"",分析!AC24,"")</f>
        <v/>
      </c>
      <c r="L175" s="146">
        <f>IF(分析!K24&lt;&gt;"",分析!K24,"")</f>
        <v/>
      </c>
      <c r="M175" s="141">
        <f>IF(分析!P24&lt;&gt;"",分析!P24,"")</f>
        <v/>
      </c>
      <c r="N175" s="599">
        <f>IF(分析!O24&lt;&gt;"",分析!O24,"")</f>
        <v/>
      </c>
      <c r="O175" s="148">
        <f>IF(分析!X24&lt;&gt;"",分析!X24,"")</f>
        <v/>
      </c>
      <c r="P175" s="600">
        <f>IF(分析!L24&lt;&gt;"",分析!L24,"")</f>
        <v/>
      </c>
      <c r="Q175" s="146">
        <f>IF(分析!S24&lt;&gt;"",分析!S24,"")</f>
        <v/>
      </c>
      <c r="R175" s="146">
        <f>IF(分析!R24&lt;&gt;"",分析!R24,"")</f>
        <v/>
      </c>
      <c r="S175" s="141">
        <f>IF(分析!AA24&lt;&gt;"",分析!AA24,"")</f>
        <v/>
      </c>
      <c r="T175" s="601">
        <f>IF(分析!Z24&lt;&gt;"",分析!Z24,"")</f>
        <v/>
      </c>
      <c r="U175" s="141">
        <f>IF(分析!V24&lt;&gt;"",分析!V24,"")</f>
        <v/>
      </c>
      <c r="V175" s="602">
        <f>IF(分析!W24&lt;&gt;"",分析!W24,"")</f>
        <v/>
      </c>
      <c r="W175" s="152">
        <f>IF(分析!AD24&lt;&gt;"",分析!AD24,"")</f>
        <v/>
      </c>
      <c r="X175" s="153">
        <f>IF(分析!AE24&lt;&gt;"",分析!AE24,"")</f>
        <v/>
      </c>
      <c r="Y175" s="154">
        <f>IF(分析!T24&lt;&gt;"",分析!T24,"")</f>
        <v/>
      </c>
      <c r="Z175" s="155">
        <f>IF(分析!Y24&lt;&gt;"",分析!Y24,"")</f>
        <v/>
      </c>
    </row>
    <row r="176" ht="21.95" customHeight="1" s="574">
      <c r="A176" s="141">
        <f>IF(分析!C126&lt;&gt;"",ROW()-2,"")</f>
        <v/>
      </c>
      <c r="B176" s="142">
        <f>IF(分析!C126&lt;&gt;"",HYPERLINK("https://kabutan.jp/stock/?code="&amp;分析!C126,"株探"),"")</f>
        <v/>
      </c>
      <c r="C176" s="598">
        <f>IF(分析!C126&lt;&gt;"",分析!C126,"")</f>
        <v/>
      </c>
      <c r="D176" s="144">
        <f>IF(分析!D126&lt;&gt;"",分析!D126,"")</f>
        <v/>
      </c>
      <c r="E176" s="145">
        <f>IF(分析!E126&lt;&gt;"",分析!E126,"")</f>
        <v/>
      </c>
      <c r="F176" s="146">
        <f>IF(分析!F126&lt;&gt;"",分析!F126,"")</f>
        <v/>
      </c>
      <c r="G176" s="146">
        <f>IF(分析!H126&lt;&gt;"",分析!H126,"")</f>
        <v/>
      </c>
      <c r="H176" s="146">
        <f>IF(分析!I126&lt;&gt;"",分析!I126,"")</f>
        <v/>
      </c>
      <c r="I176" s="146">
        <f>IF(分析!J126&lt;&gt;"",分析!J126,"")</f>
        <v/>
      </c>
      <c r="J176" s="146">
        <f>IF(分析!AB126&lt;&gt;"",分析!AB126,"")</f>
        <v/>
      </c>
      <c r="K176" s="146">
        <f>IF(分析!AC126&lt;&gt;"",分析!AC126,"")</f>
        <v/>
      </c>
      <c r="L176" s="146">
        <f>IF(分析!K126&lt;&gt;"",分析!K126,"")</f>
        <v/>
      </c>
      <c r="M176" s="141">
        <f>IF(分析!P126&lt;&gt;"",分析!P126,"")</f>
        <v/>
      </c>
      <c r="N176" s="599">
        <f>IF(分析!O126&lt;&gt;"",分析!O126,"")</f>
        <v/>
      </c>
      <c r="O176" s="148">
        <f>IF(分析!X126&lt;&gt;"",分析!X126,"")</f>
        <v/>
      </c>
      <c r="P176" s="600">
        <f>IF(分析!L126&lt;&gt;"",分析!L126,"")</f>
        <v/>
      </c>
      <c r="Q176" s="146">
        <f>IF(分析!S126&lt;&gt;"",分析!S126,"")</f>
        <v/>
      </c>
      <c r="R176" s="146">
        <f>IF(分析!R126&lt;&gt;"",分析!R126,"")</f>
        <v/>
      </c>
      <c r="S176" s="141">
        <f>IF(分析!AA126&lt;&gt;"",分析!AA126,"")</f>
        <v/>
      </c>
      <c r="T176" s="601">
        <f>IF(分析!Z126&lt;&gt;"",分析!Z126,"")</f>
        <v/>
      </c>
      <c r="U176" s="141">
        <f>IF(分析!V126&lt;&gt;"",分析!V126,"")</f>
        <v/>
      </c>
      <c r="V176" s="602">
        <f>IF(分析!W126&lt;&gt;"",分析!W126,"")</f>
        <v/>
      </c>
      <c r="W176" s="152">
        <f>IF(分析!AD126&lt;&gt;"",分析!AD126,"")</f>
        <v/>
      </c>
      <c r="X176" s="153">
        <f>IF(分析!AE126&lt;&gt;"",分析!AE126,"")</f>
        <v/>
      </c>
      <c r="Y176" s="154">
        <f>IF(分析!T126&lt;&gt;"",分析!T126,"")</f>
        <v/>
      </c>
      <c r="Z176" s="155">
        <f>IF(分析!Y126&lt;&gt;"",分析!Y126,"")</f>
        <v/>
      </c>
    </row>
    <row r="177" ht="21.95" customHeight="1" s="574">
      <c r="A177" s="141">
        <f>IF(分析!C20&lt;&gt;"",ROW()-2,"")</f>
        <v/>
      </c>
      <c r="B177" s="142">
        <f>IF(分析!C20&lt;&gt;"",HYPERLINK("https://kabutan.jp/stock/?code="&amp;分析!C20,"株探"),"")</f>
        <v/>
      </c>
      <c r="C177" s="598">
        <f>IF(分析!C20&lt;&gt;"",分析!C20,"")</f>
        <v/>
      </c>
      <c r="D177" s="144">
        <f>IF(分析!D20&lt;&gt;"",分析!D20,"")</f>
        <v/>
      </c>
      <c r="E177" s="145">
        <f>IF(分析!E20&lt;&gt;"",分析!E20,"")</f>
        <v/>
      </c>
      <c r="F177" s="146">
        <f>IF(分析!F20&lt;&gt;"",分析!F20,"")</f>
        <v/>
      </c>
      <c r="G177" s="146">
        <f>IF(分析!H20&lt;&gt;"",分析!H20,"")</f>
        <v/>
      </c>
      <c r="H177" s="146">
        <f>IF(分析!I20&lt;&gt;"",分析!I20,"")</f>
        <v/>
      </c>
      <c r="I177" s="146">
        <f>IF(分析!J20&lt;&gt;"",分析!J20,"")</f>
        <v/>
      </c>
      <c r="J177" s="146">
        <f>IF(分析!AB20&lt;&gt;"",分析!AB20,"")</f>
        <v/>
      </c>
      <c r="K177" s="146">
        <f>IF(分析!AC20&lt;&gt;"",分析!AC20,"")</f>
        <v/>
      </c>
      <c r="L177" s="146">
        <f>IF(分析!K20&lt;&gt;"",分析!K20,"")</f>
        <v/>
      </c>
      <c r="M177" s="141">
        <f>IF(分析!P20&lt;&gt;"",分析!P20,"")</f>
        <v/>
      </c>
      <c r="N177" s="599">
        <f>IF(分析!O20&lt;&gt;"",分析!O20,"")</f>
        <v/>
      </c>
      <c r="O177" s="148">
        <f>IF(分析!X20&lt;&gt;"",分析!X20,"")</f>
        <v/>
      </c>
      <c r="P177" s="600">
        <f>IF(分析!L20&lt;&gt;"",分析!L20,"")</f>
        <v/>
      </c>
      <c r="Q177" s="146">
        <f>IF(分析!S20&lt;&gt;"",分析!S20,"")</f>
        <v/>
      </c>
      <c r="R177" s="146">
        <f>IF(分析!R20&lt;&gt;"",分析!R20,"")</f>
        <v/>
      </c>
      <c r="S177" s="141">
        <f>IF(分析!AA20&lt;&gt;"",分析!AA20,"")</f>
        <v/>
      </c>
      <c r="T177" s="601">
        <f>IF(分析!Z20&lt;&gt;"",分析!Z20,"")</f>
        <v/>
      </c>
      <c r="U177" s="141">
        <f>IF(分析!V20&lt;&gt;"",分析!V20,"")</f>
        <v/>
      </c>
      <c r="V177" s="602">
        <f>IF(分析!W20&lt;&gt;"",分析!W20,"")</f>
        <v/>
      </c>
      <c r="W177" s="152">
        <f>IF(分析!AD20&lt;&gt;"",分析!AD20,"")</f>
        <v/>
      </c>
      <c r="X177" s="153">
        <f>IF(分析!AE20&lt;&gt;"",分析!AE20,"")</f>
        <v/>
      </c>
      <c r="Y177" s="154">
        <f>IF(分析!T20&lt;&gt;"",分析!T20,"")</f>
        <v/>
      </c>
      <c r="Z177" s="155">
        <f>IF(分析!Y20&lt;&gt;"",分析!Y20,"")</f>
        <v/>
      </c>
    </row>
    <row r="178" ht="21.95" customHeight="1" s="574">
      <c r="A178" s="156">
        <f>IF(分析!C29&lt;&gt;"",ROW()-2,"")</f>
        <v/>
      </c>
      <c r="B178" s="157">
        <f>IF(分析!C29&lt;&gt;"",HYPERLINK("https://kabutan.jp/stock/?code="&amp;分析!C29,"株探"),"")</f>
        <v/>
      </c>
      <c r="C178" s="603">
        <f>IF(分析!C29&lt;&gt;"",分析!C29,"")</f>
        <v/>
      </c>
      <c r="D178" s="159">
        <f>IF(分析!D29&lt;&gt;"",分析!D29,"")</f>
        <v/>
      </c>
      <c r="E178" s="160">
        <f>IF(分析!E29&lt;&gt;"",分析!E29,"")</f>
        <v/>
      </c>
      <c r="F178" s="161">
        <f>IF(分析!F29&lt;&gt;"",分析!F29,"")</f>
        <v/>
      </c>
      <c r="G178" s="161">
        <f>IF(分析!H29&lt;&gt;"",分析!H29,"")</f>
        <v/>
      </c>
      <c r="H178" s="161">
        <f>IF(分析!I29&lt;&gt;"",分析!I29,"")</f>
        <v/>
      </c>
      <c r="I178" s="161">
        <f>IF(分析!J29&lt;&gt;"",分析!J29,"")</f>
        <v/>
      </c>
      <c r="J178" s="161">
        <f>IF(分析!AB29&lt;&gt;"",分析!AB29,"")</f>
        <v/>
      </c>
      <c r="K178" s="161">
        <f>IF(分析!AC29&lt;&gt;"",分析!AC29,"")</f>
        <v/>
      </c>
      <c r="L178" s="161">
        <f>IF(分析!K29&lt;&gt;"",分析!K29,"")</f>
        <v/>
      </c>
      <c r="M178" s="156">
        <f>IF(分析!P29&lt;&gt;"",分析!P29,"")</f>
        <v/>
      </c>
      <c r="N178" s="604">
        <f>IF(分析!O29&lt;&gt;"",分析!O29,"")</f>
        <v/>
      </c>
      <c r="O178" s="163">
        <f>IF(分析!X29&lt;&gt;"",分析!X29,"")</f>
        <v/>
      </c>
      <c r="P178" s="605">
        <f>IF(分析!L29&lt;&gt;"",分析!L29,"")</f>
        <v/>
      </c>
      <c r="Q178" s="161">
        <f>IF(分析!S29&lt;&gt;"",分析!S29,"")</f>
        <v/>
      </c>
      <c r="R178" s="161">
        <f>IF(分析!R29&lt;&gt;"",分析!R29,"")</f>
        <v/>
      </c>
      <c r="S178" s="156">
        <f>IF(分析!AA29&lt;&gt;"",分析!AA29,"")</f>
        <v/>
      </c>
      <c r="T178" s="606">
        <f>IF(分析!Z29&lt;&gt;"",分析!Z29,"")</f>
        <v/>
      </c>
      <c r="U178" s="156">
        <f>IF(分析!V29&lt;&gt;"",分析!V29,"")</f>
        <v/>
      </c>
      <c r="V178" s="607">
        <f>IF(分析!W29&lt;&gt;"",分析!W29,"")</f>
        <v/>
      </c>
      <c r="W178" s="167">
        <f>IF(分析!AD29&lt;&gt;"",分析!AD29,"")</f>
        <v/>
      </c>
      <c r="X178" s="168">
        <f>IF(分析!AE29&lt;&gt;"",分析!AE29,"")</f>
        <v/>
      </c>
      <c r="Y178" s="169">
        <f>IF(分析!T29&lt;&gt;"",分析!T29,"")</f>
        <v/>
      </c>
      <c r="Z178" s="155">
        <f>IF(分析!Y29&lt;&gt;"",分析!Y29,"")</f>
        <v/>
      </c>
    </row>
    <row r="179" ht="21.95" customHeight="1" s="574">
      <c r="A179" s="127">
        <f>"◆"</f>
        <v/>
      </c>
      <c r="B179" s="128">
        <f>IF(分析!C3&lt;&gt;"",HYPERLINK("https://kabutan.jp/stock/?code="&amp;分析!C3,"株探"),"")</f>
        <v/>
      </c>
      <c r="C179" s="608">
        <f>IF(分析!C3&lt;&gt;"",分析!C3,"")</f>
        <v/>
      </c>
      <c r="D179" s="130">
        <f>IF(分析!D3&lt;&gt;"",分析!D3,"")</f>
        <v/>
      </c>
      <c r="E179" s="131">
        <f>IF(分析!E3&lt;&gt;"",分析!E3,"")</f>
        <v/>
      </c>
      <c r="F179" s="131">
        <f>IF(分析!F3&lt;&gt;"",分析!F3,"")</f>
        <v/>
      </c>
      <c r="G179" s="131">
        <f>IF(分析!H3&lt;&gt;"",分析!H3,"")</f>
        <v/>
      </c>
      <c r="H179" s="131">
        <f>IF(分析!I3&lt;&gt;"",分析!I3,"")</f>
        <v/>
      </c>
      <c r="I179" s="131">
        <f>IF(分析!J3&lt;&gt;"",分析!J3,"")</f>
        <v/>
      </c>
      <c r="J179" s="131">
        <f>IF(分析!AB3&lt;&gt;"",分析!AB3,"")</f>
        <v/>
      </c>
      <c r="K179" s="131">
        <f>IF(分析!AC3&lt;&gt;"",分析!AC3,"")</f>
        <v/>
      </c>
      <c r="L179" s="131">
        <f>IF(分析!K3&lt;&gt;"",分析!K3,"")</f>
        <v/>
      </c>
      <c r="M179" s="132">
        <f>IF(分析!P3&lt;&gt;"",分析!P3,"")</f>
        <v/>
      </c>
      <c r="N179" s="609">
        <f>IF(分析!O3&lt;&gt;"",分析!O3,"")</f>
        <v/>
      </c>
      <c r="O179" s="134">
        <f>IF(分析!X3&lt;&gt;"",分析!X3,"")</f>
        <v/>
      </c>
      <c r="P179" s="610">
        <f>IF(分析!L3&lt;&gt;"",分析!L3,"")</f>
        <v/>
      </c>
      <c r="Q179" s="131">
        <f>IF(分析!S3&lt;&gt;"",分析!S3,"")</f>
        <v/>
      </c>
      <c r="R179" s="131">
        <f>IF(分析!R3&lt;&gt;"",分析!R3,"")</f>
        <v/>
      </c>
      <c r="S179" s="132">
        <f>IF(分析!AA3&lt;&gt;"",分析!AA3,"")</f>
        <v/>
      </c>
      <c r="T179" s="611">
        <f>IF(分析!Z3&lt;&gt;"",分析!Z3,"")</f>
        <v/>
      </c>
      <c r="U179" s="132">
        <f>IF(分析!V3&lt;&gt;"",分析!V3,"")</f>
        <v/>
      </c>
      <c r="V179" s="612">
        <f>IF(分析!W3&lt;&gt;"",分析!W3,"")</f>
        <v/>
      </c>
      <c r="W179" s="132">
        <f>IF(分析!AD3&lt;&gt;"",分析!AD3,"")</f>
        <v/>
      </c>
      <c r="X179" s="138">
        <f>IF(分析!AE3&lt;&gt;"",分析!AE3,"")</f>
        <v/>
      </c>
      <c r="Y179" s="139">
        <f>IF(分析!T3&lt;&gt;"",分析!T3,"")</f>
        <v/>
      </c>
      <c r="Z179" s="140">
        <f>IF(分析!Y3&lt;&gt;"",分析!Y3,"")</f>
        <v/>
      </c>
    </row>
    <row r="180" ht="21.95" customHeight="1" s="574">
      <c r="A180" s="141">
        <f>IF(分析!C106&lt;&gt;"",ROW()-2,"")</f>
        <v/>
      </c>
      <c r="B180" s="142">
        <f>IF(分析!C106&lt;&gt;"",HYPERLINK("https://kabutan.jp/stock/?code="&amp;分析!C106,"株探"),"")</f>
        <v/>
      </c>
      <c r="C180" s="598">
        <f>IF(分析!C106&lt;&gt;"",分析!C106,"")</f>
        <v/>
      </c>
      <c r="D180" s="144">
        <f>IF(分析!D106&lt;&gt;"",分析!D106,"")</f>
        <v/>
      </c>
      <c r="E180" s="145">
        <f>IF(分析!E106&lt;&gt;"",分析!E106,"")</f>
        <v/>
      </c>
      <c r="F180" s="146">
        <f>IF(分析!F106&lt;&gt;"",分析!F106,"")</f>
        <v/>
      </c>
      <c r="G180" s="146">
        <f>IF(分析!H106&lt;&gt;"",分析!H106,"")</f>
        <v/>
      </c>
      <c r="H180" s="146">
        <f>IF(分析!I106&lt;&gt;"",分析!I106,"")</f>
        <v/>
      </c>
      <c r="I180" s="146">
        <f>IF(分析!J106&lt;&gt;"",分析!J106,"")</f>
        <v/>
      </c>
      <c r="J180" s="146">
        <f>IF(分析!AB106&lt;&gt;"",分析!AB106,"")</f>
        <v/>
      </c>
      <c r="K180" s="146">
        <f>IF(分析!AC106&lt;&gt;"",分析!AC106,"")</f>
        <v/>
      </c>
      <c r="L180" s="146">
        <f>IF(分析!K106&lt;&gt;"",分析!K106,"")</f>
        <v/>
      </c>
      <c r="M180" s="141">
        <f>IF(分析!P106&lt;&gt;"",分析!P106,"")</f>
        <v/>
      </c>
      <c r="N180" s="599">
        <f>IF(分析!O106&lt;&gt;"",分析!O106,"")</f>
        <v/>
      </c>
      <c r="O180" s="148">
        <f>IF(分析!X106&lt;&gt;"",分析!X106,"")</f>
        <v/>
      </c>
      <c r="P180" s="600">
        <f>IF(分析!L106&lt;&gt;"",分析!L106,"")</f>
        <v/>
      </c>
      <c r="Q180" s="146">
        <f>IF(分析!S106&lt;&gt;"",分析!S106,"")</f>
        <v/>
      </c>
      <c r="R180" s="146">
        <f>IF(分析!R106&lt;&gt;"",分析!R106,"")</f>
        <v/>
      </c>
      <c r="S180" s="141">
        <f>IF(分析!AA106&lt;&gt;"",分析!AA106,"")</f>
        <v/>
      </c>
      <c r="T180" s="601">
        <f>IF(分析!Z106&lt;&gt;"",分析!Z106,"")</f>
        <v/>
      </c>
      <c r="U180" s="141">
        <f>IF(分析!V106&lt;&gt;"",分析!V106,"")</f>
        <v/>
      </c>
      <c r="V180" s="602">
        <f>IF(分析!W106&lt;&gt;"",分析!W106,"")</f>
        <v/>
      </c>
      <c r="W180" s="152">
        <f>IF(分析!AD106&lt;&gt;"",分析!AD106,"")</f>
        <v/>
      </c>
      <c r="X180" s="153">
        <f>IF(分析!AE106&lt;&gt;"",分析!AE106,"")</f>
        <v/>
      </c>
      <c r="Y180" s="154">
        <f>IF(分析!T106&lt;&gt;"",分析!T106,"")</f>
        <v/>
      </c>
      <c r="Z180" s="155">
        <f>IF(分析!Y106&lt;&gt;"",分析!Y106,"")</f>
        <v/>
      </c>
    </row>
    <row r="181" ht="21.95" customHeight="1" s="574">
      <c r="A181" s="141">
        <f>IF(分析!C162&lt;&gt;"",ROW()-2,"")</f>
        <v/>
      </c>
      <c r="B181" s="142">
        <f>IF(分析!C162&lt;&gt;"",HYPERLINK("https://kabutan.jp/stock/?code="&amp;分析!C162,"株探"),"")</f>
        <v/>
      </c>
      <c r="C181" s="598">
        <f>IF(分析!C162&lt;&gt;"",分析!C162,"")</f>
        <v/>
      </c>
      <c r="D181" s="144">
        <f>IF(分析!D162&lt;&gt;"",分析!D162,"")</f>
        <v/>
      </c>
      <c r="E181" s="145">
        <f>IF(分析!E162&lt;&gt;"",分析!E162,"")</f>
        <v/>
      </c>
      <c r="F181" s="146">
        <f>IF(分析!F162&lt;&gt;"",分析!F162,"")</f>
        <v/>
      </c>
      <c r="G181" s="146">
        <f>IF(分析!H162&lt;&gt;"",分析!H162,"")</f>
        <v/>
      </c>
      <c r="H181" s="146">
        <f>IF(分析!I162&lt;&gt;"",分析!I162,"")</f>
        <v/>
      </c>
      <c r="I181" s="146">
        <f>IF(分析!J162&lt;&gt;"",分析!J162,"")</f>
        <v/>
      </c>
      <c r="J181" s="146">
        <f>IF(分析!AB162&lt;&gt;"",分析!AB162,"")</f>
        <v/>
      </c>
      <c r="K181" s="146">
        <f>IF(分析!AC162&lt;&gt;"",分析!AC162,"")</f>
        <v/>
      </c>
      <c r="L181" s="146">
        <f>IF(分析!K162&lt;&gt;"",分析!K162,"")</f>
        <v/>
      </c>
      <c r="M181" s="141">
        <f>IF(分析!P162&lt;&gt;"",分析!P162,"")</f>
        <v/>
      </c>
      <c r="N181" s="599">
        <f>IF(分析!O162&lt;&gt;"",分析!O162,"")</f>
        <v/>
      </c>
      <c r="O181" s="148">
        <f>IF(分析!X162&lt;&gt;"",分析!X162,"")</f>
        <v/>
      </c>
      <c r="P181" s="600">
        <f>IF(分析!L162&lt;&gt;"",分析!L162,"")</f>
        <v/>
      </c>
      <c r="Q181" s="146">
        <f>IF(分析!S162&lt;&gt;"",分析!S162,"")</f>
        <v/>
      </c>
      <c r="R181" s="146">
        <f>IF(分析!R162&lt;&gt;"",分析!R162,"")</f>
        <v/>
      </c>
      <c r="S181" s="141">
        <f>IF(分析!AA162&lt;&gt;"",分析!AA162,"")</f>
        <v/>
      </c>
      <c r="T181" s="601">
        <f>IF(分析!Z162&lt;&gt;"",分析!Z162,"")</f>
        <v/>
      </c>
      <c r="U181" s="141">
        <f>IF(分析!V162&lt;&gt;"",分析!V162,"")</f>
        <v/>
      </c>
      <c r="V181" s="602">
        <f>IF(分析!W162&lt;&gt;"",分析!W162,"")</f>
        <v/>
      </c>
      <c r="W181" s="152">
        <f>IF(分析!AD162&lt;&gt;"",分析!AD162,"")</f>
        <v/>
      </c>
      <c r="X181" s="153">
        <f>IF(分析!AE162&lt;&gt;"",分析!AE162,"")</f>
        <v/>
      </c>
      <c r="Y181" s="154">
        <f>IF(分析!T162&lt;&gt;"",分析!T162,"")</f>
        <v/>
      </c>
      <c r="Z181" s="155">
        <f>IF(分析!Y162&lt;&gt;"",分析!Y162,"")</f>
        <v/>
      </c>
    </row>
    <row r="182" ht="21.95" customHeight="1" s="574">
      <c r="A182" s="156">
        <f>IF(分析!C31&lt;&gt;"",ROW()-2,"")</f>
        <v/>
      </c>
      <c r="B182" s="157">
        <f>IF(分析!C31&lt;&gt;"",HYPERLINK("https://kabutan.jp/stock/?code="&amp;分析!C31,"株探"),"")</f>
        <v/>
      </c>
      <c r="C182" s="603">
        <f>IF(分析!C31&lt;&gt;"",分析!C31,"")</f>
        <v/>
      </c>
      <c r="D182" s="159">
        <f>IF(分析!D31&lt;&gt;"",分析!D31,"")</f>
        <v/>
      </c>
      <c r="E182" s="160">
        <f>IF(分析!E31&lt;&gt;"",分析!E31,"")</f>
        <v/>
      </c>
      <c r="F182" s="161">
        <f>IF(分析!F31&lt;&gt;"",分析!F31,"")</f>
        <v/>
      </c>
      <c r="G182" s="161">
        <f>IF(分析!H31&lt;&gt;"",分析!H31,"")</f>
        <v/>
      </c>
      <c r="H182" s="161">
        <f>IF(分析!I31&lt;&gt;"",分析!I31,"")</f>
        <v/>
      </c>
      <c r="I182" s="161">
        <f>IF(分析!J31&lt;&gt;"",分析!J31,"")</f>
        <v/>
      </c>
      <c r="J182" s="161">
        <f>IF(分析!AB31&lt;&gt;"",分析!AB31,"")</f>
        <v/>
      </c>
      <c r="K182" s="161">
        <f>IF(分析!AC31&lt;&gt;"",分析!AC31,"")</f>
        <v/>
      </c>
      <c r="L182" s="161">
        <f>IF(分析!K31&lt;&gt;"",分析!K31,"")</f>
        <v/>
      </c>
      <c r="M182" s="156">
        <f>IF(分析!P31&lt;&gt;"",分析!P31,"")</f>
        <v/>
      </c>
      <c r="N182" s="604">
        <f>IF(分析!O31&lt;&gt;"",分析!O31,"")</f>
        <v/>
      </c>
      <c r="O182" s="163">
        <f>IF(分析!X31&lt;&gt;"",分析!X31,"")</f>
        <v/>
      </c>
      <c r="P182" s="605">
        <f>IF(分析!L31&lt;&gt;"",分析!L31,"")</f>
        <v/>
      </c>
      <c r="Q182" s="161">
        <f>IF(分析!S31&lt;&gt;"",分析!S31,"")</f>
        <v/>
      </c>
      <c r="R182" s="161">
        <f>IF(分析!R31&lt;&gt;"",分析!R31,"")</f>
        <v/>
      </c>
      <c r="S182" s="156">
        <f>IF(分析!AA31&lt;&gt;"",分析!AA31,"")</f>
        <v/>
      </c>
      <c r="T182" s="606">
        <f>IF(分析!Z31&lt;&gt;"",分析!Z31,"")</f>
        <v/>
      </c>
      <c r="U182" s="156">
        <f>IF(分析!V31&lt;&gt;"",分析!V31,"")</f>
        <v/>
      </c>
      <c r="V182" s="607">
        <f>IF(分析!W31&lt;&gt;"",分析!W31,"")</f>
        <v/>
      </c>
      <c r="W182" s="167">
        <f>IF(分析!AD31&lt;&gt;"",分析!AD31,"")</f>
        <v/>
      </c>
      <c r="X182" s="168">
        <f>IF(分析!AE31&lt;&gt;"",分析!AE31,"")</f>
        <v/>
      </c>
      <c r="Y182" s="169">
        <f>IF(分析!T31&lt;&gt;"",分析!T31,"")</f>
        <v/>
      </c>
      <c r="Z182" s="155">
        <f>IF(分析!Y31&lt;&gt;"",分析!Y31,"")</f>
        <v/>
      </c>
    </row>
    <row r="183" ht="21.95" customHeight="1" s="574">
      <c r="A183" s="141">
        <f>IF(分析!C10&lt;&gt;"",ROW()-2,"")</f>
        <v/>
      </c>
      <c r="B183" s="142">
        <f>IF(分析!C10&lt;&gt;"",HYPERLINK("https://kabutan.jp/stock/?code="&amp;分析!C10,"株探"),"")</f>
        <v/>
      </c>
      <c r="C183" s="598">
        <f>IF(分析!C10&lt;&gt;"",分析!C10,"")</f>
        <v/>
      </c>
      <c r="D183" s="144">
        <f>IF(分析!D10&lt;&gt;"",分析!D10,"")</f>
        <v/>
      </c>
      <c r="E183" s="145">
        <f>IF(分析!E10&lt;&gt;"",分析!E10,"")</f>
        <v/>
      </c>
      <c r="F183" s="146">
        <f>IF(分析!F10&lt;&gt;"",分析!F10,"")</f>
        <v/>
      </c>
      <c r="G183" s="146">
        <f>IF(分析!H10&lt;&gt;"",分析!H10,"")</f>
        <v/>
      </c>
      <c r="H183" s="146">
        <f>IF(分析!I10&lt;&gt;"",分析!I10,"")</f>
        <v/>
      </c>
      <c r="I183" s="146">
        <f>IF(分析!J10&lt;&gt;"",分析!J10,"")</f>
        <v/>
      </c>
      <c r="J183" s="146">
        <f>IF(分析!AB10&lt;&gt;"",分析!AB10,"")</f>
        <v/>
      </c>
      <c r="K183" s="146">
        <f>IF(分析!AC10&lt;&gt;"",分析!AC10,"")</f>
        <v/>
      </c>
      <c r="L183" s="146">
        <f>IF(分析!K10&lt;&gt;"",分析!K10,"")</f>
        <v/>
      </c>
      <c r="M183" s="141">
        <f>IF(分析!P10&lt;&gt;"",分析!P10,"")</f>
        <v/>
      </c>
      <c r="N183" s="599">
        <f>IF(分析!O10&lt;&gt;"",分析!O10,"")</f>
        <v/>
      </c>
      <c r="O183" s="148">
        <f>IF(分析!X10&lt;&gt;"",分析!X10,"")</f>
        <v/>
      </c>
      <c r="P183" s="600">
        <f>IF(分析!L10&lt;&gt;"",分析!L10,"")</f>
        <v/>
      </c>
      <c r="Q183" s="146">
        <f>IF(分析!S10&lt;&gt;"",分析!S10,"")</f>
        <v/>
      </c>
      <c r="R183" s="146">
        <f>IF(分析!R10&lt;&gt;"",分析!R10,"")</f>
        <v/>
      </c>
      <c r="S183" s="141">
        <f>IF(分析!AA10&lt;&gt;"",分析!AA10,"")</f>
        <v/>
      </c>
      <c r="T183" s="601">
        <f>IF(分析!Z10&lt;&gt;"",分析!Z10,"")</f>
        <v/>
      </c>
      <c r="U183" s="141">
        <f>IF(分析!V10&lt;&gt;"",分析!V10,"")</f>
        <v/>
      </c>
      <c r="V183" s="602">
        <f>IF(分析!W10&lt;&gt;"",分析!W10,"")</f>
        <v/>
      </c>
      <c r="W183" s="152">
        <f>IF(分析!AD10&lt;&gt;"",分析!AD10,"")</f>
        <v/>
      </c>
      <c r="X183" s="153">
        <f>IF(分析!AE10&lt;&gt;"",分析!AE10,"")</f>
        <v/>
      </c>
      <c r="Y183" s="154">
        <f>IF(分析!T10&lt;&gt;"",分析!T10,"")</f>
        <v/>
      </c>
      <c r="Z183" s="155">
        <f>IF(分析!Y10&lt;&gt;"",分析!Y10,"")</f>
        <v/>
      </c>
    </row>
    <row r="184" ht="21.95" customHeight="1" s="574">
      <c r="A184" s="141">
        <f>IF(分析!C16&lt;&gt;"",ROW()-2,"")</f>
        <v/>
      </c>
      <c r="B184" s="142">
        <f>IF(分析!C16&lt;&gt;"",HYPERLINK("https://kabutan.jp/stock/?code="&amp;分析!C16,"株探"),"")</f>
        <v/>
      </c>
      <c r="C184" s="598">
        <f>IF(分析!C16&lt;&gt;"",分析!C16,"")</f>
        <v/>
      </c>
      <c r="D184" s="144">
        <f>IF(分析!D16&lt;&gt;"",分析!D16,"")</f>
        <v/>
      </c>
      <c r="E184" s="145">
        <f>IF(分析!E16&lt;&gt;"",分析!E16,"")</f>
        <v/>
      </c>
      <c r="F184" s="146">
        <f>IF(分析!F16&lt;&gt;"",分析!F16,"")</f>
        <v/>
      </c>
      <c r="G184" s="146">
        <f>IF(分析!H16&lt;&gt;"",分析!H16,"")</f>
        <v/>
      </c>
      <c r="H184" s="146">
        <f>IF(分析!I16&lt;&gt;"",分析!I16,"")</f>
        <v/>
      </c>
      <c r="I184" s="146">
        <f>IF(分析!J16&lt;&gt;"",分析!J16,"")</f>
        <v/>
      </c>
      <c r="J184" s="146">
        <f>IF(分析!AB16&lt;&gt;"",分析!AB16,"")</f>
        <v/>
      </c>
      <c r="K184" s="146">
        <f>IF(分析!AC16&lt;&gt;"",分析!AC16,"")</f>
        <v/>
      </c>
      <c r="L184" s="146">
        <f>IF(分析!K16&lt;&gt;"",分析!K16,"")</f>
        <v/>
      </c>
      <c r="M184" s="141">
        <f>IF(分析!P16&lt;&gt;"",分析!P16,"")</f>
        <v/>
      </c>
      <c r="N184" s="599">
        <f>IF(分析!O16&lt;&gt;"",分析!O16,"")</f>
        <v/>
      </c>
      <c r="O184" s="148">
        <f>IF(分析!X16&lt;&gt;"",分析!X16,"")</f>
        <v/>
      </c>
      <c r="P184" s="600">
        <f>IF(分析!L16&lt;&gt;"",分析!L16,"")</f>
        <v/>
      </c>
      <c r="Q184" s="146">
        <f>IF(分析!S16&lt;&gt;"",分析!S16,"")</f>
        <v/>
      </c>
      <c r="R184" s="146">
        <f>IF(分析!R16&lt;&gt;"",分析!R16,"")</f>
        <v/>
      </c>
      <c r="S184" s="141">
        <f>IF(分析!AA16&lt;&gt;"",分析!AA16,"")</f>
        <v/>
      </c>
      <c r="T184" s="601">
        <f>IF(分析!Z16&lt;&gt;"",分析!Z16,"")</f>
        <v/>
      </c>
      <c r="U184" s="141">
        <f>IF(分析!V16&lt;&gt;"",分析!V16,"")</f>
        <v/>
      </c>
      <c r="V184" s="602">
        <f>IF(分析!W16&lt;&gt;"",分析!W16,"")</f>
        <v/>
      </c>
      <c r="W184" s="152">
        <f>IF(分析!AD16&lt;&gt;"",分析!AD16,"")</f>
        <v/>
      </c>
      <c r="X184" s="153">
        <f>IF(分析!AE16&lt;&gt;"",分析!AE16,"")</f>
        <v/>
      </c>
      <c r="Y184" s="154">
        <f>IF(分析!T16&lt;&gt;"",分析!T16,"")</f>
        <v/>
      </c>
      <c r="Z184" s="155">
        <f>IF(分析!Y16&lt;&gt;"",分析!Y16,"")</f>
        <v/>
      </c>
    </row>
    <row r="185" ht="21.95" customHeight="1" s="574">
      <c r="A185" s="141">
        <f>IF(分析!C148&lt;&gt;"",ROW()-2,"")</f>
        <v/>
      </c>
      <c r="B185" s="142">
        <f>IF(分析!C148&lt;&gt;"",HYPERLINK("https://kabutan.jp/stock/?code="&amp;分析!C148,"株探"),"")</f>
        <v/>
      </c>
      <c r="C185" s="598">
        <f>IF(分析!C148&lt;&gt;"",分析!C148,"")</f>
        <v/>
      </c>
      <c r="D185" s="144">
        <f>IF(分析!D148&lt;&gt;"",分析!D148,"")</f>
        <v/>
      </c>
      <c r="E185" s="145">
        <f>IF(分析!E148&lt;&gt;"",分析!E148,"")</f>
        <v/>
      </c>
      <c r="F185" s="146">
        <f>IF(分析!F148&lt;&gt;"",分析!F148,"")</f>
        <v/>
      </c>
      <c r="G185" s="146">
        <f>IF(分析!H148&lt;&gt;"",分析!H148,"")</f>
        <v/>
      </c>
      <c r="H185" s="146">
        <f>IF(分析!I148&lt;&gt;"",分析!I148,"")</f>
        <v/>
      </c>
      <c r="I185" s="146">
        <f>IF(分析!J148&lt;&gt;"",分析!J148,"")</f>
        <v/>
      </c>
      <c r="J185" s="146">
        <f>IF(分析!AB148&lt;&gt;"",分析!AB148,"")</f>
        <v/>
      </c>
      <c r="K185" s="146">
        <f>IF(分析!AC148&lt;&gt;"",分析!AC148,"")</f>
        <v/>
      </c>
      <c r="L185" s="146">
        <f>IF(分析!K148&lt;&gt;"",分析!K148,"")</f>
        <v/>
      </c>
      <c r="M185" s="141">
        <f>IF(分析!P148&lt;&gt;"",分析!P148,"")</f>
        <v/>
      </c>
      <c r="N185" s="599">
        <f>IF(分析!O148&lt;&gt;"",分析!O148,"")</f>
        <v/>
      </c>
      <c r="O185" s="148">
        <f>IF(分析!X148&lt;&gt;"",分析!X148,"")</f>
        <v/>
      </c>
      <c r="P185" s="600">
        <f>IF(分析!L148&lt;&gt;"",分析!L148,"")</f>
        <v/>
      </c>
      <c r="Q185" s="146">
        <f>IF(分析!S148&lt;&gt;"",分析!S148,"")</f>
        <v/>
      </c>
      <c r="R185" s="146">
        <f>IF(分析!R148&lt;&gt;"",分析!R148,"")</f>
        <v/>
      </c>
      <c r="S185" s="141">
        <f>IF(分析!AA148&lt;&gt;"",分析!AA148,"")</f>
        <v/>
      </c>
      <c r="T185" s="601">
        <f>IF(分析!Z148&lt;&gt;"",分析!Z148,"")</f>
        <v/>
      </c>
      <c r="U185" s="141">
        <f>IF(分析!V148&lt;&gt;"",分析!V148,"")</f>
        <v/>
      </c>
      <c r="V185" s="602">
        <f>IF(分析!W148&lt;&gt;"",分析!W148,"")</f>
        <v/>
      </c>
      <c r="W185" s="152">
        <f>IF(分析!AD148&lt;&gt;"",分析!AD148,"")</f>
        <v/>
      </c>
      <c r="X185" s="153">
        <f>IF(分析!AE148&lt;&gt;"",分析!AE148,"")</f>
        <v/>
      </c>
      <c r="Y185" s="154">
        <f>IF(分析!T148&lt;&gt;"",分析!T148,"")</f>
        <v/>
      </c>
      <c r="Z185" s="155">
        <f>IF(分析!Y148&lt;&gt;"",分析!Y148,"")</f>
        <v/>
      </c>
    </row>
    <row r="186" ht="21.95" customHeight="1" s="574">
      <c r="A186" s="141">
        <f>IF(分析!C202&lt;&gt;"",ROW()-2,"")</f>
        <v/>
      </c>
      <c r="B186" s="142">
        <f>IF(分析!C202&lt;&gt;"",HYPERLINK("https://kabutan.jp/stock/?code="&amp;分析!C202,"株探"),"")</f>
        <v/>
      </c>
      <c r="C186" s="598">
        <f>IF(分析!C202&lt;&gt;"",分析!C202,"")</f>
        <v/>
      </c>
      <c r="D186" s="144">
        <f>IF(分析!D202&lt;&gt;"",分析!D202,"")</f>
        <v/>
      </c>
      <c r="E186" s="145">
        <f>IF(分析!E202&lt;&gt;"",分析!E202,"")</f>
        <v/>
      </c>
      <c r="F186" s="146">
        <f>IF(分析!F202&lt;&gt;"",分析!F202,"")</f>
        <v/>
      </c>
      <c r="G186" s="146">
        <f>IF(分析!H202&lt;&gt;"",分析!H202,"")</f>
        <v/>
      </c>
      <c r="H186" s="146">
        <f>IF(分析!I202&lt;&gt;"",分析!I202,"")</f>
        <v/>
      </c>
      <c r="I186" s="146">
        <f>IF(分析!J202&lt;&gt;"",分析!J202,"")</f>
        <v/>
      </c>
      <c r="J186" s="146">
        <f>IF(分析!AB202&lt;&gt;"",分析!AB202,"")</f>
        <v/>
      </c>
      <c r="K186" s="146">
        <f>IF(分析!AC202&lt;&gt;"",分析!AC202,"")</f>
        <v/>
      </c>
      <c r="L186" s="146">
        <f>IF(分析!K202&lt;&gt;"",分析!K202,"")</f>
        <v/>
      </c>
      <c r="M186" s="141">
        <f>IF(分析!P202&lt;&gt;"",分析!P202,"")</f>
        <v/>
      </c>
      <c r="N186" s="599">
        <f>IF(分析!O202&lt;&gt;"",分析!O202,"")</f>
        <v/>
      </c>
      <c r="O186" s="148">
        <f>IF(分析!X202&lt;&gt;"",分析!X202,"")</f>
        <v/>
      </c>
      <c r="P186" s="600">
        <f>IF(分析!L202&lt;&gt;"",分析!L202,"")</f>
        <v/>
      </c>
      <c r="Q186" s="146">
        <f>IF(分析!S202&lt;&gt;"",分析!S202,"")</f>
        <v/>
      </c>
      <c r="R186" s="146">
        <f>IF(分析!R202&lt;&gt;"",分析!R202,"")</f>
        <v/>
      </c>
      <c r="S186" s="141">
        <f>IF(分析!AA202&lt;&gt;"",分析!AA202,"")</f>
        <v/>
      </c>
      <c r="T186" s="601">
        <f>IF(分析!Z202&lt;&gt;"",分析!Z202,"")</f>
        <v/>
      </c>
      <c r="U186" s="141">
        <f>IF(分析!V202&lt;&gt;"",分析!V202,"")</f>
        <v/>
      </c>
      <c r="V186" s="602">
        <f>IF(分析!W202&lt;&gt;"",分析!W202,"")</f>
        <v/>
      </c>
      <c r="W186" s="152">
        <f>IF(分析!AD202&lt;&gt;"",分析!AD202,"")</f>
        <v/>
      </c>
      <c r="X186" s="153">
        <f>IF(分析!AE202&lt;&gt;"",分析!AE202,"")</f>
        <v/>
      </c>
      <c r="Y186" s="154">
        <f>IF(分析!T202&lt;&gt;"",分析!T202,"")</f>
        <v/>
      </c>
      <c r="Z186" s="155">
        <f>IF(分析!Y202&lt;&gt;"",分析!Y202,"")</f>
        <v/>
      </c>
    </row>
    <row r="187" ht="21.95" customHeight="1" s="574">
      <c r="A187" s="156">
        <f>IF(分析!C35&lt;&gt;"",ROW()-2,"")</f>
        <v/>
      </c>
      <c r="B187" s="157">
        <f>IF(分析!C35&lt;&gt;"",HYPERLINK("https://kabutan.jp/stock/?code="&amp;分析!C35,"株探"),"")</f>
        <v/>
      </c>
      <c r="C187" s="603">
        <f>IF(分析!C35&lt;&gt;"",分析!C35,"")</f>
        <v/>
      </c>
      <c r="D187" s="159">
        <f>IF(分析!D35&lt;&gt;"",分析!D35,"")</f>
        <v/>
      </c>
      <c r="E187" s="160">
        <f>IF(分析!E35&lt;&gt;"",分析!E35,"")</f>
        <v/>
      </c>
      <c r="F187" s="161">
        <f>IF(分析!F35&lt;&gt;"",分析!F35,"")</f>
        <v/>
      </c>
      <c r="G187" s="161">
        <f>IF(分析!H35&lt;&gt;"",分析!H35,"")</f>
        <v/>
      </c>
      <c r="H187" s="161">
        <f>IF(分析!I35&lt;&gt;"",分析!I35,"")</f>
        <v/>
      </c>
      <c r="I187" s="161">
        <f>IF(分析!J35&lt;&gt;"",分析!J35,"")</f>
        <v/>
      </c>
      <c r="J187" s="161">
        <f>IF(分析!AB35&lt;&gt;"",分析!AB35,"")</f>
        <v/>
      </c>
      <c r="K187" s="161">
        <f>IF(分析!AC35&lt;&gt;"",分析!AC35,"")</f>
        <v/>
      </c>
      <c r="L187" s="161">
        <f>IF(分析!K35&lt;&gt;"",分析!K35,"")</f>
        <v/>
      </c>
      <c r="M187" s="156">
        <f>IF(分析!P35&lt;&gt;"",分析!P35,"")</f>
        <v/>
      </c>
      <c r="N187" s="604">
        <f>IF(分析!O35&lt;&gt;"",分析!O35,"")</f>
        <v/>
      </c>
      <c r="O187" s="163">
        <f>IF(分析!X35&lt;&gt;"",分析!X35,"")</f>
        <v/>
      </c>
      <c r="P187" s="605">
        <f>IF(分析!L35&lt;&gt;"",分析!L35,"")</f>
        <v/>
      </c>
      <c r="Q187" s="161">
        <f>IF(分析!S35&lt;&gt;"",分析!S35,"")</f>
        <v/>
      </c>
      <c r="R187" s="161">
        <f>IF(分析!R35&lt;&gt;"",分析!R35,"")</f>
        <v/>
      </c>
      <c r="S187" s="156">
        <f>IF(分析!AA35&lt;&gt;"",分析!AA35,"")</f>
        <v/>
      </c>
      <c r="T187" s="606">
        <f>IF(分析!Z35&lt;&gt;"",分析!Z35,"")</f>
        <v/>
      </c>
      <c r="U187" s="156">
        <f>IF(分析!V35&lt;&gt;"",分析!V35,"")</f>
        <v/>
      </c>
      <c r="V187" s="607">
        <f>IF(分析!W35&lt;&gt;"",分析!W35,"")</f>
        <v/>
      </c>
      <c r="W187" s="167">
        <f>IF(分析!AD35&lt;&gt;"",分析!AD35,"")</f>
        <v/>
      </c>
      <c r="X187" s="168">
        <f>IF(分析!AE35&lt;&gt;"",分析!AE35,"")</f>
        <v/>
      </c>
      <c r="Y187" s="169">
        <f>IF(分析!T35&lt;&gt;"",分析!T35,"")</f>
        <v/>
      </c>
      <c r="Z187" s="155">
        <f>IF(分析!Y35&lt;&gt;"",分析!Y35,"")</f>
        <v/>
      </c>
    </row>
    <row r="188" ht="21.95" customHeight="1" s="574">
      <c r="A188" s="156">
        <f>IF(分析!C49&lt;&gt;"",ROW()-2,"")</f>
        <v/>
      </c>
      <c r="B188" s="157">
        <f>IF(分析!C49&lt;&gt;"",HYPERLINK("https://kabutan.jp/stock/?code="&amp;分析!C49,"株探"),"")</f>
        <v/>
      </c>
      <c r="C188" s="603">
        <f>IF(分析!C49&lt;&gt;"",分析!C49,"")</f>
        <v/>
      </c>
      <c r="D188" s="159">
        <f>IF(分析!D49&lt;&gt;"",分析!D49,"")</f>
        <v/>
      </c>
      <c r="E188" s="160">
        <f>IF(分析!E49&lt;&gt;"",分析!E49,"")</f>
        <v/>
      </c>
      <c r="F188" s="161">
        <f>IF(分析!F49&lt;&gt;"",分析!F49,"")</f>
        <v/>
      </c>
      <c r="G188" s="161">
        <f>IF(分析!H49&lt;&gt;"",分析!H49,"")</f>
        <v/>
      </c>
      <c r="H188" s="161">
        <f>IF(分析!I49&lt;&gt;"",分析!I49,"")</f>
        <v/>
      </c>
      <c r="I188" s="161">
        <f>IF(分析!J49&lt;&gt;"",分析!J49,"")</f>
        <v/>
      </c>
      <c r="J188" s="161">
        <f>IF(分析!AB49&lt;&gt;"",分析!AB49,"")</f>
        <v/>
      </c>
      <c r="K188" s="161">
        <f>IF(分析!AC49&lt;&gt;"",分析!AC49,"")</f>
        <v/>
      </c>
      <c r="L188" s="161">
        <f>IF(分析!K49&lt;&gt;"",分析!K49,"")</f>
        <v/>
      </c>
      <c r="M188" s="156">
        <f>IF(分析!P49&lt;&gt;"",分析!P49,"")</f>
        <v/>
      </c>
      <c r="N188" s="604">
        <f>IF(分析!O49&lt;&gt;"",分析!O49,"")</f>
        <v/>
      </c>
      <c r="O188" s="163">
        <f>IF(分析!X49&lt;&gt;"",分析!X49,"")</f>
        <v/>
      </c>
      <c r="P188" s="605">
        <f>IF(分析!L49&lt;&gt;"",分析!L49,"")</f>
        <v/>
      </c>
      <c r="Q188" s="161">
        <f>IF(分析!S49&lt;&gt;"",分析!S49,"")</f>
        <v/>
      </c>
      <c r="R188" s="161">
        <f>IF(分析!R49&lt;&gt;"",分析!R49,"")</f>
        <v/>
      </c>
      <c r="S188" s="156">
        <f>IF(分析!AA49&lt;&gt;"",分析!AA49,"")</f>
        <v/>
      </c>
      <c r="T188" s="606">
        <f>IF(分析!Z49&lt;&gt;"",分析!Z49,"")</f>
        <v/>
      </c>
      <c r="U188" s="156">
        <f>IF(分析!V49&lt;&gt;"",分析!V49,"")</f>
        <v/>
      </c>
      <c r="V188" s="607">
        <f>IF(分析!W49&lt;&gt;"",分析!W49,"")</f>
        <v/>
      </c>
      <c r="W188" s="167">
        <f>IF(分析!AD49&lt;&gt;"",分析!AD49,"")</f>
        <v/>
      </c>
      <c r="X188" s="168">
        <f>IF(分析!AE49&lt;&gt;"",分析!AE49,"")</f>
        <v/>
      </c>
      <c r="Y188" s="169">
        <f>IF(分析!T49&lt;&gt;"",分析!T49,"")</f>
        <v/>
      </c>
      <c r="Z188" s="155">
        <f>IF(分析!Y49&lt;&gt;"",分析!Y49,"")</f>
        <v/>
      </c>
    </row>
    <row r="189" ht="21.95" customHeight="1" s="574">
      <c r="A189" s="156">
        <f>IF(分析!C89&lt;&gt;"",ROW()-2,"")</f>
        <v/>
      </c>
      <c r="B189" s="157">
        <f>IF(分析!C89&lt;&gt;"",HYPERLINK("https://kabutan.jp/stock/?code="&amp;分析!C89,"株探"),"")</f>
        <v/>
      </c>
      <c r="C189" s="603">
        <f>IF(分析!C89&lt;&gt;"",分析!C89,"")</f>
        <v/>
      </c>
      <c r="D189" s="159">
        <f>IF(分析!D89&lt;&gt;"",分析!D89,"")</f>
        <v/>
      </c>
      <c r="E189" s="160">
        <f>IF(分析!E89&lt;&gt;"",分析!E89,"")</f>
        <v/>
      </c>
      <c r="F189" s="161">
        <f>IF(分析!F89&lt;&gt;"",分析!F89,"")</f>
        <v/>
      </c>
      <c r="G189" s="161">
        <f>IF(分析!H89&lt;&gt;"",分析!H89,"")</f>
        <v/>
      </c>
      <c r="H189" s="161">
        <f>IF(分析!I89&lt;&gt;"",分析!I89,"")</f>
        <v/>
      </c>
      <c r="I189" s="161">
        <f>IF(分析!J89&lt;&gt;"",分析!J89,"")</f>
        <v/>
      </c>
      <c r="J189" s="161">
        <f>IF(分析!AB89&lt;&gt;"",分析!AB89,"")</f>
        <v/>
      </c>
      <c r="K189" s="161">
        <f>IF(分析!AC89&lt;&gt;"",分析!AC89,"")</f>
        <v/>
      </c>
      <c r="L189" s="161">
        <f>IF(分析!K89&lt;&gt;"",分析!K89,"")</f>
        <v/>
      </c>
      <c r="M189" s="156">
        <f>IF(分析!P89&lt;&gt;"",分析!P89,"")</f>
        <v/>
      </c>
      <c r="N189" s="604">
        <f>IF(分析!O89&lt;&gt;"",分析!O89,"")</f>
        <v/>
      </c>
      <c r="O189" s="163">
        <f>IF(分析!X89&lt;&gt;"",分析!X89,"")</f>
        <v/>
      </c>
      <c r="P189" s="605">
        <f>IF(分析!L89&lt;&gt;"",分析!L89,"")</f>
        <v/>
      </c>
      <c r="Q189" s="161">
        <f>IF(分析!S89&lt;&gt;"",分析!S89,"")</f>
        <v/>
      </c>
      <c r="R189" s="161">
        <f>IF(分析!R89&lt;&gt;"",分析!R89,"")</f>
        <v/>
      </c>
      <c r="S189" s="156">
        <f>IF(分析!AA89&lt;&gt;"",分析!AA89,"")</f>
        <v/>
      </c>
      <c r="T189" s="606">
        <f>IF(分析!Z89&lt;&gt;"",分析!Z89,"")</f>
        <v/>
      </c>
      <c r="U189" s="156">
        <f>IF(分析!V89&lt;&gt;"",分析!V89,"")</f>
        <v/>
      </c>
      <c r="V189" s="607">
        <f>IF(分析!W89&lt;&gt;"",分析!W89,"")</f>
        <v/>
      </c>
      <c r="W189" s="167">
        <f>IF(分析!AD89&lt;&gt;"",分析!AD89,"")</f>
        <v/>
      </c>
      <c r="X189" s="168">
        <f>IF(分析!AE89&lt;&gt;"",分析!AE89,"")</f>
        <v/>
      </c>
      <c r="Y189" s="169">
        <f>IF(分析!T89&lt;&gt;"",分析!T89,"")</f>
        <v/>
      </c>
      <c r="Z189" s="155">
        <f>IF(分析!Y89&lt;&gt;"",分析!Y89,"")</f>
        <v/>
      </c>
    </row>
    <row r="190" ht="21.95" customHeight="1" s="574">
      <c r="A190" s="141">
        <f>IF(分析!C136&lt;&gt;"",ROW()-2,"")</f>
        <v/>
      </c>
      <c r="B190" s="142">
        <f>IF(分析!C136&lt;&gt;"",HYPERLINK("https://kabutan.jp/stock/?code="&amp;分析!C136,"株探"),"")</f>
        <v/>
      </c>
      <c r="C190" s="598">
        <f>IF(分析!C136&lt;&gt;"",分析!C136,"")</f>
        <v/>
      </c>
      <c r="D190" s="144">
        <f>IF(分析!D136&lt;&gt;"",分析!D136,"")</f>
        <v/>
      </c>
      <c r="E190" s="145">
        <f>IF(分析!E136&lt;&gt;"",分析!E136,"")</f>
        <v/>
      </c>
      <c r="F190" s="146">
        <f>IF(分析!F136&lt;&gt;"",分析!F136,"")</f>
        <v/>
      </c>
      <c r="G190" s="146">
        <f>IF(分析!H136&lt;&gt;"",分析!H136,"")</f>
        <v/>
      </c>
      <c r="H190" s="146">
        <f>IF(分析!I136&lt;&gt;"",分析!I136,"")</f>
        <v/>
      </c>
      <c r="I190" s="146">
        <f>IF(分析!J136&lt;&gt;"",分析!J136,"")</f>
        <v/>
      </c>
      <c r="J190" s="146">
        <f>IF(分析!AB136&lt;&gt;"",分析!AB136,"")</f>
        <v/>
      </c>
      <c r="K190" s="146">
        <f>IF(分析!AC136&lt;&gt;"",分析!AC136,"")</f>
        <v/>
      </c>
      <c r="L190" s="146">
        <f>IF(分析!K136&lt;&gt;"",分析!K136,"")</f>
        <v/>
      </c>
      <c r="M190" s="141">
        <f>IF(分析!P136&lt;&gt;"",分析!P136,"")</f>
        <v/>
      </c>
      <c r="N190" s="599">
        <f>IF(分析!O136&lt;&gt;"",分析!O136,"")</f>
        <v/>
      </c>
      <c r="O190" s="148">
        <f>IF(分析!X136&lt;&gt;"",分析!X136,"")</f>
        <v/>
      </c>
      <c r="P190" s="600">
        <f>IF(分析!L136&lt;&gt;"",分析!L136,"")</f>
        <v/>
      </c>
      <c r="Q190" s="146">
        <f>IF(分析!S136&lt;&gt;"",分析!S136,"")</f>
        <v/>
      </c>
      <c r="R190" s="146">
        <f>IF(分析!R136&lt;&gt;"",分析!R136,"")</f>
        <v/>
      </c>
      <c r="S190" s="141">
        <f>IF(分析!AA136&lt;&gt;"",分析!AA136,"")</f>
        <v/>
      </c>
      <c r="T190" s="601">
        <f>IF(分析!Z136&lt;&gt;"",分析!Z136,"")</f>
        <v/>
      </c>
      <c r="U190" s="141">
        <f>IF(分析!V136&lt;&gt;"",分析!V136,"")</f>
        <v/>
      </c>
      <c r="V190" s="602">
        <f>IF(分析!W136&lt;&gt;"",分析!W136,"")</f>
        <v/>
      </c>
      <c r="W190" s="152">
        <f>IF(分析!AD136&lt;&gt;"",分析!AD136,"")</f>
        <v/>
      </c>
      <c r="X190" s="153">
        <f>IF(分析!AE136&lt;&gt;"",分析!AE136,"")</f>
        <v/>
      </c>
      <c r="Y190" s="154">
        <f>IF(分析!T136&lt;&gt;"",分析!T136,"")</f>
        <v/>
      </c>
      <c r="Z190" s="155">
        <f>IF(分析!Y136&lt;&gt;"",分析!Y136,"")</f>
        <v/>
      </c>
    </row>
    <row r="191" ht="21.95" customHeight="1" s="574">
      <c r="A191" s="156">
        <f>IF(分析!C179&lt;&gt;"",ROW()-2,"")</f>
        <v/>
      </c>
      <c r="B191" s="157">
        <f>IF(分析!C179&lt;&gt;"",HYPERLINK("https://kabutan.jp/stock/?code="&amp;分析!C179,"株探"),"")</f>
        <v/>
      </c>
      <c r="C191" s="603">
        <f>IF(分析!C179&lt;&gt;"",分析!C179,"")</f>
        <v/>
      </c>
      <c r="D191" s="159">
        <f>IF(分析!D179&lt;&gt;"",分析!D179,"")</f>
        <v/>
      </c>
      <c r="E191" s="160">
        <f>IF(分析!E179&lt;&gt;"",分析!E179,"")</f>
        <v/>
      </c>
      <c r="F191" s="161">
        <f>IF(分析!F179&lt;&gt;"",分析!F179,"")</f>
        <v/>
      </c>
      <c r="G191" s="161">
        <f>IF(分析!H179&lt;&gt;"",分析!H179,"")</f>
        <v/>
      </c>
      <c r="H191" s="161">
        <f>IF(分析!I179&lt;&gt;"",分析!I179,"")</f>
        <v/>
      </c>
      <c r="I191" s="161">
        <f>IF(分析!J179&lt;&gt;"",分析!J179,"")</f>
        <v/>
      </c>
      <c r="J191" s="161">
        <f>IF(分析!AB179&lt;&gt;"",分析!AB179,"")</f>
        <v/>
      </c>
      <c r="K191" s="161">
        <f>IF(分析!AC179&lt;&gt;"",分析!AC179,"")</f>
        <v/>
      </c>
      <c r="L191" s="161">
        <f>IF(分析!K179&lt;&gt;"",分析!K179,"")</f>
        <v/>
      </c>
      <c r="M191" s="156">
        <f>IF(分析!P179&lt;&gt;"",分析!P179,"")</f>
        <v/>
      </c>
      <c r="N191" s="604">
        <f>IF(分析!O179&lt;&gt;"",分析!O179,"")</f>
        <v/>
      </c>
      <c r="O191" s="163">
        <f>IF(分析!X179&lt;&gt;"",分析!X179,"")</f>
        <v/>
      </c>
      <c r="P191" s="605">
        <f>IF(分析!L179&lt;&gt;"",分析!L179,"")</f>
        <v/>
      </c>
      <c r="Q191" s="161">
        <f>IF(分析!S179&lt;&gt;"",分析!S179,"")</f>
        <v/>
      </c>
      <c r="R191" s="161">
        <f>IF(分析!R179&lt;&gt;"",分析!R179,"")</f>
        <v/>
      </c>
      <c r="S191" s="156">
        <f>IF(分析!AA179&lt;&gt;"",分析!AA179,"")</f>
        <v/>
      </c>
      <c r="T191" s="606">
        <f>IF(分析!Z179&lt;&gt;"",分析!Z179,"")</f>
        <v/>
      </c>
      <c r="U191" s="156">
        <f>IF(分析!V179&lt;&gt;"",分析!V179,"")</f>
        <v/>
      </c>
      <c r="V191" s="607">
        <f>IF(分析!W179&lt;&gt;"",分析!W179,"")</f>
        <v/>
      </c>
      <c r="W191" s="167">
        <f>IF(分析!AD179&lt;&gt;"",分析!AD179,"")</f>
        <v/>
      </c>
      <c r="X191" s="168">
        <f>IF(分析!AE179&lt;&gt;"",分析!AE179,"")</f>
        <v/>
      </c>
      <c r="Y191" s="169">
        <f>IF(分析!T179&lt;&gt;"",分析!T179,"")</f>
        <v/>
      </c>
      <c r="Z191" s="155">
        <f>IF(分析!Y179&lt;&gt;"",分析!Y179,"")</f>
        <v/>
      </c>
    </row>
    <row r="192" ht="21.95" customHeight="1" s="574">
      <c r="A192" s="141">
        <f>IF(分析!C92&lt;&gt;"",ROW()-2,"")</f>
        <v/>
      </c>
      <c r="B192" s="142">
        <f>IF(分析!C92&lt;&gt;"",HYPERLINK("https://kabutan.jp/stock/?code="&amp;分析!C92,"株探"),"")</f>
        <v/>
      </c>
      <c r="C192" s="598">
        <f>IF(分析!C92&lt;&gt;"",分析!C92,"")</f>
        <v/>
      </c>
      <c r="D192" s="144">
        <f>IF(分析!D92&lt;&gt;"",分析!D92,"")</f>
        <v/>
      </c>
      <c r="E192" s="145">
        <f>IF(分析!E92&lt;&gt;"",分析!E92,"")</f>
        <v/>
      </c>
      <c r="F192" s="146">
        <f>IF(分析!F92&lt;&gt;"",分析!F92,"")</f>
        <v/>
      </c>
      <c r="G192" s="146">
        <f>IF(分析!H92&lt;&gt;"",分析!H92,"")</f>
        <v/>
      </c>
      <c r="H192" s="146">
        <f>IF(分析!I92&lt;&gt;"",分析!I92,"")</f>
        <v/>
      </c>
      <c r="I192" s="146">
        <f>IF(分析!J92&lt;&gt;"",分析!J92,"")</f>
        <v/>
      </c>
      <c r="J192" s="146">
        <f>IF(分析!AB92&lt;&gt;"",分析!AB92,"")</f>
        <v/>
      </c>
      <c r="K192" s="146">
        <f>IF(分析!AC92&lt;&gt;"",分析!AC92,"")</f>
        <v/>
      </c>
      <c r="L192" s="146">
        <f>IF(分析!K92&lt;&gt;"",分析!K92,"")</f>
        <v/>
      </c>
      <c r="M192" s="141">
        <f>IF(分析!P92&lt;&gt;"",分析!P92,"")</f>
        <v/>
      </c>
      <c r="N192" s="599">
        <f>IF(分析!O92&lt;&gt;"",分析!O92,"")</f>
        <v/>
      </c>
      <c r="O192" s="148">
        <f>IF(分析!X92&lt;&gt;"",分析!X92,"")</f>
        <v/>
      </c>
      <c r="P192" s="600">
        <f>IF(分析!L92&lt;&gt;"",分析!L92,"")</f>
        <v/>
      </c>
      <c r="Q192" s="146">
        <f>IF(分析!S92&lt;&gt;"",分析!S92,"")</f>
        <v/>
      </c>
      <c r="R192" s="146">
        <f>IF(分析!R92&lt;&gt;"",分析!R92,"")</f>
        <v/>
      </c>
      <c r="S192" s="141">
        <f>IF(分析!AA92&lt;&gt;"",分析!AA92,"")</f>
        <v/>
      </c>
      <c r="T192" s="601">
        <f>IF(分析!Z92&lt;&gt;"",分析!Z92,"")</f>
        <v/>
      </c>
      <c r="U192" s="141">
        <f>IF(分析!V92&lt;&gt;"",分析!V92,"")</f>
        <v/>
      </c>
      <c r="V192" s="602">
        <f>IF(分析!W92&lt;&gt;"",分析!W92,"")</f>
        <v/>
      </c>
      <c r="W192" s="152">
        <f>IF(分析!AD92&lt;&gt;"",分析!AD92,"")</f>
        <v/>
      </c>
      <c r="X192" s="153">
        <f>IF(分析!AE92&lt;&gt;"",分析!AE92,"")</f>
        <v/>
      </c>
      <c r="Y192" s="154">
        <f>IF(分析!T92&lt;&gt;"",分析!T92,"")</f>
        <v/>
      </c>
      <c r="Z192" s="155">
        <f>IF(分析!Y92&lt;&gt;"",分析!Y92,"")</f>
        <v/>
      </c>
    </row>
    <row r="193" ht="21.95" customHeight="1" s="574">
      <c r="A193" s="141">
        <f>IF(分析!C66&lt;&gt;"",ROW()-2,"")</f>
        <v/>
      </c>
      <c r="B193" s="142">
        <f>IF(分析!C66&lt;&gt;"",HYPERLINK("https://kabutan.jp/stock/?code="&amp;分析!C66,"株探"),"")</f>
        <v/>
      </c>
      <c r="C193" s="598">
        <f>IF(分析!C66&lt;&gt;"",分析!C66,"")</f>
        <v/>
      </c>
      <c r="D193" s="144">
        <f>IF(分析!D66&lt;&gt;"",分析!D66,"")</f>
        <v/>
      </c>
      <c r="E193" s="145">
        <f>IF(分析!E66&lt;&gt;"",分析!E66,"")</f>
        <v/>
      </c>
      <c r="F193" s="146">
        <f>IF(分析!F66&lt;&gt;"",分析!F66,"")</f>
        <v/>
      </c>
      <c r="G193" s="146">
        <f>IF(分析!H66&lt;&gt;"",分析!H66,"")</f>
        <v/>
      </c>
      <c r="H193" s="146">
        <f>IF(分析!I66&lt;&gt;"",分析!I66,"")</f>
        <v/>
      </c>
      <c r="I193" s="146">
        <f>IF(分析!J66&lt;&gt;"",分析!J66,"")</f>
        <v/>
      </c>
      <c r="J193" s="146">
        <f>IF(分析!AB66&lt;&gt;"",分析!AB66,"")</f>
        <v/>
      </c>
      <c r="K193" s="146">
        <f>IF(分析!AC66&lt;&gt;"",分析!AC66,"")</f>
        <v/>
      </c>
      <c r="L193" s="146">
        <f>IF(分析!K66&lt;&gt;"",分析!K66,"")</f>
        <v/>
      </c>
      <c r="M193" s="141">
        <f>IF(分析!P66&lt;&gt;"",分析!P66,"")</f>
        <v/>
      </c>
      <c r="N193" s="599">
        <f>IF(分析!O66&lt;&gt;"",分析!O66,"")</f>
        <v/>
      </c>
      <c r="O193" s="148">
        <f>IF(分析!X66&lt;&gt;"",分析!X66,"")</f>
        <v/>
      </c>
      <c r="P193" s="600">
        <f>IF(分析!L66&lt;&gt;"",分析!L66,"")</f>
        <v/>
      </c>
      <c r="Q193" s="146">
        <f>IF(分析!S66&lt;&gt;"",分析!S66,"")</f>
        <v/>
      </c>
      <c r="R193" s="146">
        <f>IF(分析!R66&lt;&gt;"",分析!R66,"")</f>
        <v/>
      </c>
      <c r="S193" s="141">
        <f>IF(分析!AA66&lt;&gt;"",分析!AA66,"")</f>
        <v/>
      </c>
      <c r="T193" s="601">
        <f>IF(分析!Z66&lt;&gt;"",分析!Z66,"")</f>
        <v/>
      </c>
      <c r="U193" s="141">
        <f>IF(分析!V66&lt;&gt;"",分析!V66,"")</f>
        <v/>
      </c>
      <c r="V193" s="602">
        <f>IF(分析!W66&lt;&gt;"",分析!W66,"")</f>
        <v/>
      </c>
      <c r="W193" s="152">
        <f>IF(分析!AD66&lt;&gt;"",分析!AD66,"")</f>
        <v/>
      </c>
      <c r="X193" s="153">
        <f>IF(分析!AE66&lt;&gt;"",分析!AE66,"")</f>
        <v/>
      </c>
      <c r="Y193" s="154">
        <f>IF(分析!T66&lt;&gt;"",分析!T66,"")</f>
        <v/>
      </c>
      <c r="Z193" s="155">
        <f>IF(分析!Y66&lt;&gt;"",分析!Y66,"")</f>
        <v/>
      </c>
    </row>
    <row r="194" ht="21.95" customHeight="1" s="574">
      <c r="A194" s="156">
        <f>IF(分析!C67&lt;&gt;"",ROW()-2,"")</f>
        <v/>
      </c>
      <c r="B194" s="157">
        <f>IF(分析!C67&lt;&gt;"",HYPERLINK("https://kabutan.jp/stock/?code="&amp;分析!C67,"株探"),"")</f>
        <v/>
      </c>
      <c r="C194" s="603">
        <f>IF(分析!C67&lt;&gt;"",分析!C67,"")</f>
        <v/>
      </c>
      <c r="D194" s="159">
        <f>IF(分析!D67&lt;&gt;"",分析!D67,"")</f>
        <v/>
      </c>
      <c r="E194" s="160">
        <f>IF(分析!E67&lt;&gt;"",分析!E67,"")</f>
        <v/>
      </c>
      <c r="F194" s="161">
        <f>IF(分析!F67&lt;&gt;"",分析!F67,"")</f>
        <v/>
      </c>
      <c r="G194" s="161">
        <f>IF(分析!H67&lt;&gt;"",分析!H67,"")</f>
        <v/>
      </c>
      <c r="H194" s="161">
        <f>IF(分析!I67&lt;&gt;"",分析!I67,"")</f>
        <v/>
      </c>
      <c r="I194" s="161">
        <f>IF(分析!J67&lt;&gt;"",分析!J67,"")</f>
        <v/>
      </c>
      <c r="J194" s="161">
        <f>IF(分析!AB67&lt;&gt;"",分析!AB67,"")</f>
        <v/>
      </c>
      <c r="K194" s="161">
        <f>IF(分析!AC67&lt;&gt;"",分析!AC67,"")</f>
        <v/>
      </c>
      <c r="L194" s="161">
        <f>IF(分析!K67&lt;&gt;"",分析!K67,"")</f>
        <v/>
      </c>
      <c r="M194" s="156">
        <f>IF(分析!P67&lt;&gt;"",分析!P67,"")</f>
        <v/>
      </c>
      <c r="N194" s="604">
        <f>IF(分析!O67&lt;&gt;"",分析!O67,"")</f>
        <v/>
      </c>
      <c r="O194" s="163">
        <f>IF(分析!X67&lt;&gt;"",分析!X67,"")</f>
        <v/>
      </c>
      <c r="P194" s="605">
        <f>IF(分析!L67&lt;&gt;"",分析!L67,"")</f>
        <v/>
      </c>
      <c r="Q194" s="161">
        <f>IF(分析!S67&lt;&gt;"",分析!S67,"")</f>
        <v/>
      </c>
      <c r="R194" s="161">
        <f>IF(分析!R67&lt;&gt;"",分析!R67,"")</f>
        <v/>
      </c>
      <c r="S194" s="156">
        <f>IF(分析!AA67&lt;&gt;"",分析!AA67,"")</f>
        <v/>
      </c>
      <c r="T194" s="606">
        <f>IF(分析!Z67&lt;&gt;"",分析!Z67,"")</f>
        <v/>
      </c>
      <c r="U194" s="156">
        <f>IF(分析!V67&lt;&gt;"",分析!V67,"")</f>
        <v/>
      </c>
      <c r="V194" s="607">
        <f>IF(分析!W67&lt;&gt;"",分析!W67,"")</f>
        <v/>
      </c>
      <c r="W194" s="167">
        <f>IF(分析!AD67&lt;&gt;"",分析!AD67,"")</f>
        <v/>
      </c>
      <c r="X194" s="168">
        <f>IF(分析!AE67&lt;&gt;"",分析!AE67,"")</f>
        <v/>
      </c>
      <c r="Y194" s="169">
        <f>IF(分析!T67&lt;&gt;"",分析!T67,"")</f>
        <v/>
      </c>
      <c r="Z194" s="155">
        <f>IF(分析!Y67&lt;&gt;"",分析!Y67,"")</f>
        <v/>
      </c>
    </row>
    <row r="195" ht="21.95" customHeight="1" s="574">
      <c r="A195" s="141">
        <f>IF(分析!C198&lt;&gt;"",ROW()-2,"")</f>
        <v/>
      </c>
      <c r="B195" s="142">
        <f>IF(分析!C198&lt;&gt;"",HYPERLINK("https://kabutan.jp/stock/?code="&amp;分析!C198,"株探"),"")</f>
        <v/>
      </c>
      <c r="C195" s="598">
        <f>IF(分析!C198&lt;&gt;"",分析!C198,"")</f>
        <v/>
      </c>
      <c r="D195" s="144">
        <f>IF(分析!D198&lt;&gt;"",分析!D198,"")</f>
        <v/>
      </c>
      <c r="E195" s="145">
        <f>IF(分析!E198&lt;&gt;"",分析!E198,"")</f>
        <v/>
      </c>
      <c r="F195" s="146">
        <f>IF(分析!F198&lt;&gt;"",分析!F198,"")</f>
        <v/>
      </c>
      <c r="G195" s="146">
        <f>IF(分析!H198&lt;&gt;"",分析!H198,"")</f>
        <v/>
      </c>
      <c r="H195" s="146">
        <f>IF(分析!I198&lt;&gt;"",分析!I198,"")</f>
        <v/>
      </c>
      <c r="I195" s="146">
        <f>IF(分析!J198&lt;&gt;"",分析!J198,"")</f>
        <v/>
      </c>
      <c r="J195" s="146">
        <f>IF(分析!AB198&lt;&gt;"",分析!AB198,"")</f>
        <v/>
      </c>
      <c r="K195" s="146">
        <f>IF(分析!AC198&lt;&gt;"",分析!AC198,"")</f>
        <v/>
      </c>
      <c r="L195" s="146">
        <f>IF(分析!K198&lt;&gt;"",分析!K198,"")</f>
        <v/>
      </c>
      <c r="M195" s="141">
        <f>IF(分析!P198&lt;&gt;"",分析!P198,"")</f>
        <v/>
      </c>
      <c r="N195" s="599">
        <f>IF(分析!O198&lt;&gt;"",分析!O198,"")</f>
        <v/>
      </c>
      <c r="O195" s="148">
        <f>IF(分析!X198&lt;&gt;"",分析!X198,"")</f>
        <v/>
      </c>
      <c r="P195" s="600">
        <f>IF(分析!L198&lt;&gt;"",分析!L198,"")</f>
        <v/>
      </c>
      <c r="Q195" s="146">
        <f>IF(分析!S198&lt;&gt;"",分析!S198,"")</f>
        <v/>
      </c>
      <c r="R195" s="146">
        <f>IF(分析!R198&lt;&gt;"",分析!R198,"")</f>
        <v/>
      </c>
      <c r="S195" s="141">
        <f>IF(分析!AA198&lt;&gt;"",分析!AA198,"")</f>
        <v/>
      </c>
      <c r="T195" s="601">
        <f>IF(分析!Z198&lt;&gt;"",分析!Z198,"")</f>
        <v/>
      </c>
      <c r="U195" s="141">
        <f>IF(分析!V198&lt;&gt;"",分析!V198,"")</f>
        <v/>
      </c>
      <c r="V195" s="602">
        <f>IF(分析!W198&lt;&gt;"",分析!W198,"")</f>
        <v/>
      </c>
      <c r="W195" s="152">
        <f>IF(分析!AD198&lt;&gt;"",分析!AD198,"")</f>
        <v/>
      </c>
      <c r="X195" s="153">
        <f>IF(分析!AE198&lt;&gt;"",分析!AE198,"")</f>
        <v/>
      </c>
      <c r="Y195" s="154">
        <f>IF(分析!T198&lt;&gt;"",分析!T198,"")</f>
        <v/>
      </c>
      <c r="Z195" s="155">
        <f>IF(分析!Y198&lt;&gt;"",分析!Y198,"")</f>
        <v/>
      </c>
    </row>
    <row r="196" ht="21.95" customHeight="1" s="574">
      <c r="A196" s="156">
        <f>IF(分析!C199&lt;&gt;"",ROW()-2,"")</f>
        <v/>
      </c>
      <c r="B196" s="157">
        <f>IF(分析!C199&lt;&gt;"",HYPERLINK("https://kabutan.jp/stock/?code="&amp;分析!C199,"株探"),"")</f>
        <v/>
      </c>
      <c r="C196" s="603">
        <f>IF(分析!C199&lt;&gt;"",分析!C199,"")</f>
        <v/>
      </c>
      <c r="D196" s="159">
        <f>IF(分析!D199&lt;&gt;"",分析!D199,"")</f>
        <v/>
      </c>
      <c r="E196" s="160">
        <f>IF(分析!E199&lt;&gt;"",分析!E199,"")</f>
        <v/>
      </c>
      <c r="F196" s="161">
        <f>IF(分析!F199&lt;&gt;"",分析!F199,"")</f>
        <v/>
      </c>
      <c r="G196" s="161">
        <f>IF(分析!H199&lt;&gt;"",分析!H199,"")</f>
        <v/>
      </c>
      <c r="H196" s="161">
        <f>IF(分析!I199&lt;&gt;"",分析!I199,"")</f>
        <v/>
      </c>
      <c r="I196" s="161">
        <f>IF(分析!J199&lt;&gt;"",分析!J199,"")</f>
        <v/>
      </c>
      <c r="J196" s="161">
        <f>IF(分析!AB199&lt;&gt;"",分析!AB199,"")</f>
        <v/>
      </c>
      <c r="K196" s="161">
        <f>IF(分析!AC199&lt;&gt;"",分析!AC199,"")</f>
        <v/>
      </c>
      <c r="L196" s="161">
        <f>IF(分析!K199&lt;&gt;"",分析!K199,"")</f>
        <v/>
      </c>
      <c r="M196" s="156">
        <f>IF(分析!P199&lt;&gt;"",分析!P199,"")</f>
        <v/>
      </c>
      <c r="N196" s="604">
        <f>IF(分析!O199&lt;&gt;"",分析!O199,"")</f>
        <v/>
      </c>
      <c r="O196" s="163">
        <f>IF(分析!X199&lt;&gt;"",分析!X199,"")</f>
        <v/>
      </c>
      <c r="P196" s="605">
        <f>IF(分析!L199&lt;&gt;"",分析!L199,"")</f>
        <v/>
      </c>
      <c r="Q196" s="161">
        <f>IF(分析!S199&lt;&gt;"",分析!S199,"")</f>
        <v/>
      </c>
      <c r="R196" s="161">
        <f>IF(分析!R199&lt;&gt;"",分析!R199,"")</f>
        <v/>
      </c>
      <c r="S196" s="156">
        <f>IF(分析!AA199&lt;&gt;"",分析!AA199,"")</f>
        <v/>
      </c>
      <c r="T196" s="606">
        <f>IF(分析!Z199&lt;&gt;"",分析!Z199,"")</f>
        <v/>
      </c>
      <c r="U196" s="156">
        <f>IF(分析!V199&lt;&gt;"",分析!V199,"")</f>
        <v/>
      </c>
      <c r="V196" s="607">
        <f>IF(分析!W199&lt;&gt;"",分析!W199,"")</f>
        <v/>
      </c>
      <c r="W196" s="167">
        <f>IF(分析!AD199&lt;&gt;"",分析!AD199,"")</f>
        <v/>
      </c>
      <c r="X196" s="168">
        <f>IF(分析!AE199&lt;&gt;"",分析!AE199,"")</f>
        <v/>
      </c>
      <c r="Y196" s="169">
        <f>IF(分析!T199&lt;&gt;"",分析!T199,"")</f>
        <v/>
      </c>
      <c r="Z196" s="155">
        <f>IF(分析!Y199&lt;&gt;"",分析!Y199,"")</f>
        <v/>
      </c>
    </row>
    <row r="197" ht="21.95" customHeight="1" s="574">
      <c r="A197" s="156">
        <f>IF(分析!C19&lt;&gt;"",ROW()-2,"")</f>
        <v/>
      </c>
      <c r="B197" s="157">
        <f>IF(分析!C19&lt;&gt;"",HYPERLINK("https://kabutan.jp/stock/?code="&amp;分析!C19,"株探"),"")</f>
        <v/>
      </c>
      <c r="C197" s="603">
        <f>IF(分析!C19&lt;&gt;"",分析!C19,"")</f>
        <v/>
      </c>
      <c r="D197" s="159">
        <f>IF(分析!D19&lt;&gt;"",分析!D19,"")</f>
        <v/>
      </c>
      <c r="E197" s="160">
        <f>IF(分析!E19&lt;&gt;"",分析!E19,"")</f>
        <v/>
      </c>
      <c r="F197" s="161">
        <f>IF(分析!F19&lt;&gt;"",分析!F19,"")</f>
        <v/>
      </c>
      <c r="G197" s="161">
        <f>IF(分析!H19&lt;&gt;"",分析!H19,"")</f>
        <v/>
      </c>
      <c r="H197" s="161">
        <f>IF(分析!I19&lt;&gt;"",分析!I19,"")</f>
        <v/>
      </c>
      <c r="I197" s="161">
        <f>IF(分析!J19&lt;&gt;"",分析!J19,"")</f>
        <v/>
      </c>
      <c r="J197" s="161">
        <f>IF(分析!AB19&lt;&gt;"",分析!AB19,"")</f>
        <v/>
      </c>
      <c r="K197" s="161">
        <f>IF(分析!AC19&lt;&gt;"",分析!AC19,"")</f>
        <v/>
      </c>
      <c r="L197" s="161">
        <f>IF(分析!K19&lt;&gt;"",分析!K19,"")</f>
        <v/>
      </c>
      <c r="M197" s="156">
        <f>IF(分析!P19&lt;&gt;"",分析!P19,"")</f>
        <v/>
      </c>
      <c r="N197" s="604">
        <f>IF(分析!O19&lt;&gt;"",分析!O19,"")</f>
        <v/>
      </c>
      <c r="O197" s="163">
        <f>IF(分析!X19&lt;&gt;"",分析!X19,"")</f>
        <v/>
      </c>
      <c r="P197" s="605">
        <f>IF(分析!L19&lt;&gt;"",分析!L19,"")</f>
        <v/>
      </c>
      <c r="Q197" s="161">
        <f>IF(分析!S19&lt;&gt;"",分析!S19,"")</f>
        <v/>
      </c>
      <c r="R197" s="161">
        <f>IF(分析!R19&lt;&gt;"",分析!R19,"")</f>
        <v/>
      </c>
      <c r="S197" s="156">
        <f>IF(分析!AA19&lt;&gt;"",分析!AA19,"")</f>
        <v/>
      </c>
      <c r="T197" s="606">
        <f>IF(分析!Z19&lt;&gt;"",分析!Z19,"")</f>
        <v/>
      </c>
      <c r="U197" s="156">
        <f>IF(分析!V19&lt;&gt;"",分析!V19,"")</f>
        <v/>
      </c>
      <c r="V197" s="607">
        <f>IF(分析!W19&lt;&gt;"",分析!W19,"")</f>
        <v/>
      </c>
      <c r="W197" s="167">
        <f>IF(分析!AD19&lt;&gt;"",分析!AD19,"")</f>
        <v/>
      </c>
      <c r="X197" s="168">
        <f>IF(分析!AE19&lt;&gt;"",分析!AE19,"")</f>
        <v/>
      </c>
      <c r="Y197" s="169">
        <f>IF(分析!T19&lt;&gt;"",分析!T19,"")</f>
        <v/>
      </c>
      <c r="Z197" s="155">
        <f>IF(分析!Y19&lt;&gt;"",分析!Y19,"")</f>
        <v/>
      </c>
    </row>
    <row r="198" ht="21.95" customHeight="1" s="574">
      <c r="A198" s="141">
        <f>IF(分析!C168&lt;&gt;"",ROW()-2,"")</f>
        <v/>
      </c>
      <c r="B198" s="142">
        <f>IF(分析!C168&lt;&gt;"",HYPERLINK("https://kabutan.jp/stock/?code="&amp;分析!C168,"株探"),"")</f>
        <v/>
      </c>
      <c r="C198" s="598">
        <f>IF(分析!C168&lt;&gt;"",分析!C168,"")</f>
        <v/>
      </c>
      <c r="D198" s="144">
        <f>IF(分析!D168&lt;&gt;"",分析!D168,"")</f>
        <v/>
      </c>
      <c r="E198" s="145">
        <f>IF(分析!E168&lt;&gt;"",分析!E168,"")</f>
        <v/>
      </c>
      <c r="F198" s="146">
        <f>IF(分析!F168&lt;&gt;"",分析!F168,"")</f>
        <v/>
      </c>
      <c r="G198" s="146">
        <f>IF(分析!H168&lt;&gt;"",分析!H168,"")</f>
        <v/>
      </c>
      <c r="H198" s="146">
        <f>IF(分析!I168&lt;&gt;"",分析!I168,"")</f>
        <v/>
      </c>
      <c r="I198" s="146">
        <f>IF(分析!J168&lt;&gt;"",分析!J168,"")</f>
        <v/>
      </c>
      <c r="J198" s="146">
        <f>IF(分析!AB168&lt;&gt;"",分析!AB168,"")</f>
        <v/>
      </c>
      <c r="K198" s="146">
        <f>IF(分析!AC168&lt;&gt;"",分析!AC168,"")</f>
        <v/>
      </c>
      <c r="L198" s="146">
        <f>IF(分析!K168&lt;&gt;"",分析!K168,"")</f>
        <v/>
      </c>
      <c r="M198" s="141">
        <f>IF(分析!P168&lt;&gt;"",分析!P168,"")</f>
        <v/>
      </c>
      <c r="N198" s="599">
        <f>IF(分析!O168&lt;&gt;"",分析!O168,"")</f>
        <v/>
      </c>
      <c r="O198" s="148">
        <f>IF(分析!X168&lt;&gt;"",分析!X168,"")</f>
        <v/>
      </c>
      <c r="P198" s="600">
        <f>IF(分析!L168&lt;&gt;"",分析!L168,"")</f>
        <v/>
      </c>
      <c r="Q198" s="146">
        <f>IF(分析!S168&lt;&gt;"",分析!S168,"")</f>
        <v/>
      </c>
      <c r="R198" s="146">
        <f>IF(分析!R168&lt;&gt;"",分析!R168,"")</f>
        <v/>
      </c>
      <c r="S198" s="141">
        <f>IF(分析!AA168&lt;&gt;"",分析!AA168,"")</f>
        <v/>
      </c>
      <c r="T198" s="601">
        <f>IF(分析!Z168&lt;&gt;"",分析!Z168,"")</f>
        <v/>
      </c>
      <c r="U198" s="141">
        <f>IF(分析!V168&lt;&gt;"",分析!V168,"")</f>
        <v/>
      </c>
      <c r="V198" s="602">
        <f>IF(分析!W168&lt;&gt;"",分析!W168,"")</f>
        <v/>
      </c>
      <c r="W198" s="152">
        <f>IF(分析!AD168&lt;&gt;"",分析!AD168,"")</f>
        <v/>
      </c>
      <c r="X198" s="153">
        <f>IF(分析!AE168&lt;&gt;"",分析!AE168,"")</f>
        <v/>
      </c>
      <c r="Y198" s="154">
        <f>IF(分析!T168&lt;&gt;"",分析!T168,"")</f>
        <v/>
      </c>
      <c r="Z198" s="155">
        <f>IF(分析!Y168&lt;&gt;"",分析!Y168,"")</f>
        <v/>
      </c>
    </row>
    <row r="199" ht="21.95" customHeight="1" s="574">
      <c r="A199" s="141">
        <f>IF(分析!C200&lt;&gt;"",ROW()-2,"")</f>
        <v/>
      </c>
      <c r="B199" s="142">
        <f>IF(分析!C200&lt;&gt;"",HYPERLINK("https://kabutan.jp/stock/?code="&amp;分析!C200,"株探"),"")</f>
        <v/>
      </c>
      <c r="C199" s="598">
        <f>IF(分析!C200&lt;&gt;"",分析!C200,"")</f>
        <v/>
      </c>
      <c r="D199" s="144">
        <f>IF(分析!D200&lt;&gt;"",分析!D200,"")</f>
        <v/>
      </c>
      <c r="E199" s="145">
        <f>IF(分析!E200&lt;&gt;"",分析!E200,"")</f>
        <v/>
      </c>
      <c r="F199" s="146">
        <f>IF(分析!F200&lt;&gt;"",分析!F200,"")</f>
        <v/>
      </c>
      <c r="G199" s="146">
        <f>IF(分析!H200&lt;&gt;"",分析!H200,"")</f>
        <v/>
      </c>
      <c r="H199" s="146">
        <f>IF(分析!I200&lt;&gt;"",分析!I200,"")</f>
        <v/>
      </c>
      <c r="I199" s="146">
        <f>IF(分析!J200&lt;&gt;"",分析!J200,"")</f>
        <v/>
      </c>
      <c r="J199" s="146">
        <f>IF(分析!AB200&lt;&gt;"",分析!AB200,"")</f>
        <v/>
      </c>
      <c r="K199" s="146">
        <f>IF(分析!AC200&lt;&gt;"",分析!AC200,"")</f>
        <v/>
      </c>
      <c r="L199" s="146">
        <f>IF(分析!K200&lt;&gt;"",分析!K200,"")</f>
        <v/>
      </c>
      <c r="M199" s="141">
        <f>IF(分析!P200&lt;&gt;"",分析!P200,"")</f>
        <v/>
      </c>
      <c r="N199" s="599">
        <f>IF(分析!O200&lt;&gt;"",分析!O200,"")</f>
        <v/>
      </c>
      <c r="O199" s="148">
        <f>IF(分析!X200&lt;&gt;"",分析!X200,"")</f>
        <v/>
      </c>
      <c r="P199" s="600">
        <f>IF(分析!L200&lt;&gt;"",分析!L200,"")</f>
        <v/>
      </c>
      <c r="Q199" s="146">
        <f>IF(分析!S200&lt;&gt;"",分析!S200,"")</f>
        <v/>
      </c>
      <c r="R199" s="146">
        <f>IF(分析!R200&lt;&gt;"",分析!R200,"")</f>
        <v/>
      </c>
      <c r="S199" s="141">
        <f>IF(分析!AA200&lt;&gt;"",分析!AA200,"")</f>
        <v/>
      </c>
      <c r="T199" s="601">
        <f>IF(分析!Z200&lt;&gt;"",分析!Z200,"")</f>
        <v/>
      </c>
      <c r="U199" s="141">
        <f>IF(分析!V200&lt;&gt;"",分析!V200,"")</f>
        <v/>
      </c>
      <c r="V199" s="602">
        <f>IF(分析!W200&lt;&gt;"",分析!W200,"")</f>
        <v/>
      </c>
      <c r="W199" s="152">
        <f>IF(分析!AD200&lt;&gt;"",分析!AD200,"")</f>
        <v/>
      </c>
      <c r="X199" s="153">
        <f>IF(分析!AE200&lt;&gt;"",分析!AE200,"")</f>
        <v/>
      </c>
      <c r="Y199" s="154">
        <f>IF(分析!T200&lt;&gt;"",分析!T200,"")</f>
        <v/>
      </c>
      <c r="Z199" s="155">
        <f>IF(分析!Y200&lt;&gt;"",分析!Y200,"")</f>
        <v/>
      </c>
    </row>
    <row r="200" ht="21.95" customHeight="1" s="574">
      <c r="A200" s="141">
        <f>IF(分析!C60&lt;&gt;"",ROW()-2,"")</f>
        <v/>
      </c>
      <c r="B200" s="142">
        <f>IF(分析!C60&lt;&gt;"",HYPERLINK("https://kabutan.jp/stock/?code="&amp;分析!C60,"株探"),"")</f>
        <v/>
      </c>
      <c r="C200" s="598">
        <f>IF(分析!C60&lt;&gt;"",分析!C60,"")</f>
        <v/>
      </c>
      <c r="D200" s="144">
        <f>IF(分析!D60&lt;&gt;"",分析!D60,"")</f>
        <v/>
      </c>
      <c r="E200" s="145">
        <f>IF(分析!E60&lt;&gt;"",分析!E60,"")</f>
        <v/>
      </c>
      <c r="F200" s="146">
        <f>IF(分析!F60&lt;&gt;"",分析!F60,"")</f>
        <v/>
      </c>
      <c r="G200" s="146">
        <f>IF(分析!H60&lt;&gt;"",分析!H60,"")</f>
        <v/>
      </c>
      <c r="H200" s="146">
        <f>IF(分析!I60&lt;&gt;"",分析!I60,"")</f>
        <v/>
      </c>
      <c r="I200" s="146">
        <f>IF(分析!J60&lt;&gt;"",分析!J60,"")</f>
        <v/>
      </c>
      <c r="J200" s="146">
        <f>IF(分析!AB60&lt;&gt;"",分析!AB60,"")</f>
        <v/>
      </c>
      <c r="K200" s="146">
        <f>IF(分析!AC60&lt;&gt;"",分析!AC60,"")</f>
        <v/>
      </c>
      <c r="L200" s="146">
        <f>IF(分析!K60&lt;&gt;"",分析!K60,"")</f>
        <v/>
      </c>
      <c r="M200" s="141">
        <f>IF(分析!P60&lt;&gt;"",分析!P60,"")</f>
        <v/>
      </c>
      <c r="N200" s="599">
        <f>IF(分析!O60&lt;&gt;"",分析!O60,"")</f>
        <v/>
      </c>
      <c r="O200" s="148">
        <f>IF(分析!X60&lt;&gt;"",分析!X60,"")</f>
        <v/>
      </c>
      <c r="P200" s="600">
        <f>IF(分析!L60&lt;&gt;"",分析!L60,"")</f>
        <v/>
      </c>
      <c r="Q200" s="146">
        <f>IF(分析!S60&lt;&gt;"",分析!S60,"")</f>
        <v/>
      </c>
      <c r="R200" s="146">
        <f>IF(分析!R60&lt;&gt;"",分析!R60,"")</f>
        <v/>
      </c>
      <c r="S200" s="141">
        <f>IF(分析!AA60&lt;&gt;"",分析!AA60,"")</f>
        <v/>
      </c>
      <c r="T200" s="601">
        <f>IF(分析!Z60&lt;&gt;"",分析!Z60,"")</f>
        <v/>
      </c>
      <c r="U200" s="141">
        <f>IF(分析!V60&lt;&gt;"",分析!V60,"")</f>
        <v/>
      </c>
      <c r="V200" s="602">
        <f>IF(分析!W60&lt;&gt;"",分析!W60,"")</f>
        <v/>
      </c>
      <c r="W200" s="152">
        <f>IF(分析!AD60&lt;&gt;"",分析!AD60,"")</f>
        <v/>
      </c>
      <c r="X200" s="153">
        <f>IF(分析!AE60&lt;&gt;"",分析!AE60,"")</f>
        <v/>
      </c>
      <c r="Y200" s="154">
        <f>IF(分析!T60&lt;&gt;"",分析!T60,"")</f>
        <v/>
      </c>
      <c r="Z200" s="155">
        <f>IF(分析!Y60&lt;&gt;"",分析!Y60,"")</f>
        <v/>
      </c>
    </row>
    <row r="201" ht="21.95" customHeight="1" s="574">
      <c r="A201" s="156">
        <f>IF(分析!C99&lt;&gt;"",ROW()-2,"")</f>
        <v/>
      </c>
      <c r="B201" s="157">
        <f>IF(分析!C99&lt;&gt;"",HYPERLINK("https://kabutan.jp/stock/?code="&amp;分析!C99,"株探"),"")</f>
        <v/>
      </c>
      <c r="C201" s="603">
        <f>IF(分析!C99&lt;&gt;"",分析!C99,"")</f>
        <v/>
      </c>
      <c r="D201" s="159">
        <f>IF(分析!D99&lt;&gt;"",分析!D99,"")</f>
        <v/>
      </c>
      <c r="E201" s="160">
        <f>IF(分析!E99&lt;&gt;"",分析!E99,"")</f>
        <v/>
      </c>
      <c r="F201" s="161">
        <f>IF(分析!F99&lt;&gt;"",分析!F99,"")</f>
        <v/>
      </c>
      <c r="G201" s="161">
        <f>IF(分析!H99&lt;&gt;"",分析!H99,"")</f>
        <v/>
      </c>
      <c r="H201" s="161">
        <f>IF(分析!I99&lt;&gt;"",分析!I99,"")</f>
        <v/>
      </c>
      <c r="I201" s="161">
        <f>IF(分析!J99&lt;&gt;"",分析!J99,"")</f>
        <v/>
      </c>
      <c r="J201" s="161">
        <f>IF(分析!AB99&lt;&gt;"",分析!AB99,"")</f>
        <v/>
      </c>
      <c r="K201" s="161">
        <f>IF(分析!AC99&lt;&gt;"",分析!AC99,"")</f>
        <v/>
      </c>
      <c r="L201" s="161">
        <f>IF(分析!K99&lt;&gt;"",分析!K99,"")</f>
        <v/>
      </c>
      <c r="M201" s="156">
        <f>IF(分析!P99&lt;&gt;"",分析!P99,"")</f>
        <v/>
      </c>
      <c r="N201" s="604">
        <f>IF(分析!O99&lt;&gt;"",分析!O99,"")</f>
        <v/>
      </c>
      <c r="O201" s="163">
        <f>IF(分析!X99&lt;&gt;"",分析!X99,"")</f>
        <v/>
      </c>
      <c r="P201" s="605">
        <f>IF(分析!L99&lt;&gt;"",分析!L99,"")</f>
        <v/>
      </c>
      <c r="Q201" s="161">
        <f>IF(分析!S99&lt;&gt;"",分析!S99,"")</f>
        <v/>
      </c>
      <c r="R201" s="161">
        <f>IF(分析!R99&lt;&gt;"",分析!R99,"")</f>
        <v/>
      </c>
      <c r="S201" s="156">
        <f>IF(分析!AA99&lt;&gt;"",分析!AA99,"")</f>
        <v/>
      </c>
      <c r="T201" s="606">
        <f>IF(分析!Z99&lt;&gt;"",分析!Z99,"")</f>
        <v/>
      </c>
      <c r="U201" s="156">
        <f>IF(分析!V99&lt;&gt;"",分析!V99,"")</f>
        <v/>
      </c>
      <c r="V201" s="607">
        <f>IF(分析!W99&lt;&gt;"",分析!W99,"")</f>
        <v/>
      </c>
      <c r="W201" s="167">
        <f>IF(分析!AD99&lt;&gt;"",分析!AD99,"")</f>
        <v/>
      </c>
      <c r="X201" s="168">
        <f>IF(分析!AE99&lt;&gt;"",分析!AE99,"")</f>
        <v/>
      </c>
      <c r="Y201" s="169">
        <f>IF(分析!T99&lt;&gt;"",分析!T99,"")</f>
        <v/>
      </c>
      <c r="Z201" s="155">
        <f>IF(分析!Y99&lt;&gt;"",分析!Y99,"")</f>
        <v/>
      </c>
    </row>
    <row r="202" ht="21.95" customHeight="1" s="574">
      <c r="A202" s="141">
        <f>IF(分析!C146&lt;&gt;"",ROW()-2,"")</f>
        <v/>
      </c>
      <c r="B202" s="142">
        <f>IF(分析!C146&lt;&gt;"",HYPERLINK("https://kabutan.jp/stock/?code="&amp;分析!C146,"株探"),"")</f>
        <v/>
      </c>
      <c r="C202" s="598">
        <f>IF(分析!C146&lt;&gt;"",分析!C146,"")</f>
        <v/>
      </c>
      <c r="D202" s="144">
        <f>IF(分析!D146&lt;&gt;"",分析!D146,"")</f>
        <v/>
      </c>
      <c r="E202" s="145">
        <f>IF(分析!E146&lt;&gt;"",分析!E146,"")</f>
        <v/>
      </c>
      <c r="F202" s="146">
        <f>IF(分析!F146&lt;&gt;"",分析!F146,"")</f>
        <v/>
      </c>
      <c r="G202" s="146">
        <f>IF(分析!H146&lt;&gt;"",分析!H146,"")</f>
        <v/>
      </c>
      <c r="H202" s="146">
        <f>IF(分析!I146&lt;&gt;"",分析!I146,"")</f>
        <v/>
      </c>
      <c r="I202" s="146">
        <f>IF(分析!J146&lt;&gt;"",分析!J146,"")</f>
        <v/>
      </c>
      <c r="J202" s="146">
        <f>IF(分析!AB146&lt;&gt;"",分析!AB146,"")</f>
        <v/>
      </c>
      <c r="K202" s="146">
        <f>IF(分析!AC146&lt;&gt;"",分析!AC146,"")</f>
        <v/>
      </c>
      <c r="L202" s="146">
        <f>IF(分析!K146&lt;&gt;"",分析!K146,"")</f>
        <v/>
      </c>
      <c r="M202" s="141">
        <f>IF(分析!P146&lt;&gt;"",分析!P146,"")</f>
        <v/>
      </c>
      <c r="N202" s="599">
        <f>IF(分析!O146&lt;&gt;"",分析!O146,"")</f>
        <v/>
      </c>
      <c r="O202" s="148">
        <f>IF(分析!X146&lt;&gt;"",分析!X146,"")</f>
        <v/>
      </c>
      <c r="P202" s="600">
        <f>IF(分析!L146&lt;&gt;"",分析!L146,"")</f>
        <v/>
      </c>
      <c r="Q202" s="146">
        <f>IF(分析!S146&lt;&gt;"",分析!S146,"")</f>
        <v/>
      </c>
      <c r="R202" s="146">
        <f>IF(分析!R146&lt;&gt;"",分析!R146,"")</f>
        <v/>
      </c>
      <c r="S202" s="141">
        <f>IF(分析!AA146&lt;&gt;"",分析!AA146,"")</f>
        <v/>
      </c>
      <c r="T202" s="601">
        <f>IF(分析!Z146&lt;&gt;"",分析!Z146,"")</f>
        <v/>
      </c>
      <c r="U202" s="141">
        <f>IF(分析!V146&lt;&gt;"",分析!V146,"")</f>
        <v/>
      </c>
      <c r="V202" s="602">
        <f>IF(分析!W146&lt;&gt;"",分析!W146,"")</f>
        <v/>
      </c>
      <c r="W202" s="152">
        <f>IF(分析!AD146&lt;&gt;"",分析!AD146,"")</f>
        <v/>
      </c>
      <c r="X202" s="153">
        <f>IF(分析!AE146&lt;&gt;"",分析!AE146,"")</f>
        <v/>
      </c>
      <c r="Y202" s="154">
        <f>IF(分析!T146&lt;&gt;"",分析!T146,"")</f>
        <v/>
      </c>
      <c r="Z202" s="155">
        <f>IF(分析!Y146&lt;&gt;"",分析!Y146,"")</f>
        <v/>
      </c>
    </row>
    <row r="203" ht="21.95" customHeight="1" s="574">
      <c r="A203" s="141">
        <f>IF(分析!C22&lt;&gt;"",ROW()-2,"")</f>
        <v/>
      </c>
      <c r="B203" s="142">
        <f>IF(分析!C22&lt;&gt;"",HYPERLINK("https://kabutan.jp/stock/?code="&amp;分析!C22,"株探"),"")</f>
        <v/>
      </c>
      <c r="C203" s="598">
        <f>IF(分析!C22&lt;&gt;"",分析!C22,"")</f>
        <v/>
      </c>
      <c r="D203" s="144">
        <f>IF(分析!D22&lt;&gt;"",分析!D22,"")</f>
        <v/>
      </c>
      <c r="E203" s="145">
        <f>IF(分析!E22&lt;&gt;"",分析!E22,"")</f>
        <v/>
      </c>
      <c r="F203" s="146">
        <f>IF(分析!F22&lt;&gt;"",分析!F22,"")</f>
        <v/>
      </c>
      <c r="G203" s="146">
        <f>IF(分析!H22&lt;&gt;"",分析!H22,"")</f>
        <v/>
      </c>
      <c r="H203" s="146">
        <f>IF(分析!I22&lt;&gt;"",分析!I22,"")</f>
        <v/>
      </c>
      <c r="I203" s="146">
        <f>IF(分析!J22&lt;&gt;"",分析!J22,"")</f>
        <v/>
      </c>
      <c r="J203" s="146">
        <f>IF(分析!AB22&lt;&gt;"",分析!AB22,"")</f>
        <v/>
      </c>
      <c r="K203" s="146">
        <f>IF(分析!AC22&lt;&gt;"",分析!AC22,"")</f>
        <v/>
      </c>
      <c r="L203" s="146">
        <f>IF(分析!K22&lt;&gt;"",分析!K22,"")</f>
        <v/>
      </c>
      <c r="M203" s="141">
        <f>IF(分析!P22&lt;&gt;"",分析!P22,"")</f>
        <v/>
      </c>
      <c r="N203" s="599">
        <f>IF(分析!O22&lt;&gt;"",分析!O22,"")</f>
        <v/>
      </c>
      <c r="O203" s="148">
        <f>IF(分析!X22&lt;&gt;"",分析!X22,"")</f>
        <v/>
      </c>
      <c r="P203" s="600">
        <f>IF(分析!L22&lt;&gt;"",分析!L22,"")</f>
        <v/>
      </c>
      <c r="Q203" s="146">
        <f>IF(分析!S22&lt;&gt;"",分析!S22,"")</f>
        <v/>
      </c>
      <c r="R203" s="146">
        <f>IF(分析!R22&lt;&gt;"",分析!R22,"")</f>
        <v/>
      </c>
      <c r="S203" s="141">
        <f>IF(分析!AA22&lt;&gt;"",分析!AA22,"")</f>
        <v/>
      </c>
      <c r="T203" s="601">
        <f>IF(分析!Z22&lt;&gt;"",分析!Z22,"")</f>
        <v/>
      </c>
      <c r="U203" s="141">
        <f>IF(分析!V22&lt;&gt;"",分析!V22,"")</f>
        <v/>
      </c>
      <c r="V203" s="602">
        <f>IF(分析!W22&lt;&gt;"",分析!W22,"")</f>
        <v/>
      </c>
      <c r="W203" s="152">
        <f>IF(分析!AD22&lt;&gt;"",分析!AD22,"")</f>
        <v/>
      </c>
      <c r="X203" s="153">
        <f>IF(分析!AE22&lt;&gt;"",分析!AE22,"")</f>
        <v/>
      </c>
      <c r="Y203" s="154">
        <f>IF(分析!T22&lt;&gt;"",分析!T22,"")</f>
        <v/>
      </c>
      <c r="Z203" s="155">
        <f>IF(分析!Y22&lt;&gt;"",分析!Y22,"")</f>
        <v/>
      </c>
    </row>
    <row r="204" ht="21.95" customHeight="1" s="574">
      <c r="A204" s="156">
        <f>IF(分析!C77&lt;&gt;"",ROW()-2,"")</f>
        <v/>
      </c>
      <c r="B204" s="157">
        <f>IF(分析!C77&lt;&gt;"",HYPERLINK("https://kabutan.jp/stock/?code="&amp;分析!C77,"株探"),"")</f>
        <v/>
      </c>
      <c r="C204" s="603">
        <f>IF(分析!C77&lt;&gt;"",分析!C77,"")</f>
        <v/>
      </c>
      <c r="D204" s="159">
        <f>IF(分析!D77&lt;&gt;"",分析!D77,"")</f>
        <v/>
      </c>
      <c r="E204" s="160">
        <f>IF(分析!E77&lt;&gt;"",分析!E77,"")</f>
        <v/>
      </c>
      <c r="F204" s="161">
        <f>IF(分析!F77&lt;&gt;"",分析!F77,"")</f>
        <v/>
      </c>
      <c r="G204" s="161">
        <f>IF(分析!H77&lt;&gt;"",分析!H77,"")</f>
        <v/>
      </c>
      <c r="H204" s="161">
        <f>IF(分析!I77&lt;&gt;"",分析!I77,"")</f>
        <v/>
      </c>
      <c r="I204" s="161">
        <f>IF(分析!J77&lt;&gt;"",分析!J77,"")</f>
        <v/>
      </c>
      <c r="J204" s="161">
        <f>IF(分析!AB77&lt;&gt;"",分析!AB77,"")</f>
        <v/>
      </c>
      <c r="K204" s="161">
        <f>IF(分析!AC77&lt;&gt;"",分析!AC77,"")</f>
        <v/>
      </c>
      <c r="L204" s="161">
        <f>IF(分析!K77&lt;&gt;"",分析!K77,"")</f>
        <v/>
      </c>
      <c r="M204" s="156">
        <f>IF(分析!P77&lt;&gt;"",分析!P77,"")</f>
        <v/>
      </c>
      <c r="N204" s="604">
        <f>IF(分析!O77&lt;&gt;"",分析!O77,"")</f>
        <v/>
      </c>
      <c r="O204" s="163">
        <f>IF(分析!X77&lt;&gt;"",分析!X77,"")</f>
        <v/>
      </c>
      <c r="P204" s="605">
        <f>IF(分析!L77&lt;&gt;"",分析!L77,"")</f>
        <v/>
      </c>
      <c r="Q204" s="161">
        <f>IF(分析!S77&lt;&gt;"",分析!S77,"")</f>
        <v/>
      </c>
      <c r="R204" s="161">
        <f>IF(分析!R77&lt;&gt;"",分析!R77,"")</f>
        <v/>
      </c>
      <c r="S204" s="156">
        <f>IF(分析!AA77&lt;&gt;"",分析!AA77,"")</f>
        <v/>
      </c>
      <c r="T204" s="606">
        <f>IF(分析!Z77&lt;&gt;"",分析!Z77,"")</f>
        <v/>
      </c>
      <c r="U204" s="156">
        <f>IF(分析!V77&lt;&gt;"",分析!V77,"")</f>
        <v/>
      </c>
      <c r="V204" s="607">
        <f>IF(分析!W77&lt;&gt;"",分析!W77,"")</f>
        <v/>
      </c>
      <c r="W204" s="167">
        <f>IF(分析!AD77&lt;&gt;"",分析!AD77,"")</f>
        <v/>
      </c>
      <c r="X204" s="168">
        <f>IF(分析!AE77&lt;&gt;"",分析!AE77,"")</f>
        <v/>
      </c>
      <c r="Y204" s="169">
        <f>IF(分析!T77&lt;&gt;"",分析!T77,"")</f>
        <v/>
      </c>
      <c r="Z204" s="155">
        <f>IF(分析!Y77&lt;&gt;"",分析!Y77,"")</f>
        <v/>
      </c>
    </row>
    <row r="205" ht="21.95" customHeight="1" s="574">
      <c r="A205" s="141">
        <f>IF(分析!C44&lt;&gt;"",ROW()-2,"")</f>
        <v/>
      </c>
      <c r="B205" s="142">
        <f>IF(分析!C44&lt;&gt;"",HYPERLINK("https://kabutan.jp/stock/?code="&amp;分析!C44,"株探"),"")</f>
        <v/>
      </c>
      <c r="C205" s="598">
        <f>IF(分析!C44&lt;&gt;"",分析!C44,"")</f>
        <v/>
      </c>
      <c r="D205" s="144">
        <f>IF(分析!D44&lt;&gt;"",分析!D44,"")</f>
        <v/>
      </c>
      <c r="E205" s="145">
        <f>IF(分析!E44&lt;&gt;"",分析!E44,"")</f>
        <v/>
      </c>
      <c r="F205" s="146">
        <f>IF(分析!F44&lt;&gt;"",分析!F44,"")</f>
        <v/>
      </c>
      <c r="G205" s="146">
        <f>IF(分析!H44&lt;&gt;"",分析!H44,"")</f>
        <v/>
      </c>
      <c r="H205" s="146">
        <f>IF(分析!I44&lt;&gt;"",分析!I44,"")</f>
        <v/>
      </c>
      <c r="I205" s="146">
        <f>IF(分析!J44&lt;&gt;"",分析!J44,"")</f>
        <v/>
      </c>
      <c r="J205" s="146">
        <f>IF(分析!AB44&lt;&gt;"",分析!AB44,"")</f>
        <v/>
      </c>
      <c r="K205" s="146">
        <f>IF(分析!AC44&lt;&gt;"",分析!AC44,"")</f>
        <v/>
      </c>
      <c r="L205" s="146">
        <f>IF(分析!K44&lt;&gt;"",分析!K44,"")</f>
        <v/>
      </c>
      <c r="M205" s="141">
        <f>IF(分析!P44&lt;&gt;"",分析!P44,"")</f>
        <v/>
      </c>
      <c r="N205" s="599">
        <f>IF(分析!O44&lt;&gt;"",分析!O44,"")</f>
        <v/>
      </c>
      <c r="O205" s="148">
        <f>IF(分析!X44&lt;&gt;"",分析!X44,"")</f>
        <v/>
      </c>
      <c r="P205" s="600">
        <f>IF(分析!L44&lt;&gt;"",分析!L44,"")</f>
        <v/>
      </c>
      <c r="Q205" s="146">
        <f>IF(分析!S44&lt;&gt;"",分析!S44,"")</f>
        <v/>
      </c>
      <c r="R205" s="146">
        <f>IF(分析!R44&lt;&gt;"",分析!R44,"")</f>
        <v/>
      </c>
      <c r="S205" s="141">
        <f>IF(分析!AA44&lt;&gt;"",分析!AA44,"")</f>
        <v/>
      </c>
      <c r="T205" s="601">
        <f>IF(分析!Z44&lt;&gt;"",分析!Z44,"")</f>
        <v/>
      </c>
      <c r="U205" s="141">
        <f>IF(分析!V44&lt;&gt;"",分析!V44,"")</f>
        <v/>
      </c>
      <c r="V205" s="602">
        <f>IF(分析!W44&lt;&gt;"",分析!W44,"")</f>
        <v/>
      </c>
      <c r="W205" s="152">
        <f>IF(分析!AD44&lt;&gt;"",分析!AD44,"")</f>
        <v/>
      </c>
      <c r="X205" s="153">
        <f>IF(分析!AE44&lt;&gt;"",分析!AE44,"")</f>
        <v/>
      </c>
      <c r="Y205" s="154">
        <f>IF(分析!T44&lt;&gt;"",分析!T44,"")</f>
        <v/>
      </c>
      <c r="Z205" s="155">
        <f>IF(分析!Y44&lt;&gt;"",分析!Y44,"")</f>
        <v/>
      </c>
    </row>
    <row r="206" ht="21.95" customHeight="1" s="574">
      <c r="A206" s="141">
        <f>IF(分析!C36&lt;&gt;"",ROW()-2,"")</f>
        <v/>
      </c>
      <c r="B206" s="142">
        <f>IF(分析!C36&lt;&gt;"",HYPERLINK("https://kabutan.jp/stock/?code="&amp;分析!C36,"株探"),"")</f>
        <v/>
      </c>
      <c r="C206" s="598">
        <f>IF(分析!C36&lt;&gt;"",分析!C36,"")</f>
        <v/>
      </c>
      <c r="D206" s="144">
        <f>IF(分析!D36&lt;&gt;"",分析!D36,"")</f>
        <v/>
      </c>
      <c r="E206" s="145">
        <f>IF(分析!E36&lt;&gt;"",分析!E36,"")</f>
        <v/>
      </c>
      <c r="F206" s="146">
        <f>IF(分析!F36&lt;&gt;"",分析!F36,"")</f>
        <v/>
      </c>
      <c r="G206" s="146">
        <f>IF(分析!H36&lt;&gt;"",分析!H36,"")</f>
        <v/>
      </c>
      <c r="H206" s="146">
        <f>IF(分析!I36&lt;&gt;"",分析!I36,"")</f>
        <v/>
      </c>
      <c r="I206" s="146">
        <f>IF(分析!J36&lt;&gt;"",分析!J36,"")</f>
        <v/>
      </c>
      <c r="J206" s="146">
        <f>IF(分析!AB36&lt;&gt;"",分析!AB36,"")</f>
        <v/>
      </c>
      <c r="K206" s="146">
        <f>IF(分析!AC36&lt;&gt;"",分析!AC36,"")</f>
        <v/>
      </c>
      <c r="L206" s="146">
        <f>IF(分析!K36&lt;&gt;"",分析!K36,"")</f>
        <v/>
      </c>
      <c r="M206" s="141">
        <f>IF(分析!P36&lt;&gt;"",分析!P36,"")</f>
        <v/>
      </c>
      <c r="N206" s="599">
        <f>IF(分析!O36&lt;&gt;"",分析!O36,"")</f>
        <v/>
      </c>
      <c r="O206" s="148">
        <f>IF(分析!X36&lt;&gt;"",分析!X36,"")</f>
        <v/>
      </c>
      <c r="P206" s="600">
        <f>IF(分析!L36&lt;&gt;"",分析!L36,"")</f>
        <v/>
      </c>
      <c r="Q206" s="146">
        <f>IF(分析!S36&lt;&gt;"",分析!S36,"")</f>
        <v/>
      </c>
      <c r="R206" s="146">
        <f>IF(分析!R36&lt;&gt;"",分析!R36,"")</f>
        <v/>
      </c>
      <c r="S206" s="141">
        <f>IF(分析!AA36&lt;&gt;"",分析!AA36,"")</f>
        <v/>
      </c>
      <c r="T206" s="601">
        <f>IF(分析!Z36&lt;&gt;"",分析!Z36,"")</f>
        <v/>
      </c>
      <c r="U206" s="141">
        <f>IF(分析!V36&lt;&gt;"",分析!V36,"")</f>
        <v/>
      </c>
      <c r="V206" s="602">
        <f>IF(分析!W36&lt;&gt;"",分析!W36,"")</f>
        <v/>
      </c>
      <c r="W206" s="152">
        <f>IF(分析!AD36&lt;&gt;"",分析!AD36,"")</f>
        <v/>
      </c>
      <c r="X206" s="153">
        <f>IF(分析!AE36&lt;&gt;"",分析!AE36,"")</f>
        <v/>
      </c>
      <c r="Y206" s="154">
        <f>IF(分析!T36&lt;&gt;"",分析!T36,"")</f>
        <v/>
      </c>
      <c r="Z206" s="155">
        <f>IF(分析!Y36&lt;&gt;"",分析!Y36,"")</f>
        <v/>
      </c>
    </row>
    <row r="207" ht="21.95" customHeight="1" s="574">
      <c r="A207" s="156">
        <f>IF(分析!C207&lt;&gt;"",ROW()-2,"")</f>
        <v/>
      </c>
      <c r="B207" s="157">
        <f>IF(分析!C207&lt;&gt;"",HYPERLINK("https://kabutan.jp/stock/?code="&amp;分析!C207,"株探"),"")</f>
        <v/>
      </c>
      <c r="C207" s="603">
        <f>IF(分析!C207&lt;&gt;"",分析!C207,"")</f>
        <v/>
      </c>
      <c r="D207" s="159">
        <f>IF(分析!D207&lt;&gt;"",分析!D207,"")</f>
        <v/>
      </c>
      <c r="E207" s="160">
        <f>IF(分析!E207&lt;&gt;"",分析!E207,"")</f>
        <v/>
      </c>
      <c r="F207" s="161">
        <f>IF(分析!F207&lt;&gt;"",分析!F207,"")</f>
        <v/>
      </c>
      <c r="G207" s="161">
        <f>IF(分析!H207&lt;&gt;"",分析!H207,"")</f>
        <v/>
      </c>
      <c r="H207" s="161">
        <f>IF(分析!I207&lt;&gt;"",分析!I207,"")</f>
        <v/>
      </c>
      <c r="I207" s="161">
        <f>IF(分析!J207&lt;&gt;"",分析!J207,"")</f>
        <v/>
      </c>
      <c r="J207" s="161">
        <f>IF(分析!AB207&lt;&gt;"",分析!AB207,"")</f>
        <v/>
      </c>
      <c r="K207" s="161">
        <f>IF(分析!AC207&lt;&gt;"",分析!AC207,"")</f>
        <v/>
      </c>
      <c r="L207" s="161">
        <f>IF(分析!K207&lt;&gt;"",分析!K207,"")</f>
        <v/>
      </c>
      <c r="M207" s="156">
        <f>IF(分析!P207&lt;&gt;"",分析!P207,"")</f>
        <v/>
      </c>
      <c r="N207" s="604">
        <f>IF(分析!O207&lt;&gt;"",分析!O207,"")</f>
        <v/>
      </c>
      <c r="O207" s="163">
        <f>IF(分析!X207&lt;&gt;"",分析!X207,"")</f>
        <v/>
      </c>
      <c r="P207" s="605">
        <f>IF(分析!L207&lt;&gt;"",分析!L207,"")</f>
        <v/>
      </c>
      <c r="Q207" s="161">
        <f>IF(分析!S207&lt;&gt;"",分析!S207,"")</f>
        <v/>
      </c>
      <c r="R207" s="161">
        <f>IF(分析!R207&lt;&gt;"",分析!R207,"")</f>
        <v/>
      </c>
      <c r="S207" s="156">
        <f>IF(分析!AA207&lt;&gt;"",分析!AA207,"")</f>
        <v/>
      </c>
      <c r="T207" s="606">
        <f>IF(分析!Z207&lt;&gt;"",分析!Z207,"")</f>
        <v/>
      </c>
      <c r="U207" s="156">
        <f>IF(分析!V207&lt;&gt;"",分析!V207,"")</f>
        <v/>
      </c>
      <c r="V207" s="607">
        <f>IF(分析!W207&lt;&gt;"",分析!W207,"")</f>
        <v/>
      </c>
      <c r="W207" s="167">
        <f>IF(分析!AD207&lt;&gt;"",分析!AD207,"")</f>
        <v/>
      </c>
      <c r="X207" s="168">
        <f>IF(分析!AE207&lt;&gt;"",分析!AE207,"")</f>
        <v/>
      </c>
      <c r="Y207" s="169">
        <f>IF(分析!T207&lt;&gt;"",分析!T207,"")</f>
        <v/>
      </c>
      <c r="Z207" s="155">
        <f>IF(分析!Y207&lt;&gt;"",分析!Y207,"")</f>
        <v/>
      </c>
    </row>
    <row r="208" ht="21.95" customHeight="1" s="574">
      <c r="A208" s="141">
        <f>IF(分析!C208&lt;&gt;"",ROW()-2,"")</f>
        <v/>
      </c>
      <c r="B208" s="142">
        <f>IF(分析!C208&lt;&gt;"",HYPERLINK("https://kabutan.jp/stock/?code="&amp;分析!C208,"株探"),"")</f>
        <v/>
      </c>
      <c r="C208" s="598">
        <f>IF(分析!C208&lt;&gt;"",分析!C208,"")</f>
        <v/>
      </c>
      <c r="D208" s="144">
        <f>IF(分析!D208&lt;&gt;"",分析!D208,"")</f>
        <v/>
      </c>
      <c r="E208" s="145">
        <f>IF(分析!E208&lt;&gt;"",分析!E208,"")</f>
        <v/>
      </c>
      <c r="F208" s="146">
        <f>IF(分析!F208&lt;&gt;"",分析!F208,"")</f>
        <v/>
      </c>
      <c r="G208" s="146">
        <f>IF(分析!H208&lt;&gt;"",分析!H208,"")</f>
        <v/>
      </c>
      <c r="H208" s="146">
        <f>IF(分析!I208&lt;&gt;"",分析!I208,"")</f>
        <v/>
      </c>
      <c r="I208" s="146">
        <f>IF(分析!J208&lt;&gt;"",分析!J208,"")</f>
        <v/>
      </c>
      <c r="J208" s="146">
        <f>IF(分析!AB208&lt;&gt;"",分析!AB208,"")</f>
        <v/>
      </c>
      <c r="K208" s="146">
        <f>IF(分析!AC208&lt;&gt;"",分析!AC208,"")</f>
        <v/>
      </c>
      <c r="L208" s="146">
        <f>IF(分析!K208&lt;&gt;"",分析!K208,"")</f>
        <v/>
      </c>
      <c r="M208" s="141">
        <f>IF(分析!P208&lt;&gt;"",分析!P208,"")</f>
        <v/>
      </c>
      <c r="N208" s="599">
        <f>IF(分析!O208&lt;&gt;"",分析!O208,"")</f>
        <v/>
      </c>
      <c r="O208" s="148">
        <f>IF(分析!X208&lt;&gt;"",分析!X208,"")</f>
        <v/>
      </c>
      <c r="P208" s="600">
        <f>IF(分析!L208&lt;&gt;"",分析!L208,"")</f>
        <v/>
      </c>
      <c r="Q208" s="146">
        <f>IF(分析!S208&lt;&gt;"",分析!S208,"")</f>
        <v/>
      </c>
      <c r="R208" s="146">
        <f>IF(分析!R208&lt;&gt;"",分析!R208,"")</f>
        <v/>
      </c>
      <c r="S208" s="141">
        <f>IF(分析!AA208&lt;&gt;"",分析!AA208,"")</f>
        <v/>
      </c>
      <c r="T208" s="601">
        <f>IF(分析!Z208&lt;&gt;"",分析!Z208,"")</f>
        <v/>
      </c>
      <c r="U208" s="141">
        <f>IF(分析!V208&lt;&gt;"",分析!V208,"")</f>
        <v/>
      </c>
      <c r="V208" s="602">
        <f>IF(分析!W208&lt;&gt;"",分析!W208,"")</f>
        <v/>
      </c>
      <c r="W208" s="152">
        <f>IF(分析!AD208&lt;&gt;"",分析!AD208,"")</f>
        <v/>
      </c>
      <c r="X208" s="153">
        <f>IF(分析!AE208&lt;&gt;"",分析!AE208,"")</f>
        <v/>
      </c>
      <c r="Y208" s="154">
        <f>IF(分析!T208&lt;&gt;"",分析!T208,"")</f>
        <v/>
      </c>
      <c r="Z208" s="155">
        <f>IF(分析!Y208&lt;&gt;"",分析!Y208,"")</f>
        <v/>
      </c>
    </row>
    <row r="209" ht="21.95" customHeight="1" s="574">
      <c r="A209" s="156">
        <f>IF(分析!C209&lt;&gt;"",ROW()-2,"")</f>
        <v/>
      </c>
      <c r="B209" s="157">
        <f>IF(分析!C209&lt;&gt;"",HYPERLINK("https://kabutan.jp/stock/?code="&amp;分析!C209,"株探"),"")</f>
        <v/>
      </c>
      <c r="C209" s="603">
        <f>IF(分析!C209&lt;&gt;"",分析!C209,"")</f>
        <v/>
      </c>
      <c r="D209" s="159">
        <f>IF(分析!D209&lt;&gt;"",分析!D209,"")</f>
        <v/>
      </c>
      <c r="E209" s="160">
        <f>IF(分析!E209&lt;&gt;"",分析!E209,"")</f>
        <v/>
      </c>
      <c r="F209" s="161">
        <f>IF(分析!F209&lt;&gt;"",分析!F209,"")</f>
        <v/>
      </c>
      <c r="G209" s="161">
        <f>IF(分析!H209&lt;&gt;"",分析!H209,"")</f>
        <v/>
      </c>
      <c r="H209" s="161">
        <f>IF(分析!I209&lt;&gt;"",分析!I209,"")</f>
        <v/>
      </c>
      <c r="I209" s="161">
        <f>IF(分析!J209&lt;&gt;"",分析!J209,"")</f>
        <v/>
      </c>
      <c r="J209" s="161">
        <f>IF(分析!AB209&lt;&gt;"",分析!AB209,"")</f>
        <v/>
      </c>
      <c r="K209" s="161">
        <f>IF(分析!AC209&lt;&gt;"",分析!AC209,"")</f>
        <v/>
      </c>
      <c r="L209" s="161">
        <f>IF(分析!K209&lt;&gt;"",分析!K209,"")</f>
        <v/>
      </c>
      <c r="M209" s="156">
        <f>IF(分析!P209&lt;&gt;"",分析!P209,"")</f>
        <v/>
      </c>
      <c r="N209" s="604">
        <f>IF(分析!O209&lt;&gt;"",分析!O209,"")</f>
        <v/>
      </c>
      <c r="O209" s="163">
        <f>IF(分析!X209&lt;&gt;"",分析!X209,"")</f>
        <v/>
      </c>
      <c r="P209" s="605">
        <f>IF(分析!L209&lt;&gt;"",分析!L209,"")</f>
        <v/>
      </c>
      <c r="Q209" s="161">
        <f>IF(分析!S209&lt;&gt;"",分析!S209,"")</f>
        <v/>
      </c>
      <c r="R209" s="161">
        <f>IF(分析!R209&lt;&gt;"",分析!R209,"")</f>
        <v/>
      </c>
      <c r="S209" s="156">
        <f>IF(分析!AA209&lt;&gt;"",分析!AA209,"")</f>
        <v/>
      </c>
      <c r="T209" s="606">
        <f>IF(分析!Z209&lt;&gt;"",分析!Z209,"")</f>
        <v/>
      </c>
      <c r="U209" s="156">
        <f>IF(分析!V209&lt;&gt;"",分析!V209,"")</f>
        <v/>
      </c>
      <c r="V209" s="607">
        <f>IF(分析!W209&lt;&gt;"",分析!W209,"")</f>
        <v/>
      </c>
      <c r="W209" s="167">
        <f>IF(分析!AD209&lt;&gt;"",分析!AD209,"")</f>
        <v/>
      </c>
      <c r="X209" s="168">
        <f>IF(分析!AE209&lt;&gt;"",分析!AE209,"")</f>
        <v/>
      </c>
      <c r="Y209" s="169">
        <f>IF(分析!T209&lt;&gt;"",分析!T209,"")</f>
        <v/>
      </c>
      <c r="Z209" s="155">
        <f>IF(分析!Y209&lt;&gt;"",分析!Y209,"")</f>
        <v/>
      </c>
    </row>
    <row r="210" ht="21.95" customHeight="1" s="574">
      <c r="A210" s="141">
        <f>IF(分析!C210&lt;&gt;"",ROW()-2,"")</f>
        <v/>
      </c>
      <c r="B210" s="142">
        <f>IF(分析!C210&lt;&gt;"",HYPERLINK("https://kabutan.jp/stock/?code="&amp;分析!C210,"株探"),"")</f>
        <v/>
      </c>
      <c r="C210" s="598">
        <f>IF(分析!C210&lt;&gt;"",分析!C210,"")</f>
        <v/>
      </c>
      <c r="D210" s="144">
        <f>IF(分析!D210&lt;&gt;"",分析!D210,"")</f>
        <v/>
      </c>
      <c r="E210" s="145">
        <f>IF(分析!E210&lt;&gt;"",分析!E210,"")</f>
        <v/>
      </c>
      <c r="F210" s="146">
        <f>IF(分析!F210&lt;&gt;"",分析!F210,"")</f>
        <v/>
      </c>
      <c r="G210" s="146">
        <f>IF(分析!H210&lt;&gt;"",分析!H210,"")</f>
        <v/>
      </c>
      <c r="H210" s="146">
        <f>IF(分析!I210&lt;&gt;"",分析!I210,"")</f>
        <v/>
      </c>
      <c r="I210" s="146">
        <f>IF(分析!J210&lt;&gt;"",分析!J210,"")</f>
        <v/>
      </c>
      <c r="J210" s="146">
        <f>IF(分析!AB210&lt;&gt;"",分析!AB210,"")</f>
        <v/>
      </c>
      <c r="K210" s="146">
        <f>IF(分析!AC210&lt;&gt;"",分析!AC210,"")</f>
        <v/>
      </c>
      <c r="L210" s="146">
        <f>IF(分析!K210&lt;&gt;"",分析!K210,"")</f>
        <v/>
      </c>
      <c r="M210" s="141">
        <f>IF(分析!P210&lt;&gt;"",分析!P210,"")</f>
        <v/>
      </c>
      <c r="N210" s="599">
        <f>IF(分析!O210&lt;&gt;"",分析!O210,"")</f>
        <v/>
      </c>
      <c r="O210" s="148">
        <f>IF(分析!X210&lt;&gt;"",分析!X210,"")</f>
        <v/>
      </c>
      <c r="P210" s="600">
        <f>IF(分析!L210&lt;&gt;"",分析!L210,"")</f>
        <v/>
      </c>
      <c r="Q210" s="146">
        <f>IF(分析!S210&lt;&gt;"",分析!S210,"")</f>
        <v/>
      </c>
      <c r="R210" s="146">
        <f>IF(分析!R210&lt;&gt;"",分析!R210,"")</f>
        <v/>
      </c>
      <c r="S210" s="141">
        <f>IF(分析!AA210&lt;&gt;"",分析!AA210,"")</f>
        <v/>
      </c>
      <c r="T210" s="601">
        <f>IF(分析!Z210&lt;&gt;"",分析!Z210,"")</f>
        <v/>
      </c>
      <c r="U210" s="141">
        <f>IF(分析!V210&lt;&gt;"",分析!V210,"")</f>
        <v/>
      </c>
      <c r="V210" s="602">
        <f>IF(分析!W210&lt;&gt;"",分析!W210,"")</f>
        <v/>
      </c>
      <c r="W210" s="152">
        <f>IF(分析!AD210&lt;&gt;"",分析!AD210,"")</f>
        <v/>
      </c>
      <c r="X210" s="153">
        <f>IF(分析!AE210&lt;&gt;"",分析!AE210,"")</f>
        <v/>
      </c>
      <c r="Y210" s="154">
        <f>IF(分析!T210&lt;&gt;"",分析!T210,"")</f>
        <v/>
      </c>
      <c r="Z210" s="155">
        <f>IF(分析!Y210&lt;&gt;"",分析!Y210,"")</f>
        <v/>
      </c>
    </row>
    <row r="211" ht="21.95" customHeight="1" s="574">
      <c r="A211" s="156">
        <f>IF(分析!C211&lt;&gt;"",ROW()-2,"")</f>
        <v/>
      </c>
      <c r="B211" s="157">
        <f>IF(分析!C211&lt;&gt;"",HYPERLINK("https://kabutan.jp/stock/?code="&amp;分析!C211,"株探"),"")</f>
        <v/>
      </c>
      <c r="C211" s="603">
        <f>IF(分析!C211&lt;&gt;"",分析!C211,"")</f>
        <v/>
      </c>
      <c r="D211" s="159">
        <f>IF(分析!D211&lt;&gt;"",分析!D211,"")</f>
        <v/>
      </c>
      <c r="E211" s="160">
        <f>IF(分析!E211&lt;&gt;"",分析!E211,"")</f>
        <v/>
      </c>
      <c r="F211" s="161">
        <f>IF(分析!F211&lt;&gt;"",分析!F211,"")</f>
        <v/>
      </c>
      <c r="G211" s="161">
        <f>IF(分析!H211&lt;&gt;"",分析!H211,"")</f>
        <v/>
      </c>
      <c r="H211" s="161">
        <f>IF(分析!I211&lt;&gt;"",分析!I211,"")</f>
        <v/>
      </c>
      <c r="I211" s="161">
        <f>IF(分析!J211&lt;&gt;"",分析!J211,"")</f>
        <v/>
      </c>
      <c r="J211" s="161">
        <f>IF(分析!AB211&lt;&gt;"",分析!AB211,"")</f>
        <v/>
      </c>
      <c r="K211" s="161">
        <f>IF(分析!AC211&lt;&gt;"",分析!AC211,"")</f>
        <v/>
      </c>
      <c r="L211" s="161">
        <f>IF(分析!K211&lt;&gt;"",分析!K211,"")</f>
        <v/>
      </c>
      <c r="M211" s="156">
        <f>IF(分析!P211&lt;&gt;"",分析!P211,"")</f>
        <v/>
      </c>
      <c r="N211" s="604">
        <f>IF(分析!O211&lt;&gt;"",分析!O211,"")</f>
        <v/>
      </c>
      <c r="O211" s="163">
        <f>IF(分析!X211&lt;&gt;"",分析!X211,"")</f>
        <v/>
      </c>
      <c r="P211" s="605">
        <f>IF(分析!L211&lt;&gt;"",分析!L211,"")</f>
        <v/>
      </c>
      <c r="Q211" s="161">
        <f>IF(分析!S211&lt;&gt;"",分析!S211,"")</f>
        <v/>
      </c>
      <c r="R211" s="161">
        <f>IF(分析!R211&lt;&gt;"",分析!R211,"")</f>
        <v/>
      </c>
      <c r="S211" s="156">
        <f>IF(分析!AA211&lt;&gt;"",分析!AA211,"")</f>
        <v/>
      </c>
      <c r="T211" s="606">
        <f>IF(分析!Z211&lt;&gt;"",分析!Z211,"")</f>
        <v/>
      </c>
      <c r="U211" s="156">
        <f>IF(分析!V211&lt;&gt;"",分析!V211,"")</f>
        <v/>
      </c>
      <c r="V211" s="607">
        <f>IF(分析!W211&lt;&gt;"",分析!W211,"")</f>
        <v/>
      </c>
      <c r="W211" s="167">
        <f>IF(分析!AD211&lt;&gt;"",分析!AD211,"")</f>
        <v/>
      </c>
      <c r="X211" s="168">
        <f>IF(分析!AE211&lt;&gt;"",分析!AE211,"")</f>
        <v/>
      </c>
      <c r="Y211" s="169">
        <f>IF(分析!T211&lt;&gt;"",分析!T211,"")</f>
        <v/>
      </c>
      <c r="Z211" s="155">
        <f>IF(分析!Y211&lt;&gt;"",分析!Y211,"")</f>
        <v/>
      </c>
    </row>
    <row r="212" ht="21.95" customHeight="1" s="574">
      <c r="A212" s="141">
        <f>IF(分析!C212&lt;&gt;"",ROW()-2,"")</f>
        <v/>
      </c>
      <c r="B212" s="142">
        <f>IF(分析!C212&lt;&gt;"",HYPERLINK("https://kabutan.jp/stock/?code="&amp;分析!C212,"株探"),"")</f>
        <v/>
      </c>
      <c r="C212" s="598">
        <f>IF(分析!C212&lt;&gt;"",分析!C212,"")</f>
        <v/>
      </c>
      <c r="D212" s="144">
        <f>IF(分析!D212&lt;&gt;"",分析!D212,"")</f>
        <v/>
      </c>
      <c r="E212" s="145">
        <f>IF(分析!E212&lt;&gt;"",分析!E212,"")</f>
        <v/>
      </c>
      <c r="F212" s="146">
        <f>IF(分析!F212&lt;&gt;"",分析!F212,"")</f>
        <v/>
      </c>
      <c r="G212" s="146">
        <f>IF(分析!H212&lt;&gt;"",分析!H212,"")</f>
        <v/>
      </c>
      <c r="H212" s="146">
        <f>IF(分析!I212&lt;&gt;"",分析!I212,"")</f>
        <v/>
      </c>
      <c r="I212" s="146">
        <f>IF(分析!J212&lt;&gt;"",分析!J212,"")</f>
        <v/>
      </c>
      <c r="J212" s="146">
        <f>IF(分析!AB212&lt;&gt;"",分析!AB212,"")</f>
        <v/>
      </c>
      <c r="K212" s="146">
        <f>IF(分析!AC212&lt;&gt;"",分析!AC212,"")</f>
        <v/>
      </c>
      <c r="L212" s="146">
        <f>IF(分析!K212&lt;&gt;"",分析!K212,"")</f>
        <v/>
      </c>
      <c r="M212" s="141">
        <f>IF(分析!P212&lt;&gt;"",分析!P212,"")</f>
        <v/>
      </c>
      <c r="N212" s="599">
        <f>IF(分析!O212&lt;&gt;"",分析!O212,"")</f>
        <v/>
      </c>
      <c r="O212" s="148">
        <f>IF(分析!X212&lt;&gt;"",分析!X212,"")</f>
        <v/>
      </c>
      <c r="P212" s="600">
        <f>IF(分析!L212&lt;&gt;"",分析!L212,"")</f>
        <v/>
      </c>
      <c r="Q212" s="146">
        <f>IF(分析!S212&lt;&gt;"",分析!S212,"")</f>
        <v/>
      </c>
      <c r="R212" s="146">
        <f>IF(分析!R212&lt;&gt;"",分析!R212,"")</f>
        <v/>
      </c>
      <c r="S212" s="141">
        <f>IF(分析!AA212&lt;&gt;"",分析!AA212,"")</f>
        <v/>
      </c>
      <c r="T212" s="601">
        <f>IF(分析!Z212&lt;&gt;"",分析!Z212,"")</f>
        <v/>
      </c>
      <c r="U212" s="141">
        <f>IF(分析!V212&lt;&gt;"",分析!V212,"")</f>
        <v/>
      </c>
      <c r="V212" s="602">
        <f>IF(分析!W212&lt;&gt;"",分析!W212,"")</f>
        <v/>
      </c>
      <c r="W212" s="152">
        <f>IF(分析!AD212&lt;&gt;"",分析!AD212,"")</f>
        <v/>
      </c>
      <c r="X212" s="153">
        <f>IF(分析!AE212&lt;&gt;"",分析!AE212,"")</f>
        <v/>
      </c>
      <c r="Y212" s="154">
        <f>IF(分析!T212&lt;&gt;"",分析!T212,"")</f>
        <v/>
      </c>
      <c r="Z212" s="155">
        <f>IF(分析!Y212&lt;&gt;"",分析!Y212,"")</f>
        <v/>
      </c>
    </row>
    <row r="213" ht="21.95" customHeight="1" s="574">
      <c r="A213" s="156">
        <f>IF(分析!C213&lt;&gt;"",ROW()-2,"")</f>
        <v/>
      </c>
      <c r="B213" s="157">
        <f>IF(分析!C213&lt;&gt;"",HYPERLINK("https://kabutan.jp/stock/?code="&amp;分析!C213,"株探"),"")</f>
        <v/>
      </c>
      <c r="C213" s="603">
        <f>IF(分析!C213&lt;&gt;"",分析!C213,"")</f>
        <v/>
      </c>
      <c r="D213" s="159">
        <f>IF(分析!D213&lt;&gt;"",分析!D213,"")</f>
        <v/>
      </c>
      <c r="E213" s="160">
        <f>IF(分析!E213&lt;&gt;"",分析!E213,"")</f>
        <v/>
      </c>
      <c r="F213" s="161">
        <f>IF(分析!F213&lt;&gt;"",分析!F213,"")</f>
        <v/>
      </c>
      <c r="G213" s="161">
        <f>IF(分析!H213&lt;&gt;"",分析!H213,"")</f>
        <v/>
      </c>
      <c r="H213" s="161">
        <f>IF(分析!I213&lt;&gt;"",分析!I213,"")</f>
        <v/>
      </c>
      <c r="I213" s="161">
        <f>IF(分析!J213&lt;&gt;"",分析!J213,"")</f>
        <v/>
      </c>
      <c r="J213" s="161">
        <f>IF(分析!AB213&lt;&gt;"",分析!AB213,"")</f>
        <v/>
      </c>
      <c r="K213" s="161">
        <f>IF(分析!AC213&lt;&gt;"",分析!AC213,"")</f>
        <v/>
      </c>
      <c r="L213" s="161">
        <f>IF(分析!K213&lt;&gt;"",分析!K213,"")</f>
        <v/>
      </c>
      <c r="M213" s="156">
        <f>IF(分析!P213&lt;&gt;"",分析!P213,"")</f>
        <v/>
      </c>
      <c r="N213" s="604">
        <f>IF(分析!O213&lt;&gt;"",分析!O213,"")</f>
        <v/>
      </c>
      <c r="O213" s="163">
        <f>IF(分析!X213&lt;&gt;"",分析!X213,"")</f>
        <v/>
      </c>
      <c r="P213" s="605">
        <f>IF(分析!L213&lt;&gt;"",分析!L213,"")</f>
        <v/>
      </c>
      <c r="Q213" s="161">
        <f>IF(分析!S213&lt;&gt;"",分析!S213,"")</f>
        <v/>
      </c>
      <c r="R213" s="161">
        <f>IF(分析!R213&lt;&gt;"",分析!R213,"")</f>
        <v/>
      </c>
      <c r="S213" s="156">
        <f>IF(分析!AA213&lt;&gt;"",分析!AA213,"")</f>
        <v/>
      </c>
      <c r="T213" s="606">
        <f>IF(分析!Z213&lt;&gt;"",分析!Z213,"")</f>
        <v/>
      </c>
      <c r="U213" s="156">
        <f>IF(分析!V213&lt;&gt;"",分析!V213,"")</f>
        <v/>
      </c>
      <c r="V213" s="607">
        <f>IF(分析!W213&lt;&gt;"",分析!W213,"")</f>
        <v/>
      </c>
      <c r="W213" s="167">
        <f>IF(分析!AD213&lt;&gt;"",分析!AD213,"")</f>
        <v/>
      </c>
      <c r="X213" s="168">
        <f>IF(分析!AE213&lt;&gt;"",分析!AE213,"")</f>
        <v/>
      </c>
      <c r="Y213" s="169">
        <f>IF(分析!T213&lt;&gt;"",分析!T213,"")</f>
        <v/>
      </c>
      <c r="Z213" s="155">
        <f>IF(分析!Y213&lt;&gt;"",分析!Y213,"")</f>
        <v/>
      </c>
    </row>
    <row r="214" ht="21.95" customHeight="1" s="574">
      <c r="A214" s="141">
        <f>IF(分析!C214&lt;&gt;"",ROW()-2,"")</f>
        <v/>
      </c>
      <c r="B214" s="142">
        <f>IF(分析!C214&lt;&gt;"",HYPERLINK("https://kabutan.jp/stock/?code="&amp;分析!C214,"株探"),"")</f>
        <v/>
      </c>
      <c r="C214" s="598">
        <f>IF(分析!C214&lt;&gt;"",分析!C214,"")</f>
        <v/>
      </c>
      <c r="D214" s="144">
        <f>IF(分析!D214&lt;&gt;"",分析!D214,"")</f>
        <v/>
      </c>
      <c r="E214" s="145">
        <f>IF(分析!E214&lt;&gt;"",分析!E214,"")</f>
        <v/>
      </c>
      <c r="F214" s="146">
        <f>IF(分析!F214&lt;&gt;"",分析!F214,"")</f>
        <v/>
      </c>
      <c r="G214" s="146">
        <f>IF(分析!H214&lt;&gt;"",分析!H214,"")</f>
        <v/>
      </c>
      <c r="H214" s="146">
        <f>IF(分析!I214&lt;&gt;"",分析!I214,"")</f>
        <v/>
      </c>
      <c r="I214" s="146">
        <f>IF(分析!J214&lt;&gt;"",分析!J214,"")</f>
        <v/>
      </c>
      <c r="J214" s="146">
        <f>IF(分析!AB214&lt;&gt;"",分析!AB214,"")</f>
        <v/>
      </c>
      <c r="K214" s="146">
        <f>IF(分析!AC214&lt;&gt;"",分析!AC214,"")</f>
        <v/>
      </c>
      <c r="L214" s="146">
        <f>IF(分析!K214&lt;&gt;"",分析!K214,"")</f>
        <v/>
      </c>
      <c r="M214" s="141">
        <f>IF(分析!P214&lt;&gt;"",分析!P214,"")</f>
        <v/>
      </c>
      <c r="N214" s="599">
        <f>IF(分析!O214&lt;&gt;"",分析!O214,"")</f>
        <v/>
      </c>
      <c r="O214" s="148">
        <f>IF(分析!X214&lt;&gt;"",分析!X214,"")</f>
        <v/>
      </c>
      <c r="P214" s="600">
        <f>IF(分析!L214&lt;&gt;"",分析!L214,"")</f>
        <v/>
      </c>
      <c r="Q214" s="146">
        <f>IF(分析!S214&lt;&gt;"",分析!S214,"")</f>
        <v/>
      </c>
      <c r="R214" s="146">
        <f>IF(分析!R214&lt;&gt;"",分析!R214,"")</f>
        <v/>
      </c>
      <c r="S214" s="141">
        <f>IF(分析!AA214&lt;&gt;"",分析!AA214,"")</f>
        <v/>
      </c>
      <c r="T214" s="601">
        <f>IF(分析!Z214&lt;&gt;"",分析!Z214,"")</f>
        <v/>
      </c>
      <c r="U214" s="141">
        <f>IF(分析!V214&lt;&gt;"",分析!V214,"")</f>
        <v/>
      </c>
      <c r="V214" s="602">
        <f>IF(分析!W214&lt;&gt;"",分析!W214,"")</f>
        <v/>
      </c>
      <c r="W214" s="152">
        <f>IF(分析!AD214&lt;&gt;"",分析!AD214,"")</f>
        <v/>
      </c>
      <c r="X214" s="153">
        <f>IF(分析!AE214&lt;&gt;"",分析!AE214,"")</f>
        <v/>
      </c>
      <c r="Y214" s="154">
        <f>IF(分析!T214&lt;&gt;"",分析!T214,"")</f>
        <v/>
      </c>
      <c r="Z214" s="155">
        <f>IF(分析!Y214&lt;&gt;"",分析!Y214,"")</f>
        <v/>
      </c>
    </row>
    <row r="215" ht="21.95" customHeight="1" s="574">
      <c r="A215" s="156">
        <f>IF(分析!C215&lt;&gt;"",ROW()-2,"")</f>
        <v/>
      </c>
      <c r="B215" s="157">
        <f>IF(分析!C215&lt;&gt;"",HYPERLINK("https://kabutan.jp/stock/?code="&amp;分析!C215,"株探"),"")</f>
        <v/>
      </c>
      <c r="C215" s="603">
        <f>IF(分析!C215&lt;&gt;"",分析!C215,"")</f>
        <v/>
      </c>
      <c r="D215" s="159">
        <f>IF(分析!D215&lt;&gt;"",分析!D215,"")</f>
        <v/>
      </c>
      <c r="E215" s="160">
        <f>IF(分析!E215&lt;&gt;"",分析!E215,"")</f>
        <v/>
      </c>
      <c r="F215" s="161">
        <f>IF(分析!F215&lt;&gt;"",分析!F215,"")</f>
        <v/>
      </c>
      <c r="G215" s="161">
        <f>IF(分析!H215&lt;&gt;"",分析!H215,"")</f>
        <v/>
      </c>
      <c r="H215" s="161">
        <f>IF(分析!I215&lt;&gt;"",分析!I215,"")</f>
        <v/>
      </c>
      <c r="I215" s="161">
        <f>IF(分析!J215&lt;&gt;"",分析!J215,"")</f>
        <v/>
      </c>
      <c r="J215" s="161">
        <f>IF(分析!AB215&lt;&gt;"",分析!AB215,"")</f>
        <v/>
      </c>
      <c r="K215" s="161">
        <f>IF(分析!AC215&lt;&gt;"",分析!AC215,"")</f>
        <v/>
      </c>
      <c r="L215" s="161">
        <f>IF(分析!K215&lt;&gt;"",分析!K215,"")</f>
        <v/>
      </c>
      <c r="M215" s="156">
        <f>IF(分析!P215&lt;&gt;"",分析!P215,"")</f>
        <v/>
      </c>
      <c r="N215" s="604">
        <f>IF(分析!O215&lt;&gt;"",分析!O215,"")</f>
        <v/>
      </c>
      <c r="O215" s="163">
        <f>IF(分析!X215&lt;&gt;"",分析!X215,"")</f>
        <v/>
      </c>
      <c r="P215" s="605">
        <f>IF(分析!L215&lt;&gt;"",分析!L215,"")</f>
        <v/>
      </c>
      <c r="Q215" s="161">
        <f>IF(分析!S215&lt;&gt;"",分析!S215,"")</f>
        <v/>
      </c>
      <c r="R215" s="161">
        <f>IF(分析!R215&lt;&gt;"",分析!R215,"")</f>
        <v/>
      </c>
      <c r="S215" s="156">
        <f>IF(分析!AA215&lt;&gt;"",分析!AA215,"")</f>
        <v/>
      </c>
      <c r="T215" s="606">
        <f>IF(分析!Z215&lt;&gt;"",分析!Z215,"")</f>
        <v/>
      </c>
      <c r="U215" s="156">
        <f>IF(分析!V215&lt;&gt;"",分析!V215,"")</f>
        <v/>
      </c>
      <c r="V215" s="607">
        <f>IF(分析!W215&lt;&gt;"",分析!W215,"")</f>
        <v/>
      </c>
      <c r="W215" s="167">
        <f>IF(分析!AD215&lt;&gt;"",分析!AD215,"")</f>
        <v/>
      </c>
      <c r="X215" s="168">
        <f>IF(分析!AE215&lt;&gt;"",分析!AE215,"")</f>
        <v/>
      </c>
      <c r="Y215" s="169">
        <f>IF(分析!T215&lt;&gt;"",分析!T215,"")</f>
        <v/>
      </c>
      <c r="Z215" s="155">
        <f>IF(分析!Y215&lt;&gt;"",分析!Y215,"")</f>
        <v/>
      </c>
    </row>
    <row r="216" ht="21.95" customHeight="1" s="574">
      <c r="A216" s="141">
        <f>IF(分析!C216&lt;&gt;"",ROW()-2,"")</f>
        <v/>
      </c>
      <c r="B216" s="142">
        <f>IF(分析!C216&lt;&gt;"",HYPERLINK("https://kabutan.jp/stock/?code="&amp;分析!C216,"株探"),"")</f>
        <v/>
      </c>
      <c r="C216" s="598">
        <f>IF(分析!C216&lt;&gt;"",分析!C216,"")</f>
        <v/>
      </c>
      <c r="D216" s="144">
        <f>IF(分析!D216&lt;&gt;"",分析!D216,"")</f>
        <v/>
      </c>
      <c r="E216" s="145">
        <f>IF(分析!E216&lt;&gt;"",分析!E216,"")</f>
        <v/>
      </c>
      <c r="F216" s="146">
        <f>IF(分析!F216&lt;&gt;"",分析!F216,"")</f>
        <v/>
      </c>
      <c r="G216" s="146">
        <f>IF(分析!H216&lt;&gt;"",分析!H216,"")</f>
        <v/>
      </c>
      <c r="H216" s="146">
        <f>IF(分析!I216&lt;&gt;"",分析!I216,"")</f>
        <v/>
      </c>
      <c r="I216" s="146">
        <f>IF(分析!J216&lt;&gt;"",分析!J216,"")</f>
        <v/>
      </c>
      <c r="J216" s="146">
        <f>IF(分析!AB216&lt;&gt;"",分析!AB216,"")</f>
        <v/>
      </c>
      <c r="K216" s="146">
        <f>IF(分析!AC216&lt;&gt;"",分析!AC216,"")</f>
        <v/>
      </c>
      <c r="L216" s="146">
        <f>IF(分析!K216&lt;&gt;"",分析!K216,"")</f>
        <v/>
      </c>
      <c r="M216" s="141">
        <f>IF(分析!P216&lt;&gt;"",分析!P216,"")</f>
        <v/>
      </c>
      <c r="N216" s="599">
        <f>IF(分析!O216&lt;&gt;"",分析!O216,"")</f>
        <v/>
      </c>
      <c r="O216" s="148">
        <f>IF(分析!X216&lt;&gt;"",分析!X216,"")</f>
        <v/>
      </c>
      <c r="P216" s="600">
        <f>IF(分析!L216&lt;&gt;"",分析!L216,"")</f>
        <v/>
      </c>
      <c r="Q216" s="146">
        <f>IF(分析!S216&lt;&gt;"",分析!S216,"")</f>
        <v/>
      </c>
      <c r="R216" s="146">
        <f>IF(分析!R216&lt;&gt;"",分析!R216,"")</f>
        <v/>
      </c>
      <c r="S216" s="141">
        <f>IF(分析!AA216&lt;&gt;"",分析!AA216,"")</f>
        <v/>
      </c>
      <c r="T216" s="601">
        <f>IF(分析!Z216&lt;&gt;"",分析!Z216,"")</f>
        <v/>
      </c>
      <c r="U216" s="141">
        <f>IF(分析!V216&lt;&gt;"",分析!V216,"")</f>
        <v/>
      </c>
      <c r="V216" s="602">
        <f>IF(分析!W216&lt;&gt;"",分析!W216,"")</f>
        <v/>
      </c>
      <c r="W216" s="152">
        <f>IF(分析!AD216&lt;&gt;"",分析!AD216,"")</f>
        <v/>
      </c>
      <c r="X216" s="153">
        <f>IF(分析!AE216&lt;&gt;"",分析!AE216,"")</f>
        <v/>
      </c>
      <c r="Y216" s="154">
        <f>IF(分析!T216&lt;&gt;"",分析!T216,"")</f>
        <v/>
      </c>
      <c r="Z216" s="155">
        <f>IF(分析!Y216&lt;&gt;"",分析!Y216,"")</f>
        <v/>
      </c>
    </row>
    <row r="217" ht="21.95" customHeight="1" s="574">
      <c r="A217" s="156">
        <f>IF(分析!C217&lt;&gt;"",ROW()-2,"")</f>
        <v/>
      </c>
      <c r="B217" s="157">
        <f>IF(分析!C217&lt;&gt;"",HYPERLINK("https://kabutan.jp/stock/?code="&amp;分析!C217,"株探"),"")</f>
        <v/>
      </c>
      <c r="C217" s="603">
        <f>IF(分析!C217&lt;&gt;"",分析!C217,"")</f>
        <v/>
      </c>
      <c r="D217" s="159">
        <f>IF(分析!D217&lt;&gt;"",分析!D217,"")</f>
        <v/>
      </c>
      <c r="E217" s="160">
        <f>IF(分析!E217&lt;&gt;"",分析!E217,"")</f>
        <v/>
      </c>
      <c r="F217" s="161">
        <f>IF(分析!F217&lt;&gt;"",分析!F217,"")</f>
        <v/>
      </c>
      <c r="G217" s="161">
        <f>IF(分析!H217&lt;&gt;"",分析!H217,"")</f>
        <v/>
      </c>
      <c r="H217" s="161">
        <f>IF(分析!I217&lt;&gt;"",分析!I217,"")</f>
        <v/>
      </c>
      <c r="I217" s="161">
        <f>IF(分析!J217&lt;&gt;"",分析!J217,"")</f>
        <v/>
      </c>
      <c r="J217" s="161">
        <f>IF(分析!AB217&lt;&gt;"",分析!AB217,"")</f>
        <v/>
      </c>
      <c r="K217" s="161">
        <f>IF(分析!AC217&lt;&gt;"",分析!AC217,"")</f>
        <v/>
      </c>
      <c r="L217" s="161">
        <f>IF(分析!K217&lt;&gt;"",分析!K217,"")</f>
        <v/>
      </c>
      <c r="M217" s="156">
        <f>IF(分析!P217&lt;&gt;"",分析!P217,"")</f>
        <v/>
      </c>
      <c r="N217" s="604">
        <f>IF(分析!O217&lt;&gt;"",分析!O217,"")</f>
        <v/>
      </c>
      <c r="O217" s="163">
        <f>IF(分析!X217&lt;&gt;"",分析!X217,"")</f>
        <v/>
      </c>
      <c r="P217" s="605">
        <f>IF(分析!L217&lt;&gt;"",分析!L217,"")</f>
        <v/>
      </c>
      <c r="Q217" s="161">
        <f>IF(分析!S217&lt;&gt;"",分析!S217,"")</f>
        <v/>
      </c>
      <c r="R217" s="161">
        <f>IF(分析!R217&lt;&gt;"",分析!R217,"")</f>
        <v/>
      </c>
      <c r="S217" s="156">
        <f>IF(分析!AA217&lt;&gt;"",分析!AA217,"")</f>
        <v/>
      </c>
      <c r="T217" s="606">
        <f>IF(分析!Z217&lt;&gt;"",分析!Z217,"")</f>
        <v/>
      </c>
      <c r="U217" s="156">
        <f>IF(分析!V217&lt;&gt;"",分析!V217,"")</f>
        <v/>
      </c>
      <c r="V217" s="607">
        <f>IF(分析!W217&lt;&gt;"",分析!W217,"")</f>
        <v/>
      </c>
      <c r="W217" s="167">
        <f>IF(分析!AD217&lt;&gt;"",分析!AD217,"")</f>
        <v/>
      </c>
      <c r="X217" s="168">
        <f>IF(分析!AE217&lt;&gt;"",分析!AE217,"")</f>
        <v/>
      </c>
      <c r="Y217" s="169">
        <f>IF(分析!T217&lt;&gt;"",分析!T217,"")</f>
        <v/>
      </c>
      <c r="Z217" s="155">
        <f>IF(分析!Y217&lt;&gt;"",分析!Y217,"")</f>
        <v/>
      </c>
    </row>
    <row r="218" ht="21.95" customHeight="1" s="574">
      <c r="A218" s="141">
        <f>IF(分析!C218&lt;&gt;"",ROW()-2,"")</f>
        <v/>
      </c>
      <c r="B218" s="142">
        <f>IF(分析!C218&lt;&gt;"",HYPERLINK("https://kabutan.jp/stock/?code="&amp;分析!C218,"株探"),"")</f>
        <v/>
      </c>
      <c r="C218" s="598">
        <f>IF(分析!C218&lt;&gt;"",分析!C218,"")</f>
        <v/>
      </c>
      <c r="D218" s="144">
        <f>IF(分析!D218&lt;&gt;"",分析!D218,"")</f>
        <v/>
      </c>
      <c r="E218" s="145">
        <f>IF(分析!E218&lt;&gt;"",分析!E218,"")</f>
        <v/>
      </c>
      <c r="F218" s="146">
        <f>IF(分析!F218&lt;&gt;"",分析!F218,"")</f>
        <v/>
      </c>
      <c r="G218" s="146">
        <f>IF(分析!H218&lt;&gt;"",分析!H218,"")</f>
        <v/>
      </c>
      <c r="H218" s="146">
        <f>IF(分析!I218&lt;&gt;"",分析!I218,"")</f>
        <v/>
      </c>
      <c r="I218" s="146">
        <f>IF(分析!J218&lt;&gt;"",分析!J218,"")</f>
        <v/>
      </c>
      <c r="J218" s="146">
        <f>IF(分析!AB218&lt;&gt;"",分析!AB218,"")</f>
        <v/>
      </c>
      <c r="K218" s="146">
        <f>IF(分析!AC218&lt;&gt;"",分析!AC218,"")</f>
        <v/>
      </c>
      <c r="L218" s="146">
        <f>IF(分析!K218&lt;&gt;"",分析!K218,"")</f>
        <v/>
      </c>
      <c r="M218" s="141">
        <f>IF(分析!P218&lt;&gt;"",分析!P218,"")</f>
        <v/>
      </c>
      <c r="N218" s="599">
        <f>IF(分析!O218&lt;&gt;"",分析!O218,"")</f>
        <v/>
      </c>
      <c r="O218" s="148">
        <f>IF(分析!X218&lt;&gt;"",分析!X218,"")</f>
        <v/>
      </c>
      <c r="P218" s="600">
        <f>IF(分析!L218&lt;&gt;"",分析!L218,"")</f>
        <v/>
      </c>
      <c r="Q218" s="146">
        <f>IF(分析!S218&lt;&gt;"",分析!S218,"")</f>
        <v/>
      </c>
      <c r="R218" s="146">
        <f>IF(分析!R218&lt;&gt;"",分析!R218,"")</f>
        <v/>
      </c>
      <c r="S218" s="141">
        <f>IF(分析!AA218&lt;&gt;"",分析!AA218,"")</f>
        <v/>
      </c>
      <c r="T218" s="601">
        <f>IF(分析!Z218&lt;&gt;"",分析!Z218,"")</f>
        <v/>
      </c>
      <c r="U218" s="141">
        <f>IF(分析!V218&lt;&gt;"",分析!V218,"")</f>
        <v/>
      </c>
      <c r="V218" s="602">
        <f>IF(分析!W218&lt;&gt;"",分析!W218,"")</f>
        <v/>
      </c>
      <c r="W218" s="152">
        <f>IF(分析!AD218&lt;&gt;"",分析!AD218,"")</f>
        <v/>
      </c>
      <c r="X218" s="153">
        <f>IF(分析!AE218&lt;&gt;"",分析!AE218,"")</f>
        <v/>
      </c>
      <c r="Y218" s="154">
        <f>IF(分析!T218&lt;&gt;"",分析!T218,"")</f>
        <v/>
      </c>
      <c r="Z218" s="155">
        <f>IF(分析!Y218&lt;&gt;"",分析!Y218,"")</f>
        <v/>
      </c>
    </row>
    <row r="219" ht="21.95" customHeight="1" s="574">
      <c r="A219" s="156">
        <f>IF(分析!C219&lt;&gt;"",ROW()-2,"")</f>
        <v/>
      </c>
      <c r="B219" s="157">
        <f>IF(分析!C219&lt;&gt;"",HYPERLINK("https://kabutan.jp/stock/?code="&amp;分析!C219,"株探"),"")</f>
        <v/>
      </c>
      <c r="C219" s="603">
        <f>IF(分析!C219&lt;&gt;"",分析!C219,"")</f>
        <v/>
      </c>
      <c r="D219" s="159">
        <f>IF(分析!D219&lt;&gt;"",分析!D219,"")</f>
        <v/>
      </c>
      <c r="E219" s="160">
        <f>IF(分析!E219&lt;&gt;"",分析!E219,"")</f>
        <v/>
      </c>
      <c r="F219" s="161">
        <f>IF(分析!F219&lt;&gt;"",分析!F219,"")</f>
        <v/>
      </c>
      <c r="G219" s="161">
        <f>IF(分析!H219&lt;&gt;"",分析!H219,"")</f>
        <v/>
      </c>
      <c r="H219" s="161">
        <f>IF(分析!I219&lt;&gt;"",分析!I219,"")</f>
        <v/>
      </c>
      <c r="I219" s="161">
        <f>IF(分析!J219&lt;&gt;"",分析!J219,"")</f>
        <v/>
      </c>
      <c r="J219" s="161">
        <f>IF(分析!AB219&lt;&gt;"",分析!AB219,"")</f>
        <v/>
      </c>
      <c r="K219" s="161">
        <f>IF(分析!AC219&lt;&gt;"",分析!AC219,"")</f>
        <v/>
      </c>
      <c r="L219" s="161">
        <f>IF(分析!K219&lt;&gt;"",分析!K219,"")</f>
        <v/>
      </c>
      <c r="M219" s="156">
        <f>IF(分析!P219&lt;&gt;"",分析!P219,"")</f>
        <v/>
      </c>
      <c r="N219" s="604">
        <f>IF(分析!O219&lt;&gt;"",分析!O219,"")</f>
        <v/>
      </c>
      <c r="O219" s="163">
        <f>IF(分析!X219&lt;&gt;"",分析!X219,"")</f>
        <v/>
      </c>
      <c r="P219" s="605">
        <f>IF(分析!L219&lt;&gt;"",分析!L219,"")</f>
        <v/>
      </c>
      <c r="Q219" s="161">
        <f>IF(分析!S219&lt;&gt;"",分析!S219,"")</f>
        <v/>
      </c>
      <c r="R219" s="161">
        <f>IF(分析!R219&lt;&gt;"",分析!R219,"")</f>
        <v/>
      </c>
      <c r="S219" s="156">
        <f>IF(分析!AA219&lt;&gt;"",分析!AA219,"")</f>
        <v/>
      </c>
      <c r="T219" s="606">
        <f>IF(分析!Z219&lt;&gt;"",分析!Z219,"")</f>
        <v/>
      </c>
      <c r="U219" s="156">
        <f>IF(分析!V219&lt;&gt;"",分析!V219,"")</f>
        <v/>
      </c>
      <c r="V219" s="607">
        <f>IF(分析!W219&lt;&gt;"",分析!W219,"")</f>
        <v/>
      </c>
      <c r="W219" s="167">
        <f>IF(分析!AD219&lt;&gt;"",分析!AD219,"")</f>
        <v/>
      </c>
      <c r="X219" s="168">
        <f>IF(分析!AE219&lt;&gt;"",分析!AE219,"")</f>
        <v/>
      </c>
      <c r="Y219" s="169">
        <f>IF(分析!T219&lt;&gt;"",分析!T219,"")</f>
        <v/>
      </c>
      <c r="Z219" s="155">
        <f>IF(分析!Y219&lt;&gt;"",分析!Y219,"")</f>
        <v/>
      </c>
    </row>
    <row r="220" ht="21.95" customHeight="1" s="574">
      <c r="A220" s="141">
        <f>IF(分析!C220&lt;&gt;"",ROW()-2,"")</f>
        <v/>
      </c>
      <c r="B220" s="142">
        <f>IF(分析!C220&lt;&gt;"",HYPERLINK("https://kabutan.jp/stock/?code="&amp;分析!C220,"株探"),"")</f>
        <v/>
      </c>
      <c r="C220" s="598">
        <f>IF(分析!C220&lt;&gt;"",分析!C220,"")</f>
        <v/>
      </c>
      <c r="D220" s="144">
        <f>IF(分析!D220&lt;&gt;"",分析!D220,"")</f>
        <v/>
      </c>
      <c r="E220" s="145">
        <f>IF(分析!E220&lt;&gt;"",分析!E220,"")</f>
        <v/>
      </c>
      <c r="F220" s="146">
        <f>IF(分析!F220&lt;&gt;"",分析!F220,"")</f>
        <v/>
      </c>
      <c r="G220" s="146">
        <f>IF(分析!H220&lt;&gt;"",分析!H220,"")</f>
        <v/>
      </c>
      <c r="H220" s="146">
        <f>IF(分析!I220&lt;&gt;"",分析!I220,"")</f>
        <v/>
      </c>
      <c r="I220" s="146">
        <f>IF(分析!J220&lt;&gt;"",分析!J220,"")</f>
        <v/>
      </c>
      <c r="J220" s="146">
        <f>IF(分析!AB220&lt;&gt;"",分析!AB220,"")</f>
        <v/>
      </c>
      <c r="K220" s="146">
        <f>IF(分析!AC220&lt;&gt;"",分析!AC220,"")</f>
        <v/>
      </c>
      <c r="L220" s="146">
        <f>IF(分析!K220&lt;&gt;"",分析!K220,"")</f>
        <v/>
      </c>
      <c r="M220" s="141">
        <f>IF(分析!P220&lt;&gt;"",分析!P220,"")</f>
        <v/>
      </c>
      <c r="N220" s="599">
        <f>IF(分析!O220&lt;&gt;"",分析!O220,"")</f>
        <v/>
      </c>
      <c r="O220" s="148">
        <f>IF(分析!X220&lt;&gt;"",分析!X220,"")</f>
        <v/>
      </c>
      <c r="P220" s="600">
        <f>IF(分析!L220&lt;&gt;"",分析!L220,"")</f>
        <v/>
      </c>
      <c r="Q220" s="146">
        <f>IF(分析!S220&lt;&gt;"",分析!S220,"")</f>
        <v/>
      </c>
      <c r="R220" s="146">
        <f>IF(分析!R220&lt;&gt;"",分析!R220,"")</f>
        <v/>
      </c>
      <c r="S220" s="141">
        <f>IF(分析!AA220&lt;&gt;"",分析!AA220,"")</f>
        <v/>
      </c>
      <c r="T220" s="601">
        <f>IF(分析!Z220&lt;&gt;"",分析!Z220,"")</f>
        <v/>
      </c>
      <c r="U220" s="141">
        <f>IF(分析!V220&lt;&gt;"",分析!V220,"")</f>
        <v/>
      </c>
      <c r="V220" s="602">
        <f>IF(分析!W220&lt;&gt;"",分析!W220,"")</f>
        <v/>
      </c>
      <c r="W220" s="152">
        <f>IF(分析!AD220&lt;&gt;"",分析!AD220,"")</f>
        <v/>
      </c>
      <c r="X220" s="153">
        <f>IF(分析!AE220&lt;&gt;"",分析!AE220,"")</f>
        <v/>
      </c>
      <c r="Y220" s="154">
        <f>IF(分析!T220&lt;&gt;"",分析!T220,"")</f>
        <v/>
      </c>
      <c r="Z220" s="155">
        <f>IF(分析!Y220&lt;&gt;"",分析!Y220,"")</f>
        <v/>
      </c>
    </row>
    <row r="221" ht="21.95" customHeight="1" s="574">
      <c r="A221" s="156">
        <f>IF(分析!C221&lt;&gt;"",ROW()-2,"")</f>
        <v/>
      </c>
      <c r="B221" s="157">
        <f>IF(分析!C221&lt;&gt;"",HYPERLINK("https://kabutan.jp/stock/?code="&amp;分析!C221,"株探"),"")</f>
        <v/>
      </c>
      <c r="C221" s="603">
        <f>IF(分析!C221&lt;&gt;"",分析!C221,"")</f>
        <v/>
      </c>
      <c r="D221" s="159">
        <f>IF(分析!D221&lt;&gt;"",分析!D221,"")</f>
        <v/>
      </c>
      <c r="E221" s="160">
        <f>IF(分析!E221&lt;&gt;"",分析!E221,"")</f>
        <v/>
      </c>
      <c r="F221" s="161">
        <f>IF(分析!F221&lt;&gt;"",分析!F221,"")</f>
        <v/>
      </c>
      <c r="G221" s="161">
        <f>IF(分析!H221&lt;&gt;"",分析!H221,"")</f>
        <v/>
      </c>
      <c r="H221" s="161">
        <f>IF(分析!I221&lt;&gt;"",分析!I221,"")</f>
        <v/>
      </c>
      <c r="I221" s="161">
        <f>IF(分析!J221&lt;&gt;"",分析!J221,"")</f>
        <v/>
      </c>
      <c r="J221" s="161">
        <f>IF(分析!AB221&lt;&gt;"",分析!AB221,"")</f>
        <v/>
      </c>
      <c r="K221" s="161">
        <f>IF(分析!AC221&lt;&gt;"",分析!AC221,"")</f>
        <v/>
      </c>
      <c r="L221" s="161">
        <f>IF(分析!K221&lt;&gt;"",分析!K221,"")</f>
        <v/>
      </c>
      <c r="M221" s="156">
        <f>IF(分析!P221&lt;&gt;"",分析!P221,"")</f>
        <v/>
      </c>
      <c r="N221" s="604">
        <f>IF(分析!O221&lt;&gt;"",分析!O221,"")</f>
        <v/>
      </c>
      <c r="O221" s="163">
        <f>IF(分析!X221&lt;&gt;"",分析!X221,"")</f>
        <v/>
      </c>
      <c r="P221" s="605">
        <f>IF(分析!L221&lt;&gt;"",分析!L221,"")</f>
        <v/>
      </c>
      <c r="Q221" s="161">
        <f>IF(分析!S221&lt;&gt;"",分析!S221,"")</f>
        <v/>
      </c>
      <c r="R221" s="161">
        <f>IF(分析!R221&lt;&gt;"",分析!R221,"")</f>
        <v/>
      </c>
      <c r="S221" s="156">
        <f>IF(分析!AA221&lt;&gt;"",分析!AA221,"")</f>
        <v/>
      </c>
      <c r="T221" s="606">
        <f>IF(分析!Z221&lt;&gt;"",分析!Z221,"")</f>
        <v/>
      </c>
      <c r="U221" s="156">
        <f>IF(分析!V221&lt;&gt;"",分析!V221,"")</f>
        <v/>
      </c>
      <c r="V221" s="607">
        <f>IF(分析!W221&lt;&gt;"",分析!W221,"")</f>
        <v/>
      </c>
      <c r="W221" s="167">
        <f>IF(分析!AD221&lt;&gt;"",分析!AD221,"")</f>
        <v/>
      </c>
      <c r="X221" s="168">
        <f>IF(分析!AE221&lt;&gt;"",分析!AE221,"")</f>
        <v/>
      </c>
      <c r="Y221" s="169">
        <f>IF(分析!T221&lt;&gt;"",分析!T221,"")</f>
        <v/>
      </c>
      <c r="Z221" s="155">
        <f>IF(分析!Y221&lt;&gt;"",分析!Y221,"")</f>
        <v/>
      </c>
    </row>
    <row r="222" ht="21.95" customHeight="1" s="574">
      <c r="A222" s="141">
        <f>IF(分析!C222&lt;&gt;"",ROW()-2,"")</f>
        <v/>
      </c>
      <c r="B222" s="142">
        <f>IF(分析!C222&lt;&gt;"",HYPERLINK("https://kabutan.jp/stock/?code="&amp;分析!C222,"株探"),"")</f>
        <v/>
      </c>
      <c r="C222" s="598">
        <f>IF(分析!C222&lt;&gt;"",分析!C222,"")</f>
        <v/>
      </c>
      <c r="D222" s="144">
        <f>IF(分析!D222&lt;&gt;"",分析!D222,"")</f>
        <v/>
      </c>
      <c r="E222" s="145">
        <f>IF(分析!E222&lt;&gt;"",分析!E222,"")</f>
        <v/>
      </c>
      <c r="F222" s="146">
        <f>IF(分析!F222&lt;&gt;"",分析!F222,"")</f>
        <v/>
      </c>
      <c r="G222" s="146">
        <f>IF(分析!H222&lt;&gt;"",分析!H222,"")</f>
        <v/>
      </c>
      <c r="H222" s="146">
        <f>IF(分析!I222&lt;&gt;"",分析!I222,"")</f>
        <v/>
      </c>
      <c r="I222" s="146">
        <f>IF(分析!J222&lt;&gt;"",分析!J222,"")</f>
        <v/>
      </c>
      <c r="J222" s="146">
        <f>IF(分析!AB222&lt;&gt;"",分析!AB222,"")</f>
        <v/>
      </c>
      <c r="K222" s="146">
        <f>IF(分析!AC222&lt;&gt;"",分析!AC222,"")</f>
        <v/>
      </c>
      <c r="L222" s="146">
        <f>IF(分析!K222&lt;&gt;"",分析!K222,"")</f>
        <v/>
      </c>
      <c r="M222" s="141">
        <f>IF(分析!P222&lt;&gt;"",分析!P222,"")</f>
        <v/>
      </c>
      <c r="N222" s="599">
        <f>IF(分析!O222&lt;&gt;"",分析!O222,"")</f>
        <v/>
      </c>
      <c r="O222" s="148">
        <f>IF(分析!X222&lt;&gt;"",分析!X222,"")</f>
        <v/>
      </c>
      <c r="P222" s="600">
        <f>IF(分析!L222&lt;&gt;"",分析!L222,"")</f>
        <v/>
      </c>
      <c r="Q222" s="146">
        <f>IF(分析!S222&lt;&gt;"",分析!S222,"")</f>
        <v/>
      </c>
      <c r="R222" s="146">
        <f>IF(分析!R222&lt;&gt;"",分析!R222,"")</f>
        <v/>
      </c>
      <c r="S222" s="141">
        <f>IF(分析!AA222&lt;&gt;"",分析!AA222,"")</f>
        <v/>
      </c>
      <c r="T222" s="601">
        <f>IF(分析!Z222&lt;&gt;"",分析!Z222,"")</f>
        <v/>
      </c>
      <c r="U222" s="141">
        <f>IF(分析!V222&lt;&gt;"",分析!V222,"")</f>
        <v/>
      </c>
      <c r="V222" s="602">
        <f>IF(分析!W222&lt;&gt;"",分析!W222,"")</f>
        <v/>
      </c>
      <c r="W222" s="152">
        <f>IF(分析!AD222&lt;&gt;"",分析!AD222,"")</f>
        <v/>
      </c>
      <c r="X222" s="153">
        <f>IF(分析!AE222&lt;&gt;"",分析!AE222,"")</f>
        <v/>
      </c>
      <c r="Y222" s="154">
        <f>IF(分析!T222&lt;&gt;"",分析!T222,"")</f>
        <v/>
      </c>
      <c r="Z222" s="155">
        <f>IF(分析!Y222&lt;&gt;"",分析!Y222,"")</f>
        <v/>
      </c>
    </row>
    <row r="223" ht="21.95" customHeight="1" s="574">
      <c r="A223" s="156">
        <f>IF(分析!C223&lt;&gt;"",ROW()-2,"")</f>
        <v/>
      </c>
      <c r="B223" s="157">
        <f>IF(分析!C223&lt;&gt;"",HYPERLINK("https://kabutan.jp/stock/?code="&amp;分析!C223,"株探"),"")</f>
        <v/>
      </c>
      <c r="C223" s="603">
        <f>IF(分析!C223&lt;&gt;"",分析!C223,"")</f>
        <v/>
      </c>
      <c r="D223" s="159">
        <f>IF(分析!D223&lt;&gt;"",分析!D223,"")</f>
        <v/>
      </c>
      <c r="E223" s="160">
        <f>IF(分析!E223&lt;&gt;"",分析!E223,"")</f>
        <v/>
      </c>
      <c r="F223" s="161">
        <f>IF(分析!F223&lt;&gt;"",分析!F223,"")</f>
        <v/>
      </c>
      <c r="G223" s="161">
        <f>IF(分析!H223&lt;&gt;"",分析!H223,"")</f>
        <v/>
      </c>
      <c r="H223" s="161">
        <f>IF(分析!I223&lt;&gt;"",分析!I223,"")</f>
        <v/>
      </c>
      <c r="I223" s="161">
        <f>IF(分析!J223&lt;&gt;"",分析!J223,"")</f>
        <v/>
      </c>
      <c r="J223" s="161">
        <f>IF(分析!AB223&lt;&gt;"",分析!AB223,"")</f>
        <v/>
      </c>
      <c r="K223" s="161">
        <f>IF(分析!AC223&lt;&gt;"",分析!AC223,"")</f>
        <v/>
      </c>
      <c r="L223" s="161">
        <f>IF(分析!K223&lt;&gt;"",分析!K223,"")</f>
        <v/>
      </c>
      <c r="M223" s="156">
        <f>IF(分析!P223&lt;&gt;"",分析!P223,"")</f>
        <v/>
      </c>
      <c r="N223" s="604">
        <f>IF(分析!O223&lt;&gt;"",分析!O223,"")</f>
        <v/>
      </c>
      <c r="O223" s="163">
        <f>IF(分析!X223&lt;&gt;"",分析!X223,"")</f>
        <v/>
      </c>
      <c r="P223" s="605">
        <f>IF(分析!L223&lt;&gt;"",分析!L223,"")</f>
        <v/>
      </c>
      <c r="Q223" s="161">
        <f>IF(分析!S223&lt;&gt;"",分析!S223,"")</f>
        <v/>
      </c>
      <c r="R223" s="161">
        <f>IF(分析!R223&lt;&gt;"",分析!R223,"")</f>
        <v/>
      </c>
      <c r="S223" s="156">
        <f>IF(分析!AA223&lt;&gt;"",分析!AA223,"")</f>
        <v/>
      </c>
      <c r="T223" s="606">
        <f>IF(分析!Z223&lt;&gt;"",分析!Z223,"")</f>
        <v/>
      </c>
      <c r="U223" s="156">
        <f>IF(分析!V223&lt;&gt;"",分析!V223,"")</f>
        <v/>
      </c>
      <c r="V223" s="607">
        <f>IF(分析!W223&lt;&gt;"",分析!W223,"")</f>
        <v/>
      </c>
      <c r="W223" s="167">
        <f>IF(分析!AD223&lt;&gt;"",分析!AD223,"")</f>
        <v/>
      </c>
      <c r="X223" s="168">
        <f>IF(分析!AE223&lt;&gt;"",分析!AE223,"")</f>
        <v/>
      </c>
      <c r="Y223" s="169">
        <f>IF(分析!T223&lt;&gt;"",分析!T223,"")</f>
        <v/>
      </c>
      <c r="Z223" s="155">
        <f>IF(分析!Y223&lt;&gt;"",分析!Y223,"")</f>
        <v/>
      </c>
    </row>
    <row r="224" ht="21.95" customHeight="1" s="574">
      <c r="A224" s="141">
        <f>IF(分析!C224&lt;&gt;"",ROW()-2,"")</f>
        <v/>
      </c>
      <c r="B224" s="142">
        <f>IF(分析!C224&lt;&gt;"",HYPERLINK("https://kabutan.jp/stock/?code="&amp;分析!C224,"株探"),"")</f>
        <v/>
      </c>
      <c r="C224" s="598">
        <f>IF(分析!C224&lt;&gt;"",分析!C224,"")</f>
        <v/>
      </c>
      <c r="D224" s="144">
        <f>IF(分析!D224&lt;&gt;"",分析!D224,"")</f>
        <v/>
      </c>
      <c r="E224" s="145">
        <f>IF(分析!E224&lt;&gt;"",分析!E224,"")</f>
        <v/>
      </c>
      <c r="F224" s="146">
        <f>IF(分析!F224&lt;&gt;"",分析!F224,"")</f>
        <v/>
      </c>
      <c r="G224" s="146">
        <f>IF(分析!H224&lt;&gt;"",分析!H224,"")</f>
        <v/>
      </c>
      <c r="H224" s="146">
        <f>IF(分析!I224&lt;&gt;"",分析!I224,"")</f>
        <v/>
      </c>
      <c r="I224" s="146">
        <f>IF(分析!J224&lt;&gt;"",分析!J224,"")</f>
        <v/>
      </c>
      <c r="J224" s="146">
        <f>IF(分析!AB224&lt;&gt;"",分析!AB224,"")</f>
        <v/>
      </c>
      <c r="K224" s="146">
        <f>IF(分析!AC224&lt;&gt;"",分析!AC224,"")</f>
        <v/>
      </c>
      <c r="L224" s="146">
        <f>IF(分析!K224&lt;&gt;"",分析!K224,"")</f>
        <v/>
      </c>
      <c r="M224" s="141">
        <f>IF(分析!P224&lt;&gt;"",分析!P224,"")</f>
        <v/>
      </c>
      <c r="N224" s="599">
        <f>IF(分析!O224&lt;&gt;"",分析!O224,"")</f>
        <v/>
      </c>
      <c r="O224" s="148">
        <f>IF(分析!X224&lt;&gt;"",分析!X224,"")</f>
        <v/>
      </c>
      <c r="P224" s="600">
        <f>IF(分析!L224&lt;&gt;"",分析!L224,"")</f>
        <v/>
      </c>
      <c r="Q224" s="146">
        <f>IF(分析!S224&lt;&gt;"",分析!S224,"")</f>
        <v/>
      </c>
      <c r="R224" s="146">
        <f>IF(分析!R224&lt;&gt;"",分析!R224,"")</f>
        <v/>
      </c>
      <c r="S224" s="141">
        <f>IF(分析!AA224&lt;&gt;"",分析!AA224,"")</f>
        <v/>
      </c>
      <c r="T224" s="601">
        <f>IF(分析!Z224&lt;&gt;"",分析!Z224,"")</f>
        <v/>
      </c>
      <c r="U224" s="141">
        <f>IF(分析!V224&lt;&gt;"",分析!V224,"")</f>
        <v/>
      </c>
      <c r="V224" s="602">
        <f>IF(分析!W224&lt;&gt;"",分析!W224,"")</f>
        <v/>
      </c>
      <c r="W224" s="152">
        <f>IF(分析!AD224&lt;&gt;"",分析!AD224,"")</f>
        <v/>
      </c>
      <c r="X224" s="153">
        <f>IF(分析!AE224&lt;&gt;"",分析!AE224,"")</f>
        <v/>
      </c>
      <c r="Y224" s="154">
        <f>IF(分析!T224&lt;&gt;"",分析!T224,"")</f>
        <v/>
      </c>
      <c r="Z224" s="155">
        <f>IF(分析!Y224&lt;&gt;"",分析!Y224,"")</f>
        <v/>
      </c>
    </row>
    <row r="225" ht="21.95" customHeight="1" s="574">
      <c r="A225" s="156">
        <f>IF(分析!C225&lt;&gt;"",ROW()-2,"")</f>
        <v/>
      </c>
      <c r="B225" s="157">
        <f>IF(分析!C225&lt;&gt;"",HYPERLINK("https://kabutan.jp/stock/?code="&amp;分析!C225,"株探"),"")</f>
        <v/>
      </c>
      <c r="C225" s="603">
        <f>IF(分析!C225&lt;&gt;"",分析!C225,"")</f>
        <v/>
      </c>
      <c r="D225" s="159">
        <f>IF(分析!D225&lt;&gt;"",分析!D225,"")</f>
        <v/>
      </c>
      <c r="E225" s="160">
        <f>IF(分析!E225&lt;&gt;"",分析!E225,"")</f>
        <v/>
      </c>
      <c r="F225" s="161">
        <f>IF(分析!F225&lt;&gt;"",分析!F225,"")</f>
        <v/>
      </c>
      <c r="G225" s="161">
        <f>IF(分析!H225&lt;&gt;"",分析!H225,"")</f>
        <v/>
      </c>
      <c r="H225" s="161">
        <f>IF(分析!I225&lt;&gt;"",分析!I225,"")</f>
        <v/>
      </c>
      <c r="I225" s="161">
        <f>IF(分析!J225&lt;&gt;"",分析!J225,"")</f>
        <v/>
      </c>
      <c r="J225" s="161">
        <f>IF(分析!AB225&lt;&gt;"",分析!AB225,"")</f>
        <v/>
      </c>
      <c r="K225" s="161">
        <f>IF(分析!AC225&lt;&gt;"",分析!AC225,"")</f>
        <v/>
      </c>
      <c r="L225" s="161">
        <f>IF(分析!K225&lt;&gt;"",分析!K225,"")</f>
        <v/>
      </c>
      <c r="M225" s="156">
        <f>IF(分析!P225&lt;&gt;"",分析!P225,"")</f>
        <v/>
      </c>
      <c r="N225" s="604">
        <f>IF(分析!O225&lt;&gt;"",分析!O225,"")</f>
        <v/>
      </c>
      <c r="O225" s="163">
        <f>IF(分析!X225&lt;&gt;"",分析!X225,"")</f>
        <v/>
      </c>
      <c r="P225" s="605">
        <f>IF(分析!L225&lt;&gt;"",分析!L225,"")</f>
        <v/>
      </c>
      <c r="Q225" s="161">
        <f>IF(分析!S225&lt;&gt;"",分析!S225,"")</f>
        <v/>
      </c>
      <c r="R225" s="161">
        <f>IF(分析!R225&lt;&gt;"",分析!R225,"")</f>
        <v/>
      </c>
      <c r="S225" s="156">
        <f>IF(分析!AA225&lt;&gt;"",分析!AA225,"")</f>
        <v/>
      </c>
      <c r="T225" s="606">
        <f>IF(分析!Z225&lt;&gt;"",分析!Z225,"")</f>
        <v/>
      </c>
      <c r="U225" s="156">
        <f>IF(分析!V225&lt;&gt;"",分析!V225,"")</f>
        <v/>
      </c>
      <c r="V225" s="607">
        <f>IF(分析!W225&lt;&gt;"",分析!W225,"")</f>
        <v/>
      </c>
      <c r="W225" s="167">
        <f>IF(分析!AD225&lt;&gt;"",分析!AD225,"")</f>
        <v/>
      </c>
      <c r="X225" s="168">
        <f>IF(分析!AE225&lt;&gt;"",分析!AE225,"")</f>
        <v/>
      </c>
      <c r="Y225" s="169">
        <f>IF(分析!T225&lt;&gt;"",分析!T225,"")</f>
        <v/>
      </c>
      <c r="Z225" s="155">
        <f>IF(分析!Y225&lt;&gt;"",分析!Y225,"")</f>
        <v/>
      </c>
    </row>
    <row r="226" ht="21.95" customHeight="1" s="574">
      <c r="A226" s="141">
        <f>IF(分析!C226&lt;&gt;"",ROW()-2,"")</f>
        <v/>
      </c>
      <c r="B226" s="142">
        <f>IF(分析!C226&lt;&gt;"",HYPERLINK("https://kabutan.jp/stock/?code="&amp;分析!C226,"株探"),"")</f>
        <v/>
      </c>
      <c r="C226" s="598">
        <f>IF(分析!C226&lt;&gt;"",分析!C226,"")</f>
        <v/>
      </c>
      <c r="D226" s="144">
        <f>IF(分析!D226&lt;&gt;"",分析!D226,"")</f>
        <v/>
      </c>
      <c r="E226" s="145">
        <f>IF(分析!E226&lt;&gt;"",分析!E226,"")</f>
        <v/>
      </c>
      <c r="F226" s="146">
        <f>IF(分析!F226&lt;&gt;"",分析!F226,"")</f>
        <v/>
      </c>
      <c r="G226" s="146">
        <f>IF(分析!H226&lt;&gt;"",分析!H226,"")</f>
        <v/>
      </c>
      <c r="H226" s="146">
        <f>IF(分析!I226&lt;&gt;"",分析!I226,"")</f>
        <v/>
      </c>
      <c r="I226" s="146">
        <f>IF(分析!J226&lt;&gt;"",分析!J226,"")</f>
        <v/>
      </c>
      <c r="J226" s="146">
        <f>IF(分析!AB226&lt;&gt;"",分析!AB226,"")</f>
        <v/>
      </c>
      <c r="K226" s="146">
        <f>IF(分析!AC226&lt;&gt;"",分析!AC226,"")</f>
        <v/>
      </c>
      <c r="L226" s="146">
        <f>IF(分析!K226&lt;&gt;"",分析!K226,"")</f>
        <v/>
      </c>
      <c r="M226" s="141">
        <f>IF(分析!P226&lt;&gt;"",分析!P226,"")</f>
        <v/>
      </c>
      <c r="N226" s="599">
        <f>IF(分析!O226&lt;&gt;"",分析!O226,"")</f>
        <v/>
      </c>
      <c r="O226" s="148">
        <f>IF(分析!X226&lt;&gt;"",分析!X226,"")</f>
        <v/>
      </c>
      <c r="P226" s="600">
        <f>IF(分析!L226&lt;&gt;"",分析!L226,"")</f>
        <v/>
      </c>
      <c r="Q226" s="146">
        <f>IF(分析!S226&lt;&gt;"",分析!S226,"")</f>
        <v/>
      </c>
      <c r="R226" s="146">
        <f>IF(分析!R226&lt;&gt;"",分析!R226,"")</f>
        <v/>
      </c>
      <c r="S226" s="141">
        <f>IF(分析!AA226&lt;&gt;"",分析!AA226,"")</f>
        <v/>
      </c>
      <c r="T226" s="601">
        <f>IF(分析!Z226&lt;&gt;"",分析!Z226,"")</f>
        <v/>
      </c>
      <c r="U226" s="141">
        <f>IF(分析!V226&lt;&gt;"",分析!V226,"")</f>
        <v/>
      </c>
      <c r="V226" s="602">
        <f>IF(分析!W226&lt;&gt;"",分析!W226,"")</f>
        <v/>
      </c>
      <c r="W226" s="152">
        <f>IF(分析!AD226&lt;&gt;"",分析!AD226,"")</f>
        <v/>
      </c>
      <c r="X226" s="153">
        <f>IF(分析!AE226&lt;&gt;"",分析!AE226,"")</f>
        <v/>
      </c>
      <c r="Y226" s="154">
        <f>IF(分析!T226&lt;&gt;"",分析!T226,"")</f>
        <v/>
      </c>
      <c r="Z226" s="155">
        <f>IF(分析!Y226&lt;&gt;"",分析!Y226,"")</f>
        <v/>
      </c>
    </row>
    <row r="227" ht="21.95" customHeight="1" s="574">
      <c r="A227" s="156">
        <f>IF(分析!C227&lt;&gt;"",ROW()-2,"")</f>
        <v/>
      </c>
      <c r="B227" s="157">
        <f>IF(分析!C227&lt;&gt;"",HYPERLINK("https://kabutan.jp/stock/?code="&amp;分析!C227,"株探"),"")</f>
        <v/>
      </c>
      <c r="C227" s="603">
        <f>IF(分析!C227&lt;&gt;"",分析!C227,"")</f>
        <v/>
      </c>
      <c r="D227" s="159">
        <f>IF(分析!D227&lt;&gt;"",分析!D227,"")</f>
        <v/>
      </c>
      <c r="E227" s="160">
        <f>IF(分析!E227&lt;&gt;"",分析!E227,"")</f>
        <v/>
      </c>
      <c r="F227" s="161">
        <f>IF(分析!F227&lt;&gt;"",分析!F227,"")</f>
        <v/>
      </c>
      <c r="G227" s="161">
        <f>IF(分析!H227&lt;&gt;"",分析!H227,"")</f>
        <v/>
      </c>
      <c r="H227" s="161">
        <f>IF(分析!I227&lt;&gt;"",分析!I227,"")</f>
        <v/>
      </c>
      <c r="I227" s="161">
        <f>IF(分析!J227&lt;&gt;"",分析!J227,"")</f>
        <v/>
      </c>
      <c r="J227" s="161">
        <f>IF(分析!AB227&lt;&gt;"",分析!AB227,"")</f>
        <v/>
      </c>
      <c r="K227" s="161">
        <f>IF(分析!AC227&lt;&gt;"",分析!AC227,"")</f>
        <v/>
      </c>
      <c r="L227" s="161">
        <f>IF(分析!K227&lt;&gt;"",分析!K227,"")</f>
        <v/>
      </c>
      <c r="M227" s="156">
        <f>IF(分析!P227&lt;&gt;"",分析!P227,"")</f>
        <v/>
      </c>
      <c r="N227" s="604">
        <f>IF(分析!O227&lt;&gt;"",分析!O227,"")</f>
        <v/>
      </c>
      <c r="O227" s="163">
        <f>IF(分析!X227&lt;&gt;"",分析!X227,"")</f>
        <v/>
      </c>
      <c r="P227" s="605">
        <f>IF(分析!L227&lt;&gt;"",分析!L227,"")</f>
        <v/>
      </c>
      <c r="Q227" s="161">
        <f>IF(分析!S227&lt;&gt;"",分析!S227,"")</f>
        <v/>
      </c>
      <c r="R227" s="161">
        <f>IF(分析!R227&lt;&gt;"",分析!R227,"")</f>
        <v/>
      </c>
      <c r="S227" s="156">
        <f>IF(分析!AA227&lt;&gt;"",分析!AA227,"")</f>
        <v/>
      </c>
      <c r="T227" s="606">
        <f>IF(分析!Z227&lt;&gt;"",分析!Z227,"")</f>
        <v/>
      </c>
      <c r="U227" s="156">
        <f>IF(分析!V227&lt;&gt;"",分析!V227,"")</f>
        <v/>
      </c>
      <c r="V227" s="607">
        <f>IF(分析!W227&lt;&gt;"",分析!W227,"")</f>
        <v/>
      </c>
      <c r="W227" s="167">
        <f>IF(分析!AD227&lt;&gt;"",分析!AD227,"")</f>
        <v/>
      </c>
      <c r="X227" s="168">
        <f>IF(分析!AE227&lt;&gt;"",分析!AE227,"")</f>
        <v/>
      </c>
      <c r="Y227" s="169">
        <f>IF(分析!T227&lt;&gt;"",分析!T227,"")</f>
        <v/>
      </c>
      <c r="Z227" s="155">
        <f>IF(分析!Y227&lt;&gt;"",分析!Y227,"")</f>
        <v/>
      </c>
    </row>
    <row r="228" ht="21.95" customHeight="1" s="574">
      <c r="A228" s="141">
        <f>IF(分析!C228&lt;&gt;"",ROW()-2,"")</f>
        <v/>
      </c>
      <c r="B228" s="142">
        <f>IF(分析!C228&lt;&gt;"",HYPERLINK("https://kabutan.jp/stock/?code="&amp;分析!C228,"株探"),"")</f>
        <v/>
      </c>
      <c r="C228" s="598">
        <f>IF(分析!C228&lt;&gt;"",分析!C228,"")</f>
        <v/>
      </c>
      <c r="D228" s="144">
        <f>IF(分析!D228&lt;&gt;"",分析!D228,"")</f>
        <v/>
      </c>
      <c r="E228" s="145">
        <f>IF(分析!E228&lt;&gt;"",分析!E228,"")</f>
        <v/>
      </c>
      <c r="F228" s="146">
        <f>IF(分析!F228&lt;&gt;"",分析!F228,"")</f>
        <v/>
      </c>
      <c r="G228" s="146">
        <f>IF(分析!H228&lt;&gt;"",分析!H228,"")</f>
        <v/>
      </c>
      <c r="H228" s="146">
        <f>IF(分析!I228&lt;&gt;"",分析!I228,"")</f>
        <v/>
      </c>
      <c r="I228" s="146">
        <f>IF(分析!J228&lt;&gt;"",分析!J228,"")</f>
        <v/>
      </c>
      <c r="J228" s="146">
        <f>IF(分析!AB228&lt;&gt;"",分析!AB228,"")</f>
        <v/>
      </c>
      <c r="K228" s="146">
        <f>IF(分析!AC228&lt;&gt;"",分析!AC228,"")</f>
        <v/>
      </c>
      <c r="L228" s="146">
        <f>IF(分析!K228&lt;&gt;"",分析!K228,"")</f>
        <v/>
      </c>
      <c r="M228" s="141">
        <f>IF(分析!P228&lt;&gt;"",分析!P228,"")</f>
        <v/>
      </c>
      <c r="N228" s="599">
        <f>IF(分析!O228&lt;&gt;"",分析!O228,"")</f>
        <v/>
      </c>
      <c r="O228" s="148">
        <f>IF(分析!X228&lt;&gt;"",分析!X228,"")</f>
        <v/>
      </c>
      <c r="P228" s="600">
        <f>IF(分析!L228&lt;&gt;"",分析!L228,"")</f>
        <v/>
      </c>
      <c r="Q228" s="146">
        <f>IF(分析!S228&lt;&gt;"",分析!S228,"")</f>
        <v/>
      </c>
      <c r="R228" s="146">
        <f>IF(分析!R228&lt;&gt;"",分析!R228,"")</f>
        <v/>
      </c>
      <c r="S228" s="141">
        <f>IF(分析!AA228&lt;&gt;"",分析!AA228,"")</f>
        <v/>
      </c>
      <c r="T228" s="601">
        <f>IF(分析!Z228&lt;&gt;"",分析!Z228,"")</f>
        <v/>
      </c>
      <c r="U228" s="141">
        <f>IF(分析!V228&lt;&gt;"",分析!V228,"")</f>
        <v/>
      </c>
      <c r="V228" s="602">
        <f>IF(分析!W228&lt;&gt;"",分析!W228,"")</f>
        <v/>
      </c>
      <c r="W228" s="152">
        <f>IF(分析!AD228&lt;&gt;"",分析!AD228,"")</f>
        <v/>
      </c>
      <c r="X228" s="153">
        <f>IF(分析!AE228&lt;&gt;"",分析!AE228,"")</f>
        <v/>
      </c>
      <c r="Y228" s="154">
        <f>IF(分析!T228&lt;&gt;"",分析!T228,"")</f>
        <v/>
      </c>
      <c r="Z228" s="155">
        <f>IF(分析!Y228&lt;&gt;"",分析!Y228,"")</f>
        <v/>
      </c>
    </row>
    <row r="229" ht="21.95" customHeight="1" s="574">
      <c r="A229" s="156">
        <f>IF(分析!C229&lt;&gt;"",ROW()-2,"")</f>
        <v/>
      </c>
      <c r="B229" s="157">
        <f>IF(分析!C229&lt;&gt;"",HYPERLINK("https://kabutan.jp/stock/?code="&amp;分析!C229,"株探"),"")</f>
        <v/>
      </c>
      <c r="C229" s="603">
        <f>IF(分析!C229&lt;&gt;"",分析!C229,"")</f>
        <v/>
      </c>
      <c r="D229" s="159">
        <f>IF(分析!D229&lt;&gt;"",分析!D229,"")</f>
        <v/>
      </c>
      <c r="E229" s="160">
        <f>IF(分析!E229&lt;&gt;"",分析!E229,"")</f>
        <v/>
      </c>
      <c r="F229" s="161">
        <f>IF(分析!F229&lt;&gt;"",分析!F229,"")</f>
        <v/>
      </c>
      <c r="G229" s="161">
        <f>IF(分析!H229&lt;&gt;"",分析!H229,"")</f>
        <v/>
      </c>
      <c r="H229" s="161">
        <f>IF(分析!I229&lt;&gt;"",分析!I229,"")</f>
        <v/>
      </c>
      <c r="I229" s="161">
        <f>IF(分析!J229&lt;&gt;"",分析!J229,"")</f>
        <v/>
      </c>
      <c r="J229" s="161">
        <f>IF(分析!AB229&lt;&gt;"",分析!AB229,"")</f>
        <v/>
      </c>
      <c r="K229" s="161">
        <f>IF(分析!AC229&lt;&gt;"",分析!AC229,"")</f>
        <v/>
      </c>
      <c r="L229" s="161">
        <f>IF(分析!K229&lt;&gt;"",分析!K229,"")</f>
        <v/>
      </c>
      <c r="M229" s="156">
        <f>IF(分析!P229&lt;&gt;"",分析!P229,"")</f>
        <v/>
      </c>
      <c r="N229" s="604">
        <f>IF(分析!O229&lt;&gt;"",分析!O229,"")</f>
        <v/>
      </c>
      <c r="O229" s="163">
        <f>IF(分析!X229&lt;&gt;"",分析!X229,"")</f>
        <v/>
      </c>
      <c r="P229" s="605">
        <f>IF(分析!L229&lt;&gt;"",分析!L229,"")</f>
        <v/>
      </c>
      <c r="Q229" s="161">
        <f>IF(分析!S229&lt;&gt;"",分析!S229,"")</f>
        <v/>
      </c>
      <c r="R229" s="161">
        <f>IF(分析!R229&lt;&gt;"",分析!R229,"")</f>
        <v/>
      </c>
      <c r="S229" s="156">
        <f>IF(分析!AA229&lt;&gt;"",分析!AA229,"")</f>
        <v/>
      </c>
      <c r="T229" s="606">
        <f>IF(分析!Z229&lt;&gt;"",分析!Z229,"")</f>
        <v/>
      </c>
      <c r="U229" s="156">
        <f>IF(分析!V229&lt;&gt;"",分析!V229,"")</f>
        <v/>
      </c>
      <c r="V229" s="607">
        <f>IF(分析!W229&lt;&gt;"",分析!W229,"")</f>
        <v/>
      </c>
      <c r="W229" s="167">
        <f>IF(分析!AD229&lt;&gt;"",分析!AD229,"")</f>
        <v/>
      </c>
      <c r="X229" s="168">
        <f>IF(分析!AE229&lt;&gt;"",分析!AE229,"")</f>
        <v/>
      </c>
      <c r="Y229" s="169">
        <f>IF(分析!T229&lt;&gt;"",分析!T229,"")</f>
        <v/>
      </c>
      <c r="Z229" s="155">
        <f>IF(分析!Y229&lt;&gt;"",分析!Y229,"")</f>
        <v/>
      </c>
    </row>
    <row r="230" ht="21.95" customHeight="1" s="574">
      <c r="A230" s="141">
        <f>IF(分析!C230&lt;&gt;"",ROW()-2,"")</f>
        <v/>
      </c>
      <c r="B230" s="142">
        <f>IF(分析!C230&lt;&gt;"",HYPERLINK("https://kabutan.jp/stock/?code="&amp;分析!C230,"株探"),"")</f>
        <v/>
      </c>
      <c r="C230" s="598">
        <f>IF(分析!C230&lt;&gt;"",分析!C230,"")</f>
        <v/>
      </c>
      <c r="D230" s="144">
        <f>IF(分析!D230&lt;&gt;"",分析!D230,"")</f>
        <v/>
      </c>
      <c r="E230" s="145">
        <f>IF(分析!E230&lt;&gt;"",分析!E230,"")</f>
        <v/>
      </c>
      <c r="F230" s="146">
        <f>IF(分析!F230&lt;&gt;"",分析!F230,"")</f>
        <v/>
      </c>
      <c r="G230" s="146">
        <f>IF(分析!H230&lt;&gt;"",分析!H230,"")</f>
        <v/>
      </c>
      <c r="H230" s="146">
        <f>IF(分析!I230&lt;&gt;"",分析!I230,"")</f>
        <v/>
      </c>
      <c r="I230" s="146">
        <f>IF(分析!J230&lt;&gt;"",分析!J230,"")</f>
        <v/>
      </c>
      <c r="J230" s="146">
        <f>IF(分析!AB230&lt;&gt;"",分析!AB230,"")</f>
        <v/>
      </c>
      <c r="K230" s="146">
        <f>IF(分析!AC230&lt;&gt;"",分析!AC230,"")</f>
        <v/>
      </c>
      <c r="L230" s="146">
        <f>IF(分析!K230&lt;&gt;"",分析!K230,"")</f>
        <v/>
      </c>
      <c r="M230" s="141">
        <f>IF(分析!P230&lt;&gt;"",分析!P230,"")</f>
        <v/>
      </c>
      <c r="N230" s="599">
        <f>IF(分析!O230&lt;&gt;"",分析!O230,"")</f>
        <v/>
      </c>
      <c r="O230" s="148">
        <f>IF(分析!X230&lt;&gt;"",分析!X230,"")</f>
        <v/>
      </c>
      <c r="P230" s="600">
        <f>IF(分析!L230&lt;&gt;"",分析!L230,"")</f>
        <v/>
      </c>
      <c r="Q230" s="146">
        <f>IF(分析!S230&lt;&gt;"",分析!S230,"")</f>
        <v/>
      </c>
      <c r="R230" s="146">
        <f>IF(分析!R230&lt;&gt;"",分析!R230,"")</f>
        <v/>
      </c>
      <c r="S230" s="141">
        <f>IF(分析!AA230&lt;&gt;"",分析!AA230,"")</f>
        <v/>
      </c>
      <c r="T230" s="601">
        <f>IF(分析!Z230&lt;&gt;"",分析!Z230,"")</f>
        <v/>
      </c>
      <c r="U230" s="141">
        <f>IF(分析!V230&lt;&gt;"",分析!V230,"")</f>
        <v/>
      </c>
      <c r="V230" s="602">
        <f>IF(分析!W230&lt;&gt;"",分析!W230,"")</f>
        <v/>
      </c>
      <c r="W230" s="152">
        <f>IF(分析!AD230&lt;&gt;"",分析!AD230,"")</f>
        <v/>
      </c>
      <c r="X230" s="153">
        <f>IF(分析!AE230&lt;&gt;"",分析!AE230,"")</f>
        <v/>
      </c>
      <c r="Y230" s="154">
        <f>IF(分析!T230&lt;&gt;"",分析!T230,"")</f>
        <v/>
      </c>
      <c r="Z230" s="155">
        <f>IF(分析!Y230&lt;&gt;"",分析!Y230,"")</f>
        <v/>
      </c>
    </row>
    <row r="231" ht="21.95" customHeight="1" s="574">
      <c r="A231" s="156">
        <f>IF(分析!C231&lt;&gt;"",ROW()-2,"")</f>
        <v/>
      </c>
      <c r="B231" s="157">
        <f>IF(分析!C231&lt;&gt;"",HYPERLINK("https://kabutan.jp/stock/?code="&amp;分析!C231,"株探"),"")</f>
        <v/>
      </c>
      <c r="C231" s="603">
        <f>IF(分析!C231&lt;&gt;"",分析!C231,"")</f>
        <v/>
      </c>
      <c r="D231" s="159">
        <f>IF(分析!D231&lt;&gt;"",分析!D231,"")</f>
        <v/>
      </c>
      <c r="E231" s="160">
        <f>IF(分析!E231&lt;&gt;"",分析!E231,"")</f>
        <v/>
      </c>
      <c r="F231" s="161">
        <f>IF(分析!F231&lt;&gt;"",分析!F231,"")</f>
        <v/>
      </c>
      <c r="G231" s="161">
        <f>IF(分析!H231&lt;&gt;"",分析!H231,"")</f>
        <v/>
      </c>
      <c r="H231" s="161">
        <f>IF(分析!I231&lt;&gt;"",分析!I231,"")</f>
        <v/>
      </c>
      <c r="I231" s="161">
        <f>IF(分析!J231&lt;&gt;"",分析!J231,"")</f>
        <v/>
      </c>
      <c r="J231" s="161">
        <f>IF(分析!AB231&lt;&gt;"",分析!AB231,"")</f>
        <v/>
      </c>
      <c r="K231" s="161">
        <f>IF(分析!AC231&lt;&gt;"",分析!AC231,"")</f>
        <v/>
      </c>
      <c r="L231" s="161">
        <f>IF(分析!K231&lt;&gt;"",分析!K231,"")</f>
        <v/>
      </c>
      <c r="M231" s="156">
        <f>IF(分析!P231&lt;&gt;"",分析!P231,"")</f>
        <v/>
      </c>
      <c r="N231" s="604">
        <f>IF(分析!O231&lt;&gt;"",分析!O231,"")</f>
        <v/>
      </c>
      <c r="O231" s="163">
        <f>IF(分析!X231&lt;&gt;"",分析!X231,"")</f>
        <v/>
      </c>
      <c r="P231" s="605">
        <f>IF(分析!L231&lt;&gt;"",分析!L231,"")</f>
        <v/>
      </c>
      <c r="Q231" s="161">
        <f>IF(分析!S231&lt;&gt;"",分析!S231,"")</f>
        <v/>
      </c>
      <c r="R231" s="161">
        <f>IF(分析!R231&lt;&gt;"",分析!R231,"")</f>
        <v/>
      </c>
      <c r="S231" s="156">
        <f>IF(分析!AA231&lt;&gt;"",分析!AA231,"")</f>
        <v/>
      </c>
      <c r="T231" s="606">
        <f>IF(分析!Z231&lt;&gt;"",分析!Z231,"")</f>
        <v/>
      </c>
      <c r="U231" s="156">
        <f>IF(分析!V231&lt;&gt;"",分析!V231,"")</f>
        <v/>
      </c>
      <c r="V231" s="607">
        <f>IF(分析!W231&lt;&gt;"",分析!W231,"")</f>
        <v/>
      </c>
      <c r="W231" s="167">
        <f>IF(分析!AD231&lt;&gt;"",分析!AD231,"")</f>
        <v/>
      </c>
      <c r="X231" s="168">
        <f>IF(分析!AE231&lt;&gt;"",分析!AE231,"")</f>
        <v/>
      </c>
      <c r="Y231" s="169">
        <f>IF(分析!T231&lt;&gt;"",分析!T231,"")</f>
        <v/>
      </c>
      <c r="Z231" s="155">
        <f>IF(分析!Y231&lt;&gt;"",分析!Y231,"")</f>
        <v/>
      </c>
    </row>
    <row r="232" ht="21.95" customHeight="1" s="574">
      <c r="A232" s="141">
        <f>IF(分析!C232&lt;&gt;"",ROW()-2,"")</f>
        <v/>
      </c>
      <c r="B232" s="142">
        <f>IF(分析!C232&lt;&gt;"",HYPERLINK("https://kabutan.jp/stock/?code="&amp;分析!C232,"株探"),"")</f>
        <v/>
      </c>
      <c r="C232" s="598">
        <f>IF(分析!C232&lt;&gt;"",分析!C232,"")</f>
        <v/>
      </c>
      <c r="D232" s="144">
        <f>IF(分析!D232&lt;&gt;"",分析!D232,"")</f>
        <v/>
      </c>
      <c r="E232" s="145">
        <f>IF(分析!E232&lt;&gt;"",分析!E232,"")</f>
        <v/>
      </c>
      <c r="F232" s="146">
        <f>IF(分析!F232&lt;&gt;"",分析!F232,"")</f>
        <v/>
      </c>
      <c r="G232" s="146">
        <f>IF(分析!H232&lt;&gt;"",分析!H232,"")</f>
        <v/>
      </c>
      <c r="H232" s="146">
        <f>IF(分析!I232&lt;&gt;"",分析!I232,"")</f>
        <v/>
      </c>
      <c r="I232" s="146">
        <f>IF(分析!J232&lt;&gt;"",分析!J232,"")</f>
        <v/>
      </c>
      <c r="J232" s="146">
        <f>IF(分析!AB232&lt;&gt;"",分析!AB232,"")</f>
        <v/>
      </c>
      <c r="K232" s="146">
        <f>IF(分析!AC232&lt;&gt;"",分析!AC232,"")</f>
        <v/>
      </c>
      <c r="L232" s="146">
        <f>IF(分析!K232&lt;&gt;"",分析!K232,"")</f>
        <v/>
      </c>
      <c r="M232" s="141">
        <f>IF(分析!P232&lt;&gt;"",分析!P232,"")</f>
        <v/>
      </c>
      <c r="N232" s="599">
        <f>IF(分析!O232&lt;&gt;"",分析!O232,"")</f>
        <v/>
      </c>
      <c r="O232" s="148">
        <f>IF(分析!X232&lt;&gt;"",分析!X232,"")</f>
        <v/>
      </c>
      <c r="P232" s="600">
        <f>IF(分析!L232&lt;&gt;"",分析!L232,"")</f>
        <v/>
      </c>
      <c r="Q232" s="146">
        <f>IF(分析!S232&lt;&gt;"",分析!S232,"")</f>
        <v/>
      </c>
      <c r="R232" s="146">
        <f>IF(分析!R232&lt;&gt;"",分析!R232,"")</f>
        <v/>
      </c>
      <c r="S232" s="141">
        <f>IF(分析!AA232&lt;&gt;"",分析!AA232,"")</f>
        <v/>
      </c>
      <c r="T232" s="601">
        <f>IF(分析!Z232&lt;&gt;"",分析!Z232,"")</f>
        <v/>
      </c>
      <c r="U232" s="141">
        <f>IF(分析!V232&lt;&gt;"",分析!V232,"")</f>
        <v/>
      </c>
      <c r="V232" s="602">
        <f>IF(分析!W232&lt;&gt;"",分析!W232,"")</f>
        <v/>
      </c>
      <c r="W232" s="152">
        <f>IF(分析!AD232&lt;&gt;"",分析!AD232,"")</f>
        <v/>
      </c>
      <c r="X232" s="153">
        <f>IF(分析!AE232&lt;&gt;"",分析!AE232,"")</f>
        <v/>
      </c>
      <c r="Y232" s="154">
        <f>IF(分析!T232&lt;&gt;"",分析!T232,"")</f>
        <v/>
      </c>
      <c r="Z232" s="155">
        <f>IF(分析!Y232&lt;&gt;"",分析!Y232,"")</f>
        <v/>
      </c>
    </row>
    <row r="233" ht="21.95" customHeight="1" s="574">
      <c r="A233" s="156">
        <f>IF(分析!C233&lt;&gt;"",ROW()-2,"")</f>
        <v/>
      </c>
      <c r="B233" s="157">
        <f>IF(分析!C233&lt;&gt;"",HYPERLINK("https://kabutan.jp/stock/?code="&amp;分析!C233,"株探"),"")</f>
        <v/>
      </c>
      <c r="C233" s="603">
        <f>IF(分析!C233&lt;&gt;"",分析!C233,"")</f>
        <v/>
      </c>
      <c r="D233" s="159">
        <f>IF(分析!D233&lt;&gt;"",分析!D233,"")</f>
        <v/>
      </c>
      <c r="E233" s="160">
        <f>IF(分析!E233&lt;&gt;"",分析!E233,"")</f>
        <v/>
      </c>
      <c r="F233" s="161">
        <f>IF(分析!F233&lt;&gt;"",分析!F233,"")</f>
        <v/>
      </c>
      <c r="G233" s="161">
        <f>IF(分析!H233&lt;&gt;"",分析!H233,"")</f>
        <v/>
      </c>
      <c r="H233" s="161">
        <f>IF(分析!I233&lt;&gt;"",分析!I233,"")</f>
        <v/>
      </c>
      <c r="I233" s="161">
        <f>IF(分析!J233&lt;&gt;"",分析!J233,"")</f>
        <v/>
      </c>
      <c r="J233" s="161">
        <f>IF(分析!AB233&lt;&gt;"",分析!AB233,"")</f>
        <v/>
      </c>
      <c r="K233" s="161">
        <f>IF(分析!AC233&lt;&gt;"",分析!AC233,"")</f>
        <v/>
      </c>
      <c r="L233" s="161">
        <f>IF(分析!K233&lt;&gt;"",分析!K233,"")</f>
        <v/>
      </c>
      <c r="M233" s="156">
        <f>IF(分析!P233&lt;&gt;"",分析!P233,"")</f>
        <v/>
      </c>
      <c r="N233" s="604">
        <f>IF(分析!O233&lt;&gt;"",分析!O233,"")</f>
        <v/>
      </c>
      <c r="O233" s="163">
        <f>IF(分析!X233&lt;&gt;"",分析!X233,"")</f>
        <v/>
      </c>
      <c r="P233" s="605">
        <f>IF(分析!L233&lt;&gt;"",分析!L233,"")</f>
        <v/>
      </c>
      <c r="Q233" s="161">
        <f>IF(分析!S233&lt;&gt;"",分析!S233,"")</f>
        <v/>
      </c>
      <c r="R233" s="161">
        <f>IF(分析!R233&lt;&gt;"",分析!R233,"")</f>
        <v/>
      </c>
      <c r="S233" s="156">
        <f>IF(分析!AA233&lt;&gt;"",分析!AA233,"")</f>
        <v/>
      </c>
      <c r="T233" s="606">
        <f>IF(分析!Z233&lt;&gt;"",分析!Z233,"")</f>
        <v/>
      </c>
      <c r="U233" s="156">
        <f>IF(分析!V233&lt;&gt;"",分析!V233,"")</f>
        <v/>
      </c>
      <c r="V233" s="607">
        <f>IF(分析!W233&lt;&gt;"",分析!W233,"")</f>
        <v/>
      </c>
      <c r="W233" s="167">
        <f>IF(分析!AD233&lt;&gt;"",分析!AD233,"")</f>
        <v/>
      </c>
      <c r="X233" s="168">
        <f>IF(分析!AE233&lt;&gt;"",分析!AE233,"")</f>
        <v/>
      </c>
      <c r="Y233" s="169">
        <f>IF(分析!T233&lt;&gt;"",分析!T233,"")</f>
        <v/>
      </c>
      <c r="Z233" s="155">
        <f>IF(分析!Y233&lt;&gt;"",分析!Y233,"")</f>
        <v/>
      </c>
    </row>
    <row r="234" ht="21.95" customHeight="1" s="574">
      <c r="A234" s="141">
        <f>IF(分析!C234&lt;&gt;"",ROW()-2,"")</f>
        <v/>
      </c>
      <c r="B234" s="142">
        <f>IF(分析!C234&lt;&gt;"",HYPERLINK("https://kabutan.jp/stock/?code="&amp;分析!C234,"株探"),"")</f>
        <v/>
      </c>
      <c r="C234" s="598">
        <f>IF(分析!C234&lt;&gt;"",分析!C234,"")</f>
        <v/>
      </c>
      <c r="D234" s="144">
        <f>IF(分析!D234&lt;&gt;"",分析!D234,"")</f>
        <v/>
      </c>
      <c r="E234" s="145">
        <f>IF(分析!E234&lt;&gt;"",分析!E234,"")</f>
        <v/>
      </c>
      <c r="F234" s="146">
        <f>IF(分析!F234&lt;&gt;"",分析!F234,"")</f>
        <v/>
      </c>
      <c r="G234" s="146">
        <f>IF(分析!H234&lt;&gt;"",分析!H234,"")</f>
        <v/>
      </c>
      <c r="H234" s="146">
        <f>IF(分析!I234&lt;&gt;"",分析!I234,"")</f>
        <v/>
      </c>
      <c r="I234" s="146">
        <f>IF(分析!J234&lt;&gt;"",分析!J234,"")</f>
        <v/>
      </c>
      <c r="J234" s="146">
        <f>IF(分析!AB234&lt;&gt;"",分析!AB234,"")</f>
        <v/>
      </c>
      <c r="K234" s="146">
        <f>IF(分析!AC234&lt;&gt;"",分析!AC234,"")</f>
        <v/>
      </c>
      <c r="L234" s="146">
        <f>IF(分析!K234&lt;&gt;"",分析!K234,"")</f>
        <v/>
      </c>
      <c r="M234" s="141">
        <f>IF(分析!P234&lt;&gt;"",分析!P234,"")</f>
        <v/>
      </c>
      <c r="N234" s="599">
        <f>IF(分析!O234&lt;&gt;"",分析!O234,"")</f>
        <v/>
      </c>
      <c r="O234" s="148">
        <f>IF(分析!X234&lt;&gt;"",分析!X234,"")</f>
        <v/>
      </c>
      <c r="P234" s="600">
        <f>IF(分析!L234&lt;&gt;"",分析!L234,"")</f>
        <v/>
      </c>
      <c r="Q234" s="146">
        <f>IF(分析!S234&lt;&gt;"",分析!S234,"")</f>
        <v/>
      </c>
      <c r="R234" s="146">
        <f>IF(分析!R234&lt;&gt;"",分析!R234,"")</f>
        <v/>
      </c>
      <c r="S234" s="141">
        <f>IF(分析!AA234&lt;&gt;"",分析!AA234,"")</f>
        <v/>
      </c>
      <c r="T234" s="601">
        <f>IF(分析!Z234&lt;&gt;"",分析!Z234,"")</f>
        <v/>
      </c>
      <c r="U234" s="141">
        <f>IF(分析!V234&lt;&gt;"",分析!V234,"")</f>
        <v/>
      </c>
      <c r="V234" s="602">
        <f>IF(分析!W234&lt;&gt;"",分析!W234,"")</f>
        <v/>
      </c>
      <c r="W234" s="152">
        <f>IF(分析!AD234&lt;&gt;"",分析!AD234,"")</f>
        <v/>
      </c>
      <c r="X234" s="153">
        <f>IF(分析!AE234&lt;&gt;"",分析!AE234,"")</f>
        <v/>
      </c>
      <c r="Y234" s="154">
        <f>IF(分析!T234&lt;&gt;"",分析!T234,"")</f>
        <v/>
      </c>
      <c r="Z234" s="155">
        <f>IF(分析!Y234&lt;&gt;"",分析!Y234,"")</f>
        <v/>
      </c>
    </row>
    <row r="235" ht="21.95" customHeight="1" s="574">
      <c r="A235" s="156">
        <f>IF(分析!C235&lt;&gt;"",ROW()-2,"")</f>
        <v/>
      </c>
      <c r="B235" s="157">
        <f>IF(分析!C235&lt;&gt;"",HYPERLINK("https://kabutan.jp/stock/?code="&amp;分析!C235,"株探"),"")</f>
        <v/>
      </c>
      <c r="C235" s="603">
        <f>IF(分析!C235&lt;&gt;"",分析!C235,"")</f>
        <v/>
      </c>
      <c r="D235" s="159">
        <f>IF(分析!D235&lt;&gt;"",分析!D235,"")</f>
        <v/>
      </c>
      <c r="E235" s="160">
        <f>IF(分析!E235&lt;&gt;"",分析!E235,"")</f>
        <v/>
      </c>
      <c r="F235" s="161">
        <f>IF(分析!F235&lt;&gt;"",分析!F235,"")</f>
        <v/>
      </c>
      <c r="G235" s="161">
        <f>IF(分析!H235&lt;&gt;"",分析!H235,"")</f>
        <v/>
      </c>
      <c r="H235" s="161">
        <f>IF(分析!I235&lt;&gt;"",分析!I235,"")</f>
        <v/>
      </c>
      <c r="I235" s="161">
        <f>IF(分析!J235&lt;&gt;"",分析!J235,"")</f>
        <v/>
      </c>
      <c r="J235" s="161">
        <f>IF(分析!AB235&lt;&gt;"",分析!AB235,"")</f>
        <v/>
      </c>
      <c r="K235" s="161">
        <f>IF(分析!AC235&lt;&gt;"",分析!AC235,"")</f>
        <v/>
      </c>
      <c r="L235" s="161">
        <f>IF(分析!K235&lt;&gt;"",分析!K235,"")</f>
        <v/>
      </c>
      <c r="M235" s="156">
        <f>IF(分析!P235&lt;&gt;"",分析!P235,"")</f>
        <v/>
      </c>
      <c r="N235" s="604">
        <f>IF(分析!O235&lt;&gt;"",分析!O235,"")</f>
        <v/>
      </c>
      <c r="O235" s="163">
        <f>IF(分析!X235&lt;&gt;"",分析!X235,"")</f>
        <v/>
      </c>
      <c r="P235" s="605">
        <f>IF(分析!L235&lt;&gt;"",分析!L235,"")</f>
        <v/>
      </c>
      <c r="Q235" s="161">
        <f>IF(分析!S235&lt;&gt;"",分析!S235,"")</f>
        <v/>
      </c>
      <c r="R235" s="161">
        <f>IF(分析!R235&lt;&gt;"",分析!R235,"")</f>
        <v/>
      </c>
      <c r="S235" s="156">
        <f>IF(分析!AA235&lt;&gt;"",分析!AA235,"")</f>
        <v/>
      </c>
      <c r="T235" s="606">
        <f>IF(分析!Z235&lt;&gt;"",分析!Z235,"")</f>
        <v/>
      </c>
      <c r="U235" s="156">
        <f>IF(分析!V235&lt;&gt;"",分析!V235,"")</f>
        <v/>
      </c>
      <c r="V235" s="607">
        <f>IF(分析!W235&lt;&gt;"",分析!W235,"")</f>
        <v/>
      </c>
      <c r="W235" s="167">
        <f>IF(分析!AD235&lt;&gt;"",分析!AD235,"")</f>
        <v/>
      </c>
      <c r="X235" s="168">
        <f>IF(分析!AE235&lt;&gt;"",分析!AE235,"")</f>
        <v/>
      </c>
      <c r="Y235" s="169">
        <f>IF(分析!T235&lt;&gt;"",分析!T235,"")</f>
        <v/>
      </c>
      <c r="Z235" s="155">
        <f>IF(分析!Y235&lt;&gt;"",分析!Y235,"")</f>
        <v/>
      </c>
    </row>
    <row r="236" ht="21.95" customHeight="1" s="574">
      <c r="A236" s="141">
        <f>IF(分析!C236&lt;&gt;"",ROW()-2,"")</f>
        <v/>
      </c>
      <c r="B236" s="142">
        <f>IF(分析!C236&lt;&gt;"",HYPERLINK("https://kabutan.jp/stock/?code="&amp;分析!C236,"株探"),"")</f>
        <v/>
      </c>
      <c r="C236" s="598">
        <f>IF(分析!C236&lt;&gt;"",分析!C236,"")</f>
        <v/>
      </c>
      <c r="D236" s="144">
        <f>IF(分析!D236&lt;&gt;"",分析!D236,"")</f>
        <v/>
      </c>
      <c r="E236" s="145">
        <f>IF(分析!E236&lt;&gt;"",分析!E236,"")</f>
        <v/>
      </c>
      <c r="F236" s="146">
        <f>IF(分析!F236&lt;&gt;"",分析!F236,"")</f>
        <v/>
      </c>
      <c r="G236" s="146">
        <f>IF(分析!H236&lt;&gt;"",分析!H236,"")</f>
        <v/>
      </c>
      <c r="H236" s="146">
        <f>IF(分析!I236&lt;&gt;"",分析!I236,"")</f>
        <v/>
      </c>
      <c r="I236" s="146">
        <f>IF(分析!J236&lt;&gt;"",分析!J236,"")</f>
        <v/>
      </c>
      <c r="J236" s="146">
        <f>IF(分析!AB236&lt;&gt;"",分析!AB236,"")</f>
        <v/>
      </c>
      <c r="K236" s="146">
        <f>IF(分析!AC236&lt;&gt;"",分析!AC236,"")</f>
        <v/>
      </c>
      <c r="L236" s="146">
        <f>IF(分析!K236&lt;&gt;"",分析!K236,"")</f>
        <v/>
      </c>
      <c r="M236" s="141">
        <f>IF(分析!P236&lt;&gt;"",分析!P236,"")</f>
        <v/>
      </c>
      <c r="N236" s="599">
        <f>IF(分析!O236&lt;&gt;"",分析!O236,"")</f>
        <v/>
      </c>
      <c r="O236" s="148">
        <f>IF(分析!X236&lt;&gt;"",分析!X236,"")</f>
        <v/>
      </c>
      <c r="P236" s="600">
        <f>IF(分析!L236&lt;&gt;"",分析!L236,"")</f>
        <v/>
      </c>
      <c r="Q236" s="146">
        <f>IF(分析!S236&lt;&gt;"",分析!S236,"")</f>
        <v/>
      </c>
      <c r="R236" s="146">
        <f>IF(分析!R236&lt;&gt;"",分析!R236,"")</f>
        <v/>
      </c>
      <c r="S236" s="141">
        <f>IF(分析!AA236&lt;&gt;"",分析!AA236,"")</f>
        <v/>
      </c>
      <c r="T236" s="601">
        <f>IF(分析!Z236&lt;&gt;"",分析!Z236,"")</f>
        <v/>
      </c>
      <c r="U236" s="141">
        <f>IF(分析!V236&lt;&gt;"",分析!V236,"")</f>
        <v/>
      </c>
      <c r="V236" s="602">
        <f>IF(分析!W236&lt;&gt;"",分析!W236,"")</f>
        <v/>
      </c>
      <c r="W236" s="152">
        <f>IF(分析!AD236&lt;&gt;"",分析!AD236,"")</f>
        <v/>
      </c>
      <c r="X236" s="153">
        <f>IF(分析!AE236&lt;&gt;"",分析!AE236,"")</f>
        <v/>
      </c>
      <c r="Y236" s="154">
        <f>IF(分析!T236&lt;&gt;"",分析!T236,"")</f>
        <v/>
      </c>
      <c r="Z236" s="155">
        <f>IF(分析!Y236&lt;&gt;"",分析!Y236,"")</f>
        <v/>
      </c>
    </row>
    <row r="237" ht="21.95" customHeight="1" s="574">
      <c r="A237" s="156">
        <f>IF(分析!C237&lt;&gt;"",ROW()-2,"")</f>
        <v/>
      </c>
      <c r="B237" s="157">
        <f>IF(分析!C237&lt;&gt;"",HYPERLINK("https://kabutan.jp/stock/?code="&amp;分析!C237,"株探"),"")</f>
        <v/>
      </c>
      <c r="C237" s="603">
        <f>IF(分析!C237&lt;&gt;"",分析!C237,"")</f>
        <v/>
      </c>
      <c r="D237" s="159">
        <f>IF(分析!D237&lt;&gt;"",分析!D237,"")</f>
        <v/>
      </c>
      <c r="E237" s="160">
        <f>IF(分析!E237&lt;&gt;"",分析!E237,"")</f>
        <v/>
      </c>
      <c r="F237" s="161">
        <f>IF(分析!F237&lt;&gt;"",分析!F237,"")</f>
        <v/>
      </c>
      <c r="G237" s="161">
        <f>IF(分析!H237&lt;&gt;"",分析!H237,"")</f>
        <v/>
      </c>
      <c r="H237" s="161">
        <f>IF(分析!I237&lt;&gt;"",分析!I237,"")</f>
        <v/>
      </c>
      <c r="I237" s="161">
        <f>IF(分析!J237&lt;&gt;"",分析!J237,"")</f>
        <v/>
      </c>
      <c r="J237" s="161">
        <f>IF(分析!AB237&lt;&gt;"",分析!AB237,"")</f>
        <v/>
      </c>
      <c r="K237" s="161">
        <f>IF(分析!AC237&lt;&gt;"",分析!AC237,"")</f>
        <v/>
      </c>
      <c r="L237" s="161">
        <f>IF(分析!K237&lt;&gt;"",分析!K237,"")</f>
        <v/>
      </c>
      <c r="M237" s="156">
        <f>IF(分析!P237&lt;&gt;"",分析!P237,"")</f>
        <v/>
      </c>
      <c r="N237" s="604">
        <f>IF(分析!O237&lt;&gt;"",分析!O237,"")</f>
        <v/>
      </c>
      <c r="O237" s="163">
        <f>IF(分析!X237&lt;&gt;"",分析!X237,"")</f>
        <v/>
      </c>
      <c r="P237" s="605">
        <f>IF(分析!L237&lt;&gt;"",分析!L237,"")</f>
        <v/>
      </c>
      <c r="Q237" s="161">
        <f>IF(分析!S237&lt;&gt;"",分析!S237,"")</f>
        <v/>
      </c>
      <c r="R237" s="161">
        <f>IF(分析!R237&lt;&gt;"",分析!R237,"")</f>
        <v/>
      </c>
      <c r="S237" s="156">
        <f>IF(分析!AA237&lt;&gt;"",分析!AA237,"")</f>
        <v/>
      </c>
      <c r="T237" s="606">
        <f>IF(分析!Z237&lt;&gt;"",分析!Z237,"")</f>
        <v/>
      </c>
      <c r="U237" s="156">
        <f>IF(分析!V237&lt;&gt;"",分析!V237,"")</f>
        <v/>
      </c>
      <c r="V237" s="607">
        <f>IF(分析!W237&lt;&gt;"",分析!W237,"")</f>
        <v/>
      </c>
      <c r="W237" s="167">
        <f>IF(分析!AD237&lt;&gt;"",分析!AD237,"")</f>
        <v/>
      </c>
      <c r="X237" s="168">
        <f>IF(分析!AE237&lt;&gt;"",分析!AE237,"")</f>
        <v/>
      </c>
      <c r="Y237" s="169">
        <f>IF(分析!T237&lt;&gt;"",分析!T237,"")</f>
        <v/>
      </c>
      <c r="Z237" s="155">
        <f>IF(分析!Y237&lt;&gt;"",分析!Y237,"")</f>
        <v/>
      </c>
    </row>
    <row r="238" ht="21.95" customHeight="1" s="574">
      <c r="A238" s="141">
        <f>IF(分析!C238&lt;&gt;"",ROW()-2,"")</f>
        <v/>
      </c>
      <c r="B238" s="142">
        <f>IF(分析!C238&lt;&gt;"",HYPERLINK("https://kabutan.jp/stock/?code="&amp;分析!C238,"株探"),"")</f>
        <v/>
      </c>
      <c r="C238" s="598">
        <f>IF(分析!C238&lt;&gt;"",分析!C238,"")</f>
        <v/>
      </c>
      <c r="D238" s="144">
        <f>IF(分析!D238&lt;&gt;"",分析!D238,"")</f>
        <v/>
      </c>
      <c r="E238" s="145">
        <f>IF(分析!E238&lt;&gt;"",分析!E238,"")</f>
        <v/>
      </c>
      <c r="F238" s="146">
        <f>IF(分析!F238&lt;&gt;"",分析!F238,"")</f>
        <v/>
      </c>
      <c r="G238" s="146">
        <f>IF(分析!H238&lt;&gt;"",分析!H238,"")</f>
        <v/>
      </c>
      <c r="H238" s="146">
        <f>IF(分析!I238&lt;&gt;"",分析!I238,"")</f>
        <v/>
      </c>
      <c r="I238" s="146">
        <f>IF(分析!J238&lt;&gt;"",分析!J238,"")</f>
        <v/>
      </c>
      <c r="J238" s="146">
        <f>IF(分析!AB238&lt;&gt;"",分析!AB238,"")</f>
        <v/>
      </c>
      <c r="K238" s="146">
        <f>IF(分析!AC238&lt;&gt;"",分析!AC238,"")</f>
        <v/>
      </c>
      <c r="L238" s="146">
        <f>IF(分析!K238&lt;&gt;"",分析!K238,"")</f>
        <v/>
      </c>
      <c r="M238" s="141">
        <f>IF(分析!P238&lt;&gt;"",分析!P238,"")</f>
        <v/>
      </c>
      <c r="N238" s="599">
        <f>IF(分析!O238&lt;&gt;"",分析!O238,"")</f>
        <v/>
      </c>
      <c r="O238" s="148">
        <f>IF(分析!X238&lt;&gt;"",分析!X238,"")</f>
        <v/>
      </c>
      <c r="P238" s="600">
        <f>IF(分析!L238&lt;&gt;"",分析!L238,"")</f>
        <v/>
      </c>
      <c r="Q238" s="146">
        <f>IF(分析!S238&lt;&gt;"",分析!S238,"")</f>
        <v/>
      </c>
      <c r="R238" s="146">
        <f>IF(分析!R238&lt;&gt;"",分析!R238,"")</f>
        <v/>
      </c>
      <c r="S238" s="141">
        <f>IF(分析!AA238&lt;&gt;"",分析!AA238,"")</f>
        <v/>
      </c>
      <c r="T238" s="601">
        <f>IF(分析!Z238&lt;&gt;"",分析!Z238,"")</f>
        <v/>
      </c>
      <c r="U238" s="141">
        <f>IF(分析!V238&lt;&gt;"",分析!V238,"")</f>
        <v/>
      </c>
      <c r="V238" s="602">
        <f>IF(分析!W238&lt;&gt;"",分析!W238,"")</f>
        <v/>
      </c>
      <c r="W238" s="152">
        <f>IF(分析!AD238&lt;&gt;"",分析!AD238,"")</f>
        <v/>
      </c>
      <c r="X238" s="153">
        <f>IF(分析!AE238&lt;&gt;"",分析!AE238,"")</f>
        <v/>
      </c>
      <c r="Y238" s="154">
        <f>IF(分析!T238&lt;&gt;"",分析!T238,"")</f>
        <v/>
      </c>
      <c r="Z238" s="155">
        <f>IF(分析!Y238&lt;&gt;"",分析!Y238,"")</f>
        <v/>
      </c>
    </row>
    <row r="239" ht="21.95" customHeight="1" s="574">
      <c r="A239" s="156">
        <f>IF(分析!C239&lt;&gt;"",ROW()-2,"")</f>
        <v/>
      </c>
      <c r="B239" s="157">
        <f>IF(分析!C239&lt;&gt;"",HYPERLINK("https://kabutan.jp/stock/?code="&amp;分析!C239,"株探"),"")</f>
        <v/>
      </c>
      <c r="C239" s="603">
        <f>IF(分析!C239&lt;&gt;"",分析!C239,"")</f>
        <v/>
      </c>
      <c r="D239" s="159">
        <f>IF(分析!D239&lt;&gt;"",分析!D239,"")</f>
        <v/>
      </c>
      <c r="E239" s="160">
        <f>IF(分析!E239&lt;&gt;"",分析!E239,"")</f>
        <v/>
      </c>
      <c r="F239" s="161">
        <f>IF(分析!F239&lt;&gt;"",分析!F239,"")</f>
        <v/>
      </c>
      <c r="G239" s="161">
        <f>IF(分析!H239&lt;&gt;"",分析!H239,"")</f>
        <v/>
      </c>
      <c r="H239" s="161">
        <f>IF(分析!I239&lt;&gt;"",分析!I239,"")</f>
        <v/>
      </c>
      <c r="I239" s="161">
        <f>IF(分析!J239&lt;&gt;"",分析!J239,"")</f>
        <v/>
      </c>
      <c r="J239" s="161">
        <f>IF(分析!AB239&lt;&gt;"",分析!AB239,"")</f>
        <v/>
      </c>
      <c r="K239" s="161">
        <f>IF(分析!AC239&lt;&gt;"",分析!AC239,"")</f>
        <v/>
      </c>
      <c r="L239" s="161">
        <f>IF(分析!K239&lt;&gt;"",分析!K239,"")</f>
        <v/>
      </c>
      <c r="M239" s="156">
        <f>IF(分析!P239&lt;&gt;"",分析!P239,"")</f>
        <v/>
      </c>
      <c r="N239" s="604">
        <f>IF(分析!O239&lt;&gt;"",分析!O239,"")</f>
        <v/>
      </c>
      <c r="O239" s="163">
        <f>IF(分析!X239&lt;&gt;"",分析!X239,"")</f>
        <v/>
      </c>
      <c r="P239" s="605">
        <f>IF(分析!L239&lt;&gt;"",分析!L239,"")</f>
        <v/>
      </c>
      <c r="Q239" s="161">
        <f>IF(分析!S239&lt;&gt;"",分析!S239,"")</f>
        <v/>
      </c>
      <c r="R239" s="161">
        <f>IF(分析!R239&lt;&gt;"",分析!R239,"")</f>
        <v/>
      </c>
      <c r="S239" s="156">
        <f>IF(分析!AA239&lt;&gt;"",分析!AA239,"")</f>
        <v/>
      </c>
      <c r="T239" s="606">
        <f>IF(分析!Z239&lt;&gt;"",分析!Z239,"")</f>
        <v/>
      </c>
      <c r="U239" s="156">
        <f>IF(分析!V239&lt;&gt;"",分析!V239,"")</f>
        <v/>
      </c>
      <c r="V239" s="607">
        <f>IF(分析!W239&lt;&gt;"",分析!W239,"")</f>
        <v/>
      </c>
      <c r="W239" s="167">
        <f>IF(分析!AD239&lt;&gt;"",分析!AD239,"")</f>
        <v/>
      </c>
      <c r="X239" s="168">
        <f>IF(分析!AE239&lt;&gt;"",分析!AE239,"")</f>
        <v/>
      </c>
      <c r="Y239" s="169">
        <f>IF(分析!T239&lt;&gt;"",分析!T239,"")</f>
        <v/>
      </c>
      <c r="Z239" s="155">
        <f>IF(分析!Y239&lt;&gt;"",分析!Y239,"")</f>
        <v/>
      </c>
    </row>
    <row r="240" ht="21.95" customHeight="1" s="574">
      <c r="A240" s="141">
        <f>IF(分析!C240&lt;&gt;"",ROW()-2,"")</f>
        <v/>
      </c>
      <c r="B240" s="142">
        <f>IF(分析!C240&lt;&gt;"",HYPERLINK("https://kabutan.jp/stock/?code="&amp;分析!C240,"株探"),"")</f>
        <v/>
      </c>
      <c r="C240" s="598">
        <f>IF(分析!C240&lt;&gt;"",分析!C240,"")</f>
        <v/>
      </c>
      <c r="D240" s="144">
        <f>IF(分析!D240&lt;&gt;"",分析!D240,"")</f>
        <v/>
      </c>
      <c r="E240" s="145">
        <f>IF(分析!E240&lt;&gt;"",分析!E240,"")</f>
        <v/>
      </c>
      <c r="F240" s="146">
        <f>IF(分析!F240&lt;&gt;"",分析!F240,"")</f>
        <v/>
      </c>
      <c r="G240" s="146">
        <f>IF(分析!H240&lt;&gt;"",分析!H240,"")</f>
        <v/>
      </c>
      <c r="H240" s="146">
        <f>IF(分析!I240&lt;&gt;"",分析!I240,"")</f>
        <v/>
      </c>
      <c r="I240" s="146">
        <f>IF(分析!J240&lt;&gt;"",分析!J240,"")</f>
        <v/>
      </c>
      <c r="J240" s="146">
        <f>IF(分析!AB240&lt;&gt;"",分析!AB240,"")</f>
        <v/>
      </c>
      <c r="K240" s="146">
        <f>IF(分析!AC240&lt;&gt;"",分析!AC240,"")</f>
        <v/>
      </c>
      <c r="L240" s="146">
        <f>IF(分析!K240&lt;&gt;"",分析!K240,"")</f>
        <v/>
      </c>
      <c r="M240" s="141">
        <f>IF(分析!P240&lt;&gt;"",分析!P240,"")</f>
        <v/>
      </c>
      <c r="N240" s="599">
        <f>IF(分析!O240&lt;&gt;"",分析!O240,"")</f>
        <v/>
      </c>
      <c r="O240" s="148">
        <f>IF(分析!X240&lt;&gt;"",分析!X240,"")</f>
        <v/>
      </c>
      <c r="P240" s="600">
        <f>IF(分析!L240&lt;&gt;"",分析!L240,"")</f>
        <v/>
      </c>
      <c r="Q240" s="146">
        <f>IF(分析!S240&lt;&gt;"",分析!S240,"")</f>
        <v/>
      </c>
      <c r="R240" s="146">
        <f>IF(分析!R240&lt;&gt;"",分析!R240,"")</f>
        <v/>
      </c>
      <c r="S240" s="141">
        <f>IF(分析!AA240&lt;&gt;"",分析!AA240,"")</f>
        <v/>
      </c>
      <c r="T240" s="601">
        <f>IF(分析!Z240&lt;&gt;"",分析!Z240,"")</f>
        <v/>
      </c>
      <c r="U240" s="141">
        <f>IF(分析!V240&lt;&gt;"",分析!V240,"")</f>
        <v/>
      </c>
      <c r="V240" s="602">
        <f>IF(分析!W240&lt;&gt;"",分析!W240,"")</f>
        <v/>
      </c>
      <c r="W240" s="152">
        <f>IF(分析!AD240&lt;&gt;"",分析!AD240,"")</f>
        <v/>
      </c>
      <c r="X240" s="153">
        <f>IF(分析!AE240&lt;&gt;"",分析!AE240,"")</f>
        <v/>
      </c>
      <c r="Y240" s="154">
        <f>IF(分析!T240&lt;&gt;"",分析!T240,"")</f>
        <v/>
      </c>
      <c r="Z240" s="155">
        <f>IF(分析!Y240&lt;&gt;"",分析!Y240,"")</f>
        <v/>
      </c>
    </row>
    <row r="241" ht="21.95" customHeight="1" s="574">
      <c r="A241" s="156">
        <f>IF(分析!C241&lt;&gt;"",ROW()-2,"")</f>
        <v/>
      </c>
      <c r="B241" s="157">
        <f>IF(分析!C241&lt;&gt;"",HYPERLINK("https://kabutan.jp/stock/?code="&amp;分析!C241,"株探"),"")</f>
        <v/>
      </c>
      <c r="C241" s="603">
        <f>IF(分析!C241&lt;&gt;"",分析!C241,"")</f>
        <v/>
      </c>
      <c r="D241" s="159">
        <f>IF(分析!D241&lt;&gt;"",分析!D241,"")</f>
        <v/>
      </c>
      <c r="E241" s="160">
        <f>IF(分析!E241&lt;&gt;"",分析!E241,"")</f>
        <v/>
      </c>
      <c r="F241" s="161">
        <f>IF(分析!F241&lt;&gt;"",分析!F241,"")</f>
        <v/>
      </c>
      <c r="G241" s="161">
        <f>IF(分析!H241&lt;&gt;"",分析!H241,"")</f>
        <v/>
      </c>
      <c r="H241" s="161">
        <f>IF(分析!I241&lt;&gt;"",分析!I241,"")</f>
        <v/>
      </c>
      <c r="I241" s="161">
        <f>IF(分析!J241&lt;&gt;"",分析!J241,"")</f>
        <v/>
      </c>
      <c r="J241" s="161">
        <f>IF(分析!AB241&lt;&gt;"",分析!AB241,"")</f>
        <v/>
      </c>
      <c r="K241" s="161">
        <f>IF(分析!AC241&lt;&gt;"",分析!AC241,"")</f>
        <v/>
      </c>
      <c r="L241" s="161">
        <f>IF(分析!K241&lt;&gt;"",分析!K241,"")</f>
        <v/>
      </c>
      <c r="M241" s="156">
        <f>IF(分析!P241&lt;&gt;"",分析!P241,"")</f>
        <v/>
      </c>
      <c r="N241" s="604">
        <f>IF(分析!O241&lt;&gt;"",分析!O241,"")</f>
        <v/>
      </c>
      <c r="O241" s="163">
        <f>IF(分析!X241&lt;&gt;"",分析!X241,"")</f>
        <v/>
      </c>
      <c r="P241" s="605">
        <f>IF(分析!L241&lt;&gt;"",分析!L241,"")</f>
        <v/>
      </c>
      <c r="Q241" s="161">
        <f>IF(分析!S241&lt;&gt;"",分析!S241,"")</f>
        <v/>
      </c>
      <c r="R241" s="161">
        <f>IF(分析!R241&lt;&gt;"",分析!R241,"")</f>
        <v/>
      </c>
      <c r="S241" s="156">
        <f>IF(分析!AA241&lt;&gt;"",分析!AA241,"")</f>
        <v/>
      </c>
      <c r="T241" s="606">
        <f>IF(分析!Z241&lt;&gt;"",分析!Z241,"")</f>
        <v/>
      </c>
      <c r="U241" s="156">
        <f>IF(分析!V241&lt;&gt;"",分析!V241,"")</f>
        <v/>
      </c>
      <c r="V241" s="607">
        <f>IF(分析!W241&lt;&gt;"",分析!W241,"")</f>
        <v/>
      </c>
      <c r="W241" s="167">
        <f>IF(分析!AD241&lt;&gt;"",分析!AD241,"")</f>
        <v/>
      </c>
      <c r="X241" s="168">
        <f>IF(分析!AE241&lt;&gt;"",分析!AE241,"")</f>
        <v/>
      </c>
      <c r="Y241" s="169">
        <f>IF(分析!T241&lt;&gt;"",分析!T241,"")</f>
        <v/>
      </c>
      <c r="Z241" s="155">
        <f>IF(分析!Y241&lt;&gt;"",分析!Y241,"")</f>
        <v/>
      </c>
    </row>
    <row r="242" ht="21.95" customHeight="1" s="574">
      <c r="A242" s="141">
        <f>IF(分析!C242&lt;&gt;"",ROW()-2,"")</f>
        <v/>
      </c>
      <c r="B242" s="142">
        <f>IF(分析!C242&lt;&gt;"",HYPERLINK("https://kabutan.jp/stock/?code="&amp;分析!C242,"株探"),"")</f>
        <v/>
      </c>
      <c r="C242" s="598">
        <f>IF(分析!C242&lt;&gt;"",分析!C242,"")</f>
        <v/>
      </c>
      <c r="D242" s="144">
        <f>IF(分析!D242&lt;&gt;"",分析!D242,"")</f>
        <v/>
      </c>
      <c r="E242" s="145">
        <f>IF(分析!E242&lt;&gt;"",分析!E242,"")</f>
        <v/>
      </c>
      <c r="F242" s="146">
        <f>IF(分析!F242&lt;&gt;"",分析!F242,"")</f>
        <v/>
      </c>
      <c r="G242" s="146">
        <f>IF(分析!H242&lt;&gt;"",分析!H242,"")</f>
        <v/>
      </c>
      <c r="H242" s="146">
        <f>IF(分析!I242&lt;&gt;"",分析!I242,"")</f>
        <v/>
      </c>
      <c r="I242" s="146">
        <f>IF(分析!J242&lt;&gt;"",分析!J242,"")</f>
        <v/>
      </c>
      <c r="J242" s="146">
        <f>IF(分析!AB242&lt;&gt;"",分析!AB242,"")</f>
        <v/>
      </c>
      <c r="K242" s="146">
        <f>IF(分析!AC242&lt;&gt;"",分析!AC242,"")</f>
        <v/>
      </c>
      <c r="L242" s="146">
        <f>IF(分析!K242&lt;&gt;"",分析!K242,"")</f>
        <v/>
      </c>
      <c r="M242" s="141">
        <f>IF(分析!P242&lt;&gt;"",分析!P242,"")</f>
        <v/>
      </c>
      <c r="N242" s="599">
        <f>IF(分析!O242&lt;&gt;"",分析!O242,"")</f>
        <v/>
      </c>
      <c r="O242" s="148">
        <f>IF(分析!X242&lt;&gt;"",分析!X242,"")</f>
        <v/>
      </c>
      <c r="P242" s="600">
        <f>IF(分析!L242&lt;&gt;"",分析!L242,"")</f>
        <v/>
      </c>
      <c r="Q242" s="146">
        <f>IF(分析!S242&lt;&gt;"",分析!S242,"")</f>
        <v/>
      </c>
      <c r="R242" s="146">
        <f>IF(分析!R242&lt;&gt;"",分析!R242,"")</f>
        <v/>
      </c>
      <c r="S242" s="141">
        <f>IF(分析!AA242&lt;&gt;"",分析!AA242,"")</f>
        <v/>
      </c>
      <c r="T242" s="601">
        <f>IF(分析!Z242&lt;&gt;"",分析!Z242,"")</f>
        <v/>
      </c>
      <c r="U242" s="141">
        <f>IF(分析!V242&lt;&gt;"",分析!V242,"")</f>
        <v/>
      </c>
      <c r="V242" s="602">
        <f>IF(分析!W242&lt;&gt;"",分析!W242,"")</f>
        <v/>
      </c>
      <c r="W242" s="152">
        <f>IF(分析!AD242&lt;&gt;"",分析!AD242,"")</f>
        <v/>
      </c>
      <c r="X242" s="153">
        <f>IF(分析!AE242&lt;&gt;"",分析!AE242,"")</f>
        <v/>
      </c>
      <c r="Y242" s="154">
        <f>IF(分析!T242&lt;&gt;"",分析!T242,"")</f>
        <v/>
      </c>
      <c r="Z242" s="155">
        <f>IF(分析!Y242&lt;&gt;"",分析!Y242,"")</f>
        <v/>
      </c>
    </row>
    <row r="243" ht="21.95" customHeight="1" s="574">
      <c r="A243" s="156">
        <f>IF(分析!C243&lt;&gt;"",ROW()-2,"")</f>
        <v/>
      </c>
      <c r="B243" s="157">
        <f>IF(分析!C243&lt;&gt;"",HYPERLINK("https://kabutan.jp/stock/?code="&amp;分析!C243,"株探"),"")</f>
        <v/>
      </c>
      <c r="C243" s="603">
        <f>IF(分析!C243&lt;&gt;"",分析!C243,"")</f>
        <v/>
      </c>
      <c r="D243" s="159">
        <f>IF(分析!D243&lt;&gt;"",分析!D243,"")</f>
        <v/>
      </c>
      <c r="E243" s="160">
        <f>IF(分析!E243&lt;&gt;"",分析!E243,"")</f>
        <v/>
      </c>
      <c r="F243" s="161">
        <f>IF(分析!F243&lt;&gt;"",分析!F243,"")</f>
        <v/>
      </c>
      <c r="G243" s="161">
        <f>IF(分析!H243&lt;&gt;"",分析!H243,"")</f>
        <v/>
      </c>
      <c r="H243" s="161">
        <f>IF(分析!I243&lt;&gt;"",分析!I243,"")</f>
        <v/>
      </c>
      <c r="I243" s="161">
        <f>IF(分析!J243&lt;&gt;"",分析!J243,"")</f>
        <v/>
      </c>
      <c r="J243" s="161">
        <f>IF(分析!AB243&lt;&gt;"",分析!AB243,"")</f>
        <v/>
      </c>
      <c r="K243" s="161">
        <f>IF(分析!AC243&lt;&gt;"",分析!AC243,"")</f>
        <v/>
      </c>
      <c r="L243" s="161">
        <f>IF(分析!K243&lt;&gt;"",分析!K243,"")</f>
        <v/>
      </c>
      <c r="M243" s="156">
        <f>IF(分析!P243&lt;&gt;"",分析!P243,"")</f>
        <v/>
      </c>
      <c r="N243" s="604">
        <f>IF(分析!O243&lt;&gt;"",分析!O243,"")</f>
        <v/>
      </c>
      <c r="O243" s="163">
        <f>IF(分析!X243&lt;&gt;"",分析!X243,"")</f>
        <v/>
      </c>
      <c r="P243" s="605">
        <f>IF(分析!L243&lt;&gt;"",分析!L243,"")</f>
        <v/>
      </c>
      <c r="Q243" s="161">
        <f>IF(分析!S243&lt;&gt;"",分析!S243,"")</f>
        <v/>
      </c>
      <c r="R243" s="161">
        <f>IF(分析!R243&lt;&gt;"",分析!R243,"")</f>
        <v/>
      </c>
      <c r="S243" s="156">
        <f>IF(分析!AA243&lt;&gt;"",分析!AA243,"")</f>
        <v/>
      </c>
      <c r="T243" s="606">
        <f>IF(分析!Z243&lt;&gt;"",分析!Z243,"")</f>
        <v/>
      </c>
      <c r="U243" s="156">
        <f>IF(分析!V243&lt;&gt;"",分析!V243,"")</f>
        <v/>
      </c>
      <c r="V243" s="607">
        <f>IF(分析!W243&lt;&gt;"",分析!W243,"")</f>
        <v/>
      </c>
      <c r="W243" s="167">
        <f>IF(分析!AD243&lt;&gt;"",分析!AD243,"")</f>
        <v/>
      </c>
      <c r="X243" s="168">
        <f>IF(分析!AE243&lt;&gt;"",分析!AE243,"")</f>
        <v/>
      </c>
      <c r="Y243" s="169">
        <f>IF(分析!T243&lt;&gt;"",分析!T243,"")</f>
        <v/>
      </c>
      <c r="Z243" s="155">
        <f>IF(分析!Y243&lt;&gt;"",分析!Y243,"")</f>
        <v/>
      </c>
    </row>
    <row r="244" ht="21.95" customHeight="1" s="574">
      <c r="A244" s="141">
        <f>IF(分析!C244&lt;&gt;"",ROW()-2,"")</f>
        <v/>
      </c>
      <c r="B244" s="142">
        <f>IF(分析!C244&lt;&gt;"",HYPERLINK("https://kabutan.jp/stock/?code="&amp;分析!C244,"株探"),"")</f>
        <v/>
      </c>
      <c r="C244" s="598">
        <f>IF(分析!C244&lt;&gt;"",分析!C244,"")</f>
        <v/>
      </c>
      <c r="D244" s="144">
        <f>IF(分析!D244&lt;&gt;"",分析!D244,"")</f>
        <v/>
      </c>
      <c r="E244" s="145">
        <f>IF(分析!E244&lt;&gt;"",分析!E244,"")</f>
        <v/>
      </c>
      <c r="F244" s="146">
        <f>IF(分析!F244&lt;&gt;"",分析!F244,"")</f>
        <v/>
      </c>
      <c r="G244" s="146">
        <f>IF(分析!H244&lt;&gt;"",分析!H244,"")</f>
        <v/>
      </c>
      <c r="H244" s="146">
        <f>IF(分析!I244&lt;&gt;"",分析!I244,"")</f>
        <v/>
      </c>
      <c r="I244" s="146">
        <f>IF(分析!J244&lt;&gt;"",分析!J244,"")</f>
        <v/>
      </c>
      <c r="J244" s="146">
        <f>IF(分析!AB244&lt;&gt;"",分析!AB244,"")</f>
        <v/>
      </c>
      <c r="K244" s="146">
        <f>IF(分析!AC244&lt;&gt;"",分析!AC244,"")</f>
        <v/>
      </c>
      <c r="L244" s="146">
        <f>IF(分析!K244&lt;&gt;"",分析!K244,"")</f>
        <v/>
      </c>
      <c r="M244" s="141">
        <f>IF(分析!P244&lt;&gt;"",分析!P244,"")</f>
        <v/>
      </c>
      <c r="N244" s="599">
        <f>IF(分析!O244&lt;&gt;"",分析!O244,"")</f>
        <v/>
      </c>
      <c r="O244" s="148">
        <f>IF(分析!X244&lt;&gt;"",分析!X244,"")</f>
        <v/>
      </c>
      <c r="P244" s="600">
        <f>IF(分析!L244&lt;&gt;"",分析!L244,"")</f>
        <v/>
      </c>
      <c r="Q244" s="146">
        <f>IF(分析!S244&lt;&gt;"",分析!S244,"")</f>
        <v/>
      </c>
      <c r="R244" s="146">
        <f>IF(分析!R244&lt;&gt;"",分析!R244,"")</f>
        <v/>
      </c>
      <c r="S244" s="141">
        <f>IF(分析!AA244&lt;&gt;"",分析!AA244,"")</f>
        <v/>
      </c>
      <c r="T244" s="601">
        <f>IF(分析!Z244&lt;&gt;"",分析!Z244,"")</f>
        <v/>
      </c>
      <c r="U244" s="141">
        <f>IF(分析!V244&lt;&gt;"",分析!V244,"")</f>
        <v/>
      </c>
      <c r="V244" s="602">
        <f>IF(分析!W244&lt;&gt;"",分析!W244,"")</f>
        <v/>
      </c>
      <c r="W244" s="152">
        <f>IF(分析!AD244&lt;&gt;"",分析!AD244,"")</f>
        <v/>
      </c>
      <c r="X244" s="153">
        <f>IF(分析!AE244&lt;&gt;"",分析!AE244,"")</f>
        <v/>
      </c>
      <c r="Y244" s="154">
        <f>IF(分析!T244&lt;&gt;"",分析!T244,"")</f>
        <v/>
      </c>
      <c r="Z244" s="155">
        <f>IF(分析!Y244&lt;&gt;"",分析!Y244,"")</f>
        <v/>
      </c>
    </row>
    <row r="245" ht="21.95" customHeight="1" s="574">
      <c r="A245" s="156">
        <f>IF(分析!C245&lt;&gt;"",ROW()-2,"")</f>
        <v/>
      </c>
      <c r="B245" s="157">
        <f>IF(分析!C245&lt;&gt;"",HYPERLINK("https://kabutan.jp/stock/?code="&amp;分析!C245,"株探"),"")</f>
        <v/>
      </c>
      <c r="C245" s="603">
        <f>IF(分析!C245&lt;&gt;"",分析!C245,"")</f>
        <v/>
      </c>
      <c r="D245" s="159">
        <f>IF(分析!D245&lt;&gt;"",分析!D245,"")</f>
        <v/>
      </c>
      <c r="E245" s="160">
        <f>IF(分析!E245&lt;&gt;"",分析!E245,"")</f>
        <v/>
      </c>
      <c r="F245" s="161">
        <f>IF(分析!F245&lt;&gt;"",分析!F245,"")</f>
        <v/>
      </c>
      <c r="G245" s="161">
        <f>IF(分析!H245&lt;&gt;"",分析!H245,"")</f>
        <v/>
      </c>
      <c r="H245" s="161">
        <f>IF(分析!I245&lt;&gt;"",分析!I245,"")</f>
        <v/>
      </c>
      <c r="I245" s="161">
        <f>IF(分析!J245&lt;&gt;"",分析!J245,"")</f>
        <v/>
      </c>
      <c r="J245" s="161">
        <f>IF(分析!AB245&lt;&gt;"",分析!AB245,"")</f>
        <v/>
      </c>
      <c r="K245" s="161">
        <f>IF(分析!AC245&lt;&gt;"",分析!AC245,"")</f>
        <v/>
      </c>
      <c r="L245" s="161">
        <f>IF(分析!K245&lt;&gt;"",分析!K245,"")</f>
        <v/>
      </c>
      <c r="M245" s="156">
        <f>IF(分析!P245&lt;&gt;"",分析!P245,"")</f>
        <v/>
      </c>
      <c r="N245" s="604">
        <f>IF(分析!O245&lt;&gt;"",分析!O245,"")</f>
        <v/>
      </c>
      <c r="O245" s="163">
        <f>IF(分析!X245&lt;&gt;"",分析!X245,"")</f>
        <v/>
      </c>
      <c r="P245" s="605">
        <f>IF(分析!L245&lt;&gt;"",分析!L245,"")</f>
        <v/>
      </c>
      <c r="Q245" s="161">
        <f>IF(分析!S245&lt;&gt;"",分析!S245,"")</f>
        <v/>
      </c>
      <c r="R245" s="161">
        <f>IF(分析!R245&lt;&gt;"",分析!R245,"")</f>
        <v/>
      </c>
      <c r="S245" s="156">
        <f>IF(分析!AA245&lt;&gt;"",分析!AA245,"")</f>
        <v/>
      </c>
      <c r="T245" s="606">
        <f>IF(分析!Z245&lt;&gt;"",分析!Z245,"")</f>
        <v/>
      </c>
      <c r="U245" s="156">
        <f>IF(分析!V245&lt;&gt;"",分析!V245,"")</f>
        <v/>
      </c>
      <c r="V245" s="607">
        <f>IF(分析!W245&lt;&gt;"",分析!W245,"")</f>
        <v/>
      </c>
      <c r="W245" s="167">
        <f>IF(分析!AD245&lt;&gt;"",分析!AD245,"")</f>
        <v/>
      </c>
      <c r="X245" s="168">
        <f>IF(分析!AE245&lt;&gt;"",分析!AE245,"")</f>
        <v/>
      </c>
      <c r="Y245" s="169">
        <f>IF(分析!T245&lt;&gt;"",分析!T245,"")</f>
        <v/>
      </c>
      <c r="Z245" s="155">
        <f>IF(分析!Y245&lt;&gt;"",分析!Y245,"")</f>
        <v/>
      </c>
    </row>
    <row r="246" ht="21.95" customHeight="1" s="574">
      <c r="A246" s="141">
        <f>IF(分析!C246&lt;&gt;"",ROW()-2,"")</f>
        <v/>
      </c>
      <c r="B246" s="142">
        <f>IF(分析!C246&lt;&gt;"",HYPERLINK("https://kabutan.jp/stock/?code="&amp;分析!C246,"株探"),"")</f>
        <v/>
      </c>
      <c r="C246" s="598">
        <f>IF(分析!C246&lt;&gt;"",分析!C246,"")</f>
        <v/>
      </c>
      <c r="D246" s="144">
        <f>IF(分析!D246&lt;&gt;"",分析!D246,"")</f>
        <v/>
      </c>
      <c r="E246" s="145">
        <f>IF(分析!E246&lt;&gt;"",分析!E246,"")</f>
        <v/>
      </c>
      <c r="F246" s="146">
        <f>IF(分析!F246&lt;&gt;"",分析!F246,"")</f>
        <v/>
      </c>
      <c r="G246" s="146">
        <f>IF(分析!H246&lt;&gt;"",分析!H246,"")</f>
        <v/>
      </c>
      <c r="H246" s="146">
        <f>IF(分析!I246&lt;&gt;"",分析!I246,"")</f>
        <v/>
      </c>
      <c r="I246" s="146">
        <f>IF(分析!J246&lt;&gt;"",分析!J246,"")</f>
        <v/>
      </c>
      <c r="J246" s="146">
        <f>IF(分析!AB246&lt;&gt;"",分析!AB246,"")</f>
        <v/>
      </c>
      <c r="K246" s="146">
        <f>IF(分析!AC246&lt;&gt;"",分析!AC246,"")</f>
        <v/>
      </c>
      <c r="L246" s="146">
        <f>IF(分析!K246&lt;&gt;"",分析!K246,"")</f>
        <v/>
      </c>
      <c r="M246" s="141">
        <f>IF(分析!P246&lt;&gt;"",分析!P246,"")</f>
        <v/>
      </c>
      <c r="N246" s="599">
        <f>IF(分析!O246&lt;&gt;"",分析!O246,"")</f>
        <v/>
      </c>
      <c r="O246" s="148">
        <f>IF(分析!X246&lt;&gt;"",分析!X246,"")</f>
        <v/>
      </c>
      <c r="P246" s="600">
        <f>IF(分析!L246&lt;&gt;"",分析!L246,"")</f>
        <v/>
      </c>
      <c r="Q246" s="146">
        <f>IF(分析!S246&lt;&gt;"",分析!S246,"")</f>
        <v/>
      </c>
      <c r="R246" s="146">
        <f>IF(分析!R246&lt;&gt;"",分析!R246,"")</f>
        <v/>
      </c>
      <c r="S246" s="141">
        <f>IF(分析!AA246&lt;&gt;"",分析!AA246,"")</f>
        <v/>
      </c>
      <c r="T246" s="601">
        <f>IF(分析!Z246&lt;&gt;"",分析!Z246,"")</f>
        <v/>
      </c>
      <c r="U246" s="141">
        <f>IF(分析!V246&lt;&gt;"",分析!V246,"")</f>
        <v/>
      </c>
      <c r="V246" s="602">
        <f>IF(分析!W246&lt;&gt;"",分析!W246,"")</f>
        <v/>
      </c>
      <c r="W246" s="152">
        <f>IF(分析!AD246&lt;&gt;"",分析!AD246,"")</f>
        <v/>
      </c>
      <c r="X246" s="153">
        <f>IF(分析!AE246&lt;&gt;"",分析!AE246,"")</f>
        <v/>
      </c>
      <c r="Y246" s="154">
        <f>IF(分析!T246&lt;&gt;"",分析!T246,"")</f>
        <v/>
      </c>
      <c r="Z246" s="155">
        <f>IF(分析!Y246&lt;&gt;"",分析!Y246,"")</f>
        <v/>
      </c>
    </row>
    <row r="247" ht="21.95" customHeight="1" s="574">
      <c r="A247" s="156">
        <f>IF(分析!C247&lt;&gt;"",ROW()-2,"")</f>
        <v/>
      </c>
      <c r="B247" s="157">
        <f>IF(分析!C247&lt;&gt;"",HYPERLINK("https://kabutan.jp/stock/?code="&amp;分析!C247,"株探"),"")</f>
        <v/>
      </c>
      <c r="C247" s="603">
        <f>IF(分析!C247&lt;&gt;"",分析!C247,"")</f>
        <v/>
      </c>
      <c r="D247" s="159">
        <f>IF(分析!D247&lt;&gt;"",分析!D247,"")</f>
        <v/>
      </c>
      <c r="E247" s="160">
        <f>IF(分析!E247&lt;&gt;"",分析!E247,"")</f>
        <v/>
      </c>
      <c r="F247" s="161">
        <f>IF(分析!F247&lt;&gt;"",分析!F247,"")</f>
        <v/>
      </c>
      <c r="G247" s="161">
        <f>IF(分析!H247&lt;&gt;"",分析!H247,"")</f>
        <v/>
      </c>
      <c r="H247" s="161">
        <f>IF(分析!I247&lt;&gt;"",分析!I247,"")</f>
        <v/>
      </c>
      <c r="I247" s="161">
        <f>IF(分析!J247&lt;&gt;"",分析!J247,"")</f>
        <v/>
      </c>
      <c r="J247" s="161">
        <f>IF(分析!AB247&lt;&gt;"",分析!AB247,"")</f>
        <v/>
      </c>
      <c r="K247" s="161">
        <f>IF(分析!AC247&lt;&gt;"",分析!AC247,"")</f>
        <v/>
      </c>
      <c r="L247" s="161">
        <f>IF(分析!K247&lt;&gt;"",分析!K247,"")</f>
        <v/>
      </c>
      <c r="M247" s="156">
        <f>IF(分析!P247&lt;&gt;"",分析!P247,"")</f>
        <v/>
      </c>
      <c r="N247" s="604">
        <f>IF(分析!O247&lt;&gt;"",分析!O247,"")</f>
        <v/>
      </c>
      <c r="O247" s="163">
        <f>IF(分析!X247&lt;&gt;"",分析!X247,"")</f>
        <v/>
      </c>
      <c r="P247" s="605">
        <f>IF(分析!L247&lt;&gt;"",分析!L247,"")</f>
        <v/>
      </c>
      <c r="Q247" s="161">
        <f>IF(分析!S247&lt;&gt;"",分析!S247,"")</f>
        <v/>
      </c>
      <c r="R247" s="161">
        <f>IF(分析!R247&lt;&gt;"",分析!R247,"")</f>
        <v/>
      </c>
      <c r="S247" s="156">
        <f>IF(分析!AA247&lt;&gt;"",分析!AA247,"")</f>
        <v/>
      </c>
      <c r="T247" s="606">
        <f>IF(分析!Z247&lt;&gt;"",分析!Z247,"")</f>
        <v/>
      </c>
      <c r="U247" s="156">
        <f>IF(分析!V247&lt;&gt;"",分析!V247,"")</f>
        <v/>
      </c>
      <c r="V247" s="607">
        <f>IF(分析!W247&lt;&gt;"",分析!W247,"")</f>
        <v/>
      </c>
      <c r="W247" s="167">
        <f>IF(分析!AD247&lt;&gt;"",分析!AD247,"")</f>
        <v/>
      </c>
      <c r="X247" s="168">
        <f>IF(分析!AE247&lt;&gt;"",分析!AE247,"")</f>
        <v/>
      </c>
      <c r="Y247" s="169">
        <f>IF(分析!T247&lt;&gt;"",分析!T247,"")</f>
        <v/>
      </c>
      <c r="Z247" s="155">
        <f>IF(分析!Y247&lt;&gt;"",分析!Y247,"")</f>
        <v/>
      </c>
    </row>
    <row r="248" ht="21.95" customHeight="1" s="574">
      <c r="A248" s="141">
        <f>IF(分析!C248&lt;&gt;"",ROW()-2,"")</f>
        <v/>
      </c>
      <c r="B248" s="142">
        <f>IF(分析!C248&lt;&gt;"",HYPERLINK("https://kabutan.jp/stock/?code="&amp;分析!C248,"株探"),"")</f>
        <v/>
      </c>
      <c r="C248" s="598">
        <f>IF(分析!C248&lt;&gt;"",分析!C248,"")</f>
        <v/>
      </c>
      <c r="D248" s="144">
        <f>IF(分析!D248&lt;&gt;"",分析!D248,"")</f>
        <v/>
      </c>
      <c r="E248" s="145">
        <f>IF(分析!E248&lt;&gt;"",分析!E248,"")</f>
        <v/>
      </c>
      <c r="F248" s="146">
        <f>IF(分析!F248&lt;&gt;"",分析!F248,"")</f>
        <v/>
      </c>
      <c r="G248" s="146">
        <f>IF(分析!H248&lt;&gt;"",分析!H248,"")</f>
        <v/>
      </c>
      <c r="H248" s="146">
        <f>IF(分析!I248&lt;&gt;"",分析!I248,"")</f>
        <v/>
      </c>
      <c r="I248" s="146">
        <f>IF(分析!J248&lt;&gt;"",分析!J248,"")</f>
        <v/>
      </c>
      <c r="J248" s="146">
        <f>IF(分析!AB248&lt;&gt;"",分析!AB248,"")</f>
        <v/>
      </c>
      <c r="K248" s="146">
        <f>IF(分析!AC248&lt;&gt;"",分析!AC248,"")</f>
        <v/>
      </c>
      <c r="L248" s="146">
        <f>IF(分析!K248&lt;&gt;"",分析!K248,"")</f>
        <v/>
      </c>
      <c r="M248" s="141">
        <f>IF(分析!P248&lt;&gt;"",分析!P248,"")</f>
        <v/>
      </c>
      <c r="N248" s="599">
        <f>IF(分析!O248&lt;&gt;"",分析!O248,"")</f>
        <v/>
      </c>
      <c r="O248" s="148">
        <f>IF(分析!X248&lt;&gt;"",分析!X248,"")</f>
        <v/>
      </c>
      <c r="P248" s="600">
        <f>IF(分析!L248&lt;&gt;"",分析!L248,"")</f>
        <v/>
      </c>
      <c r="Q248" s="146">
        <f>IF(分析!S248&lt;&gt;"",分析!S248,"")</f>
        <v/>
      </c>
      <c r="R248" s="146">
        <f>IF(分析!R248&lt;&gt;"",分析!R248,"")</f>
        <v/>
      </c>
      <c r="S248" s="141">
        <f>IF(分析!AA248&lt;&gt;"",分析!AA248,"")</f>
        <v/>
      </c>
      <c r="T248" s="601">
        <f>IF(分析!Z248&lt;&gt;"",分析!Z248,"")</f>
        <v/>
      </c>
      <c r="U248" s="141">
        <f>IF(分析!V248&lt;&gt;"",分析!V248,"")</f>
        <v/>
      </c>
      <c r="V248" s="602">
        <f>IF(分析!W248&lt;&gt;"",分析!W248,"")</f>
        <v/>
      </c>
      <c r="W248" s="152">
        <f>IF(分析!AD248&lt;&gt;"",分析!AD248,"")</f>
        <v/>
      </c>
      <c r="X248" s="153">
        <f>IF(分析!AE248&lt;&gt;"",分析!AE248,"")</f>
        <v/>
      </c>
      <c r="Y248" s="154">
        <f>IF(分析!T248&lt;&gt;"",分析!T248,"")</f>
        <v/>
      </c>
      <c r="Z248" s="155">
        <f>IF(分析!Y248&lt;&gt;"",分析!Y248,"")</f>
        <v/>
      </c>
    </row>
    <row r="249" ht="21.95" customHeight="1" s="574">
      <c r="A249" s="156">
        <f>IF(分析!C249&lt;&gt;"",ROW()-2,"")</f>
        <v/>
      </c>
      <c r="B249" s="157">
        <f>IF(分析!C249&lt;&gt;"",HYPERLINK("https://kabutan.jp/stock/?code="&amp;分析!C249,"株探"),"")</f>
        <v/>
      </c>
      <c r="C249" s="603">
        <f>IF(分析!C249&lt;&gt;"",分析!C249,"")</f>
        <v/>
      </c>
      <c r="D249" s="159">
        <f>IF(分析!D249&lt;&gt;"",分析!D249,"")</f>
        <v/>
      </c>
      <c r="E249" s="160">
        <f>IF(分析!E249&lt;&gt;"",分析!E249,"")</f>
        <v/>
      </c>
      <c r="F249" s="161">
        <f>IF(分析!F249&lt;&gt;"",分析!F249,"")</f>
        <v/>
      </c>
      <c r="G249" s="161">
        <f>IF(分析!H249&lt;&gt;"",分析!H249,"")</f>
        <v/>
      </c>
      <c r="H249" s="161">
        <f>IF(分析!I249&lt;&gt;"",分析!I249,"")</f>
        <v/>
      </c>
      <c r="I249" s="161">
        <f>IF(分析!J249&lt;&gt;"",分析!J249,"")</f>
        <v/>
      </c>
      <c r="J249" s="161">
        <f>IF(分析!AB249&lt;&gt;"",分析!AB249,"")</f>
        <v/>
      </c>
      <c r="K249" s="161">
        <f>IF(分析!AC249&lt;&gt;"",分析!AC249,"")</f>
        <v/>
      </c>
      <c r="L249" s="161">
        <f>IF(分析!K249&lt;&gt;"",分析!K249,"")</f>
        <v/>
      </c>
      <c r="M249" s="156">
        <f>IF(分析!P249&lt;&gt;"",分析!P249,"")</f>
        <v/>
      </c>
      <c r="N249" s="604">
        <f>IF(分析!O249&lt;&gt;"",分析!O249,"")</f>
        <v/>
      </c>
      <c r="O249" s="163">
        <f>IF(分析!X249&lt;&gt;"",分析!X249,"")</f>
        <v/>
      </c>
      <c r="P249" s="605">
        <f>IF(分析!L249&lt;&gt;"",分析!L249,"")</f>
        <v/>
      </c>
      <c r="Q249" s="161">
        <f>IF(分析!S249&lt;&gt;"",分析!S249,"")</f>
        <v/>
      </c>
      <c r="R249" s="161">
        <f>IF(分析!R249&lt;&gt;"",分析!R249,"")</f>
        <v/>
      </c>
      <c r="S249" s="156">
        <f>IF(分析!AA249&lt;&gt;"",分析!AA249,"")</f>
        <v/>
      </c>
      <c r="T249" s="606">
        <f>IF(分析!Z249&lt;&gt;"",分析!Z249,"")</f>
        <v/>
      </c>
      <c r="U249" s="156">
        <f>IF(分析!V249&lt;&gt;"",分析!V249,"")</f>
        <v/>
      </c>
      <c r="V249" s="607">
        <f>IF(分析!W249&lt;&gt;"",分析!W249,"")</f>
        <v/>
      </c>
      <c r="W249" s="167">
        <f>IF(分析!AD249&lt;&gt;"",分析!AD249,"")</f>
        <v/>
      </c>
      <c r="X249" s="168">
        <f>IF(分析!AE249&lt;&gt;"",分析!AE249,"")</f>
        <v/>
      </c>
      <c r="Y249" s="169">
        <f>IF(分析!T249&lt;&gt;"",分析!T249,"")</f>
        <v/>
      </c>
      <c r="Z249" s="155">
        <f>IF(分析!Y249&lt;&gt;"",分析!Y249,"")</f>
        <v/>
      </c>
    </row>
    <row r="250" ht="21.95" customHeight="1" s="574">
      <c r="A250" s="141">
        <f>IF(分析!C250&lt;&gt;"",ROW()-2,"")</f>
        <v/>
      </c>
      <c r="B250" s="142">
        <f>IF(分析!C250&lt;&gt;"",HYPERLINK("https://kabutan.jp/stock/?code="&amp;分析!C250,"株探"),"")</f>
        <v/>
      </c>
      <c r="C250" s="598">
        <f>IF(分析!C250&lt;&gt;"",分析!C250,"")</f>
        <v/>
      </c>
      <c r="D250" s="144">
        <f>IF(分析!D250&lt;&gt;"",分析!D250,"")</f>
        <v/>
      </c>
      <c r="E250" s="145">
        <f>IF(分析!E250&lt;&gt;"",分析!E250,"")</f>
        <v/>
      </c>
      <c r="F250" s="146">
        <f>IF(分析!F250&lt;&gt;"",分析!F250,"")</f>
        <v/>
      </c>
      <c r="G250" s="146">
        <f>IF(分析!H250&lt;&gt;"",分析!H250,"")</f>
        <v/>
      </c>
      <c r="H250" s="146">
        <f>IF(分析!I250&lt;&gt;"",分析!I250,"")</f>
        <v/>
      </c>
      <c r="I250" s="146">
        <f>IF(分析!J250&lt;&gt;"",分析!J250,"")</f>
        <v/>
      </c>
      <c r="J250" s="146">
        <f>IF(分析!AB250&lt;&gt;"",分析!AB250,"")</f>
        <v/>
      </c>
      <c r="K250" s="146">
        <f>IF(分析!AC250&lt;&gt;"",分析!AC250,"")</f>
        <v/>
      </c>
      <c r="L250" s="146">
        <f>IF(分析!K250&lt;&gt;"",分析!K250,"")</f>
        <v/>
      </c>
      <c r="M250" s="141">
        <f>IF(分析!P250&lt;&gt;"",分析!P250,"")</f>
        <v/>
      </c>
      <c r="N250" s="599">
        <f>IF(分析!O250&lt;&gt;"",分析!O250,"")</f>
        <v/>
      </c>
      <c r="O250" s="148">
        <f>IF(分析!X250&lt;&gt;"",分析!X250,"")</f>
        <v/>
      </c>
      <c r="P250" s="600">
        <f>IF(分析!L250&lt;&gt;"",分析!L250,"")</f>
        <v/>
      </c>
      <c r="Q250" s="146">
        <f>IF(分析!S250&lt;&gt;"",分析!S250,"")</f>
        <v/>
      </c>
      <c r="R250" s="146">
        <f>IF(分析!R250&lt;&gt;"",分析!R250,"")</f>
        <v/>
      </c>
      <c r="S250" s="141">
        <f>IF(分析!AA250&lt;&gt;"",分析!AA250,"")</f>
        <v/>
      </c>
      <c r="T250" s="601">
        <f>IF(分析!Z250&lt;&gt;"",分析!Z250,"")</f>
        <v/>
      </c>
      <c r="U250" s="141">
        <f>IF(分析!V250&lt;&gt;"",分析!V250,"")</f>
        <v/>
      </c>
      <c r="V250" s="602">
        <f>IF(分析!W250&lt;&gt;"",分析!W250,"")</f>
        <v/>
      </c>
      <c r="W250" s="152">
        <f>IF(分析!AD250&lt;&gt;"",分析!AD250,"")</f>
        <v/>
      </c>
      <c r="X250" s="153">
        <f>IF(分析!AE250&lt;&gt;"",分析!AE250,"")</f>
        <v/>
      </c>
      <c r="Y250" s="154">
        <f>IF(分析!T250&lt;&gt;"",分析!T250,"")</f>
        <v/>
      </c>
      <c r="Z250" s="155">
        <f>IF(分析!Y250&lt;&gt;"",分析!Y250,"")</f>
        <v/>
      </c>
    </row>
    <row r="251" ht="21.95" customHeight="1" s="574">
      <c r="A251" s="156">
        <f>IF(分析!C251&lt;&gt;"",ROW()-2,"")</f>
        <v/>
      </c>
      <c r="B251" s="157">
        <f>IF(分析!C251&lt;&gt;"",HYPERLINK("https://kabutan.jp/stock/?code="&amp;分析!C251,"株探"),"")</f>
        <v/>
      </c>
      <c r="C251" s="603">
        <f>IF(分析!C251&lt;&gt;"",分析!C251,"")</f>
        <v/>
      </c>
      <c r="D251" s="159">
        <f>IF(分析!D251&lt;&gt;"",分析!D251,"")</f>
        <v/>
      </c>
      <c r="E251" s="160">
        <f>IF(分析!E251&lt;&gt;"",分析!E251,"")</f>
        <v/>
      </c>
      <c r="F251" s="161">
        <f>IF(分析!F251&lt;&gt;"",分析!F251,"")</f>
        <v/>
      </c>
      <c r="G251" s="161">
        <f>IF(分析!H251&lt;&gt;"",分析!H251,"")</f>
        <v/>
      </c>
      <c r="H251" s="161">
        <f>IF(分析!I251&lt;&gt;"",分析!I251,"")</f>
        <v/>
      </c>
      <c r="I251" s="161">
        <f>IF(分析!J251&lt;&gt;"",分析!J251,"")</f>
        <v/>
      </c>
      <c r="J251" s="161">
        <f>IF(分析!AB251&lt;&gt;"",分析!AB251,"")</f>
        <v/>
      </c>
      <c r="K251" s="161">
        <f>IF(分析!AC251&lt;&gt;"",分析!AC251,"")</f>
        <v/>
      </c>
      <c r="L251" s="161">
        <f>IF(分析!K251&lt;&gt;"",分析!K251,"")</f>
        <v/>
      </c>
      <c r="M251" s="156">
        <f>IF(分析!P251&lt;&gt;"",分析!P251,"")</f>
        <v/>
      </c>
      <c r="N251" s="604">
        <f>IF(分析!O251&lt;&gt;"",分析!O251,"")</f>
        <v/>
      </c>
      <c r="O251" s="163">
        <f>IF(分析!X251&lt;&gt;"",分析!X251,"")</f>
        <v/>
      </c>
      <c r="P251" s="605">
        <f>IF(分析!L251&lt;&gt;"",分析!L251,"")</f>
        <v/>
      </c>
      <c r="Q251" s="161">
        <f>IF(分析!S251&lt;&gt;"",分析!S251,"")</f>
        <v/>
      </c>
      <c r="R251" s="161">
        <f>IF(分析!R251&lt;&gt;"",分析!R251,"")</f>
        <v/>
      </c>
      <c r="S251" s="156">
        <f>IF(分析!AA251&lt;&gt;"",分析!AA251,"")</f>
        <v/>
      </c>
      <c r="T251" s="606">
        <f>IF(分析!Z251&lt;&gt;"",分析!Z251,"")</f>
        <v/>
      </c>
      <c r="U251" s="156">
        <f>IF(分析!V251&lt;&gt;"",分析!V251,"")</f>
        <v/>
      </c>
      <c r="V251" s="607">
        <f>IF(分析!W251&lt;&gt;"",分析!W251,"")</f>
        <v/>
      </c>
      <c r="W251" s="167">
        <f>IF(分析!AD251&lt;&gt;"",分析!AD251,"")</f>
        <v/>
      </c>
      <c r="X251" s="168">
        <f>IF(分析!AE251&lt;&gt;"",分析!AE251,"")</f>
        <v/>
      </c>
      <c r="Y251" s="169">
        <f>IF(分析!T251&lt;&gt;"",分析!T251,"")</f>
        <v/>
      </c>
      <c r="Z251" s="155">
        <f>IF(分析!Y251&lt;&gt;"",分析!Y251,"")</f>
        <v/>
      </c>
    </row>
    <row r="252" ht="21.95" customHeight="1" s="574">
      <c r="A252" s="141">
        <f>IF(分析!C252&lt;&gt;"",ROW()-2,"")</f>
        <v/>
      </c>
      <c r="B252" s="142">
        <f>IF(分析!C252&lt;&gt;"",HYPERLINK("https://kabutan.jp/stock/?code="&amp;分析!C252,"株探"),"")</f>
        <v/>
      </c>
      <c r="C252" s="598">
        <f>IF(分析!C252&lt;&gt;"",分析!C252,"")</f>
        <v/>
      </c>
      <c r="D252" s="144">
        <f>IF(分析!D252&lt;&gt;"",分析!D252,"")</f>
        <v/>
      </c>
      <c r="E252" s="145">
        <f>IF(分析!E252&lt;&gt;"",分析!E252,"")</f>
        <v/>
      </c>
      <c r="F252" s="146">
        <f>IF(分析!F252&lt;&gt;"",分析!F252,"")</f>
        <v/>
      </c>
      <c r="G252" s="146">
        <f>IF(分析!H252&lt;&gt;"",分析!H252,"")</f>
        <v/>
      </c>
      <c r="H252" s="146">
        <f>IF(分析!I252&lt;&gt;"",分析!I252,"")</f>
        <v/>
      </c>
      <c r="I252" s="146">
        <f>IF(分析!J252&lt;&gt;"",分析!J252,"")</f>
        <v/>
      </c>
      <c r="J252" s="146">
        <f>IF(分析!AB252&lt;&gt;"",分析!AB252,"")</f>
        <v/>
      </c>
      <c r="K252" s="146">
        <f>IF(分析!AC252&lt;&gt;"",分析!AC252,"")</f>
        <v/>
      </c>
      <c r="L252" s="146">
        <f>IF(分析!K252&lt;&gt;"",分析!K252,"")</f>
        <v/>
      </c>
      <c r="M252" s="141">
        <f>IF(分析!P252&lt;&gt;"",分析!P252,"")</f>
        <v/>
      </c>
      <c r="N252" s="599">
        <f>IF(分析!O252&lt;&gt;"",分析!O252,"")</f>
        <v/>
      </c>
      <c r="O252" s="148">
        <f>IF(分析!X252&lt;&gt;"",分析!X252,"")</f>
        <v/>
      </c>
      <c r="P252" s="600">
        <f>IF(分析!L252&lt;&gt;"",分析!L252,"")</f>
        <v/>
      </c>
      <c r="Q252" s="146">
        <f>IF(分析!S252&lt;&gt;"",分析!S252,"")</f>
        <v/>
      </c>
      <c r="R252" s="146">
        <f>IF(分析!R252&lt;&gt;"",分析!R252,"")</f>
        <v/>
      </c>
      <c r="S252" s="141">
        <f>IF(分析!AA252&lt;&gt;"",分析!AA252,"")</f>
        <v/>
      </c>
      <c r="T252" s="601">
        <f>IF(分析!Z252&lt;&gt;"",分析!Z252,"")</f>
        <v/>
      </c>
      <c r="U252" s="141">
        <f>IF(分析!V252&lt;&gt;"",分析!V252,"")</f>
        <v/>
      </c>
      <c r="V252" s="602">
        <f>IF(分析!W252&lt;&gt;"",分析!W252,"")</f>
        <v/>
      </c>
      <c r="W252" s="152">
        <f>IF(分析!AD252&lt;&gt;"",分析!AD252,"")</f>
        <v/>
      </c>
      <c r="X252" s="153">
        <f>IF(分析!AE252&lt;&gt;"",分析!AE252,"")</f>
        <v/>
      </c>
      <c r="Y252" s="154">
        <f>IF(分析!T252&lt;&gt;"",分析!T252,"")</f>
        <v/>
      </c>
      <c r="Z252" s="155">
        <f>IF(分析!Y252&lt;&gt;"",分析!Y252,"")</f>
        <v/>
      </c>
    </row>
    <row r="253" ht="21.95" customHeight="1" s="574">
      <c r="A253" s="156">
        <f>IF(分析!C253&lt;&gt;"",ROW()-2,"")</f>
        <v/>
      </c>
      <c r="B253" s="157">
        <f>IF(分析!C253&lt;&gt;"",HYPERLINK("https://kabutan.jp/stock/?code="&amp;分析!C253,"株探"),"")</f>
        <v/>
      </c>
      <c r="C253" s="603">
        <f>IF(分析!C253&lt;&gt;"",分析!C253,"")</f>
        <v/>
      </c>
      <c r="D253" s="159">
        <f>IF(分析!D253&lt;&gt;"",分析!D253,"")</f>
        <v/>
      </c>
      <c r="E253" s="160">
        <f>IF(分析!E253&lt;&gt;"",分析!E253,"")</f>
        <v/>
      </c>
      <c r="F253" s="161">
        <f>IF(分析!F253&lt;&gt;"",分析!F253,"")</f>
        <v/>
      </c>
      <c r="G253" s="161">
        <f>IF(分析!H253&lt;&gt;"",分析!H253,"")</f>
        <v/>
      </c>
      <c r="H253" s="161">
        <f>IF(分析!I253&lt;&gt;"",分析!I253,"")</f>
        <v/>
      </c>
      <c r="I253" s="161">
        <f>IF(分析!J253&lt;&gt;"",分析!J253,"")</f>
        <v/>
      </c>
      <c r="J253" s="161">
        <f>IF(分析!AB253&lt;&gt;"",分析!AB253,"")</f>
        <v/>
      </c>
      <c r="K253" s="161">
        <f>IF(分析!AC253&lt;&gt;"",分析!AC253,"")</f>
        <v/>
      </c>
      <c r="L253" s="161">
        <f>IF(分析!K253&lt;&gt;"",分析!K253,"")</f>
        <v/>
      </c>
      <c r="M253" s="156">
        <f>IF(分析!P253&lt;&gt;"",分析!P253,"")</f>
        <v/>
      </c>
      <c r="N253" s="604">
        <f>IF(分析!O253&lt;&gt;"",分析!O253,"")</f>
        <v/>
      </c>
      <c r="O253" s="163">
        <f>IF(分析!X253&lt;&gt;"",分析!X253,"")</f>
        <v/>
      </c>
      <c r="P253" s="605">
        <f>IF(分析!L253&lt;&gt;"",分析!L253,"")</f>
        <v/>
      </c>
      <c r="Q253" s="161">
        <f>IF(分析!S253&lt;&gt;"",分析!S253,"")</f>
        <v/>
      </c>
      <c r="R253" s="161">
        <f>IF(分析!R253&lt;&gt;"",分析!R253,"")</f>
        <v/>
      </c>
      <c r="S253" s="156">
        <f>IF(分析!AA253&lt;&gt;"",分析!AA253,"")</f>
        <v/>
      </c>
      <c r="T253" s="606">
        <f>IF(分析!Z253&lt;&gt;"",分析!Z253,"")</f>
        <v/>
      </c>
      <c r="U253" s="156">
        <f>IF(分析!V253&lt;&gt;"",分析!V253,"")</f>
        <v/>
      </c>
      <c r="V253" s="607">
        <f>IF(分析!W253&lt;&gt;"",分析!W253,"")</f>
        <v/>
      </c>
      <c r="W253" s="167">
        <f>IF(分析!AD253&lt;&gt;"",分析!AD253,"")</f>
        <v/>
      </c>
      <c r="X253" s="168">
        <f>IF(分析!AE253&lt;&gt;"",分析!AE253,"")</f>
        <v/>
      </c>
      <c r="Y253" s="169">
        <f>IF(分析!T253&lt;&gt;"",分析!T253,"")</f>
        <v/>
      </c>
      <c r="Z253" s="155">
        <f>IF(分析!Y253&lt;&gt;"",分析!Y253,"")</f>
        <v/>
      </c>
    </row>
    <row r="254" ht="21.95" customHeight="1" s="574">
      <c r="A254" s="141">
        <f>IF(分析!C254&lt;&gt;"",ROW()-2,"")</f>
        <v/>
      </c>
      <c r="B254" s="142">
        <f>IF(分析!C254&lt;&gt;"",HYPERLINK("https://kabutan.jp/stock/?code="&amp;分析!C254,"株探"),"")</f>
        <v/>
      </c>
      <c r="C254" s="598">
        <f>IF(分析!C254&lt;&gt;"",分析!C254,"")</f>
        <v/>
      </c>
      <c r="D254" s="144">
        <f>IF(分析!D254&lt;&gt;"",分析!D254,"")</f>
        <v/>
      </c>
      <c r="E254" s="145">
        <f>IF(分析!E254&lt;&gt;"",分析!E254,"")</f>
        <v/>
      </c>
      <c r="F254" s="146">
        <f>IF(分析!F254&lt;&gt;"",分析!F254,"")</f>
        <v/>
      </c>
      <c r="G254" s="146">
        <f>IF(分析!H254&lt;&gt;"",分析!H254,"")</f>
        <v/>
      </c>
      <c r="H254" s="146">
        <f>IF(分析!I254&lt;&gt;"",分析!I254,"")</f>
        <v/>
      </c>
      <c r="I254" s="146">
        <f>IF(分析!J254&lt;&gt;"",分析!J254,"")</f>
        <v/>
      </c>
      <c r="J254" s="146">
        <f>IF(分析!AB254&lt;&gt;"",分析!AB254,"")</f>
        <v/>
      </c>
      <c r="K254" s="146">
        <f>IF(分析!AC254&lt;&gt;"",分析!AC254,"")</f>
        <v/>
      </c>
      <c r="L254" s="146">
        <f>IF(分析!K254&lt;&gt;"",分析!K254,"")</f>
        <v/>
      </c>
      <c r="M254" s="141">
        <f>IF(分析!P254&lt;&gt;"",分析!P254,"")</f>
        <v/>
      </c>
      <c r="N254" s="599">
        <f>IF(分析!O254&lt;&gt;"",分析!O254,"")</f>
        <v/>
      </c>
      <c r="O254" s="148">
        <f>IF(分析!X254&lt;&gt;"",分析!X254,"")</f>
        <v/>
      </c>
      <c r="P254" s="600">
        <f>IF(分析!L254&lt;&gt;"",分析!L254,"")</f>
        <v/>
      </c>
      <c r="Q254" s="146">
        <f>IF(分析!S254&lt;&gt;"",分析!S254,"")</f>
        <v/>
      </c>
      <c r="R254" s="146">
        <f>IF(分析!R254&lt;&gt;"",分析!R254,"")</f>
        <v/>
      </c>
      <c r="S254" s="141">
        <f>IF(分析!AA254&lt;&gt;"",分析!AA254,"")</f>
        <v/>
      </c>
      <c r="T254" s="601">
        <f>IF(分析!Z254&lt;&gt;"",分析!Z254,"")</f>
        <v/>
      </c>
      <c r="U254" s="141">
        <f>IF(分析!V254&lt;&gt;"",分析!V254,"")</f>
        <v/>
      </c>
      <c r="V254" s="602">
        <f>IF(分析!W254&lt;&gt;"",分析!W254,"")</f>
        <v/>
      </c>
      <c r="W254" s="152">
        <f>IF(分析!AD254&lt;&gt;"",分析!AD254,"")</f>
        <v/>
      </c>
      <c r="X254" s="153">
        <f>IF(分析!AE254&lt;&gt;"",分析!AE254,"")</f>
        <v/>
      </c>
      <c r="Y254" s="154">
        <f>IF(分析!T254&lt;&gt;"",分析!T254,"")</f>
        <v/>
      </c>
      <c r="Z254" s="155">
        <f>IF(分析!Y254&lt;&gt;"",分析!Y254,"")</f>
        <v/>
      </c>
    </row>
    <row r="255" ht="21.95" customHeight="1" s="574">
      <c r="A255" s="156">
        <f>IF(分析!C255&lt;&gt;"",ROW()-2,"")</f>
        <v/>
      </c>
      <c r="B255" s="157">
        <f>IF(分析!C255&lt;&gt;"",HYPERLINK("https://kabutan.jp/stock/?code="&amp;分析!C255,"株探"),"")</f>
        <v/>
      </c>
      <c r="C255" s="603">
        <f>IF(分析!C255&lt;&gt;"",分析!C255,"")</f>
        <v/>
      </c>
      <c r="D255" s="159">
        <f>IF(分析!D255&lt;&gt;"",分析!D255,"")</f>
        <v/>
      </c>
      <c r="E255" s="160">
        <f>IF(分析!E255&lt;&gt;"",分析!E255,"")</f>
        <v/>
      </c>
      <c r="F255" s="161">
        <f>IF(分析!F255&lt;&gt;"",分析!F255,"")</f>
        <v/>
      </c>
      <c r="G255" s="161">
        <f>IF(分析!H255&lt;&gt;"",分析!H255,"")</f>
        <v/>
      </c>
      <c r="H255" s="161">
        <f>IF(分析!I255&lt;&gt;"",分析!I255,"")</f>
        <v/>
      </c>
      <c r="I255" s="161">
        <f>IF(分析!J255&lt;&gt;"",分析!J255,"")</f>
        <v/>
      </c>
      <c r="J255" s="161">
        <f>IF(分析!AB255&lt;&gt;"",分析!AB255,"")</f>
        <v/>
      </c>
      <c r="K255" s="161">
        <f>IF(分析!AC255&lt;&gt;"",分析!AC255,"")</f>
        <v/>
      </c>
      <c r="L255" s="161">
        <f>IF(分析!K255&lt;&gt;"",分析!K255,"")</f>
        <v/>
      </c>
      <c r="M255" s="156">
        <f>IF(分析!P255&lt;&gt;"",分析!P255,"")</f>
        <v/>
      </c>
      <c r="N255" s="604">
        <f>IF(分析!O255&lt;&gt;"",分析!O255,"")</f>
        <v/>
      </c>
      <c r="O255" s="163">
        <f>IF(分析!X255&lt;&gt;"",分析!X255,"")</f>
        <v/>
      </c>
      <c r="P255" s="605">
        <f>IF(分析!L255&lt;&gt;"",分析!L255,"")</f>
        <v/>
      </c>
      <c r="Q255" s="161">
        <f>IF(分析!S255&lt;&gt;"",分析!S255,"")</f>
        <v/>
      </c>
      <c r="R255" s="161">
        <f>IF(分析!R255&lt;&gt;"",分析!R255,"")</f>
        <v/>
      </c>
      <c r="S255" s="156">
        <f>IF(分析!AA255&lt;&gt;"",分析!AA255,"")</f>
        <v/>
      </c>
      <c r="T255" s="606">
        <f>IF(分析!Z255&lt;&gt;"",分析!Z255,"")</f>
        <v/>
      </c>
      <c r="U255" s="156">
        <f>IF(分析!V255&lt;&gt;"",分析!V255,"")</f>
        <v/>
      </c>
      <c r="V255" s="607">
        <f>IF(分析!W255&lt;&gt;"",分析!W255,"")</f>
        <v/>
      </c>
      <c r="W255" s="167">
        <f>IF(分析!AD255&lt;&gt;"",分析!AD255,"")</f>
        <v/>
      </c>
      <c r="X255" s="168">
        <f>IF(分析!AE255&lt;&gt;"",分析!AE255,"")</f>
        <v/>
      </c>
      <c r="Y255" s="169">
        <f>IF(分析!T255&lt;&gt;"",分析!T255,"")</f>
        <v/>
      </c>
      <c r="Z255" s="155">
        <f>IF(分析!Y255&lt;&gt;"",分析!Y255,"")</f>
        <v/>
      </c>
    </row>
    <row r="256" ht="21.95" customHeight="1" s="574">
      <c r="A256" s="141">
        <f>IF(分析!C256&lt;&gt;"",ROW()-2,"")</f>
        <v/>
      </c>
      <c r="B256" s="142">
        <f>IF(分析!C256&lt;&gt;"",HYPERLINK("https://kabutan.jp/stock/?code="&amp;分析!C256,"株探"),"")</f>
        <v/>
      </c>
      <c r="C256" s="598">
        <f>IF(分析!C256&lt;&gt;"",分析!C256,"")</f>
        <v/>
      </c>
      <c r="D256" s="144">
        <f>IF(分析!D256&lt;&gt;"",分析!D256,"")</f>
        <v/>
      </c>
      <c r="E256" s="145">
        <f>IF(分析!E256&lt;&gt;"",分析!E256,"")</f>
        <v/>
      </c>
      <c r="F256" s="146">
        <f>IF(分析!F256&lt;&gt;"",分析!F256,"")</f>
        <v/>
      </c>
      <c r="G256" s="146">
        <f>IF(分析!H256&lt;&gt;"",分析!H256,"")</f>
        <v/>
      </c>
      <c r="H256" s="146">
        <f>IF(分析!I256&lt;&gt;"",分析!I256,"")</f>
        <v/>
      </c>
      <c r="I256" s="146">
        <f>IF(分析!J256&lt;&gt;"",分析!J256,"")</f>
        <v/>
      </c>
      <c r="J256" s="146">
        <f>IF(分析!AB256&lt;&gt;"",分析!AB256,"")</f>
        <v/>
      </c>
      <c r="K256" s="146">
        <f>IF(分析!AC256&lt;&gt;"",分析!AC256,"")</f>
        <v/>
      </c>
      <c r="L256" s="146">
        <f>IF(分析!K256&lt;&gt;"",分析!K256,"")</f>
        <v/>
      </c>
      <c r="M256" s="141">
        <f>IF(分析!P256&lt;&gt;"",分析!P256,"")</f>
        <v/>
      </c>
      <c r="N256" s="599">
        <f>IF(分析!O256&lt;&gt;"",分析!O256,"")</f>
        <v/>
      </c>
      <c r="O256" s="148">
        <f>IF(分析!X256&lt;&gt;"",分析!X256,"")</f>
        <v/>
      </c>
      <c r="P256" s="600">
        <f>IF(分析!L256&lt;&gt;"",分析!L256,"")</f>
        <v/>
      </c>
      <c r="Q256" s="146">
        <f>IF(分析!S256&lt;&gt;"",分析!S256,"")</f>
        <v/>
      </c>
      <c r="R256" s="146">
        <f>IF(分析!R256&lt;&gt;"",分析!R256,"")</f>
        <v/>
      </c>
      <c r="S256" s="141">
        <f>IF(分析!AA256&lt;&gt;"",分析!AA256,"")</f>
        <v/>
      </c>
      <c r="T256" s="601">
        <f>IF(分析!Z256&lt;&gt;"",分析!Z256,"")</f>
        <v/>
      </c>
      <c r="U256" s="141">
        <f>IF(分析!V256&lt;&gt;"",分析!V256,"")</f>
        <v/>
      </c>
      <c r="V256" s="602">
        <f>IF(分析!W256&lt;&gt;"",分析!W256,"")</f>
        <v/>
      </c>
      <c r="W256" s="152">
        <f>IF(分析!AD256&lt;&gt;"",分析!AD256,"")</f>
        <v/>
      </c>
      <c r="X256" s="153">
        <f>IF(分析!AE256&lt;&gt;"",分析!AE256,"")</f>
        <v/>
      </c>
      <c r="Y256" s="154">
        <f>IF(分析!T256&lt;&gt;"",分析!T256,"")</f>
        <v/>
      </c>
      <c r="Z256" s="155">
        <f>IF(分析!Y256&lt;&gt;"",分析!Y256,"")</f>
        <v/>
      </c>
    </row>
    <row r="257" ht="21.95" customHeight="1" s="574">
      <c r="A257" s="156">
        <f>IF(分析!C257&lt;&gt;"",ROW()-2,"")</f>
        <v/>
      </c>
      <c r="B257" s="157">
        <f>IF(分析!C257&lt;&gt;"",HYPERLINK("https://kabutan.jp/stock/?code="&amp;分析!C257,"株探"),"")</f>
        <v/>
      </c>
      <c r="C257" s="603">
        <f>IF(分析!C257&lt;&gt;"",分析!C257,"")</f>
        <v/>
      </c>
      <c r="D257" s="159">
        <f>IF(分析!D257&lt;&gt;"",分析!D257,"")</f>
        <v/>
      </c>
      <c r="E257" s="160">
        <f>IF(分析!E257&lt;&gt;"",分析!E257,"")</f>
        <v/>
      </c>
      <c r="F257" s="161">
        <f>IF(分析!F257&lt;&gt;"",分析!F257,"")</f>
        <v/>
      </c>
      <c r="G257" s="161">
        <f>IF(分析!H257&lt;&gt;"",分析!H257,"")</f>
        <v/>
      </c>
      <c r="H257" s="161">
        <f>IF(分析!I257&lt;&gt;"",分析!I257,"")</f>
        <v/>
      </c>
      <c r="I257" s="161">
        <f>IF(分析!J257&lt;&gt;"",分析!J257,"")</f>
        <v/>
      </c>
      <c r="J257" s="161">
        <f>IF(分析!AB257&lt;&gt;"",分析!AB257,"")</f>
        <v/>
      </c>
      <c r="K257" s="161">
        <f>IF(分析!AC257&lt;&gt;"",分析!AC257,"")</f>
        <v/>
      </c>
      <c r="L257" s="161">
        <f>IF(分析!K257&lt;&gt;"",分析!K257,"")</f>
        <v/>
      </c>
      <c r="M257" s="156">
        <f>IF(分析!P257&lt;&gt;"",分析!P257,"")</f>
        <v/>
      </c>
      <c r="N257" s="604">
        <f>IF(分析!O257&lt;&gt;"",分析!O257,"")</f>
        <v/>
      </c>
      <c r="O257" s="163">
        <f>IF(分析!X257&lt;&gt;"",分析!X257,"")</f>
        <v/>
      </c>
      <c r="P257" s="605">
        <f>IF(分析!L257&lt;&gt;"",分析!L257,"")</f>
        <v/>
      </c>
      <c r="Q257" s="161">
        <f>IF(分析!S257&lt;&gt;"",分析!S257,"")</f>
        <v/>
      </c>
      <c r="R257" s="161">
        <f>IF(分析!R257&lt;&gt;"",分析!R257,"")</f>
        <v/>
      </c>
      <c r="S257" s="156">
        <f>IF(分析!AA257&lt;&gt;"",分析!AA257,"")</f>
        <v/>
      </c>
      <c r="T257" s="606">
        <f>IF(分析!Z257&lt;&gt;"",分析!Z257,"")</f>
        <v/>
      </c>
      <c r="U257" s="156">
        <f>IF(分析!V257&lt;&gt;"",分析!V257,"")</f>
        <v/>
      </c>
      <c r="V257" s="607">
        <f>IF(分析!W257&lt;&gt;"",分析!W257,"")</f>
        <v/>
      </c>
      <c r="W257" s="167">
        <f>IF(分析!AD257&lt;&gt;"",分析!AD257,"")</f>
        <v/>
      </c>
      <c r="X257" s="168">
        <f>IF(分析!AE257&lt;&gt;"",分析!AE257,"")</f>
        <v/>
      </c>
      <c r="Y257" s="169">
        <f>IF(分析!T257&lt;&gt;"",分析!T257,"")</f>
        <v/>
      </c>
      <c r="Z257" s="155">
        <f>IF(分析!Y257&lt;&gt;"",分析!Y257,"")</f>
        <v/>
      </c>
    </row>
    <row r="258" ht="21.95" customHeight="1" s="574">
      <c r="A258" s="141">
        <f>IF(分析!C258&lt;&gt;"",ROW()-2,"")</f>
        <v/>
      </c>
      <c r="B258" s="142">
        <f>IF(分析!C258&lt;&gt;"",HYPERLINK("https://kabutan.jp/stock/?code="&amp;分析!C258,"株探"),"")</f>
        <v/>
      </c>
      <c r="C258" s="598">
        <f>IF(分析!C258&lt;&gt;"",分析!C258,"")</f>
        <v/>
      </c>
      <c r="D258" s="144">
        <f>IF(分析!D258&lt;&gt;"",分析!D258,"")</f>
        <v/>
      </c>
      <c r="E258" s="145">
        <f>IF(分析!E258&lt;&gt;"",分析!E258,"")</f>
        <v/>
      </c>
      <c r="F258" s="146">
        <f>IF(分析!F258&lt;&gt;"",分析!F258,"")</f>
        <v/>
      </c>
      <c r="G258" s="146">
        <f>IF(分析!H258&lt;&gt;"",分析!H258,"")</f>
        <v/>
      </c>
      <c r="H258" s="146">
        <f>IF(分析!I258&lt;&gt;"",分析!I258,"")</f>
        <v/>
      </c>
      <c r="I258" s="146">
        <f>IF(分析!J258&lt;&gt;"",分析!J258,"")</f>
        <v/>
      </c>
      <c r="J258" s="146">
        <f>IF(分析!AB258&lt;&gt;"",分析!AB258,"")</f>
        <v/>
      </c>
      <c r="K258" s="146">
        <f>IF(分析!AC258&lt;&gt;"",分析!AC258,"")</f>
        <v/>
      </c>
      <c r="L258" s="146">
        <f>IF(分析!K258&lt;&gt;"",分析!K258,"")</f>
        <v/>
      </c>
      <c r="M258" s="141">
        <f>IF(分析!P258&lt;&gt;"",分析!P258,"")</f>
        <v/>
      </c>
      <c r="N258" s="599">
        <f>IF(分析!O258&lt;&gt;"",分析!O258,"")</f>
        <v/>
      </c>
      <c r="O258" s="148">
        <f>IF(分析!X258&lt;&gt;"",分析!X258,"")</f>
        <v/>
      </c>
      <c r="P258" s="600">
        <f>IF(分析!L258&lt;&gt;"",分析!L258,"")</f>
        <v/>
      </c>
      <c r="Q258" s="146">
        <f>IF(分析!S258&lt;&gt;"",分析!S258,"")</f>
        <v/>
      </c>
      <c r="R258" s="146">
        <f>IF(分析!R258&lt;&gt;"",分析!R258,"")</f>
        <v/>
      </c>
      <c r="S258" s="141">
        <f>IF(分析!AA258&lt;&gt;"",分析!AA258,"")</f>
        <v/>
      </c>
      <c r="T258" s="601">
        <f>IF(分析!Z258&lt;&gt;"",分析!Z258,"")</f>
        <v/>
      </c>
      <c r="U258" s="141">
        <f>IF(分析!V258&lt;&gt;"",分析!V258,"")</f>
        <v/>
      </c>
      <c r="V258" s="602">
        <f>IF(分析!W258&lt;&gt;"",分析!W258,"")</f>
        <v/>
      </c>
      <c r="W258" s="152">
        <f>IF(分析!AD258&lt;&gt;"",分析!AD258,"")</f>
        <v/>
      </c>
      <c r="X258" s="153">
        <f>IF(分析!AE258&lt;&gt;"",分析!AE258,"")</f>
        <v/>
      </c>
      <c r="Y258" s="154">
        <f>IF(分析!T258&lt;&gt;"",分析!T258,"")</f>
        <v/>
      </c>
      <c r="Z258" s="155">
        <f>IF(分析!Y258&lt;&gt;"",分析!Y258,"")</f>
        <v/>
      </c>
    </row>
    <row r="259" ht="21.95" customHeight="1" s="574">
      <c r="A259" s="156">
        <f>IF(分析!C259&lt;&gt;"",ROW()-2,"")</f>
        <v/>
      </c>
      <c r="B259" s="157">
        <f>IF(分析!C259&lt;&gt;"",HYPERLINK("https://kabutan.jp/stock/?code="&amp;分析!C259,"株探"),"")</f>
        <v/>
      </c>
      <c r="C259" s="603">
        <f>IF(分析!C259&lt;&gt;"",分析!C259,"")</f>
        <v/>
      </c>
      <c r="D259" s="159">
        <f>IF(分析!D259&lt;&gt;"",分析!D259,"")</f>
        <v/>
      </c>
      <c r="E259" s="160">
        <f>IF(分析!E259&lt;&gt;"",分析!E259,"")</f>
        <v/>
      </c>
      <c r="F259" s="161">
        <f>IF(分析!F259&lt;&gt;"",分析!F259,"")</f>
        <v/>
      </c>
      <c r="G259" s="161">
        <f>IF(分析!H259&lt;&gt;"",分析!H259,"")</f>
        <v/>
      </c>
      <c r="H259" s="161">
        <f>IF(分析!I259&lt;&gt;"",分析!I259,"")</f>
        <v/>
      </c>
      <c r="I259" s="161">
        <f>IF(分析!J259&lt;&gt;"",分析!J259,"")</f>
        <v/>
      </c>
      <c r="J259" s="161">
        <f>IF(分析!AB259&lt;&gt;"",分析!AB259,"")</f>
        <v/>
      </c>
      <c r="K259" s="161">
        <f>IF(分析!AC259&lt;&gt;"",分析!AC259,"")</f>
        <v/>
      </c>
      <c r="L259" s="161">
        <f>IF(分析!K259&lt;&gt;"",分析!K259,"")</f>
        <v/>
      </c>
      <c r="M259" s="156">
        <f>IF(分析!P259&lt;&gt;"",分析!P259,"")</f>
        <v/>
      </c>
      <c r="N259" s="604">
        <f>IF(分析!O259&lt;&gt;"",分析!O259,"")</f>
        <v/>
      </c>
      <c r="O259" s="163">
        <f>IF(分析!X259&lt;&gt;"",分析!X259,"")</f>
        <v/>
      </c>
      <c r="P259" s="605">
        <f>IF(分析!L259&lt;&gt;"",分析!L259,"")</f>
        <v/>
      </c>
      <c r="Q259" s="161">
        <f>IF(分析!S259&lt;&gt;"",分析!S259,"")</f>
        <v/>
      </c>
      <c r="R259" s="161">
        <f>IF(分析!R259&lt;&gt;"",分析!R259,"")</f>
        <v/>
      </c>
      <c r="S259" s="156">
        <f>IF(分析!AA259&lt;&gt;"",分析!AA259,"")</f>
        <v/>
      </c>
      <c r="T259" s="606">
        <f>IF(分析!Z259&lt;&gt;"",分析!Z259,"")</f>
        <v/>
      </c>
      <c r="U259" s="156">
        <f>IF(分析!V259&lt;&gt;"",分析!V259,"")</f>
        <v/>
      </c>
      <c r="V259" s="607">
        <f>IF(分析!W259&lt;&gt;"",分析!W259,"")</f>
        <v/>
      </c>
      <c r="W259" s="167">
        <f>IF(分析!AD259&lt;&gt;"",分析!AD259,"")</f>
        <v/>
      </c>
      <c r="X259" s="168">
        <f>IF(分析!AE259&lt;&gt;"",分析!AE259,"")</f>
        <v/>
      </c>
      <c r="Y259" s="169">
        <f>IF(分析!T259&lt;&gt;"",分析!T259,"")</f>
        <v/>
      </c>
      <c r="Z259" s="155">
        <f>IF(分析!Y259&lt;&gt;"",分析!Y259,"")</f>
        <v/>
      </c>
    </row>
    <row r="260" ht="21.95" customHeight="1" s="574">
      <c r="A260" s="141">
        <f>IF(分析!C260&lt;&gt;"",ROW()-2,"")</f>
        <v/>
      </c>
      <c r="B260" s="142">
        <f>IF(分析!C260&lt;&gt;"",HYPERLINK("https://kabutan.jp/stock/?code="&amp;分析!C260,"株探"),"")</f>
        <v/>
      </c>
      <c r="C260" s="598">
        <f>IF(分析!C260&lt;&gt;"",分析!C260,"")</f>
        <v/>
      </c>
      <c r="D260" s="144">
        <f>IF(分析!D260&lt;&gt;"",分析!D260,"")</f>
        <v/>
      </c>
      <c r="E260" s="145">
        <f>IF(分析!E260&lt;&gt;"",分析!E260,"")</f>
        <v/>
      </c>
      <c r="F260" s="146">
        <f>IF(分析!F260&lt;&gt;"",分析!F260,"")</f>
        <v/>
      </c>
      <c r="G260" s="146">
        <f>IF(分析!H260&lt;&gt;"",分析!H260,"")</f>
        <v/>
      </c>
      <c r="H260" s="146">
        <f>IF(分析!I260&lt;&gt;"",分析!I260,"")</f>
        <v/>
      </c>
      <c r="I260" s="146">
        <f>IF(分析!J260&lt;&gt;"",分析!J260,"")</f>
        <v/>
      </c>
      <c r="J260" s="146">
        <f>IF(分析!AB260&lt;&gt;"",分析!AB260,"")</f>
        <v/>
      </c>
      <c r="K260" s="146">
        <f>IF(分析!AC260&lt;&gt;"",分析!AC260,"")</f>
        <v/>
      </c>
      <c r="L260" s="146">
        <f>IF(分析!K260&lt;&gt;"",分析!K260,"")</f>
        <v/>
      </c>
      <c r="M260" s="141">
        <f>IF(分析!P260&lt;&gt;"",分析!P260,"")</f>
        <v/>
      </c>
      <c r="N260" s="599">
        <f>IF(分析!O260&lt;&gt;"",分析!O260,"")</f>
        <v/>
      </c>
      <c r="O260" s="148">
        <f>IF(分析!X260&lt;&gt;"",分析!X260,"")</f>
        <v/>
      </c>
      <c r="P260" s="600">
        <f>IF(分析!L260&lt;&gt;"",分析!L260,"")</f>
        <v/>
      </c>
      <c r="Q260" s="146">
        <f>IF(分析!S260&lt;&gt;"",分析!S260,"")</f>
        <v/>
      </c>
      <c r="R260" s="146">
        <f>IF(分析!R260&lt;&gt;"",分析!R260,"")</f>
        <v/>
      </c>
      <c r="S260" s="141">
        <f>IF(分析!AA260&lt;&gt;"",分析!AA260,"")</f>
        <v/>
      </c>
      <c r="T260" s="601">
        <f>IF(分析!Z260&lt;&gt;"",分析!Z260,"")</f>
        <v/>
      </c>
      <c r="U260" s="141">
        <f>IF(分析!V260&lt;&gt;"",分析!V260,"")</f>
        <v/>
      </c>
      <c r="V260" s="602">
        <f>IF(分析!W260&lt;&gt;"",分析!W260,"")</f>
        <v/>
      </c>
      <c r="W260" s="152">
        <f>IF(分析!AD260&lt;&gt;"",分析!AD260,"")</f>
        <v/>
      </c>
      <c r="X260" s="153">
        <f>IF(分析!AE260&lt;&gt;"",分析!AE260,"")</f>
        <v/>
      </c>
      <c r="Y260" s="154">
        <f>IF(分析!T260&lt;&gt;"",分析!T260,"")</f>
        <v/>
      </c>
      <c r="Z260" s="155">
        <f>IF(分析!Y260&lt;&gt;"",分析!Y260,"")</f>
        <v/>
      </c>
    </row>
    <row r="261" ht="21.95" customHeight="1" s="574">
      <c r="A261" s="156">
        <f>IF(分析!C261&lt;&gt;"",ROW()-2,"")</f>
        <v/>
      </c>
      <c r="B261" s="157">
        <f>IF(分析!C261&lt;&gt;"",HYPERLINK("https://kabutan.jp/stock/?code="&amp;分析!C261,"株探"),"")</f>
        <v/>
      </c>
      <c r="C261" s="603">
        <f>IF(分析!C261&lt;&gt;"",分析!C261,"")</f>
        <v/>
      </c>
      <c r="D261" s="159">
        <f>IF(分析!D261&lt;&gt;"",分析!D261,"")</f>
        <v/>
      </c>
      <c r="E261" s="160">
        <f>IF(分析!E261&lt;&gt;"",分析!E261,"")</f>
        <v/>
      </c>
      <c r="F261" s="161">
        <f>IF(分析!F261&lt;&gt;"",分析!F261,"")</f>
        <v/>
      </c>
      <c r="G261" s="161">
        <f>IF(分析!H261&lt;&gt;"",分析!H261,"")</f>
        <v/>
      </c>
      <c r="H261" s="161">
        <f>IF(分析!I261&lt;&gt;"",分析!I261,"")</f>
        <v/>
      </c>
      <c r="I261" s="161">
        <f>IF(分析!J261&lt;&gt;"",分析!J261,"")</f>
        <v/>
      </c>
      <c r="J261" s="161">
        <f>IF(分析!AB261&lt;&gt;"",分析!AB261,"")</f>
        <v/>
      </c>
      <c r="K261" s="161">
        <f>IF(分析!AC261&lt;&gt;"",分析!AC261,"")</f>
        <v/>
      </c>
      <c r="L261" s="161">
        <f>IF(分析!K261&lt;&gt;"",分析!K261,"")</f>
        <v/>
      </c>
      <c r="M261" s="156">
        <f>IF(分析!P261&lt;&gt;"",分析!P261,"")</f>
        <v/>
      </c>
      <c r="N261" s="604">
        <f>IF(分析!O261&lt;&gt;"",分析!O261,"")</f>
        <v/>
      </c>
      <c r="O261" s="163">
        <f>IF(分析!X261&lt;&gt;"",分析!X261,"")</f>
        <v/>
      </c>
      <c r="P261" s="605">
        <f>IF(分析!L261&lt;&gt;"",分析!L261,"")</f>
        <v/>
      </c>
      <c r="Q261" s="161">
        <f>IF(分析!S261&lt;&gt;"",分析!S261,"")</f>
        <v/>
      </c>
      <c r="R261" s="161">
        <f>IF(分析!R261&lt;&gt;"",分析!R261,"")</f>
        <v/>
      </c>
      <c r="S261" s="156">
        <f>IF(分析!AA261&lt;&gt;"",分析!AA261,"")</f>
        <v/>
      </c>
      <c r="T261" s="606">
        <f>IF(分析!Z261&lt;&gt;"",分析!Z261,"")</f>
        <v/>
      </c>
      <c r="U261" s="156">
        <f>IF(分析!V261&lt;&gt;"",分析!V261,"")</f>
        <v/>
      </c>
      <c r="V261" s="607">
        <f>IF(分析!W261&lt;&gt;"",分析!W261,"")</f>
        <v/>
      </c>
      <c r="W261" s="167">
        <f>IF(分析!AD261&lt;&gt;"",分析!AD261,"")</f>
        <v/>
      </c>
      <c r="X261" s="168">
        <f>IF(分析!AE261&lt;&gt;"",分析!AE261,"")</f>
        <v/>
      </c>
      <c r="Y261" s="169">
        <f>IF(分析!T261&lt;&gt;"",分析!T261,"")</f>
        <v/>
      </c>
      <c r="Z261" s="155">
        <f>IF(分析!Y261&lt;&gt;"",分析!Y261,"")</f>
        <v/>
      </c>
    </row>
    <row r="262" ht="21.95" customHeight="1" s="574">
      <c r="A262" s="141">
        <f>IF(分析!C262&lt;&gt;"",ROW()-2,"")</f>
        <v/>
      </c>
      <c r="B262" s="142">
        <f>IF(分析!C262&lt;&gt;"",HYPERLINK("https://kabutan.jp/stock/?code="&amp;分析!C262,"株探"),"")</f>
        <v/>
      </c>
      <c r="C262" s="598">
        <f>IF(分析!C262&lt;&gt;"",分析!C262,"")</f>
        <v/>
      </c>
      <c r="D262" s="144">
        <f>IF(分析!D262&lt;&gt;"",分析!D262,"")</f>
        <v/>
      </c>
      <c r="E262" s="145">
        <f>IF(分析!E262&lt;&gt;"",分析!E262,"")</f>
        <v/>
      </c>
      <c r="F262" s="146">
        <f>IF(分析!F262&lt;&gt;"",分析!F262,"")</f>
        <v/>
      </c>
      <c r="G262" s="146">
        <f>IF(分析!H262&lt;&gt;"",分析!H262,"")</f>
        <v/>
      </c>
      <c r="H262" s="146">
        <f>IF(分析!I262&lt;&gt;"",分析!I262,"")</f>
        <v/>
      </c>
      <c r="I262" s="146">
        <f>IF(分析!J262&lt;&gt;"",分析!J262,"")</f>
        <v/>
      </c>
      <c r="J262" s="146">
        <f>IF(分析!AB262&lt;&gt;"",分析!AB262,"")</f>
        <v/>
      </c>
      <c r="K262" s="146">
        <f>IF(分析!AC262&lt;&gt;"",分析!AC262,"")</f>
        <v/>
      </c>
      <c r="L262" s="146">
        <f>IF(分析!K262&lt;&gt;"",分析!K262,"")</f>
        <v/>
      </c>
      <c r="M262" s="141">
        <f>IF(分析!P262&lt;&gt;"",分析!P262,"")</f>
        <v/>
      </c>
      <c r="N262" s="599">
        <f>IF(分析!O262&lt;&gt;"",分析!O262,"")</f>
        <v/>
      </c>
      <c r="O262" s="148">
        <f>IF(分析!X262&lt;&gt;"",分析!X262,"")</f>
        <v/>
      </c>
      <c r="P262" s="600">
        <f>IF(分析!L262&lt;&gt;"",分析!L262,"")</f>
        <v/>
      </c>
      <c r="Q262" s="146">
        <f>IF(分析!S262&lt;&gt;"",分析!S262,"")</f>
        <v/>
      </c>
      <c r="R262" s="146">
        <f>IF(分析!R262&lt;&gt;"",分析!R262,"")</f>
        <v/>
      </c>
      <c r="S262" s="141">
        <f>IF(分析!AA262&lt;&gt;"",分析!AA262,"")</f>
        <v/>
      </c>
      <c r="T262" s="601">
        <f>IF(分析!Z262&lt;&gt;"",分析!Z262,"")</f>
        <v/>
      </c>
      <c r="U262" s="141">
        <f>IF(分析!V262&lt;&gt;"",分析!V262,"")</f>
        <v/>
      </c>
      <c r="V262" s="602">
        <f>IF(分析!W262&lt;&gt;"",分析!W262,"")</f>
        <v/>
      </c>
      <c r="W262" s="152">
        <f>IF(分析!AD262&lt;&gt;"",分析!AD262,"")</f>
        <v/>
      </c>
      <c r="X262" s="153">
        <f>IF(分析!AE262&lt;&gt;"",分析!AE262,"")</f>
        <v/>
      </c>
      <c r="Y262" s="154">
        <f>IF(分析!T262&lt;&gt;"",分析!T262,"")</f>
        <v/>
      </c>
      <c r="Z262" s="155">
        <f>IF(分析!Y262&lt;&gt;"",分析!Y262,"")</f>
        <v/>
      </c>
    </row>
    <row r="263" ht="21.95" customHeight="1" s="574">
      <c r="A263" s="156">
        <f>IF(分析!C263&lt;&gt;"",ROW()-2,"")</f>
        <v/>
      </c>
      <c r="B263" s="157">
        <f>IF(分析!C263&lt;&gt;"",HYPERLINK("https://kabutan.jp/stock/?code="&amp;分析!C263,"株探"),"")</f>
        <v/>
      </c>
      <c r="C263" s="603">
        <f>IF(分析!C263&lt;&gt;"",分析!C263,"")</f>
        <v/>
      </c>
      <c r="D263" s="159">
        <f>IF(分析!D263&lt;&gt;"",分析!D263,"")</f>
        <v/>
      </c>
      <c r="E263" s="160">
        <f>IF(分析!E263&lt;&gt;"",分析!E263,"")</f>
        <v/>
      </c>
      <c r="F263" s="161">
        <f>IF(分析!F263&lt;&gt;"",分析!F263,"")</f>
        <v/>
      </c>
      <c r="G263" s="161">
        <f>IF(分析!H263&lt;&gt;"",分析!H263,"")</f>
        <v/>
      </c>
      <c r="H263" s="161">
        <f>IF(分析!I263&lt;&gt;"",分析!I263,"")</f>
        <v/>
      </c>
      <c r="I263" s="161">
        <f>IF(分析!J263&lt;&gt;"",分析!J263,"")</f>
        <v/>
      </c>
      <c r="J263" s="161">
        <f>IF(分析!AB263&lt;&gt;"",分析!AB263,"")</f>
        <v/>
      </c>
      <c r="K263" s="161">
        <f>IF(分析!AC263&lt;&gt;"",分析!AC263,"")</f>
        <v/>
      </c>
      <c r="L263" s="161">
        <f>IF(分析!K263&lt;&gt;"",分析!K263,"")</f>
        <v/>
      </c>
      <c r="M263" s="156">
        <f>IF(分析!P263&lt;&gt;"",分析!P263,"")</f>
        <v/>
      </c>
      <c r="N263" s="604">
        <f>IF(分析!O263&lt;&gt;"",分析!O263,"")</f>
        <v/>
      </c>
      <c r="O263" s="163">
        <f>IF(分析!X263&lt;&gt;"",分析!X263,"")</f>
        <v/>
      </c>
      <c r="P263" s="605">
        <f>IF(分析!L263&lt;&gt;"",分析!L263,"")</f>
        <v/>
      </c>
      <c r="Q263" s="161">
        <f>IF(分析!S263&lt;&gt;"",分析!S263,"")</f>
        <v/>
      </c>
      <c r="R263" s="161">
        <f>IF(分析!R263&lt;&gt;"",分析!R263,"")</f>
        <v/>
      </c>
      <c r="S263" s="156">
        <f>IF(分析!AA263&lt;&gt;"",分析!AA263,"")</f>
        <v/>
      </c>
      <c r="T263" s="606">
        <f>IF(分析!Z263&lt;&gt;"",分析!Z263,"")</f>
        <v/>
      </c>
      <c r="U263" s="156">
        <f>IF(分析!V263&lt;&gt;"",分析!V263,"")</f>
        <v/>
      </c>
      <c r="V263" s="607">
        <f>IF(分析!W263&lt;&gt;"",分析!W263,"")</f>
        <v/>
      </c>
      <c r="W263" s="167">
        <f>IF(分析!AD263&lt;&gt;"",分析!AD263,"")</f>
        <v/>
      </c>
      <c r="X263" s="168">
        <f>IF(分析!AE263&lt;&gt;"",分析!AE263,"")</f>
        <v/>
      </c>
      <c r="Y263" s="169">
        <f>IF(分析!T263&lt;&gt;"",分析!T263,"")</f>
        <v/>
      </c>
      <c r="Z263" s="155">
        <f>IF(分析!Y263&lt;&gt;"",分析!Y263,"")</f>
        <v/>
      </c>
    </row>
    <row r="264" ht="21.95" customHeight="1" s="574">
      <c r="A264" s="141">
        <f>IF(分析!C264&lt;&gt;"",ROW()-2,"")</f>
        <v/>
      </c>
      <c r="B264" s="142">
        <f>IF(分析!C264&lt;&gt;"",HYPERLINK("https://kabutan.jp/stock/?code="&amp;分析!C264,"株探"),"")</f>
        <v/>
      </c>
      <c r="C264" s="598">
        <f>IF(分析!C264&lt;&gt;"",分析!C264,"")</f>
        <v/>
      </c>
      <c r="D264" s="144">
        <f>IF(分析!D264&lt;&gt;"",分析!D264,"")</f>
        <v/>
      </c>
      <c r="E264" s="145">
        <f>IF(分析!E264&lt;&gt;"",分析!E264,"")</f>
        <v/>
      </c>
      <c r="F264" s="146">
        <f>IF(分析!F264&lt;&gt;"",分析!F264,"")</f>
        <v/>
      </c>
      <c r="G264" s="146">
        <f>IF(分析!H264&lt;&gt;"",分析!H264,"")</f>
        <v/>
      </c>
      <c r="H264" s="146">
        <f>IF(分析!I264&lt;&gt;"",分析!I264,"")</f>
        <v/>
      </c>
      <c r="I264" s="146">
        <f>IF(分析!J264&lt;&gt;"",分析!J264,"")</f>
        <v/>
      </c>
      <c r="J264" s="146">
        <f>IF(分析!AB264&lt;&gt;"",分析!AB264,"")</f>
        <v/>
      </c>
      <c r="K264" s="146">
        <f>IF(分析!AC264&lt;&gt;"",分析!AC264,"")</f>
        <v/>
      </c>
      <c r="L264" s="146">
        <f>IF(分析!K264&lt;&gt;"",分析!K264,"")</f>
        <v/>
      </c>
      <c r="M264" s="141">
        <f>IF(分析!P264&lt;&gt;"",分析!P264,"")</f>
        <v/>
      </c>
      <c r="N264" s="599">
        <f>IF(分析!O264&lt;&gt;"",分析!O264,"")</f>
        <v/>
      </c>
      <c r="O264" s="148">
        <f>IF(分析!X264&lt;&gt;"",分析!X264,"")</f>
        <v/>
      </c>
      <c r="P264" s="600">
        <f>IF(分析!L264&lt;&gt;"",分析!L264,"")</f>
        <v/>
      </c>
      <c r="Q264" s="146">
        <f>IF(分析!S264&lt;&gt;"",分析!S264,"")</f>
        <v/>
      </c>
      <c r="R264" s="146">
        <f>IF(分析!R264&lt;&gt;"",分析!R264,"")</f>
        <v/>
      </c>
      <c r="S264" s="141">
        <f>IF(分析!AA264&lt;&gt;"",分析!AA264,"")</f>
        <v/>
      </c>
      <c r="T264" s="601">
        <f>IF(分析!Z264&lt;&gt;"",分析!Z264,"")</f>
        <v/>
      </c>
      <c r="U264" s="141">
        <f>IF(分析!V264&lt;&gt;"",分析!V264,"")</f>
        <v/>
      </c>
      <c r="V264" s="602">
        <f>IF(分析!W264&lt;&gt;"",分析!W264,"")</f>
        <v/>
      </c>
      <c r="W264" s="152">
        <f>IF(分析!AD264&lt;&gt;"",分析!AD264,"")</f>
        <v/>
      </c>
      <c r="X264" s="153">
        <f>IF(分析!AE264&lt;&gt;"",分析!AE264,"")</f>
        <v/>
      </c>
      <c r="Y264" s="154">
        <f>IF(分析!T264&lt;&gt;"",分析!T264,"")</f>
        <v/>
      </c>
      <c r="Z264" s="155">
        <f>IF(分析!Y264&lt;&gt;"",分析!Y264,"")</f>
        <v/>
      </c>
    </row>
    <row r="265" ht="21.95" customHeight="1" s="574">
      <c r="A265" s="156">
        <f>IF(分析!C265&lt;&gt;"",ROW()-2,"")</f>
        <v/>
      </c>
      <c r="B265" s="157">
        <f>IF(分析!C265&lt;&gt;"",HYPERLINK("https://kabutan.jp/stock/?code="&amp;分析!C265,"株探"),"")</f>
        <v/>
      </c>
      <c r="C265" s="603">
        <f>IF(分析!C265&lt;&gt;"",分析!C265,"")</f>
        <v/>
      </c>
      <c r="D265" s="159">
        <f>IF(分析!D265&lt;&gt;"",分析!D265,"")</f>
        <v/>
      </c>
      <c r="E265" s="160">
        <f>IF(分析!E265&lt;&gt;"",分析!E265,"")</f>
        <v/>
      </c>
      <c r="F265" s="161">
        <f>IF(分析!F265&lt;&gt;"",分析!F265,"")</f>
        <v/>
      </c>
      <c r="G265" s="161">
        <f>IF(分析!H265&lt;&gt;"",分析!H265,"")</f>
        <v/>
      </c>
      <c r="H265" s="161">
        <f>IF(分析!I265&lt;&gt;"",分析!I265,"")</f>
        <v/>
      </c>
      <c r="I265" s="161">
        <f>IF(分析!J265&lt;&gt;"",分析!J265,"")</f>
        <v/>
      </c>
      <c r="J265" s="161">
        <f>IF(分析!AB265&lt;&gt;"",分析!AB265,"")</f>
        <v/>
      </c>
      <c r="K265" s="161">
        <f>IF(分析!AC265&lt;&gt;"",分析!AC265,"")</f>
        <v/>
      </c>
      <c r="L265" s="161">
        <f>IF(分析!K265&lt;&gt;"",分析!K265,"")</f>
        <v/>
      </c>
      <c r="M265" s="156">
        <f>IF(分析!P265&lt;&gt;"",分析!P265,"")</f>
        <v/>
      </c>
      <c r="N265" s="604">
        <f>IF(分析!O265&lt;&gt;"",分析!O265,"")</f>
        <v/>
      </c>
      <c r="O265" s="163">
        <f>IF(分析!X265&lt;&gt;"",分析!X265,"")</f>
        <v/>
      </c>
      <c r="P265" s="605">
        <f>IF(分析!L265&lt;&gt;"",分析!L265,"")</f>
        <v/>
      </c>
      <c r="Q265" s="161">
        <f>IF(分析!S265&lt;&gt;"",分析!S265,"")</f>
        <v/>
      </c>
      <c r="R265" s="161">
        <f>IF(分析!R265&lt;&gt;"",分析!R265,"")</f>
        <v/>
      </c>
      <c r="S265" s="156">
        <f>IF(分析!AA265&lt;&gt;"",分析!AA265,"")</f>
        <v/>
      </c>
      <c r="T265" s="606">
        <f>IF(分析!Z265&lt;&gt;"",分析!Z265,"")</f>
        <v/>
      </c>
      <c r="U265" s="156">
        <f>IF(分析!V265&lt;&gt;"",分析!V265,"")</f>
        <v/>
      </c>
      <c r="V265" s="607">
        <f>IF(分析!W265&lt;&gt;"",分析!W265,"")</f>
        <v/>
      </c>
      <c r="W265" s="167">
        <f>IF(分析!AD265&lt;&gt;"",分析!AD265,"")</f>
        <v/>
      </c>
      <c r="X265" s="168">
        <f>IF(分析!AE265&lt;&gt;"",分析!AE265,"")</f>
        <v/>
      </c>
      <c r="Y265" s="169">
        <f>IF(分析!T265&lt;&gt;"",分析!T265,"")</f>
        <v/>
      </c>
      <c r="Z265" s="155">
        <f>IF(分析!Y265&lt;&gt;"",分析!Y265,"")</f>
        <v/>
      </c>
    </row>
    <row r="266" ht="21.95" customHeight="1" s="574">
      <c r="A266" s="141">
        <f>IF(分析!C266&lt;&gt;"",ROW()-2,"")</f>
        <v/>
      </c>
      <c r="B266" s="142">
        <f>IF(分析!C266&lt;&gt;"",HYPERLINK("https://kabutan.jp/stock/?code="&amp;分析!C266,"株探"),"")</f>
        <v/>
      </c>
      <c r="C266" s="598">
        <f>IF(分析!C266&lt;&gt;"",分析!C266,"")</f>
        <v/>
      </c>
      <c r="D266" s="144">
        <f>IF(分析!D266&lt;&gt;"",分析!D266,"")</f>
        <v/>
      </c>
      <c r="E266" s="145">
        <f>IF(分析!E266&lt;&gt;"",分析!E266,"")</f>
        <v/>
      </c>
      <c r="F266" s="146">
        <f>IF(分析!F266&lt;&gt;"",分析!F266,"")</f>
        <v/>
      </c>
      <c r="G266" s="146">
        <f>IF(分析!H266&lt;&gt;"",分析!H266,"")</f>
        <v/>
      </c>
      <c r="H266" s="146">
        <f>IF(分析!I266&lt;&gt;"",分析!I266,"")</f>
        <v/>
      </c>
      <c r="I266" s="146">
        <f>IF(分析!J266&lt;&gt;"",分析!J266,"")</f>
        <v/>
      </c>
      <c r="J266" s="146">
        <f>IF(分析!AB266&lt;&gt;"",分析!AB266,"")</f>
        <v/>
      </c>
      <c r="K266" s="146">
        <f>IF(分析!AC266&lt;&gt;"",分析!AC266,"")</f>
        <v/>
      </c>
      <c r="L266" s="146">
        <f>IF(分析!K266&lt;&gt;"",分析!K266,"")</f>
        <v/>
      </c>
      <c r="M266" s="141">
        <f>IF(分析!P266&lt;&gt;"",分析!P266,"")</f>
        <v/>
      </c>
      <c r="N266" s="599">
        <f>IF(分析!O266&lt;&gt;"",分析!O266,"")</f>
        <v/>
      </c>
      <c r="O266" s="148">
        <f>IF(分析!X266&lt;&gt;"",分析!X266,"")</f>
        <v/>
      </c>
      <c r="P266" s="600">
        <f>IF(分析!L266&lt;&gt;"",分析!L266,"")</f>
        <v/>
      </c>
      <c r="Q266" s="146">
        <f>IF(分析!S266&lt;&gt;"",分析!S266,"")</f>
        <v/>
      </c>
      <c r="R266" s="146">
        <f>IF(分析!R266&lt;&gt;"",分析!R266,"")</f>
        <v/>
      </c>
      <c r="S266" s="141">
        <f>IF(分析!AA266&lt;&gt;"",分析!AA266,"")</f>
        <v/>
      </c>
      <c r="T266" s="601">
        <f>IF(分析!Z266&lt;&gt;"",分析!Z266,"")</f>
        <v/>
      </c>
      <c r="U266" s="141">
        <f>IF(分析!V266&lt;&gt;"",分析!V266,"")</f>
        <v/>
      </c>
      <c r="V266" s="602">
        <f>IF(分析!W266&lt;&gt;"",分析!W266,"")</f>
        <v/>
      </c>
      <c r="W266" s="152">
        <f>IF(分析!AD266&lt;&gt;"",分析!AD266,"")</f>
        <v/>
      </c>
      <c r="X266" s="153">
        <f>IF(分析!AE266&lt;&gt;"",分析!AE266,"")</f>
        <v/>
      </c>
      <c r="Y266" s="154">
        <f>IF(分析!T266&lt;&gt;"",分析!T266,"")</f>
        <v/>
      </c>
      <c r="Z266" s="155">
        <f>IF(分析!Y266&lt;&gt;"",分析!Y266,"")</f>
        <v/>
      </c>
    </row>
    <row r="267" ht="21.95" customHeight="1" s="574">
      <c r="A267" s="156">
        <f>IF(分析!C267&lt;&gt;"",ROW()-2,"")</f>
        <v/>
      </c>
      <c r="B267" s="157">
        <f>IF(分析!C267&lt;&gt;"",HYPERLINK("https://kabutan.jp/stock/?code="&amp;分析!C267,"株探"),"")</f>
        <v/>
      </c>
      <c r="C267" s="603">
        <f>IF(分析!C267&lt;&gt;"",分析!C267,"")</f>
        <v/>
      </c>
      <c r="D267" s="159">
        <f>IF(分析!D267&lt;&gt;"",分析!D267,"")</f>
        <v/>
      </c>
      <c r="E267" s="160">
        <f>IF(分析!E267&lt;&gt;"",分析!E267,"")</f>
        <v/>
      </c>
      <c r="F267" s="161">
        <f>IF(分析!F267&lt;&gt;"",分析!F267,"")</f>
        <v/>
      </c>
      <c r="G267" s="161">
        <f>IF(分析!H267&lt;&gt;"",分析!H267,"")</f>
        <v/>
      </c>
      <c r="H267" s="161">
        <f>IF(分析!I267&lt;&gt;"",分析!I267,"")</f>
        <v/>
      </c>
      <c r="I267" s="161">
        <f>IF(分析!J267&lt;&gt;"",分析!J267,"")</f>
        <v/>
      </c>
      <c r="J267" s="161">
        <f>IF(分析!AB267&lt;&gt;"",分析!AB267,"")</f>
        <v/>
      </c>
      <c r="K267" s="161">
        <f>IF(分析!AC267&lt;&gt;"",分析!AC267,"")</f>
        <v/>
      </c>
      <c r="L267" s="161">
        <f>IF(分析!K267&lt;&gt;"",分析!K267,"")</f>
        <v/>
      </c>
      <c r="M267" s="156">
        <f>IF(分析!P267&lt;&gt;"",分析!P267,"")</f>
        <v/>
      </c>
      <c r="N267" s="604">
        <f>IF(分析!O267&lt;&gt;"",分析!O267,"")</f>
        <v/>
      </c>
      <c r="O267" s="163">
        <f>IF(分析!X267&lt;&gt;"",分析!X267,"")</f>
        <v/>
      </c>
      <c r="P267" s="605">
        <f>IF(分析!L267&lt;&gt;"",分析!L267,"")</f>
        <v/>
      </c>
      <c r="Q267" s="161">
        <f>IF(分析!S267&lt;&gt;"",分析!S267,"")</f>
        <v/>
      </c>
      <c r="R267" s="161">
        <f>IF(分析!R267&lt;&gt;"",分析!R267,"")</f>
        <v/>
      </c>
      <c r="S267" s="156">
        <f>IF(分析!AA267&lt;&gt;"",分析!AA267,"")</f>
        <v/>
      </c>
      <c r="T267" s="606">
        <f>IF(分析!Z267&lt;&gt;"",分析!Z267,"")</f>
        <v/>
      </c>
      <c r="U267" s="156">
        <f>IF(分析!V267&lt;&gt;"",分析!V267,"")</f>
        <v/>
      </c>
      <c r="V267" s="607">
        <f>IF(分析!W267&lt;&gt;"",分析!W267,"")</f>
        <v/>
      </c>
      <c r="W267" s="167">
        <f>IF(分析!AD267&lt;&gt;"",分析!AD267,"")</f>
        <v/>
      </c>
      <c r="X267" s="168">
        <f>IF(分析!AE267&lt;&gt;"",分析!AE267,"")</f>
        <v/>
      </c>
      <c r="Y267" s="169">
        <f>IF(分析!T267&lt;&gt;"",分析!T267,"")</f>
        <v/>
      </c>
      <c r="Z267" s="155">
        <f>IF(分析!Y267&lt;&gt;"",分析!Y267,"")</f>
        <v/>
      </c>
    </row>
    <row r="268" ht="21.95" customHeight="1" s="574">
      <c r="A268" s="141">
        <f>IF(分析!C268&lt;&gt;"",ROW()-2,"")</f>
        <v/>
      </c>
      <c r="B268" s="142">
        <f>IF(分析!C268&lt;&gt;"",HYPERLINK("https://kabutan.jp/stock/?code="&amp;分析!C268,"株探"),"")</f>
        <v/>
      </c>
      <c r="C268" s="598">
        <f>IF(分析!C268&lt;&gt;"",分析!C268,"")</f>
        <v/>
      </c>
      <c r="D268" s="144">
        <f>IF(分析!D268&lt;&gt;"",分析!D268,"")</f>
        <v/>
      </c>
      <c r="E268" s="145">
        <f>IF(分析!E268&lt;&gt;"",分析!E268,"")</f>
        <v/>
      </c>
      <c r="F268" s="146">
        <f>IF(分析!F268&lt;&gt;"",分析!F268,"")</f>
        <v/>
      </c>
      <c r="G268" s="146">
        <f>IF(分析!H268&lt;&gt;"",分析!H268,"")</f>
        <v/>
      </c>
      <c r="H268" s="146">
        <f>IF(分析!I268&lt;&gt;"",分析!I268,"")</f>
        <v/>
      </c>
      <c r="I268" s="146">
        <f>IF(分析!J268&lt;&gt;"",分析!J268,"")</f>
        <v/>
      </c>
      <c r="J268" s="146">
        <f>IF(分析!AB268&lt;&gt;"",分析!AB268,"")</f>
        <v/>
      </c>
      <c r="K268" s="146">
        <f>IF(分析!AC268&lt;&gt;"",分析!AC268,"")</f>
        <v/>
      </c>
      <c r="L268" s="146">
        <f>IF(分析!K268&lt;&gt;"",分析!K268,"")</f>
        <v/>
      </c>
      <c r="M268" s="141">
        <f>IF(分析!P268&lt;&gt;"",分析!P268,"")</f>
        <v/>
      </c>
      <c r="N268" s="599">
        <f>IF(分析!O268&lt;&gt;"",分析!O268,"")</f>
        <v/>
      </c>
      <c r="O268" s="148">
        <f>IF(分析!X268&lt;&gt;"",分析!X268,"")</f>
        <v/>
      </c>
      <c r="P268" s="600">
        <f>IF(分析!L268&lt;&gt;"",分析!L268,"")</f>
        <v/>
      </c>
      <c r="Q268" s="146">
        <f>IF(分析!S268&lt;&gt;"",分析!S268,"")</f>
        <v/>
      </c>
      <c r="R268" s="146">
        <f>IF(分析!R268&lt;&gt;"",分析!R268,"")</f>
        <v/>
      </c>
      <c r="S268" s="141">
        <f>IF(分析!AA268&lt;&gt;"",分析!AA268,"")</f>
        <v/>
      </c>
      <c r="T268" s="601">
        <f>IF(分析!Z268&lt;&gt;"",分析!Z268,"")</f>
        <v/>
      </c>
      <c r="U268" s="141">
        <f>IF(分析!V268&lt;&gt;"",分析!V268,"")</f>
        <v/>
      </c>
      <c r="V268" s="602">
        <f>IF(分析!W268&lt;&gt;"",分析!W268,"")</f>
        <v/>
      </c>
      <c r="W268" s="152">
        <f>IF(分析!AD268&lt;&gt;"",分析!AD268,"")</f>
        <v/>
      </c>
      <c r="X268" s="153">
        <f>IF(分析!AE268&lt;&gt;"",分析!AE268,"")</f>
        <v/>
      </c>
      <c r="Y268" s="154">
        <f>IF(分析!T268&lt;&gt;"",分析!T268,"")</f>
        <v/>
      </c>
      <c r="Z268" s="155">
        <f>IF(分析!Y268&lt;&gt;"",分析!Y268,"")</f>
        <v/>
      </c>
    </row>
    <row r="269" ht="21.95" customHeight="1" s="574">
      <c r="A269" s="156">
        <f>IF(分析!C269&lt;&gt;"",ROW()-2,"")</f>
        <v/>
      </c>
      <c r="B269" s="157">
        <f>IF(分析!C269&lt;&gt;"",HYPERLINK("https://kabutan.jp/stock/?code="&amp;分析!C269,"株探"),"")</f>
        <v/>
      </c>
      <c r="C269" s="603">
        <f>IF(分析!C269&lt;&gt;"",分析!C269,"")</f>
        <v/>
      </c>
      <c r="D269" s="159">
        <f>IF(分析!D269&lt;&gt;"",分析!D269,"")</f>
        <v/>
      </c>
      <c r="E269" s="160">
        <f>IF(分析!E269&lt;&gt;"",分析!E269,"")</f>
        <v/>
      </c>
      <c r="F269" s="161">
        <f>IF(分析!F269&lt;&gt;"",分析!F269,"")</f>
        <v/>
      </c>
      <c r="G269" s="161">
        <f>IF(分析!H269&lt;&gt;"",分析!H269,"")</f>
        <v/>
      </c>
      <c r="H269" s="161">
        <f>IF(分析!I269&lt;&gt;"",分析!I269,"")</f>
        <v/>
      </c>
      <c r="I269" s="161">
        <f>IF(分析!J269&lt;&gt;"",分析!J269,"")</f>
        <v/>
      </c>
      <c r="J269" s="161">
        <f>IF(分析!AB269&lt;&gt;"",分析!AB269,"")</f>
        <v/>
      </c>
      <c r="K269" s="161">
        <f>IF(分析!AC269&lt;&gt;"",分析!AC269,"")</f>
        <v/>
      </c>
      <c r="L269" s="161">
        <f>IF(分析!K269&lt;&gt;"",分析!K269,"")</f>
        <v/>
      </c>
      <c r="M269" s="156">
        <f>IF(分析!P269&lt;&gt;"",分析!P269,"")</f>
        <v/>
      </c>
      <c r="N269" s="604">
        <f>IF(分析!O269&lt;&gt;"",分析!O269,"")</f>
        <v/>
      </c>
      <c r="O269" s="163">
        <f>IF(分析!X269&lt;&gt;"",分析!X269,"")</f>
        <v/>
      </c>
      <c r="P269" s="605">
        <f>IF(分析!L269&lt;&gt;"",分析!L269,"")</f>
        <v/>
      </c>
      <c r="Q269" s="161">
        <f>IF(分析!S269&lt;&gt;"",分析!S269,"")</f>
        <v/>
      </c>
      <c r="R269" s="161">
        <f>IF(分析!R269&lt;&gt;"",分析!R269,"")</f>
        <v/>
      </c>
      <c r="S269" s="156">
        <f>IF(分析!AA269&lt;&gt;"",分析!AA269,"")</f>
        <v/>
      </c>
      <c r="T269" s="606">
        <f>IF(分析!Z269&lt;&gt;"",分析!Z269,"")</f>
        <v/>
      </c>
      <c r="U269" s="156">
        <f>IF(分析!V269&lt;&gt;"",分析!V269,"")</f>
        <v/>
      </c>
      <c r="V269" s="607">
        <f>IF(分析!W269&lt;&gt;"",分析!W269,"")</f>
        <v/>
      </c>
      <c r="W269" s="167">
        <f>IF(分析!AD269&lt;&gt;"",分析!AD269,"")</f>
        <v/>
      </c>
      <c r="X269" s="168">
        <f>IF(分析!AE269&lt;&gt;"",分析!AE269,"")</f>
        <v/>
      </c>
      <c r="Y269" s="169">
        <f>IF(分析!T269&lt;&gt;"",分析!T269,"")</f>
        <v/>
      </c>
      <c r="Z269" s="155">
        <f>IF(分析!Y269&lt;&gt;"",分析!Y269,"")</f>
        <v/>
      </c>
    </row>
    <row r="270" ht="21.95" customHeight="1" s="574">
      <c r="A270" s="141">
        <f>IF(分析!C270&lt;&gt;"",ROW()-2,"")</f>
        <v/>
      </c>
      <c r="B270" s="142">
        <f>IF(分析!C270&lt;&gt;"",HYPERLINK("https://kabutan.jp/stock/?code="&amp;分析!C270,"株探"),"")</f>
        <v/>
      </c>
      <c r="C270" s="598">
        <f>IF(分析!C270&lt;&gt;"",分析!C270,"")</f>
        <v/>
      </c>
      <c r="D270" s="144">
        <f>IF(分析!D270&lt;&gt;"",分析!D270,"")</f>
        <v/>
      </c>
      <c r="E270" s="145">
        <f>IF(分析!E270&lt;&gt;"",分析!E270,"")</f>
        <v/>
      </c>
      <c r="F270" s="146">
        <f>IF(分析!F270&lt;&gt;"",分析!F270,"")</f>
        <v/>
      </c>
      <c r="G270" s="146">
        <f>IF(分析!H270&lt;&gt;"",分析!H270,"")</f>
        <v/>
      </c>
      <c r="H270" s="146">
        <f>IF(分析!I270&lt;&gt;"",分析!I270,"")</f>
        <v/>
      </c>
      <c r="I270" s="146">
        <f>IF(分析!J270&lt;&gt;"",分析!J270,"")</f>
        <v/>
      </c>
      <c r="J270" s="146">
        <f>IF(分析!AB270&lt;&gt;"",分析!AB270,"")</f>
        <v/>
      </c>
      <c r="K270" s="146">
        <f>IF(分析!AC270&lt;&gt;"",分析!AC270,"")</f>
        <v/>
      </c>
      <c r="L270" s="146">
        <f>IF(分析!K270&lt;&gt;"",分析!K270,"")</f>
        <v/>
      </c>
      <c r="M270" s="141">
        <f>IF(分析!P270&lt;&gt;"",分析!P270,"")</f>
        <v/>
      </c>
      <c r="N270" s="599">
        <f>IF(分析!O270&lt;&gt;"",分析!O270,"")</f>
        <v/>
      </c>
      <c r="O270" s="148">
        <f>IF(分析!X270&lt;&gt;"",分析!X270,"")</f>
        <v/>
      </c>
      <c r="P270" s="600">
        <f>IF(分析!L270&lt;&gt;"",分析!L270,"")</f>
        <v/>
      </c>
      <c r="Q270" s="146">
        <f>IF(分析!S270&lt;&gt;"",分析!S270,"")</f>
        <v/>
      </c>
      <c r="R270" s="146">
        <f>IF(分析!R270&lt;&gt;"",分析!R270,"")</f>
        <v/>
      </c>
      <c r="S270" s="141">
        <f>IF(分析!AA270&lt;&gt;"",分析!AA270,"")</f>
        <v/>
      </c>
      <c r="T270" s="601">
        <f>IF(分析!Z270&lt;&gt;"",分析!Z270,"")</f>
        <v/>
      </c>
      <c r="U270" s="141">
        <f>IF(分析!V270&lt;&gt;"",分析!V270,"")</f>
        <v/>
      </c>
      <c r="V270" s="602">
        <f>IF(分析!W270&lt;&gt;"",分析!W270,"")</f>
        <v/>
      </c>
      <c r="W270" s="152">
        <f>IF(分析!AD270&lt;&gt;"",分析!AD270,"")</f>
        <v/>
      </c>
      <c r="X270" s="153">
        <f>IF(分析!AE270&lt;&gt;"",分析!AE270,"")</f>
        <v/>
      </c>
      <c r="Y270" s="154">
        <f>IF(分析!T270&lt;&gt;"",分析!T270,"")</f>
        <v/>
      </c>
      <c r="Z270" s="155">
        <f>IF(分析!Y270&lt;&gt;"",分析!Y270,"")</f>
        <v/>
      </c>
    </row>
    <row r="271" ht="21.95" customHeight="1" s="574">
      <c r="A271" s="156">
        <f>IF(分析!C271&lt;&gt;"",ROW()-2,"")</f>
        <v/>
      </c>
      <c r="B271" s="157">
        <f>IF(分析!C271&lt;&gt;"",HYPERLINK("https://kabutan.jp/stock/?code="&amp;分析!C271,"株探"),"")</f>
        <v/>
      </c>
      <c r="C271" s="603">
        <f>IF(分析!C271&lt;&gt;"",分析!C271,"")</f>
        <v/>
      </c>
      <c r="D271" s="159">
        <f>IF(分析!D271&lt;&gt;"",分析!D271,"")</f>
        <v/>
      </c>
      <c r="E271" s="160">
        <f>IF(分析!E271&lt;&gt;"",分析!E271,"")</f>
        <v/>
      </c>
      <c r="F271" s="161">
        <f>IF(分析!F271&lt;&gt;"",分析!F271,"")</f>
        <v/>
      </c>
      <c r="G271" s="161">
        <f>IF(分析!H271&lt;&gt;"",分析!H271,"")</f>
        <v/>
      </c>
      <c r="H271" s="161">
        <f>IF(分析!I271&lt;&gt;"",分析!I271,"")</f>
        <v/>
      </c>
      <c r="I271" s="161">
        <f>IF(分析!J271&lt;&gt;"",分析!J271,"")</f>
        <v/>
      </c>
      <c r="J271" s="161">
        <f>IF(分析!AB271&lt;&gt;"",分析!AB271,"")</f>
        <v/>
      </c>
      <c r="K271" s="161">
        <f>IF(分析!AC271&lt;&gt;"",分析!AC271,"")</f>
        <v/>
      </c>
      <c r="L271" s="161">
        <f>IF(分析!K271&lt;&gt;"",分析!K271,"")</f>
        <v/>
      </c>
      <c r="M271" s="156">
        <f>IF(分析!P271&lt;&gt;"",分析!P271,"")</f>
        <v/>
      </c>
      <c r="N271" s="604">
        <f>IF(分析!O271&lt;&gt;"",分析!O271,"")</f>
        <v/>
      </c>
      <c r="O271" s="163">
        <f>IF(分析!X271&lt;&gt;"",分析!X271,"")</f>
        <v/>
      </c>
      <c r="P271" s="605">
        <f>IF(分析!L271&lt;&gt;"",分析!L271,"")</f>
        <v/>
      </c>
      <c r="Q271" s="161">
        <f>IF(分析!S271&lt;&gt;"",分析!S271,"")</f>
        <v/>
      </c>
      <c r="R271" s="161">
        <f>IF(分析!R271&lt;&gt;"",分析!R271,"")</f>
        <v/>
      </c>
      <c r="S271" s="156">
        <f>IF(分析!AA271&lt;&gt;"",分析!AA271,"")</f>
        <v/>
      </c>
      <c r="T271" s="606">
        <f>IF(分析!Z271&lt;&gt;"",分析!Z271,"")</f>
        <v/>
      </c>
      <c r="U271" s="156">
        <f>IF(分析!V271&lt;&gt;"",分析!V271,"")</f>
        <v/>
      </c>
      <c r="V271" s="607">
        <f>IF(分析!W271&lt;&gt;"",分析!W271,"")</f>
        <v/>
      </c>
      <c r="W271" s="167">
        <f>IF(分析!AD271&lt;&gt;"",分析!AD271,"")</f>
        <v/>
      </c>
      <c r="X271" s="168">
        <f>IF(分析!AE271&lt;&gt;"",分析!AE271,"")</f>
        <v/>
      </c>
      <c r="Y271" s="169">
        <f>IF(分析!T271&lt;&gt;"",分析!T271,"")</f>
        <v/>
      </c>
      <c r="Z271" s="155">
        <f>IF(分析!Y271&lt;&gt;"",分析!Y271,"")</f>
        <v/>
      </c>
    </row>
    <row r="272" ht="21.95" customHeight="1" s="574">
      <c r="A272" s="141">
        <f>IF(分析!C272&lt;&gt;"",ROW()-2,"")</f>
        <v/>
      </c>
      <c r="B272" s="142">
        <f>IF(分析!C272&lt;&gt;"",HYPERLINK("https://kabutan.jp/stock/?code="&amp;分析!C272,"株探"),"")</f>
        <v/>
      </c>
      <c r="C272" s="598">
        <f>IF(分析!C272&lt;&gt;"",分析!C272,"")</f>
        <v/>
      </c>
      <c r="D272" s="144">
        <f>IF(分析!D272&lt;&gt;"",分析!D272,"")</f>
        <v/>
      </c>
      <c r="E272" s="145">
        <f>IF(分析!E272&lt;&gt;"",分析!E272,"")</f>
        <v/>
      </c>
      <c r="F272" s="146">
        <f>IF(分析!F272&lt;&gt;"",分析!F272,"")</f>
        <v/>
      </c>
      <c r="G272" s="146">
        <f>IF(分析!H272&lt;&gt;"",分析!H272,"")</f>
        <v/>
      </c>
      <c r="H272" s="146">
        <f>IF(分析!I272&lt;&gt;"",分析!I272,"")</f>
        <v/>
      </c>
      <c r="I272" s="146">
        <f>IF(分析!J272&lt;&gt;"",分析!J272,"")</f>
        <v/>
      </c>
      <c r="J272" s="146">
        <f>IF(分析!AB272&lt;&gt;"",分析!AB272,"")</f>
        <v/>
      </c>
      <c r="K272" s="146">
        <f>IF(分析!AC272&lt;&gt;"",分析!AC272,"")</f>
        <v/>
      </c>
      <c r="L272" s="146">
        <f>IF(分析!K272&lt;&gt;"",分析!K272,"")</f>
        <v/>
      </c>
      <c r="M272" s="141">
        <f>IF(分析!P272&lt;&gt;"",分析!P272,"")</f>
        <v/>
      </c>
      <c r="N272" s="599">
        <f>IF(分析!O272&lt;&gt;"",分析!O272,"")</f>
        <v/>
      </c>
      <c r="O272" s="148">
        <f>IF(分析!X272&lt;&gt;"",分析!X272,"")</f>
        <v/>
      </c>
      <c r="P272" s="600">
        <f>IF(分析!L272&lt;&gt;"",分析!L272,"")</f>
        <v/>
      </c>
      <c r="Q272" s="146">
        <f>IF(分析!S272&lt;&gt;"",分析!S272,"")</f>
        <v/>
      </c>
      <c r="R272" s="146">
        <f>IF(分析!R272&lt;&gt;"",分析!R272,"")</f>
        <v/>
      </c>
      <c r="S272" s="141">
        <f>IF(分析!AA272&lt;&gt;"",分析!AA272,"")</f>
        <v/>
      </c>
      <c r="T272" s="601">
        <f>IF(分析!Z272&lt;&gt;"",分析!Z272,"")</f>
        <v/>
      </c>
      <c r="U272" s="141">
        <f>IF(分析!V272&lt;&gt;"",分析!V272,"")</f>
        <v/>
      </c>
      <c r="V272" s="602">
        <f>IF(分析!W272&lt;&gt;"",分析!W272,"")</f>
        <v/>
      </c>
      <c r="W272" s="152">
        <f>IF(分析!AD272&lt;&gt;"",分析!AD272,"")</f>
        <v/>
      </c>
      <c r="X272" s="153">
        <f>IF(分析!AE272&lt;&gt;"",分析!AE272,"")</f>
        <v/>
      </c>
      <c r="Y272" s="154">
        <f>IF(分析!T272&lt;&gt;"",分析!T272,"")</f>
        <v/>
      </c>
      <c r="Z272" s="155">
        <f>IF(分析!Y272&lt;&gt;"",分析!Y272,"")</f>
        <v/>
      </c>
    </row>
    <row r="273" ht="21.95" customHeight="1" s="574">
      <c r="A273" s="156">
        <f>IF(分析!C273&lt;&gt;"",ROW()-2,"")</f>
        <v/>
      </c>
      <c r="B273" s="157">
        <f>IF(分析!C273&lt;&gt;"",HYPERLINK("https://kabutan.jp/stock/?code="&amp;分析!C273,"株探"),"")</f>
        <v/>
      </c>
      <c r="C273" s="603">
        <f>IF(分析!C273&lt;&gt;"",分析!C273,"")</f>
        <v/>
      </c>
      <c r="D273" s="159">
        <f>IF(分析!D273&lt;&gt;"",分析!D273,"")</f>
        <v/>
      </c>
      <c r="E273" s="160">
        <f>IF(分析!E273&lt;&gt;"",分析!E273,"")</f>
        <v/>
      </c>
      <c r="F273" s="161">
        <f>IF(分析!F273&lt;&gt;"",分析!F273,"")</f>
        <v/>
      </c>
      <c r="G273" s="161">
        <f>IF(分析!H273&lt;&gt;"",分析!H273,"")</f>
        <v/>
      </c>
      <c r="H273" s="161">
        <f>IF(分析!I273&lt;&gt;"",分析!I273,"")</f>
        <v/>
      </c>
      <c r="I273" s="161">
        <f>IF(分析!J273&lt;&gt;"",分析!J273,"")</f>
        <v/>
      </c>
      <c r="J273" s="161">
        <f>IF(分析!AB273&lt;&gt;"",分析!AB273,"")</f>
        <v/>
      </c>
      <c r="K273" s="161">
        <f>IF(分析!AC273&lt;&gt;"",分析!AC273,"")</f>
        <v/>
      </c>
      <c r="L273" s="161">
        <f>IF(分析!K273&lt;&gt;"",分析!K273,"")</f>
        <v/>
      </c>
      <c r="M273" s="156">
        <f>IF(分析!P273&lt;&gt;"",分析!P273,"")</f>
        <v/>
      </c>
      <c r="N273" s="604">
        <f>IF(分析!O273&lt;&gt;"",分析!O273,"")</f>
        <v/>
      </c>
      <c r="O273" s="163">
        <f>IF(分析!X273&lt;&gt;"",分析!X273,"")</f>
        <v/>
      </c>
      <c r="P273" s="605">
        <f>IF(分析!L273&lt;&gt;"",分析!L273,"")</f>
        <v/>
      </c>
      <c r="Q273" s="161">
        <f>IF(分析!S273&lt;&gt;"",分析!S273,"")</f>
        <v/>
      </c>
      <c r="R273" s="161">
        <f>IF(分析!R273&lt;&gt;"",分析!R273,"")</f>
        <v/>
      </c>
      <c r="S273" s="156">
        <f>IF(分析!AA273&lt;&gt;"",分析!AA273,"")</f>
        <v/>
      </c>
      <c r="T273" s="606">
        <f>IF(分析!Z273&lt;&gt;"",分析!Z273,"")</f>
        <v/>
      </c>
      <c r="U273" s="156">
        <f>IF(分析!V273&lt;&gt;"",分析!V273,"")</f>
        <v/>
      </c>
      <c r="V273" s="607">
        <f>IF(分析!W273&lt;&gt;"",分析!W273,"")</f>
        <v/>
      </c>
      <c r="W273" s="167">
        <f>IF(分析!AD273&lt;&gt;"",分析!AD273,"")</f>
        <v/>
      </c>
      <c r="X273" s="168">
        <f>IF(分析!AE273&lt;&gt;"",分析!AE273,"")</f>
        <v/>
      </c>
      <c r="Y273" s="169">
        <f>IF(分析!T273&lt;&gt;"",分析!T273,"")</f>
        <v/>
      </c>
      <c r="Z273" s="155">
        <f>IF(分析!Y273&lt;&gt;"",分析!Y273,"")</f>
        <v/>
      </c>
    </row>
    <row r="274" ht="21.95" customHeight="1" s="574">
      <c r="A274" s="141">
        <f>IF(分析!C274&lt;&gt;"",ROW()-2,"")</f>
        <v/>
      </c>
      <c r="B274" s="142">
        <f>IF(分析!C274&lt;&gt;"",HYPERLINK("https://kabutan.jp/stock/?code="&amp;分析!C274,"株探"),"")</f>
        <v/>
      </c>
      <c r="C274" s="598">
        <f>IF(分析!C274&lt;&gt;"",分析!C274,"")</f>
        <v/>
      </c>
      <c r="D274" s="144">
        <f>IF(分析!D274&lt;&gt;"",分析!D274,"")</f>
        <v/>
      </c>
      <c r="E274" s="145">
        <f>IF(分析!E274&lt;&gt;"",分析!E274,"")</f>
        <v/>
      </c>
      <c r="F274" s="146">
        <f>IF(分析!F274&lt;&gt;"",分析!F274,"")</f>
        <v/>
      </c>
      <c r="G274" s="146">
        <f>IF(分析!H274&lt;&gt;"",分析!H274,"")</f>
        <v/>
      </c>
      <c r="H274" s="146">
        <f>IF(分析!I274&lt;&gt;"",分析!I274,"")</f>
        <v/>
      </c>
      <c r="I274" s="146">
        <f>IF(分析!J274&lt;&gt;"",分析!J274,"")</f>
        <v/>
      </c>
      <c r="J274" s="146">
        <f>IF(分析!AB274&lt;&gt;"",分析!AB274,"")</f>
        <v/>
      </c>
      <c r="K274" s="146">
        <f>IF(分析!AC274&lt;&gt;"",分析!AC274,"")</f>
        <v/>
      </c>
      <c r="L274" s="146">
        <f>IF(分析!K274&lt;&gt;"",分析!K274,"")</f>
        <v/>
      </c>
      <c r="M274" s="141">
        <f>IF(分析!P274&lt;&gt;"",分析!P274,"")</f>
        <v/>
      </c>
      <c r="N274" s="599">
        <f>IF(分析!O274&lt;&gt;"",分析!O274,"")</f>
        <v/>
      </c>
      <c r="O274" s="148">
        <f>IF(分析!X274&lt;&gt;"",分析!X274,"")</f>
        <v/>
      </c>
      <c r="P274" s="600">
        <f>IF(分析!L274&lt;&gt;"",分析!L274,"")</f>
        <v/>
      </c>
      <c r="Q274" s="146">
        <f>IF(分析!S274&lt;&gt;"",分析!S274,"")</f>
        <v/>
      </c>
      <c r="R274" s="146">
        <f>IF(分析!R274&lt;&gt;"",分析!R274,"")</f>
        <v/>
      </c>
      <c r="S274" s="141">
        <f>IF(分析!AA274&lt;&gt;"",分析!AA274,"")</f>
        <v/>
      </c>
      <c r="T274" s="601">
        <f>IF(分析!Z274&lt;&gt;"",分析!Z274,"")</f>
        <v/>
      </c>
      <c r="U274" s="141">
        <f>IF(分析!V274&lt;&gt;"",分析!V274,"")</f>
        <v/>
      </c>
      <c r="V274" s="602">
        <f>IF(分析!W274&lt;&gt;"",分析!W274,"")</f>
        <v/>
      </c>
      <c r="W274" s="152">
        <f>IF(分析!AD274&lt;&gt;"",分析!AD274,"")</f>
        <v/>
      </c>
      <c r="X274" s="153">
        <f>IF(分析!AE274&lt;&gt;"",分析!AE274,"")</f>
        <v/>
      </c>
      <c r="Y274" s="154">
        <f>IF(分析!T274&lt;&gt;"",分析!T274,"")</f>
        <v/>
      </c>
      <c r="Z274" s="155">
        <f>IF(分析!Y274&lt;&gt;"",分析!Y274,"")</f>
        <v/>
      </c>
    </row>
    <row r="275" ht="21.95" customHeight="1" s="574">
      <c r="A275" s="156">
        <f>IF(分析!C275&lt;&gt;"",ROW()-2,"")</f>
        <v/>
      </c>
      <c r="B275" s="157">
        <f>IF(分析!C275&lt;&gt;"",HYPERLINK("https://kabutan.jp/stock/?code="&amp;分析!C275,"株探"),"")</f>
        <v/>
      </c>
      <c r="C275" s="603">
        <f>IF(分析!C275&lt;&gt;"",分析!C275,"")</f>
        <v/>
      </c>
      <c r="D275" s="159">
        <f>IF(分析!D275&lt;&gt;"",分析!D275,"")</f>
        <v/>
      </c>
      <c r="E275" s="160">
        <f>IF(分析!E275&lt;&gt;"",分析!E275,"")</f>
        <v/>
      </c>
      <c r="F275" s="161">
        <f>IF(分析!F275&lt;&gt;"",分析!F275,"")</f>
        <v/>
      </c>
      <c r="G275" s="161">
        <f>IF(分析!H275&lt;&gt;"",分析!H275,"")</f>
        <v/>
      </c>
      <c r="H275" s="161">
        <f>IF(分析!I275&lt;&gt;"",分析!I275,"")</f>
        <v/>
      </c>
      <c r="I275" s="161">
        <f>IF(分析!J275&lt;&gt;"",分析!J275,"")</f>
        <v/>
      </c>
      <c r="J275" s="161">
        <f>IF(分析!AB275&lt;&gt;"",分析!AB275,"")</f>
        <v/>
      </c>
      <c r="K275" s="161">
        <f>IF(分析!AC275&lt;&gt;"",分析!AC275,"")</f>
        <v/>
      </c>
      <c r="L275" s="161">
        <f>IF(分析!K275&lt;&gt;"",分析!K275,"")</f>
        <v/>
      </c>
      <c r="M275" s="156">
        <f>IF(分析!P275&lt;&gt;"",分析!P275,"")</f>
        <v/>
      </c>
      <c r="N275" s="604">
        <f>IF(分析!O275&lt;&gt;"",分析!O275,"")</f>
        <v/>
      </c>
      <c r="O275" s="163">
        <f>IF(分析!X275&lt;&gt;"",分析!X275,"")</f>
        <v/>
      </c>
      <c r="P275" s="605">
        <f>IF(分析!L275&lt;&gt;"",分析!L275,"")</f>
        <v/>
      </c>
      <c r="Q275" s="161">
        <f>IF(分析!S275&lt;&gt;"",分析!S275,"")</f>
        <v/>
      </c>
      <c r="R275" s="161">
        <f>IF(分析!R275&lt;&gt;"",分析!R275,"")</f>
        <v/>
      </c>
      <c r="S275" s="156">
        <f>IF(分析!AA275&lt;&gt;"",分析!AA275,"")</f>
        <v/>
      </c>
      <c r="T275" s="606">
        <f>IF(分析!Z275&lt;&gt;"",分析!Z275,"")</f>
        <v/>
      </c>
      <c r="U275" s="156">
        <f>IF(分析!V275&lt;&gt;"",分析!V275,"")</f>
        <v/>
      </c>
      <c r="V275" s="607">
        <f>IF(分析!W275&lt;&gt;"",分析!W275,"")</f>
        <v/>
      </c>
      <c r="W275" s="167">
        <f>IF(分析!AD275&lt;&gt;"",分析!AD275,"")</f>
        <v/>
      </c>
      <c r="X275" s="168">
        <f>IF(分析!AE275&lt;&gt;"",分析!AE275,"")</f>
        <v/>
      </c>
      <c r="Y275" s="169">
        <f>IF(分析!T275&lt;&gt;"",分析!T275,"")</f>
        <v/>
      </c>
      <c r="Z275" s="155">
        <f>IF(分析!Y275&lt;&gt;"",分析!Y275,"")</f>
        <v/>
      </c>
    </row>
    <row r="276" ht="21.95" customHeight="1" s="574">
      <c r="A276" s="141">
        <f>IF(分析!C276&lt;&gt;"",ROW()-2,"")</f>
        <v/>
      </c>
      <c r="B276" s="142">
        <f>IF(分析!C276&lt;&gt;"",HYPERLINK("https://kabutan.jp/stock/?code="&amp;分析!C276,"株探"),"")</f>
        <v/>
      </c>
      <c r="C276" s="598">
        <f>IF(分析!C276&lt;&gt;"",分析!C276,"")</f>
        <v/>
      </c>
      <c r="D276" s="144">
        <f>IF(分析!D276&lt;&gt;"",分析!D276,"")</f>
        <v/>
      </c>
      <c r="E276" s="145">
        <f>IF(分析!E276&lt;&gt;"",分析!E276,"")</f>
        <v/>
      </c>
      <c r="F276" s="146">
        <f>IF(分析!F276&lt;&gt;"",分析!F276,"")</f>
        <v/>
      </c>
      <c r="G276" s="146">
        <f>IF(分析!H276&lt;&gt;"",分析!H276,"")</f>
        <v/>
      </c>
      <c r="H276" s="146">
        <f>IF(分析!I276&lt;&gt;"",分析!I276,"")</f>
        <v/>
      </c>
      <c r="I276" s="146">
        <f>IF(分析!J276&lt;&gt;"",分析!J276,"")</f>
        <v/>
      </c>
      <c r="J276" s="146">
        <f>IF(分析!AB276&lt;&gt;"",分析!AB276,"")</f>
        <v/>
      </c>
      <c r="K276" s="146">
        <f>IF(分析!AC276&lt;&gt;"",分析!AC276,"")</f>
        <v/>
      </c>
      <c r="L276" s="146">
        <f>IF(分析!K276&lt;&gt;"",分析!K276,"")</f>
        <v/>
      </c>
      <c r="M276" s="141">
        <f>IF(分析!P276&lt;&gt;"",分析!P276,"")</f>
        <v/>
      </c>
      <c r="N276" s="599">
        <f>IF(分析!O276&lt;&gt;"",分析!O276,"")</f>
        <v/>
      </c>
      <c r="O276" s="148">
        <f>IF(分析!X276&lt;&gt;"",分析!X276,"")</f>
        <v/>
      </c>
      <c r="P276" s="600">
        <f>IF(分析!L276&lt;&gt;"",分析!L276,"")</f>
        <v/>
      </c>
      <c r="Q276" s="146">
        <f>IF(分析!S276&lt;&gt;"",分析!S276,"")</f>
        <v/>
      </c>
      <c r="R276" s="146">
        <f>IF(分析!R276&lt;&gt;"",分析!R276,"")</f>
        <v/>
      </c>
      <c r="S276" s="141">
        <f>IF(分析!AA276&lt;&gt;"",分析!AA276,"")</f>
        <v/>
      </c>
      <c r="T276" s="601">
        <f>IF(分析!Z276&lt;&gt;"",分析!Z276,"")</f>
        <v/>
      </c>
      <c r="U276" s="141">
        <f>IF(分析!V276&lt;&gt;"",分析!V276,"")</f>
        <v/>
      </c>
      <c r="V276" s="602">
        <f>IF(分析!W276&lt;&gt;"",分析!W276,"")</f>
        <v/>
      </c>
      <c r="W276" s="152">
        <f>IF(分析!AD276&lt;&gt;"",分析!AD276,"")</f>
        <v/>
      </c>
      <c r="X276" s="153">
        <f>IF(分析!AE276&lt;&gt;"",分析!AE276,"")</f>
        <v/>
      </c>
      <c r="Y276" s="154">
        <f>IF(分析!T276&lt;&gt;"",分析!T276,"")</f>
        <v/>
      </c>
      <c r="Z276" s="155">
        <f>IF(分析!Y276&lt;&gt;"",分析!Y276,"")</f>
        <v/>
      </c>
    </row>
    <row r="277" ht="21.95" customHeight="1" s="574">
      <c r="A277" s="156">
        <f>IF(分析!C277&lt;&gt;"",ROW()-2,"")</f>
        <v/>
      </c>
      <c r="B277" s="157">
        <f>IF(分析!C277&lt;&gt;"",HYPERLINK("https://kabutan.jp/stock/?code="&amp;分析!C277,"株探"),"")</f>
        <v/>
      </c>
      <c r="C277" s="603">
        <f>IF(分析!C277&lt;&gt;"",分析!C277,"")</f>
        <v/>
      </c>
      <c r="D277" s="159">
        <f>IF(分析!D277&lt;&gt;"",分析!D277,"")</f>
        <v/>
      </c>
      <c r="E277" s="160">
        <f>IF(分析!E277&lt;&gt;"",分析!E277,"")</f>
        <v/>
      </c>
      <c r="F277" s="161">
        <f>IF(分析!F277&lt;&gt;"",分析!F277,"")</f>
        <v/>
      </c>
      <c r="G277" s="161">
        <f>IF(分析!H277&lt;&gt;"",分析!H277,"")</f>
        <v/>
      </c>
      <c r="H277" s="161">
        <f>IF(分析!I277&lt;&gt;"",分析!I277,"")</f>
        <v/>
      </c>
      <c r="I277" s="161">
        <f>IF(分析!J277&lt;&gt;"",分析!J277,"")</f>
        <v/>
      </c>
      <c r="J277" s="161">
        <f>IF(分析!AB277&lt;&gt;"",分析!AB277,"")</f>
        <v/>
      </c>
      <c r="K277" s="161">
        <f>IF(分析!AC277&lt;&gt;"",分析!AC277,"")</f>
        <v/>
      </c>
      <c r="L277" s="161">
        <f>IF(分析!K277&lt;&gt;"",分析!K277,"")</f>
        <v/>
      </c>
      <c r="M277" s="156">
        <f>IF(分析!P277&lt;&gt;"",分析!P277,"")</f>
        <v/>
      </c>
      <c r="N277" s="604">
        <f>IF(分析!O277&lt;&gt;"",分析!O277,"")</f>
        <v/>
      </c>
      <c r="O277" s="163">
        <f>IF(分析!X277&lt;&gt;"",分析!X277,"")</f>
        <v/>
      </c>
      <c r="P277" s="605">
        <f>IF(分析!L277&lt;&gt;"",分析!L277,"")</f>
        <v/>
      </c>
      <c r="Q277" s="161">
        <f>IF(分析!S277&lt;&gt;"",分析!S277,"")</f>
        <v/>
      </c>
      <c r="R277" s="161">
        <f>IF(分析!R277&lt;&gt;"",分析!R277,"")</f>
        <v/>
      </c>
      <c r="S277" s="156">
        <f>IF(分析!AA277&lt;&gt;"",分析!AA277,"")</f>
        <v/>
      </c>
      <c r="T277" s="606">
        <f>IF(分析!Z277&lt;&gt;"",分析!Z277,"")</f>
        <v/>
      </c>
      <c r="U277" s="156">
        <f>IF(分析!V277&lt;&gt;"",分析!V277,"")</f>
        <v/>
      </c>
      <c r="V277" s="607">
        <f>IF(分析!W277&lt;&gt;"",分析!W277,"")</f>
        <v/>
      </c>
      <c r="W277" s="167">
        <f>IF(分析!AD277&lt;&gt;"",分析!AD277,"")</f>
        <v/>
      </c>
      <c r="X277" s="168">
        <f>IF(分析!AE277&lt;&gt;"",分析!AE277,"")</f>
        <v/>
      </c>
      <c r="Y277" s="169">
        <f>IF(分析!T277&lt;&gt;"",分析!T277,"")</f>
        <v/>
      </c>
      <c r="Z277" s="155">
        <f>IF(分析!Y277&lt;&gt;"",分析!Y277,"")</f>
        <v/>
      </c>
    </row>
    <row r="278" ht="21.95" customHeight="1" s="574">
      <c r="A278" s="141">
        <f>IF(分析!C278&lt;&gt;"",ROW()-2,"")</f>
        <v/>
      </c>
      <c r="B278" s="142">
        <f>IF(分析!C278&lt;&gt;"",HYPERLINK("https://kabutan.jp/stock/?code="&amp;分析!C278,"株探"),"")</f>
        <v/>
      </c>
      <c r="C278" s="598">
        <f>IF(分析!C278&lt;&gt;"",分析!C278,"")</f>
        <v/>
      </c>
      <c r="D278" s="144">
        <f>IF(分析!D278&lt;&gt;"",分析!D278,"")</f>
        <v/>
      </c>
      <c r="E278" s="145">
        <f>IF(分析!E278&lt;&gt;"",分析!E278,"")</f>
        <v/>
      </c>
      <c r="F278" s="146">
        <f>IF(分析!F278&lt;&gt;"",分析!F278,"")</f>
        <v/>
      </c>
      <c r="G278" s="146">
        <f>IF(分析!H278&lt;&gt;"",分析!H278,"")</f>
        <v/>
      </c>
      <c r="H278" s="146">
        <f>IF(分析!I278&lt;&gt;"",分析!I278,"")</f>
        <v/>
      </c>
      <c r="I278" s="146">
        <f>IF(分析!J278&lt;&gt;"",分析!J278,"")</f>
        <v/>
      </c>
      <c r="J278" s="146">
        <f>IF(分析!AB278&lt;&gt;"",分析!AB278,"")</f>
        <v/>
      </c>
      <c r="K278" s="146">
        <f>IF(分析!AC278&lt;&gt;"",分析!AC278,"")</f>
        <v/>
      </c>
      <c r="L278" s="146">
        <f>IF(分析!K278&lt;&gt;"",分析!K278,"")</f>
        <v/>
      </c>
      <c r="M278" s="141">
        <f>IF(分析!P278&lt;&gt;"",分析!P278,"")</f>
        <v/>
      </c>
      <c r="N278" s="599">
        <f>IF(分析!O278&lt;&gt;"",分析!O278,"")</f>
        <v/>
      </c>
      <c r="O278" s="148">
        <f>IF(分析!X278&lt;&gt;"",分析!X278,"")</f>
        <v/>
      </c>
      <c r="P278" s="600">
        <f>IF(分析!L278&lt;&gt;"",分析!L278,"")</f>
        <v/>
      </c>
      <c r="Q278" s="146">
        <f>IF(分析!S278&lt;&gt;"",分析!S278,"")</f>
        <v/>
      </c>
      <c r="R278" s="146">
        <f>IF(分析!R278&lt;&gt;"",分析!R278,"")</f>
        <v/>
      </c>
      <c r="S278" s="141">
        <f>IF(分析!AA278&lt;&gt;"",分析!AA278,"")</f>
        <v/>
      </c>
      <c r="T278" s="601">
        <f>IF(分析!Z278&lt;&gt;"",分析!Z278,"")</f>
        <v/>
      </c>
      <c r="U278" s="141">
        <f>IF(分析!V278&lt;&gt;"",分析!V278,"")</f>
        <v/>
      </c>
      <c r="V278" s="602">
        <f>IF(分析!W278&lt;&gt;"",分析!W278,"")</f>
        <v/>
      </c>
      <c r="W278" s="152">
        <f>IF(分析!AD278&lt;&gt;"",分析!AD278,"")</f>
        <v/>
      </c>
      <c r="X278" s="153">
        <f>IF(分析!AE278&lt;&gt;"",分析!AE278,"")</f>
        <v/>
      </c>
      <c r="Y278" s="154">
        <f>IF(分析!T278&lt;&gt;"",分析!T278,"")</f>
        <v/>
      </c>
      <c r="Z278" s="155">
        <f>IF(分析!Y278&lt;&gt;"",分析!Y278,"")</f>
        <v/>
      </c>
    </row>
    <row r="279" ht="21.95" customHeight="1" s="574">
      <c r="A279" s="156">
        <f>IF(分析!C279&lt;&gt;"",ROW()-2,"")</f>
        <v/>
      </c>
      <c r="B279" s="157">
        <f>IF(分析!C279&lt;&gt;"",HYPERLINK("https://kabutan.jp/stock/?code="&amp;分析!C279,"株探"),"")</f>
        <v/>
      </c>
      <c r="C279" s="603">
        <f>IF(分析!C279&lt;&gt;"",分析!C279,"")</f>
        <v/>
      </c>
      <c r="D279" s="159">
        <f>IF(分析!D279&lt;&gt;"",分析!D279,"")</f>
        <v/>
      </c>
      <c r="E279" s="160">
        <f>IF(分析!E279&lt;&gt;"",分析!E279,"")</f>
        <v/>
      </c>
      <c r="F279" s="161">
        <f>IF(分析!F279&lt;&gt;"",分析!F279,"")</f>
        <v/>
      </c>
      <c r="G279" s="161">
        <f>IF(分析!H279&lt;&gt;"",分析!H279,"")</f>
        <v/>
      </c>
      <c r="H279" s="161">
        <f>IF(分析!I279&lt;&gt;"",分析!I279,"")</f>
        <v/>
      </c>
      <c r="I279" s="161">
        <f>IF(分析!J279&lt;&gt;"",分析!J279,"")</f>
        <v/>
      </c>
      <c r="J279" s="161">
        <f>IF(分析!AB279&lt;&gt;"",分析!AB279,"")</f>
        <v/>
      </c>
      <c r="K279" s="161">
        <f>IF(分析!AC279&lt;&gt;"",分析!AC279,"")</f>
        <v/>
      </c>
      <c r="L279" s="161">
        <f>IF(分析!K279&lt;&gt;"",分析!K279,"")</f>
        <v/>
      </c>
      <c r="M279" s="156">
        <f>IF(分析!P279&lt;&gt;"",分析!P279,"")</f>
        <v/>
      </c>
      <c r="N279" s="604">
        <f>IF(分析!O279&lt;&gt;"",分析!O279,"")</f>
        <v/>
      </c>
      <c r="O279" s="163">
        <f>IF(分析!X279&lt;&gt;"",分析!X279,"")</f>
        <v/>
      </c>
      <c r="P279" s="605">
        <f>IF(分析!L279&lt;&gt;"",分析!L279,"")</f>
        <v/>
      </c>
      <c r="Q279" s="161">
        <f>IF(分析!S279&lt;&gt;"",分析!S279,"")</f>
        <v/>
      </c>
      <c r="R279" s="161">
        <f>IF(分析!R279&lt;&gt;"",分析!R279,"")</f>
        <v/>
      </c>
      <c r="S279" s="156">
        <f>IF(分析!AA279&lt;&gt;"",分析!AA279,"")</f>
        <v/>
      </c>
      <c r="T279" s="606">
        <f>IF(分析!Z279&lt;&gt;"",分析!Z279,"")</f>
        <v/>
      </c>
      <c r="U279" s="156">
        <f>IF(分析!V279&lt;&gt;"",分析!V279,"")</f>
        <v/>
      </c>
      <c r="V279" s="607">
        <f>IF(分析!W279&lt;&gt;"",分析!W279,"")</f>
        <v/>
      </c>
      <c r="W279" s="167">
        <f>IF(分析!AD279&lt;&gt;"",分析!AD279,"")</f>
        <v/>
      </c>
      <c r="X279" s="168">
        <f>IF(分析!AE279&lt;&gt;"",分析!AE279,"")</f>
        <v/>
      </c>
      <c r="Y279" s="169">
        <f>IF(分析!T279&lt;&gt;"",分析!T279,"")</f>
        <v/>
      </c>
      <c r="Z279" s="155">
        <f>IF(分析!Y279&lt;&gt;"",分析!Y279,"")</f>
        <v/>
      </c>
    </row>
    <row r="280" ht="21.95" customHeight="1" s="574">
      <c r="A280" s="141">
        <f>IF(分析!C280&lt;&gt;"",ROW()-2,"")</f>
        <v/>
      </c>
      <c r="B280" s="142">
        <f>IF(分析!C280&lt;&gt;"",HYPERLINK("https://kabutan.jp/stock/?code="&amp;分析!C280,"株探"),"")</f>
        <v/>
      </c>
      <c r="C280" s="598">
        <f>IF(分析!C280&lt;&gt;"",分析!C280,"")</f>
        <v/>
      </c>
      <c r="D280" s="144">
        <f>IF(分析!D280&lt;&gt;"",分析!D280,"")</f>
        <v/>
      </c>
      <c r="E280" s="145">
        <f>IF(分析!E280&lt;&gt;"",分析!E280,"")</f>
        <v/>
      </c>
      <c r="F280" s="146">
        <f>IF(分析!F280&lt;&gt;"",分析!F280,"")</f>
        <v/>
      </c>
      <c r="G280" s="146">
        <f>IF(分析!H280&lt;&gt;"",分析!H280,"")</f>
        <v/>
      </c>
      <c r="H280" s="146">
        <f>IF(分析!I280&lt;&gt;"",分析!I280,"")</f>
        <v/>
      </c>
      <c r="I280" s="146">
        <f>IF(分析!J280&lt;&gt;"",分析!J280,"")</f>
        <v/>
      </c>
      <c r="J280" s="146">
        <f>IF(分析!AB280&lt;&gt;"",分析!AB280,"")</f>
        <v/>
      </c>
      <c r="K280" s="146">
        <f>IF(分析!AC280&lt;&gt;"",分析!AC280,"")</f>
        <v/>
      </c>
      <c r="L280" s="146">
        <f>IF(分析!K280&lt;&gt;"",分析!K280,"")</f>
        <v/>
      </c>
      <c r="M280" s="141">
        <f>IF(分析!P280&lt;&gt;"",分析!P280,"")</f>
        <v/>
      </c>
      <c r="N280" s="599">
        <f>IF(分析!O280&lt;&gt;"",分析!O280,"")</f>
        <v/>
      </c>
      <c r="O280" s="148">
        <f>IF(分析!X280&lt;&gt;"",分析!X280,"")</f>
        <v/>
      </c>
      <c r="P280" s="600">
        <f>IF(分析!L280&lt;&gt;"",分析!L280,"")</f>
        <v/>
      </c>
      <c r="Q280" s="146">
        <f>IF(分析!S280&lt;&gt;"",分析!S280,"")</f>
        <v/>
      </c>
      <c r="R280" s="146">
        <f>IF(分析!R280&lt;&gt;"",分析!R280,"")</f>
        <v/>
      </c>
      <c r="S280" s="141">
        <f>IF(分析!AA280&lt;&gt;"",分析!AA280,"")</f>
        <v/>
      </c>
      <c r="T280" s="601">
        <f>IF(分析!Z280&lt;&gt;"",分析!Z280,"")</f>
        <v/>
      </c>
      <c r="U280" s="141">
        <f>IF(分析!V280&lt;&gt;"",分析!V280,"")</f>
        <v/>
      </c>
      <c r="V280" s="602">
        <f>IF(分析!W280&lt;&gt;"",分析!W280,"")</f>
        <v/>
      </c>
      <c r="W280" s="152">
        <f>IF(分析!AD280&lt;&gt;"",分析!AD280,"")</f>
        <v/>
      </c>
      <c r="X280" s="153">
        <f>IF(分析!AE280&lt;&gt;"",分析!AE280,"")</f>
        <v/>
      </c>
      <c r="Y280" s="154">
        <f>IF(分析!T280&lt;&gt;"",分析!T280,"")</f>
        <v/>
      </c>
      <c r="Z280" s="155">
        <f>IF(分析!Y280&lt;&gt;"",分析!Y280,"")</f>
        <v/>
      </c>
    </row>
    <row r="281" ht="21.95" customHeight="1" s="574">
      <c r="A281" s="156">
        <f>IF(分析!C281&lt;&gt;"",ROW()-2,"")</f>
        <v/>
      </c>
      <c r="B281" s="157">
        <f>IF(分析!C281&lt;&gt;"",HYPERLINK("https://kabutan.jp/stock/?code="&amp;分析!C281,"株探"),"")</f>
        <v/>
      </c>
      <c r="C281" s="603">
        <f>IF(分析!C281&lt;&gt;"",分析!C281,"")</f>
        <v/>
      </c>
      <c r="D281" s="159">
        <f>IF(分析!D281&lt;&gt;"",分析!D281,"")</f>
        <v/>
      </c>
      <c r="E281" s="160">
        <f>IF(分析!E281&lt;&gt;"",分析!E281,"")</f>
        <v/>
      </c>
      <c r="F281" s="161">
        <f>IF(分析!F281&lt;&gt;"",分析!F281,"")</f>
        <v/>
      </c>
      <c r="G281" s="161">
        <f>IF(分析!H281&lt;&gt;"",分析!H281,"")</f>
        <v/>
      </c>
      <c r="H281" s="161">
        <f>IF(分析!I281&lt;&gt;"",分析!I281,"")</f>
        <v/>
      </c>
      <c r="I281" s="161">
        <f>IF(分析!J281&lt;&gt;"",分析!J281,"")</f>
        <v/>
      </c>
      <c r="J281" s="161">
        <f>IF(分析!AB281&lt;&gt;"",分析!AB281,"")</f>
        <v/>
      </c>
      <c r="K281" s="161">
        <f>IF(分析!AC281&lt;&gt;"",分析!AC281,"")</f>
        <v/>
      </c>
      <c r="L281" s="161">
        <f>IF(分析!K281&lt;&gt;"",分析!K281,"")</f>
        <v/>
      </c>
      <c r="M281" s="156">
        <f>IF(分析!P281&lt;&gt;"",分析!P281,"")</f>
        <v/>
      </c>
      <c r="N281" s="604">
        <f>IF(分析!O281&lt;&gt;"",分析!O281,"")</f>
        <v/>
      </c>
      <c r="O281" s="163">
        <f>IF(分析!X281&lt;&gt;"",分析!X281,"")</f>
        <v/>
      </c>
      <c r="P281" s="605">
        <f>IF(分析!L281&lt;&gt;"",分析!L281,"")</f>
        <v/>
      </c>
      <c r="Q281" s="161">
        <f>IF(分析!S281&lt;&gt;"",分析!S281,"")</f>
        <v/>
      </c>
      <c r="R281" s="161">
        <f>IF(分析!R281&lt;&gt;"",分析!R281,"")</f>
        <v/>
      </c>
      <c r="S281" s="156">
        <f>IF(分析!AA281&lt;&gt;"",分析!AA281,"")</f>
        <v/>
      </c>
      <c r="T281" s="606">
        <f>IF(分析!Z281&lt;&gt;"",分析!Z281,"")</f>
        <v/>
      </c>
      <c r="U281" s="156">
        <f>IF(分析!V281&lt;&gt;"",分析!V281,"")</f>
        <v/>
      </c>
      <c r="V281" s="607">
        <f>IF(分析!W281&lt;&gt;"",分析!W281,"")</f>
        <v/>
      </c>
      <c r="W281" s="167">
        <f>IF(分析!AD281&lt;&gt;"",分析!AD281,"")</f>
        <v/>
      </c>
      <c r="X281" s="168">
        <f>IF(分析!AE281&lt;&gt;"",分析!AE281,"")</f>
        <v/>
      </c>
      <c r="Y281" s="169">
        <f>IF(分析!T281&lt;&gt;"",分析!T281,"")</f>
        <v/>
      </c>
      <c r="Z281" s="155">
        <f>IF(分析!Y281&lt;&gt;"",分析!Y281,"")</f>
        <v/>
      </c>
    </row>
    <row r="282" ht="21.95" customHeight="1" s="574">
      <c r="A282" s="141">
        <f>IF(分析!C282&lt;&gt;"",ROW()-2,"")</f>
        <v/>
      </c>
      <c r="B282" s="142">
        <f>IF(分析!C282&lt;&gt;"",HYPERLINK("https://kabutan.jp/stock/?code="&amp;分析!C282,"株探"),"")</f>
        <v/>
      </c>
      <c r="C282" s="598">
        <f>IF(分析!C282&lt;&gt;"",分析!C282,"")</f>
        <v/>
      </c>
      <c r="D282" s="144">
        <f>IF(分析!D282&lt;&gt;"",分析!D282,"")</f>
        <v/>
      </c>
      <c r="E282" s="145">
        <f>IF(分析!E282&lt;&gt;"",分析!E282,"")</f>
        <v/>
      </c>
      <c r="F282" s="146">
        <f>IF(分析!F282&lt;&gt;"",分析!F282,"")</f>
        <v/>
      </c>
      <c r="G282" s="146">
        <f>IF(分析!H282&lt;&gt;"",分析!H282,"")</f>
        <v/>
      </c>
      <c r="H282" s="146">
        <f>IF(分析!I282&lt;&gt;"",分析!I282,"")</f>
        <v/>
      </c>
      <c r="I282" s="146">
        <f>IF(分析!J282&lt;&gt;"",分析!J282,"")</f>
        <v/>
      </c>
      <c r="J282" s="146">
        <f>IF(分析!AB282&lt;&gt;"",分析!AB282,"")</f>
        <v/>
      </c>
      <c r="K282" s="146">
        <f>IF(分析!AC282&lt;&gt;"",分析!AC282,"")</f>
        <v/>
      </c>
      <c r="L282" s="146">
        <f>IF(分析!K282&lt;&gt;"",分析!K282,"")</f>
        <v/>
      </c>
      <c r="M282" s="141">
        <f>IF(分析!P282&lt;&gt;"",分析!P282,"")</f>
        <v/>
      </c>
      <c r="N282" s="599">
        <f>IF(分析!O282&lt;&gt;"",分析!O282,"")</f>
        <v/>
      </c>
      <c r="O282" s="148">
        <f>IF(分析!X282&lt;&gt;"",分析!X282,"")</f>
        <v/>
      </c>
      <c r="P282" s="600">
        <f>IF(分析!L282&lt;&gt;"",分析!L282,"")</f>
        <v/>
      </c>
      <c r="Q282" s="146">
        <f>IF(分析!S282&lt;&gt;"",分析!S282,"")</f>
        <v/>
      </c>
      <c r="R282" s="146">
        <f>IF(分析!R282&lt;&gt;"",分析!R282,"")</f>
        <v/>
      </c>
      <c r="S282" s="141">
        <f>IF(分析!AA282&lt;&gt;"",分析!AA282,"")</f>
        <v/>
      </c>
      <c r="T282" s="601">
        <f>IF(分析!Z282&lt;&gt;"",分析!Z282,"")</f>
        <v/>
      </c>
      <c r="U282" s="141">
        <f>IF(分析!V282&lt;&gt;"",分析!V282,"")</f>
        <v/>
      </c>
      <c r="V282" s="602">
        <f>IF(分析!W282&lt;&gt;"",分析!W282,"")</f>
        <v/>
      </c>
      <c r="W282" s="152">
        <f>IF(分析!AD282&lt;&gt;"",分析!AD282,"")</f>
        <v/>
      </c>
      <c r="X282" s="153">
        <f>IF(分析!AE282&lt;&gt;"",分析!AE282,"")</f>
        <v/>
      </c>
      <c r="Y282" s="154">
        <f>IF(分析!T282&lt;&gt;"",分析!T282,"")</f>
        <v/>
      </c>
      <c r="Z282" s="155">
        <f>IF(分析!Y282&lt;&gt;"",分析!Y282,"")</f>
        <v/>
      </c>
    </row>
    <row r="283" ht="21.95" customHeight="1" s="574">
      <c r="A283" s="156">
        <f>IF(分析!C283&lt;&gt;"",ROW()-2,"")</f>
        <v/>
      </c>
      <c r="B283" s="157">
        <f>IF(分析!C283&lt;&gt;"",HYPERLINK("https://kabutan.jp/stock/?code="&amp;分析!C283,"株探"),"")</f>
        <v/>
      </c>
      <c r="C283" s="603">
        <f>IF(分析!C283&lt;&gt;"",分析!C283,"")</f>
        <v/>
      </c>
      <c r="D283" s="159">
        <f>IF(分析!D283&lt;&gt;"",分析!D283,"")</f>
        <v/>
      </c>
      <c r="E283" s="160">
        <f>IF(分析!E283&lt;&gt;"",分析!E283,"")</f>
        <v/>
      </c>
      <c r="F283" s="161">
        <f>IF(分析!F283&lt;&gt;"",分析!F283,"")</f>
        <v/>
      </c>
      <c r="G283" s="161">
        <f>IF(分析!H283&lt;&gt;"",分析!H283,"")</f>
        <v/>
      </c>
      <c r="H283" s="161">
        <f>IF(分析!I283&lt;&gt;"",分析!I283,"")</f>
        <v/>
      </c>
      <c r="I283" s="161">
        <f>IF(分析!J283&lt;&gt;"",分析!J283,"")</f>
        <v/>
      </c>
      <c r="J283" s="161">
        <f>IF(分析!AB283&lt;&gt;"",分析!AB283,"")</f>
        <v/>
      </c>
      <c r="K283" s="161">
        <f>IF(分析!AC283&lt;&gt;"",分析!AC283,"")</f>
        <v/>
      </c>
      <c r="L283" s="161">
        <f>IF(分析!K283&lt;&gt;"",分析!K283,"")</f>
        <v/>
      </c>
      <c r="M283" s="156">
        <f>IF(分析!P283&lt;&gt;"",分析!P283,"")</f>
        <v/>
      </c>
      <c r="N283" s="604">
        <f>IF(分析!O283&lt;&gt;"",分析!O283,"")</f>
        <v/>
      </c>
      <c r="O283" s="163">
        <f>IF(分析!X283&lt;&gt;"",分析!X283,"")</f>
        <v/>
      </c>
      <c r="P283" s="605">
        <f>IF(分析!L283&lt;&gt;"",分析!L283,"")</f>
        <v/>
      </c>
      <c r="Q283" s="161">
        <f>IF(分析!S283&lt;&gt;"",分析!S283,"")</f>
        <v/>
      </c>
      <c r="R283" s="161">
        <f>IF(分析!R283&lt;&gt;"",分析!R283,"")</f>
        <v/>
      </c>
      <c r="S283" s="156">
        <f>IF(分析!AA283&lt;&gt;"",分析!AA283,"")</f>
        <v/>
      </c>
      <c r="T283" s="606">
        <f>IF(分析!Z283&lt;&gt;"",分析!Z283,"")</f>
        <v/>
      </c>
      <c r="U283" s="156">
        <f>IF(分析!V283&lt;&gt;"",分析!V283,"")</f>
        <v/>
      </c>
      <c r="V283" s="607">
        <f>IF(分析!W283&lt;&gt;"",分析!W283,"")</f>
        <v/>
      </c>
      <c r="W283" s="167">
        <f>IF(分析!AD283&lt;&gt;"",分析!AD283,"")</f>
        <v/>
      </c>
      <c r="X283" s="168">
        <f>IF(分析!AE283&lt;&gt;"",分析!AE283,"")</f>
        <v/>
      </c>
      <c r="Y283" s="169">
        <f>IF(分析!T283&lt;&gt;"",分析!T283,"")</f>
        <v/>
      </c>
      <c r="Z283" s="155">
        <f>IF(分析!Y283&lt;&gt;"",分析!Y283,"")</f>
        <v/>
      </c>
    </row>
    <row r="284" ht="21.95" customHeight="1" s="574">
      <c r="A284" s="141">
        <f>IF(分析!C284&lt;&gt;"",ROW()-2,"")</f>
        <v/>
      </c>
      <c r="B284" s="142">
        <f>IF(分析!C284&lt;&gt;"",HYPERLINK("https://kabutan.jp/stock/?code="&amp;分析!C284,"株探"),"")</f>
        <v/>
      </c>
      <c r="C284" s="598">
        <f>IF(分析!C284&lt;&gt;"",分析!C284,"")</f>
        <v/>
      </c>
      <c r="D284" s="144">
        <f>IF(分析!D284&lt;&gt;"",分析!D284,"")</f>
        <v/>
      </c>
      <c r="E284" s="145">
        <f>IF(分析!E284&lt;&gt;"",分析!E284,"")</f>
        <v/>
      </c>
      <c r="F284" s="146">
        <f>IF(分析!F284&lt;&gt;"",分析!F284,"")</f>
        <v/>
      </c>
      <c r="G284" s="146">
        <f>IF(分析!H284&lt;&gt;"",分析!H284,"")</f>
        <v/>
      </c>
      <c r="H284" s="146">
        <f>IF(分析!I284&lt;&gt;"",分析!I284,"")</f>
        <v/>
      </c>
      <c r="I284" s="146">
        <f>IF(分析!J284&lt;&gt;"",分析!J284,"")</f>
        <v/>
      </c>
      <c r="J284" s="146">
        <f>IF(分析!AB284&lt;&gt;"",分析!AB284,"")</f>
        <v/>
      </c>
      <c r="K284" s="146">
        <f>IF(分析!AC284&lt;&gt;"",分析!AC284,"")</f>
        <v/>
      </c>
      <c r="L284" s="146">
        <f>IF(分析!K284&lt;&gt;"",分析!K284,"")</f>
        <v/>
      </c>
      <c r="M284" s="141">
        <f>IF(分析!P284&lt;&gt;"",分析!P284,"")</f>
        <v/>
      </c>
      <c r="N284" s="599">
        <f>IF(分析!O284&lt;&gt;"",分析!O284,"")</f>
        <v/>
      </c>
      <c r="O284" s="148">
        <f>IF(分析!X284&lt;&gt;"",分析!X284,"")</f>
        <v/>
      </c>
      <c r="P284" s="600">
        <f>IF(分析!L284&lt;&gt;"",分析!L284,"")</f>
        <v/>
      </c>
      <c r="Q284" s="146">
        <f>IF(分析!S284&lt;&gt;"",分析!S284,"")</f>
        <v/>
      </c>
      <c r="R284" s="146">
        <f>IF(分析!R284&lt;&gt;"",分析!R284,"")</f>
        <v/>
      </c>
      <c r="S284" s="141">
        <f>IF(分析!AA284&lt;&gt;"",分析!AA284,"")</f>
        <v/>
      </c>
      <c r="T284" s="601">
        <f>IF(分析!Z284&lt;&gt;"",分析!Z284,"")</f>
        <v/>
      </c>
      <c r="U284" s="141">
        <f>IF(分析!V284&lt;&gt;"",分析!V284,"")</f>
        <v/>
      </c>
      <c r="V284" s="602">
        <f>IF(分析!W284&lt;&gt;"",分析!W284,"")</f>
        <v/>
      </c>
      <c r="W284" s="152">
        <f>IF(分析!AD284&lt;&gt;"",分析!AD284,"")</f>
        <v/>
      </c>
      <c r="X284" s="153">
        <f>IF(分析!AE284&lt;&gt;"",分析!AE284,"")</f>
        <v/>
      </c>
      <c r="Y284" s="154">
        <f>IF(分析!T284&lt;&gt;"",分析!T284,"")</f>
        <v/>
      </c>
      <c r="Z284" s="155">
        <f>IF(分析!Y284&lt;&gt;"",分析!Y284,"")</f>
        <v/>
      </c>
    </row>
    <row r="285" ht="21.95" customHeight="1" s="574">
      <c r="A285" s="156">
        <f>IF(分析!C285&lt;&gt;"",ROW()-2,"")</f>
        <v/>
      </c>
      <c r="B285" s="157">
        <f>IF(分析!C285&lt;&gt;"",HYPERLINK("https://kabutan.jp/stock/?code="&amp;分析!C285,"株探"),"")</f>
        <v/>
      </c>
      <c r="C285" s="603">
        <f>IF(分析!C285&lt;&gt;"",分析!C285,"")</f>
        <v/>
      </c>
      <c r="D285" s="159">
        <f>IF(分析!D285&lt;&gt;"",分析!D285,"")</f>
        <v/>
      </c>
      <c r="E285" s="160">
        <f>IF(分析!E285&lt;&gt;"",分析!E285,"")</f>
        <v/>
      </c>
      <c r="F285" s="161">
        <f>IF(分析!F285&lt;&gt;"",分析!F285,"")</f>
        <v/>
      </c>
      <c r="G285" s="161">
        <f>IF(分析!H285&lt;&gt;"",分析!H285,"")</f>
        <v/>
      </c>
      <c r="H285" s="161">
        <f>IF(分析!I285&lt;&gt;"",分析!I285,"")</f>
        <v/>
      </c>
      <c r="I285" s="161">
        <f>IF(分析!J285&lt;&gt;"",分析!J285,"")</f>
        <v/>
      </c>
      <c r="J285" s="161">
        <f>IF(分析!AB285&lt;&gt;"",分析!AB285,"")</f>
        <v/>
      </c>
      <c r="K285" s="161">
        <f>IF(分析!AC285&lt;&gt;"",分析!AC285,"")</f>
        <v/>
      </c>
      <c r="L285" s="161">
        <f>IF(分析!K285&lt;&gt;"",分析!K285,"")</f>
        <v/>
      </c>
      <c r="M285" s="156">
        <f>IF(分析!P285&lt;&gt;"",分析!P285,"")</f>
        <v/>
      </c>
      <c r="N285" s="604">
        <f>IF(分析!O285&lt;&gt;"",分析!O285,"")</f>
        <v/>
      </c>
      <c r="O285" s="163">
        <f>IF(分析!X285&lt;&gt;"",分析!X285,"")</f>
        <v/>
      </c>
      <c r="P285" s="605">
        <f>IF(分析!L285&lt;&gt;"",分析!L285,"")</f>
        <v/>
      </c>
      <c r="Q285" s="161">
        <f>IF(分析!S285&lt;&gt;"",分析!S285,"")</f>
        <v/>
      </c>
      <c r="R285" s="161">
        <f>IF(分析!R285&lt;&gt;"",分析!R285,"")</f>
        <v/>
      </c>
      <c r="S285" s="156">
        <f>IF(分析!AA285&lt;&gt;"",分析!AA285,"")</f>
        <v/>
      </c>
      <c r="T285" s="606">
        <f>IF(分析!Z285&lt;&gt;"",分析!Z285,"")</f>
        <v/>
      </c>
      <c r="U285" s="156">
        <f>IF(分析!V285&lt;&gt;"",分析!V285,"")</f>
        <v/>
      </c>
      <c r="V285" s="607">
        <f>IF(分析!W285&lt;&gt;"",分析!W285,"")</f>
        <v/>
      </c>
      <c r="W285" s="167">
        <f>IF(分析!AD285&lt;&gt;"",分析!AD285,"")</f>
        <v/>
      </c>
      <c r="X285" s="168">
        <f>IF(分析!AE285&lt;&gt;"",分析!AE285,"")</f>
        <v/>
      </c>
      <c r="Y285" s="169">
        <f>IF(分析!T285&lt;&gt;"",分析!T285,"")</f>
        <v/>
      </c>
      <c r="Z285" s="155">
        <f>IF(分析!Y285&lt;&gt;"",分析!Y285,"")</f>
        <v/>
      </c>
    </row>
    <row r="286" ht="21.95" customHeight="1" s="574">
      <c r="A286" s="141">
        <f>IF(分析!C286&lt;&gt;"",ROW()-2,"")</f>
        <v/>
      </c>
      <c r="B286" s="142">
        <f>IF(分析!C286&lt;&gt;"",HYPERLINK("https://kabutan.jp/stock/?code="&amp;分析!C286,"株探"),"")</f>
        <v/>
      </c>
      <c r="C286" s="598">
        <f>IF(分析!C286&lt;&gt;"",分析!C286,"")</f>
        <v/>
      </c>
      <c r="D286" s="144">
        <f>IF(分析!D286&lt;&gt;"",分析!D286,"")</f>
        <v/>
      </c>
      <c r="E286" s="145">
        <f>IF(分析!E286&lt;&gt;"",分析!E286,"")</f>
        <v/>
      </c>
      <c r="F286" s="146">
        <f>IF(分析!F286&lt;&gt;"",分析!F286,"")</f>
        <v/>
      </c>
      <c r="G286" s="146">
        <f>IF(分析!H286&lt;&gt;"",分析!H286,"")</f>
        <v/>
      </c>
      <c r="H286" s="146">
        <f>IF(分析!I286&lt;&gt;"",分析!I286,"")</f>
        <v/>
      </c>
      <c r="I286" s="146">
        <f>IF(分析!J286&lt;&gt;"",分析!J286,"")</f>
        <v/>
      </c>
      <c r="J286" s="146">
        <f>IF(分析!AB286&lt;&gt;"",分析!AB286,"")</f>
        <v/>
      </c>
      <c r="K286" s="146">
        <f>IF(分析!AC286&lt;&gt;"",分析!AC286,"")</f>
        <v/>
      </c>
      <c r="L286" s="146">
        <f>IF(分析!K286&lt;&gt;"",分析!K286,"")</f>
        <v/>
      </c>
      <c r="M286" s="141">
        <f>IF(分析!P286&lt;&gt;"",分析!P286,"")</f>
        <v/>
      </c>
      <c r="N286" s="599">
        <f>IF(分析!O286&lt;&gt;"",分析!O286,"")</f>
        <v/>
      </c>
      <c r="O286" s="148">
        <f>IF(分析!X286&lt;&gt;"",分析!X286,"")</f>
        <v/>
      </c>
      <c r="P286" s="600">
        <f>IF(分析!L286&lt;&gt;"",分析!L286,"")</f>
        <v/>
      </c>
      <c r="Q286" s="146">
        <f>IF(分析!S286&lt;&gt;"",分析!S286,"")</f>
        <v/>
      </c>
      <c r="R286" s="146">
        <f>IF(分析!R286&lt;&gt;"",分析!R286,"")</f>
        <v/>
      </c>
      <c r="S286" s="141">
        <f>IF(分析!AA286&lt;&gt;"",分析!AA286,"")</f>
        <v/>
      </c>
      <c r="T286" s="601">
        <f>IF(分析!Z286&lt;&gt;"",分析!Z286,"")</f>
        <v/>
      </c>
      <c r="U286" s="141">
        <f>IF(分析!V286&lt;&gt;"",分析!V286,"")</f>
        <v/>
      </c>
      <c r="V286" s="602">
        <f>IF(分析!W286&lt;&gt;"",分析!W286,"")</f>
        <v/>
      </c>
      <c r="W286" s="152">
        <f>IF(分析!AD286&lt;&gt;"",分析!AD286,"")</f>
        <v/>
      </c>
      <c r="X286" s="153">
        <f>IF(分析!AE286&lt;&gt;"",分析!AE286,"")</f>
        <v/>
      </c>
      <c r="Y286" s="154">
        <f>IF(分析!T286&lt;&gt;"",分析!T286,"")</f>
        <v/>
      </c>
      <c r="Z286" s="155">
        <f>IF(分析!Y286&lt;&gt;"",分析!Y286,"")</f>
        <v/>
      </c>
    </row>
    <row r="287" ht="21.95" customHeight="1" s="574">
      <c r="A287" s="156">
        <f>IF(分析!C287&lt;&gt;"",ROW()-2,"")</f>
        <v/>
      </c>
      <c r="B287" s="157">
        <f>IF(分析!C287&lt;&gt;"",HYPERLINK("https://kabutan.jp/stock/?code="&amp;分析!C287,"株探"),"")</f>
        <v/>
      </c>
      <c r="C287" s="603">
        <f>IF(分析!C287&lt;&gt;"",分析!C287,"")</f>
        <v/>
      </c>
      <c r="D287" s="159">
        <f>IF(分析!D287&lt;&gt;"",分析!D287,"")</f>
        <v/>
      </c>
      <c r="E287" s="160">
        <f>IF(分析!E287&lt;&gt;"",分析!E287,"")</f>
        <v/>
      </c>
      <c r="F287" s="161">
        <f>IF(分析!F287&lt;&gt;"",分析!F287,"")</f>
        <v/>
      </c>
      <c r="G287" s="161">
        <f>IF(分析!H287&lt;&gt;"",分析!H287,"")</f>
        <v/>
      </c>
      <c r="H287" s="161">
        <f>IF(分析!I287&lt;&gt;"",分析!I287,"")</f>
        <v/>
      </c>
      <c r="I287" s="161">
        <f>IF(分析!J287&lt;&gt;"",分析!J287,"")</f>
        <v/>
      </c>
      <c r="J287" s="161">
        <f>IF(分析!AB287&lt;&gt;"",分析!AB287,"")</f>
        <v/>
      </c>
      <c r="K287" s="161">
        <f>IF(分析!AC287&lt;&gt;"",分析!AC287,"")</f>
        <v/>
      </c>
      <c r="L287" s="161">
        <f>IF(分析!K287&lt;&gt;"",分析!K287,"")</f>
        <v/>
      </c>
      <c r="M287" s="156">
        <f>IF(分析!P287&lt;&gt;"",分析!P287,"")</f>
        <v/>
      </c>
      <c r="N287" s="604">
        <f>IF(分析!O287&lt;&gt;"",分析!O287,"")</f>
        <v/>
      </c>
      <c r="O287" s="163">
        <f>IF(分析!X287&lt;&gt;"",分析!X287,"")</f>
        <v/>
      </c>
      <c r="P287" s="605">
        <f>IF(分析!L287&lt;&gt;"",分析!L287,"")</f>
        <v/>
      </c>
      <c r="Q287" s="161">
        <f>IF(分析!S287&lt;&gt;"",分析!S287,"")</f>
        <v/>
      </c>
      <c r="R287" s="161">
        <f>IF(分析!R287&lt;&gt;"",分析!R287,"")</f>
        <v/>
      </c>
      <c r="S287" s="156">
        <f>IF(分析!AA287&lt;&gt;"",分析!AA287,"")</f>
        <v/>
      </c>
      <c r="T287" s="606">
        <f>IF(分析!Z287&lt;&gt;"",分析!Z287,"")</f>
        <v/>
      </c>
      <c r="U287" s="156">
        <f>IF(分析!V287&lt;&gt;"",分析!V287,"")</f>
        <v/>
      </c>
      <c r="V287" s="607">
        <f>IF(分析!W287&lt;&gt;"",分析!W287,"")</f>
        <v/>
      </c>
      <c r="W287" s="167">
        <f>IF(分析!AD287&lt;&gt;"",分析!AD287,"")</f>
        <v/>
      </c>
      <c r="X287" s="168">
        <f>IF(分析!AE287&lt;&gt;"",分析!AE287,"")</f>
        <v/>
      </c>
      <c r="Y287" s="169">
        <f>IF(分析!T287&lt;&gt;"",分析!T287,"")</f>
        <v/>
      </c>
      <c r="Z287" s="155">
        <f>IF(分析!Y287&lt;&gt;"",分析!Y287,"")</f>
        <v/>
      </c>
    </row>
    <row r="288" ht="21.95" customHeight="1" s="574">
      <c r="A288" s="141">
        <f>IF(分析!C288&lt;&gt;"",ROW()-2,"")</f>
        <v/>
      </c>
      <c r="B288" s="142">
        <f>IF(分析!C288&lt;&gt;"",HYPERLINK("https://kabutan.jp/stock/?code="&amp;分析!C288,"株探"),"")</f>
        <v/>
      </c>
      <c r="C288" s="598">
        <f>IF(分析!C288&lt;&gt;"",分析!C288,"")</f>
        <v/>
      </c>
      <c r="D288" s="144">
        <f>IF(分析!D288&lt;&gt;"",分析!D288,"")</f>
        <v/>
      </c>
      <c r="E288" s="145">
        <f>IF(分析!E288&lt;&gt;"",分析!E288,"")</f>
        <v/>
      </c>
      <c r="F288" s="146">
        <f>IF(分析!F288&lt;&gt;"",分析!F288,"")</f>
        <v/>
      </c>
      <c r="G288" s="146">
        <f>IF(分析!H288&lt;&gt;"",分析!H288,"")</f>
        <v/>
      </c>
      <c r="H288" s="146">
        <f>IF(分析!I288&lt;&gt;"",分析!I288,"")</f>
        <v/>
      </c>
      <c r="I288" s="146">
        <f>IF(分析!J288&lt;&gt;"",分析!J288,"")</f>
        <v/>
      </c>
      <c r="J288" s="146">
        <f>IF(分析!AB288&lt;&gt;"",分析!AB288,"")</f>
        <v/>
      </c>
      <c r="K288" s="146">
        <f>IF(分析!AC288&lt;&gt;"",分析!AC288,"")</f>
        <v/>
      </c>
      <c r="L288" s="146">
        <f>IF(分析!K288&lt;&gt;"",分析!K288,"")</f>
        <v/>
      </c>
      <c r="M288" s="141">
        <f>IF(分析!P288&lt;&gt;"",分析!P288,"")</f>
        <v/>
      </c>
      <c r="N288" s="599">
        <f>IF(分析!O288&lt;&gt;"",分析!O288,"")</f>
        <v/>
      </c>
      <c r="O288" s="148">
        <f>IF(分析!X288&lt;&gt;"",分析!X288,"")</f>
        <v/>
      </c>
      <c r="P288" s="600">
        <f>IF(分析!L288&lt;&gt;"",分析!L288,"")</f>
        <v/>
      </c>
      <c r="Q288" s="146">
        <f>IF(分析!S288&lt;&gt;"",分析!S288,"")</f>
        <v/>
      </c>
      <c r="R288" s="146">
        <f>IF(分析!R288&lt;&gt;"",分析!R288,"")</f>
        <v/>
      </c>
      <c r="S288" s="141">
        <f>IF(分析!AA288&lt;&gt;"",分析!AA288,"")</f>
        <v/>
      </c>
      <c r="T288" s="601">
        <f>IF(分析!Z288&lt;&gt;"",分析!Z288,"")</f>
        <v/>
      </c>
      <c r="U288" s="141">
        <f>IF(分析!V288&lt;&gt;"",分析!V288,"")</f>
        <v/>
      </c>
      <c r="V288" s="602">
        <f>IF(分析!W288&lt;&gt;"",分析!W288,"")</f>
        <v/>
      </c>
      <c r="W288" s="152">
        <f>IF(分析!AD288&lt;&gt;"",分析!AD288,"")</f>
        <v/>
      </c>
      <c r="X288" s="153">
        <f>IF(分析!AE288&lt;&gt;"",分析!AE288,"")</f>
        <v/>
      </c>
      <c r="Y288" s="154">
        <f>IF(分析!T288&lt;&gt;"",分析!T288,"")</f>
        <v/>
      </c>
      <c r="Z288" s="155">
        <f>IF(分析!Y288&lt;&gt;"",分析!Y288,"")</f>
        <v/>
      </c>
    </row>
    <row r="289" ht="21.95" customHeight="1" s="574">
      <c r="A289" s="156">
        <f>IF(分析!C289&lt;&gt;"",ROW()-2,"")</f>
        <v/>
      </c>
      <c r="B289" s="157">
        <f>IF(分析!C289&lt;&gt;"",HYPERLINK("https://kabutan.jp/stock/?code="&amp;分析!C289,"株探"),"")</f>
        <v/>
      </c>
      <c r="C289" s="603">
        <f>IF(分析!C289&lt;&gt;"",分析!C289,"")</f>
        <v/>
      </c>
      <c r="D289" s="159">
        <f>IF(分析!D289&lt;&gt;"",分析!D289,"")</f>
        <v/>
      </c>
      <c r="E289" s="160">
        <f>IF(分析!E289&lt;&gt;"",分析!E289,"")</f>
        <v/>
      </c>
      <c r="F289" s="161">
        <f>IF(分析!F289&lt;&gt;"",分析!F289,"")</f>
        <v/>
      </c>
      <c r="G289" s="161">
        <f>IF(分析!H289&lt;&gt;"",分析!H289,"")</f>
        <v/>
      </c>
      <c r="H289" s="161">
        <f>IF(分析!I289&lt;&gt;"",分析!I289,"")</f>
        <v/>
      </c>
      <c r="I289" s="161">
        <f>IF(分析!J289&lt;&gt;"",分析!J289,"")</f>
        <v/>
      </c>
      <c r="J289" s="161">
        <f>IF(分析!AB289&lt;&gt;"",分析!AB289,"")</f>
        <v/>
      </c>
      <c r="K289" s="161">
        <f>IF(分析!AC289&lt;&gt;"",分析!AC289,"")</f>
        <v/>
      </c>
      <c r="L289" s="161">
        <f>IF(分析!K289&lt;&gt;"",分析!K289,"")</f>
        <v/>
      </c>
      <c r="M289" s="156">
        <f>IF(分析!P289&lt;&gt;"",分析!P289,"")</f>
        <v/>
      </c>
      <c r="N289" s="604">
        <f>IF(分析!O289&lt;&gt;"",分析!O289,"")</f>
        <v/>
      </c>
      <c r="O289" s="163">
        <f>IF(分析!X289&lt;&gt;"",分析!X289,"")</f>
        <v/>
      </c>
      <c r="P289" s="605">
        <f>IF(分析!L289&lt;&gt;"",分析!L289,"")</f>
        <v/>
      </c>
      <c r="Q289" s="161">
        <f>IF(分析!S289&lt;&gt;"",分析!S289,"")</f>
        <v/>
      </c>
      <c r="R289" s="161">
        <f>IF(分析!R289&lt;&gt;"",分析!R289,"")</f>
        <v/>
      </c>
      <c r="S289" s="156">
        <f>IF(分析!AA289&lt;&gt;"",分析!AA289,"")</f>
        <v/>
      </c>
      <c r="T289" s="606">
        <f>IF(分析!Z289&lt;&gt;"",分析!Z289,"")</f>
        <v/>
      </c>
      <c r="U289" s="156">
        <f>IF(分析!V289&lt;&gt;"",分析!V289,"")</f>
        <v/>
      </c>
      <c r="V289" s="607">
        <f>IF(分析!W289&lt;&gt;"",分析!W289,"")</f>
        <v/>
      </c>
      <c r="W289" s="167">
        <f>IF(分析!AD289&lt;&gt;"",分析!AD289,"")</f>
        <v/>
      </c>
      <c r="X289" s="168">
        <f>IF(分析!AE289&lt;&gt;"",分析!AE289,"")</f>
        <v/>
      </c>
      <c r="Y289" s="169">
        <f>IF(分析!T289&lt;&gt;"",分析!T289,"")</f>
        <v/>
      </c>
      <c r="Z289" s="155">
        <f>IF(分析!Y289&lt;&gt;"",分析!Y289,"")</f>
        <v/>
      </c>
    </row>
    <row r="290" ht="21.95" customHeight="1" s="574">
      <c r="A290" s="141">
        <f>IF(分析!C290&lt;&gt;"",ROW()-2,"")</f>
        <v/>
      </c>
      <c r="B290" s="142">
        <f>IF(分析!C290&lt;&gt;"",HYPERLINK("https://kabutan.jp/stock/?code="&amp;分析!C290,"株探"),"")</f>
        <v/>
      </c>
      <c r="C290" s="598">
        <f>IF(分析!C290&lt;&gt;"",分析!C290,"")</f>
        <v/>
      </c>
      <c r="D290" s="144">
        <f>IF(分析!D290&lt;&gt;"",分析!D290,"")</f>
        <v/>
      </c>
      <c r="E290" s="145">
        <f>IF(分析!E290&lt;&gt;"",分析!E290,"")</f>
        <v/>
      </c>
      <c r="F290" s="146">
        <f>IF(分析!F290&lt;&gt;"",分析!F290,"")</f>
        <v/>
      </c>
      <c r="G290" s="146">
        <f>IF(分析!H290&lt;&gt;"",分析!H290,"")</f>
        <v/>
      </c>
      <c r="H290" s="146">
        <f>IF(分析!I290&lt;&gt;"",分析!I290,"")</f>
        <v/>
      </c>
      <c r="I290" s="146">
        <f>IF(分析!J290&lt;&gt;"",分析!J290,"")</f>
        <v/>
      </c>
      <c r="J290" s="146">
        <f>IF(分析!AB290&lt;&gt;"",分析!AB290,"")</f>
        <v/>
      </c>
      <c r="K290" s="146">
        <f>IF(分析!AC290&lt;&gt;"",分析!AC290,"")</f>
        <v/>
      </c>
      <c r="L290" s="146">
        <f>IF(分析!K290&lt;&gt;"",分析!K290,"")</f>
        <v/>
      </c>
      <c r="M290" s="141">
        <f>IF(分析!P290&lt;&gt;"",分析!P290,"")</f>
        <v/>
      </c>
      <c r="N290" s="599">
        <f>IF(分析!O290&lt;&gt;"",分析!O290,"")</f>
        <v/>
      </c>
      <c r="O290" s="148">
        <f>IF(分析!X290&lt;&gt;"",分析!X290,"")</f>
        <v/>
      </c>
      <c r="P290" s="600">
        <f>IF(分析!L290&lt;&gt;"",分析!L290,"")</f>
        <v/>
      </c>
      <c r="Q290" s="146">
        <f>IF(分析!S290&lt;&gt;"",分析!S290,"")</f>
        <v/>
      </c>
      <c r="R290" s="146">
        <f>IF(分析!R290&lt;&gt;"",分析!R290,"")</f>
        <v/>
      </c>
      <c r="S290" s="141">
        <f>IF(分析!AA290&lt;&gt;"",分析!AA290,"")</f>
        <v/>
      </c>
      <c r="T290" s="601">
        <f>IF(分析!Z290&lt;&gt;"",分析!Z290,"")</f>
        <v/>
      </c>
      <c r="U290" s="141">
        <f>IF(分析!V290&lt;&gt;"",分析!V290,"")</f>
        <v/>
      </c>
      <c r="V290" s="602">
        <f>IF(分析!W290&lt;&gt;"",分析!W290,"")</f>
        <v/>
      </c>
      <c r="W290" s="152">
        <f>IF(分析!AD290&lt;&gt;"",分析!AD290,"")</f>
        <v/>
      </c>
      <c r="X290" s="153">
        <f>IF(分析!AE290&lt;&gt;"",分析!AE290,"")</f>
        <v/>
      </c>
      <c r="Y290" s="154">
        <f>IF(分析!T290&lt;&gt;"",分析!T290,"")</f>
        <v/>
      </c>
      <c r="Z290" s="155">
        <f>IF(分析!Y290&lt;&gt;"",分析!Y290,"")</f>
        <v/>
      </c>
    </row>
    <row r="291" ht="21.95" customHeight="1" s="574">
      <c r="A291" s="156">
        <f>IF(分析!C291&lt;&gt;"",ROW()-2,"")</f>
        <v/>
      </c>
      <c r="B291" s="157">
        <f>IF(分析!C291&lt;&gt;"",HYPERLINK("https://kabutan.jp/stock/?code="&amp;分析!C291,"株探"),"")</f>
        <v/>
      </c>
      <c r="C291" s="603">
        <f>IF(分析!C291&lt;&gt;"",分析!C291,"")</f>
        <v/>
      </c>
      <c r="D291" s="159">
        <f>IF(分析!D291&lt;&gt;"",分析!D291,"")</f>
        <v/>
      </c>
      <c r="E291" s="160">
        <f>IF(分析!E291&lt;&gt;"",分析!E291,"")</f>
        <v/>
      </c>
      <c r="F291" s="161">
        <f>IF(分析!F291&lt;&gt;"",分析!F291,"")</f>
        <v/>
      </c>
      <c r="G291" s="161">
        <f>IF(分析!H291&lt;&gt;"",分析!H291,"")</f>
        <v/>
      </c>
      <c r="H291" s="161">
        <f>IF(分析!I291&lt;&gt;"",分析!I291,"")</f>
        <v/>
      </c>
      <c r="I291" s="161">
        <f>IF(分析!J291&lt;&gt;"",分析!J291,"")</f>
        <v/>
      </c>
      <c r="J291" s="161">
        <f>IF(分析!AB291&lt;&gt;"",分析!AB291,"")</f>
        <v/>
      </c>
      <c r="K291" s="161">
        <f>IF(分析!AC291&lt;&gt;"",分析!AC291,"")</f>
        <v/>
      </c>
      <c r="L291" s="161">
        <f>IF(分析!K291&lt;&gt;"",分析!K291,"")</f>
        <v/>
      </c>
      <c r="M291" s="156">
        <f>IF(分析!P291&lt;&gt;"",分析!P291,"")</f>
        <v/>
      </c>
      <c r="N291" s="604">
        <f>IF(分析!O291&lt;&gt;"",分析!O291,"")</f>
        <v/>
      </c>
      <c r="O291" s="163">
        <f>IF(分析!X291&lt;&gt;"",分析!X291,"")</f>
        <v/>
      </c>
      <c r="P291" s="605">
        <f>IF(分析!L291&lt;&gt;"",分析!L291,"")</f>
        <v/>
      </c>
      <c r="Q291" s="161">
        <f>IF(分析!S291&lt;&gt;"",分析!S291,"")</f>
        <v/>
      </c>
      <c r="R291" s="161">
        <f>IF(分析!R291&lt;&gt;"",分析!R291,"")</f>
        <v/>
      </c>
      <c r="S291" s="156">
        <f>IF(分析!AA291&lt;&gt;"",分析!AA291,"")</f>
        <v/>
      </c>
      <c r="T291" s="606">
        <f>IF(分析!Z291&lt;&gt;"",分析!Z291,"")</f>
        <v/>
      </c>
      <c r="U291" s="156">
        <f>IF(分析!V291&lt;&gt;"",分析!V291,"")</f>
        <v/>
      </c>
      <c r="V291" s="607">
        <f>IF(分析!W291&lt;&gt;"",分析!W291,"")</f>
        <v/>
      </c>
      <c r="W291" s="167">
        <f>IF(分析!AD291&lt;&gt;"",分析!AD291,"")</f>
        <v/>
      </c>
      <c r="X291" s="168">
        <f>IF(分析!AE291&lt;&gt;"",分析!AE291,"")</f>
        <v/>
      </c>
      <c r="Y291" s="169">
        <f>IF(分析!T291&lt;&gt;"",分析!T291,"")</f>
        <v/>
      </c>
      <c r="Z291" s="155">
        <f>IF(分析!Y291&lt;&gt;"",分析!Y291,"")</f>
        <v/>
      </c>
    </row>
    <row r="292" ht="21.95" customHeight="1" s="574">
      <c r="A292" s="141">
        <f>IF(分析!C292&lt;&gt;"",ROW()-2,"")</f>
        <v/>
      </c>
      <c r="B292" s="142">
        <f>IF(分析!C292&lt;&gt;"",HYPERLINK("https://kabutan.jp/stock/?code="&amp;分析!C292,"株探"),"")</f>
        <v/>
      </c>
      <c r="C292" s="598">
        <f>IF(分析!C292&lt;&gt;"",分析!C292,"")</f>
        <v/>
      </c>
      <c r="D292" s="144">
        <f>IF(分析!D292&lt;&gt;"",分析!D292,"")</f>
        <v/>
      </c>
      <c r="E292" s="145">
        <f>IF(分析!E292&lt;&gt;"",分析!E292,"")</f>
        <v/>
      </c>
      <c r="F292" s="146">
        <f>IF(分析!F292&lt;&gt;"",分析!F292,"")</f>
        <v/>
      </c>
      <c r="G292" s="146">
        <f>IF(分析!H292&lt;&gt;"",分析!H292,"")</f>
        <v/>
      </c>
      <c r="H292" s="146">
        <f>IF(分析!I292&lt;&gt;"",分析!I292,"")</f>
        <v/>
      </c>
      <c r="I292" s="146">
        <f>IF(分析!J292&lt;&gt;"",分析!J292,"")</f>
        <v/>
      </c>
      <c r="J292" s="146">
        <f>IF(分析!AB292&lt;&gt;"",分析!AB292,"")</f>
        <v/>
      </c>
      <c r="K292" s="146">
        <f>IF(分析!AC292&lt;&gt;"",分析!AC292,"")</f>
        <v/>
      </c>
      <c r="L292" s="146">
        <f>IF(分析!K292&lt;&gt;"",分析!K292,"")</f>
        <v/>
      </c>
      <c r="M292" s="141">
        <f>IF(分析!P292&lt;&gt;"",分析!P292,"")</f>
        <v/>
      </c>
      <c r="N292" s="599">
        <f>IF(分析!O292&lt;&gt;"",分析!O292,"")</f>
        <v/>
      </c>
      <c r="O292" s="148">
        <f>IF(分析!X292&lt;&gt;"",分析!X292,"")</f>
        <v/>
      </c>
      <c r="P292" s="600">
        <f>IF(分析!L292&lt;&gt;"",分析!L292,"")</f>
        <v/>
      </c>
      <c r="Q292" s="146">
        <f>IF(分析!S292&lt;&gt;"",分析!S292,"")</f>
        <v/>
      </c>
      <c r="R292" s="146">
        <f>IF(分析!R292&lt;&gt;"",分析!R292,"")</f>
        <v/>
      </c>
      <c r="S292" s="141">
        <f>IF(分析!AA292&lt;&gt;"",分析!AA292,"")</f>
        <v/>
      </c>
      <c r="T292" s="601">
        <f>IF(分析!Z292&lt;&gt;"",分析!Z292,"")</f>
        <v/>
      </c>
      <c r="U292" s="141">
        <f>IF(分析!V292&lt;&gt;"",分析!V292,"")</f>
        <v/>
      </c>
      <c r="V292" s="602">
        <f>IF(分析!W292&lt;&gt;"",分析!W292,"")</f>
        <v/>
      </c>
      <c r="W292" s="152">
        <f>IF(分析!AD292&lt;&gt;"",分析!AD292,"")</f>
        <v/>
      </c>
      <c r="X292" s="153">
        <f>IF(分析!AE292&lt;&gt;"",分析!AE292,"")</f>
        <v/>
      </c>
      <c r="Y292" s="154">
        <f>IF(分析!T292&lt;&gt;"",分析!T292,"")</f>
        <v/>
      </c>
      <c r="Z292" s="155">
        <f>IF(分析!Y292&lt;&gt;"",分析!Y292,"")</f>
        <v/>
      </c>
    </row>
    <row r="293" ht="21.95" customHeight="1" s="574">
      <c r="A293" s="156">
        <f>IF(分析!C293&lt;&gt;"",ROW()-2,"")</f>
        <v/>
      </c>
      <c r="B293" s="157">
        <f>IF(分析!C293&lt;&gt;"",HYPERLINK("https://kabutan.jp/stock/?code="&amp;分析!C293,"株探"),"")</f>
        <v/>
      </c>
      <c r="C293" s="603">
        <f>IF(分析!C293&lt;&gt;"",分析!C293,"")</f>
        <v/>
      </c>
      <c r="D293" s="159">
        <f>IF(分析!D293&lt;&gt;"",分析!D293,"")</f>
        <v/>
      </c>
      <c r="E293" s="160">
        <f>IF(分析!E293&lt;&gt;"",分析!E293,"")</f>
        <v/>
      </c>
      <c r="F293" s="161">
        <f>IF(分析!F293&lt;&gt;"",分析!F293,"")</f>
        <v/>
      </c>
      <c r="G293" s="161">
        <f>IF(分析!H293&lt;&gt;"",分析!H293,"")</f>
        <v/>
      </c>
      <c r="H293" s="161">
        <f>IF(分析!I293&lt;&gt;"",分析!I293,"")</f>
        <v/>
      </c>
      <c r="I293" s="161">
        <f>IF(分析!J293&lt;&gt;"",分析!J293,"")</f>
        <v/>
      </c>
      <c r="J293" s="161">
        <f>IF(分析!AB293&lt;&gt;"",分析!AB293,"")</f>
        <v/>
      </c>
      <c r="K293" s="161">
        <f>IF(分析!AC293&lt;&gt;"",分析!AC293,"")</f>
        <v/>
      </c>
      <c r="L293" s="161">
        <f>IF(分析!K293&lt;&gt;"",分析!K293,"")</f>
        <v/>
      </c>
      <c r="M293" s="156">
        <f>IF(分析!P293&lt;&gt;"",分析!P293,"")</f>
        <v/>
      </c>
      <c r="N293" s="604">
        <f>IF(分析!O293&lt;&gt;"",分析!O293,"")</f>
        <v/>
      </c>
      <c r="O293" s="163">
        <f>IF(分析!X293&lt;&gt;"",分析!X293,"")</f>
        <v/>
      </c>
      <c r="P293" s="605">
        <f>IF(分析!L293&lt;&gt;"",分析!L293,"")</f>
        <v/>
      </c>
      <c r="Q293" s="161">
        <f>IF(分析!S293&lt;&gt;"",分析!S293,"")</f>
        <v/>
      </c>
      <c r="R293" s="161">
        <f>IF(分析!R293&lt;&gt;"",分析!R293,"")</f>
        <v/>
      </c>
      <c r="S293" s="156">
        <f>IF(分析!AA293&lt;&gt;"",分析!AA293,"")</f>
        <v/>
      </c>
      <c r="T293" s="606">
        <f>IF(分析!Z293&lt;&gt;"",分析!Z293,"")</f>
        <v/>
      </c>
      <c r="U293" s="156">
        <f>IF(分析!V293&lt;&gt;"",分析!V293,"")</f>
        <v/>
      </c>
      <c r="V293" s="607">
        <f>IF(分析!W293&lt;&gt;"",分析!W293,"")</f>
        <v/>
      </c>
      <c r="W293" s="167">
        <f>IF(分析!AD293&lt;&gt;"",分析!AD293,"")</f>
        <v/>
      </c>
      <c r="X293" s="168">
        <f>IF(分析!AE293&lt;&gt;"",分析!AE293,"")</f>
        <v/>
      </c>
      <c r="Y293" s="169">
        <f>IF(分析!T293&lt;&gt;"",分析!T293,"")</f>
        <v/>
      </c>
      <c r="Z293" s="155">
        <f>IF(分析!Y293&lt;&gt;"",分析!Y293,"")</f>
        <v/>
      </c>
    </row>
    <row r="294" ht="21.95" customHeight="1" s="574">
      <c r="A294" s="141">
        <f>IF(分析!C294&lt;&gt;"",ROW()-2,"")</f>
        <v/>
      </c>
      <c r="B294" s="142">
        <f>IF(分析!C294&lt;&gt;"",HYPERLINK("https://kabutan.jp/stock/?code="&amp;分析!C294,"株探"),"")</f>
        <v/>
      </c>
      <c r="C294" s="598">
        <f>IF(分析!C294&lt;&gt;"",分析!C294,"")</f>
        <v/>
      </c>
      <c r="D294" s="144">
        <f>IF(分析!D294&lt;&gt;"",分析!D294,"")</f>
        <v/>
      </c>
      <c r="E294" s="145">
        <f>IF(分析!E294&lt;&gt;"",分析!E294,"")</f>
        <v/>
      </c>
      <c r="F294" s="146">
        <f>IF(分析!F294&lt;&gt;"",分析!F294,"")</f>
        <v/>
      </c>
      <c r="G294" s="146">
        <f>IF(分析!H294&lt;&gt;"",分析!H294,"")</f>
        <v/>
      </c>
      <c r="H294" s="146">
        <f>IF(分析!I294&lt;&gt;"",分析!I294,"")</f>
        <v/>
      </c>
      <c r="I294" s="146">
        <f>IF(分析!J294&lt;&gt;"",分析!J294,"")</f>
        <v/>
      </c>
      <c r="J294" s="146">
        <f>IF(分析!AB294&lt;&gt;"",分析!AB294,"")</f>
        <v/>
      </c>
      <c r="K294" s="146">
        <f>IF(分析!AC294&lt;&gt;"",分析!AC294,"")</f>
        <v/>
      </c>
      <c r="L294" s="146">
        <f>IF(分析!K294&lt;&gt;"",分析!K294,"")</f>
        <v/>
      </c>
      <c r="M294" s="141">
        <f>IF(分析!P294&lt;&gt;"",分析!P294,"")</f>
        <v/>
      </c>
      <c r="N294" s="599">
        <f>IF(分析!O294&lt;&gt;"",分析!O294,"")</f>
        <v/>
      </c>
      <c r="O294" s="148">
        <f>IF(分析!X294&lt;&gt;"",分析!X294,"")</f>
        <v/>
      </c>
      <c r="P294" s="600">
        <f>IF(分析!L294&lt;&gt;"",分析!L294,"")</f>
        <v/>
      </c>
      <c r="Q294" s="146">
        <f>IF(分析!S294&lt;&gt;"",分析!S294,"")</f>
        <v/>
      </c>
      <c r="R294" s="146">
        <f>IF(分析!R294&lt;&gt;"",分析!R294,"")</f>
        <v/>
      </c>
      <c r="S294" s="141">
        <f>IF(分析!AA294&lt;&gt;"",分析!AA294,"")</f>
        <v/>
      </c>
      <c r="T294" s="601">
        <f>IF(分析!Z294&lt;&gt;"",分析!Z294,"")</f>
        <v/>
      </c>
      <c r="U294" s="141">
        <f>IF(分析!V294&lt;&gt;"",分析!V294,"")</f>
        <v/>
      </c>
      <c r="V294" s="602">
        <f>IF(分析!W294&lt;&gt;"",分析!W294,"")</f>
        <v/>
      </c>
      <c r="W294" s="152">
        <f>IF(分析!AD294&lt;&gt;"",分析!AD294,"")</f>
        <v/>
      </c>
      <c r="X294" s="153">
        <f>IF(分析!AE294&lt;&gt;"",分析!AE294,"")</f>
        <v/>
      </c>
      <c r="Y294" s="154">
        <f>IF(分析!T294&lt;&gt;"",分析!T294,"")</f>
        <v/>
      </c>
      <c r="Z294" s="155">
        <f>IF(分析!Y294&lt;&gt;"",分析!Y294,"")</f>
        <v/>
      </c>
    </row>
    <row r="295" ht="21.95" customHeight="1" s="574">
      <c r="A295" s="156">
        <f>IF(分析!C295&lt;&gt;"",ROW()-2,"")</f>
        <v/>
      </c>
      <c r="B295" s="157">
        <f>IF(分析!C295&lt;&gt;"",HYPERLINK("https://kabutan.jp/stock/?code="&amp;分析!C295,"株探"),"")</f>
        <v/>
      </c>
      <c r="C295" s="603">
        <f>IF(分析!C295&lt;&gt;"",分析!C295,"")</f>
        <v/>
      </c>
      <c r="D295" s="159">
        <f>IF(分析!D295&lt;&gt;"",分析!D295,"")</f>
        <v/>
      </c>
      <c r="E295" s="160">
        <f>IF(分析!E295&lt;&gt;"",分析!E295,"")</f>
        <v/>
      </c>
      <c r="F295" s="161">
        <f>IF(分析!F295&lt;&gt;"",分析!F295,"")</f>
        <v/>
      </c>
      <c r="G295" s="161">
        <f>IF(分析!H295&lt;&gt;"",分析!H295,"")</f>
        <v/>
      </c>
      <c r="H295" s="161">
        <f>IF(分析!I295&lt;&gt;"",分析!I295,"")</f>
        <v/>
      </c>
      <c r="I295" s="161">
        <f>IF(分析!J295&lt;&gt;"",分析!J295,"")</f>
        <v/>
      </c>
      <c r="J295" s="161">
        <f>IF(分析!AB295&lt;&gt;"",分析!AB295,"")</f>
        <v/>
      </c>
      <c r="K295" s="161">
        <f>IF(分析!AC295&lt;&gt;"",分析!AC295,"")</f>
        <v/>
      </c>
      <c r="L295" s="161">
        <f>IF(分析!K295&lt;&gt;"",分析!K295,"")</f>
        <v/>
      </c>
      <c r="M295" s="156">
        <f>IF(分析!P295&lt;&gt;"",分析!P295,"")</f>
        <v/>
      </c>
      <c r="N295" s="604">
        <f>IF(分析!O295&lt;&gt;"",分析!O295,"")</f>
        <v/>
      </c>
      <c r="O295" s="163">
        <f>IF(分析!X295&lt;&gt;"",分析!X295,"")</f>
        <v/>
      </c>
      <c r="P295" s="605">
        <f>IF(分析!L295&lt;&gt;"",分析!L295,"")</f>
        <v/>
      </c>
      <c r="Q295" s="161">
        <f>IF(分析!S295&lt;&gt;"",分析!S295,"")</f>
        <v/>
      </c>
      <c r="R295" s="161">
        <f>IF(分析!R295&lt;&gt;"",分析!R295,"")</f>
        <v/>
      </c>
      <c r="S295" s="156">
        <f>IF(分析!AA295&lt;&gt;"",分析!AA295,"")</f>
        <v/>
      </c>
      <c r="T295" s="606">
        <f>IF(分析!Z295&lt;&gt;"",分析!Z295,"")</f>
        <v/>
      </c>
      <c r="U295" s="156">
        <f>IF(分析!V295&lt;&gt;"",分析!V295,"")</f>
        <v/>
      </c>
      <c r="V295" s="607">
        <f>IF(分析!W295&lt;&gt;"",分析!W295,"")</f>
        <v/>
      </c>
      <c r="W295" s="167">
        <f>IF(分析!AD295&lt;&gt;"",分析!AD295,"")</f>
        <v/>
      </c>
      <c r="X295" s="168">
        <f>IF(分析!AE295&lt;&gt;"",分析!AE295,"")</f>
        <v/>
      </c>
      <c r="Y295" s="169">
        <f>IF(分析!T295&lt;&gt;"",分析!T295,"")</f>
        <v/>
      </c>
      <c r="Z295" s="155">
        <f>IF(分析!Y295&lt;&gt;"",分析!Y295,"")</f>
        <v/>
      </c>
    </row>
    <row r="296" ht="21.95" customHeight="1" s="574">
      <c r="A296" s="141">
        <f>IF(分析!C296&lt;&gt;"",ROW()-2,"")</f>
        <v/>
      </c>
      <c r="B296" s="142">
        <f>IF(分析!C296&lt;&gt;"",HYPERLINK("https://kabutan.jp/stock/?code="&amp;分析!C296,"株探"),"")</f>
        <v/>
      </c>
      <c r="C296" s="598">
        <f>IF(分析!C296&lt;&gt;"",分析!C296,"")</f>
        <v/>
      </c>
      <c r="D296" s="144">
        <f>IF(分析!D296&lt;&gt;"",分析!D296,"")</f>
        <v/>
      </c>
      <c r="E296" s="145">
        <f>IF(分析!E296&lt;&gt;"",分析!E296,"")</f>
        <v/>
      </c>
      <c r="F296" s="146">
        <f>IF(分析!F296&lt;&gt;"",分析!F296,"")</f>
        <v/>
      </c>
      <c r="G296" s="146">
        <f>IF(分析!H296&lt;&gt;"",分析!H296,"")</f>
        <v/>
      </c>
      <c r="H296" s="146">
        <f>IF(分析!I296&lt;&gt;"",分析!I296,"")</f>
        <v/>
      </c>
      <c r="I296" s="146">
        <f>IF(分析!J296&lt;&gt;"",分析!J296,"")</f>
        <v/>
      </c>
      <c r="J296" s="146">
        <f>IF(分析!AB296&lt;&gt;"",分析!AB296,"")</f>
        <v/>
      </c>
      <c r="K296" s="146">
        <f>IF(分析!AC296&lt;&gt;"",分析!AC296,"")</f>
        <v/>
      </c>
      <c r="L296" s="146">
        <f>IF(分析!K296&lt;&gt;"",分析!K296,"")</f>
        <v/>
      </c>
      <c r="M296" s="141">
        <f>IF(分析!P296&lt;&gt;"",分析!P296,"")</f>
        <v/>
      </c>
      <c r="N296" s="599">
        <f>IF(分析!O296&lt;&gt;"",分析!O296,"")</f>
        <v/>
      </c>
      <c r="O296" s="148">
        <f>IF(分析!X296&lt;&gt;"",分析!X296,"")</f>
        <v/>
      </c>
      <c r="P296" s="600">
        <f>IF(分析!L296&lt;&gt;"",分析!L296,"")</f>
        <v/>
      </c>
      <c r="Q296" s="146">
        <f>IF(分析!S296&lt;&gt;"",分析!S296,"")</f>
        <v/>
      </c>
      <c r="R296" s="146">
        <f>IF(分析!R296&lt;&gt;"",分析!R296,"")</f>
        <v/>
      </c>
      <c r="S296" s="141">
        <f>IF(分析!AA296&lt;&gt;"",分析!AA296,"")</f>
        <v/>
      </c>
      <c r="T296" s="601">
        <f>IF(分析!Z296&lt;&gt;"",分析!Z296,"")</f>
        <v/>
      </c>
      <c r="U296" s="141">
        <f>IF(分析!V296&lt;&gt;"",分析!V296,"")</f>
        <v/>
      </c>
      <c r="V296" s="602">
        <f>IF(分析!W296&lt;&gt;"",分析!W296,"")</f>
        <v/>
      </c>
      <c r="W296" s="152">
        <f>IF(分析!AD296&lt;&gt;"",分析!AD296,"")</f>
        <v/>
      </c>
      <c r="X296" s="153">
        <f>IF(分析!AE296&lt;&gt;"",分析!AE296,"")</f>
        <v/>
      </c>
      <c r="Y296" s="154">
        <f>IF(分析!T296&lt;&gt;"",分析!T296,"")</f>
        <v/>
      </c>
      <c r="Z296" s="155">
        <f>IF(分析!Y296&lt;&gt;"",分析!Y296,"")</f>
        <v/>
      </c>
    </row>
    <row r="297" ht="21.95" customHeight="1" s="574">
      <c r="A297" s="156">
        <f>IF(分析!C297&lt;&gt;"",ROW()-2,"")</f>
        <v/>
      </c>
      <c r="B297" s="157">
        <f>IF(分析!C297&lt;&gt;"",HYPERLINK("https://kabutan.jp/stock/?code="&amp;分析!C297,"株探"),"")</f>
        <v/>
      </c>
      <c r="C297" s="603">
        <f>IF(分析!C297&lt;&gt;"",分析!C297,"")</f>
        <v/>
      </c>
      <c r="D297" s="159">
        <f>IF(分析!D297&lt;&gt;"",分析!D297,"")</f>
        <v/>
      </c>
      <c r="E297" s="160">
        <f>IF(分析!E297&lt;&gt;"",分析!E297,"")</f>
        <v/>
      </c>
      <c r="F297" s="161">
        <f>IF(分析!F297&lt;&gt;"",分析!F297,"")</f>
        <v/>
      </c>
      <c r="G297" s="161">
        <f>IF(分析!H297&lt;&gt;"",分析!H297,"")</f>
        <v/>
      </c>
      <c r="H297" s="161">
        <f>IF(分析!I297&lt;&gt;"",分析!I297,"")</f>
        <v/>
      </c>
      <c r="I297" s="161">
        <f>IF(分析!J297&lt;&gt;"",分析!J297,"")</f>
        <v/>
      </c>
      <c r="J297" s="161">
        <f>IF(分析!AB297&lt;&gt;"",分析!AB297,"")</f>
        <v/>
      </c>
      <c r="K297" s="161">
        <f>IF(分析!AC297&lt;&gt;"",分析!AC297,"")</f>
        <v/>
      </c>
      <c r="L297" s="161">
        <f>IF(分析!K297&lt;&gt;"",分析!K297,"")</f>
        <v/>
      </c>
      <c r="M297" s="156">
        <f>IF(分析!P297&lt;&gt;"",分析!P297,"")</f>
        <v/>
      </c>
      <c r="N297" s="604">
        <f>IF(分析!O297&lt;&gt;"",分析!O297,"")</f>
        <v/>
      </c>
      <c r="O297" s="163">
        <f>IF(分析!X297&lt;&gt;"",分析!X297,"")</f>
        <v/>
      </c>
      <c r="P297" s="605">
        <f>IF(分析!L297&lt;&gt;"",分析!L297,"")</f>
        <v/>
      </c>
      <c r="Q297" s="161">
        <f>IF(分析!S297&lt;&gt;"",分析!S297,"")</f>
        <v/>
      </c>
      <c r="R297" s="161">
        <f>IF(分析!R297&lt;&gt;"",分析!R297,"")</f>
        <v/>
      </c>
      <c r="S297" s="156">
        <f>IF(分析!AA297&lt;&gt;"",分析!AA297,"")</f>
        <v/>
      </c>
      <c r="T297" s="606">
        <f>IF(分析!Z297&lt;&gt;"",分析!Z297,"")</f>
        <v/>
      </c>
      <c r="U297" s="156">
        <f>IF(分析!V297&lt;&gt;"",分析!V297,"")</f>
        <v/>
      </c>
      <c r="V297" s="607">
        <f>IF(分析!W297&lt;&gt;"",分析!W297,"")</f>
        <v/>
      </c>
      <c r="W297" s="167">
        <f>IF(分析!AD297&lt;&gt;"",分析!AD297,"")</f>
        <v/>
      </c>
      <c r="X297" s="168">
        <f>IF(分析!AE297&lt;&gt;"",分析!AE297,"")</f>
        <v/>
      </c>
      <c r="Y297" s="169">
        <f>IF(分析!T297&lt;&gt;"",分析!T297,"")</f>
        <v/>
      </c>
      <c r="Z297" s="155">
        <f>IF(分析!Y297&lt;&gt;"",分析!Y297,"")</f>
        <v/>
      </c>
    </row>
    <row r="298" ht="21.95" customHeight="1" s="574">
      <c r="A298" s="141">
        <f>IF(分析!C298&lt;&gt;"",ROW()-2,"")</f>
        <v/>
      </c>
      <c r="B298" s="142">
        <f>IF(分析!C298&lt;&gt;"",HYPERLINK("https://kabutan.jp/stock/?code="&amp;分析!C298,"株探"),"")</f>
        <v/>
      </c>
      <c r="C298" s="598">
        <f>IF(分析!C298&lt;&gt;"",分析!C298,"")</f>
        <v/>
      </c>
      <c r="D298" s="144">
        <f>IF(分析!D298&lt;&gt;"",分析!D298,"")</f>
        <v/>
      </c>
      <c r="E298" s="145">
        <f>IF(分析!E298&lt;&gt;"",分析!E298,"")</f>
        <v/>
      </c>
      <c r="F298" s="146">
        <f>IF(分析!F298&lt;&gt;"",分析!F298,"")</f>
        <v/>
      </c>
      <c r="G298" s="146">
        <f>IF(分析!H298&lt;&gt;"",分析!H298,"")</f>
        <v/>
      </c>
      <c r="H298" s="146">
        <f>IF(分析!I298&lt;&gt;"",分析!I298,"")</f>
        <v/>
      </c>
      <c r="I298" s="146">
        <f>IF(分析!J298&lt;&gt;"",分析!J298,"")</f>
        <v/>
      </c>
      <c r="J298" s="146">
        <f>IF(分析!AB298&lt;&gt;"",分析!AB298,"")</f>
        <v/>
      </c>
      <c r="K298" s="146">
        <f>IF(分析!AC298&lt;&gt;"",分析!AC298,"")</f>
        <v/>
      </c>
      <c r="L298" s="146">
        <f>IF(分析!K298&lt;&gt;"",分析!K298,"")</f>
        <v/>
      </c>
      <c r="M298" s="141">
        <f>IF(分析!P298&lt;&gt;"",分析!P298,"")</f>
        <v/>
      </c>
      <c r="N298" s="599">
        <f>IF(分析!O298&lt;&gt;"",分析!O298,"")</f>
        <v/>
      </c>
      <c r="O298" s="148">
        <f>IF(分析!X298&lt;&gt;"",分析!X298,"")</f>
        <v/>
      </c>
      <c r="P298" s="600">
        <f>IF(分析!L298&lt;&gt;"",分析!L298,"")</f>
        <v/>
      </c>
      <c r="Q298" s="146">
        <f>IF(分析!S298&lt;&gt;"",分析!S298,"")</f>
        <v/>
      </c>
      <c r="R298" s="146">
        <f>IF(分析!R298&lt;&gt;"",分析!R298,"")</f>
        <v/>
      </c>
      <c r="S298" s="141">
        <f>IF(分析!AA298&lt;&gt;"",分析!AA298,"")</f>
        <v/>
      </c>
      <c r="T298" s="601">
        <f>IF(分析!Z298&lt;&gt;"",分析!Z298,"")</f>
        <v/>
      </c>
      <c r="U298" s="141">
        <f>IF(分析!V298&lt;&gt;"",分析!V298,"")</f>
        <v/>
      </c>
      <c r="V298" s="602">
        <f>IF(分析!W298&lt;&gt;"",分析!W298,"")</f>
        <v/>
      </c>
      <c r="W298" s="152">
        <f>IF(分析!AD298&lt;&gt;"",分析!AD298,"")</f>
        <v/>
      </c>
      <c r="X298" s="153">
        <f>IF(分析!AE298&lt;&gt;"",分析!AE298,"")</f>
        <v/>
      </c>
      <c r="Y298" s="154">
        <f>IF(分析!T298&lt;&gt;"",分析!T298,"")</f>
        <v/>
      </c>
      <c r="Z298" s="155">
        <f>IF(分析!Y298&lt;&gt;"",分析!Y298,"")</f>
        <v/>
      </c>
    </row>
    <row r="299" ht="21.95" customHeight="1" s="574">
      <c r="A299" s="156">
        <f>IF(分析!C299&lt;&gt;"",ROW()-2,"")</f>
        <v/>
      </c>
      <c r="B299" s="157">
        <f>IF(分析!C299&lt;&gt;"",HYPERLINK("https://kabutan.jp/stock/?code="&amp;分析!C299,"株探"),"")</f>
        <v/>
      </c>
      <c r="C299" s="603">
        <f>IF(分析!C299&lt;&gt;"",分析!C299,"")</f>
        <v/>
      </c>
      <c r="D299" s="159">
        <f>IF(分析!D299&lt;&gt;"",分析!D299,"")</f>
        <v/>
      </c>
      <c r="E299" s="160">
        <f>IF(分析!E299&lt;&gt;"",分析!E299,"")</f>
        <v/>
      </c>
      <c r="F299" s="161">
        <f>IF(分析!F299&lt;&gt;"",分析!F299,"")</f>
        <v/>
      </c>
      <c r="G299" s="161">
        <f>IF(分析!H299&lt;&gt;"",分析!H299,"")</f>
        <v/>
      </c>
      <c r="H299" s="161">
        <f>IF(分析!I299&lt;&gt;"",分析!I299,"")</f>
        <v/>
      </c>
      <c r="I299" s="161">
        <f>IF(分析!J299&lt;&gt;"",分析!J299,"")</f>
        <v/>
      </c>
      <c r="J299" s="161">
        <f>IF(分析!AB299&lt;&gt;"",分析!AB299,"")</f>
        <v/>
      </c>
      <c r="K299" s="161">
        <f>IF(分析!AC299&lt;&gt;"",分析!AC299,"")</f>
        <v/>
      </c>
      <c r="L299" s="161">
        <f>IF(分析!K299&lt;&gt;"",分析!K299,"")</f>
        <v/>
      </c>
      <c r="M299" s="156">
        <f>IF(分析!P299&lt;&gt;"",分析!P299,"")</f>
        <v/>
      </c>
      <c r="N299" s="604">
        <f>IF(分析!O299&lt;&gt;"",分析!O299,"")</f>
        <v/>
      </c>
      <c r="O299" s="163">
        <f>IF(分析!X299&lt;&gt;"",分析!X299,"")</f>
        <v/>
      </c>
      <c r="P299" s="605">
        <f>IF(分析!L299&lt;&gt;"",分析!L299,"")</f>
        <v/>
      </c>
      <c r="Q299" s="161">
        <f>IF(分析!S299&lt;&gt;"",分析!S299,"")</f>
        <v/>
      </c>
      <c r="R299" s="161">
        <f>IF(分析!R299&lt;&gt;"",分析!R299,"")</f>
        <v/>
      </c>
      <c r="S299" s="156">
        <f>IF(分析!AA299&lt;&gt;"",分析!AA299,"")</f>
        <v/>
      </c>
      <c r="T299" s="606">
        <f>IF(分析!Z299&lt;&gt;"",分析!Z299,"")</f>
        <v/>
      </c>
      <c r="U299" s="156">
        <f>IF(分析!V299&lt;&gt;"",分析!V299,"")</f>
        <v/>
      </c>
      <c r="V299" s="607">
        <f>IF(分析!W299&lt;&gt;"",分析!W299,"")</f>
        <v/>
      </c>
      <c r="W299" s="167">
        <f>IF(分析!AD299&lt;&gt;"",分析!AD299,"")</f>
        <v/>
      </c>
      <c r="X299" s="168">
        <f>IF(分析!AE299&lt;&gt;"",分析!AE299,"")</f>
        <v/>
      </c>
      <c r="Y299" s="169">
        <f>IF(分析!T299&lt;&gt;"",分析!T299,"")</f>
        <v/>
      </c>
      <c r="Z299" s="155">
        <f>IF(分析!Y299&lt;&gt;"",分析!Y299,"")</f>
        <v/>
      </c>
    </row>
    <row r="300" ht="21.95" customHeight="1" s="574">
      <c r="A300" s="141">
        <f>IF(分析!C300&lt;&gt;"",ROW()-2,"")</f>
        <v/>
      </c>
      <c r="B300" s="142">
        <f>IF(分析!C300&lt;&gt;"",HYPERLINK("https://kabutan.jp/stock/?code="&amp;分析!C300,"株探"),"")</f>
        <v/>
      </c>
      <c r="C300" s="598">
        <f>IF(分析!C300&lt;&gt;"",分析!C300,"")</f>
        <v/>
      </c>
      <c r="D300" s="144">
        <f>IF(分析!D300&lt;&gt;"",分析!D300,"")</f>
        <v/>
      </c>
      <c r="E300" s="145">
        <f>IF(分析!E300&lt;&gt;"",分析!E300,"")</f>
        <v/>
      </c>
      <c r="F300" s="146">
        <f>IF(分析!F300&lt;&gt;"",分析!F300,"")</f>
        <v/>
      </c>
      <c r="G300" s="146">
        <f>IF(分析!H300&lt;&gt;"",分析!H300,"")</f>
        <v/>
      </c>
      <c r="H300" s="146">
        <f>IF(分析!I300&lt;&gt;"",分析!I300,"")</f>
        <v/>
      </c>
      <c r="I300" s="146">
        <f>IF(分析!J300&lt;&gt;"",分析!J300,"")</f>
        <v/>
      </c>
      <c r="J300" s="146">
        <f>IF(分析!AB300&lt;&gt;"",分析!AB300,"")</f>
        <v/>
      </c>
      <c r="K300" s="146">
        <f>IF(分析!AC300&lt;&gt;"",分析!AC300,"")</f>
        <v/>
      </c>
      <c r="L300" s="146">
        <f>IF(分析!K300&lt;&gt;"",分析!K300,"")</f>
        <v/>
      </c>
      <c r="M300" s="141">
        <f>IF(分析!P300&lt;&gt;"",分析!P300,"")</f>
        <v/>
      </c>
      <c r="N300" s="599">
        <f>IF(分析!O300&lt;&gt;"",分析!O300,"")</f>
        <v/>
      </c>
      <c r="O300" s="148">
        <f>IF(分析!X300&lt;&gt;"",分析!X300,"")</f>
        <v/>
      </c>
      <c r="P300" s="600">
        <f>IF(分析!L300&lt;&gt;"",分析!L300,"")</f>
        <v/>
      </c>
      <c r="Q300" s="146">
        <f>IF(分析!S300&lt;&gt;"",分析!S300,"")</f>
        <v/>
      </c>
      <c r="R300" s="146">
        <f>IF(分析!R300&lt;&gt;"",分析!R300,"")</f>
        <v/>
      </c>
      <c r="S300" s="141">
        <f>IF(分析!AA300&lt;&gt;"",分析!AA300,"")</f>
        <v/>
      </c>
      <c r="T300" s="601">
        <f>IF(分析!Z300&lt;&gt;"",分析!Z300,"")</f>
        <v/>
      </c>
      <c r="U300" s="141">
        <f>IF(分析!V300&lt;&gt;"",分析!V300,"")</f>
        <v/>
      </c>
      <c r="V300" s="602">
        <f>IF(分析!W300&lt;&gt;"",分析!W300,"")</f>
        <v/>
      </c>
      <c r="W300" s="152">
        <f>IF(分析!AD300&lt;&gt;"",分析!AD300,"")</f>
        <v/>
      </c>
      <c r="X300" s="153">
        <f>IF(分析!AE300&lt;&gt;"",分析!AE300,"")</f>
        <v/>
      </c>
      <c r="Y300" s="154">
        <f>IF(分析!T300&lt;&gt;"",分析!T300,"")</f>
        <v/>
      </c>
      <c r="Z300" s="155">
        <f>IF(分析!Y300&lt;&gt;"",分析!Y300,"")</f>
        <v/>
      </c>
    </row>
    <row r="301" ht="21.95" customHeight="1" s="574">
      <c r="A301" s="156">
        <f>IF(分析!C301&lt;&gt;"",ROW()-2,"")</f>
        <v/>
      </c>
      <c r="B301" s="157">
        <f>IF(分析!C301&lt;&gt;"",HYPERLINK("https://kabutan.jp/stock/?code="&amp;分析!C301,"株探"),"")</f>
        <v/>
      </c>
      <c r="C301" s="603">
        <f>IF(分析!C301&lt;&gt;"",分析!C301,"")</f>
        <v/>
      </c>
      <c r="D301" s="159">
        <f>IF(分析!D301&lt;&gt;"",分析!D301,"")</f>
        <v/>
      </c>
      <c r="E301" s="160">
        <f>IF(分析!E301&lt;&gt;"",分析!E301,"")</f>
        <v/>
      </c>
      <c r="F301" s="161">
        <f>IF(分析!F301&lt;&gt;"",分析!F301,"")</f>
        <v/>
      </c>
      <c r="G301" s="161">
        <f>IF(分析!H301&lt;&gt;"",分析!H301,"")</f>
        <v/>
      </c>
      <c r="H301" s="161">
        <f>IF(分析!I301&lt;&gt;"",分析!I301,"")</f>
        <v/>
      </c>
      <c r="I301" s="161">
        <f>IF(分析!J301&lt;&gt;"",分析!J301,"")</f>
        <v/>
      </c>
      <c r="J301" s="161">
        <f>IF(分析!AB301&lt;&gt;"",分析!AB301,"")</f>
        <v/>
      </c>
      <c r="K301" s="161">
        <f>IF(分析!AC301&lt;&gt;"",分析!AC301,"")</f>
        <v/>
      </c>
      <c r="L301" s="161">
        <f>IF(分析!K301&lt;&gt;"",分析!K301,"")</f>
        <v/>
      </c>
      <c r="M301" s="156">
        <f>IF(分析!P301&lt;&gt;"",分析!P301,"")</f>
        <v/>
      </c>
      <c r="N301" s="604">
        <f>IF(分析!O301&lt;&gt;"",分析!O301,"")</f>
        <v/>
      </c>
      <c r="O301" s="163">
        <f>IF(分析!X301&lt;&gt;"",分析!X301,"")</f>
        <v/>
      </c>
      <c r="P301" s="605">
        <f>IF(分析!L301&lt;&gt;"",分析!L301,"")</f>
        <v/>
      </c>
      <c r="Q301" s="161">
        <f>IF(分析!S301&lt;&gt;"",分析!S301,"")</f>
        <v/>
      </c>
      <c r="R301" s="161">
        <f>IF(分析!R301&lt;&gt;"",分析!R301,"")</f>
        <v/>
      </c>
      <c r="S301" s="156">
        <f>IF(分析!AA301&lt;&gt;"",分析!AA301,"")</f>
        <v/>
      </c>
      <c r="T301" s="606">
        <f>IF(分析!Z301&lt;&gt;"",分析!Z301,"")</f>
        <v/>
      </c>
      <c r="U301" s="156">
        <f>IF(分析!V301&lt;&gt;"",分析!V301,"")</f>
        <v/>
      </c>
      <c r="V301" s="607">
        <f>IF(分析!W301&lt;&gt;"",分析!W301,"")</f>
        <v/>
      </c>
      <c r="W301" s="167">
        <f>IF(分析!AD301&lt;&gt;"",分析!AD301,"")</f>
        <v/>
      </c>
      <c r="X301" s="168">
        <f>IF(分析!AE301&lt;&gt;"",分析!AE301,"")</f>
        <v/>
      </c>
      <c r="Y301" s="169">
        <f>IF(分析!T301&lt;&gt;"",分析!T301,"")</f>
        <v/>
      </c>
      <c r="Z301" s="155">
        <f>IF(分析!Y301&lt;&gt;"",分析!Y301,"")</f>
        <v/>
      </c>
    </row>
    <row r="302" ht="21.95" customHeight="1" s="574">
      <c r="A302" s="141">
        <f>IF(分析!C302&lt;&gt;"",ROW()-2,"")</f>
        <v/>
      </c>
      <c r="B302" s="142">
        <f>IF(分析!C302&lt;&gt;"",HYPERLINK("https://kabutan.jp/stock/?code="&amp;分析!C302,"株探"),"")</f>
        <v/>
      </c>
      <c r="C302" s="598">
        <f>IF(分析!C302&lt;&gt;"",分析!C302,"")</f>
        <v/>
      </c>
      <c r="D302" s="144">
        <f>IF(分析!D302&lt;&gt;"",分析!D302,"")</f>
        <v/>
      </c>
      <c r="E302" s="145">
        <f>IF(分析!E302&lt;&gt;"",分析!E302,"")</f>
        <v/>
      </c>
      <c r="F302" s="146">
        <f>IF(分析!F302&lt;&gt;"",分析!F302,"")</f>
        <v/>
      </c>
      <c r="G302" s="146">
        <f>IF(分析!H302&lt;&gt;"",分析!H302,"")</f>
        <v/>
      </c>
      <c r="H302" s="146">
        <f>IF(分析!I302&lt;&gt;"",分析!I302,"")</f>
        <v/>
      </c>
      <c r="I302" s="146">
        <f>IF(分析!J302&lt;&gt;"",分析!J302,"")</f>
        <v/>
      </c>
      <c r="J302" s="146">
        <f>IF(分析!AB302&lt;&gt;"",分析!AB302,"")</f>
        <v/>
      </c>
      <c r="K302" s="146">
        <f>IF(分析!AC302&lt;&gt;"",分析!AC302,"")</f>
        <v/>
      </c>
      <c r="L302" s="146">
        <f>IF(分析!K302&lt;&gt;"",分析!K302,"")</f>
        <v/>
      </c>
      <c r="M302" s="141">
        <f>IF(分析!P302&lt;&gt;"",分析!P302,"")</f>
        <v/>
      </c>
      <c r="N302" s="599">
        <f>IF(分析!O302&lt;&gt;"",分析!O302,"")</f>
        <v/>
      </c>
      <c r="O302" s="148">
        <f>IF(分析!X302&lt;&gt;"",分析!X302,"")</f>
        <v/>
      </c>
      <c r="P302" s="600">
        <f>IF(分析!L302&lt;&gt;"",分析!L302,"")</f>
        <v/>
      </c>
      <c r="Q302" s="146">
        <f>IF(分析!S302&lt;&gt;"",分析!S302,"")</f>
        <v/>
      </c>
      <c r="R302" s="146">
        <f>IF(分析!R302&lt;&gt;"",分析!R302,"")</f>
        <v/>
      </c>
      <c r="S302" s="141">
        <f>IF(分析!AA302&lt;&gt;"",分析!AA302,"")</f>
        <v/>
      </c>
      <c r="T302" s="601">
        <f>IF(分析!Z302&lt;&gt;"",分析!Z302,"")</f>
        <v/>
      </c>
      <c r="U302" s="141">
        <f>IF(分析!V302&lt;&gt;"",分析!V302,"")</f>
        <v/>
      </c>
      <c r="V302" s="602">
        <f>IF(分析!W302&lt;&gt;"",分析!W302,"")</f>
        <v/>
      </c>
      <c r="W302" s="152">
        <f>IF(分析!AD302&lt;&gt;"",分析!AD302,"")</f>
        <v/>
      </c>
      <c r="X302" s="153">
        <f>IF(分析!AE302&lt;&gt;"",分析!AE302,"")</f>
        <v/>
      </c>
      <c r="Y302" s="154">
        <f>IF(分析!T302&lt;&gt;"",分析!T302,"")</f>
        <v/>
      </c>
      <c r="Z302" s="155">
        <f>IF(分析!Y302&lt;&gt;"",分析!Y302,"")</f>
        <v/>
      </c>
    </row>
    <row r="303" ht="21.95" customHeight="1" s="574">
      <c r="A303" s="156">
        <f>IF(分析!C303&lt;&gt;"",ROW()-2,"")</f>
        <v/>
      </c>
      <c r="B303" s="157">
        <f>IF(分析!C303&lt;&gt;"",HYPERLINK("https://kabutan.jp/stock/?code="&amp;分析!C303,"株探"),"")</f>
        <v/>
      </c>
      <c r="C303" s="603">
        <f>IF(分析!C303&lt;&gt;"",分析!C303,"")</f>
        <v/>
      </c>
      <c r="D303" s="159">
        <f>IF(分析!D303&lt;&gt;"",分析!D303,"")</f>
        <v/>
      </c>
      <c r="E303" s="160">
        <f>IF(分析!E303&lt;&gt;"",分析!E303,"")</f>
        <v/>
      </c>
      <c r="F303" s="161">
        <f>IF(分析!F303&lt;&gt;"",分析!F303,"")</f>
        <v/>
      </c>
      <c r="G303" s="161">
        <f>IF(分析!H303&lt;&gt;"",分析!H303,"")</f>
        <v/>
      </c>
      <c r="H303" s="161">
        <f>IF(分析!I303&lt;&gt;"",分析!I303,"")</f>
        <v/>
      </c>
      <c r="I303" s="161">
        <f>IF(分析!J303&lt;&gt;"",分析!J303,"")</f>
        <v/>
      </c>
      <c r="J303" s="161">
        <f>IF(分析!AB303&lt;&gt;"",分析!AB303,"")</f>
        <v/>
      </c>
      <c r="K303" s="161">
        <f>IF(分析!AC303&lt;&gt;"",分析!AC303,"")</f>
        <v/>
      </c>
      <c r="L303" s="161">
        <f>IF(分析!K303&lt;&gt;"",分析!K303,"")</f>
        <v/>
      </c>
      <c r="M303" s="156">
        <f>IF(分析!P303&lt;&gt;"",分析!P303,"")</f>
        <v/>
      </c>
      <c r="N303" s="604">
        <f>IF(分析!O303&lt;&gt;"",分析!O303,"")</f>
        <v/>
      </c>
      <c r="O303" s="163">
        <f>IF(分析!X303&lt;&gt;"",分析!X303,"")</f>
        <v/>
      </c>
      <c r="P303" s="605">
        <f>IF(分析!L303&lt;&gt;"",分析!L303,"")</f>
        <v/>
      </c>
      <c r="Q303" s="161">
        <f>IF(分析!S303&lt;&gt;"",分析!S303,"")</f>
        <v/>
      </c>
      <c r="R303" s="161">
        <f>IF(分析!R303&lt;&gt;"",分析!R303,"")</f>
        <v/>
      </c>
      <c r="S303" s="156">
        <f>IF(分析!AA303&lt;&gt;"",分析!AA303,"")</f>
        <v/>
      </c>
      <c r="T303" s="606">
        <f>IF(分析!Z303&lt;&gt;"",分析!Z303,"")</f>
        <v/>
      </c>
      <c r="U303" s="156">
        <f>IF(分析!V303&lt;&gt;"",分析!V303,"")</f>
        <v/>
      </c>
      <c r="V303" s="607">
        <f>IF(分析!W303&lt;&gt;"",分析!W303,"")</f>
        <v/>
      </c>
      <c r="W303" s="167">
        <f>IF(分析!AD303&lt;&gt;"",分析!AD303,"")</f>
        <v/>
      </c>
      <c r="X303" s="168">
        <f>IF(分析!AE303&lt;&gt;"",分析!AE303,"")</f>
        <v/>
      </c>
      <c r="Y303" s="169">
        <f>IF(分析!T303&lt;&gt;"",分析!T303,"")</f>
        <v/>
      </c>
      <c r="Z303" s="155">
        <f>IF(分析!Y303&lt;&gt;"",分析!Y303,"")</f>
        <v/>
      </c>
    </row>
    <row r="304" ht="21.95" customHeight="1" s="574">
      <c r="A304" s="141">
        <f>IF(分析!C304&lt;&gt;"",ROW()-2,"")</f>
        <v/>
      </c>
      <c r="B304" s="142">
        <f>IF(分析!C304&lt;&gt;"",HYPERLINK("https://kabutan.jp/stock/?code="&amp;分析!C304,"株探"),"")</f>
        <v/>
      </c>
      <c r="C304" s="598">
        <f>IF(分析!C304&lt;&gt;"",分析!C304,"")</f>
        <v/>
      </c>
      <c r="D304" s="144">
        <f>IF(分析!D304&lt;&gt;"",分析!D304,"")</f>
        <v/>
      </c>
      <c r="E304" s="145">
        <f>IF(分析!E304&lt;&gt;"",分析!E304,"")</f>
        <v/>
      </c>
      <c r="F304" s="146">
        <f>IF(分析!F304&lt;&gt;"",分析!F304,"")</f>
        <v/>
      </c>
      <c r="G304" s="146">
        <f>IF(分析!H304&lt;&gt;"",分析!H304,"")</f>
        <v/>
      </c>
      <c r="H304" s="146">
        <f>IF(分析!I304&lt;&gt;"",分析!I304,"")</f>
        <v/>
      </c>
      <c r="I304" s="146">
        <f>IF(分析!J304&lt;&gt;"",分析!J304,"")</f>
        <v/>
      </c>
      <c r="J304" s="146">
        <f>IF(分析!AB304&lt;&gt;"",分析!AB304,"")</f>
        <v/>
      </c>
      <c r="K304" s="146">
        <f>IF(分析!AC304&lt;&gt;"",分析!AC304,"")</f>
        <v/>
      </c>
      <c r="L304" s="146">
        <f>IF(分析!K304&lt;&gt;"",分析!K304,"")</f>
        <v/>
      </c>
      <c r="M304" s="141">
        <f>IF(分析!P304&lt;&gt;"",分析!P304,"")</f>
        <v/>
      </c>
      <c r="N304" s="599">
        <f>IF(分析!O304&lt;&gt;"",分析!O304,"")</f>
        <v/>
      </c>
      <c r="O304" s="148">
        <f>IF(分析!X304&lt;&gt;"",分析!X304,"")</f>
        <v/>
      </c>
      <c r="P304" s="600">
        <f>IF(分析!L304&lt;&gt;"",分析!L304,"")</f>
        <v/>
      </c>
      <c r="Q304" s="146">
        <f>IF(分析!S304&lt;&gt;"",分析!S304,"")</f>
        <v/>
      </c>
      <c r="R304" s="146">
        <f>IF(分析!R304&lt;&gt;"",分析!R304,"")</f>
        <v/>
      </c>
      <c r="S304" s="141">
        <f>IF(分析!AA304&lt;&gt;"",分析!AA304,"")</f>
        <v/>
      </c>
      <c r="T304" s="601">
        <f>IF(分析!Z304&lt;&gt;"",分析!Z304,"")</f>
        <v/>
      </c>
      <c r="U304" s="141">
        <f>IF(分析!V304&lt;&gt;"",分析!V304,"")</f>
        <v/>
      </c>
      <c r="V304" s="602">
        <f>IF(分析!W304&lt;&gt;"",分析!W304,"")</f>
        <v/>
      </c>
      <c r="W304" s="152">
        <f>IF(分析!AD304&lt;&gt;"",分析!AD304,"")</f>
        <v/>
      </c>
      <c r="X304" s="153">
        <f>IF(分析!AE304&lt;&gt;"",分析!AE304,"")</f>
        <v/>
      </c>
      <c r="Y304" s="154">
        <f>IF(分析!T304&lt;&gt;"",分析!T304,"")</f>
        <v/>
      </c>
      <c r="Z304" s="155">
        <f>IF(分析!Y304&lt;&gt;"",分析!Y304,"")</f>
        <v/>
      </c>
    </row>
    <row r="305" ht="21.95" customHeight="1" s="574">
      <c r="A305" s="156">
        <f>IF(分析!C305&lt;&gt;"",ROW()-2,"")</f>
        <v/>
      </c>
      <c r="B305" s="157">
        <f>IF(分析!C305&lt;&gt;"",HYPERLINK("https://kabutan.jp/stock/?code="&amp;分析!C305,"株探"),"")</f>
        <v/>
      </c>
      <c r="C305" s="603">
        <f>IF(分析!C305&lt;&gt;"",分析!C305,"")</f>
        <v/>
      </c>
      <c r="D305" s="159">
        <f>IF(分析!D305&lt;&gt;"",分析!D305,"")</f>
        <v/>
      </c>
      <c r="E305" s="160">
        <f>IF(分析!E305&lt;&gt;"",分析!E305,"")</f>
        <v/>
      </c>
      <c r="F305" s="161">
        <f>IF(分析!F305&lt;&gt;"",分析!F305,"")</f>
        <v/>
      </c>
      <c r="G305" s="161">
        <f>IF(分析!H305&lt;&gt;"",分析!H305,"")</f>
        <v/>
      </c>
      <c r="H305" s="161">
        <f>IF(分析!I305&lt;&gt;"",分析!I305,"")</f>
        <v/>
      </c>
      <c r="I305" s="161">
        <f>IF(分析!J305&lt;&gt;"",分析!J305,"")</f>
        <v/>
      </c>
      <c r="J305" s="161">
        <f>IF(分析!AB305&lt;&gt;"",分析!AB305,"")</f>
        <v/>
      </c>
      <c r="K305" s="161">
        <f>IF(分析!AC305&lt;&gt;"",分析!AC305,"")</f>
        <v/>
      </c>
      <c r="L305" s="161">
        <f>IF(分析!K305&lt;&gt;"",分析!K305,"")</f>
        <v/>
      </c>
      <c r="M305" s="156">
        <f>IF(分析!P305&lt;&gt;"",分析!P305,"")</f>
        <v/>
      </c>
      <c r="N305" s="604">
        <f>IF(分析!O305&lt;&gt;"",分析!O305,"")</f>
        <v/>
      </c>
      <c r="O305" s="163">
        <f>IF(分析!X305&lt;&gt;"",分析!X305,"")</f>
        <v/>
      </c>
      <c r="P305" s="605">
        <f>IF(分析!L305&lt;&gt;"",分析!L305,"")</f>
        <v/>
      </c>
      <c r="Q305" s="161">
        <f>IF(分析!S305&lt;&gt;"",分析!S305,"")</f>
        <v/>
      </c>
      <c r="R305" s="161">
        <f>IF(分析!R305&lt;&gt;"",分析!R305,"")</f>
        <v/>
      </c>
      <c r="S305" s="156">
        <f>IF(分析!AA305&lt;&gt;"",分析!AA305,"")</f>
        <v/>
      </c>
      <c r="T305" s="606">
        <f>IF(分析!Z305&lt;&gt;"",分析!Z305,"")</f>
        <v/>
      </c>
      <c r="U305" s="156">
        <f>IF(分析!V305&lt;&gt;"",分析!V305,"")</f>
        <v/>
      </c>
      <c r="V305" s="607">
        <f>IF(分析!W305&lt;&gt;"",分析!W305,"")</f>
        <v/>
      </c>
      <c r="W305" s="167">
        <f>IF(分析!AD305&lt;&gt;"",分析!AD305,"")</f>
        <v/>
      </c>
      <c r="X305" s="168">
        <f>IF(分析!AE305&lt;&gt;"",分析!AE305,"")</f>
        <v/>
      </c>
      <c r="Y305" s="169">
        <f>IF(分析!T305&lt;&gt;"",分析!T305,"")</f>
        <v/>
      </c>
      <c r="Z305" s="155">
        <f>IF(分析!Y305&lt;&gt;"",分析!Y305,"")</f>
        <v/>
      </c>
    </row>
    <row r="306" ht="21.95" customHeight="1" s="574">
      <c r="A306" s="141">
        <f>IF(分析!C306&lt;&gt;"",ROW()-2,"")</f>
        <v/>
      </c>
      <c r="B306" s="142">
        <f>IF(分析!C306&lt;&gt;"",HYPERLINK("https://kabutan.jp/stock/?code="&amp;分析!C306,"株探"),"")</f>
        <v/>
      </c>
      <c r="C306" s="598">
        <f>IF(分析!C306&lt;&gt;"",分析!C306,"")</f>
        <v/>
      </c>
      <c r="D306" s="144">
        <f>IF(分析!D306&lt;&gt;"",分析!D306,"")</f>
        <v/>
      </c>
      <c r="E306" s="145">
        <f>IF(分析!E306&lt;&gt;"",分析!E306,"")</f>
        <v/>
      </c>
      <c r="F306" s="146">
        <f>IF(分析!F306&lt;&gt;"",分析!F306,"")</f>
        <v/>
      </c>
      <c r="G306" s="146">
        <f>IF(分析!H306&lt;&gt;"",分析!H306,"")</f>
        <v/>
      </c>
      <c r="H306" s="146">
        <f>IF(分析!I306&lt;&gt;"",分析!I306,"")</f>
        <v/>
      </c>
      <c r="I306" s="146">
        <f>IF(分析!J306&lt;&gt;"",分析!J306,"")</f>
        <v/>
      </c>
      <c r="J306" s="146">
        <f>IF(分析!AB306&lt;&gt;"",分析!AB306,"")</f>
        <v/>
      </c>
      <c r="K306" s="146">
        <f>IF(分析!AC306&lt;&gt;"",分析!AC306,"")</f>
        <v/>
      </c>
      <c r="L306" s="146">
        <f>IF(分析!K306&lt;&gt;"",分析!K306,"")</f>
        <v/>
      </c>
      <c r="M306" s="141">
        <f>IF(分析!P306&lt;&gt;"",分析!P306,"")</f>
        <v/>
      </c>
      <c r="N306" s="599">
        <f>IF(分析!O306&lt;&gt;"",分析!O306,"")</f>
        <v/>
      </c>
      <c r="O306" s="148">
        <f>IF(分析!X306&lt;&gt;"",分析!X306,"")</f>
        <v/>
      </c>
      <c r="P306" s="600">
        <f>IF(分析!L306&lt;&gt;"",分析!L306,"")</f>
        <v/>
      </c>
      <c r="Q306" s="146">
        <f>IF(分析!S306&lt;&gt;"",分析!S306,"")</f>
        <v/>
      </c>
      <c r="R306" s="146">
        <f>IF(分析!R306&lt;&gt;"",分析!R306,"")</f>
        <v/>
      </c>
      <c r="S306" s="141">
        <f>IF(分析!AA306&lt;&gt;"",分析!AA306,"")</f>
        <v/>
      </c>
      <c r="T306" s="601">
        <f>IF(分析!Z306&lt;&gt;"",分析!Z306,"")</f>
        <v/>
      </c>
      <c r="U306" s="141">
        <f>IF(分析!V306&lt;&gt;"",分析!V306,"")</f>
        <v/>
      </c>
      <c r="V306" s="602">
        <f>IF(分析!W306&lt;&gt;"",分析!W306,"")</f>
        <v/>
      </c>
      <c r="W306" s="152">
        <f>IF(分析!AD306&lt;&gt;"",分析!AD306,"")</f>
        <v/>
      </c>
      <c r="X306" s="153">
        <f>IF(分析!AE306&lt;&gt;"",分析!AE306,"")</f>
        <v/>
      </c>
      <c r="Y306" s="154">
        <f>IF(分析!T306&lt;&gt;"",分析!T306,"")</f>
        <v/>
      </c>
      <c r="Z306" s="155">
        <f>IF(分析!Y306&lt;&gt;"",分析!Y306,"")</f>
        <v/>
      </c>
    </row>
    <row r="307" ht="21.95" customHeight="1" s="574">
      <c r="A307" s="156">
        <f>IF(分析!C307&lt;&gt;"",ROW()-2,"")</f>
        <v/>
      </c>
      <c r="B307" s="157">
        <f>IF(分析!C307&lt;&gt;"",HYPERLINK("https://kabutan.jp/stock/?code="&amp;分析!C307,"株探"),"")</f>
        <v/>
      </c>
      <c r="C307" s="603">
        <f>IF(分析!C307&lt;&gt;"",分析!C307,"")</f>
        <v/>
      </c>
      <c r="D307" s="159">
        <f>IF(分析!D307&lt;&gt;"",分析!D307,"")</f>
        <v/>
      </c>
      <c r="E307" s="160">
        <f>IF(分析!E307&lt;&gt;"",分析!E307,"")</f>
        <v/>
      </c>
      <c r="F307" s="161">
        <f>IF(分析!F307&lt;&gt;"",分析!F307,"")</f>
        <v/>
      </c>
      <c r="G307" s="161">
        <f>IF(分析!H307&lt;&gt;"",分析!H307,"")</f>
        <v/>
      </c>
      <c r="H307" s="161">
        <f>IF(分析!I307&lt;&gt;"",分析!I307,"")</f>
        <v/>
      </c>
      <c r="I307" s="161">
        <f>IF(分析!J307&lt;&gt;"",分析!J307,"")</f>
        <v/>
      </c>
      <c r="J307" s="161">
        <f>IF(分析!AB307&lt;&gt;"",分析!AB307,"")</f>
        <v/>
      </c>
      <c r="K307" s="161">
        <f>IF(分析!AC307&lt;&gt;"",分析!AC307,"")</f>
        <v/>
      </c>
      <c r="L307" s="161">
        <f>IF(分析!K307&lt;&gt;"",分析!K307,"")</f>
        <v/>
      </c>
      <c r="M307" s="156">
        <f>IF(分析!P307&lt;&gt;"",分析!P307,"")</f>
        <v/>
      </c>
      <c r="N307" s="604">
        <f>IF(分析!O307&lt;&gt;"",分析!O307,"")</f>
        <v/>
      </c>
      <c r="O307" s="163">
        <f>IF(分析!X307&lt;&gt;"",分析!X307,"")</f>
        <v/>
      </c>
      <c r="P307" s="605">
        <f>IF(分析!L307&lt;&gt;"",分析!L307,"")</f>
        <v/>
      </c>
      <c r="Q307" s="161">
        <f>IF(分析!S307&lt;&gt;"",分析!S307,"")</f>
        <v/>
      </c>
      <c r="R307" s="161">
        <f>IF(分析!R307&lt;&gt;"",分析!R307,"")</f>
        <v/>
      </c>
      <c r="S307" s="156">
        <f>IF(分析!AA307&lt;&gt;"",分析!AA307,"")</f>
        <v/>
      </c>
      <c r="T307" s="606">
        <f>IF(分析!Z307&lt;&gt;"",分析!Z307,"")</f>
        <v/>
      </c>
      <c r="U307" s="156">
        <f>IF(分析!V307&lt;&gt;"",分析!V307,"")</f>
        <v/>
      </c>
      <c r="V307" s="607">
        <f>IF(分析!W307&lt;&gt;"",分析!W307,"")</f>
        <v/>
      </c>
      <c r="W307" s="167">
        <f>IF(分析!AD307&lt;&gt;"",分析!AD307,"")</f>
        <v/>
      </c>
      <c r="X307" s="168">
        <f>IF(分析!AE307&lt;&gt;"",分析!AE307,"")</f>
        <v/>
      </c>
      <c r="Y307" s="169">
        <f>IF(分析!T307&lt;&gt;"",分析!T307,"")</f>
        <v/>
      </c>
      <c r="Z307" s="155">
        <f>IF(分析!Y307&lt;&gt;"",分析!Y307,"")</f>
        <v/>
      </c>
    </row>
    <row r="308" ht="21.95" customHeight="1" s="574">
      <c r="A308" s="141">
        <f>IF(分析!C308&lt;&gt;"",ROW()-2,"")</f>
        <v/>
      </c>
      <c r="B308" s="142">
        <f>IF(分析!C308&lt;&gt;"",HYPERLINK("https://kabutan.jp/stock/?code="&amp;分析!C308,"株探"),"")</f>
        <v/>
      </c>
      <c r="C308" s="598">
        <f>IF(分析!C308&lt;&gt;"",分析!C308,"")</f>
        <v/>
      </c>
      <c r="D308" s="144">
        <f>IF(分析!D308&lt;&gt;"",分析!D308,"")</f>
        <v/>
      </c>
      <c r="E308" s="145">
        <f>IF(分析!E308&lt;&gt;"",分析!E308,"")</f>
        <v/>
      </c>
      <c r="F308" s="146">
        <f>IF(分析!F308&lt;&gt;"",分析!F308,"")</f>
        <v/>
      </c>
      <c r="G308" s="146">
        <f>IF(分析!H308&lt;&gt;"",分析!H308,"")</f>
        <v/>
      </c>
      <c r="H308" s="146">
        <f>IF(分析!I308&lt;&gt;"",分析!I308,"")</f>
        <v/>
      </c>
      <c r="I308" s="146">
        <f>IF(分析!J308&lt;&gt;"",分析!J308,"")</f>
        <v/>
      </c>
      <c r="J308" s="146">
        <f>IF(分析!AB308&lt;&gt;"",分析!AB308,"")</f>
        <v/>
      </c>
      <c r="K308" s="146">
        <f>IF(分析!AC308&lt;&gt;"",分析!AC308,"")</f>
        <v/>
      </c>
      <c r="L308" s="146">
        <f>IF(分析!K308&lt;&gt;"",分析!K308,"")</f>
        <v/>
      </c>
      <c r="M308" s="141">
        <f>IF(分析!P308&lt;&gt;"",分析!P308,"")</f>
        <v/>
      </c>
      <c r="N308" s="599">
        <f>IF(分析!O308&lt;&gt;"",分析!O308,"")</f>
        <v/>
      </c>
      <c r="O308" s="148">
        <f>IF(分析!X308&lt;&gt;"",分析!X308,"")</f>
        <v/>
      </c>
      <c r="P308" s="600">
        <f>IF(分析!L308&lt;&gt;"",分析!L308,"")</f>
        <v/>
      </c>
      <c r="Q308" s="146">
        <f>IF(分析!S308&lt;&gt;"",分析!S308,"")</f>
        <v/>
      </c>
      <c r="R308" s="146">
        <f>IF(分析!R308&lt;&gt;"",分析!R308,"")</f>
        <v/>
      </c>
      <c r="S308" s="141">
        <f>IF(分析!AA308&lt;&gt;"",分析!AA308,"")</f>
        <v/>
      </c>
      <c r="T308" s="601">
        <f>IF(分析!Z308&lt;&gt;"",分析!Z308,"")</f>
        <v/>
      </c>
      <c r="U308" s="141">
        <f>IF(分析!V308&lt;&gt;"",分析!V308,"")</f>
        <v/>
      </c>
      <c r="V308" s="602">
        <f>IF(分析!W308&lt;&gt;"",分析!W308,"")</f>
        <v/>
      </c>
      <c r="W308" s="152">
        <f>IF(分析!AD308&lt;&gt;"",分析!AD308,"")</f>
        <v/>
      </c>
      <c r="X308" s="153">
        <f>IF(分析!AE308&lt;&gt;"",分析!AE308,"")</f>
        <v/>
      </c>
      <c r="Y308" s="154">
        <f>IF(分析!T308&lt;&gt;"",分析!T308,"")</f>
        <v/>
      </c>
      <c r="Z308" s="155">
        <f>IF(分析!Y308&lt;&gt;"",分析!Y308,"")</f>
        <v/>
      </c>
    </row>
    <row r="309" ht="21.95" customHeight="1" s="574">
      <c r="A309" s="156">
        <f>IF(分析!C309&lt;&gt;"",ROW()-2,"")</f>
        <v/>
      </c>
      <c r="B309" s="157">
        <f>IF(分析!C309&lt;&gt;"",HYPERLINK("https://kabutan.jp/stock/?code="&amp;分析!C309,"株探"),"")</f>
        <v/>
      </c>
      <c r="C309" s="603">
        <f>IF(分析!C309&lt;&gt;"",分析!C309,"")</f>
        <v/>
      </c>
      <c r="D309" s="159">
        <f>IF(分析!D309&lt;&gt;"",分析!D309,"")</f>
        <v/>
      </c>
      <c r="E309" s="160">
        <f>IF(分析!E309&lt;&gt;"",分析!E309,"")</f>
        <v/>
      </c>
      <c r="F309" s="161">
        <f>IF(分析!F309&lt;&gt;"",分析!F309,"")</f>
        <v/>
      </c>
      <c r="G309" s="161">
        <f>IF(分析!H309&lt;&gt;"",分析!H309,"")</f>
        <v/>
      </c>
      <c r="H309" s="161">
        <f>IF(分析!I309&lt;&gt;"",分析!I309,"")</f>
        <v/>
      </c>
      <c r="I309" s="161">
        <f>IF(分析!J309&lt;&gt;"",分析!J309,"")</f>
        <v/>
      </c>
      <c r="J309" s="161">
        <f>IF(分析!AB309&lt;&gt;"",分析!AB309,"")</f>
        <v/>
      </c>
      <c r="K309" s="161">
        <f>IF(分析!AC309&lt;&gt;"",分析!AC309,"")</f>
        <v/>
      </c>
      <c r="L309" s="161">
        <f>IF(分析!K309&lt;&gt;"",分析!K309,"")</f>
        <v/>
      </c>
      <c r="M309" s="156">
        <f>IF(分析!P309&lt;&gt;"",分析!P309,"")</f>
        <v/>
      </c>
      <c r="N309" s="604">
        <f>IF(分析!O309&lt;&gt;"",分析!O309,"")</f>
        <v/>
      </c>
      <c r="O309" s="163">
        <f>IF(分析!X309&lt;&gt;"",分析!X309,"")</f>
        <v/>
      </c>
      <c r="P309" s="605">
        <f>IF(分析!L309&lt;&gt;"",分析!L309,"")</f>
        <v/>
      </c>
      <c r="Q309" s="161">
        <f>IF(分析!S309&lt;&gt;"",分析!S309,"")</f>
        <v/>
      </c>
      <c r="R309" s="161">
        <f>IF(分析!R309&lt;&gt;"",分析!R309,"")</f>
        <v/>
      </c>
      <c r="S309" s="156">
        <f>IF(分析!AA309&lt;&gt;"",分析!AA309,"")</f>
        <v/>
      </c>
      <c r="T309" s="606">
        <f>IF(分析!Z309&lt;&gt;"",分析!Z309,"")</f>
        <v/>
      </c>
      <c r="U309" s="156">
        <f>IF(分析!V309&lt;&gt;"",分析!V309,"")</f>
        <v/>
      </c>
      <c r="V309" s="607">
        <f>IF(分析!W309&lt;&gt;"",分析!W309,"")</f>
        <v/>
      </c>
      <c r="W309" s="167">
        <f>IF(分析!AD309&lt;&gt;"",分析!AD309,"")</f>
        <v/>
      </c>
      <c r="X309" s="168">
        <f>IF(分析!AE309&lt;&gt;"",分析!AE309,"")</f>
        <v/>
      </c>
      <c r="Y309" s="169">
        <f>IF(分析!T309&lt;&gt;"",分析!T309,"")</f>
        <v/>
      </c>
      <c r="Z309" s="155">
        <f>IF(分析!Y309&lt;&gt;"",分析!Y309,"")</f>
        <v/>
      </c>
    </row>
    <row r="310" ht="21.95" customHeight="1" s="574">
      <c r="A310" s="141">
        <f>IF(分析!C310&lt;&gt;"",ROW()-2,"")</f>
        <v/>
      </c>
      <c r="B310" s="142">
        <f>IF(分析!C310&lt;&gt;"",HYPERLINK("https://kabutan.jp/stock/?code="&amp;分析!C310,"株探"),"")</f>
        <v/>
      </c>
      <c r="C310" s="598">
        <f>IF(分析!C310&lt;&gt;"",分析!C310,"")</f>
        <v/>
      </c>
      <c r="D310" s="144">
        <f>IF(分析!D310&lt;&gt;"",分析!D310,"")</f>
        <v/>
      </c>
      <c r="E310" s="145">
        <f>IF(分析!E310&lt;&gt;"",分析!E310,"")</f>
        <v/>
      </c>
      <c r="F310" s="146">
        <f>IF(分析!F310&lt;&gt;"",分析!F310,"")</f>
        <v/>
      </c>
      <c r="G310" s="146">
        <f>IF(分析!H310&lt;&gt;"",分析!H310,"")</f>
        <v/>
      </c>
      <c r="H310" s="146">
        <f>IF(分析!I310&lt;&gt;"",分析!I310,"")</f>
        <v/>
      </c>
      <c r="I310" s="146">
        <f>IF(分析!J310&lt;&gt;"",分析!J310,"")</f>
        <v/>
      </c>
      <c r="J310" s="146">
        <f>IF(分析!AB310&lt;&gt;"",分析!AB310,"")</f>
        <v/>
      </c>
      <c r="K310" s="146">
        <f>IF(分析!AC310&lt;&gt;"",分析!AC310,"")</f>
        <v/>
      </c>
      <c r="L310" s="146">
        <f>IF(分析!K310&lt;&gt;"",分析!K310,"")</f>
        <v/>
      </c>
      <c r="M310" s="141">
        <f>IF(分析!P310&lt;&gt;"",分析!P310,"")</f>
        <v/>
      </c>
      <c r="N310" s="599">
        <f>IF(分析!O310&lt;&gt;"",分析!O310,"")</f>
        <v/>
      </c>
      <c r="O310" s="148">
        <f>IF(分析!X310&lt;&gt;"",分析!X310,"")</f>
        <v/>
      </c>
      <c r="P310" s="600">
        <f>IF(分析!L310&lt;&gt;"",分析!L310,"")</f>
        <v/>
      </c>
      <c r="Q310" s="146">
        <f>IF(分析!S310&lt;&gt;"",分析!S310,"")</f>
        <v/>
      </c>
      <c r="R310" s="146">
        <f>IF(分析!R310&lt;&gt;"",分析!R310,"")</f>
        <v/>
      </c>
      <c r="S310" s="141">
        <f>IF(分析!AA310&lt;&gt;"",分析!AA310,"")</f>
        <v/>
      </c>
      <c r="T310" s="601">
        <f>IF(分析!Z310&lt;&gt;"",分析!Z310,"")</f>
        <v/>
      </c>
      <c r="U310" s="141">
        <f>IF(分析!V310&lt;&gt;"",分析!V310,"")</f>
        <v/>
      </c>
      <c r="V310" s="602">
        <f>IF(分析!W310&lt;&gt;"",分析!W310,"")</f>
        <v/>
      </c>
      <c r="W310" s="152">
        <f>IF(分析!AD310&lt;&gt;"",分析!AD310,"")</f>
        <v/>
      </c>
      <c r="X310" s="153">
        <f>IF(分析!AE310&lt;&gt;"",分析!AE310,"")</f>
        <v/>
      </c>
      <c r="Y310" s="154">
        <f>IF(分析!T310&lt;&gt;"",分析!T310,"")</f>
        <v/>
      </c>
      <c r="Z310" s="155">
        <f>IF(分析!Y310&lt;&gt;"",分析!Y310,"")</f>
        <v/>
      </c>
    </row>
    <row r="311" ht="21.95" customHeight="1" s="574">
      <c r="A311" s="156">
        <f>IF(分析!C311&lt;&gt;"",ROW()-2,"")</f>
        <v/>
      </c>
      <c r="B311" s="157">
        <f>IF(分析!C311&lt;&gt;"",HYPERLINK("https://kabutan.jp/stock/?code="&amp;分析!C311,"株探"),"")</f>
        <v/>
      </c>
      <c r="C311" s="603">
        <f>IF(分析!C311&lt;&gt;"",分析!C311,"")</f>
        <v/>
      </c>
      <c r="D311" s="159">
        <f>IF(分析!D311&lt;&gt;"",分析!D311,"")</f>
        <v/>
      </c>
      <c r="E311" s="160">
        <f>IF(分析!E311&lt;&gt;"",分析!E311,"")</f>
        <v/>
      </c>
      <c r="F311" s="161">
        <f>IF(分析!F311&lt;&gt;"",分析!F311,"")</f>
        <v/>
      </c>
      <c r="G311" s="161">
        <f>IF(分析!H311&lt;&gt;"",分析!H311,"")</f>
        <v/>
      </c>
      <c r="H311" s="161">
        <f>IF(分析!I311&lt;&gt;"",分析!I311,"")</f>
        <v/>
      </c>
      <c r="I311" s="161">
        <f>IF(分析!J311&lt;&gt;"",分析!J311,"")</f>
        <v/>
      </c>
      <c r="J311" s="161">
        <f>IF(分析!AB311&lt;&gt;"",分析!AB311,"")</f>
        <v/>
      </c>
      <c r="K311" s="161">
        <f>IF(分析!AC311&lt;&gt;"",分析!AC311,"")</f>
        <v/>
      </c>
      <c r="L311" s="161">
        <f>IF(分析!K311&lt;&gt;"",分析!K311,"")</f>
        <v/>
      </c>
      <c r="M311" s="156">
        <f>IF(分析!P311&lt;&gt;"",分析!P311,"")</f>
        <v/>
      </c>
      <c r="N311" s="604">
        <f>IF(分析!O311&lt;&gt;"",分析!O311,"")</f>
        <v/>
      </c>
      <c r="O311" s="163">
        <f>IF(分析!X311&lt;&gt;"",分析!X311,"")</f>
        <v/>
      </c>
      <c r="P311" s="605">
        <f>IF(分析!L311&lt;&gt;"",分析!L311,"")</f>
        <v/>
      </c>
      <c r="Q311" s="161">
        <f>IF(分析!S311&lt;&gt;"",分析!S311,"")</f>
        <v/>
      </c>
      <c r="R311" s="161">
        <f>IF(分析!R311&lt;&gt;"",分析!R311,"")</f>
        <v/>
      </c>
      <c r="S311" s="156">
        <f>IF(分析!AA311&lt;&gt;"",分析!AA311,"")</f>
        <v/>
      </c>
      <c r="T311" s="606">
        <f>IF(分析!Z311&lt;&gt;"",分析!Z311,"")</f>
        <v/>
      </c>
      <c r="U311" s="156">
        <f>IF(分析!V311&lt;&gt;"",分析!V311,"")</f>
        <v/>
      </c>
      <c r="V311" s="607">
        <f>IF(分析!W311&lt;&gt;"",分析!W311,"")</f>
        <v/>
      </c>
      <c r="W311" s="167">
        <f>IF(分析!AD311&lt;&gt;"",分析!AD311,"")</f>
        <v/>
      </c>
      <c r="X311" s="168">
        <f>IF(分析!AE311&lt;&gt;"",分析!AE311,"")</f>
        <v/>
      </c>
      <c r="Y311" s="169">
        <f>IF(分析!T311&lt;&gt;"",分析!T311,"")</f>
        <v/>
      </c>
      <c r="Z311" s="155">
        <f>IF(分析!Y311&lt;&gt;"",分析!Y311,"")</f>
        <v/>
      </c>
    </row>
    <row r="312" ht="21.95" customHeight="1" s="574">
      <c r="A312" s="141">
        <f>IF(分析!C312&lt;&gt;"",ROW()-2,"")</f>
        <v/>
      </c>
      <c r="B312" s="142">
        <f>IF(分析!C312&lt;&gt;"",HYPERLINK("https://kabutan.jp/stock/?code="&amp;分析!C312,"株探"),"")</f>
        <v/>
      </c>
      <c r="C312" s="598">
        <f>IF(分析!C312&lt;&gt;"",分析!C312,"")</f>
        <v/>
      </c>
      <c r="D312" s="144">
        <f>IF(分析!D312&lt;&gt;"",分析!D312,"")</f>
        <v/>
      </c>
      <c r="E312" s="145">
        <f>IF(分析!E312&lt;&gt;"",分析!E312,"")</f>
        <v/>
      </c>
      <c r="F312" s="146">
        <f>IF(分析!F312&lt;&gt;"",分析!F312,"")</f>
        <v/>
      </c>
      <c r="G312" s="146">
        <f>IF(分析!H312&lt;&gt;"",分析!H312,"")</f>
        <v/>
      </c>
      <c r="H312" s="146">
        <f>IF(分析!I312&lt;&gt;"",分析!I312,"")</f>
        <v/>
      </c>
      <c r="I312" s="146">
        <f>IF(分析!J312&lt;&gt;"",分析!J312,"")</f>
        <v/>
      </c>
      <c r="J312" s="146">
        <f>IF(分析!AB312&lt;&gt;"",分析!AB312,"")</f>
        <v/>
      </c>
      <c r="K312" s="146">
        <f>IF(分析!AC312&lt;&gt;"",分析!AC312,"")</f>
        <v/>
      </c>
      <c r="L312" s="146">
        <f>IF(分析!K312&lt;&gt;"",分析!K312,"")</f>
        <v/>
      </c>
      <c r="M312" s="141">
        <f>IF(分析!P312&lt;&gt;"",分析!P312,"")</f>
        <v/>
      </c>
      <c r="N312" s="599">
        <f>IF(分析!O312&lt;&gt;"",分析!O312,"")</f>
        <v/>
      </c>
      <c r="O312" s="148">
        <f>IF(分析!X312&lt;&gt;"",分析!X312,"")</f>
        <v/>
      </c>
      <c r="P312" s="600">
        <f>IF(分析!L312&lt;&gt;"",分析!L312,"")</f>
        <v/>
      </c>
      <c r="Q312" s="146">
        <f>IF(分析!S312&lt;&gt;"",分析!S312,"")</f>
        <v/>
      </c>
      <c r="R312" s="146">
        <f>IF(分析!R312&lt;&gt;"",分析!R312,"")</f>
        <v/>
      </c>
      <c r="S312" s="141">
        <f>IF(分析!AA312&lt;&gt;"",分析!AA312,"")</f>
        <v/>
      </c>
      <c r="T312" s="601">
        <f>IF(分析!Z312&lt;&gt;"",分析!Z312,"")</f>
        <v/>
      </c>
      <c r="U312" s="141">
        <f>IF(分析!V312&lt;&gt;"",分析!V312,"")</f>
        <v/>
      </c>
      <c r="V312" s="602">
        <f>IF(分析!W312&lt;&gt;"",分析!W312,"")</f>
        <v/>
      </c>
      <c r="W312" s="152">
        <f>IF(分析!AD312&lt;&gt;"",分析!AD312,"")</f>
        <v/>
      </c>
      <c r="X312" s="153">
        <f>IF(分析!AE312&lt;&gt;"",分析!AE312,"")</f>
        <v/>
      </c>
      <c r="Y312" s="154">
        <f>IF(分析!T312&lt;&gt;"",分析!T312,"")</f>
        <v/>
      </c>
      <c r="Z312" s="155">
        <f>IF(分析!Y312&lt;&gt;"",分析!Y312,"")</f>
        <v/>
      </c>
    </row>
    <row r="313" ht="21.95" customHeight="1" s="574">
      <c r="A313" s="156">
        <f>IF(分析!C313&lt;&gt;"",ROW()-2,"")</f>
        <v/>
      </c>
      <c r="B313" s="157">
        <f>IF(分析!C313&lt;&gt;"",HYPERLINK("https://kabutan.jp/stock/?code="&amp;分析!C313,"株探"),"")</f>
        <v/>
      </c>
      <c r="C313" s="603">
        <f>IF(分析!C313&lt;&gt;"",分析!C313,"")</f>
        <v/>
      </c>
      <c r="D313" s="159">
        <f>IF(分析!D313&lt;&gt;"",分析!D313,"")</f>
        <v/>
      </c>
      <c r="E313" s="160">
        <f>IF(分析!E313&lt;&gt;"",分析!E313,"")</f>
        <v/>
      </c>
      <c r="F313" s="161">
        <f>IF(分析!F313&lt;&gt;"",分析!F313,"")</f>
        <v/>
      </c>
      <c r="G313" s="161">
        <f>IF(分析!H313&lt;&gt;"",分析!H313,"")</f>
        <v/>
      </c>
      <c r="H313" s="161">
        <f>IF(分析!I313&lt;&gt;"",分析!I313,"")</f>
        <v/>
      </c>
      <c r="I313" s="161">
        <f>IF(分析!J313&lt;&gt;"",分析!J313,"")</f>
        <v/>
      </c>
      <c r="J313" s="161">
        <f>IF(分析!AB313&lt;&gt;"",分析!AB313,"")</f>
        <v/>
      </c>
      <c r="K313" s="161">
        <f>IF(分析!AC313&lt;&gt;"",分析!AC313,"")</f>
        <v/>
      </c>
      <c r="L313" s="161">
        <f>IF(分析!K313&lt;&gt;"",分析!K313,"")</f>
        <v/>
      </c>
      <c r="M313" s="156">
        <f>IF(分析!P313&lt;&gt;"",分析!P313,"")</f>
        <v/>
      </c>
      <c r="N313" s="604">
        <f>IF(分析!O313&lt;&gt;"",分析!O313,"")</f>
        <v/>
      </c>
      <c r="O313" s="163">
        <f>IF(分析!X313&lt;&gt;"",分析!X313,"")</f>
        <v/>
      </c>
      <c r="P313" s="605">
        <f>IF(分析!L313&lt;&gt;"",分析!L313,"")</f>
        <v/>
      </c>
      <c r="Q313" s="161">
        <f>IF(分析!S313&lt;&gt;"",分析!S313,"")</f>
        <v/>
      </c>
      <c r="R313" s="161">
        <f>IF(分析!R313&lt;&gt;"",分析!R313,"")</f>
        <v/>
      </c>
      <c r="S313" s="156">
        <f>IF(分析!AA313&lt;&gt;"",分析!AA313,"")</f>
        <v/>
      </c>
      <c r="T313" s="606">
        <f>IF(分析!Z313&lt;&gt;"",分析!Z313,"")</f>
        <v/>
      </c>
      <c r="U313" s="156">
        <f>IF(分析!V313&lt;&gt;"",分析!V313,"")</f>
        <v/>
      </c>
      <c r="V313" s="607">
        <f>IF(分析!W313&lt;&gt;"",分析!W313,"")</f>
        <v/>
      </c>
      <c r="W313" s="167">
        <f>IF(分析!AD313&lt;&gt;"",分析!AD313,"")</f>
        <v/>
      </c>
      <c r="X313" s="168">
        <f>IF(分析!AE313&lt;&gt;"",分析!AE313,"")</f>
        <v/>
      </c>
      <c r="Y313" s="169">
        <f>IF(分析!T313&lt;&gt;"",分析!T313,"")</f>
        <v/>
      </c>
      <c r="Z313" s="155">
        <f>IF(分析!Y313&lt;&gt;"",分析!Y313,"")</f>
        <v/>
      </c>
    </row>
    <row r="314" ht="21.95" customHeight="1" s="574">
      <c r="A314" s="141">
        <f>IF(分析!C314&lt;&gt;"",ROW()-2,"")</f>
        <v/>
      </c>
      <c r="B314" s="142">
        <f>IF(分析!C314&lt;&gt;"",HYPERLINK("https://kabutan.jp/stock/?code="&amp;分析!C314,"株探"),"")</f>
        <v/>
      </c>
      <c r="C314" s="598">
        <f>IF(分析!C314&lt;&gt;"",分析!C314,"")</f>
        <v/>
      </c>
      <c r="D314" s="144">
        <f>IF(分析!D314&lt;&gt;"",分析!D314,"")</f>
        <v/>
      </c>
      <c r="E314" s="145">
        <f>IF(分析!E314&lt;&gt;"",分析!E314,"")</f>
        <v/>
      </c>
      <c r="F314" s="146">
        <f>IF(分析!F314&lt;&gt;"",分析!F314,"")</f>
        <v/>
      </c>
      <c r="G314" s="146">
        <f>IF(分析!H314&lt;&gt;"",分析!H314,"")</f>
        <v/>
      </c>
      <c r="H314" s="146">
        <f>IF(分析!I314&lt;&gt;"",分析!I314,"")</f>
        <v/>
      </c>
      <c r="I314" s="146">
        <f>IF(分析!J314&lt;&gt;"",分析!J314,"")</f>
        <v/>
      </c>
      <c r="J314" s="146">
        <f>IF(分析!AB314&lt;&gt;"",分析!AB314,"")</f>
        <v/>
      </c>
      <c r="K314" s="146">
        <f>IF(分析!AC314&lt;&gt;"",分析!AC314,"")</f>
        <v/>
      </c>
      <c r="L314" s="146">
        <f>IF(分析!K314&lt;&gt;"",分析!K314,"")</f>
        <v/>
      </c>
      <c r="M314" s="141">
        <f>IF(分析!P314&lt;&gt;"",分析!P314,"")</f>
        <v/>
      </c>
      <c r="N314" s="599">
        <f>IF(分析!O314&lt;&gt;"",分析!O314,"")</f>
        <v/>
      </c>
      <c r="O314" s="148">
        <f>IF(分析!X314&lt;&gt;"",分析!X314,"")</f>
        <v/>
      </c>
      <c r="P314" s="600">
        <f>IF(分析!L314&lt;&gt;"",分析!L314,"")</f>
        <v/>
      </c>
      <c r="Q314" s="146">
        <f>IF(分析!S314&lt;&gt;"",分析!S314,"")</f>
        <v/>
      </c>
      <c r="R314" s="146">
        <f>IF(分析!R314&lt;&gt;"",分析!R314,"")</f>
        <v/>
      </c>
      <c r="S314" s="141">
        <f>IF(分析!AA314&lt;&gt;"",分析!AA314,"")</f>
        <v/>
      </c>
      <c r="T314" s="601">
        <f>IF(分析!Z314&lt;&gt;"",分析!Z314,"")</f>
        <v/>
      </c>
      <c r="U314" s="141">
        <f>IF(分析!V314&lt;&gt;"",分析!V314,"")</f>
        <v/>
      </c>
      <c r="V314" s="602">
        <f>IF(分析!W314&lt;&gt;"",分析!W314,"")</f>
        <v/>
      </c>
      <c r="W314" s="152">
        <f>IF(分析!AD314&lt;&gt;"",分析!AD314,"")</f>
        <v/>
      </c>
      <c r="X314" s="153">
        <f>IF(分析!AE314&lt;&gt;"",分析!AE314,"")</f>
        <v/>
      </c>
      <c r="Y314" s="154">
        <f>IF(分析!T314&lt;&gt;"",分析!T314,"")</f>
        <v/>
      </c>
      <c r="Z314" s="155">
        <f>IF(分析!Y314&lt;&gt;"",分析!Y314,"")</f>
        <v/>
      </c>
    </row>
    <row r="315" ht="21.95" customHeight="1" s="574">
      <c r="A315" s="156">
        <f>IF(分析!C315&lt;&gt;"",ROW()-2,"")</f>
        <v/>
      </c>
      <c r="B315" s="157">
        <f>IF(分析!C315&lt;&gt;"",HYPERLINK("https://kabutan.jp/stock/?code="&amp;分析!C315,"株探"),"")</f>
        <v/>
      </c>
      <c r="C315" s="603">
        <f>IF(分析!C315&lt;&gt;"",分析!C315,"")</f>
        <v/>
      </c>
      <c r="D315" s="159">
        <f>IF(分析!D315&lt;&gt;"",分析!D315,"")</f>
        <v/>
      </c>
      <c r="E315" s="160">
        <f>IF(分析!E315&lt;&gt;"",分析!E315,"")</f>
        <v/>
      </c>
      <c r="F315" s="161">
        <f>IF(分析!F315&lt;&gt;"",分析!F315,"")</f>
        <v/>
      </c>
      <c r="G315" s="161">
        <f>IF(分析!H315&lt;&gt;"",分析!H315,"")</f>
        <v/>
      </c>
      <c r="H315" s="161">
        <f>IF(分析!I315&lt;&gt;"",分析!I315,"")</f>
        <v/>
      </c>
      <c r="I315" s="161">
        <f>IF(分析!J315&lt;&gt;"",分析!J315,"")</f>
        <v/>
      </c>
      <c r="J315" s="161">
        <f>IF(分析!AB315&lt;&gt;"",分析!AB315,"")</f>
        <v/>
      </c>
      <c r="K315" s="161">
        <f>IF(分析!AC315&lt;&gt;"",分析!AC315,"")</f>
        <v/>
      </c>
      <c r="L315" s="161">
        <f>IF(分析!K315&lt;&gt;"",分析!K315,"")</f>
        <v/>
      </c>
      <c r="M315" s="156">
        <f>IF(分析!P315&lt;&gt;"",分析!P315,"")</f>
        <v/>
      </c>
      <c r="N315" s="604">
        <f>IF(分析!O315&lt;&gt;"",分析!O315,"")</f>
        <v/>
      </c>
      <c r="O315" s="163">
        <f>IF(分析!X315&lt;&gt;"",分析!X315,"")</f>
        <v/>
      </c>
      <c r="P315" s="605">
        <f>IF(分析!L315&lt;&gt;"",分析!L315,"")</f>
        <v/>
      </c>
      <c r="Q315" s="161">
        <f>IF(分析!S315&lt;&gt;"",分析!S315,"")</f>
        <v/>
      </c>
      <c r="R315" s="161">
        <f>IF(分析!R315&lt;&gt;"",分析!R315,"")</f>
        <v/>
      </c>
      <c r="S315" s="156">
        <f>IF(分析!AA315&lt;&gt;"",分析!AA315,"")</f>
        <v/>
      </c>
      <c r="T315" s="606">
        <f>IF(分析!Z315&lt;&gt;"",分析!Z315,"")</f>
        <v/>
      </c>
      <c r="U315" s="156">
        <f>IF(分析!V315&lt;&gt;"",分析!V315,"")</f>
        <v/>
      </c>
      <c r="V315" s="607">
        <f>IF(分析!W315&lt;&gt;"",分析!W315,"")</f>
        <v/>
      </c>
      <c r="W315" s="167">
        <f>IF(分析!AD315&lt;&gt;"",分析!AD315,"")</f>
        <v/>
      </c>
      <c r="X315" s="168">
        <f>IF(分析!AE315&lt;&gt;"",分析!AE315,"")</f>
        <v/>
      </c>
      <c r="Y315" s="169">
        <f>IF(分析!T315&lt;&gt;"",分析!T315,"")</f>
        <v/>
      </c>
      <c r="Z315" s="155">
        <f>IF(分析!Y315&lt;&gt;"",分析!Y315,"")</f>
        <v/>
      </c>
    </row>
    <row r="316" ht="21.95" customHeight="1" s="574">
      <c r="A316" s="141">
        <f>IF(分析!C316&lt;&gt;"",ROW()-2,"")</f>
        <v/>
      </c>
      <c r="B316" s="142">
        <f>IF(分析!C316&lt;&gt;"",HYPERLINK("https://kabutan.jp/stock/?code="&amp;分析!C316,"株探"),"")</f>
        <v/>
      </c>
      <c r="C316" s="598">
        <f>IF(分析!C316&lt;&gt;"",分析!C316,"")</f>
        <v/>
      </c>
      <c r="D316" s="144">
        <f>IF(分析!D316&lt;&gt;"",分析!D316,"")</f>
        <v/>
      </c>
      <c r="E316" s="145">
        <f>IF(分析!E316&lt;&gt;"",分析!E316,"")</f>
        <v/>
      </c>
      <c r="F316" s="146">
        <f>IF(分析!F316&lt;&gt;"",分析!F316,"")</f>
        <v/>
      </c>
      <c r="G316" s="146">
        <f>IF(分析!H316&lt;&gt;"",分析!H316,"")</f>
        <v/>
      </c>
      <c r="H316" s="146">
        <f>IF(分析!I316&lt;&gt;"",分析!I316,"")</f>
        <v/>
      </c>
      <c r="I316" s="146">
        <f>IF(分析!J316&lt;&gt;"",分析!J316,"")</f>
        <v/>
      </c>
      <c r="J316" s="146">
        <f>IF(分析!AB316&lt;&gt;"",分析!AB316,"")</f>
        <v/>
      </c>
      <c r="K316" s="146">
        <f>IF(分析!AC316&lt;&gt;"",分析!AC316,"")</f>
        <v/>
      </c>
      <c r="L316" s="146">
        <f>IF(分析!K316&lt;&gt;"",分析!K316,"")</f>
        <v/>
      </c>
      <c r="M316" s="141">
        <f>IF(分析!P316&lt;&gt;"",分析!P316,"")</f>
        <v/>
      </c>
      <c r="N316" s="599">
        <f>IF(分析!O316&lt;&gt;"",分析!O316,"")</f>
        <v/>
      </c>
      <c r="O316" s="148">
        <f>IF(分析!X316&lt;&gt;"",分析!X316,"")</f>
        <v/>
      </c>
      <c r="P316" s="600">
        <f>IF(分析!L316&lt;&gt;"",分析!L316,"")</f>
        <v/>
      </c>
      <c r="Q316" s="146">
        <f>IF(分析!S316&lt;&gt;"",分析!S316,"")</f>
        <v/>
      </c>
      <c r="R316" s="146">
        <f>IF(分析!R316&lt;&gt;"",分析!R316,"")</f>
        <v/>
      </c>
      <c r="S316" s="141">
        <f>IF(分析!AA316&lt;&gt;"",分析!AA316,"")</f>
        <v/>
      </c>
      <c r="T316" s="601">
        <f>IF(分析!Z316&lt;&gt;"",分析!Z316,"")</f>
        <v/>
      </c>
      <c r="U316" s="141">
        <f>IF(分析!V316&lt;&gt;"",分析!V316,"")</f>
        <v/>
      </c>
      <c r="V316" s="602">
        <f>IF(分析!W316&lt;&gt;"",分析!W316,"")</f>
        <v/>
      </c>
      <c r="W316" s="152">
        <f>IF(分析!AD316&lt;&gt;"",分析!AD316,"")</f>
        <v/>
      </c>
      <c r="X316" s="153">
        <f>IF(分析!AE316&lt;&gt;"",分析!AE316,"")</f>
        <v/>
      </c>
      <c r="Y316" s="154">
        <f>IF(分析!T316&lt;&gt;"",分析!T316,"")</f>
        <v/>
      </c>
      <c r="Z316" s="155">
        <f>IF(分析!Y316&lt;&gt;"",分析!Y316,"")</f>
        <v/>
      </c>
    </row>
    <row r="317" ht="21.95" customHeight="1" s="574">
      <c r="A317" s="156">
        <f>IF(分析!C317&lt;&gt;"",ROW()-2,"")</f>
        <v/>
      </c>
      <c r="B317" s="157">
        <f>IF(分析!C317&lt;&gt;"",HYPERLINK("https://kabutan.jp/stock/?code="&amp;分析!C317,"株探"),"")</f>
        <v/>
      </c>
      <c r="C317" s="603">
        <f>IF(分析!C317&lt;&gt;"",分析!C317,"")</f>
        <v/>
      </c>
      <c r="D317" s="159">
        <f>IF(分析!D317&lt;&gt;"",分析!D317,"")</f>
        <v/>
      </c>
      <c r="E317" s="160">
        <f>IF(分析!E317&lt;&gt;"",分析!E317,"")</f>
        <v/>
      </c>
      <c r="F317" s="161">
        <f>IF(分析!F317&lt;&gt;"",分析!F317,"")</f>
        <v/>
      </c>
      <c r="G317" s="161">
        <f>IF(分析!H317&lt;&gt;"",分析!H317,"")</f>
        <v/>
      </c>
      <c r="H317" s="161">
        <f>IF(分析!I317&lt;&gt;"",分析!I317,"")</f>
        <v/>
      </c>
      <c r="I317" s="161">
        <f>IF(分析!J317&lt;&gt;"",分析!J317,"")</f>
        <v/>
      </c>
      <c r="J317" s="161">
        <f>IF(分析!AB317&lt;&gt;"",分析!AB317,"")</f>
        <v/>
      </c>
      <c r="K317" s="161">
        <f>IF(分析!AC317&lt;&gt;"",分析!AC317,"")</f>
        <v/>
      </c>
      <c r="L317" s="161">
        <f>IF(分析!K317&lt;&gt;"",分析!K317,"")</f>
        <v/>
      </c>
      <c r="M317" s="156">
        <f>IF(分析!P317&lt;&gt;"",分析!P317,"")</f>
        <v/>
      </c>
      <c r="N317" s="604">
        <f>IF(分析!O317&lt;&gt;"",分析!O317,"")</f>
        <v/>
      </c>
      <c r="O317" s="163">
        <f>IF(分析!X317&lt;&gt;"",分析!X317,"")</f>
        <v/>
      </c>
      <c r="P317" s="605">
        <f>IF(分析!L317&lt;&gt;"",分析!L317,"")</f>
        <v/>
      </c>
      <c r="Q317" s="161">
        <f>IF(分析!S317&lt;&gt;"",分析!S317,"")</f>
        <v/>
      </c>
      <c r="R317" s="161">
        <f>IF(分析!R317&lt;&gt;"",分析!R317,"")</f>
        <v/>
      </c>
      <c r="S317" s="156">
        <f>IF(分析!AA317&lt;&gt;"",分析!AA317,"")</f>
        <v/>
      </c>
      <c r="T317" s="606">
        <f>IF(分析!Z317&lt;&gt;"",分析!Z317,"")</f>
        <v/>
      </c>
      <c r="U317" s="156">
        <f>IF(分析!V317&lt;&gt;"",分析!V317,"")</f>
        <v/>
      </c>
      <c r="V317" s="607">
        <f>IF(分析!W317&lt;&gt;"",分析!W317,"")</f>
        <v/>
      </c>
      <c r="W317" s="167">
        <f>IF(分析!AD317&lt;&gt;"",分析!AD317,"")</f>
        <v/>
      </c>
      <c r="X317" s="168">
        <f>IF(分析!AE317&lt;&gt;"",分析!AE317,"")</f>
        <v/>
      </c>
      <c r="Y317" s="169">
        <f>IF(分析!T317&lt;&gt;"",分析!T317,"")</f>
        <v/>
      </c>
      <c r="Z317" s="155">
        <f>IF(分析!Y317&lt;&gt;"",分析!Y317,"")</f>
        <v/>
      </c>
    </row>
    <row r="318" ht="21.95" customHeight="1" s="574">
      <c r="A318" s="141">
        <f>IF(分析!C318&lt;&gt;"",ROW()-2,"")</f>
        <v/>
      </c>
      <c r="B318" s="142">
        <f>IF(分析!C318&lt;&gt;"",HYPERLINK("https://kabutan.jp/stock/?code="&amp;分析!C318,"株探"),"")</f>
        <v/>
      </c>
      <c r="C318" s="598">
        <f>IF(分析!C318&lt;&gt;"",分析!C318,"")</f>
        <v/>
      </c>
      <c r="D318" s="144">
        <f>IF(分析!D318&lt;&gt;"",分析!D318,"")</f>
        <v/>
      </c>
      <c r="E318" s="145">
        <f>IF(分析!E318&lt;&gt;"",分析!E318,"")</f>
        <v/>
      </c>
      <c r="F318" s="146">
        <f>IF(分析!F318&lt;&gt;"",分析!F318,"")</f>
        <v/>
      </c>
      <c r="G318" s="146">
        <f>IF(分析!H318&lt;&gt;"",分析!H318,"")</f>
        <v/>
      </c>
      <c r="H318" s="146">
        <f>IF(分析!I318&lt;&gt;"",分析!I318,"")</f>
        <v/>
      </c>
      <c r="I318" s="146">
        <f>IF(分析!J318&lt;&gt;"",分析!J318,"")</f>
        <v/>
      </c>
      <c r="J318" s="146">
        <f>IF(分析!AB318&lt;&gt;"",分析!AB318,"")</f>
        <v/>
      </c>
      <c r="K318" s="146">
        <f>IF(分析!AC318&lt;&gt;"",分析!AC318,"")</f>
        <v/>
      </c>
      <c r="L318" s="146">
        <f>IF(分析!K318&lt;&gt;"",分析!K318,"")</f>
        <v/>
      </c>
      <c r="M318" s="141">
        <f>IF(分析!P318&lt;&gt;"",分析!P318,"")</f>
        <v/>
      </c>
      <c r="N318" s="599">
        <f>IF(分析!O318&lt;&gt;"",分析!O318,"")</f>
        <v/>
      </c>
      <c r="O318" s="148">
        <f>IF(分析!X318&lt;&gt;"",分析!X318,"")</f>
        <v/>
      </c>
      <c r="P318" s="600">
        <f>IF(分析!L318&lt;&gt;"",分析!L318,"")</f>
        <v/>
      </c>
      <c r="Q318" s="146">
        <f>IF(分析!S318&lt;&gt;"",分析!S318,"")</f>
        <v/>
      </c>
      <c r="R318" s="146">
        <f>IF(分析!R318&lt;&gt;"",分析!R318,"")</f>
        <v/>
      </c>
      <c r="S318" s="141">
        <f>IF(分析!AA318&lt;&gt;"",分析!AA318,"")</f>
        <v/>
      </c>
      <c r="T318" s="601">
        <f>IF(分析!Z318&lt;&gt;"",分析!Z318,"")</f>
        <v/>
      </c>
      <c r="U318" s="141">
        <f>IF(分析!V318&lt;&gt;"",分析!V318,"")</f>
        <v/>
      </c>
      <c r="V318" s="602">
        <f>IF(分析!W318&lt;&gt;"",分析!W318,"")</f>
        <v/>
      </c>
      <c r="W318" s="152">
        <f>IF(分析!AD318&lt;&gt;"",分析!AD318,"")</f>
        <v/>
      </c>
      <c r="X318" s="153">
        <f>IF(分析!AE318&lt;&gt;"",分析!AE318,"")</f>
        <v/>
      </c>
      <c r="Y318" s="154">
        <f>IF(分析!T318&lt;&gt;"",分析!T318,"")</f>
        <v/>
      </c>
      <c r="Z318" s="155">
        <f>IF(分析!Y318&lt;&gt;"",分析!Y318,"")</f>
        <v/>
      </c>
    </row>
    <row r="319" ht="21.95" customHeight="1" s="574">
      <c r="A319" s="156">
        <f>IF(分析!C319&lt;&gt;"",ROW()-2,"")</f>
        <v/>
      </c>
      <c r="B319" s="157">
        <f>IF(分析!C319&lt;&gt;"",HYPERLINK("https://kabutan.jp/stock/?code="&amp;分析!C319,"株探"),"")</f>
        <v/>
      </c>
      <c r="C319" s="603">
        <f>IF(分析!C319&lt;&gt;"",分析!C319,"")</f>
        <v/>
      </c>
      <c r="D319" s="159">
        <f>IF(分析!D319&lt;&gt;"",分析!D319,"")</f>
        <v/>
      </c>
      <c r="E319" s="160">
        <f>IF(分析!E319&lt;&gt;"",分析!E319,"")</f>
        <v/>
      </c>
      <c r="F319" s="161">
        <f>IF(分析!F319&lt;&gt;"",分析!F319,"")</f>
        <v/>
      </c>
      <c r="G319" s="161">
        <f>IF(分析!H319&lt;&gt;"",分析!H319,"")</f>
        <v/>
      </c>
      <c r="H319" s="161">
        <f>IF(分析!I319&lt;&gt;"",分析!I319,"")</f>
        <v/>
      </c>
      <c r="I319" s="161">
        <f>IF(分析!J319&lt;&gt;"",分析!J319,"")</f>
        <v/>
      </c>
      <c r="J319" s="161">
        <f>IF(分析!AB319&lt;&gt;"",分析!AB319,"")</f>
        <v/>
      </c>
      <c r="K319" s="161">
        <f>IF(分析!AC319&lt;&gt;"",分析!AC319,"")</f>
        <v/>
      </c>
      <c r="L319" s="161">
        <f>IF(分析!K319&lt;&gt;"",分析!K319,"")</f>
        <v/>
      </c>
      <c r="M319" s="156">
        <f>IF(分析!P319&lt;&gt;"",分析!P319,"")</f>
        <v/>
      </c>
      <c r="N319" s="604">
        <f>IF(分析!O319&lt;&gt;"",分析!O319,"")</f>
        <v/>
      </c>
      <c r="O319" s="163">
        <f>IF(分析!X319&lt;&gt;"",分析!X319,"")</f>
        <v/>
      </c>
      <c r="P319" s="605">
        <f>IF(分析!L319&lt;&gt;"",分析!L319,"")</f>
        <v/>
      </c>
      <c r="Q319" s="161">
        <f>IF(分析!S319&lt;&gt;"",分析!S319,"")</f>
        <v/>
      </c>
      <c r="R319" s="161">
        <f>IF(分析!R319&lt;&gt;"",分析!R319,"")</f>
        <v/>
      </c>
      <c r="S319" s="156">
        <f>IF(分析!AA319&lt;&gt;"",分析!AA319,"")</f>
        <v/>
      </c>
      <c r="T319" s="606">
        <f>IF(分析!Z319&lt;&gt;"",分析!Z319,"")</f>
        <v/>
      </c>
      <c r="U319" s="156">
        <f>IF(分析!V319&lt;&gt;"",分析!V319,"")</f>
        <v/>
      </c>
      <c r="V319" s="607">
        <f>IF(分析!W319&lt;&gt;"",分析!W319,"")</f>
        <v/>
      </c>
      <c r="W319" s="167">
        <f>IF(分析!AD319&lt;&gt;"",分析!AD319,"")</f>
        <v/>
      </c>
      <c r="X319" s="168">
        <f>IF(分析!AE319&lt;&gt;"",分析!AE319,"")</f>
        <v/>
      </c>
      <c r="Y319" s="169">
        <f>IF(分析!T319&lt;&gt;"",分析!T319,"")</f>
        <v/>
      </c>
      <c r="Z319" s="155">
        <f>IF(分析!Y319&lt;&gt;"",分析!Y319,"")</f>
        <v/>
      </c>
    </row>
    <row r="320" ht="21.95" customHeight="1" s="574">
      <c r="A320" s="141">
        <f>IF(分析!C320&lt;&gt;"",ROW()-2,"")</f>
        <v/>
      </c>
      <c r="B320" s="142">
        <f>IF(分析!C320&lt;&gt;"",HYPERLINK("https://kabutan.jp/stock/?code="&amp;分析!C320,"株探"),"")</f>
        <v/>
      </c>
      <c r="C320" s="598">
        <f>IF(分析!C320&lt;&gt;"",分析!C320,"")</f>
        <v/>
      </c>
      <c r="D320" s="144">
        <f>IF(分析!D320&lt;&gt;"",分析!D320,"")</f>
        <v/>
      </c>
      <c r="E320" s="145">
        <f>IF(分析!E320&lt;&gt;"",分析!E320,"")</f>
        <v/>
      </c>
      <c r="F320" s="146">
        <f>IF(分析!F320&lt;&gt;"",分析!F320,"")</f>
        <v/>
      </c>
      <c r="G320" s="146">
        <f>IF(分析!H320&lt;&gt;"",分析!H320,"")</f>
        <v/>
      </c>
      <c r="H320" s="146">
        <f>IF(分析!I320&lt;&gt;"",分析!I320,"")</f>
        <v/>
      </c>
      <c r="I320" s="146">
        <f>IF(分析!J320&lt;&gt;"",分析!J320,"")</f>
        <v/>
      </c>
      <c r="J320" s="146">
        <f>IF(分析!AB320&lt;&gt;"",分析!AB320,"")</f>
        <v/>
      </c>
      <c r="K320" s="146">
        <f>IF(分析!AC320&lt;&gt;"",分析!AC320,"")</f>
        <v/>
      </c>
      <c r="L320" s="146">
        <f>IF(分析!K320&lt;&gt;"",分析!K320,"")</f>
        <v/>
      </c>
      <c r="M320" s="141">
        <f>IF(分析!P320&lt;&gt;"",分析!P320,"")</f>
        <v/>
      </c>
      <c r="N320" s="599">
        <f>IF(分析!O320&lt;&gt;"",分析!O320,"")</f>
        <v/>
      </c>
      <c r="O320" s="148">
        <f>IF(分析!X320&lt;&gt;"",分析!X320,"")</f>
        <v/>
      </c>
      <c r="P320" s="600">
        <f>IF(分析!L320&lt;&gt;"",分析!L320,"")</f>
        <v/>
      </c>
      <c r="Q320" s="146">
        <f>IF(分析!S320&lt;&gt;"",分析!S320,"")</f>
        <v/>
      </c>
      <c r="R320" s="146">
        <f>IF(分析!R320&lt;&gt;"",分析!R320,"")</f>
        <v/>
      </c>
      <c r="S320" s="141">
        <f>IF(分析!AA320&lt;&gt;"",分析!AA320,"")</f>
        <v/>
      </c>
      <c r="T320" s="601">
        <f>IF(分析!Z320&lt;&gt;"",分析!Z320,"")</f>
        <v/>
      </c>
      <c r="U320" s="141">
        <f>IF(分析!V320&lt;&gt;"",分析!V320,"")</f>
        <v/>
      </c>
      <c r="V320" s="602">
        <f>IF(分析!W320&lt;&gt;"",分析!W320,"")</f>
        <v/>
      </c>
      <c r="W320" s="152">
        <f>IF(分析!AD320&lt;&gt;"",分析!AD320,"")</f>
        <v/>
      </c>
      <c r="X320" s="153">
        <f>IF(分析!AE320&lt;&gt;"",分析!AE320,"")</f>
        <v/>
      </c>
      <c r="Y320" s="154">
        <f>IF(分析!T320&lt;&gt;"",分析!T320,"")</f>
        <v/>
      </c>
      <c r="Z320" s="155">
        <f>IF(分析!Y320&lt;&gt;"",分析!Y320,"")</f>
        <v/>
      </c>
    </row>
    <row r="321" ht="21.95" customHeight="1" s="574">
      <c r="A321" s="156">
        <f>IF(分析!C321&lt;&gt;"",ROW()-2,"")</f>
        <v/>
      </c>
      <c r="B321" s="157">
        <f>IF(分析!C321&lt;&gt;"",HYPERLINK("https://kabutan.jp/stock/?code="&amp;分析!C321,"株探"),"")</f>
        <v/>
      </c>
      <c r="C321" s="603">
        <f>IF(分析!C321&lt;&gt;"",分析!C321,"")</f>
        <v/>
      </c>
      <c r="D321" s="159">
        <f>IF(分析!D321&lt;&gt;"",分析!D321,"")</f>
        <v/>
      </c>
      <c r="E321" s="160">
        <f>IF(分析!E321&lt;&gt;"",分析!E321,"")</f>
        <v/>
      </c>
      <c r="F321" s="161">
        <f>IF(分析!F321&lt;&gt;"",分析!F321,"")</f>
        <v/>
      </c>
      <c r="G321" s="161">
        <f>IF(分析!H321&lt;&gt;"",分析!H321,"")</f>
        <v/>
      </c>
      <c r="H321" s="161">
        <f>IF(分析!I321&lt;&gt;"",分析!I321,"")</f>
        <v/>
      </c>
      <c r="I321" s="161">
        <f>IF(分析!J321&lt;&gt;"",分析!J321,"")</f>
        <v/>
      </c>
      <c r="J321" s="161">
        <f>IF(分析!AB321&lt;&gt;"",分析!AB321,"")</f>
        <v/>
      </c>
      <c r="K321" s="161">
        <f>IF(分析!AC321&lt;&gt;"",分析!AC321,"")</f>
        <v/>
      </c>
      <c r="L321" s="161">
        <f>IF(分析!K321&lt;&gt;"",分析!K321,"")</f>
        <v/>
      </c>
      <c r="M321" s="156">
        <f>IF(分析!P321&lt;&gt;"",分析!P321,"")</f>
        <v/>
      </c>
      <c r="N321" s="604">
        <f>IF(分析!O321&lt;&gt;"",分析!O321,"")</f>
        <v/>
      </c>
      <c r="O321" s="163">
        <f>IF(分析!X321&lt;&gt;"",分析!X321,"")</f>
        <v/>
      </c>
      <c r="P321" s="605">
        <f>IF(分析!L321&lt;&gt;"",分析!L321,"")</f>
        <v/>
      </c>
      <c r="Q321" s="161">
        <f>IF(分析!S321&lt;&gt;"",分析!S321,"")</f>
        <v/>
      </c>
      <c r="R321" s="161">
        <f>IF(分析!R321&lt;&gt;"",分析!R321,"")</f>
        <v/>
      </c>
      <c r="S321" s="156">
        <f>IF(分析!AA321&lt;&gt;"",分析!AA321,"")</f>
        <v/>
      </c>
      <c r="T321" s="606">
        <f>IF(分析!Z321&lt;&gt;"",分析!Z321,"")</f>
        <v/>
      </c>
      <c r="U321" s="156">
        <f>IF(分析!V321&lt;&gt;"",分析!V321,"")</f>
        <v/>
      </c>
      <c r="V321" s="607">
        <f>IF(分析!W321&lt;&gt;"",分析!W321,"")</f>
        <v/>
      </c>
      <c r="W321" s="167">
        <f>IF(分析!AD321&lt;&gt;"",分析!AD321,"")</f>
        <v/>
      </c>
      <c r="X321" s="168">
        <f>IF(分析!AE321&lt;&gt;"",分析!AE321,"")</f>
        <v/>
      </c>
      <c r="Y321" s="169">
        <f>IF(分析!T321&lt;&gt;"",分析!T321,"")</f>
        <v/>
      </c>
      <c r="Z321" s="155">
        <f>IF(分析!Y321&lt;&gt;"",分析!Y321,"")</f>
        <v/>
      </c>
    </row>
    <row r="322" ht="21.95" customHeight="1" s="574">
      <c r="A322" s="141">
        <f>IF(分析!C322&lt;&gt;"",ROW()-2,"")</f>
        <v/>
      </c>
      <c r="B322" s="142">
        <f>IF(分析!C322&lt;&gt;"",HYPERLINK("https://kabutan.jp/stock/?code="&amp;分析!C322,"株探"),"")</f>
        <v/>
      </c>
      <c r="C322" s="598">
        <f>IF(分析!C322&lt;&gt;"",分析!C322,"")</f>
        <v/>
      </c>
      <c r="D322" s="144">
        <f>IF(分析!D322&lt;&gt;"",分析!D322,"")</f>
        <v/>
      </c>
      <c r="E322" s="145">
        <f>IF(分析!E322&lt;&gt;"",分析!E322,"")</f>
        <v/>
      </c>
      <c r="F322" s="146">
        <f>IF(分析!F322&lt;&gt;"",分析!F322,"")</f>
        <v/>
      </c>
      <c r="G322" s="146">
        <f>IF(分析!H322&lt;&gt;"",分析!H322,"")</f>
        <v/>
      </c>
      <c r="H322" s="146">
        <f>IF(分析!I322&lt;&gt;"",分析!I322,"")</f>
        <v/>
      </c>
      <c r="I322" s="146">
        <f>IF(分析!J322&lt;&gt;"",分析!J322,"")</f>
        <v/>
      </c>
      <c r="J322" s="146">
        <f>IF(分析!AB322&lt;&gt;"",分析!AB322,"")</f>
        <v/>
      </c>
      <c r="K322" s="146">
        <f>IF(分析!AC322&lt;&gt;"",分析!AC322,"")</f>
        <v/>
      </c>
      <c r="L322" s="146">
        <f>IF(分析!K322&lt;&gt;"",分析!K322,"")</f>
        <v/>
      </c>
      <c r="M322" s="141">
        <f>IF(分析!P322&lt;&gt;"",分析!P322,"")</f>
        <v/>
      </c>
      <c r="N322" s="599">
        <f>IF(分析!O322&lt;&gt;"",分析!O322,"")</f>
        <v/>
      </c>
      <c r="O322" s="148">
        <f>IF(分析!X322&lt;&gt;"",分析!X322,"")</f>
        <v/>
      </c>
      <c r="P322" s="600">
        <f>IF(分析!L322&lt;&gt;"",分析!L322,"")</f>
        <v/>
      </c>
      <c r="Q322" s="146">
        <f>IF(分析!S322&lt;&gt;"",分析!S322,"")</f>
        <v/>
      </c>
      <c r="R322" s="146">
        <f>IF(分析!R322&lt;&gt;"",分析!R322,"")</f>
        <v/>
      </c>
      <c r="S322" s="141">
        <f>IF(分析!AA322&lt;&gt;"",分析!AA322,"")</f>
        <v/>
      </c>
      <c r="T322" s="601">
        <f>IF(分析!Z322&lt;&gt;"",分析!Z322,"")</f>
        <v/>
      </c>
      <c r="U322" s="141">
        <f>IF(分析!V322&lt;&gt;"",分析!V322,"")</f>
        <v/>
      </c>
      <c r="V322" s="602">
        <f>IF(分析!W322&lt;&gt;"",分析!W322,"")</f>
        <v/>
      </c>
      <c r="W322" s="152">
        <f>IF(分析!AD322&lt;&gt;"",分析!AD322,"")</f>
        <v/>
      </c>
      <c r="X322" s="153">
        <f>IF(分析!AE322&lt;&gt;"",分析!AE322,"")</f>
        <v/>
      </c>
      <c r="Y322" s="154">
        <f>IF(分析!T322&lt;&gt;"",分析!T322,"")</f>
        <v/>
      </c>
      <c r="Z322" s="155">
        <f>IF(分析!Y322&lt;&gt;"",分析!Y322,"")</f>
        <v/>
      </c>
    </row>
    <row r="323" ht="21.95" customHeight="1" s="574">
      <c r="A323" s="156">
        <f>IF(分析!C323&lt;&gt;"",ROW()-2,"")</f>
        <v/>
      </c>
      <c r="B323" s="157">
        <f>IF(分析!C323&lt;&gt;"",HYPERLINK("https://kabutan.jp/stock/?code="&amp;分析!C323,"株探"),"")</f>
        <v/>
      </c>
      <c r="C323" s="603">
        <f>IF(分析!C323&lt;&gt;"",分析!C323,"")</f>
        <v/>
      </c>
      <c r="D323" s="159">
        <f>IF(分析!D323&lt;&gt;"",分析!D323,"")</f>
        <v/>
      </c>
      <c r="E323" s="160">
        <f>IF(分析!E323&lt;&gt;"",分析!E323,"")</f>
        <v/>
      </c>
      <c r="F323" s="161">
        <f>IF(分析!F323&lt;&gt;"",分析!F323,"")</f>
        <v/>
      </c>
      <c r="G323" s="161">
        <f>IF(分析!H323&lt;&gt;"",分析!H323,"")</f>
        <v/>
      </c>
      <c r="H323" s="161">
        <f>IF(分析!I323&lt;&gt;"",分析!I323,"")</f>
        <v/>
      </c>
      <c r="I323" s="161">
        <f>IF(分析!J323&lt;&gt;"",分析!J323,"")</f>
        <v/>
      </c>
      <c r="J323" s="161">
        <f>IF(分析!AB323&lt;&gt;"",分析!AB323,"")</f>
        <v/>
      </c>
      <c r="K323" s="161">
        <f>IF(分析!AC323&lt;&gt;"",分析!AC323,"")</f>
        <v/>
      </c>
      <c r="L323" s="161">
        <f>IF(分析!K323&lt;&gt;"",分析!K323,"")</f>
        <v/>
      </c>
      <c r="M323" s="156">
        <f>IF(分析!P323&lt;&gt;"",分析!P323,"")</f>
        <v/>
      </c>
      <c r="N323" s="604">
        <f>IF(分析!O323&lt;&gt;"",分析!O323,"")</f>
        <v/>
      </c>
      <c r="O323" s="163">
        <f>IF(分析!X323&lt;&gt;"",分析!X323,"")</f>
        <v/>
      </c>
      <c r="P323" s="605">
        <f>IF(分析!L323&lt;&gt;"",分析!L323,"")</f>
        <v/>
      </c>
      <c r="Q323" s="161">
        <f>IF(分析!S323&lt;&gt;"",分析!S323,"")</f>
        <v/>
      </c>
      <c r="R323" s="161">
        <f>IF(分析!R323&lt;&gt;"",分析!R323,"")</f>
        <v/>
      </c>
      <c r="S323" s="156">
        <f>IF(分析!AA323&lt;&gt;"",分析!AA323,"")</f>
        <v/>
      </c>
      <c r="T323" s="606">
        <f>IF(分析!Z323&lt;&gt;"",分析!Z323,"")</f>
        <v/>
      </c>
      <c r="U323" s="156">
        <f>IF(分析!V323&lt;&gt;"",分析!V323,"")</f>
        <v/>
      </c>
      <c r="V323" s="607">
        <f>IF(分析!W323&lt;&gt;"",分析!W323,"")</f>
        <v/>
      </c>
      <c r="W323" s="167">
        <f>IF(分析!AD323&lt;&gt;"",分析!AD323,"")</f>
        <v/>
      </c>
      <c r="X323" s="168">
        <f>IF(分析!AE323&lt;&gt;"",分析!AE323,"")</f>
        <v/>
      </c>
      <c r="Y323" s="169">
        <f>IF(分析!T323&lt;&gt;"",分析!T323,"")</f>
        <v/>
      </c>
      <c r="Z323" s="155">
        <f>IF(分析!Y323&lt;&gt;"",分析!Y323,"")</f>
        <v/>
      </c>
    </row>
    <row r="324" ht="21.95" customHeight="1" s="574">
      <c r="A324" s="141">
        <f>IF(分析!C324&lt;&gt;"",ROW()-2,"")</f>
        <v/>
      </c>
      <c r="B324" s="142">
        <f>IF(分析!C324&lt;&gt;"",HYPERLINK("https://kabutan.jp/stock/?code="&amp;分析!C324,"株探"),"")</f>
        <v/>
      </c>
      <c r="C324" s="598">
        <f>IF(分析!C324&lt;&gt;"",分析!C324,"")</f>
        <v/>
      </c>
      <c r="D324" s="144">
        <f>IF(分析!D324&lt;&gt;"",分析!D324,"")</f>
        <v/>
      </c>
      <c r="E324" s="145">
        <f>IF(分析!E324&lt;&gt;"",分析!E324,"")</f>
        <v/>
      </c>
      <c r="F324" s="146">
        <f>IF(分析!F324&lt;&gt;"",分析!F324,"")</f>
        <v/>
      </c>
      <c r="G324" s="146">
        <f>IF(分析!H324&lt;&gt;"",分析!H324,"")</f>
        <v/>
      </c>
      <c r="H324" s="146">
        <f>IF(分析!I324&lt;&gt;"",分析!I324,"")</f>
        <v/>
      </c>
      <c r="I324" s="146">
        <f>IF(分析!J324&lt;&gt;"",分析!J324,"")</f>
        <v/>
      </c>
      <c r="J324" s="146">
        <f>IF(分析!AB324&lt;&gt;"",分析!AB324,"")</f>
        <v/>
      </c>
      <c r="K324" s="146">
        <f>IF(分析!AC324&lt;&gt;"",分析!AC324,"")</f>
        <v/>
      </c>
      <c r="L324" s="146">
        <f>IF(分析!K324&lt;&gt;"",分析!K324,"")</f>
        <v/>
      </c>
      <c r="M324" s="141">
        <f>IF(分析!P324&lt;&gt;"",分析!P324,"")</f>
        <v/>
      </c>
      <c r="N324" s="599">
        <f>IF(分析!O324&lt;&gt;"",分析!O324,"")</f>
        <v/>
      </c>
      <c r="O324" s="148">
        <f>IF(分析!X324&lt;&gt;"",分析!X324,"")</f>
        <v/>
      </c>
      <c r="P324" s="600">
        <f>IF(分析!L324&lt;&gt;"",分析!L324,"")</f>
        <v/>
      </c>
      <c r="Q324" s="146">
        <f>IF(分析!S324&lt;&gt;"",分析!S324,"")</f>
        <v/>
      </c>
      <c r="R324" s="146">
        <f>IF(分析!R324&lt;&gt;"",分析!R324,"")</f>
        <v/>
      </c>
      <c r="S324" s="141">
        <f>IF(分析!AA324&lt;&gt;"",分析!AA324,"")</f>
        <v/>
      </c>
      <c r="T324" s="601">
        <f>IF(分析!Z324&lt;&gt;"",分析!Z324,"")</f>
        <v/>
      </c>
      <c r="U324" s="141">
        <f>IF(分析!V324&lt;&gt;"",分析!V324,"")</f>
        <v/>
      </c>
      <c r="V324" s="602">
        <f>IF(分析!W324&lt;&gt;"",分析!W324,"")</f>
        <v/>
      </c>
      <c r="W324" s="152">
        <f>IF(分析!AD324&lt;&gt;"",分析!AD324,"")</f>
        <v/>
      </c>
      <c r="X324" s="153">
        <f>IF(分析!AE324&lt;&gt;"",分析!AE324,"")</f>
        <v/>
      </c>
      <c r="Y324" s="154">
        <f>IF(分析!T324&lt;&gt;"",分析!T324,"")</f>
        <v/>
      </c>
      <c r="Z324" s="155">
        <f>IF(分析!Y324&lt;&gt;"",分析!Y324,"")</f>
        <v/>
      </c>
    </row>
    <row r="325" ht="21.95" customHeight="1" s="574">
      <c r="A325" s="156">
        <f>IF(分析!C325&lt;&gt;"",ROW()-2,"")</f>
        <v/>
      </c>
      <c r="B325" s="157">
        <f>IF(分析!C325&lt;&gt;"",HYPERLINK("https://kabutan.jp/stock/?code="&amp;分析!C325,"株探"),"")</f>
        <v/>
      </c>
      <c r="C325" s="603">
        <f>IF(分析!C325&lt;&gt;"",分析!C325,"")</f>
        <v/>
      </c>
      <c r="D325" s="159">
        <f>IF(分析!D325&lt;&gt;"",分析!D325,"")</f>
        <v/>
      </c>
      <c r="E325" s="160">
        <f>IF(分析!E325&lt;&gt;"",分析!E325,"")</f>
        <v/>
      </c>
      <c r="F325" s="161">
        <f>IF(分析!F325&lt;&gt;"",分析!F325,"")</f>
        <v/>
      </c>
      <c r="G325" s="161">
        <f>IF(分析!H325&lt;&gt;"",分析!H325,"")</f>
        <v/>
      </c>
      <c r="H325" s="161">
        <f>IF(分析!I325&lt;&gt;"",分析!I325,"")</f>
        <v/>
      </c>
      <c r="I325" s="161">
        <f>IF(分析!J325&lt;&gt;"",分析!J325,"")</f>
        <v/>
      </c>
      <c r="J325" s="161">
        <f>IF(分析!AB325&lt;&gt;"",分析!AB325,"")</f>
        <v/>
      </c>
      <c r="K325" s="161">
        <f>IF(分析!AC325&lt;&gt;"",分析!AC325,"")</f>
        <v/>
      </c>
      <c r="L325" s="161">
        <f>IF(分析!K325&lt;&gt;"",分析!K325,"")</f>
        <v/>
      </c>
      <c r="M325" s="156">
        <f>IF(分析!P325&lt;&gt;"",分析!P325,"")</f>
        <v/>
      </c>
      <c r="N325" s="604">
        <f>IF(分析!O325&lt;&gt;"",分析!O325,"")</f>
        <v/>
      </c>
      <c r="O325" s="163">
        <f>IF(分析!X325&lt;&gt;"",分析!X325,"")</f>
        <v/>
      </c>
      <c r="P325" s="605">
        <f>IF(分析!L325&lt;&gt;"",分析!L325,"")</f>
        <v/>
      </c>
      <c r="Q325" s="161">
        <f>IF(分析!S325&lt;&gt;"",分析!S325,"")</f>
        <v/>
      </c>
      <c r="R325" s="161">
        <f>IF(分析!R325&lt;&gt;"",分析!R325,"")</f>
        <v/>
      </c>
      <c r="S325" s="156">
        <f>IF(分析!AA325&lt;&gt;"",分析!AA325,"")</f>
        <v/>
      </c>
      <c r="T325" s="606">
        <f>IF(分析!Z325&lt;&gt;"",分析!Z325,"")</f>
        <v/>
      </c>
      <c r="U325" s="156">
        <f>IF(分析!V325&lt;&gt;"",分析!V325,"")</f>
        <v/>
      </c>
      <c r="V325" s="607">
        <f>IF(分析!W325&lt;&gt;"",分析!W325,"")</f>
        <v/>
      </c>
      <c r="W325" s="167">
        <f>IF(分析!AD325&lt;&gt;"",分析!AD325,"")</f>
        <v/>
      </c>
      <c r="X325" s="168">
        <f>IF(分析!AE325&lt;&gt;"",分析!AE325,"")</f>
        <v/>
      </c>
      <c r="Y325" s="169">
        <f>IF(分析!T325&lt;&gt;"",分析!T325,"")</f>
        <v/>
      </c>
      <c r="Z325" s="155">
        <f>IF(分析!Y325&lt;&gt;"",分析!Y325,"")</f>
        <v/>
      </c>
    </row>
    <row r="326" ht="21.95" customHeight="1" s="574">
      <c r="A326" s="141">
        <f>IF(分析!C326&lt;&gt;"",ROW()-2,"")</f>
        <v/>
      </c>
      <c r="B326" s="142">
        <f>IF(分析!C326&lt;&gt;"",HYPERLINK("https://kabutan.jp/stock/?code="&amp;分析!C326,"株探"),"")</f>
        <v/>
      </c>
      <c r="C326" s="598">
        <f>IF(分析!C326&lt;&gt;"",分析!C326,"")</f>
        <v/>
      </c>
      <c r="D326" s="144">
        <f>IF(分析!D326&lt;&gt;"",分析!D326,"")</f>
        <v/>
      </c>
      <c r="E326" s="145">
        <f>IF(分析!E326&lt;&gt;"",分析!E326,"")</f>
        <v/>
      </c>
      <c r="F326" s="146">
        <f>IF(分析!F326&lt;&gt;"",分析!F326,"")</f>
        <v/>
      </c>
      <c r="G326" s="146">
        <f>IF(分析!H326&lt;&gt;"",分析!H326,"")</f>
        <v/>
      </c>
      <c r="H326" s="146">
        <f>IF(分析!I326&lt;&gt;"",分析!I326,"")</f>
        <v/>
      </c>
      <c r="I326" s="146">
        <f>IF(分析!J326&lt;&gt;"",分析!J326,"")</f>
        <v/>
      </c>
      <c r="J326" s="146">
        <f>IF(分析!AB326&lt;&gt;"",分析!AB326,"")</f>
        <v/>
      </c>
      <c r="K326" s="146">
        <f>IF(分析!AC326&lt;&gt;"",分析!AC326,"")</f>
        <v/>
      </c>
      <c r="L326" s="146">
        <f>IF(分析!K326&lt;&gt;"",分析!K326,"")</f>
        <v/>
      </c>
      <c r="M326" s="141">
        <f>IF(分析!P326&lt;&gt;"",分析!P326,"")</f>
        <v/>
      </c>
      <c r="N326" s="599">
        <f>IF(分析!O326&lt;&gt;"",分析!O326,"")</f>
        <v/>
      </c>
      <c r="O326" s="148">
        <f>IF(分析!X326&lt;&gt;"",分析!X326,"")</f>
        <v/>
      </c>
      <c r="P326" s="600">
        <f>IF(分析!L326&lt;&gt;"",分析!L326,"")</f>
        <v/>
      </c>
      <c r="Q326" s="146">
        <f>IF(分析!S326&lt;&gt;"",分析!S326,"")</f>
        <v/>
      </c>
      <c r="R326" s="146">
        <f>IF(分析!R326&lt;&gt;"",分析!R326,"")</f>
        <v/>
      </c>
      <c r="S326" s="141">
        <f>IF(分析!AA326&lt;&gt;"",分析!AA326,"")</f>
        <v/>
      </c>
      <c r="T326" s="601">
        <f>IF(分析!Z326&lt;&gt;"",分析!Z326,"")</f>
        <v/>
      </c>
      <c r="U326" s="141">
        <f>IF(分析!V326&lt;&gt;"",分析!V326,"")</f>
        <v/>
      </c>
      <c r="V326" s="602">
        <f>IF(分析!W326&lt;&gt;"",分析!W326,"")</f>
        <v/>
      </c>
      <c r="W326" s="152">
        <f>IF(分析!AD326&lt;&gt;"",分析!AD326,"")</f>
        <v/>
      </c>
      <c r="X326" s="153">
        <f>IF(分析!AE326&lt;&gt;"",分析!AE326,"")</f>
        <v/>
      </c>
      <c r="Y326" s="154">
        <f>IF(分析!T326&lt;&gt;"",分析!T326,"")</f>
        <v/>
      </c>
      <c r="Z326" s="155">
        <f>IF(分析!Y326&lt;&gt;"",分析!Y326,"")</f>
        <v/>
      </c>
    </row>
    <row r="327" ht="21.95" customHeight="1" s="574">
      <c r="A327" s="156">
        <f>IF(分析!C327&lt;&gt;"",ROW()-2,"")</f>
        <v/>
      </c>
      <c r="B327" s="157">
        <f>IF(分析!C327&lt;&gt;"",HYPERLINK("https://kabutan.jp/stock/?code="&amp;分析!C327,"株探"),"")</f>
        <v/>
      </c>
      <c r="C327" s="603">
        <f>IF(分析!C327&lt;&gt;"",分析!C327,"")</f>
        <v/>
      </c>
      <c r="D327" s="159">
        <f>IF(分析!D327&lt;&gt;"",分析!D327,"")</f>
        <v/>
      </c>
      <c r="E327" s="160">
        <f>IF(分析!E327&lt;&gt;"",分析!E327,"")</f>
        <v/>
      </c>
      <c r="F327" s="161">
        <f>IF(分析!F327&lt;&gt;"",分析!F327,"")</f>
        <v/>
      </c>
      <c r="G327" s="161">
        <f>IF(分析!H327&lt;&gt;"",分析!H327,"")</f>
        <v/>
      </c>
      <c r="H327" s="161">
        <f>IF(分析!I327&lt;&gt;"",分析!I327,"")</f>
        <v/>
      </c>
      <c r="I327" s="161">
        <f>IF(分析!J327&lt;&gt;"",分析!J327,"")</f>
        <v/>
      </c>
      <c r="J327" s="161">
        <f>IF(分析!AB327&lt;&gt;"",分析!AB327,"")</f>
        <v/>
      </c>
      <c r="K327" s="161">
        <f>IF(分析!AC327&lt;&gt;"",分析!AC327,"")</f>
        <v/>
      </c>
      <c r="L327" s="161">
        <f>IF(分析!K327&lt;&gt;"",分析!K327,"")</f>
        <v/>
      </c>
      <c r="M327" s="156">
        <f>IF(分析!P327&lt;&gt;"",分析!P327,"")</f>
        <v/>
      </c>
      <c r="N327" s="604">
        <f>IF(分析!O327&lt;&gt;"",分析!O327,"")</f>
        <v/>
      </c>
      <c r="O327" s="163">
        <f>IF(分析!X327&lt;&gt;"",分析!X327,"")</f>
        <v/>
      </c>
      <c r="P327" s="605">
        <f>IF(分析!L327&lt;&gt;"",分析!L327,"")</f>
        <v/>
      </c>
      <c r="Q327" s="161">
        <f>IF(分析!S327&lt;&gt;"",分析!S327,"")</f>
        <v/>
      </c>
      <c r="R327" s="161">
        <f>IF(分析!R327&lt;&gt;"",分析!R327,"")</f>
        <v/>
      </c>
      <c r="S327" s="156">
        <f>IF(分析!AA327&lt;&gt;"",分析!AA327,"")</f>
        <v/>
      </c>
      <c r="T327" s="606">
        <f>IF(分析!Z327&lt;&gt;"",分析!Z327,"")</f>
        <v/>
      </c>
      <c r="U327" s="156">
        <f>IF(分析!V327&lt;&gt;"",分析!V327,"")</f>
        <v/>
      </c>
      <c r="V327" s="607">
        <f>IF(分析!W327&lt;&gt;"",分析!W327,"")</f>
        <v/>
      </c>
      <c r="W327" s="167">
        <f>IF(分析!AD327&lt;&gt;"",分析!AD327,"")</f>
        <v/>
      </c>
      <c r="X327" s="168">
        <f>IF(分析!AE327&lt;&gt;"",分析!AE327,"")</f>
        <v/>
      </c>
      <c r="Y327" s="169">
        <f>IF(分析!T327&lt;&gt;"",分析!T327,"")</f>
        <v/>
      </c>
      <c r="Z327" s="155">
        <f>IF(分析!Y327&lt;&gt;"",分析!Y327,"")</f>
        <v/>
      </c>
    </row>
    <row r="328" ht="21.95" customHeight="1" s="574">
      <c r="A328" s="141">
        <f>IF(分析!C328&lt;&gt;"",ROW()-2,"")</f>
        <v/>
      </c>
      <c r="B328" s="142">
        <f>IF(分析!C328&lt;&gt;"",HYPERLINK("https://kabutan.jp/stock/?code="&amp;分析!C328,"株探"),"")</f>
        <v/>
      </c>
      <c r="C328" s="598">
        <f>IF(分析!C328&lt;&gt;"",分析!C328,"")</f>
        <v/>
      </c>
      <c r="D328" s="144">
        <f>IF(分析!D328&lt;&gt;"",分析!D328,"")</f>
        <v/>
      </c>
      <c r="E328" s="145">
        <f>IF(分析!E328&lt;&gt;"",分析!E328,"")</f>
        <v/>
      </c>
      <c r="F328" s="146">
        <f>IF(分析!F328&lt;&gt;"",分析!F328,"")</f>
        <v/>
      </c>
      <c r="G328" s="146">
        <f>IF(分析!H328&lt;&gt;"",分析!H328,"")</f>
        <v/>
      </c>
      <c r="H328" s="146">
        <f>IF(分析!I328&lt;&gt;"",分析!I328,"")</f>
        <v/>
      </c>
      <c r="I328" s="146">
        <f>IF(分析!J328&lt;&gt;"",分析!J328,"")</f>
        <v/>
      </c>
      <c r="J328" s="146">
        <f>IF(分析!AB328&lt;&gt;"",分析!AB328,"")</f>
        <v/>
      </c>
      <c r="K328" s="146">
        <f>IF(分析!AC328&lt;&gt;"",分析!AC328,"")</f>
        <v/>
      </c>
      <c r="L328" s="146">
        <f>IF(分析!K328&lt;&gt;"",分析!K328,"")</f>
        <v/>
      </c>
      <c r="M328" s="141">
        <f>IF(分析!P328&lt;&gt;"",分析!P328,"")</f>
        <v/>
      </c>
      <c r="N328" s="599">
        <f>IF(分析!O328&lt;&gt;"",分析!O328,"")</f>
        <v/>
      </c>
      <c r="O328" s="148">
        <f>IF(分析!X328&lt;&gt;"",分析!X328,"")</f>
        <v/>
      </c>
      <c r="P328" s="600">
        <f>IF(分析!L328&lt;&gt;"",分析!L328,"")</f>
        <v/>
      </c>
      <c r="Q328" s="146">
        <f>IF(分析!S328&lt;&gt;"",分析!S328,"")</f>
        <v/>
      </c>
      <c r="R328" s="146">
        <f>IF(分析!R328&lt;&gt;"",分析!R328,"")</f>
        <v/>
      </c>
      <c r="S328" s="141">
        <f>IF(分析!AA328&lt;&gt;"",分析!AA328,"")</f>
        <v/>
      </c>
      <c r="T328" s="601">
        <f>IF(分析!Z328&lt;&gt;"",分析!Z328,"")</f>
        <v/>
      </c>
      <c r="U328" s="141">
        <f>IF(分析!V328&lt;&gt;"",分析!V328,"")</f>
        <v/>
      </c>
      <c r="V328" s="602">
        <f>IF(分析!W328&lt;&gt;"",分析!W328,"")</f>
        <v/>
      </c>
      <c r="W328" s="152">
        <f>IF(分析!AD328&lt;&gt;"",分析!AD328,"")</f>
        <v/>
      </c>
      <c r="X328" s="153">
        <f>IF(分析!AE328&lt;&gt;"",分析!AE328,"")</f>
        <v/>
      </c>
      <c r="Y328" s="154">
        <f>IF(分析!T328&lt;&gt;"",分析!T328,"")</f>
        <v/>
      </c>
      <c r="Z328" s="155">
        <f>IF(分析!Y328&lt;&gt;"",分析!Y328,"")</f>
        <v/>
      </c>
    </row>
    <row r="329" ht="21.95" customHeight="1" s="574">
      <c r="A329" s="156">
        <f>IF(分析!C329&lt;&gt;"",ROW()-2,"")</f>
        <v/>
      </c>
      <c r="B329" s="157">
        <f>IF(分析!C329&lt;&gt;"",HYPERLINK("https://kabutan.jp/stock/?code="&amp;分析!C329,"株探"),"")</f>
        <v/>
      </c>
      <c r="C329" s="603">
        <f>IF(分析!C329&lt;&gt;"",分析!C329,"")</f>
        <v/>
      </c>
      <c r="D329" s="159">
        <f>IF(分析!D329&lt;&gt;"",分析!D329,"")</f>
        <v/>
      </c>
      <c r="E329" s="160">
        <f>IF(分析!E329&lt;&gt;"",分析!E329,"")</f>
        <v/>
      </c>
      <c r="F329" s="161">
        <f>IF(分析!F329&lt;&gt;"",分析!F329,"")</f>
        <v/>
      </c>
      <c r="G329" s="161">
        <f>IF(分析!H329&lt;&gt;"",分析!H329,"")</f>
        <v/>
      </c>
      <c r="H329" s="161">
        <f>IF(分析!I329&lt;&gt;"",分析!I329,"")</f>
        <v/>
      </c>
      <c r="I329" s="161">
        <f>IF(分析!J329&lt;&gt;"",分析!J329,"")</f>
        <v/>
      </c>
      <c r="J329" s="161">
        <f>IF(分析!AB329&lt;&gt;"",分析!AB329,"")</f>
        <v/>
      </c>
      <c r="K329" s="161">
        <f>IF(分析!AC329&lt;&gt;"",分析!AC329,"")</f>
        <v/>
      </c>
      <c r="L329" s="161">
        <f>IF(分析!K329&lt;&gt;"",分析!K329,"")</f>
        <v/>
      </c>
      <c r="M329" s="156">
        <f>IF(分析!P329&lt;&gt;"",分析!P329,"")</f>
        <v/>
      </c>
      <c r="N329" s="604">
        <f>IF(分析!O329&lt;&gt;"",分析!O329,"")</f>
        <v/>
      </c>
      <c r="O329" s="163">
        <f>IF(分析!X329&lt;&gt;"",分析!X329,"")</f>
        <v/>
      </c>
      <c r="P329" s="605">
        <f>IF(分析!L329&lt;&gt;"",分析!L329,"")</f>
        <v/>
      </c>
      <c r="Q329" s="161">
        <f>IF(分析!S329&lt;&gt;"",分析!S329,"")</f>
        <v/>
      </c>
      <c r="R329" s="161">
        <f>IF(分析!R329&lt;&gt;"",分析!R329,"")</f>
        <v/>
      </c>
      <c r="S329" s="156">
        <f>IF(分析!AA329&lt;&gt;"",分析!AA329,"")</f>
        <v/>
      </c>
      <c r="T329" s="606">
        <f>IF(分析!Z329&lt;&gt;"",分析!Z329,"")</f>
        <v/>
      </c>
      <c r="U329" s="156">
        <f>IF(分析!V329&lt;&gt;"",分析!V329,"")</f>
        <v/>
      </c>
      <c r="V329" s="607">
        <f>IF(分析!W329&lt;&gt;"",分析!W329,"")</f>
        <v/>
      </c>
      <c r="W329" s="167">
        <f>IF(分析!AD329&lt;&gt;"",分析!AD329,"")</f>
        <v/>
      </c>
      <c r="X329" s="168">
        <f>IF(分析!AE329&lt;&gt;"",分析!AE329,"")</f>
        <v/>
      </c>
      <c r="Y329" s="169">
        <f>IF(分析!T329&lt;&gt;"",分析!T329,"")</f>
        <v/>
      </c>
      <c r="Z329" s="155">
        <f>IF(分析!Y329&lt;&gt;"",分析!Y329,"")</f>
        <v/>
      </c>
    </row>
    <row r="330" ht="21.95" customHeight="1" s="574">
      <c r="A330" s="141">
        <f>IF(分析!C330&lt;&gt;"",ROW()-2,"")</f>
        <v/>
      </c>
      <c r="B330" s="142">
        <f>IF(分析!C330&lt;&gt;"",HYPERLINK("https://kabutan.jp/stock/?code="&amp;分析!C330,"株探"),"")</f>
        <v/>
      </c>
      <c r="C330" s="598">
        <f>IF(分析!C330&lt;&gt;"",分析!C330,"")</f>
        <v/>
      </c>
      <c r="D330" s="144">
        <f>IF(分析!D330&lt;&gt;"",分析!D330,"")</f>
        <v/>
      </c>
      <c r="E330" s="145">
        <f>IF(分析!E330&lt;&gt;"",分析!E330,"")</f>
        <v/>
      </c>
      <c r="F330" s="146">
        <f>IF(分析!F330&lt;&gt;"",分析!F330,"")</f>
        <v/>
      </c>
      <c r="G330" s="146">
        <f>IF(分析!H330&lt;&gt;"",分析!H330,"")</f>
        <v/>
      </c>
      <c r="H330" s="146">
        <f>IF(分析!I330&lt;&gt;"",分析!I330,"")</f>
        <v/>
      </c>
      <c r="I330" s="146">
        <f>IF(分析!J330&lt;&gt;"",分析!J330,"")</f>
        <v/>
      </c>
      <c r="J330" s="146">
        <f>IF(分析!AB330&lt;&gt;"",分析!AB330,"")</f>
        <v/>
      </c>
      <c r="K330" s="146">
        <f>IF(分析!AC330&lt;&gt;"",分析!AC330,"")</f>
        <v/>
      </c>
      <c r="L330" s="146">
        <f>IF(分析!K330&lt;&gt;"",分析!K330,"")</f>
        <v/>
      </c>
      <c r="M330" s="141">
        <f>IF(分析!P330&lt;&gt;"",分析!P330,"")</f>
        <v/>
      </c>
      <c r="N330" s="599">
        <f>IF(分析!O330&lt;&gt;"",分析!O330,"")</f>
        <v/>
      </c>
      <c r="O330" s="148">
        <f>IF(分析!X330&lt;&gt;"",分析!X330,"")</f>
        <v/>
      </c>
      <c r="P330" s="600">
        <f>IF(分析!L330&lt;&gt;"",分析!L330,"")</f>
        <v/>
      </c>
      <c r="Q330" s="146">
        <f>IF(分析!S330&lt;&gt;"",分析!S330,"")</f>
        <v/>
      </c>
      <c r="R330" s="146">
        <f>IF(分析!R330&lt;&gt;"",分析!R330,"")</f>
        <v/>
      </c>
      <c r="S330" s="141">
        <f>IF(分析!AA330&lt;&gt;"",分析!AA330,"")</f>
        <v/>
      </c>
      <c r="T330" s="601">
        <f>IF(分析!Z330&lt;&gt;"",分析!Z330,"")</f>
        <v/>
      </c>
      <c r="U330" s="141">
        <f>IF(分析!V330&lt;&gt;"",分析!V330,"")</f>
        <v/>
      </c>
      <c r="V330" s="602">
        <f>IF(分析!W330&lt;&gt;"",分析!W330,"")</f>
        <v/>
      </c>
      <c r="W330" s="152">
        <f>IF(分析!AD330&lt;&gt;"",分析!AD330,"")</f>
        <v/>
      </c>
      <c r="X330" s="153">
        <f>IF(分析!AE330&lt;&gt;"",分析!AE330,"")</f>
        <v/>
      </c>
      <c r="Y330" s="154">
        <f>IF(分析!T330&lt;&gt;"",分析!T330,"")</f>
        <v/>
      </c>
      <c r="Z330" s="155">
        <f>IF(分析!Y330&lt;&gt;"",分析!Y330,"")</f>
        <v/>
      </c>
    </row>
    <row r="331" ht="21.95" customHeight="1" s="574">
      <c r="A331" s="156">
        <f>IF(分析!C331&lt;&gt;"",ROW()-2,"")</f>
        <v/>
      </c>
      <c r="B331" s="157">
        <f>IF(分析!C331&lt;&gt;"",HYPERLINK("https://kabutan.jp/stock/?code="&amp;分析!C331,"株探"),"")</f>
        <v/>
      </c>
      <c r="C331" s="603">
        <f>IF(分析!C331&lt;&gt;"",分析!C331,"")</f>
        <v/>
      </c>
      <c r="D331" s="159">
        <f>IF(分析!D331&lt;&gt;"",分析!D331,"")</f>
        <v/>
      </c>
      <c r="E331" s="160">
        <f>IF(分析!E331&lt;&gt;"",分析!E331,"")</f>
        <v/>
      </c>
      <c r="F331" s="161">
        <f>IF(分析!F331&lt;&gt;"",分析!F331,"")</f>
        <v/>
      </c>
      <c r="G331" s="161">
        <f>IF(分析!H331&lt;&gt;"",分析!H331,"")</f>
        <v/>
      </c>
      <c r="H331" s="161">
        <f>IF(分析!I331&lt;&gt;"",分析!I331,"")</f>
        <v/>
      </c>
      <c r="I331" s="161">
        <f>IF(分析!J331&lt;&gt;"",分析!J331,"")</f>
        <v/>
      </c>
      <c r="J331" s="161">
        <f>IF(分析!AB331&lt;&gt;"",分析!AB331,"")</f>
        <v/>
      </c>
      <c r="K331" s="161">
        <f>IF(分析!AC331&lt;&gt;"",分析!AC331,"")</f>
        <v/>
      </c>
      <c r="L331" s="161">
        <f>IF(分析!K331&lt;&gt;"",分析!K331,"")</f>
        <v/>
      </c>
      <c r="M331" s="156">
        <f>IF(分析!P331&lt;&gt;"",分析!P331,"")</f>
        <v/>
      </c>
      <c r="N331" s="604">
        <f>IF(分析!O331&lt;&gt;"",分析!O331,"")</f>
        <v/>
      </c>
      <c r="O331" s="163">
        <f>IF(分析!X331&lt;&gt;"",分析!X331,"")</f>
        <v/>
      </c>
      <c r="P331" s="605">
        <f>IF(分析!L331&lt;&gt;"",分析!L331,"")</f>
        <v/>
      </c>
      <c r="Q331" s="161">
        <f>IF(分析!S331&lt;&gt;"",分析!S331,"")</f>
        <v/>
      </c>
      <c r="R331" s="161">
        <f>IF(分析!R331&lt;&gt;"",分析!R331,"")</f>
        <v/>
      </c>
      <c r="S331" s="156">
        <f>IF(分析!AA331&lt;&gt;"",分析!AA331,"")</f>
        <v/>
      </c>
      <c r="T331" s="606">
        <f>IF(分析!Z331&lt;&gt;"",分析!Z331,"")</f>
        <v/>
      </c>
      <c r="U331" s="156">
        <f>IF(分析!V331&lt;&gt;"",分析!V331,"")</f>
        <v/>
      </c>
      <c r="V331" s="607">
        <f>IF(分析!W331&lt;&gt;"",分析!W331,"")</f>
        <v/>
      </c>
      <c r="W331" s="167">
        <f>IF(分析!AD331&lt;&gt;"",分析!AD331,"")</f>
        <v/>
      </c>
      <c r="X331" s="168">
        <f>IF(分析!AE331&lt;&gt;"",分析!AE331,"")</f>
        <v/>
      </c>
      <c r="Y331" s="169">
        <f>IF(分析!T331&lt;&gt;"",分析!T331,"")</f>
        <v/>
      </c>
      <c r="Z331" s="155">
        <f>IF(分析!Y331&lt;&gt;"",分析!Y331,"")</f>
        <v/>
      </c>
    </row>
    <row r="332" ht="21.95" customHeight="1" s="574">
      <c r="A332" s="141">
        <f>IF(分析!C332&lt;&gt;"",ROW()-2,"")</f>
        <v/>
      </c>
      <c r="B332" s="142">
        <f>IF(分析!C332&lt;&gt;"",HYPERLINK("https://kabutan.jp/stock/?code="&amp;分析!C332,"株探"),"")</f>
        <v/>
      </c>
      <c r="C332" s="598">
        <f>IF(分析!C332&lt;&gt;"",分析!C332,"")</f>
        <v/>
      </c>
      <c r="D332" s="144">
        <f>IF(分析!D332&lt;&gt;"",分析!D332,"")</f>
        <v/>
      </c>
      <c r="E332" s="145">
        <f>IF(分析!E332&lt;&gt;"",分析!E332,"")</f>
        <v/>
      </c>
      <c r="F332" s="146">
        <f>IF(分析!F332&lt;&gt;"",分析!F332,"")</f>
        <v/>
      </c>
      <c r="G332" s="146">
        <f>IF(分析!H332&lt;&gt;"",分析!H332,"")</f>
        <v/>
      </c>
      <c r="H332" s="146">
        <f>IF(分析!I332&lt;&gt;"",分析!I332,"")</f>
        <v/>
      </c>
      <c r="I332" s="146">
        <f>IF(分析!J332&lt;&gt;"",分析!J332,"")</f>
        <v/>
      </c>
      <c r="J332" s="146">
        <f>IF(分析!AB332&lt;&gt;"",分析!AB332,"")</f>
        <v/>
      </c>
      <c r="K332" s="146">
        <f>IF(分析!AC332&lt;&gt;"",分析!AC332,"")</f>
        <v/>
      </c>
      <c r="L332" s="146">
        <f>IF(分析!K332&lt;&gt;"",分析!K332,"")</f>
        <v/>
      </c>
      <c r="M332" s="141">
        <f>IF(分析!P332&lt;&gt;"",分析!P332,"")</f>
        <v/>
      </c>
      <c r="N332" s="599">
        <f>IF(分析!O332&lt;&gt;"",分析!O332,"")</f>
        <v/>
      </c>
      <c r="O332" s="148">
        <f>IF(分析!X332&lt;&gt;"",分析!X332,"")</f>
        <v/>
      </c>
      <c r="P332" s="600">
        <f>IF(分析!L332&lt;&gt;"",分析!L332,"")</f>
        <v/>
      </c>
      <c r="Q332" s="146">
        <f>IF(分析!S332&lt;&gt;"",分析!S332,"")</f>
        <v/>
      </c>
      <c r="R332" s="146">
        <f>IF(分析!R332&lt;&gt;"",分析!R332,"")</f>
        <v/>
      </c>
      <c r="S332" s="141">
        <f>IF(分析!AA332&lt;&gt;"",分析!AA332,"")</f>
        <v/>
      </c>
      <c r="T332" s="601">
        <f>IF(分析!Z332&lt;&gt;"",分析!Z332,"")</f>
        <v/>
      </c>
      <c r="U332" s="141">
        <f>IF(分析!V332&lt;&gt;"",分析!V332,"")</f>
        <v/>
      </c>
      <c r="V332" s="602">
        <f>IF(分析!W332&lt;&gt;"",分析!W332,"")</f>
        <v/>
      </c>
      <c r="W332" s="152">
        <f>IF(分析!AD332&lt;&gt;"",分析!AD332,"")</f>
        <v/>
      </c>
      <c r="X332" s="153">
        <f>IF(分析!AE332&lt;&gt;"",分析!AE332,"")</f>
        <v/>
      </c>
      <c r="Y332" s="154">
        <f>IF(分析!T332&lt;&gt;"",分析!T332,"")</f>
        <v/>
      </c>
      <c r="Z332" s="155">
        <f>IF(分析!Y332&lt;&gt;"",分析!Y332,"")</f>
        <v/>
      </c>
    </row>
    <row r="333" ht="21.95" customHeight="1" s="574">
      <c r="A333" s="156">
        <f>IF(分析!C333&lt;&gt;"",ROW()-2,"")</f>
        <v/>
      </c>
      <c r="B333" s="157">
        <f>IF(分析!C333&lt;&gt;"",HYPERLINK("https://kabutan.jp/stock/?code="&amp;分析!C333,"株探"),"")</f>
        <v/>
      </c>
      <c r="C333" s="603">
        <f>IF(分析!C333&lt;&gt;"",分析!C333,"")</f>
        <v/>
      </c>
      <c r="D333" s="159">
        <f>IF(分析!D333&lt;&gt;"",分析!D333,"")</f>
        <v/>
      </c>
      <c r="E333" s="160">
        <f>IF(分析!E333&lt;&gt;"",分析!E333,"")</f>
        <v/>
      </c>
      <c r="F333" s="161">
        <f>IF(分析!F333&lt;&gt;"",分析!F333,"")</f>
        <v/>
      </c>
      <c r="G333" s="161">
        <f>IF(分析!H333&lt;&gt;"",分析!H333,"")</f>
        <v/>
      </c>
      <c r="H333" s="161">
        <f>IF(分析!I333&lt;&gt;"",分析!I333,"")</f>
        <v/>
      </c>
      <c r="I333" s="161">
        <f>IF(分析!J333&lt;&gt;"",分析!J333,"")</f>
        <v/>
      </c>
      <c r="J333" s="161">
        <f>IF(分析!AB333&lt;&gt;"",分析!AB333,"")</f>
        <v/>
      </c>
      <c r="K333" s="161">
        <f>IF(分析!AC333&lt;&gt;"",分析!AC333,"")</f>
        <v/>
      </c>
      <c r="L333" s="161">
        <f>IF(分析!K333&lt;&gt;"",分析!K333,"")</f>
        <v/>
      </c>
      <c r="M333" s="156">
        <f>IF(分析!P333&lt;&gt;"",分析!P333,"")</f>
        <v/>
      </c>
      <c r="N333" s="604">
        <f>IF(分析!O333&lt;&gt;"",分析!O333,"")</f>
        <v/>
      </c>
      <c r="O333" s="163">
        <f>IF(分析!X333&lt;&gt;"",分析!X333,"")</f>
        <v/>
      </c>
      <c r="P333" s="605">
        <f>IF(分析!L333&lt;&gt;"",分析!L333,"")</f>
        <v/>
      </c>
      <c r="Q333" s="161">
        <f>IF(分析!S333&lt;&gt;"",分析!S333,"")</f>
        <v/>
      </c>
      <c r="R333" s="161">
        <f>IF(分析!R333&lt;&gt;"",分析!R333,"")</f>
        <v/>
      </c>
      <c r="S333" s="156">
        <f>IF(分析!AA333&lt;&gt;"",分析!AA333,"")</f>
        <v/>
      </c>
      <c r="T333" s="606">
        <f>IF(分析!Z333&lt;&gt;"",分析!Z333,"")</f>
        <v/>
      </c>
      <c r="U333" s="156">
        <f>IF(分析!V333&lt;&gt;"",分析!V333,"")</f>
        <v/>
      </c>
      <c r="V333" s="607">
        <f>IF(分析!W333&lt;&gt;"",分析!W333,"")</f>
        <v/>
      </c>
      <c r="W333" s="167">
        <f>IF(分析!AD333&lt;&gt;"",分析!AD333,"")</f>
        <v/>
      </c>
      <c r="X333" s="168">
        <f>IF(分析!AE333&lt;&gt;"",分析!AE333,"")</f>
        <v/>
      </c>
      <c r="Y333" s="169">
        <f>IF(分析!T333&lt;&gt;"",分析!T333,"")</f>
        <v/>
      </c>
      <c r="Z333" s="155">
        <f>IF(分析!Y333&lt;&gt;"",分析!Y333,"")</f>
        <v/>
      </c>
    </row>
    <row r="334" ht="21.95" customHeight="1" s="574">
      <c r="A334" s="141">
        <f>IF(分析!C334&lt;&gt;"",ROW()-2,"")</f>
        <v/>
      </c>
      <c r="B334" s="142">
        <f>IF(分析!C334&lt;&gt;"",HYPERLINK("https://kabutan.jp/stock/?code="&amp;分析!C334,"株探"),"")</f>
        <v/>
      </c>
      <c r="C334" s="598">
        <f>IF(分析!C334&lt;&gt;"",分析!C334,"")</f>
        <v/>
      </c>
      <c r="D334" s="144">
        <f>IF(分析!D334&lt;&gt;"",分析!D334,"")</f>
        <v/>
      </c>
      <c r="E334" s="145">
        <f>IF(分析!E334&lt;&gt;"",分析!E334,"")</f>
        <v/>
      </c>
      <c r="F334" s="146">
        <f>IF(分析!F334&lt;&gt;"",分析!F334,"")</f>
        <v/>
      </c>
      <c r="G334" s="146">
        <f>IF(分析!H334&lt;&gt;"",分析!H334,"")</f>
        <v/>
      </c>
      <c r="H334" s="146">
        <f>IF(分析!I334&lt;&gt;"",分析!I334,"")</f>
        <v/>
      </c>
      <c r="I334" s="146">
        <f>IF(分析!J334&lt;&gt;"",分析!J334,"")</f>
        <v/>
      </c>
      <c r="J334" s="146">
        <f>IF(分析!AB334&lt;&gt;"",分析!AB334,"")</f>
        <v/>
      </c>
      <c r="K334" s="146">
        <f>IF(分析!AC334&lt;&gt;"",分析!AC334,"")</f>
        <v/>
      </c>
      <c r="L334" s="146">
        <f>IF(分析!K334&lt;&gt;"",分析!K334,"")</f>
        <v/>
      </c>
      <c r="M334" s="141">
        <f>IF(分析!P334&lt;&gt;"",分析!P334,"")</f>
        <v/>
      </c>
      <c r="N334" s="599">
        <f>IF(分析!O334&lt;&gt;"",分析!O334,"")</f>
        <v/>
      </c>
      <c r="O334" s="148">
        <f>IF(分析!X334&lt;&gt;"",分析!X334,"")</f>
        <v/>
      </c>
      <c r="P334" s="600">
        <f>IF(分析!L334&lt;&gt;"",分析!L334,"")</f>
        <v/>
      </c>
      <c r="Q334" s="146">
        <f>IF(分析!S334&lt;&gt;"",分析!S334,"")</f>
        <v/>
      </c>
      <c r="R334" s="146">
        <f>IF(分析!R334&lt;&gt;"",分析!R334,"")</f>
        <v/>
      </c>
      <c r="S334" s="141">
        <f>IF(分析!AA334&lt;&gt;"",分析!AA334,"")</f>
        <v/>
      </c>
      <c r="T334" s="601">
        <f>IF(分析!Z334&lt;&gt;"",分析!Z334,"")</f>
        <v/>
      </c>
      <c r="U334" s="141">
        <f>IF(分析!V334&lt;&gt;"",分析!V334,"")</f>
        <v/>
      </c>
      <c r="V334" s="602">
        <f>IF(分析!W334&lt;&gt;"",分析!W334,"")</f>
        <v/>
      </c>
      <c r="W334" s="152">
        <f>IF(分析!AD334&lt;&gt;"",分析!AD334,"")</f>
        <v/>
      </c>
      <c r="X334" s="153">
        <f>IF(分析!AE334&lt;&gt;"",分析!AE334,"")</f>
        <v/>
      </c>
      <c r="Y334" s="154">
        <f>IF(分析!T334&lt;&gt;"",分析!T334,"")</f>
        <v/>
      </c>
      <c r="Z334" s="155">
        <f>IF(分析!Y334&lt;&gt;"",分析!Y334,"")</f>
        <v/>
      </c>
    </row>
    <row r="335" ht="21.95" customHeight="1" s="574">
      <c r="A335" s="156">
        <f>IF(分析!C335&lt;&gt;"",ROW()-2,"")</f>
        <v/>
      </c>
      <c r="B335" s="157">
        <f>IF(分析!C335&lt;&gt;"",HYPERLINK("https://kabutan.jp/stock/?code="&amp;分析!C335,"株探"),"")</f>
        <v/>
      </c>
      <c r="C335" s="603">
        <f>IF(分析!C335&lt;&gt;"",分析!C335,"")</f>
        <v/>
      </c>
      <c r="D335" s="159">
        <f>IF(分析!D335&lt;&gt;"",分析!D335,"")</f>
        <v/>
      </c>
      <c r="E335" s="160">
        <f>IF(分析!E335&lt;&gt;"",分析!E335,"")</f>
        <v/>
      </c>
      <c r="F335" s="161">
        <f>IF(分析!F335&lt;&gt;"",分析!F335,"")</f>
        <v/>
      </c>
      <c r="G335" s="161">
        <f>IF(分析!H335&lt;&gt;"",分析!H335,"")</f>
        <v/>
      </c>
      <c r="H335" s="161">
        <f>IF(分析!I335&lt;&gt;"",分析!I335,"")</f>
        <v/>
      </c>
      <c r="I335" s="161">
        <f>IF(分析!J335&lt;&gt;"",分析!J335,"")</f>
        <v/>
      </c>
      <c r="J335" s="161">
        <f>IF(分析!AB335&lt;&gt;"",分析!AB335,"")</f>
        <v/>
      </c>
      <c r="K335" s="161">
        <f>IF(分析!AC335&lt;&gt;"",分析!AC335,"")</f>
        <v/>
      </c>
      <c r="L335" s="161">
        <f>IF(分析!K335&lt;&gt;"",分析!K335,"")</f>
        <v/>
      </c>
      <c r="M335" s="156">
        <f>IF(分析!P335&lt;&gt;"",分析!P335,"")</f>
        <v/>
      </c>
      <c r="N335" s="604">
        <f>IF(分析!O335&lt;&gt;"",分析!O335,"")</f>
        <v/>
      </c>
      <c r="O335" s="163">
        <f>IF(分析!X335&lt;&gt;"",分析!X335,"")</f>
        <v/>
      </c>
      <c r="P335" s="605">
        <f>IF(分析!L335&lt;&gt;"",分析!L335,"")</f>
        <v/>
      </c>
      <c r="Q335" s="161">
        <f>IF(分析!S335&lt;&gt;"",分析!S335,"")</f>
        <v/>
      </c>
      <c r="R335" s="161">
        <f>IF(分析!R335&lt;&gt;"",分析!R335,"")</f>
        <v/>
      </c>
      <c r="S335" s="156">
        <f>IF(分析!AA335&lt;&gt;"",分析!AA335,"")</f>
        <v/>
      </c>
      <c r="T335" s="606">
        <f>IF(分析!Z335&lt;&gt;"",分析!Z335,"")</f>
        <v/>
      </c>
      <c r="U335" s="156">
        <f>IF(分析!V335&lt;&gt;"",分析!V335,"")</f>
        <v/>
      </c>
      <c r="V335" s="607">
        <f>IF(分析!W335&lt;&gt;"",分析!W335,"")</f>
        <v/>
      </c>
      <c r="W335" s="167">
        <f>IF(分析!AD335&lt;&gt;"",分析!AD335,"")</f>
        <v/>
      </c>
      <c r="X335" s="168">
        <f>IF(分析!AE335&lt;&gt;"",分析!AE335,"")</f>
        <v/>
      </c>
      <c r="Y335" s="169">
        <f>IF(分析!T335&lt;&gt;"",分析!T335,"")</f>
        <v/>
      </c>
      <c r="Z335" s="155">
        <f>IF(分析!Y335&lt;&gt;"",分析!Y335,"")</f>
        <v/>
      </c>
    </row>
    <row r="336" ht="21.95" customHeight="1" s="574">
      <c r="A336" s="141">
        <f>IF(分析!C336&lt;&gt;"",ROW()-2,"")</f>
        <v/>
      </c>
      <c r="B336" s="142">
        <f>IF(分析!C336&lt;&gt;"",HYPERLINK("https://kabutan.jp/stock/?code="&amp;分析!C336,"株探"),"")</f>
        <v/>
      </c>
      <c r="C336" s="598">
        <f>IF(分析!C336&lt;&gt;"",分析!C336,"")</f>
        <v/>
      </c>
      <c r="D336" s="144">
        <f>IF(分析!D336&lt;&gt;"",分析!D336,"")</f>
        <v/>
      </c>
      <c r="E336" s="145">
        <f>IF(分析!E336&lt;&gt;"",分析!E336,"")</f>
        <v/>
      </c>
      <c r="F336" s="146">
        <f>IF(分析!F336&lt;&gt;"",分析!F336,"")</f>
        <v/>
      </c>
      <c r="G336" s="146">
        <f>IF(分析!H336&lt;&gt;"",分析!H336,"")</f>
        <v/>
      </c>
      <c r="H336" s="146">
        <f>IF(分析!I336&lt;&gt;"",分析!I336,"")</f>
        <v/>
      </c>
      <c r="I336" s="146">
        <f>IF(分析!J336&lt;&gt;"",分析!J336,"")</f>
        <v/>
      </c>
      <c r="J336" s="146">
        <f>IF(分析!AB336&lt;&gt;"",分析!AB336,"")</f>
        <v/>
      </c>
      <c r="K336" s="146">
        <f>IF(分析!AC336&lt;&gt;"",分析!AC336,"")</f>
        <v/>
      </c>
      <c r="L336" s="146">
        <f>IF(分析!K336&lt;&gt;"",分析!K336,"")</f>
        <v/>
      </c>
      <c r="M336" s="141">
        <f>IF(分析!P336&lt;&gt;"",分析!P336,"")</f>
        <v/>
      </c>
      <c r="N336" s="599">
        <f>IF(分析!O336&lt;&gt;"",分析!O336,"")</f>
        <v/>
      </c>
      <c r="O336" s="148">
        <f>IF(分析!X336&lt;&gt;"",分析!X336,"")</f>
        <v/>
      </c>
      <c r="P336" s="600">
        <f>IF(分析!L336&lt;&gt;"",分析!L336,"")</f>
        <v/>
      </c>
      <c r="Q336" s="146">
        <f>IF(分析!S336&lt;&gt;"",分析!S336,"")</f>
        <v/>
      </c>
      <c r="R336" s="146">
        <f>IF(分析!R336&lt;&gt;"",分析!R336,"")</f>
        <v/>
      </c>
      <c r="S336" s="141">
        <f>IF(分析!AA336&lt;&gt;"",分析!AA336,"")</f>
        <v/>
      </c>
      <c r="T336" s="601">
        <f>IF(分析!Z336&lt;&gt;"",分析!Z336,"")</f>
        <v/>
      </c>
      <c r="U336" s="141">
        <f>IF(分析!V336&lt;&gt;"",分析!V336,"")</f>
        <v/>
      </c>
      <c r="V336" s="602">
        <f>IF(分析!W336&lt;&gt;"",分析!W336,"")</f>
        <v/>
      </c>
      <c r="W336" s="152">
        <f>IF(分析!AD336&lt;&gt;"",分析!AD336,"")</f>
        <v/>
      </c>
      <c r="X336" s="153">
        <f>IF(分析!AE336&lt;&gt;"",分析!AE336,"")</f>
        <v/>
      </c>
      <c r="Y336" s="154">
        <f>IF(分析!T336&lt;&gt;"",分析!T336,"")</f>
        <v/>
      </c>
      <c r="Z336" s="155">
        <f>IF(分析!Y336&lt;&gt;"",分析!Y336,"")</f>
        <v/>
      </c>
    </row>
    <row r="337" ht="21.95" customHeight="1" s="574">
      <c r="A337" s="156">
        <f>IF(分析!C337&lt;&gt;"",ROW()-2,"")</f>
        <v/>
      </c>
      <c r="B337" s="157">
        <f>IF(分析!C337&lt;&gt;"",HYPERLINK("https://kabutan.jp/stock/?code="&amp;分析!C337,"株探"),"")</f>
        <v/>
      </c>
      <c r="C337" s="603">
        <f>IF(分析!C337&lt;&gt;"",分析!C337,"")</f>
        <v/>
      </c>
      <c r="D337" s="159">
        <f>IF(分析!D337&lt;&gt;"",分析!D337,"")</f>
        <v/>
      </c>
      <c r="E337" s="160">
        <f>IF(分析!E337&lt;&gt;"",分析!E337,"")</f>
        <v/>
      </c>
      <c r="F337" s="161">
        <f>IF(分析!F337&lt;&gt;"",分析!F337,"")</f>
        <v/>
      </c>
      <c r="G337" s="161">
        <f>IF(分析!H337&lt;&gt;"",分析!H337,"")</f>
        <v/>
      </c>
      <c r="H337" s="161">
        <f>IF(分析!I337&lt;&gt;"",分析!I337,"")</f>
        <v/>
      </c>
      <c r="I337" s="161">
        <f>IF(分析!J337&lt;&gt;"",分析!J337,"")</f>
        <v/>
      </c>
      <c r="J337" s="161">
        <f>IF(分析!AB337&lt;&gt;"",分析!AB337,"")</f>
        <v/>
      </c>
      <c r="K337" s="161">
        <f>IF(分析!AC337&lt;&gt;"",分析!AC337,"")</f>
        <v/>
      </c>
      <c r="L337" s="161">
        <f>IF(分析!K337&lt;&gt;"",分析!K337,"")</f>
        <v/>
      </c>
      <c r="M337" s="156">
        <f>IF(分析!P337&lt;&gt;"",分析!P337,"")</f>
        <v/>
      </c>
      <c r="N337" s="604">
        <f>IF(分析!O337&lt;&gt;"",分析!O337,"")</f>
        <v/>
      </c>
      <c r="O337" s="163">
        <f>IF(分析!X337&lt;&gt;"",分析!X337,"")</f>
        <v/>
      </c>
      <c r="P337" s="605">
        <f>IF(分析!L337&lt;&gt;"",分析!L337,"")</f>
        <v/>
      </c>
      <c r="Q337" s="161">
        <f>IF(分析!S337&lt;&gt;"",分析!S337,"")</f>
        <v/>
      </c>
      <c r="R337" s="161">
        <f>IF(分析!R337&lt;&gt;"",分析!R337,"")</f>
        <v/>
      </c>
      <c r="S337" s="156">
        <f>IF(分析!AA337&lt;&gt;"",分析!AA337,"")</f>
        <v/>
      </c>
      <c r="T337" s="606">
        <f>IF(分析!Z337&lt;&gt;"",分析!Z337,"")</f>
        <v/>
      </c>
      <c r="U337" s="156">
        <f>IF(分析!V337&lt;&gt;"",分析!V337,"")</f>
        <v/>
      </c>
      <c r="V337" s="607">
        <f>IF(分析!W337&lt;&gt;"",分析!W337,"")</f>
        <v/>
      </c>
      <c r="W337" s="167">
        <f>IF(分析!AD337&lt;&gt;"",分析!AD337,"")</f>
        <v/>
      </c>
      <c r="X337" s="168">
        <f>IF(分析!AE337&lt;&gt;"",分析!AE337,"")</f>
        <v/>
      </c>
      <c r="Y337" s="169">
        <f>IF(分析!T337&lt;&gt;"",分析!T337,"")</f>
        <v/>
      </c>
      <c r="Z337" s="155">
        <f>IF(分析!Y337&lt;&gt;"",分析!Y337,"")</f>
        <v/>
      </c>
    </row>
    <row r="338" ht="21.95" customHeight="1" s="574">
      <c r="A338" s="141">
        <f>IF(分析!C338&lt;&gt;"",ROW()-2,"")</f>
        <v/>
      </c>
      <c r="B338" s="142">
        <f>IF(分析!C338&lt;&gt;"",HYPERLINK("https://kabutan.jp/stock/?code="&amp;分析!C338,"株探"),"")</f>
        <v/>
      </c>
      <c r="C338" s="598">
        <f>IF(分析!C338&lt;&gt;"",分析!C338,"")</f>
        <v/>
      </c>
      <c r="D338" s="144">
        <f>IF(分析!D338&lt;&gt;"",分析!D338,"")</f>
        <v/>
      </c>
      <c r="E338" s="145">
        <f>IF(分析!E338&lt;&gt;"",分析!E338,"")</f>
        <v/>
      </c>
      <c r="F338" s="146">
        <f>IF(分析!F338&lt;&gt;"",分析!F338,"")</f>
        <v/>
      </c>
      <c r="G338" s="146">
        <f>IF(分析!H338&lt;&gt;"",分析!H338,"")</f>
        <v/>
      </c>
      <c r="H338" s="146">
        <f>IF(分析!I338&lt;&gt;"",分析!I338,"")</f>
        <v/>
      </c>
      <c r="I338" s="146">
        <f>IF(分析!J338&lt;&gt;"",分析!J338,"")</f>
        <v/>
      </c>
      <c r="J338" s="146">
        <f>IF(分析!AB338&lt;&gt;"",分析!AB338,"")</f>
        <v/>
      </c>
      <c r="K338" s="146">
        <f>IF(分析!AC338&lt;&gt;"",分析!AC338,"")</f>
        <v/>
      </c>
      <c r="L338" s="146">
        <f>IF(分析!K338&lt;&gt;"",分析!K338,"")</f>
        <v/>
      </c>
      <c r="M338" s="141">
        <f>IF(分析!P338&lt;&gt;"",分析!P338,"")</f>
        <v/>
      </c>
      <c r="N338" s="599">
        <f>IF(分析!O338&lt;&gt;"",分析!O338,"")</f>
        <v/>
      </c>
      <c r="O338" s="148">
        <f>IF(分析!X338&lt;&gt;"",分析!X338,"")</f>
        <v/>
      </c>
      <c r="P338" s="600">
        <f>IF(分析!L338&lt;&gt;"",分析!L338,"")</f>
        <v/>
      </c>
      <c r="Q338" s="146">
        <f>IF(分析!S338&lt;&gt;"",分析!S338,"")</f>
        <v/>
      </c>
      <c r="R338" s="146">
        <f>IF(分析!R338&lt;&gt;"",分析!R338,"")</f>
        <v/>
      </c>
      <c r="S338" s="141">
        <f>IF(分析!AA338&lt;&gt;"",分析!AA338,"")</f>
        <v/>
      </c>
      <c r="T338" s="601">
        <f>IF(分析!Z338&lt;&gt;"",分析!Z338,"")</f>
        <v/>
      </c>
      <c r="U338" s="141">
        <f>IF(分析!V338&lt;&gt;"",分析!V338,"")</f>
        <v/>
      </c>
      <c r="V338" s="602">
        <f>IF(分析!W338&lt;&gt;"",分析!W338,"")</f>
        <v/>
      </c>
      <c r="W338" s="152">
        <f>IF(分析!AD338&lt;&gt;"",分析!AD338,"")</f>
        <v/>
      </c>
      <c r="X338" s="153">
        <f>IF(分析!AE338&lt;&gt;"",分析!AE338,"")</f>
        <v/>
      </c>
      <c r="Y338" s="154">
        <f>IF(分析!T338&lt;&gt;"",分析!T338,"")</f>
        <v/>
      </c>
      <c r="Z338" s="155">
        <f>IF(分析!Y338&lt;&gt;"",分析!Y338,"")</f>
        <v/>
      </c>
    </row>
    <row r="339" ht="21.95" customHeight="1" s="574">
      <c r="A339" s="156">
        <f>IF(分析!C339&lt;&gt;"",ROW()-2,"")</f>
        <v/>
      </c>
      <c r="B339" s="157">
        <f>IF(分析!C339&lt;&gt;"",HYPERLINK("https://kabutan.jp/stock/?code="&amp;分析!C339,"株探"),"")</f>
        <v/>
      </c>
      <c r="C339" s="603">
        <f>IF(分析!C339&lt;&gt;"",分析!C339,"")</f>
        <v/>
      </c>
      <c r="D339" s="159">
        <f>IF(分析!D339&lt;&gt;"",分析!D339,"")</f>
        <v/>
      </c>
      <c r="E339" s="160">
        <f>IF(分析!E339&lt;&gt;"",分析!E339,"")</f>
        <v/>
      </c>
      <c r="F339" s="161">
        <f>IF(分析!F339&lt;&gt;"",分析!F339,"")</f>
        <v/>
      </c>
      <c r="G339" s="161">
        <f>IF(分析!H339&lt;&gt;"",分析!H339,"")</f>
        <v/>
      </c>
      <c r="H339" s="161">
        <f>IF(分析!I339&lt;&gt;"",分析!I339,"")</f>
        <v/>
      </c>
      <c r="I339" s="161">
        <f>IF(分析!J339&lt;&gt;"",分析!J339,"")</f>
        <v/>
      </c>
      <c r="J339" s="161">
        <f>IF(分析!AB339&lt;&gt;"",分析!AB339,"")</f>
        <v/>
      </c>
      <c r="K339" s="161">
        <f>IF(分析!AC339&lt;&gt;"",分析!AC339,"")</f>
        <v/>
      </c>
      <c r="L339" s="161">
        <f>IF(分析!K339&lt;&gt;"",分析!K339,"")</f>
        <v/>
      </c>
      <c r="M339" s="156">
        <f>IF(分析!P339&lt;&gt;"",分析!P339,"")</f>
        <v/>
      </c>
      <c r="N339" s="604">
        <f>IF(分析!O339&lt;&gt;"",分析!O339,"")</f>
        <v/>
      </c>
      <c r="O339" s="163">
        <f>IF(分析!X339&lt;&gt;"",分析!X339,"")</f>
        <v/>
      </c>
      <c r="P339" s="605">
        <f>IF(分析!L339&lt;&gt;"",分析!L339,"")</f>
        <v/>
      </c>
      <c r="Q339" s="161">
        <f>IF(分析!S339&lt;&gt;"",分析!S339,"")</f>
        <v/>
      </c>
      <c r="R339" s="161">
        <f>IF(分析!R339&lt;&gt;"",分析!R339,"")</f>
        <v/>
      </c>
      <c r="S339" s="156">
        <f>IF(分析!AA339&lt;&gt;"",分析!AA339,"")</f>
        <v/>
      </c>
      <c r="T339" s="606">
        <f>IF(分析!Z339&lt;&gt;"",分析!Z339,"")</f>
        <v/>
      </c>
      <c r="U339" s="156">
        <f>IF(分析!V339&lt;&gt;"",分析!V339,"")</f>
        <v/>
      </c>
      <c r="V339" s="607">
        <f>IF(分析!W339&lt;&gt;"",分析!W339,"")</f>
        <v/>
      </c>
      <c r="W339" s="167">
        <f>IF(分析!AD339&lt;&gt;"",分析!AD339,"")</f>
        <v/>
      </c>
      <c r="X339" s="168">
        <f>IF(分析!AE339&lt;&gt;"",分析!AE339,"")</f>
        <v/>
      </c>
      <c r="Y339" s="169">
        <f>IF(分析!T339&lt;&gt;"",分析!T339,"")</f>
        <v/>
      </c>
      <c r="Z339" s="155">
        <f>IF(分析!Y339&lt;&gt;"",分析!Y339,"")</f>
        <v/>
      </c>
    </row>
    <row r="340" ht="21.95" customHeight="1" s="574">
      <c r="A340" s="141">
        <f>IF(分析!C340&lt;&gt;"",ROW()-2,"")</f>
        <v/>
      </c>
      <c r="B340" s="142">
        <f>IF(分析!C340&lt;&gt;"",HYPERLINK("https://kabutan.jp/stock/?code="&amp;分析!C340,"株探"),"")</f>
        <v/>
      </c>
      <c r="C340" s="598">
        <f>IF(分析!C340&lt;&gt;"",分析!C340,"")</f>
        <v/>
      </c>
      <c r="D340" s="144">
        <f>IF(分析!D340&lt;&gt;"",分析!D340,"")</f>
        <v/>
      </c>
      <c r="E340" s="145">
        <f>IF(分析!E340&lt;&gt;"",分析!E340,"")</f>
        <v/>
      </c>
      <c r="F340" s="146">
        <f>IF(分析!F340&lt;&gt;"",分析!F340,"")</f>
        <v/>
      </c>
      <c r="G340" s="146">
        <f>IF(分析!H340&lt;&gt;"",分析!H340,"")</f>
        <v/>
      </c>
      <c r="H340" s="146">
        <f>IF(分析!I340&lt;&gt;"",分析!I340,"")</f>
        <v/>
      </c>
      <c r="I340" s="146">
        <f>IF(分析!J340&lt;&gt;"",分析!J340,"")</f>
        <v/>
      </c>
      <c r="J340" s="146">
        <f>IF(分析!AB340&lt;&gt;"",分析!AB340,"")</f>
        <v/>
      </c>
      <c r="K340" s="146">
        <f>IF(分析!AC340&lt;&gt;"",分析!AC340,"")</f>
        <v/>
      </c>
      <c r="L340" s="146">
        <f>IF(分析!K340&lt;&gt;"",分析!K340,"")</f>
        <v/>
      </c>
      <c r="M340" s="141">
        <f>IF(分析!P340&lt;&gt;"",分析!P340,"")</f>
        <v/>
      </c>
      <c r="N340" s="599">
        <f>IF(分析!O340&lt;&gt;"",分析!O340,"")</f>
        <v/>
      </c>
      <c r="O340" s="148">
        <f>IF(分析!X340&lt;&gt;"",分析!X340,"")</f>
        <v/>
      </c>
      <c r="P340" s="600">
        <f>IF(分析!L340&lt;&gt;"",分析!L340,"")</f>
        <v/>
      </c>
      <c r="Q340" s="146">
        <f>IF(分析!S340&lt;&gt;"",分析!S340,"")</f>
        <v/>
      </c>
      <c r="R340" s="146">
        <f>IF(分析!R340&lt;&gt;"",分析!R340,"")</f>
        <v/>
      </c>
      <c r="S340" s="141">
        <f>IF(分析!AA340&lt;&gt;"",分析!AA340,"")</f>
        <v/>
      </c>
      <c r="T340" s="601">
        <f>IF(分析!Z340&lt;&gt;"",分析!Z340,"")</f>
        <v/>
      </c>
      <c r="U340" s="141">
        <f>IF(分析!V340&lt;&gt;"",分析!V340,"")</f>
        <v/>
      </c>
      <c r="V340" s="602">
        <f>IF(分析!W340&lt;&gt;"",分析!W340,"")</f>
        <v/>
      </c>
      <c r="W340" s="152">
        <f>IF(分析!AD340&lt;&gt;"",分析!AD340,"")</f>
        <v/>
      </c>
      <c r="X340" s="153">
        <f>IF(分析!AE340&lt;&gt;"",分析!AE340,"")</f>
        <v/>
      </c>
      <c r="Y340" s="154">
        <f>IF(分析!T340&lt;&gt;"",分析!T340,"")</f>
        <v/>
      </c>
      <c r="Z340" s="155">
        <f>IF(分析!Y340&lt;&gt;"",分析!Y340,"")</f>
        <v/>
      </c>
    </row>
    <row r="341" ht="21.95" customHeight="1" s="574">
      <c r="A341" s="156">
        <f>IF(分析!C341&lt;&gt;"",ROW()-2,"")</f>
        <v/>
      </c>
      <c r="B341" s="157">
        <f>IF(分析!C341&lt;&gt;"",HYPERLINK("https://kabutan.jp/stock/?code="&amp;分析!C341,"株探"),"")</f>
        <v/>
      </c>
      <c r="C341" s="603">
        <f>IF(分析!C341&lt;&gt;"",分析!C341,"")</f>
        <v/>
      </c>
      <c r="D341" s="159">
        <f>IF(分析!D341&lt;&gt;"",分析!D341,"")</f>
        <v/>
      </c>
      <c r="E341" s="160">
        <f>IF(分析!E341&lt;&gt;"",分析!E341,"")</f>
        <v/>
      </c>
      <c r="F341" s="161">
        <f>IF(分析!F341&lt;&gt;"",分析!F341,"")</f>
        <v/>
      </c>
      <c r="G341" s="161">
        <f>IF(分析!H341&lt;&gt;"",分析!H341,"")</f>
        <v/>
      </c>
      <c r="H341" s="161">
        <f>IF(分析!I341&lt;&gt;"",分析!I341,"")</f>
        <v/>
      </c>
      <c r="I341" s="161">
        <f>IF(分析!J341&lt;&gt;"",分析!J341,"")</f>
        <v/>
      </c>
      <c r="J341" s="161">
        <f>IF(分析!AB341&lt;&gt;"",分析!AB341,"")</f>
        <v/>
      </c>
      <c r="K341" s="161">
        <f>IF(分析!AC341&lt;&gt;"",分析!AC341,"")</f>
        <v/>
      </c>
      <c r="L341" s="161">
        <f>IF(分析!K341&lt;&gt;"",分析!K341,"")</f>
        <v/>
      </c>
      <c r="M341" s="156">
        <f>IF(分析!P341&lt;&gt;"",分析!P341,"")</f>
        <v/>
      </c>
      <c r="N341" s="604">
        <f>IF(分析!O341&lt;&gt;"",分析!O341,"")</f>
        <v/>
      </c>
      <c r="O341" s="163">
        <f>IF(分析!X341&lt;&gt;"",分析!X341,"")</f>
        <v/>
      </c>
      <c r="P341" s="605">
        <f>IF(分析!L341&lt;&gt;"",分析!L341,"")</f>
        <v/>
      </c>
      <c r="Q341" s="161">
        <f>IF(分析!S341&lt;&gt;"",分析!S341,"")</f>
        <v/>
      </c>
      <c r="R341" s="161">
        <f>IF(分析!R341&lt;&gt;"",分析!R341,"")</f>
        <v/>
      </c>
      <c r="S341" s="156">
        <f>IF(分析!AA341&lt;&gt;"",分析!AA341,"")</f>
        <v/>
      </c>
      <c r="T341" s="606">
        <f>IF(分析!Z341&lt;&gt;"",分析!Z341,"")</f>
        <v/>
      </c>
      <c r="U341" s="156">
        <f>IF(分析!V341&lt;&gt;"",分析!V341,"")</f>
        <v/>
      </c>
      <c r="V341" s="607">
        <f>IF(分析!W341&lt;&gt;"",分析!W341,"")</f>
        <v/>
      </c>
      <c r="W341" s="167">
        <f>IF(分析!AD341&lt;&gt;"",分析!AD341,"")</f>
        <v/>
      </c>
      <c r="X341" s="168">
        <f>IF(分析!AE341&lt;&gt;"",分析!AE341,"")</f>
        <v/>
      </c>
      <c r="Y341" s="169">
        <f>IF(分析!T341&lt;&gt;"",分析!T341,"")</f>
        <v/>
      </c>
      <c r="Z341" s="155">
        <f>IF(分析!Y341&lt;&gt;"",分析!Y341,"")</f>
        <v/>
      </c>
    </row>
    <row r="342" ht="21.95" customHeight="1" s="574">
      <c r="A342" s="141">
        <f>IF(分析!C342&lt;&gt;"",ROW()-2,"")</f>
        <v/>
      </c>
      <c r="B342" s="142">
        <f>IF(分析!C342&lt;&gt;"",HYPERLINK("https://kabutan.jp/stock/?code="&amp;分析!C342,"株探"),"")</f>
        <v/>
      </c>
      <c r="C342" s="598">
        <f>IF(分析!C342&lt;&gt;"",分析!C342,"")</f>
        <v/>
      </c>
      <c r="D342" s="144">
        <f>IF(分析!D342&lt;&gt;"",分析!D342,"")</f>
        <v/>
      </c>
      <c r="E342" s="145">
        <f>IF(分析!E342&lt;&gt;"",分析!E342,"")</f>
        <v/>
      </c>
      <c r="F342" s="146">
        <f>IF(分析!F342&lt;&gt;"",分析!F342,"")</f>
        <v/>
      </c>
      <c r="G342" s="146">
        <f>IF(分析!H342&lt;&gt;"",分析!H342,"")</f>
        <v/>
      </c>
      <c r="H342" s="146">
        <f>IF(分析!I342&lt;&gt;"",分析!I342,"")</f>
        <v/>
      </c>
      <c r="I342" s="146">
        <f>IF(分析!J342&lt;&gt;"",分析!J342,"")</f>
        <v/>
      </c>
      <c r="J342" s="146">
        <f>IF(分析!AB342&lt;&gt;"",分析!AB342,"")</f>
        <v/>
      </c>
      <c r="K342" s="146">
        <f>IF(分析!AC342&lt;&gt;"",分析!AC342,"")</f>
        <v/>
      </c>
      <c r="L342" s="146">
        <f>IF(分析!K342&lt;&gt;"",分析!K342,"")</f>
        <v/>
      </c>
      <c r="M342" s="141">
        <f>IF(分析!P342&lt;&gt;"",分析!P342,"")</f>
        <v/>
      </c>
      <c r="N342" s="599">
        <f>IF(分析!O342&lt;&gt;"",分析!O342,"")</f>
        <v/>
      </c>
      <c r="O342" s="148">
        <f>IF(分析!X342&lt;&gt;"",分析!X342,"")</f>
        <v/>
      </c>
      <c r="P342" s="600">
        <f>IF(分析!L342&lt;&gt;"",分析!L342,"")</f>
        <v/>
      </c>
      <c r="Q342" s="146">
        <f>IF(分析!S342&lt;&gt;"",分析!S342,"")</f>
        <v/>
      </c>
      <c r="R342" s="146">
        <f>IF(分析!R342&lt;&gt;"",分析!R342,"")</f>
        <v/>
      </c>
      <c r="S342" s="141">
        <f>IF(分析!AA342&lt;&gt;"",分析!AA342,"")</f>
        <v/>
      </c>
      <c r="T342" s="601">
        <f>IF(分析!Z342&lt;&gt;"",分析!Z342,"")</f>
        <v/>
      </c>
      <c r="U342" s="141">
        <f>IF(分析!V342&lt;&gt;"",分析!V342,"")</f>
        <v/>
      </c>
      <c r="V342" s="602">
        <f>IF(分析!W342&lt;&gt;"",分析!W342,"")</f>
        <v/>
      </c>
      <c r="W342" s="152">
        <f>IF(分析!AD342&lt;&gt;"",分析!AD342,"")</f>
        <v/>
      </c>
      <c r="X342" s="153">
        <f>IF(分析!AE342&lt;&gt;"",分析!AE342,"")</f>
        <v/>
      </c>
      <c r="Y342" s="154">
        <f>IF(分析!T342&lt;&gt;"",分析!T342,"")</f>
        <v/>
      </c>
      <c r="Z342" s="155">
        <f>IF(分析!Y342&lt;&gt;"",分析!Y342,"")</f>
        <v/>
      </c>
    </row>
    <row r="343" ht="21.95" customHeight="1" s="574">
      <c r="A343" s="156">
        <f>IF(分析!C343&lt;&gt;"",ROW()-2,"")</f>
        <v/>
      </c>
      <c r="B343" s="157">
        <f>IF(分析!C343&lt;&gt;"",HYPERLINK("https://kabutan.jp/stock/?code="&amp;分析!C343,"株探"),"")</f>
        <v/>
      </c>
      <c r="C343" s="603">
        <f>IF(分析!C343&lt;&gt;"",分析!C343,"")</f>
        <v/>
      </c>
      <c r="D343" s="159">
        <f>IF(分析!D343&lt;&gt;"",分析!D343,"")</f>
        <v/>
      </c>
      <c r="E343" s="160">
        <f>IF(分析!E343&lt;&gt;"",分析!E343,"")</f>
        <v/>
      </c>
      <c r="F343" s="161">
        <f>IF(分析!F343&lt;&gt;"",分析!F343,"")</f>
        <v/>
      </c>
      <c r="G343" s="161">
        <f>IF(分析!H343&lt;&gt;"",分析!H343,"")</f>
        <v/>
      </c>
      <c r="H343" s="161">
        <f>IF(分析!I343&lt;&gt;"",分析!I343,"")</f>
        <v/>
      </c>
      <c r="I343" s="161">
        <f>IF(分析!J343&lt;&gt;"",分析!J343,"")</f>
        <v/>
      </c>
      <c r="J343" s="161">
        <f>IF(分析!AB343&lt;&gt;"",分析!AB343,"")</f>
        <v/>
      </c>
      <c r="K343" s="161">
        <f>IF(分析!AC343&lt;&gt;"",分析!AC343,"")</f>
        <v/>
      </c>
      <c r="L343" s="161">
        <f>IF(分析!K343&lt;&gt;"",分析!K343,"")</f>
        <v/>
      </c>
      <c r="M343" s="156">
        <f>IF(分析!P343&lt;&gt;"",分析!P343,"")</f>
        <v/>
      </c>
      <c r="N343" s="604">
        <f>IF(分析!O343&lt;&gt;"",分析!O343,"")</f>
        <v/>
      </c>
      <c r="O343" s="163">
        <f>IF(分析!X343&lt;&gt;"",分析!X343,"")</f>
        <v/>
      </c>
      <c r="P343" s="605">
        <f>IF(分析!L343&lt;&gt;"",分析!L343,"")</f>
        <v/>
      </c>
      <c r="Q343" s="161">
        <f>IF(分析!S343&lt;&gt;"",分析!S343,"")</f>
        <v/>
      </c>
      <c r="R343" s="161">
        <f>IF(分析!R343&lt;&gt;"",分析!R343,"")</f>
        <v/>
      </c>
      <c r="S343" s="156">
        <f>IF(分析!AA343&lt;&gt;"",分析!AA343,"")</f>
        <v/>
      </c>
      <c r="T343" s="606">
        <f>IF(分析!Z343&lt;&gt;"",分析!Z343,"")</f>
        <v/>
      </c>
      <c r="U343" s="156">
        <f>IF(分析!V343&lt;&gt;"",分析!V343,"")</f>
        <v/>
      </c>
      <c r="V343" s="607">
        <f>IF(分析!W343&lt;&gt;"",分析!W343,"")</f>
        <v/>
      </c>
      <c r="W343" s="167">
        <f>IF(分析!AD343&lt;&gt;"",分析!AD343,"")</f>
        <v/>
      </c>
      <c r="X343" s="168">
        <f>IF(分析!AE343&lt;&gt;"",分析!AE343,"")</f>
        <v/>
      </c>
      <c r="Y343" s="169">
        <f>IF(分析!T343&lt;&gt;"",分析!T343,"")</f>
        <v/>
      </c>
      <c r="Z343" s="155">
        <f>IF(分析!Y343&lt;&gt;"",分析!Y343,"")</f>
        <v/>
      </c>
    </row>
    <row r="344" ht="21.95" customHeight="1" s="574">
      <c r="A344" s="141">
        <f>IF(分析!C344&lt;&gt;"",ROW()-2,"")</f>
        <v/>
      </c>
      <c r="B344" s="142">
        <f>IF(分析!C344&lt;&gt;"",HYPERLINK("https://kabutan.jp/stock/?code="&amp;分析!C344,"株探"),"")</f>
        <v/>
      </c>
      <c r="C344" s="598">
        <f>IF(分析!C344&lt;&gt;"",分析!C344,"")</f>
        <v/>
      </c>
      <c r="D344" s="144">
        <f>IF(分析!D344&lt;&gt;"",分析!D344,"")</f>
        <v/>
      </c>
      <c r="E344" s="145">
        <f>IF(分析!E344&lt;&gt;"",分析!E344,"")</f>
        <v/>
      </c>
      <c r="F344" s="146">
        <f>IF(分析!F344&lt;&gt;"",分析!F344,"")</f>
        <v/>
      </c>
      <c r="G344" s="146">
        <f>IF(分析!H344&lt;&gt;"",分析!H344,"")</f>
        <v/>
      </c>
      <c r="H344" s="146">
        <f>IF(分析!I344&lt;&gt;"",分析!I344,"")</f>
        <v/>
      </c>
      <c r="I344" s="146">
        <f>IF(分析!J344&lt;&gt;"",分析!J344,"")</f>
        <v/>
      </c>
      <c r="J344" s="146">
        <f>IF(分析!AB344&lt;&gt;"",分析!AB344,"")</f>
        <v/>
      </c>
      <c r="K344" s="146">
        <f>IF(分析!AC344&lt;&gt;"",分析!AC344,"")</f>
        <v/>
      </c>
      <c r="L344" s="146">
        <f>IF(分析!K344&lt;&gt;"",分析!K344,"")</f>
        <v/>
      </c>
      <c r="M344" s="141">
        <f>IF(分析!P344&lt;&gt;"",分析!P344,"")</f>
        <v/>
      </c>
      <c r="N344" s="599">
        <f>IF(分析!O344&lt;&gt;"",分析!O344,"")</f>
        <v/>
      </c>
      <c r="O344" s="148">
        <f>IF(分析!X344&lt;&gt;"",分析!X344,"")</f>
        <v/>
      </c>
      <c r="P344" s="600">
        <f>IF(分析!L344&lt;&gt;"",分析!L344,"")</f>
        <v/>
      </c>
      <c r="Q344" s="146">
        <f>IF(分析!S344&lt;&gt;"",分析!S344,"")</f>
        <v/>
      </c>
      <c r="R344" s="146">
        <f>IF(分析!R344&lt;&gt;"",分析!R344,"")</f>
        <v/>
      </c>
      <c r="S344" s="141">
        <f>IF(分析!AA344&lt;&gt;"",分析!AA344,"")</f>
        <v/>
      </c>
      <c r="T344" s="601">
        <f>IF(分析!Z344&lt;&gt;"",分析!Z344,"")</f>
        <v/>
      </c>
      <c r="U344" s="141">
        <f>IF(分析!V344&lt;&gt;"",分析!V344,"")</f>
        <v/>
      </c>
      <c r="V344" s="602">
        <f>IF(分析!W344&lt;&gt;"",分析!W344,"")</f>
        <v/>
      </c>
      <c r="W344" s="152">
        <f>IF(分析!AD344&lt;&gt;"",分析!AD344,"")</f>
        <v/>
      </c>
      <c r="X344" s="153">
        <f>IF(分析!AE344&lt;&gt;"",分析!AE344,"")</f>
        <v/>
      </c>
      <c r="Y344" s="154">
        <f>IF(分析!T344&lt;&gt;"",分析!T344,"")</f>
        <v/>
      </c>
      <c r="Z344" s="155">
        <f>IF(分析!Y344&lt;&gt;"",分析!Y344,"")</f>
        <v/>
      </c>
    </row>
    <row r="345" ht="21.95" customHeight="1" s="574">
      <c r="A345" s="156">
        <f>IF(分析!C345&lt;&gt;"",ROW()-2,"")</f>
        <v/>
      </c>
      <c r="B345" s="157">
        <f>IF(分析!C345&lt;&gt;"",HYPERLINK("https://kabutan.jp/stock/?code="&amp;分析!C345,"株探"),"")</f>
        <v/>
      </c>
      <c r="C345" s="603">
        <f>IF(分析!C345&lt;&gt;"",分析!C345,"")</f>
        <v/>
      </c>
      <c r="D345" s="159">
        <f>IF(分析!D345&lt;&gt;"",分析!D345,"")</f>
        <v/>
      </c>
      <c r="E345" s="160">
        <f>IF(分析!E345&lt;&gt;"",分析!E345,"")</f>
        <v/>
      </c>
      <c r="F345" s="161">
        <f>IF(分析!F345&lt;&gt;"",分析!F345,"")</f>
        <v/>
      </c>
      <c r="G345" s="161">
        <f>IF(分析!H345&lt;&gt;"",分析!H345,"")</f>
        <v/>
      </c>
      <c r="H345" s="161">
        <f>IF(分析!I345&lt;&gt;"",分析!I345,"")</f>
        <v/>
      </c>
      <c r="I345" s="161">
        <f>IF(分析!J345&lt;&gt;"",分析!J345,"")</f>
        <v/>
      </c>
      <c r="J345" s="161">
        <f>IF(分析!AB345&lt;&gt;"",分析!AB345,"")</f>
        <v/>
      </c>
      <c r="K345" s="161">
        <f>IF(分析!AC345&lt;&gt;"",分析!AC345,"")</f>
        <v/>
      </c>
      <c r="L345" s="161">
        <f>IF(分析!K345&lt;&gt;"",分析!K345,"")</f>
        <v/>
      </c>
      <c r="M345" s="156">
        <f>IF(分析!P345&lt;&gt;"",分析!P345,"")</f>
        <v/>
      </c>
      <c r="N345" s="604">
        <f>IF(分析!O345&lt;&gt;"",分析!O345,"")</f>
        <v/>
      </c>
      <c r="O345" s="163">
        <f>IF(分析!X345&lt;&gt;"",分析!X345,"")</f>
        <v/>
      </c>
      <c r="P345" s="605">
        <f>IF(分析!L345&lt;&gt;"",分析!L345,"")</f>
        <v/>
      </c>
      <c r="Q345" s="161">
        <f>IF(分析!S345&lt;&gt;"",分析!S345,"")</f>
        <v/>
      </c>
      <c r="R345" s="161">
        <f>IF(分析!R345&lt;&gt;"",分析!R345,"")</f>
        <v/>
      </c>
      <c r="S345" s="156">
        <f>IF(分析!AA345&lt;&gt;"",分析!AA345,"")</f>
        <v/>
      </c>
      <c r="T345" s="606">
        <f>IF(分析!Z345&lt;&gt;"",分析!Z345,"")</f>
        <v/>
      </c>
      <c r="U345" s="156">
        <f>IF(分析!V345&lt;&gt;"",分析!V345,"")</f>
        <v/>
      </c>
      <c r="V345" s="607">
        <f>IF(分析!W345&lt;&gt;"",分析!W345,"")</f>
        <v/>
      </c>
      <c r="W345" s="167">
        <f>IF(分析!AD345&lt;&gt;"",分析!AD345,"")</f>
        <v/>
      </c>
      <c r="X345" s="168">
        <f>IF(分析!AE345&lt;&gt;"",分析!AE345,"")</f>
        <v/>
      </c>
      <c r="Y345" s="169">
        <f>IF(分析!T345&lt;&gt;"",分析!T345,"")</f>
        <v/>
      </c>
      <c r="Z345" s="155">
        <f>IF(分析!Y345&lt;&gt;"",分析!Y345,"")</f>
        <v/>
      </c>
    </row>
    <row r="346" ht="21.95" customHeight="1" s="574">
      <c r="A346" s="141">
        <f>IF(分析!C346&lt;&gt;"",ROW()-2,"")</f>
        <v/>
      </c>
      <c r="B346" s="142">
        <f>IF(分析!C346&lt;&gt;"",HYPERLINK("https://kabutan.jp/stock/?code="&amp;分析!C346,"株探"),"")</f>
        <v/>
      </c>
      <c r="C346" s="598">
        <f>IF(分析!C346&lt;&gt;"",分析!C346,"")</f>
        <v/>
      </c>
      <c r="D346" s="144">
        <f>IF(分析!D346&lt;&gt;"",分析!D346,"")</f>
        <v/>
      </c>
      <c r="E346" s="145">
        <f>IF(分析!E346&lt;&gt;"",分析!E346,"")</f>
        <v/>
      </c>
      <c r="F346" s="146">
        <f>IF(分析!F346&lt;&gt;"",分析!F346,"")</f>
        <v/>
      </c>
      <c r="G346" s="146">
        <f>IF(分析!H346&lt;&gt;"",分析!H346,"")</f>
        <v/>
      </c>
      <c r="H346" s="146">
        <f>IF(分析!I346&lt;&gt;"",分析!I346,"")</f>
        <v/>
      </c>
      <c r="I346" s="146">
        <f>IF(分析!J346&lt;&gt;"",分析!J346,"")</f>
        <v/>
      </c>
      <c r="J346" s="146">
        <f>IF(分析!AB346&lt;&gt;"",分析!AB346,"")</f>
        <v/>
      </c>
      <c r="K346" s="146">
        <f>IF(分析!AC346&lt;&gt;"",分析!AC346,"")</f>
        <v/>
      </c>
      <c r="L346" s="146">
        <f>IF(分析!K346&lt;&gt;"",分析!K346,"")</f>
        <v/>
      </c>
      <c r="M346" s="141">
        <f>IF(分析!P346&lt;&gt;"",分析!P346,"")</f>
        <v/>
      </c>
      <c r="N346" s="599">
        <f>IF(分析!O346&lt;&gt;"",分析!O346,"")</f>
        <v/>
      </c>
      <c r="O346" s="148">
        <f>IF(分析!X346&lt;&gt;"",分析!X346,"")</f>
        <v/>
      </c>
      <c r="P346" s="600">
        <f>IF(分析!L346&lt;&gt;"",分析!L346,"")</f>
        <v/>
      </c>
      <c r="Q346" s="146">
        <f>IF(分析!S346&lt;&gt;"",分析!S346,"")</f>
        <v/>
      </c>
      <c r="R346" s="146">
        <f>IF(分析!R346&lt;&gt;"",分析!R346,"")</f>
        <v/>
      </c>
      <c r="S346" s="141">
        <f>IF(分析!AA346&lt;&gt;"",分析!AA346,"")</f>
        <v/>
      </c>
      <c r="T346" s="601">
        <f>IF(分析!Z346&lt;&gt;"",分析!Z346,"")</f>
        <v/>
      </c>
      <c r="U346" s="141">
        <f>IF(分析!V346&lt;&gt;"",分析!V346,"")</f>
        <v/>
      </c>
      <c r="V346" s="602">
        <f>IF(分析!W346&lt;&gt;"",分析!W346,"")</f>
        <v/>
      </c>
      <c r="W346" s="152">
        <f>IF(分析!AD346&lt;&gt;"",分析!AD346,"")</f>
        <v/>
      </c>
      <c r="X346" s="153">
        <f>IF(分析!AE346&lt;&gt;"",分析!AE346,"")</f>
        <v/>
      </c>
      <c r="Y346" s="154">
        <f>IF(分析!T346&lt;&gt;"",分析!T346,"")</f>
        <v/>
      </c>
      <c r="Z346" s="155">
        <f>IF(分析!Y346&lt;&gt;"",分析!Y346,"")</f>
        <v/>
      </c>
    </row>
    <row r="347" ht="21.95" customHeight="1" s="574">
      <c r="A347" s="156">
        <f>IF(分析!C347&lt;&gt;"",ROW()-2,"")</f>
        <v/>
      </c>
      <c r="B347" s="157">
        <f>IF(分析!C347&lt;&gt;"",HYPERLINK("https://kabutan.jp/stock/?code="&amp;分析!C347,"株探"),"")</f>
        <v/>
      </c>
      <c r="C347" s="603">
        <f>IF(分析!C347&lt;&gt;"",分析!C347,"")</f>
        <v/>
      </c>
      <c r="D347" s="159">
        <f>IF(分析!D347&lt;&gt;"",分析!D347,"")</f>
        <v/>
      </c>
      <c r="E347" s="160">
        <f>IF(分析!E347&lt;&gt;"",分析!E347,"")</f>
        <v/>
      </c>
      <c r="F347" s="161">
        <f>IF(分析!F347&lt;&gt;"",分析!F347,"")</f>
        <v/>
      </c>
      <c r="G347" s="161">
        <f>IF(分析!H347&lt;&gt;"",分析!H347,"")</f>
        <v/>
      </c>
      <c r="H347" s="161">
        <f>IF(分析!I347&lt;&gt;"",分析!I347,"")</f>
        <v/>
      </c>
      <c r="I347" s="161">
        <f>IF(分析!J347&lt;&gt;"",分析!J347,"")</f>
        <v/>
      </c>
      <c r="J347" s="161">
        <f>IF(分析!AB347&lt;&gt;"",分析!AB347,"")</f>
        <v/>
      </c>
      <c r="K347" s="161">
        <f>IF(分析!AC347&lt;&gt;"",分析!AC347,"")</f>
        <v/>
      </c>
      <c r="L347" s="161">
        <f>IF(分析!K347&lt;&gt;"",分析!K347,"")</f>
        <v/>
      </c>
      <c r="M347" s="156">
        <f>IF(分析!P347&lt;&gt;"",分析!P347,"")</f>
        <v/>
      </c>
      <c r="N347" s="604">
        <f>IF(分析!O347&lt;&gt;"",分析!O347,"")</f>
        <v/>
      </c>
      <c r="O347" s="163">
        <f>IF(分析!X347&lt;&gt;"",分析!X347,"")</f>
        <v/>
      </c>
      <c r="P347" s="605">
        <f>IF(分析!L347&lt;&gt;"",分析!L347,"")</f>
        <v/>
      </c>
      <c r="Q347" s="161">
        <f>IF(分析!S347&lt;&gt;"",分析!S347,"")</f>
        <v/>
      </c>
      <c r="R347" s="161">
        <f>IF(分析!R347&lt;&gt;"",分析!R347,"")</f>
        <v/>
      </c>
      <c r="S347" s="156">
        <f>IF(分析!AA347&lt;&gt;"",分析!AA347,"")</f>
        <v/>
      </c>
      <c r="T347" s="606">
        <f>IF(分析!Z347&lt;&gt;"",分析!Z347,"")</f>
        <v/>
      </c>
      <c r="U347" s="156">
        <f>IF(分析!V347&lt;&gt;"",分析!V347,"")</f>
        <v/>
      </c>
      <c r="V347" s="607">
        <f>IF(分析!W347&lt;&gt;"",分析!W347,"")</f>
        <v/>
      </c>
      <c r="W347" s="167">
        <f>IF(分析!AD347&lt;&gt;"",分析!AD347,"")</f>
        <v/>
      </c>
      <c r="X347" s="168">
        <f>IF(分析!AE347&lt;&gt;"",分析!AE347,"")</f>
        <v/>
      </c>
      <c r="Y347" s="169">
        <f>IF(分析!T347&lt;&gt;"",分析!T347,"")</f>
        <v/>
      </c>
      <c r="Z347" s="155">
        <f>IF(分析!Y347&lt;&gt;"",分析!Y347,"")</f>
        <v/>
      </c>
    </row>
    <row r="348" ht="21.95" customHeight="1" s="574">
      <c r="A348" s="141">
        <f>IF(分析!C348&lt;&gt;"",ROW()-2,"")</f>
        <v/>
      </c>
      <c r="B348" s="142">
        <f>IF(分析!C348&lt;&gt;"",HYPERLINK("https://kabutan.jp/stock/?code="&amp;分析!C348,"株探"),"")</f>
        <v/>
      </c>
      <c r="C348" s="598">
        <f>IF(分析!C348&lt;&gt;"",分析!C348,"")</f>
        <v/>
      </c>
      <c r="D348" s="144">
        <f>IF(分析!D348&lt;&gt;"",分析!D348,"")</f>
        <v/>
      </c>
      <c r="E348" s="145">
        <f>IF(分析!E348&lt;&gt;"",分析!E348,"")</f>
        <v/>
      </c>
      <c r="F348" s="146">
        <f>IF(分析!F348&lt;&gt;"",分析!F348,"")</f>
        <v/>
      </c>
      <c r="G348" s="146">
        <f>IF(分析!H348&lt;&gt;"",分析!H348,"")</f>
        <v/>
      </c>
      <c r="H348" s="146">
        <f>IF(分析!I348&lt;&gt;"",分析!I348,"")</f>
        <v/>
      </c>
      <c r="I348" s="146">
        <f>IF(分析!J348&lt;&gt;"",分析!J348,"")</f>
        <v/>
      </c>
      <c r="J348" s="146">
        <f>IF(分析!AB348&lt;&gt;"",分析!AB348,"")</f>
        <v/>
      </c>
      <c r="K348" s="146">
        <f>IF(分析!AC348&lt;&gt;"",分析!AC348,"")</f>
        <v/>
      </c>
      <c r="L348" s="146">
        <f>IF(分析!K348&lt;&gt;"",分析!K348,"")</f>
        <v/>
      </c>
      <c r="M348" s="141">
        <f>IF(分析!P348&lt;&gt;"",分析!P348,"")</f>
        <v/>
      </c>
      <c r="N348" s="599">
        <f>IF(分析!O348&lt;&gt;"",分析!O348,"")</f>
        <v/>
      </c>
      <c r="O348" s="148">
        <f>IF(分析!X348&lt;&gt;"",分析!X348,"")</f>
        <v/>
      </c>
      <c r="P348" s="600">
        <f>IF(分析!L348&lt;&gt;"",分析!L348,"")</f>
        <v/>
      </c>
      <c r="Q348" s="146">
        <f>IF(分析!S348&lt;&gt;"",分析!S348,"")</f>
        <v/>
      </c>
      <c r="R348" s="146">
        <f>IF(分析!R348&lt;&gt;"",分析!R348,"")</f>
        <v/>
      </c>
      <c r="S348" s="141">
        <f>IF(分析!AA348&lt;&gt;"",分析!AA348,"")</f>
        <v/>
      </c>
      <c r="T348" s="601">
        <f>IF(分析!Z348&lt;&gt;"",分析!Z348,"")</f>
        <v/>
      </c>
      <c r="U348" s="141">
        <f>IF(分析!V348&lt;&gt;"",分析!V348,"")</f>
        <v/>
      </c>
      <c r="V348" s="602">
        <f>IF(分析!W348&lt;&gt;"",分析!W348,"")</f>
        <v/>
      </c>
      <c r="W348" s="152">
        <f>IF(分析!AD348&lt;&gt;"",分析!AD348,"")</f>
        <v/>
      </c>
      <c r="X348" s="153">
        <f>IF(分析!AE348&lt;&gt;"",分析!AE348,"")</f>
        <v/>
      </c>
      <c r="Y348" s="154">
        <f>IF(分析!T348&lt;&gt;"",分析!T348,"")</f>
        <v/>
      </c>
      <c r="Z348" s="155">
        <f>IF(分析!Y348&lt;&gt;"",分析!Y348,"")</f>
        <v/>
      </c>
    </row>
    <row r="349" ht="21.95" customHeight="1" s="574">
      <c r="A349" s="156">
        <f>IF(分析!C349&lt;&gt;"",ROW()-2,"")</f>
        <v/>
      </c>
      <c r="B349" s="157">
        <f>IF(分析!C349&lt;&gt;"",HYPERLINK("https://kabutan.jp/stock/?code="&amp;分析!C349,"株探"),"")</f>
        <v/>
      </c>
      <c r="C349" s="603">
        <f>IF(分析!C349&lt;&gt;"",分析!C349,"")</f>
        <v/>
      </c>
      <c r="D349" s="159">
        <f>IF(分析!D349&lt;&gt;"",分析!D349,"")</f>
        <v/>
      </c>
      <c r="E349" s="160">
        <f>IF(分析!E349&lt;&gt;"",分析!E349,"")</f>
        <v/>
      </c>
      <c r="F349" s="161">
        <f>IF(分析!F349&lt;&gt;"",分析!F349,"")</f>
        <v/>
      </c>
      <c r="G349" s="161">
        <f>IF(分析!H349&lt;&gt;"",分析!H349,"")</f>
        <v/>
      </c>
      <c r="H349" s="161">
        <f>IF(分析!I349&lt;&gt;"",分析!I349,"")</f>
        <v/>
      </c>
      <c r="I349" s="161">
        <f>IF(分析!J349&lt;&gt;"",分析!J349,"")</f>
        <v/>
      </c>
      <c r="J349" s="161">
        <f>IF(分析!AB349&lt;&gt;"",分析!AB349,"")</f>
        <v/>
      </c>
      <c r="K349" s="161">
        <f>IF(分析!AC349&lt;&gt;"",分析!AC349,"")</f>
        <v/>
      </c>
      <c r="L349" s="161">
        <f>IF(分析!K349&lt;&gt;"",分析!K349,"")</f>
        <v/>
      </c>
      <c r="M349" s="156">
        <f>IF(分析!P349&lt;&gt;"",分析!P349,"")</f>
        <v/>
      </c>
      <c r="N349" s="604">
        <f>IF(分析!O349&lt;&gt;"",分析!O349,"")</f>
        <v/>
      </c>
      <c r="O349" s="163">
        <f>IF(分析!X349&lt;&gt;"",分析!X349,"")</f>
        <v/>
      </c>
      <c r="P349" s="605">
        <f>IF(分析!L349&lt;&gt;"",分析!L349,"")</f>
        <v/>
      </c>
      <c r="Q349" s="161">
        <f>IF(分析!S349&lt;&gt;"",分析!S349,"")</f>
        <v/>
      </c>
      <c r="R349" s="161">
        <f>IF(分析!R349&lt;&gt;"",分析!R349,"")</f>
        <v/>
      </c>
      <c r="S349" s="156">
        <f>IF(分析!AA349&lt;&gt;"",分析!AA349,"")</f>
        <v/>
      </c>
      <c r="T349" s="606">
        <f>IF(分析!Z349&lt;&gt;"",分析!Z349,"")</f>
        <v/>
      </c>
      <c r="U349" s="156">
        <f>IF(分析!V349&lt;&gt;"",分析!V349,"")</f>
        <v/>
      </c>
      <c r="V349" s="607">
        <f>IF(分析!W349&lt;&gt;"",分析!W349,"")</f>
        <v/>
      </c>
      <c r="W349" s="167">
        <f>IF(分析!AD349&lt;&gt;"",分析!AD349,"")</f>
        <v/>
      </c>
      <c r="X349" s="168">
        <f>IF(分析!AE349&lt;&gt;"",分析!AE349,"")</f>
        <v/>
      </c>
      <c r="Y349" s="169">
        <f>IF(分析!T349&lt;&gt;"",分析!T349,"")</f>
        <v/>
      </c>
      <c r="Z349" s="155">
        <f>IF(分析!Y349&lt;&gt;"",分析!Y349,"")</f>
        <v/>
      </c>
    </row>
    <row r="350" ht="21.95" customHeight="1" s="574">
      <c r="A350" s="141">
        <f>IF(分析!C350&lt;&gt;"",ROW()-2,"")</f>
        <v/>
      </c>
      <c r="B350" s="142">
        <f>IF(分析!C350&lt;&gt;"",HYPERLINK("https://kabutan.jp/stock/?code="&amp;分析!C350,"株探"),"")</f>
        <v/>
      </c>
      <c r="C350" s="598">
        <f>IF(分析!C350&lt;&gt;"",分析!C350,"")</f>
        <v/>
      </c>
      <c r="D350" s="144">
        <f>IF(分析!D350&lt;&gt;"",分析!D350,"")</f>
        <v/>
      </c>
      <c r="E350" s="145">
        <f>IF(分析!E350&lt;&gt;"",分析!E350,"")</f>
        <v/>
      </c>
      <c r="F350" s="146">
        <f>IF(分析!F350&lt;&gt;"",分析!F350,"")</f>
        <v/>
      </c>
      <c r="G350" s="146">
        <f>IF(分析!H350&lt;&gt;"",分析!H350,"")</f>
        <v/>
      </c>
      <c r="H350" s="146">
        <f>IF(分析!I350&lt;&gt;"",分析!I350,"")</f>
        <v/>
      </c>
      <c r="I350" s="146">
        <f>IF(分析!J350&lt;&gt;"",分析!J350,"")</f>
        <v/>
      </c>
      <c r="J350" s="146">
        <f>IF(分析!AB350&lt;&gt;"",分析!AB350,"")</f>
        <v/>
      </c>
      <c r="K350" s="146">
        <f>IF(分析!AC350&lt;&gt;"",分析!AC350,"")</f>
        <v/>
      </c>
      <c r="L350" s="146">
        <f>IF(分析!K350&lt;&gt;"",分析!K350,"")</f>
        <v/>
      </c>
      <c r="M350" s="141">
        <f>IF(分析!P350&lt;&gt;"",分析!P350,"")</f>
        <v/>
      </c>
      <c r="N350" s="599">
        <f>IF(分析!O350&lt;&gt;"",分析!O350,"")</f>
        <v/>
      </c>
      <c r="O350" s="148">
        <f>IF(分析!X350&lt;&gt;"",分析!X350,"")</f>
        <v/>
      </c>
      <c r="P350" s="600">
        <f>IF(分析!L350&lt;&gt;"",分析!L350,"")</f>
        <v/>
      </c>
      <c r="Q350" s="146">
        <f>IF(分析!S350&lt;&gt;"",分析!S350,"")</f>
        <v/>
      </c>
      <c r="R350" s="146">
        <f>IF(分析!R350&lt;&gt;"",分析!R350,"")</f>
        <v/>
      </c>
      <c r="S350" s="141">
        <f>IF(分析!AA350&lt;&gt;"",分析!AA350,"")</f>
        <v/>
      </c>
      <c r="T350" s="601">
        <f>IF(分析!Z350&lt;&gt;"",分析!Z350,"")</f>
        <v/>
      </c>
      <c r="U350" s="141">
        <f>IF(分析!V350&lt;&gt;"",分析!V350,"")</f>
        <v/>
      </c>
      <c r="V350" s="602">
        <f>IF(分析!W350&lt;&gt;"",分析!W350,"")</f>
        <v/>
      </c>
      <c r="W350" s="152">
        <f>IF(分析!AD350&lt;&gt;"",分析!AD350,"")</f>
        <v/>
      </c>
      <c r="X350" s="153">
        <f>IF(分析!AE350&lt;&gt;"",分析!AE350,"")</f>
        <v/>
      </c>
      <c r="Y350" s="154">
        <f>IF(分析!T350&lt;&gt;"",分析!T350,"")</f>
        <v/>
      </c>
      <c r="Z350" s="155">
        <f>IF(分析!Y350&lt;&gt;"",分析!Y350,"")</f>
        <v/>
      </c>
    </row>
    <row r="351" ht="21.95" customHeight="1" s="574">
      <c r="A351" s="156">
        <f>IF(分析!C351&lt;&gt;"",ROW()-2,"")</f>
        <v/>
      </c>
      <c r="B351" s="157">
        <f>IF(分析!C351&lt;&gt;"",HYPERLINK("https://kabutan.jp/stock/?code="&amp;分析!C351,"株探"),"")</f>
        <v/>
      </c>
      <c r="C351" s="603">
        <f>IF(分析!C351&lt;&gt;"",分析!C351,"")</f>
        <v/>
      </c>
      <c r="D351" s="159">
        <f>IF(分析!D351&lt;&gt;"",分析!D351,"")</f>
        <v/>
      </c>
      <c r="E351" s="160">
        <f>IF(分析!E351&lt;&gt;"",分析!E351,"")</f>
        <v/>
      </c>
      <c r="F351" s="161">
        <f>IF(分析!F351&lt;&gt;"",分析!F351,"")</f>
        <v/>
      </c>
      <c r="G351" s="161">
        <f>IF(分析!H351&lt;&gt;"",分析!H351,"")</f>
        <v/>
      </c>
      <c r="H351" s="161">
        <f>IF(分析!I351&lt;&gt;"",分析!I351,"")</f>
        <v/>
      </c>
      <c r="I351" s="161">
        <f>IF(分析!J351&lt;&gt;"",分析!J351,"")</f>
        <v/>
      </c>
      <c r="J351" s="161">
        <f>IF(分析!AB351&lt;&gt;"",分析!AB351,"")</f>
        <v/>
      </c>
      <c r="K351" s="161">
        <f>IF(分析!AC351&lt;&gt;"",分析!AC351,"")</f>
        <v/>
      </c>
      <c r="L351" s="161">
        <f>IF(分析!K351&lt;&gt;"",分析!K351,"")</f>
        <v/>
      </c>
      <c r="M351" s="156">
        <f>IF(分析!P351&lt;&gt;"",分析!P351,"")</f>
        <v/>
      </c>
      <c r="N351" s="604">
        <f>IF(分析!O351&lt;&gt;"",分析!O351,"")</f>
        <v/>
      </c>
      <c r="O351" s="163">
        <f>IF(分析!X351&lt;&gt;"",分析!X351,"")</f>
        <v/>
      </c>
      <c r="P351" s="605">
        <f>IF(分析!L351&lt;&gt;"",分析!L351,"")</f>
        <v/>
      </c>
      <c r="Q351" s="161">
        <f>IF(分析!S351&lt;&gt;"",分析!S351,"")</f>
        <v/>
      </c>
      <c r="R351" s="161">
        <f>IF(分析!R351&lt;&gt;"",分析!R351,"")</f>
        <v/>
      </c>
      <c r="S351" s="156">
        <f>IF(分析!AA351&lt;&gt;"",分析!AA351,"")</f>
        <v/>
      </c>
      <c r="T351" s="606">
        <f>IF(分析!Z351&lt;&gt;"",分析!Z351,"")</f>
        <v/>
      </c>
      <c r="U351" s="156">
        <f>IF(分析!V351&lt;&gt;"",分析!V351,"")</f>
        <v/>
      </c>
      <c r="V351" s="607">
        <f>IF(分析!W351&lt;&gt;"",分析!W351,"")</f>
        <v/>
      </c>
      <c r="W351" s="167">
        <f>IF(分析!AD351&lt;&gt;"",分析!AD351,"")</f>
        <v/>
      </c>
      <c r="X351" s="168">
        <f>IF(分析!AE351&lt;&gt;"",分析!AE351,"")</f>
        <v/>
      </c>
      <c r="Y351" s="169">
        <f>IF(分析!T351&lt;&gt;"",分析!T351,"")</f>
        <v/>
      </c>
      <c r="Z351" s="155">
        <f>IF(分析!Y351&lt;&gt;"",分析!Y351,"")</f>
        <v/>
      </c>
    </row>
    <row r="352" ht="21.95" customHeight="1" s="574">
      <c r="A352" s="141">
        <f>IF(分析!C352&lt;&gt;"",ROW()-2,"")</f>
        <v/>
      </c>
      <c r="B352" s="142">
        <f>IF(分析!C352&lt;&gt;"",HYPERLINK("https://kabutan.jp/stock/?code="&amp;分析!C352,"株探"),"")</f>
        <v/>
      </c>
      <c r="C352" s="598">
        <f>IF(分析!C352&lt;&gt;"",分析!C352,"")</f>
        <v/>
      </c>
      <c r="D352" s="144">
        <f>IF(分析!D352&lt;&gt;"",分析!D352,"")</f>
        <v/>
      </c>
      <c r="E352" s="145">
        <f>IF(分析!E352&lt;&gt;"",分析!E352,"")</f>
        <v/>
      </c>
      <c r="F352" s="146">
        <f>IF(分析!F352&lt;&gt;"",分析!F352,"")</f>
        <v/>
      </c>
      <c r="G352" s="146">
        <f>IF(分析!H352&lt;&gt;"",分析!H352,"")</f>
        <v/>
      </c>
      <c r="H352" s="146">
        <f>IF(分析!I352&lt;&gt;"",分析!I352,"")</f>
        <v/>
      </c>
      <c r="I352" s="146">
        <f>IF(分析!J352&lt;&gt;"",分析!J352,"")</f>
        <v/>
      </c>
      <c r="J352" s="146">
        <f>IF(分析!AB352&lt;&gt;"",分析!AB352,"")</f>
        <v/>
      </c>
      <c r="K352" s="146">
        <f>IF(分析!AC352&lt;&gt;"",分析!AC352,"")</f>
        <v/>
      </c>
      <c r="L352" s="146">
        <f>IF(分析!K352&lt;&gt;"",分析!K352,"")</f>
        <v/>
      </c>
      <c r="M352" s="141">
        <f>IF(分析!P352&lt;&gt;"",分析!P352,"")</f>
        <v/>
      </c>
      <c r="N352" s="599">
        <f>IF(分析!O352&lt;&gt;"",分析!O352,"")</f>
        <v/>
      </c>
      <c r="O352" s="148">
        <f>IF(分析!X352&lt;&gt;"",分析!X352,"")</f>
        <v/>
      </c>
      <c r="P352" s="600">
        <f>IF(分析!L352&lt;&gt;"",分析!L352,"")</f>
        <v/>
      </c>
      <c r="Q352" s="146">
        <f>IF(分析!S352&lt;&gt;"",分析!S352,"")</f>
        <v/>
      </c>
      <c r="R352" s="146">
        <f>IF(分析!R352&lt;&gt;"",分析!R352,"")</f>
        <v/>
      </c>
      <c r="S352" s="141">
        <f>IF(分析!AA352&lt;&gt;"",分析!AA352,"")</f>
        <v/>
      </c>
      <c r="T352" s="601">
        <f>IF(分析!Z352&lt;&gt;"",分析!Z352,"")</f>
        <v/>
      </c>
      <c r="U352" s="141">
        <f>IF(分析!V352&lt;&gt;"",分析!V352,"")</f>
        <v/>
      </c>
      <c r="V352" s="602">
        <f>IF(分析!W352&lt;&gt;"",分析!W352,"")</f>
        <v/>
      </c>
      <c r="W352" s="152">
        <f>IF(分析!AD352&lt;&gt;"",分析!AD352,"")</f>
        <v/>
      </c>
      <c r="X352" s="153">
        <f>IF(分析!AE352&lt;&gt;"",分析!AE352,"")</f>
        <v/>
      </c>
      <c r="Y352" s="154">
        <f>IF(分析!T352&lt;&gt;"",分析!T352,"")</f>
        <v/>
      </c>
      <c r="Z352" s="155">
        <f>IF(分析!Y352&lt;&gt;"",分析!Y352,"")</f>
        <v/>
      </c>
    </row>
    <row r="353" ht="21.95" customHeight="1" s="574">
      <c r="A353" s="156">
        <f>IF(分析!C353&lt;&gt;"",ROW()-2,"")</f>
        <v/>
      </c>
      <c r="B353" s="157">
        <f>IF(分析!C353&lt;&gt;"",HYPERLINK("https://kabutan.jp/stock/?code="&amp;分析!C353,"株探"),"")</f>
        <v/>
      </c>
      <c r="C353" s="603">
        <f>IF(分析!C353&lt;&gt;"",分析!C353,"")</f>
        <v/>
      </c>
      <c r="D353" s="159">
        <f>IF(分析!D353&lt;&gt;"",分析!D353,"")</f>
        <v/>
      </c>
      <c r="E353" s="160">
        <f>IF(分析!E353&lt;&gt;"",分析!E353,"")</f>
        <v/>
      </c>
      <c r="F353" s="161">
        <f>IF(分析!F353&lt;&gt;"",分析!F353,"")</f>
        <v/>
      </c>
      <c r="G353" s="161">
        <f>IF(分析!H353&lt;&gt;"",分析!H353,"")</f>
        <v/>
      </c>
      <c r="H353" s="161">
        <f>IF(分析!I353&lt;&gt;"",分析!I353,"")</f>
        <v/>
      </c>
      <c r="I353" s="161">
        <f>IF(分析!J353&lt;&gt;"",分析!J353,"")</f>
        <v/>
      </c>
      <c r="J353" s="161">
        <f>IF(分析!AB353&lt;&gt;"",分析!AB353,"")</f>
        <v/>
      </c>
      <c r="K353" s="161">
        <f>IF(分析!AC353&lt;&gt;"",分析!AC353,"")</f>
        <v/>
      </c>
      <c r="L353" s="161">
        <f>IF(分析!K353&lt;&gt;"",分析!K353,"")</f>
        <v/>
      </c>
      <c r="M353" s="156">
        <f>IF(分析!P353&lt;&gt;"",分析!P353,"")</f>
        <v/>
      </c>
      <c r="N353" s="604">
        <f>IF(分析!O353&lt;&gt;"",分析!O353,"")</f>
        <v/>
      </c>
      <c r="O353" s="163">
        <f>IF(分析!X353&lt;&gt;"",分析!X353,"")</f>
        <v/>
      </c>
      <c r="P353" s="605">
        <f>IF(分析!L353&lt;&gt;"",分析!L353,"")</f>
        <v/>
      </c>
      <c r="Q353" s="161">
        <f>IF(分析!S353&lt;&gt;"",分析!S353,"")</f>
        <v/>
      </c>
      <c r="R353" s="161">
        <f>IF(分析!R353&lt;&gt;"",分析!R353,"")</f>
        <v/>
      </c>
      <c r="S353" s="156">
        <f>IF(分析!AA353&lt;&gt;"",分析!AA353,"")</f>
        <v/>
      </c>
      <c r="T353" s="606">
        <f>IF(分析!Z353&lt;&gt;"",分析!Z353,"")</f>
        <v/>
      </c>
      <c r="U353" s="156">
        <f>IF(分析!V353&lt;&gt;"",分析!V353,"")</f>
        <v/>
      </c>
      <c r="V353" s="607">
        <f>IF(分析!W353&lt;&gt;"",分析!W353,"")</f>
        <v/>
      </c>
      <c r="W353" s="167">
        <f>IF(分析!AD353&lt;&gt;"",分析!AD353,"")</f>
        <v/>
      </c>
      <c r="X353" s="168">
        <f>IF(分析!AE353&lt;&gt;"",分析!AE353,"")</f>
        <v/>
      </c>
      <c r="Y353" s="169">
        <f>IF(分析!T353&lt;&gt;"",分析!T353,"")</f>
        <v/>
      </c>
      <c r="Z353" s="155">
        <f>IF(分析!Y353&lt;&gt;"",分析!Y353,"")</f>
        <v/>
      </c>
    </row>
    <row r="354" ht="21.95" customHeight="1" s="574">
      <c r="A354" s="141">
        <f>IF(分析!C354&lt;&gt;"",ROW()-2,"")</f>
        <v/>
      </c>
      <c r="B354" s="142">
        <f>IF(分析!C354&lt;&gt;"",HYPERLINK("https://kabutan.jp/stock/?code="&amp;分析!C354,"株探"),"")</f>
        <v/>
      </c>
      <c r="C354" s="598">
        <f>IF(分析!C354&lt;&gt;"",分析!C354,"")</f>
        <v/>
      </c>
      <c r="D354" s="144">
        <f>IF(分析!D354&lt;&gt;"",分析!D354,"")</f>
        <v/>
      </c>
      <c r="E354" s="145">
        <f>IF(分析!E354&lt;&gt;"",分析!E354,"")</f>
        <v/>
      </c>
      <c r="F354" s="146">
        <f>IF(分析!F354&lt;&gt;"",分析!F354,"")</f>
        <v/>
      </c>
      <c r="G354" s="146">
        <f>IF(分析!H354&lt;&gt;"",分析!H354,"")</f>
        <v/>
      </c>
      <c r="H354" s="146">
        <f>IF(分析!I354&lt;&gt;"",分析!I354,"")</f>
        <v/>
      </c>
      <c r="I354" s="146">
        <f>IF(分析!J354&lt;&gt;"",分析!J354,"")</f>
        <v/>
      </c>
      <c r="J354" s="146">
        <f>IF(分析!AB354&lt;&gt;"",分析!AB354,"")</f>
        <v/>
      </c>
      <c r="K354" s="146">
        <f>IF(分析!AC354&lt;&gt;"",分析!AC354,"")</f>
        <v/>
      </c>
      <c r="L354" s="146">
        <f>IF(分析!K354&lt;&gt;"",分析!K354,"")</f>
        <v/>
      </c>
      <c r="M354" s="141">
        <f>IF(分析!P354&lt;&gt;"",分析!P354,"")</f>
        <v/>
      </c>
      <c r="N354" s="599">
        <f>IF(分析!O354&lt;&gt;"",分析!O354,"")</f>
        <v/>
      </c>
      <c r="O354" s="148">
        <f>IF(分析!X354&lt;&gt;"",分析!X354,"")</f>
        <v/>
      </c>
      <c r="P354" s="600">
        <f>IF(分析!L354&lt;&gt;"",分析!L354,"")</f>
        <v/>
      </c>
      <c r="Q354" s="146">
        <f>IF(分析!S354&lt;&gt;"",分析!S354,"")</f>
        <v/>
      </c>
      <c r="R354" s="146">
        <f>IF(分析!R354&lt;&gt;"",分析!R354,"")</f>
        <v/>
      </c>
      <c r="S354" s="141">
        <f>IF(分析!AA354&lt;&gt;"",分析!AA354,"")</f>
        <v/>
      </c>
      <c r="T354" s="601">
        <f>IF(分析!Z354&lt;&gt;"",分析!Z354,"")</f>
        <v/>
      </c>
      <c r="U354" s="141">
        <f>IF(分析!V354&lt;&gt;"",分析!V354,"")</f>
        <v/>
      </c>
      <c r="V354" s="602">
        <f>IF(分析!W354&lt;&gt;"",分析!W354,"")</f>
        <v/>
      </c>
      <c r="W354" s="152">
        <f>IF(分析!AD354&lt;&gt;"",分析!AD354,"")</f>
        <v/>
      </c>
      <c r="X354" s="153">
        <f>IF(分析!AE354&lt;&gt;"",分析!AE354,"")</f>
        <v/>
      </c>
      <c r="Y354" s="154">
        <f>IF(分析!T354&lt;&gt;"",分析!T354,"")</f>
        <v/>
      </c>
      <c r="Z354" s="155">
        <f>IF(分析!Y354&lt;&gt;"",分析!Y354,"")</f>
        <v/>
      </c>
    </row>
    <row r="355" ht="21.95" customHeight="1" s="574">
      <c r="A355" s="156">
        <f>IF(分析!C355&lt;&gt;"",ROW()-2,"")</f>
        <v/>
      </c>
      <c r="B355" s="157">
        <f>IF(分析!C355&lt;&gt;"",HYPERLINK("https://kabutan.jp/stock/?code="&amp;分析!C355,"株探"),"")</f>
        <v/>
      </c>
      <c r="C355" s="603">
        <f>IF(分析!C355&lt;&gt;"",分析!C355,"")</f>
        <v/>
      </c>
      <c r="D355" s="159">
        <f>IF(分析!D355&lt;&gt;"",分析!D355,"")</f>
        <v/>
      </c>
      <c r="E355" s="160">
        <f>IF(分析!E355&lt;&gt;"",分析!E355,"")</f>
        <v/>
      </c>
      <c r="F355" s="161">
        <f>IF(分析!F355&lt;&gt;"",分析!F355,"")</f>
        <v/>
      </c>
      <c r="G355" s="161">
        <f>IF(分析!H355&lt;&gt;"",分析!H355,"")</f>
        <v/>
      </c>
      <c r="H355" s="161">
        <f>IF(分析!I355&lt;&gt;"",分析!I355,"")</f>
        <v/>
      </c>
      <c r="I355" s="161">
        <f>IF(分析!J355&lt;&gt;"",分析!J355,"")</f>
        <v/>
      </c>
      <c r="J355" s="161">
        <f>IF(分析!AB355&lt;&gt;"",分析!AB355,"")</f>
        <v/>
      </c>
      <c r="K355" s="161">
        <f>IF(分析!AC355&lt;&gt;"",分析!AC355,"")</f>
        <v/>
      </c>
      <c r="L355" s="161">
        <f>IF(分析!K355&lt;&gt;"",分析!K355,"")</f>
        <v/>
      </c>
      <c r="M355" s="156">
        <f>IF(分析!P355&lt;&gt;"",分析!P355,"")</f>
        <v/>
      </c>
      <c r="N355" s="604">
        <f>IF(分析!O355&lt;&gt;"",分析!O355,"")</f>
        <v/>
      </c>
      <c r="O355" s="163">
        <f>IF(分析!X355&lt;&gt;"",分析!X355,"")</f>
        <v/>
      </c>
      <c r="P355" s="605">
        <f>IF(分析!L355&lt;&gt;"",分析!L355,"")</f>
        <v/>
      </c>
      <c r="Q355" s="161">
        <f>IF(分析!S355&lt;&gt;"",分析!S355,"")</f>
        <v/>
      </c>
      <c r="R355" s="161">
        <f>IF(分析!R355&lt;&gt;"",分析!R355,"")</f>
        <v/>
      </c>
      <c r="S355" s="156">
        <f>IF(分析!AA355&lt;&gt;"",分析!AA355,"")</f>
        <v/>
      </c>
      <c r="T355" s="606">
        <f>IF(分析!Z355&lt;&gt;"",分析!Z355,"")</f>
        <v/>
      </c>
      <c r="U355" s="156">
        <f>IF(分析!V355&lt;&gt;"",分析!V355,"")</f>
        <v/>
      </c>
      <c r="V355" s="607">
        <f>IF(分析!W355&lt;&gt;"",分析!W355,"")</f>
        <v/>
      </c>
      <c r="W355" s="167">
        <f>IF(分析!AD355&lt;&gt;"",分析!AD355,"")</f>
        <v/>
      </c>
      <c r="X355" s="168">
        <f>IF(分析!AE355&lt;&gt;"",分析!AE355,"")</f>
        <v/>
      </c>
      <c r="Y355" s="169">
        <f>IF(分析!T355&lt;&gt;"",分析!T355,"")</f>
        <v/>
      </c>
      <c r="Z355" s="155">
        <f>IF(分析!Y355&lt;&gt;"",分析!Y355,"")</f>
        <v/>
      </c>
    </row>
    <row r="356" ht="21.95" customHeight="1" s="574">
      <c r="A356" s="141">
        <f>IF(分析!C356&lt;&gt;"",ROW()-2,"")</f>
        <v/>
      </c>
      <c r="B356" s="142">
        <f>IF(分析!C356&lt;&gt;"",HYPERLINK("https://kabutan.jp/stock/?code="&amp;分析!C356,"株探"),"")</f>
        <v/>
      </c>
      <c r="C356" s="598">
        <f>IF(分析!C356&lt;&gt;"",分析!C356,"")</f>
        <v/>
      </c>
      <c r="D356" s="144">
        <f>IF(分析!D356&lt;&gt;"",分析!D356,"")</f>
        <v/>
      </c>
      <c r="E356" s="145">
        <f>IF(分析!E356&lt;&gt;"",分析!E356,"")</f>
        <v/>
      </c>
      <c r="F356" s="146">
        <f>IF(分析!F356&lt;&gt;"",分析!F356,"")</f>
        <v/>
      </c>
      <c r="G356" s="146">
        <f>IF(分析!H356&lt;&gt;"",分析!H356,"")</f>
        <v/>
      </c>
      <c r="H356" s="146">
        <f>IF(分析!I356&lt;&gt;"",分析!I356,"")</f>
        <v/>
      </c>
      <c r="I356" s="146">
        <f>IF(分析!J356&lt;&gt;"",分析!J356,"")</f>
        <v/>
      </c>
      <c r="J356" s="146">
        <f>IF(分析!AB356&lt;&gt;"",分析!AB356,"")</f>
        <v/>
      </c>
      <c r="K356" s="146">
        <f>IF(分析!AC356&lt;&gt;"",分析!AC356,"")</f>
        <v/>
      </c>
      <c r="L356" s="146">
        <f>IF(分析!K356&lt;&gt;"",分析!K356,"")</f>
        <v/>
      </c>
      <c r="M356" s="141">
        <f>IF(分析!P356&lt;&gt;"",分析!P356,"")</f>
        <v/>
      </c>
      <c r="N356" s="599">
        <f>IF(分析!O356&lt;&gt;"",分析!O356,"")</f>
        <v/>
      </c>
      <c r="O356" s="148">
        <f>IF(分析!X356&lt;&gt;"",分析!X356,"")</f>
        <v/>
      </c>
      <c r="P356" s="600">
        <f>IF(分析!L356&lt;&gt;"",分析!L356,"")</f>
        <v/>
      </c>
      <c r="Q356" s="146">
        <f>IF(分析!S356&lt;&gt;"",分析!S356,"")</f>
        <v/>
      </c>
      <c r="R356" s="146">
        <f>IF(分析!R356&lt;&gt;"",分析!R356,"")</f>
        <v/>
      </c>
      <c r="S356" s="141">
        <f>IF(分析!AA356&lt;&gt;"",分析!AA356,"")</f>
        <v/>
      </c>
      <c r="T356" s="601">
        <f>IF(分析!Z356&lt;&gt;"",分析!Z356,"")</f>
        <v/>
      </c>
      <c r="U356" s="141">
        <f>IF(分析!V356&lt;&gt;"",分析!V356,"")</f>
        <v/>
      </c>
      <c r="V356" s="602">
        <f>IF(分析!W356&lt;&gt;"",分析!W356,"")</f>
        <v/>
      </c>
      <c r="W356" s="152">
        <f>IF(分析!AD356&lt;&gt;"",分析!AD356,"")</f>
        <v/>
      </c>
      <c r="X356" s="153">
        <f>IF(分析!AE356&lt;&gt;"",分析!AE356,"")</f>
        <v/>
      </c>
      <c r="Y356" s="154">
        <f>IF(分析!T356&lt;&gt;"",分析!T356,"")</f>
        <v/>
      </c>
      <c r="Z356" s="155">
        <f>IF(分析!Y356&lt;&gt;"",分析!Y356,"")</f>
        <v/>
      </c>
    </row>
    <row r="357" ht="21.95" customHeight="1" s="574">
      <c r="A357" s="156">
        <f>IF(分析!C357&lt;&gt;"",ROW()-2,"")</f>
        <v/>
      </c>
      <c r="B357" s="157">
        <f>IF(分析!C357&lt;&gt;"",HYPERLINK("https://kabutan.jp/stock/?code="&amp;分析!C357,"株探"),"")</f>
        <v/>
      </c>
      <c r="C357" s="603">
        <f>IF(分析!C357&lt;&gt;"",分析!C357,"")</f>
        <v/>
      </c>
      <c r="D357" s="159">
        <f>IF(分析!D357&lt;&gt;"",分析!D357,"")</f>
        <v/>
      </c>
      <c r="E357" s="160">
        <f>IF(分析!E357&lt;&gt;"",分析!E357,"")</f>
        <v/>
      </c>
      <c r="F357" s="161">
        <f>IF(分析!F357&lt;&gt;"",分析!F357,"")</f>
        <v/>
      </c>
      <c r="G357" s="161">
        <f>IF(分析!H357&lt;&gt;"",分析!H357,"")</f>
        <v/>
      </c>
      <c r="H357" s="161">
        <f>IF(分析!I357&lt;&gt;"",分析!I357,"")</f>
        <v/>
      </c>
      <c r="I357" s="161">
        <f>IF(分析!J357&lt;&gt;"",分析!J357,"")</f>
        <v/>
      </c>
      <c r="J357" s="161">
        <f>IF(分析!AB357&lt;&gt;"",分析!AB357,"")</f>
        <v/>
      </c>
      <c r="K357" s="161">
        <f>IF(分析!AC357&lt;&gt;"",分析!AC357,"")</f>
        <v/>
      </c>
      <c r="L357" s="161">
        <f>IF(分析!K357&lt;&gt;"",分析!K357,"")</f>
        <v/>
      </c>
      <c r="M357" s="156">
        <f>IF(分析!P357&lt;&gt;"",分析!P357,"")</f>
        <v/>
      </c>
      <c r="N357" s="604">
        <f>IF(分析!O357&lt;&gt;"",分析!O357,"")</f>
        <v/>
      </c>
      <c r="O357" s="163">
        <f>IF(分析!X357&lt;&gt;"",分析!X357,"")</f>
        <v/>
      </c>
      <c r="P357" s="605">
        <f>IF(分析!L357&lt;&gt;"",分析!L357,"")</f>
        <v/>
      </c>
      <c r="Q357" s="161">
        <f>IF(分析!S357&lt;&gt;"",分析!S357,"")</f>
        <v/>
      </c>
      <c r="R357" s="161">
        <f>IF(分析!R357&lt;&gt;"",分析!R357,"")</f>
        <v/>
      </c>
      <c r="S357" s="156">
        <f>IF(分析!AA357&lt;&gt;"",分析!AA357,"")</f>
        <v/>
      </c>
      <c r="T357" s="606">
        <f>IF(分析!Z357&lt;&gt;"",分析!Z357,"")</f>
        <v/>
      </c>
      <c r="U357" s="156">
        <f>IF(分析!V357&lt;&gt;"",分析!V357,"")</f>
        <v/>
      </c>
      <c r="V357" s="607">
        <f>IF(分析!W357&lt;&gt;"",分析!W357,"")</f>
        <v/>
      </c>
      <c r="W357" s="167">
        <f>IF(分析!AD357&lt;&gt;"",分析!AD357,"")</f>
        <v/>
      </c>
      <c r="X357" s="168">
        <f>IF(分析!AE357&lt;&gt;"",分析!AE357,"")</f>
        <v/>
      </c>
      <c r="Y357" s="169">
        <f>IF(分析!T357&lt;&gt;"",分析!T357,"")</f>
        <v/>
      </c>
      <c r="Z357" s="155">
        <f>IF(分析!Y357&lt;&gt;"",分析!Y357,"")</f>
        <v/>
      </c>
    </row>
    <row r="358" ht="21.95" customHeight="1" s="574">
      <c r="A358" s="141">
        <f>IF(分析!C358&lt;&gt;"",ROW()-2,"")</f>
        <v/>
      </c>
      <c r="B358" s="142">
        <f>IF(分析!C358&lt;&gt;"",HYPERLINK("https://kabutan.jp/stock/?code="&amp;分析!C358,"株探"),"")</f>
        <v/>
      </c>
      <c r="C358" s="598">
        <f>IF(分析!C358&lt;&gt;"",分析!C358,"")</f>
        <v/>
      </c>
      <c r="D358" s="144">
        <f>IF(分析!D358&lt;&gt;"",分析!D358,"")</f>
        <v/>
      </c>
      <c r="E358" s="145">
        <f>IF(分析!E358&lt;&gt;"",分析!E358,"")</f>
        <v/>
      </c>
      <c r="F358" s="146">
        <f>IF(分析!F358&lt;&gt;"",分析!F358,"")</f>
        <v/>
      </c>
      <c r="G358" s="146">
        <f>IF(分析!H358&lt;&gt;"",分析!H358,"")</f>
        <v/>
      </c>
      <c r="H358" s="146">
        <f>IF(分析!I358&lt;&gt;"",分析!I358,"")</f>
        <v/>
      </c>
      <c r="I358" s="146">
        <f>IF(分析!J358&lt;&gt;"",分析!J358,"")</f>
        <v/>
      </c>
      <c r="J358" s="146">
        <f>IF(分析!AB358&lt;&gt;"",分析!AB358,"")</f>
        <v/>
      </c>
      <c r="K358" s="146">
        <f>IF(分析!AC358&lt;&gt;"",分析!AC358,"")</f>
        <v/>
      </c>
      <c r="L358" s="146">
        <f>IF(分析!K358&lt;&gt;"",分析!K358,"")</f>
        <v/>
      </c>
      <c r="M358" s="141">
        <f>IF(分析!P358&lt;&gt;"",分析!P358,"")</f>
        <v/>
      </c>
      <c r="N358" s="599">
        <f>IF(分析!O358&lt;&gt;"",分析!O358,"")</f>
        <v/>
      </c>
      <c r="O358" s="148">
        <f>IF(分析!X358&lt;&gt;"",分析!X358,"")</f>
        <v/>
      </c>
      <c r="P358" s="600">
        <f>IF(分析!L358&lt;&gt;"",分析!L358,"")</f>
        <v/>
      </c>
      <c r="Q358" s="146">
        <f>IF(分析!S358&lt;&gt;"",分析!S358,"")</f>
        <v/>
      </c>
      <c r="R358" s="146">
        <f>IF(分析!R358&lt;&gt;"",分析!R358,"")</f>
        <v/>
      </c>
      <c r="S358" s="141">
        <f>IF(分析!AA358&lt;&gt;"",分析!AA358,"")</f>
        <v/>
      </c>
      <c r="T358" s="601">
        <f>IF(分析!Z358&lt;&gt;"",分析!Z358,"")</f>
        <v/>
      </c>
      <c r="U358" s="141">
        <f>IF(分析!V358&lt;&gt;"",分析!V358,"")</f>
        <v/>
      </c>
      <c r="V358" s="602">
        <f>IF(分析!W358&lt;&gt;"",分析!W358,"")</f>
        <v/>
      </c>
      <c r="W358" s="152">
        <f>IF(分析!AD358&lt;&gt;"",分析!AD358,"")</f>
        <v/>
      </c>
      <c r="X358" s="153">
        <f>IF(分析!AE358&lt;&gt;"",分析!AE358,"")</f>
        <v/>
      </c>
      <c r="Y358" s="154">
        <f>IF(分析!T358&lt;&gt;"",分析!T358,"")</f>
        <v/>
      </c>
      <c r="Z358" s="155">
        <f>IF(分析!Y358&lt;&gt;"",分析!Y358,"")</f>
        <v/>
      </c>
    </row>
    <row r="359" ht="21.95" customHeight="1" s="574">
      <c r="A359" s="156">
        <f>IF(分析!C359&lt;&gt;"",ROW()-2,"")</f>
        <v/>
      </c>
      <c r="B359" s="157">
        <f>IF(分析!C359&lt;&gt;"",HYPERLINK("https://kabutan.jp/stock/?code="&amp;分析!C359,"株探"),"")</f>
        <v/>
      </c>
      <c r="C359" s="603">
        <f>IF(分析!C359&lt;&gt;"",分析!C359,"")</f>
        <v/>
      </c>
      <c r="D359" s="159">
        <f>IF(分析!D359&lt;&gt;"",分析!D359,"")</f>
        <v/>
      </c>
      <c r="E359" s="160">
        <f>IF(分析!E359&lt;&gt;"",分析!E359,"")</f>
        <v/>
      </c>
      <c r="F359" s="161">
        <f>IF(分析!F359&lt;&gt;"",分析!F359,"")</f>
        <v/>
      </c>
      <c r="G359" s="161">
        <f>IF(分析!H359&lt;&gt;"",分析!H359,"")</f>
        <v/>
      </c>
      <c r="H359" s="161">
        <f>IF(分析!I359&lt;&gt;"",分析!I359,"")</f>
        <v/>
      </c>
      <c r="I359" s="161">
        <f>IF(分析!J359&lt;&gt;"",分析!J359,"")</f>
        <v/>
      </c>
      <c r="J359" s="161">
        <f>IF(分析!AB359&lt;&gt;"",分析!AB359,"")</f>
        <v/>
      </c>
      <c r="K359" s="161">
        <f>IF(分析!AC359&lt;&gt;"",分析!AC359,"")</f>
        <v/>
      </c>
      <c r="L359" s="161">
        <f>IF(分析!K359&lt;&gt;"",分析!K359,"")</f>
        <v/>
      </c>
      <c r="M359" s="156">
        <f>IF(分析!P359&lt;&gt;"",分析!P359,"")</f>
        <v/>
      </c>
      <c r="N359" s="604">
        <f>IF(分析!O359&lt;&gt;"",分析!O359,"")</f>
        <v/>
      </c>
      <c r="O359" s="163">
        <f>IF(分析!X359&lt;&gt;"",分析!X359,"")</f>
        <v/>
      </c>
      <c r="P359" s="605">
        <f>IF(分析!L359&lt;&gt;"",分析!L359,"")</f>
        <v/>
      </c>
      <c r="Q359" s="161">
        <f>IF(分析!S359&lt;&gt;"",分析!S359,"")</f>
        <v/>
      </c>
      <c r="R359" s="161">
        <f>IF(分析!R359&lt;&gt;"",分析!R359,"")</f>
        <v/>
      </c>
      <c r="S359" s="156">
        <f>IF(分析!AA359&lt;&gt;"",分析!AA359,"")</f>
        <v/>
      </c>
      <c r="T359" s="606">
        <f>IF(分析!Z359&lt;&gt;"",分析!Z359,"")</f>
        <v/>
      </c>
      <c r="U359" s="156">
        <f>IF(分析!V359&lt;&gt;"",分析!V359,"")</f>
        <v/>
      </c>
      <c r="V359" s="607">
        <f>IF(分析!W359&lt;&gt;"",分析!W359,"")</f>
        <v/>
      </c>
      <c r="W359" s="167">
        <f>IF(分析!AD359&lt;&gt;"",分析!AD359,"")</f>
        <v/>
      </c>
      <c r="X359" s="168">
        <f>IF(分析!AE359&lt;&gt;"",分析!AE359,"")</f>
        <v/>
      </c>
      <c r="Y359" s="169">
        <f>IF(分析!T359&lt;&gt;"",分析!T359,"")</f>
        <v/>
      </c>
      <c r="Z359" s="155">
        <f>IF(分析!Y359&lt;&gt;"",分析!Y359,"")</f>
        <v/>
      </c>
    </row>
    <row r="360" ht="21.95" customHeight="1" s="574">
      <c r="A360" s="141">
        <f>IF(分析!C360&lt;&gt;"",ROW()-2,"")</f>
        <v/>
      </c>
      <c r="B360" s="142">
        <f>IF(分析!C360&lt;&gt;"",HYPERLINK("https://kabutan.jp/stock/?code="&amp;分析!C360,"株探"),"")</f>
        <v/>
      </c>
      <c r="C360" s="598">
        <f>IF(分析!C360&lt;&gt;"",分析!C360,"")</f>
        <v/>
      </c>
      <c r="D360" s="144">
        <f>IF(分析!D360&lt;&gt;"",分析!D360,"")</f>
        <v/>
      </c>
      <c r="E360" s="145">
        <f>IF(分析!E360&lt;&gt;"",分析!E360,"")</f>
        <v/>
      </c>
      <c r="F360" s="146">
        <f>IF(分析!F360&lt;&gt;"",分析!F360,"")</f>
        <v/>
      </c>
      <c r="G360" s="146">
        <f>IF(分析!H360&lt;&gt;"",分析!H360,"")</f>
        <v/>
      </c>
      <c r="H360" s="146">
        <f>IF(分析!I360&lt;&gt;"",分析!I360,"")</f>
        <v/>
      </c>
      <c r="I360" s="146">
        <f>IF(分析!J360&lt;&gt;"",分析!J360,"")</f>
        <v/>
      </c>
      <c r="J360" s="146">
        <f>IF(分析!AB360&lt;&gt;"",分析!AB360,"")</f>
        <v/>
      </c>
      <c r="K360" s="146">
        <f>IF(分析!AC360&lt;&gt;"",分析!AC360,"")</f>
        <v/>
      </c>
      <c r="L360" s="146">
        <f>IF(分析!K360&lt;&gt;"",分析!K360,"")</f>
        <v/>
      </c>
      <c r="M360" s="141">
        <f>IF(分析!P360&lt;&gt;"",分析!P360,"")</f>
        <v/>
      </c>
      <c r="N360" s="599">
        <f>IF(分析!O360&lt;&gt;"",分析!O360,"")</f>
        <v/>
      </c>
      <c r="O360" s="148">
        <f>IF(分析!X360&lt;&gt;"",分析!X360,"")</f>
        <v/>
      </c>
      <c r="P360" s="600">
        <f>IF(分析!L360&lt;&gt;"",分析!L360,"")</f>
        <v/>
      </c>
      <c r="Q360" s="146">
        <f>IF(分析!S360&lt;&gt;"",分析!S360,"")</f>
        <v/>
      </c>
      <c r="R360" s="146">
        <f>IF(分析!R360&lt;&gt;"",分析!R360,"")</f>
        <v/>
      </c>
      <c r="S360" s="141">
        <f>IF(分析!AA360&lt;&gt;"",分析!AA360,"")</f>
        <v/>
      </c>
      <c r="T360" s="601">
        <f>IF(分析!Z360&lt;&gt;"",分析!Z360,"")</f>
        <v/>
      </c>
      <c r="U360" s="141">
        <f>IF(分析!V360&lt;&gt;"",分析!V360,"")</f>
        <v/>
      </c>
      <c r="V360" s="602">
        <f>IF(分析!W360&lt;&gt;"",分析!W360,"")</f>
        <v/>
      </c>
      <c r="W360" s="152">
        <f>IF(分析!AD360&lt;&gt;"",分析!AD360,"")</f>
        <v/>
      </c>
      <c r="X360" s="153">
        <f>IF(分析!AE360&lt;&gt;"",分析!AE360,"")</f>
        <v/>
      </c>
      <c r="Y360" s="154">
        <f>IF(分析!T360&lt;&gt;"",分析!T360,"")</f>
        <v/>
      </c>
      <c r="Z360" s="155">
        <f>IF(分析!Y360&lt;&gt;"",分析!Y360,"")</f>
        <v/>
      </c>
    </row>
    <row r="361" ht="21.95" customHeight="1" s="574">
      <c r="A361" s="156">
        <f>IF(分析!C361&lt;&gt;"",ROW()-2,"")</f>
        <v/>
      </c>
      <c r="B361" s="157">
        <f>IF(分析!C361&lt;&gt;"",HYPERLINK("https://kabutan.jp/stock/?code="&amp;分析!C361,"株探"),"")</f>
        <v/>
      </c>
      <c r="C361" s="603">
        <f>IF(分析!C361&lt;&gt;"",分析!C361,"")</f>
        <v/>
      </c>
      <c r="D361" s="159">
        <f>IF(分析!D361&lt;&gt;"",分析!D361,"")</f>
        <v/>
      </c>
      <c r="E361" s="160">
        <f>IF(分析!E361&lt;&gt;"",分析!E361,"")</f>
        <v/>
      </c>
      <c r="F361" s="161">
        <f>IF(分析!F361&lt;&gt;"",分析!F361,"")</f>
        <v/>
      </c>
      <c r="G361" s="161">
        <f>IF(分析!H361&lt;&gt;"",分析!H361,"")</f>
        <v/>
      </c>
      <c r="H361" s="161">
        <f>IF(分析!I361&lt;&gt;"",分析!I361,"")</f>
        <v/>
      </c>
      <c r="I361" s="161">
        <f>IF(分析!J361&lt;&gt;"",分析!J361,"")</f>
        <v/>
      </c>
      <c r="J361" s="161">
        <f>IF(分析!AB361&lt;&gt;"",分析!AB361,"")</f>
        <v/>
      </c>
      <c r="K361" s="161">
        <f>IF(分析!AC361&lt;&gt;"",分析!AC361,"")</f>
        <v/>
      </c>
      <c r="L361" s="161">
        <f>IF(分析!K361&lt;&gt;"",分析!K361,"")</f>
        <v/>
      </c>
      <c r="M361" s="156">
        <f>IF(分析!P361&lt;&gt;"",分析!P361,"")</f>
        <v/>
      </c>
      <c r="N361" s="604">
        <f>IF(分析!O361&lt;&gt;"",分析!O361,"")</f>
        <v/>
      </c>
      <c r="O361" s="163">
        <f>IF(分析!X361&lt;&gt;"",分析!X361,"")</f>
        <v/>
      </c>
      <c r="P361" s="605">
        <f>IF(分析!L361&lt;&gt;"",分析!L361,"")</f>
        <v/>
      </c>
      <c r="Q361" s="161">
        <f>IF(分析!S361&lt;&gt;"",分析!S361,"")</f>
        <v/>
      </c>
      <c r="R361" s="161">
        <f>IF(分析!R361&lt;&gt;"",分析!R361,"")</f>
        <v/>
      </c>
      <c r="S361" s="156">
        <f>IF(分析!AA361&lt;&gt;"",分析!AA361,"")</f>
        <v/>
      </c>
      <c r="T361" s="606">
        <f>IF(分析!Z361&lt;&gt;"",分析!Z361,"")</f>
        <v/>
      </c>
      <c r="U361" s="156">
        <f>IF(分析!V361&lt;&gt;"",分析!V361,"")</f>
        <v/>
      </c>
      <c r="V361" s="607">
        <f>IF(分析!W361&lt;&gt;"",分析!W361,"")</f>
        <v/>
      </c>
      <c r="W361" s="167">
        <f>IF(分析!AD361&lt;&gt;"",分析!AD361,"")</f>
        <v/>
      </c>
      <c r="X361" s="168">
        <f>IF(分析!AE361&lt;&gt;"",分析!AE361,"")</f>
        <v/>
      </c>
      <c r="Y361" s="169">
        <f>IF(分析!T361&lt;&gt;"",分析!T361,"")</f>
        <v/>
      </c>
      <c r="Z361" s="155">
        <f>IF(分析!Y361&lt;&gt;"",分析!Y361,"")</f>
        <v/>
      </c>
    </row>
    <row r="362" ht="21.95" customHeight="1" s="574">
      <c r="A362" s="141">
        <f>IF(分析!C362&lt;&gt;"",ROW()-2,"")</f>
        <v/>
      </c>
      <c r="B362" s="142">
        <f>IF(分析!C362&lt;&gt;"",HYPERLINK("https://kabutan.jp/stock/?code="&amp;分析!C362,"株探"),"")</f>
        <v/>
      </c>
      <c r="C362" s="598">
        <f>IF(分析!C362&lt;&gt;"",分析!C362,"")</f>
        <v/>
      </c>
      <c r="D362" s="144">
        <f>IF(分析!D362&lt;&gt;"",分析!D362,"")</f>
        <v/>
      </c>
      <c r="E362" s="145">
        <f>IF(分析!E362&lt;&gt;"",分析!E362,"")</f>
        <v/>
      </c>
      <c r="F362" s="146">
        <f>IF(分析!F362&lt;&gt;"",分析!F362,"")</f>
        <v/>
      </c>
      <c r="G362" s="146">
        <f>IF(分析!H362&lt;&gt;"",分析!H362,"")</f>
        <v/>
      </c>
      <c r="H362" s="146">
        <f>IF(分析!I362&lt;&gt;"",分析!I362,"")</f>
        <v/>
      </c>
      <c r="I362" s="146">
        <f>IF(分析!J362&lt;&gt;"",分析!J362,"")</f>
        <v/>
      </c>
      <c r="J362" s="146">
        <f>IF(分析!AB362&lt;&gt;"",分析!AB362,"")</f>
        <v/>
      </c>
      <c r="K362" s="146">
        <f>IF(分析!AC362&lt;&gt;"",分析!AC362,"")</f>
        <v/>
      </c>
      <c r="L362" s="146">
        <f>IF(分析!K362&lt;&gt;"",分析!K362,"")</f>
        <v/>
      </c>
      <c r="M362" s="141">
        <f>IF(分析!P362&lt;&gt;"",分析!P362,"")</f>
        <v/>
      </c>
      <c r="N362" s="599">
        <f>IF(分析!O362&lt;&gt;"",分析!O362,"")</f>
        <v/>
      </c>
      <c r="O362" s="148">
        <f>IF(分析!X362&lt;&gt;"",分析!X362,"")</f>
        <v/>
      </c>
      <c r="P362" s="600">
        <f>IF(分析!L362&lt;&gt;"",分析!L362,"")</f>
        <v/>
      </c>
      <c r="Q362" s="146">
        <f>IF(分析!S362&lt;&gt;"",分析!S362,"")</f>
        <v/>
      </c>
      <c r="R362" s="146">
        <f>IF(分析!R362&lt;&gt;"",分析!R362,"")</f>
        <v/>
      </c>
      <c r="S362" s="141">
        <f>IF(分析!AA362&lt;&gt;"",分析!AA362,"")</f>
        <v/>
      </c>
      <c r="T362" s="601">
        <f>IF(分析!Z362&lt;&gt;"",分析!Z362,"")</f>
        <v/>
      </c>
      <c r="U362" s="141">
        <f>IF(分析!V362&lt;&gt;"",分析!V362,"")</f>
        <v/>
      </c>
      <c r="V362" s="602">
        <f>IF(分析!W362&lt;&gt;"",分析!W362,"")</f>
        <v/>
      </c>
      <c r="W362" s="152">
        <f>IF(分析!AD362&lt;&gt;"",分析!AD362,"")</f>
        <v/>
      </c>
      <c r="X362" s="153">
        <f>IF(分析!AE362&lt;&gt;"",分析!AE362,"")</f>
        <v/>
      </c>
      <c r="Y362" s="154">
        <f>IF(分析!T362&lt;&gt;"",分析!T362,"")</f>
        <v/>
      </c>
      <c r="Z362" s="155">
        <f>IF(分析!Y362&lt;&gt;"",分析!Y362,"")</f>
        <v/>
      </c>
    </row>
    <row r="363" ht="21.95" customHeight="1" s="574">
      <c r="A363" s="156">
        <f>IF(分析!C363&lt;&gt;"",ROW()-2,"")</f>
        <v/>
      </c>
      <c r="B363" s="157">
        <f>IF(分析!C363&lt;&gt;"",HYPERLINK("https://kabutan.jp/stock/?code="&amp;分析!C363,"株探"),"")</f>
        <v/>
      </c>
      <c r="C363" s="603">
        <f>IF(分析!C363&lt;&gt;"",分析!C363,"")</f>
        <v/>
      </c>
      <c r="D363" s="159">
        <f>IF(分析!D363&lt;&gt;"",分析!D363,"")</f>
        <v/>
      </c>
      <c r="E363" s="160">
        <f>IF(分析!E363&lt;&gt;"",分析!E363,"")</f>
        <v/>
      </c>
      <c r="F363" s="161">
        <f>IF(分析!F363&lt;&gt;"",分析!F363,"")</f>
        <v/>
      </c>
      <c r="G363" s="161">
        <f>IF(分析!H363&lt;&gt;"",分析!H363,"")</f>
        <v/>
      </c>
      <c r="H363" s="161">
        <f>IF(分析!I363&lt;&gt;"",分析!I363,"")</f>
        <v/>
      </c>
      <c r="I363" s="161">
        <f>IF(分析!J363&lt;&gt;"",分析!J363,"")</f>
        <v/>
      </c>
      <c r="J363" s="161">
        <f>IF(分析!AB363&lt;&gt;"",分析!AB363,"")</f>
        <v/>
      </c>
      <c r="K363" s="161">
        <f>IF(分析!AC363&lt;&gt;"",分析!AC363,"")</f>
        <v/>
      </c>
      <c r="L363" s="161">
        <f>IF(分析!K363&lt;&gt;"",分析!K363,"")</f>
        <v/>
      </c>
      <c r="M363" s="156">
        <f>IF(分析!P363&lt;&gt;"",分析!P363,"")</f>
        <v/>
      </c>
      <c r="N363" s="604">
        <f>IF(分析!O363&lt;&gt;"",分析!O363,"")</f>
        <v/>
      </c>
      <c r="O363" s="163">
        <f>IF(分析!X363&lt;&gt;"",分析!X363,"")</f>
        <v/>
      </c>
      <c r="P363" s="605">
        <f>IF(分析!L363&lt;&gt;"",分析!L363,"")</f>
        <v/>
      </c>
      <c r="Q363" s="161">
        <f>IF(分析!S363&lt;&gt;"",分析!S363,"")</f>
        <v/>
      </c>
      <c r="R363" s="161">
        <f>IF(分析!R363&lt;&gt;"",分析!R363,"")</f>
        <v/>
      </c>
      <c r="S363" s="156">
        <f>IF(分析!AA363&lt;&gt;"",分析!AA363,"")</f>
        <v/>
      </c>
      <c r="T363" s="606">
        <f>IF(分析!Z363&lt;&gt;"",分析!Z363,"")</f>
        <v/>
      </c>
      <c r="U363" s="156">
        <f>IF(分析!V363&lt;&gt;"",分析!V363,"")</f>
        <v/>
      </c>
      <c r="V363" s="607">
        <f>IF(分析!W363&lt;&gt;"",分析!W363,"")</f>
        <v/>
      </c>
      <c r="W363" s="167">
        <f>IF(分析!AD363&lt;&gt;"",分析!AD363,"")</f>
        <v/>
      </c>
      <c r="X363" s="168">
        <f>IF(分析!AE363&lt;&gt;"",分析!AE363,"")</f>
        <v/>
      </c>
      <c r="Y363" s="169">
        <f>IF(分析!T363&lt;&gt;"",分析!T363,"")</f>
        <v/>
      </c>
      <c r="Z363" s="155">
        <f>IF(分析!Y363&lt;&gt;"",分析!Y363,"")</f>
        <v/>
      </c>
    </row>
    <row r="364" ht="21.95" customHeight="1" s="574">
      <c r="A364" s="141">
        <f>IF(分析!C364&lt;&gt;"",ROW()-2,"")</f>
        <v/>
      </c>
      <c r="B364" s="142">
        <f>IF(分析!C364&lt;&gt;"",HYPERLINK("https://kabutan.jp/stock/?code="&amp;分析!C364,"株探"),"")</f>
        <v/>
      </c>
      <c r="C364" s="598">
        <f>IF(分析!C364&lt;&gt;"",分析!C364,"")</f>
        <v/>
      </c>
      <c r="D364" s="144">
        <f>IF(分析!D364&lt;&gt;"",分析!D364,"")</f>
        <v/>
      </c>
      <c r="E364" s="145">
        <f>IF(分析!E364&lt;&gt;"",分析!E364,"")</f>
        <v/>
      </c>
      <c r="F364" s="146">
        <f>IF(分析!F364&lt;&gt;"",分析!F364,"")</f>
        <v/>
      </c>
      <c r="G364" s="146">
        <f>IF(分析!H364&lt;&gt;"",分析!H364,"")</f>
        <v/>
      </c>
      <c r="H364" s="146">
        <f>IF(分析!I364&lt;&gt;"",分析!I364,"")</f>
        <v/>
      </c>
      <c r="I364" s="146">
        <f>IF(分析!J364&lt;&gt;"",分析!J364,"")</f>
        <v/>
      </c>
      <c r="J364" s="146">
        <f>IF(分析!AB364&lt;&gt;"",分析!AB364,"")</f>
        <v/>
      </c>
      <c r="K364" s="146">
        <f>IF(分析!AC364&lt;&gt;"",分析!AC364,"")</f>
        <v/>
      </c>
      <c r="L364" s="146">
        <f>IF(分析!K364&lt;&gt;"",分析!K364,"")</f>
        <v/>
      </c>
      <c r="M364" s="141">
        <f>IF(分析!P364&lt;&gt;"",分析!P364,"")</f>
        <v/>
      </c>
      <c r="N364" s="599">
        <f>IF(分析!O364&lt;&gt;"",分析!O364,"")</f>
        <v/>
      </c>
      <c r="O364" s="148">
        <f>IF(分析!X364&lt;&gt;"",分析!X364,"")</f>
        <v/>
      </c>
      <c r="P364" s="600">
        <f>IF(分析!L364&lt;&gt;"",分析!L364,"")</f>
        <v/>
      </c>
      <c r="Q364" s="146">
        <f>IF(分析!S364&lt;&gt;"",分析!S364,"")</f>
        <v/>
      </c>
      <c r="R364" s="146">
        <f>IF(分析!R364&lt;&gt;"",分析!R364,"")</f>
        <v/>
      </c>
      <c r="S364" s="141">
        <f>IF(分析!AA364&lt;&gt;"",分析!AA364,"")</f>
        <v/>
      </c>
      <c r="T364" s="601">
        <f>IF(分析!Z364&lt;&gt;"",分析!Z364,"")</f>
        <v/>
      </c>
      <c r="U364" s="141">
        <f>IF(分析!V364&lt;&gt;"",分析!V364,"")</f>
        <v/>
      </c>
      <c r="V364" s="602">
        <f>IF(分析!W364&lt;&gt;"",分析!W364,"")</f>
        <v/>
      </c>
      <c r="W364" s="152">
        <f>IF(分析!AD364&lt;&gt;"",分析!AD364,"")</f>
        <v/>
      </c>
      <c r="X364" s="153">
        <f>IF(分析!AE364&lt;&gt;"",分析!AE364,"")</f>
        <v/>
      </c>
      <c r="Y364" s="154">
        <f>IF(分析!T364&lt;&gt;"",分析!T364,"")</f>
        <v/>
      </c>
      <c r="Z364" s="155">
        <f>IF(分析!Y364&lt;&gt;"",分析!Y364,"")</f>
        <v/>
      </c>
    </row>
    <row r="365" ht="21.95" customHeight="1" s="574">
      <c r="A365" s="156">
        <f>IF(分析!C365&lt;&gt;"",ROW()-2,"")</f>
        <v/>
      </c>
      <c r="B365" s="157">
        <f>IF(分析!C365&lt;&gt;"",HYPERLINK("https://kabutan.jp/stock/?code="&amp;分析!C365,"株探"),"")</f>
        <v/>
      </c>
      <c r="C365" s="603">
        <f>IF(分析!C365&lt;&gt;"",分析!C365,"")</f>
        <v/>
      </c>
      <c r="D365" s="159">
        <f>IF(分析!D365&lt;&gt;"",分析!D365,"")</f>
        <v/>
      </c>
      <c r="E365" s="160">
        <f>IF(分析!E365&lt;&gt;"",分析!E365,"")</f>
        <v/>
      </c>
      <c r="F365" s="161">
        <f>IF(分析!F365&lt;&gt;"",分析!F365,"")</f>
        <v/>
      </c>
      <c r="G365" s="161">
        <f>IF(分析!H365&lt;&gt;"",分析!H365,"")</f>
        <v/>
      </c>
      <c r="H365" s="161">
        <f>IF(分析!I365&lt;&gt;"",分析!I365,"")</f>
        <v/>
      </c>
      <c r="I365" s="161">
        <f>IF(分析!J365&lt;&gt;"",分析!J365,"")</f>
        <v/>
      </c>
      <c r="J365" s="161">
        <f>IF(分析!AB365&lt;&gt;"",分析!AB365,"")</f>
        <v/>
      </c>
      <c r="K365" s="161">
        <f>IF(分析!AC365&lt;&gt;"",分析!AC365,"")</f>
        <v/>
      </c>
      <c r="L365" s="161">
        <f>IF(分析!K365&lt;&gt;"",分析!K365,"")</f>
        <v/>
      </c>
      <c r="M365" s="156">
        <f>IF(分析!P365&lt;&gt;"",分析!P365,"")</f>
        <v/>
      </c>
      <c r="N365" s="604">
        <f>IF(分析!O365&lt;&gt;"",分析!O365,"")</f>
        <v/>
      </c>
      <c r="O365" s="163">
        <f>IF(分析!X365&lt;&gt;"",分析!X365,"")</f>
        <v/>
      </c>
      <c r="P365" s="605">
        <f>IF(分析!L365&lt;&gt;"",分析!L365,"")</f>
        <v/>
      </c>
      <c r="Q365" s="161">
        <f>IF(分析!S365&lt;&gt;"",分析!S365,"")</f>
        <v/>
      </c>
      <c r="R365" s="161">
        <f>IF(分析!R365&lt;&gt;"",分析!R365,"")</f>
        <v/>
      </c>
      <c r="S365" s="156">
        <f>IF(分析!AA365&lt;&gt;"",分析!AA365,"")</f>
        <v/>
      </c>
      <c r="T365" s="606">
        <f>IF(分析!Z365&lt;&gt;"",分析!Z365,"")</f>
        <v/>
      </c>
      <c r="U365" s="156">
        <f>IF(分析!V365&lt;&gt;"",分析!V365,"")</f>
        <v/>
      </c>
      <c r="V365" s="607">
        <f>IF(分析!W365&lt;&gt;"",分析!W365,"")</f>
        <v/>
      </c>
      <c r="W365" s="167">
        <f>IF(分析!AD365&lt;&gt;"",分析!AD365,"")</f>
        <v/>
      </c>
      <c r="X365" s="168">
        <f>IF(分析!AE365&lt;&gt;"",分析!AE365,"")</f>
        <v/>
      </c>
      <c r="Y365" s="169">
        <f>IF(分析!T365&lt;&gt;"",分析!T365,"")</f>
        <v/>
      </c>
      <c r="Z365" s="155">
        <f>IF(分析!Y365&lt;&gt;"",分析!Y365,"")</f>
        <v/>
      </c>
    </row>
    <row r="366" ht="21.95" customHeight="1" s="574">
      <c r="A366" s="141">
        <f>IF(分析!C366&lt;&gt;"",ROW()-2,"")</f>
        <v/>
      </c>
      <c r="B366" s="142">
        <f>IF(分析!C366&lt;&gt;"",HYPERLINK("https://kabutan.jp/stock/?code="&amp;分析!C366,"株探"),"")</f>
        <v/>
      </c>
      <c r="C366" s="598">
        <f>IF(分析!C366&lt;&gt;"",分析!C366,"")</f>
        <v/>
      </c>
      <c r="D366" s="144">
        <f>IF(分析!D366&lt;&gt;"",分析!D366,"")</f>
        <v/>
      </c>
      <c r="E366" s="145">
        <f>IF(分析!E366&lt;&gt;"",分析!E366,"")</f>
        <v/>
      </c>
      <c r="F366" s="146">
        <f>IF(分析!F366&lt;&gt;"",分析!F366,"")</f>
        <v/>
      </c>
      <c r="G366" s="146">
        <f>IF(分析!H366&lt;&gt;"",分析!H366,"")</f>
        <v/>
      </c>
      <c r="H366" s="146">
        <f>IF(分析!I366&lt;&gt;"",分析!I366,"")</f>
        <v/>
      </c>
      <c r="I366" s="146">
        <f>IF(分析!J366&lt;&gt;"",分析!J366,"")</f>
        <v/>
      </c>
      <c r="J366" s="146">
        <f>IF(分析!AB366&lt;&gt;"",分析!AB366,"")</f>
        <v/>
      </c>
      <c r="K366" s="146">
        <f>IF(分析!AC366&lt;&gt;"",分析!AC366,"")</f>
        <v/>
      </c>
      <c r="L366" s="146">
        <f>IF(分析!K366&lt;&gt;"",分析!K366,"")</f>
        <v/>
      </c>
      <c r="M366" s="141">
        <f>IF(分析!P366&lt;&gt;"",分析!P366,"")</f>
        <v/>
      </c>
      <c r="N366" s="599">
        <f>IF(分析!O366&lt;&gt;"",分析!O366,"")</f>
        <v/>
      </c>
      <c r="O366" s="148">
        <f>IF(分析!X366&lt;&gt;"",分析!X366,"")</f>
        <v/>
      </c>
      <c r="P366" s="600">
        <f>IF(分析!L366&lt;&gt;"",分析!L366,"")</f>
        <v/>
      </c>
      <c r="Q366" s="146">
        <f>IF(分析!S366&lt;&gt;"",分析!S366,"")</f>
        <v/>
      </c>
      <c r="R366" s="146">
        <f>IF(分析!R366&lt;&gt;"",分析!R366,"")</f>
        <v/>
      </c>
      <c r="S366" s="141">
        <f>IF(分析!AA366&lt;&gt;"",分析!AA366,"")</f>
        <v/>
      </c>
      <c r="T366" s="601">
        <f>IF(分析!Z366&lt;&gt;"",分析!Z366,"")</f>
        <v/>
      </c>
      <c r="U366" s="141">
        <f>IF(分析!V366&lt;&gt;"",分析!V366,"")</f>
        <v/>
      </c>
      <c r="V366" s="602">
        <f>IF(分析!W366&lt;&gt;"",分析!W366,"")</f>
        <v/>
      </c>
      <c r="W366" s="152">
        <f>IF(分析!AD366&lt;&gt;"",分析!AD366,"")</f>
        <v/>
      </c>
      <c r="X366" s="153">
        <f>IF(分析!AE366&lt;&gt;"",分析!AE366,"")</f>
        <v/>
      </c>
      <c r="Y366" s="154">
        <f>IF(分析!T366&lt;&gt;"",分析!T366,"")</f>
        <v/>
      </c>
      <c r="Z366" s="155">
        <f>IF(分析!Y366&lt;&gt;"",分析!Y366,"")</f>
        <v/>
      </c>
    </row>
    <row r="367" ht="21.95" customHeight="1" s="574">
      <c r="A367" s="156">
        <f>IF(分析!C367&lt;&gt;"",ROW()-2,"")</f>
        <v/>
      </c>
      <c r="B367" s="157">
        <f>IF(分析!C367&lt;&gt;"",HYPERLINK("https://kabutan.jp/stock/?code="&amp;分析!C367,"株探"),"")</f>
        <v/>
      </c>
      <c r="C367" s="603">
        <f>IF(分析!C367&lt;&gt;"",分析!C367,"")</f>
        <v/>
      </c>
      <c r="D367" s="159">
        <f>IF(分析!D367&lt;&gt;"",分析!D367,"")</f>
        <v/>
      </c>
      <c r="E367" s="160">
        <f>IF(分析!E367&lt;&gt;"",分析!E367,"")</f>
        <v/>
      </c>
      <c r="F367" s="161">
        <f>IF(分析!F367&lt;&gt;"",分析!F367,"")</f>
        <v/>
      </c>
      <c r="G367" s="161">
        <f>IF(分析!H367&lt;&gt;"",分析!H367,"")</f>
        <v/>
      </c>
      <c r="H367" s="161">
        <f>IF(分析!I367&lt;&gt;"",分析!I367,"")</f>
        <v/>
      </c>
      <c r="I367" s="161">
        <f>IF(分析!J367&lt;&gt;"",分析!J367,"")</f>
        <v/>
      </c>
      <c r="J367" s="161">
        <f>IF(分析!AB367&lt;&gt;"",分析!AB367,"")</f>
        <v/>
      </c>
      <c r="K367" s="161">
        <f>IF(分析!AC367&lt;&gt;"",分析!AC367,"")</f>
        <v/>
      </c>
      <c r="L367" s="161">
        <f>IF(分析!K367&lt;&gt;"",分析!K367,"")</f>
        <v/>
      </c>
      <c r="M367" s="156">
        <f>IF(分析!P367&lt;&gt;"",分析!P367,"")</f>
        <v/>
      </c>
      <c r="N367" s="604">
        <f>IF(分析!O367&lt;&gt;"",分析!O367,"")</f>
        <v/>
      </c>
      <c r="O367" s="163">
        <f>IF(分析!X367&lt;&gt;"",分析!X367,"")</f>
        <v/>
      </c>
      <c r="P367" s="605">
        <f>IF(分析!L367&lt;&gt;"",分析!L367,"")</f>
        <v/>
      </c>
      <c r="Q367" s="161">
        <f>IF(分析!S367&lt;&gt;"",分析!S367,"")</f>
        <v/>
      </c>
      <c r="R367" s="161">
        <f>IF(分析!R367&lt;&gt;"",分析!R367,"")</f>
        <v/>
      </c>
      <c r="S367" s="156">
        <f>IF(分析!AA367&lt;&gt;"",分析!AA367,"")</f>
        <v/>
      </c>
      <c r="T367" s="606">
        <f>IF(分析!Z367&lt;&gt;"",分析!Z367,"")</f>
        <v/>
      </c>
      <c r="U367" s="156">
        <f>IF(分析!V367&lt;&gt;"",分析!V367,"")</f>
        <v/>
      </c>
      <c r="V367" s="607">
        <f>IF(分析!W367&lt;&gt;"",分析!W367,"")</f>
        <v/>
      </c>
      <c r="W367" s="167">
        <f>IF(分析!AD367&lt;&gt;"",分析!AD367,"")</f>
        <v/>
      </c>
      <c r="X367" s="168">
        <f>IF(分析!AE367&lt;&gt;"",分析!AE367,"")</f>
        <v/>
      </c>
      <c r="Y367" s="169">
        <f>IF(分析!T367&lt;&gt;"",分析!T367,"")</f>
        <v/>
      </c>
      <c r="Z367" s="155">
        <f>IF(分析!Y367&lt;&gt;"",分析!Y367,"")</f>
        <v/>
      </c>
    </row>
    <row r="368" ht="21.95" customHeight="1" s="574">
      <c r="A368" s="141">
        <f>IF(分析!C368&lt;&gt;"",ROW()-2,"")</f>
        <v/>
      </c>
      <c r="B368" s="142">
        <f>IF(分析!C368&lt;&gt;"",HYPERLINK("https://kabutan.jp/stock/?code="&amp;分析!C368,"株探"),"")</f>
        <v/>
      </c>
      <c r="C368" s="598">
        <f>IF(分析!C368&lt;&gt;"",分析!C368,"")</f>
        <v/>
      </c>
      <c r="D368" s="144">
        <f>IF(分析!D368&lt;&gt;"",分析!D368,"")</f>
        <v/>
      </c>
      <c r="E368" s="145">
        <f>IF(分析!E368&lt;&gt;"",分析!E368,"")</f>
        <v/>
      </c>
      <c r="F368" s="146">
        <f>IF(分析!F368&lt;&gt;"",分析!F368,"")</f>
        <v/>
      </c>
      <c r="G368" s="146">
        <f>IF(分析!H368&lt;&gt;"",分析!H368,"")</f>
        <v/>
      </c>
      <c r="H368" s="146">
        <f>IF(分析!I368&lt;&gt;"",分析!I368,"")</f>
        <v/>
      </c>
      <c r="I368" s="146">
        <f>IF(分析!J368&lt;&gt;"",分析!J368,"")</f>
        <v/>
      </c>
      <c r="J368" s="146">
        <f>IF(分析!AB368&lt;&gt;"",分析!AB368,"")</f>
        <v/>
      </c>
      <c r="K368" s="146">
        <f>IF(分析!AC368&lt;&gt;"",分析!AC368,"")</f>
        <v/>
      </c>
      <c r="L368" s="146">
        <f>IF(分析!K368&lt;&gt;"",分析!K368,"")</f>
        <v/>
      </c>
      <c r="M368" s="141">
        <f>IF(分析!P368&lt;&gt;"",分析!P368,"")</f>
        <v/>
      </c>
      <c r="N368" s="599">
        <f>IF(分析!O368&lt;&gt;"",分析!O368,"")</f>
        <v/>
      </c>
      <c r="O368" s="148">
        <f>IF(分析!X368&lt;&gt;"",分析!X368,"")</f>
        <v/>
      </c>
      <c r="P368" s="600">
        <f>IF(分析!L368&lt;&gt;"",分析!L368,"")</f>
        <v/>
      </c>
      <c r="Q368" s="146">
        <f>IF(分析!S368&lt;&gt;"",分析!S368,"")</f>
        <v/>
      </c>
      <c r="R368" s="146">
        <f>IF(分析!R368&lt;&gt;"",分析!R368,"")</f>
        <v/>
      </c>
      <c r="S368" s="141">
        <f>IF(分析!AA368&lt;&gt;"",分析!AA368,"")</f>
        <v/>
      </c>
      <c r="T368" s="601">
        <f>IF(分析!Z368&lt;&gt;"",分析!Z368,"")</f>
        <v/>
      </c>
      <c r="U368" s="141">
        <f>IF(分析!V368&lt;&gt;"",分析!V368,"")</f>
        <v/>
      </c>
      <c r="V368" s="602">
        <f>IF(分析!W368&lt;&gt;"",分析!W368,"")</f>
        <v/>
      </c>
      <c r="W368" s="152">
        <f>IF(分析!AD368&lt;&gt;"",分析!AD368,"")</f>
        <v/>
      </c>
      <c r="X368" s="153">
        <f>IF(分析!AE368&lt;&gt;"",分析!AE368,"")</f>
        <v/>
      </c>
      <c r="Y368" s="154">
        <f>IF(分析!T368&lt;&gt;"",分析!T368,"")</f>
        <v/>
      </c>
      <c r="Z368" s="155">
        <f>IF(分析!Y368&lt;&gt;"",分析!Y368,"")</f>
        <v/>
      </c>
    </row>
    <row r="369" ht="21.95" customHeight="1" s="574">
      <c r="A369" s="156">
        <f>IF(分析!C369&lt;&gt;"",ROW()-2,"")</f>
        <v/>
      </c>
      <c r="B369" s="157">
        <f>IF(分析!C369&lt;&gt;"",HYPERLINK("https://kabutan.jp/stock/?code="&amp;分析!C369,"株探"),"")</f>
        <v/>
      </c>
      <c r="C369" s="603">
        <f>IF(分析!C369&lt;&gt;"",分析!C369,"")</f>
        <v/>
      </c>
      <c r="D369" s="159">
        <f>IF(分析!D369&lt;&gt;"",分析!D369,"")</f>
        <v/>
      </c>
      <c r="E369" s="160">
        <f>IF(分析!E369&lt;&gt;"",分析!E369,"")</f>
        <v/>
      </c>
      <c r="F369" s="161">
        <f>IF(分析!F369&lt;&gt;"",分析!F369,"")</f>
        <v/>
      </c>
      <c r="G369" s="161">
        <f>IF(分析!H369&lt;&gt;"",分析!H369,"")</f>
        <v/>
      </c>
      <c r="H369" s="161">
        <f>IF(分析!I369&lt;&gt;"",分析!I369,"")</f>
        <v/>
      </c>
      <c r="I369" s="161">
        <f>IF(分析!J369&lt;&gt;"",分析!J369,"")</f>
        <v/>
      </c>
      <c r="J369" s="161">
        <f>IF(分析!AB369&lt;&gt;"",分析!AB369,"")</f>
        <v/>
      </c>
      <c r="K369" s="161">
        <f>IF(分析!AC369&lt;&gt;"",分析!AC369,"")</f>
        <v/>
      </c>
      <c r="L369" s="161">
        <f>IF(分析!K369&lt;&gt;"",分析!K369,"")</f>
        <v/>
      </c>
      <c r="M369" s="156">
        <f>IF(分析!P369&lt;&gt;"",分析!P369,"")</f>
        <v/>
      </c>
      <c r="N369" s="604">
        <f>IF(分析!O369&lt;&gt;"",分析!O369,"")</f>
        <v/>
      </c>
      <c r="O369" s="163">
        <f>IF(分析!X369&lt;&gt;"",分析!X369,"")</f>
        <v/>
      </c>
      <c r="P369" s="605">
        <f>IF(分析!L369&lt;&gt;"",分析!L369,"")</f>
        <v/>
      </c>
      <c r="Q369" s="161">
        <f>IF(分析!S369&lt;&gt;"",分析!S369,"")</f>
        <v/>
      </c>
      <c r="R369" s="161">
        <f>IF(分析!R369&lt;&gt;"",分析!R369,"")</f>
        <v/>
      </c>
      <c r="S369" s="156">
        <f>IF(分析!AA369&lt;&gt;"",分析!AA369,"")</f>
        <v/>
      </c>
      <c r="T369" s="606">
        <f>IF(分析!Z369&lt;&gt;"",分析!Z369,"")</f>
        <v/>
      </c>
      <c r="U369" s="156">
        <f>IF(分析!V369&lt;&gt;"",分析!V369,"")</f>
        <v/>
      </c>
      <c r="V369" s="607">
        <f>IF(分析!W369&lt;&gt;"",分析!W369,"")</f>
        <v/>
      </c>
      <c r="W369" s="167">
        <f>IF(分析!AD369&lt;&gt;"",分析!AD369,"")</f>
        <v/>
      </c>
      <c r="X369" s="168">
        <f>IF(分析!AE369&lt;&gt;"",分析!AE369,"")</f>
        <v/>
      </c>
      <c r="Y369" s="169">
        <f>IF(分析!T369&lt;&gt;"",分析!T369,"")</f>
        <v/>
      </c>
      <c r="Z369" s="155">
        <f>IF(分析!Y369&lt;&gt;"",分析!Y369,"")</f>
        <v/>
      </c>
    </row>
    <row r="370" ht="21.95" customHeight="1" s="574">
      <c r="A370" s="141">
        <f>IF(分析!C370&lt;&gt;"",ROW()-2,"")</f>
        <v/>
      </c>
      <c r="B370" s="142">
        <f>IF(分析!C370&lt;&gt;"",HYPERLINK("https://kabutan.jp/stock/?code="&amp;分析!C370,"株探"),"")</f>
        <v/>
      </c>
      <c r="C370" s="598">
        <f>IF(分析!C370&lt;&gt;"",分析!C370,"")</f>
        <v/>
      </c>
      <c r="D370" s="144">
        <f>IF(分析!D370&lt;&gt;"",分析!D370,"")</f>
        <v/>
      </c>
      <c r="E370" s="145">
        <f>IF(分析!E370&lt;&gt;"",分析!E370,"")</f>
        <v/>
      </c>
      <c r="F370" s="146">
        <f>IF(分析!F370&lt;&gt;"",分析!F370,"")</f>
        <v/>
      </c>
      <c r="G370" s="146">
        <f>IF(分析!H370&lt;&gt;"",分析!H370,"")</f>
        <v/>
      </c>
      <c r="H370" s="146">
        <f>IF(分析!I370&lt;&gt;"",分析!I370,"")</f>
        <v/>
      </c>
      <c r="I370" s="146">
        <f>IF(分析!J370&lt;&gt;"",分析!J370,"")</f>
        <v/>
      </c>
      <c r="J370" s="146">
        <f>IF(分析!AB370&lt;&gt;"",分析!AB370,"")</f>
        <v/>
      </c>
      <c r="K370" s="146">
        <f>IF(分析!AC370&lt;&gt;"",分析!AC370,"")</f>
        <v/>
      </c>
      <c r="L370" s="146">
        <f>IF(分析!K370&lt;&gt;"",分析!K370,"")</f>
        <v/>
      </c>
      <c r="M370" s="141">
        <f>IF(分析!P370&lt;&gt;"",分析!P370,"")</f>
        <v/>
      </c>
      <c r="N370" s="599">
        <f>IF(分析!O370&lt;&gt;"",分析!O370,"")</f>
        <v/>
      </c>
      <c r="O370" s="148">
        <f>IF(分析!X370&lt;&gt;"",分析!X370,"")</f>
        <v/>
      </c>
      <c r="P370" s="600">
        <f>IF(分析!L370&lt;&gt;"",分析!L370,"")</f>
        <v/>
      </c>
      <c r="Q370" s="146">
        <f>IF(分析!S370&lt;&gt;"",分析!S370,"")</f>
        <v/>
      </c>
      <c r="R370" s="146">
        <f>IF(分析!R370&lt;&gt;"",分析!R370,"")</f>
        <v/>
      </c>
      <c r="S370" s="141">
        <f>IF(分析!AA370&lt;&gt;"",分析!AA370,"")</f>
        <v/>
      </c>
      <c r="T370" s="601">
        <f>IF(分析!Z370&lt;&gt;"",分析!Z370,"")</f>
        <v/>
      </c>
      <c r="U370" s="141">
        <f>IF(分析!V370&lt;&gt;"",分析!V370,"")</f>
        <v/>
      </c>
      <c r="V370" s="602">
        <f>IF(分析!W370&lt;&gt;"",分析!W370,"")</f>
        <v/>
      </c>
      <c r="W370" s="152">
        <f>IF(分析!AD370&lt;&gt;"",分析!AD370,"")</f>
        <v/>
      </c>
      <c r="X370" s="153">
        <f>IF(分析!AE370&lt;&gt;"",分析!AE370,"")</f>
        <v/>
      </c>
      <c r="Y370" s="154">
        <f>IF(分析!T370&lt;&gt;"",分析!T370,"")</f>
        <v/>
      </c>
      <c r="Z370" s="155">
        <f>IF(分析!Y370&lt;&gt;"",分析!Y370,"")</f>
        <v/>
      </c>
    </row>
    <row r="371" ht="21.95" customHeight="1" s="574">
      <c r="A371" s="156">
        <f>IF(分析!C371&lt;&gt;"",ROW()-2,"")</f>
        <v/>
      </c>
      <c r="B371" s="157">
        <f>IF(分析!C371&lt;&gt;"",HYPERLINK("https://kabutan.jp/stock/?code="&amp;分析!C371,"株探"),"")</f>
        <v/>
      </c>
      <c r="C371" s="603">
        <f>IF(分析!C371&lt;&gt;"",分析!C371,"")</f>
        <v/>
      </c>
      <c r="D371" s="159">
        <f>IF(分析!D371&lt;&gt;"",分析!D371,"")</f>
        <v/>
      </c>
      <c r="E371" s="160">
        <f>IF(分析!E371&lt;&gt;"",分析!E371,"")</f>
        <v/>
      </c>
      <c r="F371" s="161">
        <f>IF(分析!F371&lt;&gt;"",分析!F371,"")</f>
        <v/>
      </c>
      <c r="G371" s="161">
        <f>IF(分析!H371&lt;&gt;"",分析!H371,"")</f>
        <v/>
      </c>
      <c r="H371" s="161">
        <f>IF(分析!I371&lt;&gt;"",分析!I371,"")</f>
        <v/>
      </c>
      <c r="I371" s="161">
        <f>IF(分析!J371&lt;&gt;"",分析!J371,"")</f>
        <v/>
      </c>
      <c r="J371" s="161">
        <f>IF(分析!AB371&lt;&gt;"",分析!AB371,"")</f>
        <v/>
      </c>
      <c r="K371" s="161">
        <f>IF(分析!AC371&lt;&gt;"",分析!AC371,"")</f>
        <v/>
      </c>
      <c r="L371" s="161">
        <f>IF(分析!K371&lt;&gt;"",分析!K371,"")</f>
        <v/>
      </c>
      <c r="M371" s="156">
        <f>IF(分析!P371&lt;&gt;"",分析!P371,"")</f>
        <v/>
      </c>
      <c r="N371" s="604">
        <f>IF(分析!O371&lt;&gt;"",分析!O371,"")</f>
        <v/>
      </c>
      <c r="O371" s="163">
        <f>IF(分析!X371&lt;&gt;"",分析!X371,"")</f>
        <v/>
      </c>
      <c r="P371" s="605">
        <f>IF(分析!L371&lt;&gt;"",分析!L371,"")</f>
        <v/>
      </c>
      <c r="Q371" s="161">
        <f>IF(分析!S371&lt;&gt;"",分析!S371,"")</f>
        <v/>
      </c>
      <c r="R371" s="161">
        <f>IF(分析!R371&lt;&gt;"",分析!R371,"")</f>
        <v/>
      </c>
      <c r="S371" s="156">
        <f>IF(分析!AA371&lt;&gt;"",分析!AA371,"")</f>
        <v/>
      </c>
      <c r="T371" s="606">
        <f>IF(分析!Z371&lt;&gt;"",分析!Z371,"")</f>
        <v/>
      </c>
      <c r="U371" s="156">
        <f>IF(分析!V371&lt;&gt;"",分析!V371,"")</f>
        <v/>
      </c>
      <c r="V371" s="607">
        <f>IF(分析!W371&lt;&gt;"",分析!W371,"")</f>
        <v/>
      </c>
      <c r="W371" s="167">
        <f>IF(分析!AD371&lt;&gt;"",分析!AD371,"")</f>
        <v/>
      </c>
      <c r="X371" s="168">
        <f>IF(分析!AE371&lt;&gt;"",分析!AE371,"")</f>
        <v/>
      </c>
      <c r="Y371" s="169">
        <f>IF(分析!T371&lt;&gt;"",分析!T371,"")</f>
        <v/>
      </c>
      <c r="Z371" s="155">
        <f>IF(分析!Y371&lt;&gt;"",分析!Y371,"")</f>
        <v/>
      </c>
    </row>
    <row r="372" ht="21.95" customHeight="1" s="574">
      <c r="A372" s="141">
        <f>IF(分析!C372&lt;&gt;"",ROW()-2,"")</f>
        <v/>
      </c>
      <c r="B372" s="142">
        <f>IF(分析!C372&lt;&gt;"",HYPERLINK("https://kabutan.jp/stock/?code="&amp;分析!C372,"株探"),"")</f>
        <v/>
      </c>
      <c r="C372" s="598">
        <f>IF(分析!C372&lt;&gt;"",分析!C372,"")</f>
        <v/>
      </c>
      <c r="D372" s="144">
        <f>IF(分析!D372&lt;&gt;"",分析!D372,"")</f>
        <v/>
      </c>
      <c r="E372" s="145">
        <f>IF(分析!E372&lt;&gt;"",分析!E372,"")</f>
        <v/>
      </c>
      <c r="F372" s="146">
        <f>IF(分析!F372&lt;&gt;"",分析!F372,"")</f>
        <v/>
      </c>
      <c r="G372" s="146">
        <f>IF(分析!H372&lt;&gt;"",分析!H372,"")</f>
        <v/>
      </c>
      <c r="H372" s="146">
        <f>IF(分析!I372&lt;&gt;"",分析!I372,"")</f>
        <v/>
      </c>
      <c r="I372" s="146">
        <f>IF(分析!J372&lt;&gt;"",分析!J372,"")</f>
        <v/>
      </c>
      <c r="J372" s="146">
        <f>IF(分析!AB372&lt;&gt;"",分析!AB372,"")</f>
        <v/>
      </c>
      <c r="K372" s="146">
        <f>IF(分析!AC372&lt;&gt;"",分析!AC372,"")</f>
        <v/>
      </c>
      <c r="L372" s="146">
        <f>IF(分析!K372&lt;&gt;"",分析!K372,"")</f>
        <v/>
      </c>
      <c r="M372" s="141">
        <f>IF(分析!P372&lt;&gt;"",分析!P372,"")</f>
        <v/>
      </c>
      <c r="N372" s="599">
        <f>IF(分析!O372&lt;&gt;"",分析!O372,"")</f>
        <v/>
      </c>
      <c r="O372" s="148">
        <f>IF(分析!X372&lt;&gt;"",分析!X372,"")</f>
        <v/>
      </c>
      <c r="P372" s="600">
        <f>IF(分析!L372&lt;&gt;"",分析!L372,"")</f>
        <v/>
      </c>
      <c r="Q372" s="146">
        <f>IF(分析!S372&lt;&gt;"",分析!S372,"")</f>
        <v/>
      </c>
      <c r="R372" s="146">
        <f>IF(分析!R372&lt;&gt;"",分析!R372,"")</f>
        <v/>
      </c>
      <c r="S372" s="141">
        <f>IF(分析!AA372&lt;&gt;"",分析!AA372,"")</f>
        <v/>
      </c>
      <c r="T372" s="601">
        <f>IF(分析!Z372&lt;&gt;"",分析!Z372,"")</f>
        <v/>
      </c>
      <c r="U372" s="141">
        <f>IF(分析!V372&lt;&gt;"",分析!V372,"")</f>
        <v/>
      </c>
      <c r="V372" s="602">
        <f>IF(分析!W372&lt;&gt;"",分析!W372,"")</f>
        <v/>
      </c>
      <c r="W372" s="152">
        <f>IF(分析!AD372&lt;&gt;"",分析!AD372,"")</f>
        <v/>
      </c>
      <c r="X372" s="153">
        <f>IF(分析!AE372&lt;&gt;"",分析!AE372,"")</f>
        <v/>
      </c>
      <c r="Y372" s="154">
        <f>IF(分析!T372&lt;&gt;"",分析!T372,"")</f>
        <v/>
      </c>
      <c r="Z372" s="155">
        <f>IF(分析!Y372&lt;&gt;"",分析!Y372,"")</f>
        <v/>
      </c>
    </row>
    <row r="373" ht="21.95" customHeight="1" s="574">
      <c r="A373" s="156">
        <f>IF(分析!C373&lt;&gt;"",ROW()-2,"")</f>
        <v/>
      </c>
      <c r="B373" s="157">
        <f>IF(分析!C373&lt;&gt;"",HYPERLINK("https://kabutan.jp/stock/?code="&amp;分析!C373,"株探"),"")</f>
        <v/>
      </c>
      <c r="C373" s="603">
        <f>IF(分析!C373&lt;&gt;"",分析!C373,"")</f>
        <v/>
      </c>
      <c r="D373" s="159">
        <f>IF(分析!D373&lt;&gt;"",分析!D373,"")</f>
        <v/>
      </c>
      <c r="E373" s="160">
        <f>IF(分析!E373&lt;&gt;"",分析!E373,"")</f>
        <v/>
      </c>
      <c r="F373" s="161">
        <f>IF(分析!F373&lt;&gt;"",分析!F373,"")</f>
        <v/>
      </c>
      <c r="G373" s="161">
        <f>IF(分析!H373&lt;&gt;"",分析!H373,"")</f>
        <v/>
      </c>
      <c r="H373" s="161">
        <f>IF(分析!I373&lt;&gt;"",分析!I373,"")</f>
        <v/>
      </c>
      <c r="I373" s="161">
        <f>IF(分析!J373&lt;&gt;"",分析!J373,"")</f>
        <v/>
      </c>
      <c r="J373" s="161">
        <f>IF(分析!AB373&lt;&gt;"",分析!AB373,"")</f>
        <v/>
      </c>
      <c r="K373" s="161">
        <f>IF(分析!AC373&lt;&gt;"",分析!AC373,"")</f>
        <v/>
      </c>
      <c r="L373" s="161">
        <f>IF(分析!K373&lt;&gt;"",分析!K373,"")</f>
        <v/>
      </c>
      <c r="M373" s="156">
        <f>IF(分析!P373&lt;&gt;"",分析!P373,"")</f>
        <v/>
      </c>
      <c r="N373" s="604">
        <f>IF(分析!O373&lt;&gt;"",分析!O373,"")</f>
        <v/>
      </c>
      <c r="O373" s="163">
        <f>IF(分析!X373&lt;&gt;"",分析!X373,"")</f>
        <v/>
      </c>
      <c r="P373" s="605">
        <f>IF(分析!L373&lt;&gt;"",分析!L373,"")</f>
        <v/>
      </c>
      <c r="Q373" s="161">
        <f>IF(分析!S373&lt;&gt;"",分析!S373,"")</f>
        <v/>
      </c>
      <c r="R373" s="161">
        <f>IF(分析!R373&lt;&gt;"",分析!R373,"")</f>
        <v/>
      </c>
      <c r="S373" s="156">
        <f>IF(分析!AA373&lt;&gt;"",分析!AA373,"")</f>
        <v/>
      </c>
      <c r="T373" s="606">
        <f>IF(分析!Z373&lt;&gt;"",分析!Z373,"")</f>
        <v/>
      </c>
      <c r="U373" s="156">
        <f>IF(分析!V373&lt;&gt;"",分析!V373,"")</f>
        <v/>
      </c>
      <c r="V373" s="607">
        <f>IF(分析!W373&lt;&gt;"",分析!W373,"")</f>
        <v/>
      </c>
      <c r="W373" s="167">
        <f>IF(分析!AD373&lt;&gt;"",分析!AD373,"")</f>
        <v/>
      </c>
      <c r="X373" s="168">
        <f>IF(分析!AE373&lt;&gt;"",分析!AE373,"")</f>
        <v/>
      </c>
      <c r="Y373" s="169">
        <f>IF(分析!T373&lt;&gt;"",分析!T373,"")</f>
        <v/>
      </c>
      <c r="Z373" s="155">
        <f>IF(分析!Y373&lt;&gt;"",分析!Y373,"")</f>
        <v/>
      </c>
    </row>
    <row r="374" ht="21.95" customHeight="1" s="574">
      <c r="A374" s="141">
        <f>IF(分析!C374&lt;&gt;"",ROW()-2,"")</f>
        <v/>
      </c>
      <c r="B374" s="142">
        <f>IF(分析!C374&lt;&gt;"",HYPERLINK("https://kabutan.jp/stock/?code="&amp;分析!C374,"株探"),"")</f>
        <v/>
      </c>
      <c r="C374" s="598">
        <f>IF(分析!C374&lt;&gt;"",分析!C374,"")</f>
        <v/>
      </c>
      <c r="D374" s="144">
        <f>IF(分析!D374&lt;&gt;"",分析!D374,"")</f>
        <v/>
      </c>
      <c r="E374" s="145">
        <f>IF(分析!E374&lt;&gt;"",分析!E374,"")</f>
        <v/>
      </c>
      <c r="F374" s="146">
        <f>IF(分析!F374&lt;&gt;"",分析!F374,"")</f>
        <v/>
      </c>
      <c r="G374" s="146">
        <f>IF(分析!H374&lt;&gt;"",分析!H374,"")</f>
        <v/>
      </c>
      <c r="H374" s="146">
        <f>IF(分析!I374&lt;&gt;"",分析!I374,"")</f>
        <v/>
      </c>
      <c r="I374" s="146">
        <f>IF(分析!J374&lt;&gt;"",分析!J374,"")</f>
        <v/>
      </c>
      <c r="J374" s="146">
        <f>IF(分析!AB374&lt;&gt;"",分析!AB374,"")</f>
        <v/>
      </c>
      <c r="K374" s="146">
        <f>IF(分析!AC374&lt;&gt;"",分析!AC374,"")</f>
        <v/>
      </c>
      <c r="L374" s="146">
        <f>IF(分析!K374&lt;&gt;"",分析!K374,"")</f>
        <v/>
      </c>
      <c r="M374" s="141">
        <f>IF(分析!P374&lt;&gt;"",分析!P374,"")</f>
        <v/>
      </c>
      <c r="N374" s="599">
        <f>IF(分析!O374&lt;&gt;"",分析!O374,"")</f>
        <v/>
      </c>
      <c r="O374" s="148">
        <f>IF(分析!X374&lt;&gt;"",分析!X374,"")</f>
        <v/>
      </c>
      <c r="P374" s="600">
        <f>IF(分析!L374&lt;&gt;"",分析!L374,"")</f>
        <v/>
      </c>
      <c r="Q374" s="146">
        <f>IF(分析!S374&lt;&gt;"",分析!S374,"")</f>
        <v/>
      </c>
      <c r="R374" s="146">
        <f>IF(分析!R374&lt;&gt;"",分析!R374,"")</f>
        <v/>
      </c>
      <c r="S374" s="141">
        <f>IF(分析!AA374&lt;&gt;"",分析!AA374,"")</f>
        <v/>
      </c>
      <c r="T374" s="601">
        <f>IF(分析!Z374&lt;&gt;"",分析!Z374,"")</f>
        <v/>
      </c>
      <c r="U374" s="141">
        <f>IF(分析!V374&lt;&gt;"",分析!V374,"")</f>
        <v/>
      </c>
      <c r="V374" s="602">
        <f>IF(分析!W374&lt;&gt;"",分析!W374,"")</f>
        <v/>
      </c>
      <c r="W374" s="152">
        <f>IF(分析!AD374&lt;&gt;"",分析!AD374,"")</f>
        <v/>
      </c>
      <c r="X374" s="153">
        <f>IF(分析!AE374&lt;&gt;"",分析!AE374,"")</f>
        <v/>
      </c>
      <c r="Y374" s="154">
        <f>IF(分析!T374&lt;&gt;"",分析!T374,"")</f>
        <v/>
      </c>
      <c r="Z374" s="155">
        <f>IF(分析!Y374&lt;&gt;"",分析!Y374,"")</f>
        <v/>
      </c>
    </row>
    <row r="375" ht="21.95" customHeight="1" s="574">
      <c r="A375" s="156">
        <f>IF(分析!C375&lt;&gt;"",ROW()-2,"")</f>
        <v/>
      </c>
      <c r="B375" s="157">
        <f>IF(分析!C375&lt;&gt;"",HYPERLINK("https://kabutan.jp/stock/?code="&amp;分析!C375,"株探"),"")</f>
        <v/>
      </c>
      <c r="C375" s="603">
        <f>IF(分析!C375&lt;&gt;"",分析!C375,"")</f>
        <v/>
      </c>
      <c r="D375" s="159">
        <f>IF(分析!D375&lt;&gt;"",分析!D375,"")</f>
        <v/>
      </c>
      <c r="E375" s="160">
        <f>IF(分析!E375&lt;&gt;"",分析!E375,"")</f>
        <v/>
      </c>
      <c r="F375" s="161">
        <f>IF(分析!F375&lt;&gt;"",分析!F375,"")</f>
        <v/>
      </c>
      <c r="G375" s="161">
        <f>IF(分析!H375&lt;&gt;"",分析!H375,"")</f>
        <v/>
      </c>
      <c r="H375" s="161">
        <f>IF(分析!I375&lt;&gt;"",分析!I375,"")</f>
        <v/>
      </c>
      <c r="I375" s="161">
        <f>IF(分析!J375&lt;&gt;"",分析!J375,"")</f>
        <v/>
      </c>
      <c r="J375" s="161">
        <f>IF(分析!AB375&lt;&gt;"",分析!AB375,"")</f>
        <v/>
      </c>
      <c r="K375" s="161">
        <f>IF(分析!AC375&lt;&gt;"",分析!AC375,"")</f>
        <v/>
      </c>
      <c r="L375" s="161">
        <f>IF(分析!K375&lt;&gt;"",分析!K375,"")</f>
        <v/>
      </c>
      <c r="M375" s="156">
        <f>IF(分析!P375&lt;&gt;"",分析!P375,"")</f>
        <v/>
      </c>
      <c r="N375" s="604">
        <f>IF(分析!O375&lt;&gt;"",分析!O375,"")</f>
        <v/>
      </c>
      <c r="O375" s="163">
        <f>IF(分析!X375&lt;&gt;"",分析!X375,"")</f>
        <v/>
      </c>
      <c r="P375" s="605">
        <f>IF(分析!L375&lt;&gt;"",分析!L375,"")</f>
        <v/>
      </c>
      <c r="Q375" s="161">
        <f>IF(分析!S375&lt;&gt;"",分析!S375,"")</f>
        <v/>
      </c>
      <c r="R375" s="161">
        <f>IF(分析!R375&lt;&gt;"",分析!R375,"")</f>
        <v/>
      </c>
      <c r="S375" s="156">
        <f>IF(分析!AA375&lt;&gt;"",分析!AA375,"")</f>
        <v/>
      </c>
      <c r="T375" s="606">
        <f>IF(分析!Z375&lt;&gt;"",分析!Z375,"")</f>
        <v/>
      </c>
      <c r="U375" s="156">
        <f>IF(分析!V375&lt;&gt;"",分析!V375,"")</f>
        <v/>
      </c>
      <c r="V375" s="607">
        <f>IF(分析!W375&lt;&gt;"",分析!W375,"")</f>
        <v/>
      </c>
      <c r="W375" s="167">
        <f>IF(分析!AD375&lt;&gt;"",分析!AD375,"")</f>
        <v/>
      </c>
      <c r="X375" s="168">
        <f>IF(分析!AE375&lt;&gt;"",分析!AE375,"")</f>
        <v/>
      </c>
      <c r="Y375" s="169">
        <f>IF(分析!T375&lt;&gt;"",分析!T375,"")</f>
        <v/>
      </c>
      <c r="Z375" s="155">
        <f>IF(分析!Y375&lt;&gt;"",分析!Y375,"")</f>
        <v/>
      </c>
    </row>
    <row r="376" ht="21.95" customHeight="1" s="574">
      <c r="A376" s="141">
        <f>IF(分析!C376&lt;&gt;"",ROW()-2,"")</f>
        <v/>
      </c>
      <c r="B376" s="142">
        <f>IF(分析!C376&lt;&gt;"",HYPERLINK("https://kabutan.jp/stock/?code="&amp;分析!C376,"株探"),"")</f>
        <v/>
      </c>
      <c r="C376" s="598">
        <f>IF(分析!C376&lt;&gt;"",分析!C376,"")</f>
        <v/>
      </c>
      <c r="D376" s="144">
        <f>IF(分析!D376&lt;&gt;"",分析!D376,"")</f>
        <v/>
      </c>
      <c r="E376" s="145">
        <f>IF(分析!E376&lt;&gt;"",分析!E376,"")</f>
        <v/>
      </c>
      <c r="F376" s="146">
        <f>IF(分析!F376&lt;&gt;"",分析!F376,"")</f>
        <v/>
      </c>
      <c r="G376" s="146">
        <f>IF(分析!H376&lt;&gt;"",分析!H376,"")</f>
        <v/>
      </c>
      <c r="H376" s="146">
        <f>IF(分析!I376&lt;&gt;"",分析!I376,"")</f>
        <v/>
      </c>
      <c r="I376" s="146">
        <f>IF(分析!J376&lt;&gt;"",分析!J376,"")</f>
        <v/>
      </c>
      <c r="J376" s="146">
        <f>IF(分析!AB376&lt;&gt;"",分析!AB376,"")</f>
        <v/>
      </c>
      <c r="K376" s="146">
        <f>IF(分析!AC376&lt;&gt;"",分析!AC376,"")</f>
        <v/>
      </c>
      <c r="L376" s="146">
        <f>IF(分析!K376&lt;&gt;"",分析!K376,"")</f>
        <v/>
      </c>
      <c r="M376" s="141">
        <f>IF(分析!P376&lt;&gt;"",分析!P376,"")</f>
        <v/>
      </c>
      <c r="N376" s="599">
        <f>IF(分析!O376&lt;&gt;"",分析!O376,"")</f>
        <v/>
      </c>
      <c r="O376" s="148">
        <f>IF(分析!X376&lt;&gt;"",分析!X376,"")</f>
        <v/>
      </c>
      <c r="P376" s="600">
        <f>IF(分析!L376&lt;&gt;"",分析!L376,"")</f>
        <v/>
      </c>
      <c r="Q376" s="146">
        <f>IF(分析!S376&lt;&gt;"",分析!S376,"")</f>
        <v/>
      </c>
      <c r="R376" s="146">
        <f>IF(分析!R376&lt;&gt;"",分析!R376,"")</f>
        <v/>
      </c>
      <c r="S376" s="141">
        <f>IF(分析!AA376&lt;&gt;"",分析!AA376,"")</f>
        <v/>
      </c>
      <c r="T376" s="601">
        <f>IF(分析!Z376&lt;&gt;"",分析!Z376,"")</f>
        <v/>
      </c>
      <c r="U376" s="141">
        <f>IF(分析!V376&lt;&gt;"",分析!V376,"")</f>
        <v/>
      </c>
      <c r="V376" s="602">
        <f>IF(分析!W376&lt;&gt;"",分析!W376,"")</f>
        <v/>
      </c>
      <c r="W376" s="152">
        <f>IF(分析!AD376&lt;&gt;"",分析!AD376,"")</f>
        <v/>
      </c>
      <c r="X376" s="153">
        <f>IF(分析!AE376&lt;&gt;"",分析!AE376,"")</f>
        <v/>
      </c>
      <c r="Y376" s="154">
        <f>IF(分析!T376&lt;&gt;"",分析!T376,"")</f>
        <v/>
      </c>
      <c r="Z376" s="155">
        <f>IF(分析!Y376&lt;&gt;"",分析!Y376,"")</f>
        <v/>
      </c>
    </row>
    <row r="377" ht="21.95" customHeight="1" s="574">
      <c r="A377" s="156">
        <f>IF(分析!C377&lt;&gt;"",ROW()-2,"")</f>
        <v/>
      </c>
      <c r="B377" s="157">
        <f>IF(分析!C377&lt;&gt;"",HYPERLINK("https://kabutan.jp/stock/?code="&amp;分析!C377,"株探"),"")</f>
        <v/>
      </c>
      <c r="C377" s="603">
        <f>IF(分析!C377&lt;&gt;"",分析!C377,"")</f>
        <v/>
      </c>
      <c r="D377" s="159">
        <f>IF(分析!D377&lt;&gt;"",分析!D377,"")</f>
        <v/>
      </c>
      <c r="E377" s="160">
        <f>IF(分析!E377&lt;&gt;"",分析!E377,"")</f>
        <v/>
      </c>
      <c r="F377" s="161">
        <f>IF(分析!F377&lt;&gt;"",分析!F377,"")</f>
        <v/>
      </c>
      <c r="G377" s="161">
        <f>IF(分析!H377&lt;&gt;"",分析!H377,"")</f>
        <v/>
      </c>
      <c r="H377" s="161">
        <f>IF(分析!I377&lt;&gt;"",分析!I377,"")</f>
        <v/>
      </c>
      <c r="I377" s="161">
        <f>IF(分析!J377&lt;&gt;"",分析!J377,"")</f>
        <v/>
      </c>
      <c r="J377" s="161">
        <f>IF(分析!AB377&lt;&gt;"",分析!AB377,"")</f>
        <v/>
      </c>
      <c r="K377" s="161">
        <f>IF(分析!AC377&lt;&gt;"",分析!AC377,"")</f>
        <v/>
      </c>
      <c r="L377" s="161">
        <f>IF(分析!K377&lt;&gt;"",分析!K377,"")</f>
        <v/>
      </c>
      <c r="M377" s="156">
        <f>IF(分析!P377&lt;&gt;"",分析!P377,"")</f>
        <v/>
      </c>
      <c r="N377" s="604">
        <f>IF(分析!O377&lt;&gt;"",分析!O377,"")</f>
        <v/>
      </c>
      <c r="O377" s="163">
        <f>IF(分析!X377&lt;&gt;"",分析!X377,"")</f>
        <v/>
      </c>
      <c r="P377" s="605">
        <f>IF(分析!L377&lt;&gt;"",分析!L377,"")</f>
        <v/>
      </c>
      <c r="Q377" s="161">
        <f>IF(分析!S377&lt;&gt;"",分析!S377,"")</f>
        <v/>
      </c>
      <c r="R377" s="161">
        <f>IF(分析!R377&lt;&gt;"",分析!R377,"")</f>
        <v/>
      </c>
      <c r="S377" s="156">
        <f>IF(分析!AA377&lt;&gt;"",分析!AA377,"")</f>
        <v/>
      </c>
      <c r="T377" s="606">
        <f>IF(分析!Z377&lt;&gt;"",分析!Z377,"")</f>
        <v/>
      </c>
      <c r="U377" s="156">
        <f>IF(分析!V377&lt;&gt;"",分析!V377,"")</f>
        <v/>
      </c>
      <c r="V377" s="607">
        <f>IF(分析!W377&lt;&gt;"",分析!W377,"")</f>
        <v/>
      </c>
      <c r="W377" s="167">
        <f>IF(分析!AD377&lt;&gt;"",分析!AD377,"")</f>
        <v/>
      </c>
      <c r="X377" s="168">
        <f>IF(分析!AE377&lt;&gt;"",分析!AE377,"")</f>
        <v/>
      </c>
      <c r="Y377" s="169">
        <f>IF(分析!T377&lt;&gt;"",分析!T377,"")</f>
        <v/>
      </c>
      <c r="Z377" s="155">
        <f>IF(分析!Y377&lt;&gt;"",分析!Y377,"")</f>
        <v/>
      </c>
    </row>
    <row r="378" ht="21.95" customHeight="1" s="574">
      <c r="A378" s="141">
        <f>IF(分析!C378&lt;&gt;"",ROW()-2,"")</f>
        <v/>
      </c>
      <c r="B378" s="142">
        <f>IF(分析!C378&lt;&gt;"",HYPERLINK("https://kabutan.jp/stock/?code="&amp;分析!C378,"株探"),"")</f>
        <v/>
      </c>
      <c r="C378" s="598">
        <f>IF(分析!C378&lt;&gt;"",分析!C378,"")</f>
        <v/>
      </c>
      <c r="D378" s="144">
        <f>IF(分析!D378&lt;&gt;"",分析!D378,"")</f>
        <v/>
      </c>
      <c r="E378" s="145">
        <f>IF(分析!E378&lt;&gt;"",分析!E378,"")</f>
        <v/>
      </c>
      <c r="F378" s="146">
        <f>IF(分析!F378&lt;&gt;"",分析!F378,"")</f>
        <v/>
      </c>
      <c r="G378" s="146">
        <f>IF(分析!H378&lt;&gt;"",分析!H378,"")</f>
        <v/>
      </c>
      <c r="H378" s="146">
        <f>IF(分析!I378&lt;&gt;"",分析!I378,"")</f>
        <v/>
      </c>
      <c r="I378" s="146">
        <f>IF(分析!J378&lt;&gt;"",分析!J378,"")</f>
        <v/>
      </c>
      <c r="J378" s="146">
        <f>IF(分析!AB378&lt;&gt;"",分析!AB378,"")</f>
        <v/>
      </c>
      <c r="K378" s="146">
        <f>IF(分析!AC378&lt;&gt;"",分析!AC378,"")</f>
        <v/>
      </c>
      <c r="L378" s="146">
        <f>IF(分析!K378&lt;&gt;"",分析!K378,"")</f>
        <v/>
      </c>
      <c r="M378" s="141">
        <f>IF(分析!P378&lt;&gt;"",分析!P378,"")</f>
        <v/>
      </c>
      <c r="N378" s="599">
        <f>IF(分析!O378&lt;&gt;"",分析!O378,"")</f>
        <v/>
      </c>
      <c r="O378" s="148">
        <f>IF(分析!X378&lt;&gt;"",分析!X378,"")</f>
        <v/>
      </c>
      <c r="P378" s="600">
        <f>IF(分析!L378&lt;&gt;"",分析!L378,"")</f>
        <v/>
      </c>
      <c r="Q378" s="146">
        <f>IF(分析!S378&lt;&gt;"",分析!S378,"")</f>
        <v/>
      </c>
      <c r="R378" s="146">
        <f>IF(分析!R378&lt;&gt;"",分析!R378,"")</f>
        <v/>
      </c>
      <c r="S378" s="141">
        <f>IF(分析!AA378&lt;&gt;"",分析!AA378,"")</f>
        <v/>
      </c>
      <c r="T378" s="601">
        <f>IF(分析!Z378&lt;&gt;"",分析!Z378,"")</f>
        <v/>
      </c>
      <c r="U378" s="141">
        <f>IF(分析!V378&lt;&gt;"",分析!V378,"")</f>
        <v/>
      </c>
      <c r="V378" s="602">
        <f>IF(分析!W378&lt;&gt;"",分析!W378,"")</f>
        <v/>
      </c>
      <c r="W378" s="152">
        <f>IF(分析!AD378&lt;&gt;"",分析!AD378,"")</f>
        <v/>
      </c>
      <c r="X378" s="153">
        <f>IF(分析!AE378&lt;&gt;"",分析!AE378,"")</f>
        <v/>
      </c>
      <c r="Y378" s="154">
        <f>IF(分析!T378&lt;&gt;"",分析!T378,"")</f>
        <v/>
      </c>
      <c r="Z378" s="155">
        <f>IF(分析!Y378&lt;&gt;"",分析!Y378,"")</f>
        <v/>
      </c>
    </row>
    <row r="379" ht="21.95" customHeight="1" s="574">
      <c r="A379" s="156">
        <f>IF(分析!C379&lt;&gt;"",ROW()-2,"")</f>
        <v/>
      </c>
      <c r="B379" s="157">
        <f>IF(分析!C379&lt;&gt;"",HYPERLINK("https://kabutan.jp/stock/?code="&amp;分析!C379,"株探"),"")</f>
        <v/>
      </c>
      <c r="C379" s="603">
        <f>IF(分析!C379&lt;&gt;"",分析!C379,"")</f>
        <v/>
      </c>
      <c r="D379" s="159">
        <f>IF(分析!D379&lt;&gt;"",分析!D379,"")</f>
        <v/>
      </c>
      <c r="E379" s="160">
        <f>IF(分析!E379&lt;&gt;"",分析!E379,"")</f>
        <v/>
      </c>
      <c r="F379" s="161">
        <f>IF(分析!F379&lt;&gt;"",分析!F379,"")</f>
        <v/>
      </c>
      <c r="G379" s="161">
        <f>IF(分析!H379&lt;&gt;"",分析!H379,"")</f>
        <v/>
      </c>
      <c r="H379" s="161">
        <f>IF(分析!I379&lt;&gt;"",分析!I379,"")</f>
        <v/>
      </c>
      <c r="I379" s="161">
        <f>IF(分析!J379&lt;&gt;"",分析!J379,"")</f>
        <v/>
      </c>
      <c r="J379" s="161">
        <f>IF(分析!AB379&lt;&gt;"",分析!AB379,"")</f>
        <v/>
      </c>
      <c r="K379" s="161">
        <f>IF(分析!AC379&lt;&gt;"",分析!AC379,"")</f>
        <v/>
      </c>
      <c r="L379" s="161">
        <f>IF(分析!K379&lt;&gt;"",分析!K379,"")</f>
        <v/>
      </c>
      <c r="M379" s="156">
        <f>IF(分析!P379&lt;&gt;"",分析!P379,"")</f>
        <v/>
      </c>
      <c r="N379" s="604">
        <f>IF(分析!O379&lt;&gt;"",分析!O379,"")</f>
        <v/>
      </c>
      <c r="O379" s="163">
        <f>IF(分析!X379&lt;&gt;"",分析!X379,"")</f>
        <v/>
      </c>
      <c r="P379" s="605">
        <f>IF(分析!L379&lt;&gt;"",分析!L379,"")</f>
        <v/>
      </c>
      <c r="Q379" s="161">
        <f>IF(分析!S379&lt;&gt;"",分析!S379,"")</f>
        <v/>
      </c>
      <c r="R379" s="161">
        <f>IF(分析!R379&lt;&gt;"",分析!R379,"")</f>
        <v/>
      </c>
      <c r="S379" s="156">
        <f>IF(分析!AA379&lt;&gt;"",分析!AA379,"")</f>
        <v/>
      </c>
      <c r="T379" s="606">
        <f>IF(分析!Z379&lt;&gt;"",分析!Z379,"")</f>
        <v/>
      </c>
      <c r="U379" s="156">
        <f>IF(分析!V379&lt;&gt;"",分析!V379,"")</f>
        <v/>
      </c>
      <c r="V379" s="607">
        <f>IF(分析!W379&lt;&gt;"",分析!W379,"")</f>
        <v/>
      </c>
      <c r="W379" s="167">
        <f>IF(分析!AD379&lt;&gt;"",分析!AD379,"")</f>
        <v/>
      </c>
      <c r="X379" s="168">
        <f>IF(分析!AE379&lt;&gt;"",分析!AE379,"")</f>
        <v/>
      </c>
      <c r="Y379" s="169">
        <f>IF(分析!T379&lt;&gt;"",分析!T379,"")</f>
        <v/>
      </c>
      <c r="Z379" s="155">
        <f>IF(分析!Y379&lt;&gt;"",分析!Y379,"")</f>
        <v/>
      </c>
    </row>
    <row r="380" ht="21.95" customHeight="1" s="574">
      <c r="A380" s="141">
        <f>IF(分析!C380&lt;&gt;"",ROW()-2,"")</f>
        <v/>
      </c>
      <c r="B380" s="142">
        <f>IF(分析!C380&lt;&gt;"",HYPERLINK("https://kabutan.jp/stock/?code="&amp;分析!C380,"株探"),"")</f>
        <v/>
      </c>
      <c r="C380" s="598">
        <f>IF(分析!C380&lt;&gt;"",分析!C380,"")</f>
        <v/>
      </c>
      <c r="D380" s="144">
        <f>IF(分析!D380&lt;&gt;"",分析!D380,"")</f>
        <v/>
      </c>
      <c r="E380" s="145">
        <f>IF(分析!E380&lt;&gt;"",分析!E380,"")</f>
        <v/>
      </c>
      <c r="F380" s="146">
        <f>IF(分析!F380&lt;&gt;"",分析!F380,"")</f>
        <v/>
      </c>
      <c r="G380" s="146">
        <f>IF(分析!H380&lt;&gt;"",分析!H380,"")</f>
        <v/>
      </c>
      <c r="H380" s="146">
        <f>IF(分析!I380&lt;&gt;"",分析!I380,"")</f>
        <v/>
      </c>
      <c r="I380" s="146">
        <f>IF(分析!J380&lt;&gt;"",分析!J380,"")</f>
        <v/>
      </c>
      <c r="J380" s="146">
        <f>IF(分析!AB380&lt;&gt;"",分析!AB380,"")</f>
        <v/>
      </c>
      <c r="K380" s="146">
        <f>IF(分析!AC380&lt;&gt;"",分析!AC380,"")</f>
        <v/>
      </c>
      <c r="L380" s="146">
        <f>IF(分析!K380&lt;&gt;"",分析!K380,"")</f>
        <v/>
      </c>
      <c r="M380" s="141">
        <f>IF(分析!P380&lt;&gt;"",分析!P380,"")</f>
        <v/>
      </c>
      <c r="N380" s="599">
        <f>IF(分析!O380&lt;&gt;"",分析!O380,"")</f>
        <v/>
      </c>
      <c r="O380" s="148">
        <f>IF(分析!X380&lt;&gt;"",分析!X380,"")</f>
        <v/>
      </c>
      <c r="P380" s="600">
        <f>IF(分析!L380&lt;&gt;"",分析!L380,"")</f>
        <v/>
      </c>
      <c r="Q380" s="146">
        <f>IF(分析!S380&lt;&gt;"",分析!S380,"")</f>
        <v/>
      </c>
      <c r="R380" s="146">
        <f>IF(分析!R380&lt;&gt;"",分析!R380,"")</f>
        <v/>
      </c>
      <c r="S380" s="141">
        <f>IF(分析!AA380&lt;&gt;"",分析!AA380,"")</f>
        <v/>
      </c>
      <c r="T380" s="601">
        <f>IF(分析!Z380&lt;&gt;"",分析!Z380,"")</f>
        <v/>
      </c>
      <c r="U380" s="141">
        <f>IF(分析!V380&lt;&gt;"",分析!V380,"")</f>
        <v/>
      </c>
      <c r="V380" s="602">
        <f>IF(分析!W380&lt;&gt;"",分析!W380,"")</f>
        <v/>
      </c>
      <c r="W380" s="152">
        <f>IF(分析!AD380&lt;&gt;"",分析!AD380,"")</f>
        <v/>
      </c>
      <c r="X380" s="153">
        <f>IF(分析!AE380&lt;&gt;"",分析!AE380,"")</f>
        <v/>
      </c>
      <c r="Y380" s="154">
        <f>IF(分析!T380&lt;&gt;"",分析!T380,"")</f>
        <v/>
      </c>
      <c r="Z380" s="155">
        <f>IF(分析!Y380&lt;&gt;"",分析!Y380,"")</f>
        <v/>
      </c>
    </row>
    <row r="381" ht="21.95" customHeight="1" s="574">
      <c r="A381" s="156">
        <f>IF(分析!C381&lt;&gt;"",ROW()-2,"")</f>
        <v/>
      </c>
      <c r="B381" s="157">
        <f>IF(分析!C381&lt;&gt;"",HYPERLINK("https://kabutan.jp/stock/?code="&amp;分析!C381,"株探"),"")</f>
        <v/>
      </c>
      <c r="C381" s="603">
        <f>IF(分析!C381&lt;&gt;"",分析!C381,"")</f>
        <v/>
      </c>
      <c r="D381" s="159">
        <f>IF(分析!D381&lt;&gt;"",分析!D381,"")</f>
        <v/>
      </c>
      <c r="E381" s="160">
        <f>IF(分析!E381&lt;&gt;"",分析!E381,"")</f>
        <v/>
      </c>
      <c r="F381" s="161">
        <f>IF(分析!F381&lt;&gt;"",分析!F381,"")</f>
        <v/>
      </c>
      <c r="G381" s="161">
        <f>IF(分析!H381&lt;&gt;"",分析!H381,"")</f>
        <v/>
      </c>
      <c r="H381" s="161">
        <f>IF(分析!I381&lt;&gt;"",分析!I381,"")</f>
        <v/>
      </c>
      <c r="I381" s="161">
        <f>IF(分析!J381&lt;&gt;"",分析!J381,"")</f>
        <v/>
      </c>
      <c r="J381" s="161">
        <f>IF(分析!AB381&lt;&gt;"",分析!AB381,"")</f>
        <v/>
      </c>
      <c r="K381" s="161">
        <f>IF(分析!AC381&lt;&gt;"",分析!AC381,"")</f>
        <v/>
      </c>
      <c r="L381" s="161">
        <f>IF(分析!K381&lt;&gt;"",分析!K381,"")</f>
        <v/>
      </c>
      <c r="M381" s="156">
        <f>IF(分析!P381&lt;&gt;"",分析!P381,"")</f>
        <v/>
      </c>
      <c r="N381" s="604">
        <f>IF(分析!O381&lt;&gt;"",分析!O381,"")</f>
        <v/>
      </c>
      <c r="O381" s="163">
        <f>IF(分析!X381&lt;&gt;"",分析!X381,"")</f>
        <v/>
      </c>
      <c r="P381" s="605">
        <f>IF(分析!L381&lt;&gt;"",分析!L381,"")</f>
        <v/>
      </c>
      <c r="Q381" s="161">
        <f>IF(分析!S381&lt;&gt;"",分析!S381,"")</f>
        <v/>
      </c>
      <c r="R381" s="161">
        <f>IF(分析!R381&lt;&gt;"",分析!R381,"")</f>
        <v/>
      </c>
      <c r="S381" s="156">
        <f>IF(分析!AA381&lt;&gt;"",分析!AA381,"")</f>
        <v/>
      </c>
      <c r="T381" s="606">
        <f>IF(分析!Z381&lt;&gt;"",分析!Z381,"")</f>
        <v/>
      </c>
      <c r="U381" s="156">
        <f>IF(分析!V381&lt;&gt;"",分析!V381,"")</f>
        <v/>
      </c>
      <c r="V381" s="607">
        <f>IF(分析!W381&lt;&gt;"",分析!W381,"")</f>
        <v/>
      </c>
      <c r="W381" s="167">
        <f>IF(分析!AD381&lt;&gt;"",分析!AD381,"")</f>
        <v/>
      </c>
      <c r="X381" s="168">
        <f>IF(分析!AE381&lt;&gt;"",分析!AE381,"")</f>
        <v/>
      </c>
      <c r="Y381" s="169">
        <f>IF(分析!T381&lt;&gt;"",分析!T381,"")</f>
        <v/>
      </c>
      <c r="Z381" s="155">
        <f>IF(分析!Y381&lt;&gt;"",分析!Y381,"")</f>
        <v/>
      </c>
    </row>
    <row r="382" ht="21.95" customHeight="1" s="574">
      <c r="A382" s="141">
        <f>IF(分析!C382&lt;&gt;"",ROW()-2,"")</f>
        <v/>
      </c>
      <c r="B382" s="142">
        <f>IF(分析!C382&lt;&gt;"",HYPERLINK("https://kabutan.jp/stock/?code="&amp;分析!C382,"株探"),"")</f>
        <v/>
      </c>
      <c r="C382" s="598">
        <f>IF(分析!C382&lt;&gt;"",分析!C382,"")</f>
        <v/>
      </c>
      <c r="D382" s="144">
        <f>IF(分析!D382&lt;&gt;"",分析!D382,"")</f>
        <v/>
      </c>
      <c r="E382" s="145">
        <f>IF(分析!E382&lt;&gt;"",分析!E382,"")</f>
        <v/>
      </c>
      <c r="F382" s="146">
        <f>IF(分析!F382&lt;&gt;"",分析!F382,"")</f>
        <v/>
      </c>
      <c r="G382" s="146">
        <f>IF(分析!H382&lt;&gt;"",分析!H382,"")</f>
        <v/>
      </c>
      <c r="H382" s="146">
        <f>IF(分析!I382&lt;&gt;"",分析!I382,"")</f>
        <v/>
      </c>
      <c r="I382" s="146">
        <f>IF(分析!J382&lt;&gt;"",分析!J382,"")</f>
        <v/>
      </c>
      <c r="J382" s="146">
        <f>IF(分析!AB382&lt;&gt;"",分析!AB382,"")</f>
        <v/>
      </c>
      <c r="K382" s="146">
        <f>IF(分析!AC382&lt;&gt;"",分析!AC382,"")</f>
        <v/>
      </c>
      <c r="L382" s="146">
        <f>IF(分析!K382&lt;&gt;"",分析!K382,"")</f>
        <v/>
      </c>
      <c r="M382" s="141">
        <f>IF(分析!P382&lt;&gt;"",分析!P382,"")</f>
        <v/>
      </c>
      <c r="N382" s="599">
        <f>IF(分析!O382&lt;&gt;"",分析!O382,"")</f>
        <v/>
      </c>
      <c r="O382" s="148">
        <f>IF(分析!X382&lt;&gt;"",分析!X382,"")</f>
        <v/>
      </c>
      <c r="P382" s="600">
        <f>IF(分析!L382&lt;&gt;"",分析!L382,"")</f>
        <v/>
      </c>
      <c r="Q382" s="146">
        <f>IF(分析!S382&lt;&gt;"",分析!S382,"")</f>
        <v/>
      </c>
      <c r="R382" s="146">
        <f>IF(分析!R382&lt;&gt;"",分析!R382,"")</f>
        <v/>
      </c>
      <c r="S382" s="141">
        <f>IF(分析!AA382&lt;&gt;"",分析!AA382,"")</f>
        <v/>
      </c>
      <c r="T382" s="601">
        <f>IF(分析!Z382&lt;&gt;"",分析!Z382,"")</f>
        <v/>
      </c>
      <c r="U382" s="141">
        <f>IF(分析!V382&lt;&gt;"",分析!V382,"")</f>
        <v/>
      </c>
      <c r="V382" s="602">
        <f>IF(分析!W382&lt;&gt;"",分析!W382,"")</f>
        <v/>
      </c>
      <c r="W382" s="152">
        <f>IF(分析!AD382&lt;&gt;"",分析!AD382,"")</f>
        <v/>
      </c>
      <c r="X382" s="153">
        <f>IF(分析!AE382&lt;&gt;"",分析!AE382,"")</f>
        <v/>
      </c>
      <c r="Y382" s="154">
        <f>IF(分析!T382&lt;&gt;"",分析!T382,"")</f>
        <v/>
      </c>
      <c r="Z382" s="155">
        <f>IF(分析!Y382&lt;&gt;"",分析!Y382,"")</f>
        <v/>
      </c>
    </row>
    <row r="383" ht="21.95" customHeight="1" s="574">
      <c r="A383" s="156">
        <f>IF(分析!C383&lt;&gt;"",ROW()-2,"")</f>
        <v/>
      </c>
      <c r="B383" s="157">
        <f>IF(分析!C383&lt;&gt;"",HYPERLINK("https://kabutan.jp/stock/?code="&amp;分析!C383,"株探"),"")</f>
        <v/>
      </c>
      <c r="C383" s="603">
        <f>IF(分析!C383&lt;&gt;"",分析!C383,"")</f>
        <v/>
      </c>
      <c r="D383" s="159">
        <f>IF(分析!D383&lt;&gt;"",分析!D383,"")</f>
        <v/>
      </c>
      <c r="E383" s="160">
        <f>IF(分析!E383&lt;&gt;"",分析!E383,"")</f>
        <v/>
      </c>
      <c r="F383" s="161">
        <f>IF(分析!F383&lt;&gt;"",分析!F383,"")</f>
        <v/>
      </c>
      <c r="G383" s="161">
        <f>IF(分析!H383&lt;&gt;"",分析!H383,"")</f>
        <v/>
      </c>
      <c r="H383" s="161">
        <f>IF(分析!I383&lt;&gt;"",分析!I383,"")</f>
        <v/>
      </c>
      <c r="I383" s="161">
        <f>IF(分析!J383&lt;&gt;"",分析!J383,"")</f>
        <v/>
      </c>
      <c r="J383" s="161">
        <f>IF(分析!AB383&lt;&gt;"",分析!AB383,"")</f>
        <v/>
      </c>
      <c r="K383" s="161">
        <f>IF(分析!AC383&lt;&gt;"",分析!AC383,"")</f>
        <v/>
      </c>
      <c r="L383" s="161">
        <f>IF(分析!K383&lt;&gt;"",分析!K383,"")</f>
        <v/>
      </c>
      <c r="M383" s="156">
        <f>IF(分析!P383&lt;&gt;"",分析!P383,"")</f>
        <v/>
      </c>
      <c r="N383" s="604">
        <f>IF(分析!O383&lt;&gt;"",分析!O383,"")</f>
        <v/>
      </c>
      <c r="O383" s="163">
        <f>IF(分析!X383&lt;&gt;"",分析!X383,"")</f>
        <v/>
      </c>
      <c r="P383" s="605">
        <f>IF(分析!L383&lt;&gt;"",分析!L383,"")</f>
        <v/>
      </c>
      <c r="Q383" s="161">
        <f>IF(分析!S383&lt;&gt;"",分析!S383,"")</f>
        <v/>
      </c>
      <c r="R383" s="161">
        <f>IF(分析!R383&lt;&gt;"",分析!R383,"")</f>
        <v/>
      </c>
      <c r="S383" s="156">
        <f>IF(分析!AA383&lt;&gt;"",分析!AA383,"")</f>
        <v/>
      </c>
      <c r="T383" s="606">
        <f>IF(分析!Z383&lt;&gt;"",分析!Z383,"")</f>
        <v/>
      </c>
      <c r="U383" s="156">
        <f>IF(分析!V383&lt;&gt;"",分析!V383,"")</f>
        <v/>
      </c>
      <c r="V383" s="607">
        <f>IF(分析!W383&lt;&gt;"",分析!W383,"")</f>
        <v/>
      </c>
      <c r="W383" s="167">
        <f>IF(分析!AD383&lt;&gt;"",分析!AD383,"")</f>
        <v/>
      </c>
      <c r="X383" s="168">
        <f>IF(分析!AE383&lt;&gt;"",分析!AE383,"")</f>
        <v/>
      </c>
      <c r="Y383" s="169">
        <f>IF(分析!T383&lt;&gt;"",分析!T383,"")</f>
        <v/>
      </c>
      <c r="Z383" s="155">
        <f>IF(分析!Y383&lt;&gt;"",分析!Y383,"")</f>
        <v/>
      </c>
    </row>
    <row r="384" ht="21.95" customHeight="1" s="574">
      <c r="A384" s="141">
        <f>IF(分析!C384&lt;&gt;"",ROW()-2,"")</f>
        <v/>
      </c>
      <c r="B384" s="142">
        <f>IF(分析!C384&lt;&gt;"",HYPERLINK("https://kabutan.jp/stock/?code="&amp;分析!C384,"株探"),"")</f>
        <v/>
      </c>
      <c r="C384" s="598">
        <f>IF(分析!C384&lt;&gt;"",分析!C384,"")</f>
        <v/>
      </c>
      <c r="D384" s="144">
        <f>IF(分析!D384&lt;&gt;"",分析!D384,"")</f>
        <v/>
      </c>
      <c r="E384" s="145">
        <f>IF(分析!E384&lt;&gt;"",分析!E384,"")</f>
        <v/>
      </c>
      <c r="F384" s="146">
        <f>IF(分析!F384&lt;&gt;"",分析!F384,"")</f>
        <v/>
      </c>
      <c r="G384" s="146">
        <f>IF(分析!H384&lt;&gt;"",分析!H384,"")</f>
        <v/>
      </c>
      <c r="H384" s="146">
        <f>IF(分析!I384&lt;&gt;"",分析!I384,"")</f>
        <v/>
      </c>
      <c r="I384" s="146">
        <f>IF(分析!J384&lt;&gt;"",分析!J384,"")</f>
        <v/>
      </c>
      <c r="J384" s="146">
        <f>IF(分析!AB384&lt;&gt;"",分析!AB384,"")</f>
        <v/>
      </c>
      <c r="K384" s="146">
        <f>IF(分析!AC384&lt;&gt;"",分析!AC384,"")</f>
        <v/>
      </c>
      <c r="L384" s="146">
        <f>IF(分析!K384&lt;&gt;"",分析!K384,"")</f>
        <v/>
      </c>
      <c r="M384" s="141">
        <f>IF(分析!P384&lt;&gt;"",分析!P384,"")</f>
        <v/>
      </c>
      <c r="N384" s="599">
        <f>IF(分析!O384&lt;&gt;"",分析!O384,"")</f>
        <v/>
      </c>
      <c r="O384" s="148">
        <f>IF(分析!X384&lt;&gt;"",分析!X384,"")</f>
        <v/>
      </c>
      <c r="P384" s="600">
        <f>IF(分析!L384&lt;&gt;"",分析!L384,"")</f>
        <v/>
      </c>
      <c r="Q384" s="146">
        <f>IF(分析!S384&lt;&gt;"",分析!S384,"")</f>
        <v/>
      </c>
      <c r="R384" s="146">
        <f>IF(分析!R384&lt;&gt;"",分析!R384,"")</f>
        <v/>
      </c>
      <c r="S384" s="141">
        <f>IF(分析!AA384&lt;&gt;"",分析!AA384,"")</f>
        <v/>
      </c>
      <c r="T384" s="601">
        <f>IF(分析!Z384&lt;&gt;"",分析!Z384,"")</f>
        <v/>
      </c>
      <c r="U384" s="141">
        <f>IF(分析!V384&lt;&gt;"",分析!V384,"")</f>
        <v/>
      </c>
      <c r="V384" s="602">
        <f>IF(分析!W384&lt;&gt;"",分析!W384,"")</f>
        <v/>
      </c>
      <c r="W384" s="152">
        <f>IF(分析!AD384&lt;&gt;"",分析!AD384,"")</f>
        <v/>
      </c>
      <c r="X384" s="153">
        <f>IF(分析!AE384&lt;&gt;"",分析!AE384,"")</f>
        <v/>
      </c>
      <c r="Y384" s="154">
        <f>IF(分析!T384&lt;&gt;"",分析!T384,"")</f>
        <v/>
      </c>
      <c r="Z384" s="155">
        <f>IF(分析!Y384&lt;&gt;"",分析!Y384,"")</f>
        <v/>
      </c>
    </row>
    <row r="385" ht="21.95" customHeight="1" s="574">
      <c r="A385" s="156">
        <f>IF(分析!C385&lt;&gt;"",ROW()-2,"")</f>
        <v/>
      </c>
      <c r="B385" s="157">
        <f>IF(分析!C385&lt;&gt;"",HYPERLINK("https://kabutan.jp/stock/?code="&amp;分析!C385,"株探"),"")</f>
        <v/>
      </c>
      <c r="C385" s="603">
        <f>IF(分析!C385&lt;&gt;"",分析!C385,"")</f>
        <v/>
      </c>
      <c r="D385" s="159">
        <f>IF(分析!D385&lt;&gt;"",分析!D385,"")</f>
        <v/>
      </c>
      <c r="E385" s="160">
        <f>IF(分析!E385&lt;&gt;"",分析!E385,"")</f>
        <v/>
      </c>
      <c r="F385" s="161">
        <f>IF(分析!F385&lt;&gt;"",分析!F385,"")</f>
        <v/>
      </c>
      <c r="G385" s="161">
        <f>IF(分析!H385&lt;&gt;"",分析!H385,"")</f>
        <v/>
      </c>
      <c r="H385" s="161">
        <f>IF(分析!I385&lt;&gt;"",分析!I385,"")</f>
        <v/>
      </c>
      <c r="I385" s="161">
        <f>IF(分析!J385&lt;&gt;"",分析!J385,"")</f>
        <v/>
      </c>
      <c r="J385" s="161">
        <f>IF(分析!AB385&lt;&gt;"",分析!AB385,"")</f>
        <v/>
      </c>
      <c r="K385" s="161">
        <f>IF(分析!AC385&lt;&gt;"",分析!AC385,"")</f>
        <v/>
      </c>
      <c r="L385" s="161">
        <f>IF(分析!K385&lt;&gt;"",分析!K385,"")</f>
        <v/>
      </c>
      <c r="M385" s="156">
        <f>IF(分析!P385&lt;&gt;"",分析!P385,"")</f>
        <v/>
      </c>
      <c r="N385" s="604">
        <f>IF(分析!O385&lt;&gt;"",分析!O385,"")</f>
        <v/>
      </c>
      <c r="O385" s="163">
        <f>IF(分析!X385&lt;&gt;"",分析!X385,"")</f>
        <v/>
      </c>
      <c r="P385" s="605">
        <f>IF(分析!L385&lt;&gt;"",分析!L385,"")</f>
        <v/>
      </c>
      <c r="Q385" s="161">
        <f>IF(分析!S385&lt;&gt;"",分析!S385,"")</f>
        <v/>
      </c>
      <c r="R385" s="161">
        <f>IF(分析!R385&lt;&gt;"",分析!R385,"")</f>
        <v/>
      </c>
      <c r="S385" s="156">
        <f>IF(分析!AA385&lt;&gt;"",分析!AA385,"")</f>
        <v/>
      </c>
      <c r="T385" s="606">
        <f>IF(分析!Z385&lt;&gt;"",分析!Z385,"")</f>
        <v/>
      </c>
      <c r="U385" s="156">
        <f>IF(分析!V385&lt;&gt;"",分析!V385,"")</f>
        <v/>
      </c>
      <c r="V385" s="607">
        <f>IF(分析!W385&lt;&gt;"",分析!W385,"")</f>
        <v/>
      </c>
      <c r="W385" s="167">
        <f>IF(分析!AD385&lt;&gt;"",分析!AD385,"")</f>
        <v/>
      </c>
      <c r="X385" s="168">
        <f>IF(分析!AE385&lt;&gt;"",分析!AE385,"")</f>
        <v/>
      </c>
      <c r="Y385" s="169">
        <f>IF(分析!T385&lt;&gt;"",分析!T385,"")</f>
        <v/>
      </c>
      <c r="Z385" s="155">
        <f>IF(分析!Y385&lt;&gt;"",分析!Y385,"")</f>
        <v/>
      </c>
    </row>
    <row r="386" ht="21.95" customHeight="1" s="574">
      <c r="A386" s="141">
        <f>IF(分析!C386&lt;&gt;"",ROW()-2,"")</f>
        <v/>
      </c>
      <c r="B386" s="142">
        <f>IF(分析!C386&lt;&gt;"",HYPERLINK("https://kabutan.jp/stock/?code="&amp;分析!C386,"株探"),"")</f>
        <v/>
      </c>
      <c r="C386" s="598">
        <f>IF(分析!C386&lt;&gt;"",分析!C386,"")</f>
        <v/>
      </c>
      <c r="D386" s="144">
        <f>IF(分析!D386&lt;&gt;"",分析!D386,"")</f>
        <v/>
      </c>
      <c r="E386" s="145">
        <f>IF(分析!E386&lt;&gt;"",分析!E386,"")</f>
        <v/>
      </c>
      <c r="F386" s="146">
        <f>IF(分析!F386&lt;&gt;"",分析!F386,"")</f>
        <v/>
      </c>
      <c r="G386" s="146">
        <f>IF(分析!H386&lt;&gt;"",分析!H386,"")</f>
        <v/>
      </c>
      <c r="H386" s="146">
        <f>IF(分析!I386&lt;&gt;"",分析!I386,"")</f>
        <v/>
      </c>
      <c r="I386" s="146">
        <f>IF(分析!J386&lt;&gt;"",分析!J386,"")</f>
        <v/>
      </c>
      <c r="J386" s="146">
        <f>IF(分析!AB386&lt;&gt;"",分析!AB386,"")</f>
        <v/>
      </c>
      <c r="K386" s="146">
        <f>IF(分析!AC386&lt;&gt;"",分析!AC386,"")</f>
        <v/>
      </c>
      <c r="L386" s="146">
        <f>IF(分析!K386&lt;&gt;"",分析!K386,"")</f>
        <v/>
      </c>
      <c r="M386" s="141">
        <f>IF(分析!P386&lt;&gt;"",分析!P386,"")</f>
        <v/>
      </c>
      <c r="N386" s="599">
        <f>IF(分析!O386&lt;&gt;"",分析!O386,"")</f>
        <v/>
      </c>
      <c r="O386" s="148">
        <f>IF(分析!X386&lt;&gt;"",分析!X386,"")</f>
        <v/>
      </c>
      <c r="P386" s="600">
        <f>IF(分析!L386&lt;&gt;"",分析!L386,"")</f>
        <v/>
      </c>
      <c r="Q386" s="146">
        <f>IF(分析!S386&lt;&gt;"",分析!S386,"")</f>
        <v/>
      </c>
      <c r="R386" s="146">
        <f>IF(分析!R386&lt;&gt;"",分析!R386,"")</f>
        <v/>
      </c>
      <c r="S386" s="141">
        <f>IF(分析!AA386&lt;&gt;"",分析!AA386,"")</f>
        <v/>
      </c>
      <c r="T386" s="601">
        <f>IF(分析!Z386&lt;&gt;"",分析!Z386,"")</f>
        <v/>
      </c>
      <c r="U386" s="141">
        <f>IF(分析!V386&lt;&gt;"",分析!V386,"")</f>
        <v/>
      </c>
      <c r="V386" s="602">
        <f>IF(分析!W386&lt;&gt;"",分析!W386,"")</f>
        <v/>
      </c>
      <c r="W386" s="152">
        <f>IF(分析!AD386&lt;&gt;"",分析!AD386,"")</f>
        <v/>
      </c>
      <c r="X386" s="153">
        <f>IF(分析!AE386&lt;&gt;"",分析!AE386,"")</f>
        <v/>
      </c>
      <c r="Y386" s="154">
        <f>IF(分析!T386&lt;&gt;"",分析!T386,"")</f>
        <v/>
      </c>
      <c r="Z386" s="155">
        <f>IF(分析!Y386&lt;&gt;"",分析!Y386,"")</f>
        <v/>
      </c>
    </row>
    <row r="387" ht="21.95" customHeight="1" s="574">
      <c r="A387" s="156">
        <f>IF(分析!C387&lt;&gt;"",ROW()-2,"")</f>
        <v/>
      </c>
      <c r="B387" s="157">
        <f>IF(分析!C387&lt;&gt;"",HYPERLINK("https://kabutan.jp/stock/?code="&amp;分析!C387,"株探"),"")</f>
        <v/>
      </c>
      <c r="C387" s="603">
        <f>IF(分析!C387&lt;&gt;"",分析!C387,"")</f>
        <v/>
      </c>
      <c r="D387" s="159">
        <f>IF(分析!D387&lt;&gt;"",分析!D387,"")</f>
        <v/>
      </c>
      <c r="E387" s="160">
        <f>IF(分析!E387&lt;&gt;"",分析!E387,"")</f>
        <v/>
      </c>
      <c r="F387" s="161">
        <f>IF(分析!F387&lt;&gt;"",分析!F387,"")</f>
        <v/>
      </c>
      <c r="G387" s="161">
        <f>IF(分析!H387&lt;&gt;"",分析!H387,"")</f>
        <v/>
      </c>
      <c r="H387" s="161">
        <f>IF(分析!I387&lt;&gt;"",分析!I387,"")</f>
        <v/>
      </c>
      <c r="I387" s="161">
        <f>IF(分析!J387&lt;&gt;"",分析!J387,"")</f>
        <v/>
      </c>
      <c r="J387" s="161">
        <f>IF(分析!AB387&lt;&gt;"",分析!AB387,"")</f>
        <v/>
      </c>
      <c r="K387" s="161">
        <f>IF(分析!AC387&lt;&gt;"",分析!AC387,"")</f>
        <v/>
      </c>
      <c r="L387" s="161">
        <f>IF(分析!K387&lt;&gt;"",分析!K387,"")</f>
        <v/>
      </c>
      <c r="M387" s="156">
        <f>IF(分析!P387&lt;&gt;"",分析!P387,"")</f>
        <v/>
      </c>
      <c r="N387" s="604">
        <f>IF(分析!O387&lt;&gt;"",分析!O387,"")</f>
        <v/>
      </c>
      <c r="O387" s="163">
        <f>IF(分析!X387&lt;&gt;"",分析!X387,"")</f>
        <v/>
      </c>
      <c r="P387" s="605">
        <f>IF(分析!L387&lt;&gt;"",分析!L387,"")</f>
        <v/>
      </c>
      <c r="Q387" s="161">
        <f>IF(分析!S387&lt;&gt;"",分析!S387,"")</f>
        <v/>
      </c>
      <c r="R387" s="161">
        <f>IF(分析!R387&lt;&gt;"",分析!R387,"")</f>
        <v/>
      </c>
      <c r="S387" s="156">
        <f>IF(分析!AA387&lt;&gt;"",分析!AA387,"")</f>
        <v/>
      </c>
      <c r="T387" s="606">
        <f>IF(分析!Z387&lt;&gt;"",分析!Z387,"")</f>
        <v/>
      </c>
      <c r="U387" s="156">
        <f>IF(分析!V387&lt;&gt;"",分析!V387,"")</f>
        <v/>
      </c>
      <c r="V387" s="607">
        <f>IF(分析!W387&lt;&gt;"",分析!W387,"")</f>
        <v/>
      </c>
      <c r="W387" s="167">
        <f>IF(分析!AD387&lt;&gt;"",分析!AD387,"")</f>
        <v/>
      </c>
      <c r="X387" s="168">
        <f>IF(分析!AE387&lt;&gt;"",分析!AE387,"")</f>
        <v/>
      </c>
      <c r="Y387" s="169">
        <f>IF(分析!T387&lt;&gt;"",分析!T387,"")</f>
        <v/>
      </c>
      <c r="Z387" s="155">
        <f>IF(分析!Y387&lt;&gt;"",分析!Y387,"")</f>
        <v/>
      </c>
    </row>
    <row r="388" ht="21.95" customHeight="1" s="574">
      <c r="A388" s="141">
        <f>IF(分析!C388&lt;&gt;"",ROW()-2,"")</f>
        <v/>
      </c>
      <c r="B388" s="142">
        <f>IF(分析!C388&lt;&gt;"",HYPERLINK("https://kabutan.jp/stock/?code="&amp;分析!C388,"株探"),"")</f>
        <v/>
      </c>
      <c r="C388" s="598">
        <f>IF(分析!C388&lt;&gt;"",分析!C388,"")</f>
        <v/>
      </c>
      <c r="D388" s="144">
        <f>IF(分析!D388&lt;&gt;"",分析!D388,"")</f>
        <v/>
      </c>
      <c r="E388" s="145">
        <f>IF(分析!E388&lt;&gt;"",分析!E388,"")</f>
        <v/>
      </c>
      <c r="F388" s="146">
        <f>IF(分析!F388&lt;&gt;"",分析!F388,"")</f>
        <v/>
      </c>
      <c r="G388" s="146">
        <f>IF(分析!H388&lt;&gt;"",分析!H388,"")</f>
        <v/>
      </c>
      <c r="H388" s="146">
        <f>IF(分析!I388&lt;&gt;"",分析!I388,"")</f>
        <v/>
      </c>
      <c r="I388" s="146">
        <f>IF(分析!J388&lt;&gt;"",分析!J388,"")</f>
        <v/>
      </c>
      <c r="J388" s="146">
        <f>IF(分析!AB388&lt;&gt;"",分析!AB388,"")</f>
        <v/>
      </c>
      <c r="K388" s="146">
        <f>IF(分析!AC388&lt;&gt;"",分析!AC388,"")</f>
        <v/>
      </c>
      <c r="L388" s="146">
        <f>IF(分析!K388&lt;&gt;"",分析!K388,"")</f>
        <v/>
      </c>
      <c r="M388" s="141">
        <f>IF(分析!P388&lt;&gt;"",分析!P388,"")</f>
        <v/>
      </c>
      <c r="N388" s="599">
        <f>IF(分析!O388&lt;&gt;"",分析!O388,"")</f>
        <v/>
      </c>
      <c r="O388" s="148">
        <f>IF(分析!X388&lt;&gt;"",分析!X388,"")</f>
        <v/>
      </c>
      <c r="P388" s="600">
        <f>IF(分析!L388&lt;&gt;"",分析!L388,"")</f>
        <v/>
      </c>
      <c r="Q388" s="146">
        <f>IF(分析!S388&lt;&gt;"",分析!S388,"")</f>
        <v/>
      </c>
      <c r="R388" s="146">
        <f>IF(分析!R388&lt;&gt;"",分析!R388,"")</f>
        <v/>
      </c>
      <c r="S388" s="141">
        <f>IF(分析!AA388&lt;&gt;"",分析!AA388,"")</f>
        <v/>
      </c>
      <c r="T388" s="601">
        <f>IF(分析!Z388&lt;&gt;"",分析!Z388,"")</f>
        <v/>
      </c>
      <c r="U388" s="141">
        <f>IF(分析!V388&lt;&gt;"",分析!V388,"")</f>
        <v/>
      </c>
      <c r="V388" s="602">
        <f>IF(分析!W388&lt;&gt;"",分析!W388,"")</f>
        <v/>
      </c>
      <c r="W388" s="152">
        <f>IF(分析!AD388&lt;&gt;"",分析!AD388,"")</f>
        <v/>
      </c>
      <c r="X388" s="153">
        <f>IF(分析!AE388&lt;&gt;"",分析!AE388,"")</f>
        <v/>
      </c>
      <c r="Y388" s="154">
        <f>IF(分析!T388&lt;&gt;"",分析!T388,"")</f>
        <v/>
      </c>
      <c r="Z388" s="155">
        <f>IF(分析!Y388&lt;&gt;"",分析!Y388,"")</f>
        <v/>
      </c>
    </row>
    <row r="389" ht="21.95" customHeight="1" s="574">
      <c r="A389" s="156">
        <f>IF(分析!C389&lt;&gt;"",ROW()-2,"")</f>
        <v/>
      </c>
      <c r="B389" s="157">
        <f>IF(分析!C389&lt;&gt;"",HYPERLINK("https://kabutan.jp/stock/?code="&amp;分析!C389,"株探"),"")</f>
        <v/>
      </c>
      <c r="C389" s="603">
        <f>IF(分析!C389&lt;&gt;"",分析!C389,"")</f>
        <v/>
      </c>
      <c r="D389" s="159">
        <f>IF(分析!D389&lt;&gt;"",分析!D389,"")</f>
        <v/>
      </c>
      <c r="E389" s="160">
        <f>IF(分析!E389&lt;&gt;"",分析!E389,"")</f>
        <v/>
      </c>
      <c r="F389" s="161">
        <f>IF(分析!F389&lt;&gt;"",分析!F389,"")</f>
        <v/>
      </c>
      <c r="G389" s="161">
        <f>IF(分析!H389&lt;&gt;"",分析!H389,"")</f>
        <v/>
      </c>
      <c r="H389" s="161">
        <f>IF(分析!I389&lt;&gt;"",分析!I389,"")</f>
        <v/>
      </c>
      <c r="I389" s="161">
        <f>IF(分析!J389&lt;&gt;"",分析!J389,"")</f>
        <v/>
      </c>
      <c r="J389" s="161">
        <f>IF(分析!AB389&lt;&gt;"",分析!AB389,"")</f>
        <v/>
      </c>
      <c r="K389" s="161">
        <f>IF(分析!AC389&lt;&gt;"",分析!AC389,"")</f>
        <v/>
      </c>
      <c r="L389" s="161">
        <f>IF(分析!K389&lt;&gt;"",分析!K389,"")</f>
        <v/>
      </c>
      <c r="M389" s="156">
        <f>IF(分析!P389&lt;&gt;"",分析!P389,"")</f>
        <v/>
      </c>
      <c r="N389" s="604">
        <f>IF(分析!O389&lt;&gt;"",分析!O389,"")</f>
        <v/>
      </c>
      <c r="O389" s="163">
        <f>IF(分析!X389&lt;&gt;"",分析!X389,"")</f>
        <v/>
      </c>
      <c r="P389" s="605">
        <f>IF(分析!L389&lt;&gt;"",分析!L389,"")</f>
        <v/>
      </c>
      <c r="Q389" s="161">
        <f>IF(分析!S389&lt;&gt;"",分析!S389,"")</f>
        <v/>
      </c>
      <c r="R389" s="161">
        <f>IF(分析!R389&lt;&gt;"",分析!R389,"")</f>
        <v/>
      </c>
      <c r="S389" s="156">
        <f>IF(分析!AA389&lt;&gt;"",分析!AA389,"")</f>
        <v/>
      </c>
      <c r="T389" s="606">
        <f>IF(分析!Z389&lt;&gt;"",分析!Z389,"")</f>
        <v/>
      </c>
      <c r="U389" s="156">
        <f>IF(分析!V389&lt;&gt;"",分析!V389,"")</f>
        <v/>
      </c>
      <c r="V389" s="607">
        <f>IF(分析!W389&lt;&gt;"",分析!W389,"")</f>
        <v/>
      </c>
      <c r="W389" s="167">
        <f>IF(分析!AD389&lt;&gt;"",分析!AD389,"")</f>
        <v/>
      </c>
      <c r="X389" s="168">
        <f>IF(分析!AE389&lt;&gt;"",分析!AE389,"")</f>
        <v/>
      </c>
      <c r="Y389" s="169">
        <f>IF(分析!T389&lt;&gt;"",分析!T389,"")</f>
        <v/>
      </c>
      <c r="Z389" s="155">
        <f>IF(分析!Y389&lt;&gt;"",分析!Y389,"")</f>
        <v/>
      </c>
    </row>
    <row r="390" ht="21.95" customHeight="1" s="574">
      <c r="A390" s="141">
        <f>IF(分析!C390&lt;&gt;"",ROW()-2,"")</f>
        <v/>
      </c>
      <c r="B390" s="142">
        <f>IF(分析!C390&lt;&gt;"",HYPERLINK("https://kabutan.jp/stock/?code="&amp;分析!C390,"株探"),"")</f>
        <v/>
      </c>
      <c r="C390" s="598">
        <f>IF(分析!C390&lt;&gt;"",分析!C390,"")</f>
        <v/>
      </c>
      <c r="D390" s="144">
        <f>IF(分析!D390&lt;&gt;"",分析!D390,"")</f>
        <v/>
      </c>
      <c r="E390" s="145">
        <f>IF(分析!E390&lt;&gt;"",分析!E390,"")</f>
        <v/>
      </c>
      <c r="F390" s="146">
        <f>IF(分析!F390&lt;&gt;"",分析!F390,"")</f>
        <v/>
      </c>
      <c r="G390" s="146">
        <f>IF(分析!H390&lt;&gt;"",分析!H390,"")</f>
        <v/>
      </c>
      <c r="H390" s="146">
        <f>IF(分析!I390&lt;&gt;"",分析!I390,"")</f>
        <v/>
      </c>
      <c r="I390" s="146">
        <f>IF(分析!J390&lt;&gt;"",分析!J390,"")</f>
        <v/>
      </c>
      <c r="J390" s="146">
        <f>IF(分析!AB390&lt;&gt;"",分析!AB390,"")</f>
        <v/>
      </c>
      <c r="K390" s="146">
        <f>IF(分析!AC390&lt;&gt;"",分析!AC390,"")</f>
        <v/>
      </c>
      <c r="L390" s="146">
        <f>IF(分析!K390&lt;&gt;"",分析!K390,"")</f>
        <v/>
      </c>
      <c r="M390" s="141">
        <f>IF(分析!P390&lt;&gt;"",分析!P390,"")</f>
        <v/>
      </c>
      <c r="N390" s="599">
        <f>IF(分析!O390&lt;&gt;"",分析!O390,"")</f>
        <v/>
      </c>
      <c r="O390" s="148">
        <f>IF(分析!X390&lt;&gt;"",分析!X390,"")</f>
        <v/>
      </c>
      <c r="P390" s="600">
        <f>IF(分析!L390&lt;&gt;"",分析!L390,"")</f>
        <v/>
      </c>
      <c r="Q390" s="146">
        <f>IF(分析!S390&lt;&gt;"",分析!S390,"")</f>
        <v/>
      </c>
      <c r="R390" s="146">
        <f>IF(分析!R390&lt;&gt;"",分析!R390,"")</f>
        <v/>
      </c>
      <c r="S390" s="141">
        <f>IF(分析!AA390&lt;&gt;"",分析!AA390,"")</f>
        <v/>
      </c>
      <c r="T390" s="601">
        <f>IF(分析!Z390&lt;&gt;"",分析!Z390,"")</f>
        <v/>
      </c>
      <c r="U390" s="141">
        <f>IF(分析!V390&lt;&gt;"",分析!V390,"")</f>
        <v/>
      </c>
      <c r="V390" s="602">
        <f>IF(分析!W390&lt;&gt;"",分析!W390,"")</f>
        <v/>
      </c>
      <c r="W390" s="152">
        <f>IF(分析!AD390&lt;&gt;"",分析!AD390,"")</f>
        <v/>
      </c>
      <c r="X390" s="153">
        <f>IF(分析!AE390&lt;&gt;"",分析!AE390,"")</f>
        <v/>
      </c>
      <c r="Y390" s="154">
        <f>IF(分析!T390&lt;&gt;"",分析!T390,"")</f>
        <v/>
      </c>
      <c r="Z390" s="155">
        <f>IF(分析!Y390&lt;&gt;"",分析!Y390,"")</f>
        <v/>
      </c>
    </row>
    <row r="391" ht="21.95" customHeight="1" s="574">
      <c r="A391" s="156">
        <f>IF(分析!C391&lt;&gt;"",ROW()-2,"")</f>
        <v/>
      </c>
      <c r="B391" s="157">
        <f>IF(分析!C391&lt;&gt;"",HYPERLINK("https://kabutan.jp/stock/?code="&amp;分析!C391,"株探"),"")</f>
        <v/>
      </c>
      <c r="C391" s="603">
        <f>IF(分析!C391&lt;&gt;"",分析!C391,"")</f>
        <v/>
      </c>
      <c r="D391" s="159">
        <f>IF(分析!D391&lt;&gt;"",分析!D391,"")</f>
        <v/>
      </c>
      <c r="E391" s="160">
        <f>IF(分析!E391&lt;&gt;"",分析!E391,"")</f>
        <v/>
      </c>
      <c r="F391" s="161">
        <f>IF(分析!F391&lt;&gt;"",分析!F391,"")</f>
        <v/>
      </c>
      <c r="G391" s="161">
        <f>IF(分析!H391&lt;&gt;"",分析!H391,"")</f>
        <v/>
      </c>
      <c r="H391" s="161">
        <f>IF(分析!I391&lt;&gt;"",分析!I391,"")</f>
        <v/>
      </c>
      <c r="I391" s="161">
        <f>IF(分析!J391&lt;&gt;"",分析!J391,"")</f>
        <v/>
      </c>
      <c r="J391" s="161">
        <f>IF(分析!AB391&lt;&gt;"",分析!AB391,"")</f>
        <v/>
      </c>
      <c r="K391" s="161">
        <f>IF(分析!AC391&lt;&gt;"",分析!AC391,"")</f>
        <v/>
      </c>
      <c r="L391" s="161">
        <f>IF(分析!K391&lt;&gt;"",分析!K391,"")</f>
        <v/>
      </c>
      <c r="M391" s="156">
        <f>IF(分析!P391&lt;&gt;"",分析!P391,"")</f>
        <v/>
      </c>
      <c r="N391" s="604">
        <f>IF(分析!O391&lt;&gt;"",分析!O391,"")</f>
        <v/>
      </c>
      <c r="O391" s="163">
        <f>IF(分析!X391&lt;&gt;"",分析!X391,"")</f>
        <v/>
      </c>
      <c r="P391" s="605">
        <f>IF(分析!L391&lt;&gt;"",分析!L391,"")</f>
        <v/>
      </c>
      <c r="Q391" s="161">
        <f>IF(分析!S391&lt;&gt;"",分析!S391,"")</f>
        <v/>
      </c>
      <c r="R391" s="161">
        <f>IF(分析!R391&lt;&gt;"",分析!R391,"")</f>
        <v/>
      </c>
      <c r="S391" s="156">
        <f>IF(分析!AA391&lt;&gt;"",分析!AA391,"")</f>
        <v/>
      </c>
      <c r="T391" s="606">
        <f>IF(分析!Z391&lt;&gt;"",分析!Z391,"")</f>
        <v/>
      </c>
      <c r="U391" s="156">
        <f>IF(分析!V391&lt;&gt;"",分析!V391,"")</f>
        <v/>
      </c>
      <c r="V391" s="607">
        <f>IF(分析!W391&lt;&gt;"",分析!W391,"")</f>
        <v/>
      </c>
      <c r="W391" s="167">
        <f>IF(分析!AD391&lt;&gt;"",分析!AD391,"")</f>
        <v/>
      </c>
      <c r="X391" s="168">
        <f>IF(分析!AE391&lt;&gt;"",分析!AE391,"")</f>
        <v/>
      </c>
      <c r="Y391" s="169">
        <f>IF(分析!T391&lt;&gt;"",分析!T391,"")</f>
        <v/>
      </c>
      <c r="Z391" s="155">
        <f>IF(分析!Y391&lt;&gt;"",分析!Y391,"")</f>
        <v/>
      </c>
    </row>
    <row r="392" ht="21.95" customHeight="1" s="574">
      <c r="A392" s="141">
        <f>IF(分析!C392&lt;&gt;"",ROW()-2,"")</f>
        <v/>
      </c>
      <c r="B392" s="142">
        <f>IF(分析!C392&lt;&gt;"",HYPERLINK("https://kabutan.jp/stock/?code="&amp;分析!C392,"株探"),"")</f>
        <v/>
      </c>
      <c r="C392" s="598">
        <f>IF(分析!C392&lt;&gt;"",分析!C392,"")</f>
        <v/>
      </c>
      <c r="D392" s="144">
        <f>IF(分析!D392&lt;&gt;"",分析!D392,"")</f>
        <v/>
      </c>
      <c r="E392" s="145">
        <f>IF(分析!E392&lt;&gt;"",分析!E392,"")</f>
        <v/>
      </c>
      <c r="F392" s="146">
        <f>IF(分析!F392&lt;&gt;"",分析!F392,"")</f>
        <v/>
      </c>
      <c r="G392" s="146">
        <f>IF(分析!H392&lt;&gt;"",分析!H392,"")</f>
        <v/>
      </c>
      <c r="H392" s="146">
        <f>IF(分析!I392&lt;&gt;"",分析!I392,"")</f>
        <v/>
      </c>
      <c r="I392" s="146">
        <f>IF(分析!J392&lt;&gt;"",分析!J392,"")</f>
        <v/>
      </c>
      <c r="J392" s="146">
        <f>IF(分析!AB392&lt;&gt;"",分析!AB392,"")</f>
        <v/>
      </c>
      <c r="K392" s="146">
        <f>IF(分析!AC392&lt;&gt;"",分析!AC392,"")</f>
        <v/>
      </c>
      <c r="L392" s="146">
        <f>IF(分析!K392&lt;&gt;"",分析!K392,"")</f>
        <v/>
      </c>
      <c r="M392" s="141">
        <f>IF(分析!P392&lt;&gt;"",分析!P392,"")</f>
        <v/>
      </c>
      <c r="N392" s="599">
        <f>IF(分析!O392&lt;&gt;"",分析!O392,"")</f>
        <v/>
      </c>
      <c r="O392" s="148">
        <f>IF(分析!X392&lt;&gt;"",分析!X392,"")</f>
        <v/>
      </c>
      <c r="P392" s="600">
        <f>IF(分析!L392&lt;&gt;"",分析!L392,"")</f>
        <v/>
      </c>
      <c r="Q392" s="146">
        <f>IF(分析!S392&lt;&gt;"",分析!S392,"")</f>
        <v/>
      </c>
      <c r="R392" s="146">
        <f>IF(分析!R392&lt;&gt;"",分析!R392,"")</f>
        <v/>
      </c>
      <c r="S392" s="141">
        <f>IF(分析!AA392&lt;&gt;"",分析!AA392,"")</f>
        <v/>
      </c>
      <c r="T392" s="601">
        <f>IF(分析!Z392&lt;&gt;"",分析!Z392,"")</f>
        <v/>
      </c>
      <c r="U392" s="141">
        <f>IF(分析!V392&lt;&gt;"",分析!V392,"")</f>
        <v/>
      </c>
      <c r="V392" s="602">
        <f>IF(分析!W392&lt;&gt;"",分析!W392,"")</f>
        <v/>
      </c>
      <c r="W392" s="152">
        <f>IF(分析!AD392&lt;&gt;"",分析!AD392,"")</f>
        <v/>
      </c>
      <c r="X392" s="153">
        <f>IF(分析!AE392&lt;&gt;"",分析!AE392,"")</f>
        <v/>
      </c>
      <c r="Y392" s="154">
        <f>IF(分析!T392&lt;&gt;"",分析!T392,"")</f>
        <v/>
      </c>
      <c r="Z392" s="155">
        <f>IF(分析!Y392&lt;&gt;"",分析!Y392,"")</f>
        <v/>
      </c>
    </row>
    <row r="393" ht="21.95" customHeight="1" s="574">
      <c r="A393" s="156">
        <f>IF(分析!C393&lt;&gt;"",ROW()-2,"")</f>
        <v/>
      </c>
      <c r="B393" s="157">
        <f>IF(分析!C393&lt;&gt;"",HYPERLINK("https://kabutan.jp/stock/?code="&amp;分析!C393,"株探"),"")</f>
        <v/>
      </c>
      <c r="C393" s="603">
        <f>IF(分析!C393&lt;&gt;"",分析!C393,"")</f>
        <v/>
      </c>
      <c r="D393" s="159">
        <f>IF(分析!D393&lt;&gt;"",分析!D393,"")</f>
        <v/>
      </c>
      <c r="E393" s="160">
        <f>IF(分析!E393&lt;&gt;"",分析!E393,"")</f>
        <v/>
      </c>
      <c r="F393" s="161">
        <f>IF(分析!F393&lt;&gt;"",分析!F393,"")</f>
        <v/>
      </c>
      <c r="G393" s="161">
        <f>IF(分析!H393&lt;&gt;"",分析!H393,"")</f>
        <v/>
      </c>
      <c r="H393" s="161">
        <f>IF(分析!I393&lt;&gt;"",分析!I393,"")</f>
        <v/>
      </c>
      <c r="I393" s="161">
        <f>IF(分析!J393&lt;&gt;"",分析!J393,"")</f>
        <v/>
      </c>
      <c r="J393" s="161">
        <f>IF(分析!AB393&lt;&gt;"",分析!AB393,"")</f>
        <v/>
      </c>
      <c r="K393" s="161">
        <f>IF(分析!AC393&lt;&gt;"",分析!AC393,"")</f>
        <v/>
      </c>
      <c r="L393" s="161">
        <f>IF(分析!K393&lt;&gt;"",分析!K393,"")</f>
        <v/>
      </c>
      <c r="M393" s="156">
        <f>IF(分析!P393&lt;&gt;"",分析!P393,"")</f>
        <v/>
      </c>
      <c r="N393" s="604">
        <f>IF(分析!O393&lt;&gt;"",分析!O393,"")</f>
        <v/>
      </c>
      <c r="O393" s="163">
        <f>IF(分析!X393&lt;&gt;"",分析!X393,"")</f>
        <v/>
      </c>
      <c r="P393" s="605">
        <f>IF(分析!L393&lt;&gt;"",分析!L393,"")</f>
        <v/>
      </c>
      <c r="Q393" s="161">
        <f>IF(分析!S393&lt;&gt;"",分析!S393,"")</f>
        <v/>
      </c>
      <c r="R393" s="161">
        <f>IF(分析!R393&lt;&gt;"",分析!R393,"")</f>
        <v/>
      </c>
      <c r="S393" s="156">
        <f>IF(分析!AA393&lt;&gt;"",分析!AA393,"")</f>
        <v/>
      </c>
      <c r="T393" s="606">
        <f>IF(分析!Z393&lt;&gt;"",分析!Z393,"")</f>
        <v/>
      </c>
      <c r="U393" s="156">
        <f>IF(分析!V393&lt;&gt;"",分析!V393,"")</f>
        <v/>
      </c>
      <c r="V393" s="607">
        <f>IF(分析!W393&lt;&gt;"",分析!W393,"")</f>
        <v/>
      </c>
      <c r="W393" s="167">
        <f>IF(分析!AD393&lt;&gt;"",分析!AD393,"")</f>
        <v/>
      </c>
      <c r="X393" s="168">
        <f>IF(分析!AE393&lt;&gt;"",分析!AE393,"")</f>
        <v/>
      </c>
      <c r="Y393" s="169">
        <f>IF(分析!T393&lt;&gt;"",分析!T393,"")</f>
        <v/>
      </c>
      <c r="Z393" s="155">
        <f>IF(分析!Y393&lt;&gt;"",分析!Y393,"")</f>
        <v/>
      </c>
    </row>
    <row r="394" ht="21.95" customHeight="1" s="574">
      <c r="A394" s="141">
        <f>IF(分析!C394&lt;&gt;"",ROW()-2,"")</f>
        <v/>
      </c>
      <c r="B394" s="142">
        <f>IF(分析!C394&lt;&gt;"",HYPERLINK("https://kabutan.jp/stock/?code="&amp;分析!C394,"株探"),"")</f>
        <v/>
      </c>
      <c r="C394" s="598">
        <f>IF(分析!C394&lt;&gt;"",分析!C394,"")</f>
        <v/>
      </c>
      <c r="D394" s="144">
        <f>IF(分析!D394&lt;&gt;"",分析!D394,"")</f>
        <v/>
      </c>
      <c r="E394" s="145">
        <f>IF(分析!E394&lt;&gt;"",分析!E394,"")</f>
        <v/>
      </c>
      <c r="F394" s="146">
        <f>IF(分析!F394&lt;&gt;"",分析!F394,"")</f>
        <v/>
      </c>
      <c r="G394" s="146">
        <f>IF(分析!H394&lt;&gt;"",分析!H394,"")</f>
        <v/>
      </c>
      <c r="H394" s="146">
        <f>IF(分析!I394&lt;&gt;"",分析!I394,"")</f>
        <v/>
      </c>
      <c r="I394" s="146">
        <f>IF(分析!J394&lt;&gt;"",分析!J394,"")</f>
        <v/>
      </c>
      <c r="J394" s="146">
        <f>IF(分析!AB394&lt;&gt;"",分析!AB394,"")</f>
        <v/>
      </c>
      <c r="K394" s="146">
        <f>IF(分析!AC394&lt;&gt;"",分析!AC394,"")</f>
        <v/>
      </c>
      <c r="L394" s="146">
        <f>IF(分析!K394&lt;&gt;"",分析!K394,"")</f>
        <v/>
      </c>
      <c r="M394" s="141">
        <f>IF(分析!P394&lt;&gt;"",分析!P394,"")</f>
        <v/>
      </c>
      <c r="N394" s="599">
        <f>IF(分析!O394&lt;&gt;"",分析!O394,"")</f>
        <v/>
      </c>
      <c r="O394" s="148">
        <f>IF(分析!X394&lt;&gt;"",分析!X394,"")</f>
        <v/>
      </c>
      <c r="P394" s="600">
        <f>IF(分析!L394&lt;&gt;"",分析!L394,"")</f>
        <v/>
      </c>
      <c r="Q394" s="146">
        <f>IF(分析!S394&lt;&gt;"",分析!S394,"")</f>
        <v/>
      </c>
      <c r="R394" s="146">
        <f>IF(分析!R394&lt;&gt;"",分析!R394,"")</f>
        <v/>
      </c>
      <c r="S394" s="141">
        <f>IF(分析!AA394&lt;&gt;"",分析!AA394,"")</f>
        <v/>
      </c>
      <c r="T394" s="601">
        <f>IF(分析!Z394&lt;&gt;"",分析!Z394,"")</f>
        <v/>
      </c>
      <c r="U394" s="141">
        <f>IF(分析!V394&lt;&gt;"",分析!V394,"")</f>
        <v/>
      </c>
      <c r="V394" s="602">
        <f>IF(分析!W394&lt;&gt;"",分析!W394,"")</f>
        <v/>
      </c>
      <c r="W394" s="152">
        <f>IF(分析!AD394&lt;&gt;"",分析!AD394,"")</f>
        <v/>
      </c>
      <c r="X394" s="153">
        <f>IF(分析!AE394&lt;&gt;"",分析!AE394,"")</f>
        <v/>
      </c>
      <c r="Y394" s="154">
        <f>IF(分析!T394&lt;&gt;"",分析!T394,"")</f>
        <v/>
      </c>
      <c r="Z394" s="155">
        <f>IF(分析!Y394&lt;&gt;"",分析!Y394,"")</f>
        <v/>
      </c>
    </row>
    <row r="395" ht="21.95" customHeight="1" s="574">
      <c r="A395" s="156">
        <f>IF(分析!C395&lt;&gt;"",ROW()-2,"")</f>
        <v/>
      </c>
      <c r="B395" s="157">
        <f>IF(分析!C395&lt;&gt;"",HYPERLINK("https://kabutan.jp/stock/?code="&amp;分析!C395,"株探"),"")</f>
        <v/>
      </c>
      <c r="C395" s="603">
        <f>IF(分析!C395&lt;&gt;"",分析!C395,"")</f>
        <v/>
      </c>
      <c r="D395" s="159">
        <f>IF(分析!D395&lt;&gt;"",分析!D395,"")</f>
        <v/>
      </c>
      <c r="E395" s="160">
        <f>IF(分析!E395&lt;&gt;"",分析!E395,"")</f>
        <v/>
      </c>
      <c r="F395" s="161">
        <f>IF(分析!F395&lt;&gt;"",分析!F395,"")</f>
        <v/>
      </c>
      <c r="G395" s="161">
        <f>IF(分析!H395&lt;&gt;"",分析!H395,"")</f>
        <v/>
      </c>
      <c r="H395" s="161">
        <f>IF(分析!I395&lt;&gt;"",分析!I395,"")</f>
        <v/>
      </c>
      <c r="I395" s="161">
        <f>IF(分析!J395&lt;&gt;"",分析!J395,"")</f>
        <v/>
      </c>
      <c r="J395" s="161">
        <f>IF(分析!AB395&lt;&gt;"",分析!AB395,"")</f>
        <v/>
      </c>
      <c r="K395" s="161">
        <f>IF(分析!AC395&lt;&gt;"",分析!AC395,"")</f>
        <v/>
      </c>
      <c r="L395" s="161">
        <f>IF(分析!K395&lt;&gt;"",分析!K395,"")</f>
        <v/>
      </c>
      <c r="M395" s="156">
        <f>IF(分析!P395&lt;&gt;"",分析!P395,"")</f>
        <v/>
      </c>
      <c r="N395" s="604">
        <f>IF(分析!O395&lt;&gt;"",分析!O395,"")</f>
        <v/>
      </c>
      <c r="O395" s="163">
        <f>IF(分析!X395&lt;&gt;"",分析!X395,"")</f>
        <v/>
      </c>
      <c r="P395" s="605">
        <f>IF(分析!L395&lt;&gt;"",分析!L395,"")</f>
        <v/>
      </c>
      <c r="Q395" s="161">
        <f>IF(分析!S395&lt;&gt;"",分析!S395,"")</f>
        <v/>
      </c>
      <c r="R395" s="161">
        <f>IF(分析!R395&lt;&gt;"",分析!R395,"")</f>
        <v/>
      </c>
      <c r="S395" s="156">
        <f>IF(分析!AA395&lt;&gt;"",分析!AA395,"")</f>
        <v/>
      </c>
      <c r="T395" s="606">
        <f>IF(分析!Z395&lt;&gt;"",分析!Z395,"")</f>
        <v/>
      </c>
      <c r="U395" s="156">
        <f>IF(分析!V395&lt;&gt;"",分析!V395,"")</f>
        <v/>
      </c>
      <c r="V395" s="607">
        <f>IF(分析!W395&lt;&gt;"",分析!W395,"")</f>
        <v/>
      </c>
      <c r="W395" s="167">
        <f>IF(分析!AD395&lt;&gt;"",分析!AD395,"")</f>
        <v/>
      </c>
      <c r="X395" s="168">
        <f>IF(分析!AE395&lt;&gt;"",分析!AE395,"")</f>
        <v/>
      </c>
      <c r="Y395" s="169">
        <f>IF(分析!T395&lt;&gt;"",分析!T395,"")</f>
        <v/>
      </c>
      <c r="Z395" s="155">
        <f>IF(分析!Y395&lt;&gt;"",分析!Y395,"")</f>
        <v/>
      </c>
    </row>
    <row r="396" ht="21.95" customHeight="1" s="574">
      <c r="A396" s="141">
        <f>IF(分析!C396&lt;&gt;"",ROW()-2,"")</f>
        <v/>
      </c>
      <c r="B396" s="142">
        <f>IF(分析!C396&lt;&gt;"",HYPERLINK("https://kabutan.jp/stock/?code="&amp;分析!C396,"株探"),"")</f>
        <v/>
      </c>
      <c r="C396" s="598">
        <f>IF(分析!C396&lt;&gt;"",分析!C396,"")</f>
        <v/>
      </c>
      <c r="D396" s="144">
        <f>IF(分析!D396&lt;&gt;"",分析!D396,"")</f>
        <v/>
      </c>
      <c r="E396" s="145">
        <f>IF(分析!E396&lt;&gt;"",分析!E396,"")</f>
        <v/>
      </c>
      <c r="F396" s="146">
        <f>IF(分析!F396&lt;&gt;"",分析!F396,"")</f>
        <v/>
      </c>
      <c r="G396" s="146">
        <f>IF(分析!H396&lt;&gt;"",分析!H396,"")</f>
        <v/>
      </c>
      <c r="H396" s="146">
        <f>IF(分析!I396&lt;&gt;"",分析!I396,"")</f>
        <v/>
      </c>
      <c r="I396" s="146">
        <f>IF(分析!J396&lt;&gt;"",分析!J396,"")</f>
        <v/>
      </c>
      <c r="J396" s="146">
        <f>IF(分析!AB396&lt;&gt;"",分析!AB396,"")</f>
        <v/>
      </c>
      <c r="K396" s="146">
        <f>IF(分析!AC396&lt;&gt;"",分析!AC396,"")</f>
        <v/>
      </c>
      <c r="L396" s="146">
        <f>IF(分析!K396&lt;&gt;"",分析!K396,"")</f>
        <v/>
      </c>
      <c r="M396" s="141">
        <f>IF(分析!P396&lt;&gt;"",分析!P396,"")</f>
        <v/>
      </c>
      <c r="N396" s="599">
        <f>IF(分析!O396&lt;&gt;"",分析!O396,"")</f>
        <v/>
      </c>
      <c r="O396" s="148">
        <f>IF(分析!X396&lt;&gt;"",分析!X396,"")</f>
        <v/>
      </c>
      <c r="P396" s="600">
        <f>IF(分析!L396&lt;&gt;"",分析!L396,"")</f>
        <v/>
      </c>
      <c r="Q396" s="146">
        <f>IF(分析!S396&lt;&gt;"",分析!S396,"")</f>
        <v/>
      </c>
      <c r="R396" s="146">
        <f>IF(分析!R396&lt;&gt;"",分析!R396,"")</f>
        <v/>
      </c>
      <c r="S396" s="141">
        <f>IF(分析!AA396&lt;&gt;"",分析!AA396,"")</f>
        <v/>
      </c>
      <c r="T396" s="601">
        <f>IF(分析!Z396&lt;&gt;"",分析!Z396,"")</f>
        <v/>
      </c>
      <c r="U396" s="141">
        <f>IF(分析!V396&lt;&gt;"",分析!V396,"")</f>
        <v/>
      </c>
      <c r="V396" s="602">
        <f>IF(分析!W396&lt;&gt;"",分析!W396,"")</f>
        <v/>
      </c>
      <c r="W396" s="152">
        <f>IF(分析!AD396&lt;&gt;"",分析!AD396,"")</f>
        <v/>
      </c>
      <c r="X396" s="153">
        <f>IF(分析!AE396&lt;&gt;"",分析!AE396,"")</f>
        <v/>
      </c>
      <c r="Y396" s="154">
        <f>IF(分析!T396&lt;&gt;"",分析!T396,"")</f>
        <v/>
      </c>
      <c r="Z396" s="155">
        <f>IF(分析!Y396&lt;&gt;"",分析!Y396,"")</f>
        <v/>
      </c>
    </row>
    <row r="397" ht="21.95" customHeight="1" s="574">
      <c r="A397" s="156">
        <f>IF(分析!C397&lt;&gt;"",ROW()-2,"")</f>
        <v/>
      </c>
      <c r="B397" s="157">
        <f>IF(分析!C397&lt;&gt;"",HYPERLINK("https://kabutan.jp/stock/?code="&amp;分析!C397,"株探"),"")</f>
        <v/>
      </c>
      <c r="C397" s="603">
        <f>IF(分析!C397&lt;&gt;"",分析!C397,"")</f>
        <v/>
      </c>
      <c r="D397" s="159">
        <f>IF(分析!D397&lt;&gt;"",分析!D397,"")</f>
        <v/>
      </c>
      <c r="E397" s="160">
        <f>IF(分析!E397&lt;&gt;"",分析!E397,"")</f>
        <v/>
      </c>
      <c r="F397" s="161">
        <f>IF(分析!F397&lt;&gt;"",分析!F397,"")</f>
        <v/>
      </c>
      <c r="G397" s="161">
        <f>IF(分析!H397&lt;&gt;"",分析!H397,"")</f>
        <v/>
      </c>
      <c r="H397" s="161">
        <f>IF(分析!I397&lt;&gt;"",分析!I397,"")</f>
        <v/>
      </c>
      <c r="I397" s="161">
        <f>IF(分析!J397&lt;&gt;"",分析!J397,"")</f>
        <v/>
      </c>
      <c r="J397" s="161">
        <f>IF(分析!AB397&lt;&gt;"",分析!AB397,"")</f>
        <v/>
      </c>
      <c r="K397" s="161">
        <f>IF(分析!AC397&lt;&gt;"",分析!AC397,"")</f>
        <v/>
      </c>
      <c r="L397" s="161">
        <f>IF(分析!K397&lt;&gt;"",分析!K397,"")</f>
        <v/>
      </c>
      <c r="M397" s="156">
        <f>IF(分析!P397&lt;&gt;"",分析!P397,"")</f>
        <v/>
      </c>
      <c r="N397" s="604">
        <f>IF(分析!O397&lt;&gt;"",分析!O397,"")</f>
        <v/>
      </c>
      <c r="O397" s="163">
        <f>IF(分析!X397&lt;&gt;"",分析!X397,"")</f>
        <v/>
      </c>
      <c r="P397" s="605">
        <f>IF(分析!L397&lt;&gt;"",分析!L397,"")</f>
        <v/>
      </c>
      <c r="Q397" s="161">
        <f>IF(分析!S397&lt;&gt;"",分析!S397,"")</f>
        <v/>
      </c>
      <c r="R397" s="161">
        <f>IF(分析!R397&lt;&gt;"",分析!R397,"")</f>
        <v/>
      </c>
      <c r="S397" s="156">
        <f>IF(分析!AA397&lt;&gt;"",分析!AA397,"")</f>
        <v/>
      </c>
      <c r="T397" s="606">
        <f>IF(分析!Z397&lt;&gt;"",分析!Z397,"")</f>
        <v/>
      </c>
      <c r="U397" s="156">
        <f>IF(分析!V397&lt;&gt;"",分析!V397,"")</f>
        <v/>
      </c>
      <c r="V397" s="607">
        <f>IF(分析!W397&lt;&gt;"",分析!W397,"")</f>
        <v/>
      </c>
      <c r="W397" s="167">
        <f>IF(分析!AD397&lt;&gt;"",分析!AD397,"")</f>
        <v/>
      </c>
      <c r="X397" s="168">
        <f>IF(分析!AE397&lt;&gt;"",分析!AE397,"")</f>
        <v/>
      </c>
      <c r="Y397" s="169">
        <f>IF(分析!T397&lt;&gt;"",分析!T397,"")</f>
        <v/>
      </c>
      <c r="Z397" s="155">
        <f>IF(分析!Y397&lt;&gt;"",分析!Y397,"")</f>
        <v/>
      </c>
    </row>
    <row r="398" ht="21.95" customHeight="1" s="574">
      <c r="A398" s="141">
        <f>IF(分析!C398&lt;&gt;"",ROW()-2,"")</f>
        <v/>
      </c>
      <c r="B398" s="142">
        <f>IF(分析!C398&lt;&gt;"",HYPERLINK("https://kabutan.jp/stock/?code="&amp;分析!C398,"株探"),"")</f>
        <v/>
      </c>
      <c r="C398" s="598">
        <f>IF(分析!C398&lt;&gt;"",分析!C398,"")</f>
        <v/>
      </c>
      <c r="D398" s="144">
        <f>IF(分析!D398&lt;&gt;"",分析!D398,"")</f>
        <v/>
      </c>
      <c r="E398" s="145">
        <f>IF(分析!E398&lt;&gt;"",分析!E398,"")</f>
        <v/>
      </c>
      <c r="F398" s="146">
        <f>IF(分析!F398&lt;&gt;"",分析!F398,"")</f>
        <v/>
      </c>
      <c r="G398" s="146">
        <f>IF(分析!H398&lt;&gt;"",分析!H398,"")</f>
        <v/>
      </c>
      <c r="H398" s="146">
        <f>IF(分析!I398&lt;&gt;"",分析!I398,"")</f>
        <v/>
      </c>
      <c r="I398" s="146">
        <f>IF(分析!J398&lt;&gt;"",分析!J398,"")</f>
        <v/>
      </c>
      <c r="J398" s="146">
        <f>IF(分析!AB398&lt;&gt;"",分析!AB398,"")</f>
        <v/>
      </c>
      <c r="K398" s="146">
        <f>IF(分析!AC398&lt;&gt;"",分析!AC398,"")</f>
        <v/>
      </c>
      <c r="L398" s="146">
        <f>IF(分析!K398&lt;&gt;"",分析!K398,"")</f>
        <v/>
      </c>
      <c r="M398" s="141">
        <f>IF(分析!P398&lt;&gt;"",分析!P398,"")</f>
        <v/>
      </c>
      <c r="N398" s="599">
        <f>IF(分析!O398&lt;&gt;"",分析!O398,"")</f>
        <v/>
      </c>
      <c r="O398" s="148">
        <f>IF(分析!X398&lt;&gt;"",分析!X398,"")</f>
        <v/>
      </c>
      <c r="P398" s="600">
        <f>IF(分析!L398&lt;&gt;"",分析!L398,"")</f>
        <v/>
      </c>
      <c r="Q398" s="146">
        <f>IF(分析!S398&lt;&gt;"",分析!S398,"")</f>
        <v/>
      </c>
      <c r="R398" s="146">
        <f>IF(分析!R398&lt;&gt;"",分析!R398,"")</f>
        <v/>
      </c>
      <c r="S398" s="141">
        <f>IF(分析!AA398&lt;&gt;"",分析!AA398,"")</f>
        <v/>
      </c>
      <c r="T398" s="601">
        <f>IF(分析!Z398&lt;&gt;"",分析!Z398,"")</f>
        <v/>
      </c>
      <c r="U398" s="141">
        <f>IF(分析!V398&lt;&gt;"",分析!V398,"")</f>
        <v/>
      </c>
      <c r="V398" s="602">
        <f>IF(分析!W398&lt;&gt;"",分析!W398,"")</f>
        <v/>
      </c>
      <c r="W398" s="152">
        <f>IF(分析!AD398&lt;&gt;"",分析!AD398,"")</f>
        <v/>
      </c>
      <c r="X398" s="153">
        <f>IF(分析!AE398&lt;&gt;"",分析!AE398,"")</f>
        <v/>
      </c>
      <c r="Y398" s="154">
        <f>IF(分析!T398&lt;&gt;"",分析!T398,"")</f>
        <v/>
      </c>
      <c r="Z398" s="155">
        <f>IF(分析!Y398&lt;&gt;"",分析!Y398,"")</f>
        <v/>
      </c>
    </row>
    <row r="399" ht="21.95" customHeight="1" s="574">
      <c r="A399" s="156">
        <f>IF(分析!C399&lt;&gt;"",ROW()-2,"")</f>
        <v/>
      </c>
      <c r="B399" s="157">
        <f>IF(分析!C399&lt;&gt;"",HYPERLINK("https://kabutan.jp/stock/?code="&amp;分析!C399,"株探"),"")</f>
        <v/>
      </c>
      <c r="C399" s="603">
        <f>IF(分析!C399&lt;&gt;"",分析!C399,"")</f>
        <v/>
      </c>
      <c r="D399" s="159">
        <f>IF(分析!D399&lt;&gt;"",分析!D399,"")</f>
        <v/>
      </c>
      <c r="E399" s="160">
        <f>IF(分析!E399&lt;&gt;"",分析!E399,"")</f>
        <v/>
      </c>
      <c r="F399" s="161">
        <f>IF(分析!F399&lt;&gt;"",分析!F399,"")</f>
        <v/>
      </c>
      <c r="G399" s="161">
        <f>IF(分析!H399&lt;&gt;"",分析!H399,"")</f>
        <v/>
      </c>
      <c r="H399" s="161">
        <f>IF(分析!I399&lt;&gt;"",分析!I399,"")</f>
        <v/>
      </c>
      <c r="I399" s="161">
        <f>IF(分析!J399&lt;&gt;"",分析!J399,"")</f>
        <v/>
      </c>
      <c r="J399" s="161">
        <f>IF(分析!AB399&lt;&gt;"",分析!AB399,"")</f>
        <v/>
      </c>
      <c r="K399" s="161">
        <f>IF(分析!AC399&lt;&gt;"",分析!AC399,"")</f>
        <v/>
      </c>
      <c r="L399" s="161">
        <f>IF(分析!K399&lt;&gt;"",分析!K399,"")</f>
        <v/>
      </c>
      <c r="M399" s="156">
        <f>IF(分析!P399&lt;&gt;"",分析!P399,"")</f>
        <v/>
      </c>
      <c r="N399" s="604">
        <f>IF(分析!O399&lt;&gt;"",分析!O399,"")</f>
        <v/>
      </c>
      <c r="O399" s="163">
        <f>IF(分析!X399&lt;&gt;"",分析!X399,"")</f>
        <v/>
      </c>
      <c r="P399" s="605">
        <f>IF(分析!L399&lt;&gt;"",分析!L399,"")</f>
        <v/>
      </c>
      <c r="Q399" s="161">
        <f>IF(分析!S399&lt;&gt;"",分析!S399,"")</f>
        <v/>
      </c>
      <c r="R399" s="161">
        <f>IF(分析!R399&lt;&gt;"",分析!R399,"")</f>
        <v/>
      </c>
      <c r="S399" s="156">
        <f>IF(分析!AA399&lt;&gt;"",分析!AA399,"")</f>
        <v/>
      </c>
      <c r="T399" s="606">
        <f>IF(分析!Z399&lt;&gt;"",分析!Z399,"")</f>
        <v/>
      </c>
      <c r="U399" s="156">
        <f>IF(分析!V399&lt;&gt;"",分析!V399,"")</f>
        <v/>
      </c>
      <c r="V399" s="607">
        <f>IF(分析!W399&lt;&gt;"",分析!W399,"")</f>
        <v/>
      </c>
      <c r="W399" s="167">
        <f>IF(分析!AD399&lt;&gt;"",分析!AD399,"")</f>
        <v/>
      </c>
      <c r="X399" s="168">
        <f>IF(分析!AE399&lt;&gt;"",分析!AE399,"")</f>
        <v/>
      </c>
      <c r="Y399" s="169">
        <f>IF(分析!T399&lt;&gt;"",分析!T399,"")</f>
        <v/>
      </c>
      <c r="Z399" s="155">
        <f>IF(分析!Y399&lt;&gt;"",分析!Y399,"")</f>
        <v/>
      </c>
    </row>
    <row r="400" ht="21.95" customHeight="1" s="574">
      <c r="A400" s="141">
        <f>IF(分析!C400&lt;&gt;"",ROW()-2,"")</f>
        <v/>
      </c>
      <c r="B400" s="142">
        <f>IF(分析!C400&lt;&gt;"",HYPERLINK("https://kabutan.jp/stock/?code="&amp;分析!C400,"株探"),"")</f>
        <v/>
      </c>
      <c r="C400" s="598">
        <f>IF(分析!C400&lt;&gt;"",分析!C400,"")</f>
        <v/>
      </c>
      <c r="D400" s="144">
        <f>IF(分析!D400&lt;&gt;"",分析!D400,"")</f>
        <v/>
      </c>
      <c r="E400" s="145">
        <f>IF(分析!E400&lt;&gt;"",分析!E400,"")</f>
        <v/>
      </c>
      <c r="F400" s="146">
        <f>IF(分析!F400&lt;&gt;"",分析!F400,"")</f>
        <v/>
      </c>
      <c r="G400" s="146">
        <f>IF(分析!H400&lt;&gt;"",分析!H400,"")</f>
        <v/>
      </c>
      <c r="H400" s="146">
        <f>IF(分析!I400&lt;&gt;"",分析!I400,"")</f>
        <v/>
      </c>
      <c r="I400" s="146">
        <f>IF(分析!J400&lt;&gt;"",分析!J400,"")</f>
        <v/>
      </c>
      <c r="J400" s="146">
        <f>IF(分析!AB400&lt;&gt;"",分析!AB400,"")</f>
        <v/>
      </c>
      <c r="K400" s="146">
        <f>IF(分析!AC400&lt;&gt;"",分析!AC400,"")</f>
        <v/>
      </c>
      <c r="L400" s="146">
        <f>IF(分析!K400&lt;&gt;"",分析!K400,"")</f>
        <v/>
      </c>
      <c r="M400" s="141">
        <f>IF(分析!P400&lt;&gt;"",分析!P400,"")</f>
        <v/>
      </c>
      <c r="N400" s="599">
        <f>IF(分析!O400&lt;&gt;"",分析!O400,"")</f>
        <v/>
      </c>
      <c r="O400" s="148">
        <f>IF(分析!X400&lt;&gt;"",分析!X400,"")</f>
        <v/>
      </c>
      <c r="P400" s="600">
        <f>IF(分析!L400&lt;&gt;"",分析!L400,"")</f>
        <v/>
      </c>
      <c r="Q400" s="146">
        <f>IF(分析!S400&lt;&gt;"",分析!S400,"")</f>
        <v/>
      </c>
      <c r="R400" s="146">
        <f>IF(分析!R400&lt;&gt;"",分析!R400,"")</f>
        <v/>
      </c>
      <c r="S400" s="141">
        <f>IF(分析!AA400&lt;&gt;"",分析!AA400,"")</f>
        <v/>
      </c>
      <c r="T400" s="601">
        <f>IF(分析!Z400&lt;&gt;"",分析!Z400,"")</f>
        <v/>
      </c>
      <c r="U400" s="141">
        <f>IF(分析!V400&lt;&gt;"",分析!V400,"")</f>
        <v/>
      </c>
      <c r="V400" s="602">
        <f>IF(分析!W400&lt;&gt;"",分析!W400,"")</f>
        <v/>
      </c>
      <c r="W400" s="152">
        <f>IF(分析!AD400&lt;&gt;"",分析!AD400,"")</f>
        <v/>
      </c>
      <c r="X400" s="153">
        <f>IF(分析!AE400&lt;&gt;"",分析!AE400,"")</f>
        <v/>
      </c>
      <c r="Y400" s="154">
        <f>IF(分析!T400&lt;&gt;"",分析!T400,"")</f>
        <v/>
      </c>
      <c r="Z400" s="155">
        <f>IF(分析!Y400&lt;&gt;"",分析!Y400,"")</f>
        <v/>
      </c>
    </row>
    <row r="401" ht="21.95" customHeight="1" s="574">
      <c r="A401" s="156">
        <f>IF(分析!C401&lt;&gt;"",ROW()-2,"")</f>
        <v/>
      </c>
      <c r="B401" s="157">
        <f>IF(分析!C401&lt;&gt;"",HYPERLINK("https://kabutan.jp/stock/?code="&amp;分析!C401,"株探"),"")</f>
        <v/>
      </c>
      <c r="C401" s="603">
        <f>IF(分析!C401&lt;&gt;"",分析!C401,"")</f>
        <v/>
      </c>
      <c r="D401" s="159">
        <f>IF(分析!D401&lt;&gt;"",分析!D401,"")</f>
        <v/>
      </c>
      <c r="E401" s="160">
        <f>IF(分析!E401&lt;&gt;"",分析!E401,"")</f>
        <v/>
      </c>
      <c r="F401" s="161">
        <f>IF(分析!F401&lt;&gt;"",分析!F401,"")</f>
        <v/>
      </c>
      <c r="G401" s="161">
        <f>IF(分析!H401&lt;&gt;"",分析!H401,"")</f>
        <v/>
      </c>
      <c r="H401" s="161">
        <f>IF(分析!I401&lt;&gt;"",分析!I401,"")</f>
        <v/>
      </c>
      <c r="I401" s="161">
        <f>IF(分析!J401&lt;&gt;"",分析!J401,"")</f>
        <v/>
      </c>
      <c r="J401" s="161">
        <f>IF(分析!AB401&lt;&gt;"",分析!AB401,"")</f>
        <v/>
      </c>
      <c r="K401" s="161">
        <f>IF(分析!AC401&lt;&gt;"",分析!AC401,"")</f>
        <v/>
      </c>
      <c r="L401" s="161">
        <f>IF(分析!K401&lt;&gt;"",分析!K401,"")</f>
        <v/>
      </c>
      <c r="M401" s="156">
        <f>IF(分析!P401&lt;&gt;"",分析!P401,"")</f>
        <v/>
      </c>
      <c r="N401" s="604">
        <f>IF(分析!O401&lt;&gt;"",分析!O401,"")</f>
        <v/>
      </c>
      <c r="O401" s="163">
        <f>IF(分析!X401&lt;&gt;"",分析!X401,"")</f>
        <v/>
      </c>
      <c r="P401" s="605">
        <f>IF(分析!L401&lt;&gt;"",分析!L401,"")</f>
        <v/>
      </c>
      <c r="Q401" s="161">
        <f>IF(分析!S401&lt;&gt;"",分析!S401,"")</f>
        <v/>
      </c>
      <c r="R401" s="161">
        <f>IF(分析!R401&lt;&gt;"",分析!R401,"")</f>
        <v/>
      </c>
      <c r="S401" s="156">
        <f>IF(分析!AA401&lt;&gt;"",分析!AA401,"")</f>
        <v/>
      </c>
      <c r="T401" s="606">
        <f>IF(分析!Z401&lt;&gt;"",分析!Z401,"")</f>
        <v/>
      </c>
      <c r="U401" s="156">
        <f>IF(分析!V401&lt;&gt;"",分析!V401,"")</f>
        <v/>
      </c>
      <c r="V401" s="607">
        <f>IF(分析!W401&lt;&gt;"",分析!W401,"")</f>
        <v/>
      </c>
      <c r="W401" s="167">
        <f>IF(分析!AD401&lt;&gt;"",分析!AD401,"")</f>
        <v/>
      </c>
      <c r="X401" s="168">
        <f>IF(分析!AE401&lt;&gt;"",分析!AE401,"")</f>
        <v/>
      </c>
      <c r="Y401" s="169">
        <f>IF(分析!T401&lt;&gt;"",分析!T401,"")</f>
        <v/>
      </c>
      <c r="Z401" s="155">
        <f>IF(分析!Y401&lt;&gt;"",分析!Y401,"")</f>
        <v/>
      </c>
    </row>
    <row r="402" ht="21.95" customHeight="1" s="574">
      <c r="A402" s="141">
        <f>IF(分析!C402&lt;&gt;"",ROW()-2,"")</f>
        <v/>
      </c>
      <c r="B402" s="142">
        <f>IF(分析!C402&lt;&gt;"",HYPERLINK("https://kabutan.jp/stock/?code="&amp;分析!C402,"株探"),"")</f>
        <v/>
      </c>
      <c r="C402" s="598">
        <f>IF(分析!C402&lt;&gt;"",分析!C402,"")</f>
        <v/>
      </c>
      <c r="D402" s="144">
        <f>IF(分析!D402&lt;&gt;"",分析!D402,"")</f>
        <v/>
      </c>
      <c r="E402" s="145">
        <f>IF(分析!E402&lt;&gt;"",分析!E402,"")</f>
        <v/>
      </c>
      <c r="F402" s="146">
        <f>IF(分析!F402&lt;&gt;"",分析!F402,"")</f>
        <v/>
      </c>
      <c r="G402" s="146">
        <f>IF(分析!H402&lt;&gt;"",分析!H402,"")</f>
        <v/>
      </c>
      <c r="H402" s="146">
        <f>IF(分析!I402&lt;&gt;"",分析!I402,"")</f>
        <v/>
      </c>
      <c r="I402" s="146">
        <f>IF(分析!J402&lt;&gt;"",分析!J402,"")</f>
        <v/>
      </c>
      <c r="J402" s="146">
        <f>IF(分析!AB402&lt;&gt;"",分析!AB402,"")</f>
        <v/>
      </c>
      <c r="K402" s="146">
        <f>IF(分析!AC402&lt;&gt;"",分析!AC402,"")</f>
        <v/>
      </c>
      <c r="L402" s="146">
        <f>IF(分析!K402&lt;&gt;"",分析!K402,"")</f>
        <v/>
      </c>
      <c r="M402" s="141">
        <f>IF(分析!P402&lt;&gt;"",分析!P402,"")</f>
        <v/>
      </c>
      <c r="N402" s="599">
        <f>IF(分析!O402&lt;&gt;"",分析!O402,"")</f>
        <v/>
      </c>
      <c r="O402" s="148">
        <f>IF(分析!X402&lt;&gt;"",分析!X402,"")</f>
        <v/>
      </c>
      <c r="P402" s="600">
        <f>IF(分析!L402&lt;&gt;"",分析!L402,"")</f>
        <v/>
      </c>
      <c r="Q402" s="146">
        <f>IF(分析!S402&lt;&gt;"",分析!S402,"")</f>
        <v/>
      </c>
      <c r="R402" s="146">
        <f>IF(分析!R402&lt;&gt;"",分析!R402,"")</f>
        <v/>
      </c>
      <c r="S402" s="141">
        <f>IF(分析!AA402&lt;&gt;"",分析!AA402,"")</f>
        <v/>
      </c>
      <c r="T402" s="601">
        <f>IF(分析!Z402&lt;&gt;"",分析!Z402,"")</f>
        <v/>
      </c>
      <c r="U402" s="141">
        <f>IF(分析!V402&lt;&gt;"",分析!V402,"")</f>
        <v/>
      </c>
      <c r="V402" s="602">
        <f>IF(分析!W402&lt;&gt;"",分析!W402,"")</f>
        <v/>
      </c>
      <c r="W402" s="152">
        <f>IF(分析!AD402&lt;&gt;"",分析!AD402,"")</f>
        <v/>
      </c>
      <c r="X402" s="153">
        <f>IF(分析!AE402&lt;&gt;"",分析!AE402,"")</f>
        <v/>
      </c>
      <c r="Y402" s="154">
        <f>IF(分析!T402&lt;&gt;"",分析!T402,"")</f>
        <v/>
      </c>
      <c r="Z402" s="155">
        <f>IF(分析!Y402&lt;&gt;"",分析!Y402,"")</f>
        <v/>
      </c>
    </row>
    <row r="403" ht="21.95" customHeight="1" s="574">
      <c r="A403" s="156">
        <f>IF(分析!C403&lt;&gt;"",ROW()-2,"")</f>
        <v/>
      </c>
      <c r="B403" s="157">
        <f>IF(分析!C403&lt;&gt;"",HYPERLINK("https://kabutan.jp/stock/?code="&amp;分析!C403,"株探"),"")</f>
        <v/>
      </c>
      <c r="C403" s="603">
        <f>IF(分析!C403&lt;&gt;"",分析!C403,"")</f>
        <v/>
      </c>
      <c r="D403" s="159">
        <f>IF(分析!D403&lt;&gt;"",分析!D403,"")</f>
        <v/>
      </c>
      <c r="E403" s="160">
        <f>IF(分析!E403&lt;&gt;"",分析!E403,"")</f>
        <v/>
      </c>
      <c r="F403" s="161">
        <f>IF(分析!F403&lt;&gt;"",分析!F403,"")</f>
        <v/>
      </c>
      <c r="G403" s="161">
        <f>IF(分析!H403&lt;&gt;"",分析!H403,"")</f>
        <v/>
      </c>
      <c r="H403" s="161">
        <f>IF(分析!I403&lt;&gt;"",分析!I403,"")</f>
        <v/>
      </c>
      <c r="I403" s="161">
        <f>IF(分析!J403&lt;&gt;"",分析!J403,"")</f>
        <v/>
      </c>
      <c r="J403" s="161">
        <f>IF(分析!AB403&lt;&gt;"",分析!AB403,"")</f>
        <v/>
      </c>
      <c r="K403" s="161">
        <f>IF(分析!AC403&lt;&gt;"",分析!AC403,"")</f>
        <v/>
      </c>
      <c r="L403" s="161">
        <f>IF(分析!K403&lt;&gt;"",分析!K403,"")</f>
        <v/>
      </c>
      <c r="M403" s="156">
        <f>IF(分析!P403&lt;&gt;"",分析!P403,"")</f>
        <v/>
      </c>
      <c r="N403" s="604">
        <f>IF(分析!O403&lt;&gt;"",分析!O403,"")</f>
        <v/>
      </c>
      <c r="O403" s="163">
        <f>IF(分析!X403&lt;&gt;"",分析!X403,"")</f>
        <v/>
      </c>
      <c r="P403" s="605">
        <f>IF(分析!L403&lt;&gt;"",分析!L403,"")</f>
        <v/>
      </c>
      <c r="Q403" s="161">
        <f>IF(分析!S403&lt;&gt;"",分析!S403,"")</f>
        <v/>
      </c>
      <c r="R403" s="161">
        <f>IF(分析!R403&lt;&gt;"",分析!R403,"")</f>
        <v/>
      </c>
      <c r="S403" s="156">
        <f>IF(分析!AA403&lt;&gt;"",分析!AA403,"")</f>
        <v/>
      </c>
      <c r="T403" s="606">
        <f>IF(分析!Z403&lt;&gt;"",分析!Z403,"")</f>
        <v/>
      </c>
      <c r="U403" s="156">
        <f>IF(分析!V403&lt;&gt;"",分析!V403,"")</f>
        <v/>
      </c>
      <c r="V403" s="607">
        <f>IF(分析!W403&lt;&gt;"",分析!W403,"")</f>
        <v/>
      </c>
      <c r="W403" s="167">
        <f>IF(分析!AD403&lt;&gt;"",分析!AD403,"")</f>
        <v/>
      </c>
      <c r="X403" s="168">
        <f>IF(分析!AE403&lt;&gt;"",分析!AE403,"")</f>
        <v/>
      </c>
      <c r="Y403" s="169">
        <f>IF(分析!T403&lt;&gt;"",分析!T403,"")</f>
        <v/>
      </c>
      <c r="Z403" s="155">
        <f>IF(分析!Y403&lt;&gt;"",分析!Y403,"")</f>
        <v/>
      </c>
    </row>
    <row r="404" ht="21.95" customHeight="1" s="574">
      <c r="A404" s="141">
        <f>IF(分析!C404&lt;&gt;"",ROW()-2,"")</f>
        <v/>
      </c>
      <c r="B404" s="142">
        <f>IF(分析!C404&lt;&gt;"",HYPERLINK("https://kabutan.jp/stock/?code="&amp;分析!C404,"株探"),"")</f>
        <v/>
      </c>
      <c r="C404" s="598">
        <f>IF(分析!C404&lt;&gt;"",分析!C404,"")</f>
        <v/>
      </c>
      <c r="D404" s="144">
        <f>IF(分析!D404&lt;&gt;"",分析!D404,"")</f>
        <v/>
      </c>
      <c r="E404" s="145">
        <f>IF(分析!E404&lt;&gt;"",分析!E404,"")</f>
        <v/>
      </c>
      <c r="F404" s="146">
        <f>IF(分析!F404&lt;&gt;"",分析!F404,"")</f>
        <v/>
      </c>
      <c r="G404" s="146">
        <f>IF(分析!H404&lt;&gt;"",分析!H404,"")</f>
        <v/>
      </c>
      <c r="H404" s="146">
        <f>IF(分析!I404&lt;&gt;"",分析!I404,"")</f>
        <v/>
      </c>
      <c r="I404" s="146">
        <f>IF(分析!J404&lt;&gt;"",分析!J404,"")</f>
        <v/>
      </c>
      <c r="J404" s="146">
        <f>IF(分析!AB404&lt;&gt;"",分析!AB404,"")</f>
        <v/>
      </c>
      <c r="K404" s="146">
        <f>IF(分析!AC404&lt;&gt;"",分析!AC404,"")</f>
        <v/>
      </c>
      <c r="L404" s="146">
        <f>IF(分析!K404&lt;&gt;"",分析!K404,"")</f>
        <v/>
      </c>
      <c r="M404" s="141">
        <f>IF(分析!P404&lt;&gt;"",分析!P404,"")</f>
        <v/>
      </c>
      <c r="N404" s="599">
        <f>IF(分析!O404&lt;&gt;"",分析!O404,"")</f>
        <v/>
      </c>
      <c r="O404" s="148">
        <f>IF(分析!X404&lt;&gt;"",分析!X404,"")</f>
        <v/>
      </c>
      <c r="P404" s="600">
        <f>IF(分析!L404&lt;&gt;"",分析!L404,"")</f>
        <v/>
      </c>
      <c r="Q404" s="146">
        <f>IF(分析!S404&lt;&gt;"",分析!S404,"")</f>
        <v/>
      </c>
      <c r="R404" s="146">
        <f>IF(分析!R404&lt;&gt;"",分析!R404,"")</f>
        <v/>
      </c>
      <c r="S404" s="141">
        <f>IF(分析!AA404&lt;&gt;"",分析!AA404,"")</f>
        <v/>
      </c>
      <c r="T404" s="601">
        <f>IF(分析!Z404&lt;&gt;"",分析!Z404,"")</f>
        <v/>
      </c>
      <c r="U404" s="141">
        <f>IF(分析!V404&lt;&gt;"",分析!V404,"")</f>
        <v/>
      </c>
      <c r="V404" s="602">
        <f>IF(分析!W404&lt;&gt;"",分析!W404,"")</f>
        <v/>
      </c>
      <c r="W404" s="152">
        <f>IF(分析!AD404&lt;&gt;"",分析!AD404,"")</f>
        <v/>
      </c>
      <c r="X404" s="153">
        <f>IF(分析!AE404&lt;&gt;"",分析!AE404,"")</f>
        <v/>
      </c>
      <c r="Y404" s="154">
        <f>IF(分析!T404&lt;&gt;"",分析!T404,"")</f>
        <v/>
      </c>
      <c r="Z404" s="155">
        <f>IF(分析!Y404&lt;&gt;"",分析!Y404,"")</f>
        <v/>
      </c>
    </row>
    <row r="405" ht="21.95" customHeight="1" s="574">
      <c r="A405" s="156">
        <f>IF(分析!C405&lt;&gt;"",ROW()-2,"")</f>
        <v/>
      </c>
      <c r="B405" s="157">
        <f>IF(分析!C405&lt;&gt;"",HYPERLINK("https://kabutan.jp/stock/?code="&amp;分析!C405,"株探"),"")</f>
        <v/>
      </c>
      <c r="C405" s="603">
        <f>IF(分析!C405&lt;&gt;"",分析!C405,"")</f>
        <v/>
      </c>
      <c r="D405" s="159">
        <f>IF(分析!D405&lt;&gt;"",分析!D405,"")</f>
        <v/>
      </c>
      <c r="E405" s="160">
        <f>IF(分析!E405&lt;&gt;"",分析!E405,"")</f>
        <v/>
      </c>
      <c r="F405" s="161">
        <f>IF(分析!F405&lt;&gt;"",分析!F405,"")</f>
        <v/>
      </c>
      <c r="G405" s="161">
        <f>IF(分析!H405&lt;&gt;"",分析!H405,"")</f>
        <v/>
      </c>
      <c r="H405" s="161">
        <f>IF(分析!I405&lt;&gt;"",分析!I405,"")</f>
        <v/>
      </c>
      <c r="I405" s="161">
        <f>IF(分析!J405&lt;&gt;"",分析!J405,"")</f>
        <v/>
      </c>
      <c r="J405" s="161">
        <f>IF(分析!AB405&lt;&gt;"",分析!AB405,"")</f>
        <v/>
      </c>
      <c r="K405" s="161">
        <f>IF(分析!AC405&lt;&gt;"",分析!AC405,"")</f>
        <v/>
      </c>
      <c r="L405" s="161">
        <f>IF(分析!K405&lt;&gt;"",分析!K405,"")</f>
        <v/>
      </c>
      <c r="M405" s="156">
        <f>IF(分析!P405&lt;&gt;"",分析!P405,"")</f>
        <v/>
      </c>
      <c r="N405" s="604">
        <f>IF(分析!O405&lt;&gt;"",分析!O405,"")</f>
        <v/>
      </c>
      <c r="O405" s="163">
        <f>IF(分析!X405&lt;&gt;"",分析!X405,"")</f>
        <v/>
      </c>
      <c r="P405" s="605">
        <f>IF(分析!L405&lt;&gt;"",分析!L405,"")</f>
        <v/>
      </c>
      <c r="Q405" s="161">
        <f>IF(分析!S405&lt;&gt;"",分析!S405,"")</f>
        <v/>
      </c>
      <c r="R405" s="161">
        <f>IF(分析!R405&lt;&gt;"",分析!R405,"")</f>
        <v/>
      </c>
      <c r="S405" s="156">
        <f>IF(分析!AA405&lt;&gt;"",分析!AA405,"")</f>
        <v/>
      </c>
      <c r="T405" s="606">
        <f>IF(分析!Z405&lt;&gt;"",分析!Z405,"")</f>
        <v/>
      </c>
      <c r="U405" s="156">
        <f>IF(分析!V405&lt;&gt;"",分析!V405,"")</f>
        <v/>
      </c>
      <c r="V405" s="607">
        <f>IF(分析!W405&lt;&gt;"",分析!W405,"")</f>
        <v/>
      </c>
      <c r="W405" s="167">
        <f>IF(分析!AD405&lt;&gt;"",分析!AD405,"")</f>
        <v/>
      </c>
      <c r="X405" s="168">
        <f>IF(分析!AE405&lt;&gt;"",分析!AE405,"")</f>
        <v/>
      </c>
      <c r="Y405" s="169">
        <f>IF(分析!T405&lt;&gt;"",分析!T405,"")</f>
        <v/>
      </c>
      <c r="Z405" s="155">
        <f>IF(分析!Y405&lt;&gt;"",分析!Y405,"")</f>
        <v/>
      </c>
    </row>
    <row r="406" ht="21.95" customHeight="1" s="574">
      <c r="A406" s="141">
        <f>IF(分析!C406&lt;&gt;"",ROW()-2,"")</f>
        <v/>
      </c>
      <c r="B406" s="142">
        <f>IF(分析!C406&lt;&gt;"",HYPERLINK("https://kabutan.jp/stock/?code="&amp;分析!C406,"株探"),"")</f>
        <v/>
      </c>
      <c r="C406" s="598">
        <f>IF(分析!C406&lt;&gt;"",分析!C406,"")</f>
        <v/>
      </c>
      <c r="D406" s="144">
        <f>IF(分析!D406&lt;&gt;"",分析!D406,"")</f>
        <v/>
      </c>
      <c r="E406" s="145">
        <f>IF(分析!E406&lt;&gt;"",分析!E406,"")</f>
        <v/>
      </c>
      <c r="F406" s="146">
        <f>IF(分析!F406&lt;&gt;"",分析!F406,"")</f>
        <v/>
      </c>
      <c r="G406" s="146">
        <f>IF(分析!H406&lt;&gt;"",分析!H406,"")</f>
        <v/>
      </c>
      <c r="H406" s="146">
        <f>IF(分析!I406&lt;&gt;"",分析!I406,"")</f>
        <v/>
      </c>
      <c r="I406" s="146">
        <f>IF(分析!J406&lt;&gt;"",分析!J406,"")</f>
        <v/>
      </c>
      <c r="J406" s="146">
        <f>IF(分析!AB406&lt;&gt;"",分析!AB406,"")</f>
        <v/>
      </c>
      <c r="K406" s="146">
        <f>IF(分析!AC406&lt;&gt;"",分析!AC406,"")</f>
        <v/>
      </c>
      <c r="L406" s="146">
        <f>IF(分析!K406&lt;&gt;"",分析!K406,"")</f>
        <v/>
      </c>
      <c r="M406" s="141">
        <f>IF(分析!P406&lt;&gt;"",分析!P406,"")</f>
        <v/>
      </c>
      <c r="N406" s="599">
        <f>IF(分析!O406&lt;&gt;"",分析!O406,"")</f>
        <v/>
      </c>
      <c r="O406" s="148">
        <f>IF(分析!X406&lt;&gt;"",分析!X406,"")</f>
        <v/>
      </c>
      <c r="P406" s="600">
        <f>IF(分析!L406&lt;&gt;"",分析!L406,"")</f>
        <v/>
      </c>
      <c r="Q406" s="146">
        <f>IF(分析!S406&lt;&gt;"",分析!S406,"")</f>
        <v/>
      </c>
      <c r="R406" s="146">
        <f>IF(分析!R406&lt;&gt;"",分析!R406,"")</f>
        <v/>
      </c>
      <c r="S406" s="141">
        <f>IF(分析!AA406&lt;&gt;"",分析!AA406,"")</f>
        <v/>
      </c>
      <c r="T406" s="601">
        <f>IF(分析!Z406&lt;&gt;"",分析!Z406,"")</f>
        <v/>
      </c>
      <c r="U406" s="141">
        <f>IF(分析!V406&lt;&gt;"",分析!V406,"")</f>
        <v/>
      </c>
      <c r="V406" s="602">
        <f>IF(分析!W406&lt;&gt;"",分析!W406,"")</f>
        <v/>
      </c>
      <c r="W406" s="152">
        <f>IF(分析!AD406&lt;&gt;"",分析!AD406,"")</f>
        <v/>
      </c>
      <c r="X406" s="153">
        <f>IF(分析!AE406&lt;&gt;"",分析!AE406,"")</f>
        <v/>
      </c>
      <c r="Y406" s="154">
        <f>IF(分析!T406&lt;&gt;"",分析!T406,"")</f>
        <v/>
      </c>
      <c r="Z406" s="155">
        <f>IF(分析!Y406&lt;&gt;"",分析!Y406,"")</f>
        <v/>
      </c>
    </row>
    <row r="407" ht="21.95" customHeight="1" s="574">
      <c r="A407" s="156">
        <f>IF(分析!C407&lt;&gt;"",ROW()-2,"")</f>
        <v/>
      </c>
      <c r="B407" s="157">
        <f>IF(分析!C407&lt;&gt;"",HYPERLINK("https://kabutan.jp/stock/?code="&amp;分析!C407,"株探"),"")</f>
        <v/>
      </c>
      <c r="C407" s="603">
        <f>IF(分析!C407&lt;&gt;"",分析!C407,"")</f>
        <v/>
      </c>
      <c r="D407" s="159">
        <f>IF(分析!D407&lt;&gt;"",分析!D407,"")</f>
        <v/>
      </c>
      <c r="E407" s="160">
        <f>IF(分析!E407&lt;&gt;"",分析!E407,"")</f>
        <v/>
      </c>
      <c r="F407" s="161">
        <f>IF(分析!F407&lt;&gt;"",分析!F407,"")</f>
        <v/>
      </c>
      <c r="G407" s="161">
        <f>IF(分析!H407&lt;&gt;"",分析!H407,"")</f>
        <v/>
      </c>
      <c r="H407" s="161">
        <f>IF(分析!I407&lt;&gt;"",分析!I407,"")</f>
        <v/>
      </c>
      <c r="I407" s="161">
        <f>IF(分析!J407&lt;&gt;"",分析!J407,"")</f>
        <v/>
      </c>
      <c r="J407" s="161">
        <f>IF(分析!AB407&lt;&gt;"",分析!AB407,"")</f>
        <v/>
      </c>
      <c r="K407" s="161">
        <f>IF(分析!AC407&lt;&gt;"",分析!AC407,"")</f>
        <v/>
      </c>
      <c r="L407" s="161">
        <f>IF(分析!K407&lt;&gt;"",分析!K407,"")</f>
        <v/>
      </c>
      <c r="M407" s="156">
        <f>IF(分析!P407&lt;&gt;"",分析!P407,"")</f>
        <v/>
      </c>
      <c r="N407" s="604">
        <f>IF(分析!O407&lt;&gt;"",分析!O407,"")</f>
        <v/>
      </c>
      <c r="O407" s="163">
        <f>IF(分析!X407&lt;&gt;"",分析!X407,"")</f>
        <v/>
      </c>
      <c r="P407" s="605">
        <f>IF(分析!L407&lt;&gt;"",分析!L407,"")</f>
        <v/>
      </c>
      <c r="Q407" s="161">
        <f>IF(分析!S407&lt;&gt;"",分析!S407,"")</f>
        <v/>
      </c>
      <c r="R407" s="161">
        <f>IF(分析!R407&lt;&gt;"",分析!R407,"")</f>
        <v/>
      </c>
      <c r="S407" s="156">
        <f>IF(分析!AA407&lt;&gt;"",分析!AA407,"")</f>
        <v/>
      </c>
      <c r="T407" s="606">
        <f>IF(分析!Z407&lt;&gt;"",分析!Z407,"")</f>
        <v/>
      </c>
      <c r="U407" s="156">
        <f>IF(分析!V407&lt;&gt;"",分析!V407,"")</f>
        <v/>
      </c>
      <c r="V407" s="607">
        <f>IF(分析!W407&lt;&gt;"",分析!W407,"")</f>
        <v/>
      </c>
      <c r="W407" s="167">
        <f>IF(分析!AD407&lt;&gt;"",分析!AD407,"")</f>
        <v/>
      </c>
      <c r="X407" s="168">
        <f>IF(分析!AE407&lt;&gt;"",分析!AE407,"")</f>
        <v/>
      </c>
      <c r="Y407" s="169">
        <f>IF(分析!T407&lt;&gt;"",分析!T407,"")</f>
        <v/>
      </c>
      <c r="Z407" s="155">
        <f>IF(分析!Y407&lt;&gt;"",分析!Y407,"")</f>
        <v/>
      </c>
    </row>
    <row r="408" ht="21.95" customHeight="1" s="574">
      <c r="A408" s="141">
        <f>IF(分析!C408&lt;&gt;"",ROW()-2,"")</f>
        <v/>
      </c>
      <c r="B408" s="142">
        <f>IF(分析!C408&lt;&gt;"",HYPERLINK("https://kabutan.jp/stock/?code="&amp;分析!C408,"株探"),"")</f>
        <v/>
      </c>
      <c r="C408" s="598">
        <f>IF(分析!C408&lt;&gt;"",分析!C408,"")</f>
        <v/>
      </c>
      <c r="D408" s="144">
        <f>IF(分析!D408&lt;&gt;"",分析!D408,"")</f>
        <v/>
      </c>
      <c r="E408" s="145">
        <f>IF(分析!E408&lt;&gt;"",分析!E408,"")</f>
        <v/>
      </c>
      <c r="F408" s="146">
        <f>IF(分析!F408&lt;&gt;"",分析!F408,"")</f>
        <v/>
      </c>
      <c r="G408" s="146">
        <f>IF(分析!H408&lt;&gt;"",分析!H408,"")</f>
        <v/>
      </c>
      <c r="H408" s="146">
        <f>IF(分析!I408&lt;&gt;"",分析!I408,"")</f>
        <v/>
      </c>
      <c r="I408" s="146">
        <f>IF(分析!J408&lt;&gt;"",分析!J408,"")</f>
        <v/>
      </c>
      <c r="J408" s="146">
        <f>IF(分析!AB408&lt;&gt;"",分析!AB408,"")</f>
        <v/>
      </c>
      <c r="K408" s="146">
        <f>IF(分析!AC408&lt;&gt;"",分析!AC408,"")</f>
        <v/>
      </c>
      <c r="L408" s="146">
        <f>IF(分析!K408&lt;&gt;"",分析!K408,"")</f>
        <v/>
      </c>
      <c r="M408" s="141">
        <f>IF(分析!P408&lt;&gt;"",分析!P408,"")</f>
        <v/>
      </c>
      <c r="N408" s="599">
        <f>IF(分析!O408&lt;&gt;"",分析!O408,"")</f>
        <v/>
      </c>
      <c r="O408" s="148">
        <f>IF(分析!X408&lt;&gt;"",分析!X408,"")</f>
        <v/>
      </c>
      <c r="P408" s="600">
        <f>IF(分析!L408&lt;&gt;"",分析!L408,"")</f>
        <v/>
      </c>
      <c r="Q408" s="146">
        <f>IF(分析!S408&lt;&gt;"",分析!S408,"")</f>
        <v/>
      </c>
      <c r="R408" s="146">
        <f>IF(分析!R408&lt;&gt;"",分析!R408,"")</f>
        <v/>
      </c>
      <c r="S408" s="141">
        <f>IF(分析!AA408&lt;&gt;"",分析!AA408,"")</f>
        <v/>
      </c>
      <c r="T408" s="601">
        <f>IF(分析!Z408&lt;&gt;"",分析!Z408,"")</f>
        <v/>
      </c>
      <c r="U408" s="141">
        <f>IF(分析!V408&lt;&gt;"",分析!V408,"")</f>
        <v/>
      </c>
      <c r="V408" s="602">
        <f>IF(分析!W408&lt;&gt;"",分析!W408,"")</f>
        <v/>
      </c>
      <c r="W408" s="152">
        <f>IF(分析!AD408&lt;&gt;"",分析!AD408,"")</f>
        <v/>
      </c>
      <c r="X408" s="153">
        <f>IF(分析!AE408&lt;&gt;"",分析!AE408,"")</f>
        <v/>
      </c>
      <c r="Y408" s="154">
        <f>IF(分析!T408&lt;&gt;"",分析!T408,"")</f>
        <v/>
      </c>
      <c r="Z408" s="155">
        <f>IF(分析!Y408&lt;&gt;"",分析!Y408,"")</f>
        <v/>
      </c>
    </row>
    <row r="409" ht="21.95" customHeight="1" s="574">
      <c r="A409" s="156">
        <f>IF(分析!C409&lt;&gt;"",ROW()-2,"")</f>
        <v/>
      </c>
      <c r="B409" s="157">
        <f>IF(分析!C409&lt;&gt;"",HYPERLINK("https://kabutan.jp/stock/?code="&amp;分析!C409,"株探"),"")</f>
        <v/>
      </c>
      <c r="C409" s="603">
        <f>IF(分析!C409&lt;&gt;"",分析!C409,"")</f>
        <v/>
      </c>
      <c r="D409" s="159">
        <f>IF(分析!D409&lt;&gt;"",分析!D409,"")</f>
        <v/>
      </c>
      <c r="E409" s="160">
        <f>IF(分析!E409&lt;&gt;"",分析!E409,"")</f>
        <v/>
      </c>
      <c r="F409" s="161">
        <f>IF(分析!F409&lt;&gt;"",分析!F409,"")</f>
        <v/>
      </c>
      <c r="G409" s="161">
        <f>IF(分析!H409&lt;&gt;"",分析!H409,"")</f>
        <v/>
      </c>
      <c r="H409" s="161">
        <f>IF(分析!I409&lt;&gt;"",分析!I409,"")</f>
        <v/>
      </c>
      <c r="I409" s="161">
        <f>IF(分析!J409&lt;&gt;"",分析!J409,"")</f>
        <v/>
      </c>
      <c r="J409" s="161">
        <f>IF(分析!AB409&lt;&gt;"",分析!AB409,"")</f>
        <v/>
      </c>
      <c r="K409" s="161">
        <f>IF(分析!AC409&lt;&gt;"",分析!AC409,"")</f>
        <v/>
      </c>
      <c r="L409" s="161">
        <f>IF(分析!K409&lt;&gt;"",分析!K409,"")</f>
        <v/>
      </c>
      <c r="M409" s="156">
        <f>IF(分析!P409&lt;&gt;"",分析!P409,"")</f>
        <v/>
      </c>
      <c r="N409" s="604">
        <f>IF(分析!O409&lt;&gt;"",分析!O409,"")</f>
        <v/>
      </c>
      <c r="O409" s="163">
        <f>IF(分析!X409&lt;&gt;"",分析!X409,"")</f>
        <v/>
      </c>
      <c r="P409" s="605">
        <f>IF(分析!L409&lt;&gt;"",分析!L409,"")</f>
        <v/>
      </c>
      <c r="Q409" s="161">
        <f>IF(分析!S409&lt;&gt;"",分析!S409,"")</f>
        <v/>
      </c>
      <c r="R409" s="161">
        <f>IF(分析!R409&lt;&gt;"",分析!R409,"")</f>
        <v/>
      </c>
      <c r="S409" s="156">
        <f>IF(分析!AA409&lt;&gt;"",分析!AA409,"")</f>
        <v/>
      </c>
      <c r="T409" s="606">
        <f>IF(分析!Z409&lt;&gt;"",分析!Z409,"")</f>
        <v/>
      </c>
      <c r="U409" s="156">
        <f>IF(分析!V409&lt;&gt;"",分析!V409,"")</f>
        <v/>
      </c>
      <c r="V409" s="607">
        <f>IF(分析!W409&lt;&gt;"",分析!W409,"")</f>
        <v/>
      </c>
      <c r="W409" s="167">
        <f>IF(分析!AD409&lt;&gt;"",分析!AD409,"")</f>
        <v/>
      </c>
      <c r="X409" s="168">
        <f>IF(分析!AE409&lt;&gt;"",分析!AE409,"")</f>
        <v/>
      </c>
      <c r="Y409" s="169">
        <f>IF(分析!T409&lt;&gt;"",分析!T409,"")</f>
        <v/>
      </c>
      <c r="Z409" s="155">
        <f>IF(分析!Y409&lt;&gt;"",分析!Y409,"")</f>
        <v/>
      </c>
    </row>
    <row r="410" ht="21.95" customHeight="1" s="574">
      <c r="A410" s="141">
        <f>IF(分析!C410&lt;&gt;"",ROW()-2,"")</f>
        <v/>
      </c>
      <c r="B410" s="142">
        <f>IF(分析!C410&lt;&gt;"",HYPERLINK("https://kabutan.jp/stock/?code="&amp;分析!C410,"株探"),"")</f>
        <v/>
      </c>
      <c r="C410" s="598">
        <f>IF(分析!C410&lt;&gt;"",分析!C410,"")</f>
        <v/>
      </c>
      <c r="D410" s="144">
        <f>IF(分析!D410&lt;&gt;"",分析!D410,"")</f>
        <v/>
      </c>
      <c r="E410" s="145">
        <f>IF(分析!E410&lt;&gt;"",分析!E410,"")</f>
        <v/>
      </c>
      <c r="F410" s="146">
        <f>IF(分析!F410&lt;&gt;"",分析!F410,"")</f>
        <v/>
      </c>
      <c r="G410" s="146">
        <f>IF(分析!H410&lt;&gt;"",分析!H410,"")</f>
        <v/>
      </c>
      <c r="H410" s="146">
        <f>IF(分析!I410&lt;&gt;"",分析!I410,"")</f>
        <v/>
      </c>
      <c r="I410" s="146">
        <f>IF(分析!J410&lt;&gt;"",分析!J410,"")</f>
        <v/>
      </c>
      <c r="J410" s="146">
        <f>IF(分析!AB410&lt;&gt;"",分析!AB410,"")</f>
        <v/>
      </c>
      <c r="K410" s="146">
        <f>IF(分析!AC410&lt;&gt;"",分析!AC410,"")</f>
        <v/>
      </c>
      <c r="L410" s="146">
        <f>IF(分析!K410&lt;&gt;"",分析!K410,"")</f>
        <v/>
      </c>
      <c r="M410" s="141">
        <f>IF(分析!P410&lt;&gt;"",分析!P410,"")</f>
        <v/>
      </c>
      <c r="N410" s="599">
        <f>IF(分析!O410&lt;&gt;"",分析!O410,"")</f>
        <v/>
      </c>
      <c r="O410" s="148">
        <f>IF(分析!X410&lt;&gt;"",分析!X410,"")</f>
        <v/>
      </c>
      <c r="P410" s="600">
        <f>IF(分析!L410&lt;&gt;"",分析!L410,"")</f>
        <v/>
      </c>
      <c r="Q410" s="146">
        <f>IF(分析!S410&lt;&gt;"",分析!S410,"")</f>
        <v/>
      </c>
      <c r="R410" s="146">
        <f>IF(分析!R410&lt;&gt;"",分析!R410,"")</f>
        <v/>
      </c>
      <c r="S410" s="141">
        <f>IF(分析!AA410&lt;&gt;"",分析!AA410,"")</f>
        <v/>
      </c>
      <c r="T410" s="601">
        <f>IF(分析!Z410&lt;&gt;"",分析!Z410,"")</f>
        <v/>
      </c>
      <c r="U410" s="141">
        <f>IF(分析!V410&lt;&gt;"",分析!V410,"")</f>
        <v/>
      </c>
      <c r="V410" s="602">
        <f>IF(分析!W410&lt;&gt;"",分析!W410,"")</f>
        <v/>
      </c>
      <c r="W410" s="152">
        <f>IF(分析!AD410&lt;&gt;"",分析!AD410,"")</f>
        <v/>
      </c>
      <c r="X410" s="153">
        <f>IF(分析!AE410&lt;&gt;"",分析!AE410,"")</f>
        <v/>
      </c>
      <c r="Y410" s="154">
        <f>IF(分析!T410&lt;&gt;"",分析!T410,"")</f>
        <v/>
      </c>
      <c r="Z410" s="155">
        <f>IF(分析!Y410&lt;&gt;"",分析!Y410,"")</f>
        <v/>
      </c>
    </row>
    <row r="411" ht="21.95" customHeight="1" s="574">
      <c r="A411" s="156">
        <f>IF(分析!C411&lt;&gt;"",ROW()-2,"")</f>
        <v/>
      </c>
      <c r="B411" s="157">
        <f>IF(分析!C411&lt;&gt;"",HYPERLINK("https://kabutan.jp/stock/?code="&amp;分析!C411,"株探"),"")</f>
        <v/>
      </c>
      <c r="C411" s="603">
        <f>IF(分析!C411&lt;&gt;"",分析!C411,"")</f>
        <v/>
      </c>
      <c r="D411" s="159">
        <f>IF(分析!D411&lt;&gt;"",分析!D411,"")</f>
        <v/>
      </c>
      <c r="E411" s="160">
        <f>IF(分析!E411&lt;&gt;"",分析!E411,"")</f>
        <v/>
      </c>
      <c r="F411" s="161">
        <f>IF(分析!F411&lt;&gt;"",分析!F411,"")</f>
        <v/>
      </c>
      <c r="G411" s="161">
        <f>IF(分析!H411&lt;&gt;"",分析!H411,"")</f>
        <v/>
      </c>
      <c r="H411" s="161">
        <f>IF(分析!I411&lt;&gt;"",分析!I411,"")</f>
        <v/>
      </c>
      <c r="I411" s="161">
        <f>IF(分析!J411&lt;&gt;"",分析!J411,"")</f>
        <v/>
      </c>
      <c r="J411" s="161">
        <f>IF(分析!AB411&lt;&gt;"",分析!AB411,"")</f>
        <v/>
      </c>
      <c r="K411" s="161">
        <f>IF(分析!AC411&lt;&gt;"",分析!AC411,"")</f>
        <v/>
      </c>
      <c r="L411" s="161">
        <f>IF(分析!K411&lt;&gt;"",分析!K411,"")</f>
        <v/>
      </c>
      <c r="M411" s="156">
        <f>IF(分析!P411&lt;&gt;"",分析!P411,"")</f>
        <v/>
      </c>
      <c r="N411" s="604">
        <f>IF(分析!O411&lt;&gt;"",分析!O411,"")</f>
        <v/>
      </c>
      <c r="O411" s="163">
        <f>IF(分析!X411&lt;&gt;"",分析!X411,"")</f>
        <v/>
      </c>
      <c r="P411" s="605">
        <f>IF(分析!L411&lt;&gt;"",分析!L411,"")</f>
        <v/>
      </c>
      <c r="Q411" s="161">
        <f>IF(分析!S411&lt;&gt;"",分析!S411,"")</f>
        <v/>
      </c>
      <c r="R411" s="161">
        <f>IF(分析!R411&lt;&gt;"",分析!R411,"")</f>
        <v/>
      </c>
      <c r="S411" s="156">
        <f>IF(分析!AA411&lt;&gt;"",分析!AA411,"")</f>
        <v/>
      </c>
      <c r="T411" s="606">
        <f>IF(分析!Z411&lt;&gt;"",分析!Z411,"")</f>
        <v/>
      </c>
      <c r="U411" s="156">
        <f>IF(分析!V411&lt;&gt;"",分析!V411,"")</f>
        <v/>
      </c>
      <c r="V411" s="607">
        <f>IF(分析!W411&lt;&gt;"",分析!W411,"")</f>
        <v/>
      </c>
      <c r="W411" s="167">
        <f>IF(分析!AD411&lt;&gt;"",分析!AD411,"")</f>
        <v/>
      </c>
      <c r="X411" s="168">
        <f>IF(分析!AE411&lt;&gt;"",分析!AE411,"")</f>
        <v/>
      </c>
      <c r="Y411" s="169">
        <f>IF(分析!T411&lt;&gt;"",分析!T411,"")</f>
        <v/>
      </c>
      <c r="Z411" s="155">
        <f>IF(分析!Y411&lt;&gt;"",分析!Y411,"")</f>
        <v/>
      </c>
    </row>
    <row r="412" ht="21.95" customHeight="1" s="574">
      <c r="A412" s="141">
        <f>IF(分析!C412&lt;&gt;"",ROW()-2,"")</f>
        <v/>
      </c>
      <c r="B412" s="142">
        <f>IF(分析!C412&lt;&gt;"",HYPERLINK("https://kabutan.jp/stock/?code="&amp;分析!C412,"株探"),"")</f>
        <v/>
      </c>
      <c r="C412" s="598">
        <f>IF(分析!C412&lt;&gt;"",分析!C412,"")</f>
        <v/>
      </c>
      <c r="D412" s="144">
        <f>IF(分析!D412&lt;&gt;"",分析!D412,"")</f>
        <v/>
      </c>
      <c r="E412" s="145">
        <f>IF(分析!E412&lt;&gt;"",分析!E412,"")</f>
        <v/>
      </c>
      <c r="F412" s="146">
        <f>IF(分析!F412&lt;&gt;"",分析!F412,"")</f>
        <v/>
      </c>
      <c r="G412" s="146">
        <f>IF(分析!H412&lt;&gt;"",分析!H412,"")</f>
        <v/>
      </c>
      <c r="H412" s="146">
        <f>IF(分析!I412&lt;&gt;"",分析!I412,"")</f>
        <v/>
      </c>
      <c r="I412" s="146">
        <f>IF(分析!J412&lt;&gt;"",分析!J412,"")</f>
        <v/>
      </c>
      <c r="J412" s="146">
        <f>IF(分析!AB412&lt;&gt;"",分析!AB412,"")</f>
        <v/>
      </c>
      <c r="K412" s="146">
        <f>IF(分析!AC412&lt;&gt;"",分析!AC412,"")</f>
        <v/>
      </c>
      <c r="L412" s="146">
        <f>IF(分析!K412&lt;&gt;"",分析!K412,"")</f>
        <v/>
      </c>
      <c r="M412" s="141">
        <f>IF(分析!P412&lt;&gt;"",分析!P412,"")</f>
        <v/>
      </c>
      <c r="N412" s="599">
        <f>IF(分析!O412&lt;&gt;"",分析!O412,"")</f>
        <v/>
      </c>
      <c r="O412" s="148">
        <f>IF(分析!X412&lt;&gt;"",分析!X412,"")</f>
        <v/>
      </c>
      <c r="P412" s="600">
        <f>IF(分析!L412&lt;&gt;"",分析!L412,"")</f>
        <v/>
      </c>
      <c r="Q412" s="146">
        <f>IF(分析!S412&lt;&gt;"",分析!S412,"")</f>
        <v/>
      </c>
      <c r="R412" s="146">
        <f>IF(分析!R412&lt;&gt;"",分析!R412,"")</f>
        <v/>
      </c>
      <c r="S412" s="141">
        <f>IF(分析!AA412&lt;&gt;"",分析!AA412,"")</f>
        <v/>
      </c>
      <c r="T412" s="601">
        <f>IF(分析!Z412&lt;&gt;"",分析!Z412,"")</f>
        <v/>
      </c>
      <c r="U412" s="141">
        <f>IF(分析!V412&lt;&gt;"",分析!V412,"")</f>
        <v/>
      </c>
      <c r="V412" s="602">
        <f>IF(分析!W412&lt;&gt;"",分析!W412,"")</f>
        <v/>
      </c>
      <c r="W412" s="152">
        <f>IF(分析!AD412&lt;&gt;"",分析!AD412,"")</f>
        <v/>
      </c>
      <c r="X412" s="153">
        <f>IF(分析!AE412&lt;&gt;"",分析!AE412,"")</f>
        <v/>
      </c>
      <c r="Y412" s="154">
        <f>IF(分析!T412&lt;&gt;"",分析!T412,"")</f>
        <v/>
      </c>
      <c r="Z412" s="155">
        <f>IF(分析!Y412&lt;&gt;"",分析!Y412,"")</f>
        <v/>
      </c>
    </row>
    <row r="413" ht="21.95" customHeight="1" s="574">
      <c r="A413" s="156">
        <f>IF(分析!C413&lt;&gt;"",ROW()-2,"")</f>
        <v/>
      </c>
      <c r="B413" s="157">
        <f>IF(分析!C413&lt;&gt;"",HYPERLINK("https://kabutan.jp/stock/?code="&amp;分析!C413,"株探"),"")</f>
        <v/>
      </c>
      <c r="C413" s="603">
        <f>IF(分析!C413&lt;&gt;"",分析!C413,"")</f>
        <v/>
      </c>
      <c r="D413" s="159">
        <f>IF(分析!D413&lt;&gt;"",分析!D413,"")</f>
        <v/>
      </c>
      <c r="E413" s="160">
        <f>IF(分析!E413&lt;&gt;"",分析!E413,"")</f>
        <v/>
      </c>
      <c r="F413" s="161">
        <f>IF(分析!F413&lt;&gt;"",分析!F413,"")</f>
        <v/>
      </c>
      <c r="G413" s="161">
        <f>IF(分析!H413&lt;&gt;"",分析!H413,"")</f>
        <v/>
      </c>
      <c r="H413" s="161">
        <f>IF(分析!I413&lt;&gt;"",分析!I413,"")</f>
        <v/>
      </c>
      <c r="I413" s="161">
        <f>IF(分析!J413&lt;&gt;"",分析!J413,"")</f>
        <v/>
      </c>
      <c r="J413" s="161">
        <f>IF(分析!AB413&lt;&gt;"",分析!AB413,"")</f>
        <v/>
      </c>
      <c r="K413" s="161">
        <f>IF(分析!AC413&lt;&gt;"",分析!AC413,"")</f>
        <v/>
      </c>
      <c r="L413" s="161">
        <f>IF(分析!K413&lt;&gt;"",分析!K413,"")</f>
        <v/>
      </c>
      <c r="M413" s="156">
        <f>IF(分析!P413&lt;&gt;"",分析!P413,"")</f>
        <v/>
      </c>
      <c r="N413" s="604">
        <f>IF(分析!O413&lt;&gt;"",分析!O413,"")</f>
        <v/>
      </c>
      <c r="O413" s="163">
        <f>IF(分析!X413&lt;&gt;"",分析!X413,"")</f>
        <v/>
      </c>
      <c r="P413" s="605">
        <f>IF(分析!L413&lt;&gt;"",分析!L413,"")</f>
        <v/>
      </c>
      <c r="Q413" s="161">
        <f>IF(分析!S413&lt;&gt;"",分析!S413,"")</f>
        <v/>
      </c>
      <c r="R413" s="161">
        <f>IF(分析!R413&lt;&gt;"",分析!R413,"")</f>
        <v/>
      </c>
      <c r="S413" s="156">
        <f>IF(分析!AA413&lt;&gt;"",分析!AA413,"")</f>
        <v/>
      </c>
      <c r="T413" s="606">
        <f>IF(分析!Z413&lt;&gt;"",分析!Z413,"")</f>
        <v/>
      </c>
      <c r="U413" s="156">
        <f>IF(分析!V413&lt;&gt;"",分析!V413,"")</f>
        <v/>
      </c>
      <c r="V413" s="607">
        <f>IF(分析!W413&lt;&gt;"",分析!W413,"")</f>
        <v/>
      </c>
      <c r="W413" s="167">
        <f>IF(分析!AD413&lt;&gt;"",分析!AD413,"")</f>
        <v/>
      </c>
      <c r="X413" s="168">
        <f>IF(分析!AE413&lt;&gt;"",分析!AE413,"")</f>
        <v/>
      </c>
      <c r="Y413" s="169">
        <f>IF(分析!T413&lt;&gt;"",分析!T413,"")</f>
        <v/>
      </c>
      <c r="Z413" s="155">
        <f>IF(分析!Y413&lt;&gt;"",分析!Y413,"")</f>
        <v/>
      </c>
    </row>
    <row r="414" ht="21.95" customHeight="1" s="574">
      <c r="A414" s="141">
        <f>IF(分析!C414&lt;&gt;"",ROW()-2,"")</f>
        <v/>
      </c>
      <c r="B414" s="142">
        <f>IF(分析!C414&lt;&gt;"",HYPERLINK("https://kabutan.jp/stock/?code="&amp;分析!C414,"株探"),"")</f>
        <v/>
      </c>
      <c r="C414" s="598">
        <f>IF(分析!C414&lt;&gt;"",分析!C414,"")</f>
        <v/>
      </c>
      <c r="D414" s="144">
        <f>IF(分析!D414&lt;&gt;"",分析!D414,"")</f>
        <v/>
      </c>
      <c r="E414" s="145">
        <f>IF(分析!E414&lt;&gt;"",分析!E414,"")</f>
        <v/>
      </c>
      <c r="F414" s="146">
        <f>IF(分析!F414&lt;&gt;"",分析!F414,"")</f>
        <v/>
      </c>
      <c r="G414" s="146">
        <f>IF(分析!H414&lt;&gt;"",分析!H414,"")</f>
        <v/>
      </c>
      <c r="H414" s="146">
        <f>IF(分析!I414&lt;&gt;"",分析!I414,"")</f>
        <v/>
      </c>
      <c r="I414" s="146">
        <f>IF(分析!J414&lt;&gt;"",分析!J414,"")</f>
        <v/>
      </c>
      <c r="J414" s="146">
        <f>IF(分析!AB414&lt;&gt;"",分析!AB414,"")</f>
        <v/>
      </c>
      <c r="K414" s="146">
        <f>IF(分析!AC414&lt;&gt;"",分析!AC414,"")</f>
        <v/>
      </c>
      <c r="L414" s="146">
        <f>IF(分析!K414&lt;&gt;"",分析!K414,"")</f>
        <v/>
      </c>
      <c r="M414" s="141">
        <f>IF(分析!P414&lt;&gt;"",分析!P414,"")</f>
        <v/>
      </c>
      <c r="N414" s="599">
        <f>IF(分析!O414&lt;&gt;"",分析!O414,"")</f>
        <v/>
      </c>
      <c r="O414" s="148">
        <f>IF(分析!X414&lt;&gt;"",分析!X414,"")</f>
        <v/>
      </c>
      <c r="P414" s="600">
        <f>IF(分析!L414&lt;&gt;"",分析!L414,"")</f>
        <v/>
      </c>
      <c r="Q414" s="146">
        <f>IF(分析!S414&lt;&gt;"",分析!S414,"")</f>
        <v/>
      </c>
      <c r="R414" s="146">
        <f>IF(分析!R414&lt;&gt;"",分析!R414,"")</f>
        <v/>
      </c>
      <c r="S414" s="141">
        <f>IF(分析!AA414&lt;&gt;"",分析!AA414,"")</f>
        <v/>
      </c>
      <c r="T414" s="601">
        <f>IF(分析!Z414&lt;&gt;"",分析!Z414,"")</f>
        <v/>
      </c>
      <c r="U414" s="141">
        <f>IF(分析!V414&lt;&gt;"",分析!V414,"")</f>
        <v/>
      </c>
      <c r="V414" s="602">
        <f>IF(分析!W414&lt;&gt;"",分析!W414,"")</f>
        <v/>
      </c>
      <c r="W414" s="152">
        <f>IF(分析!AD414&lt;&gt;"",分析!AD414,"")</f>
        <v/>
      </c>
      <c r="X414" s="153">
        <f>IF(分析!AE414&lt;&gt;"",分析!AE414,"")</f>
        <v/>
      </c>
      <c r="Y414" s="154">
        <f>IF(分析!T414&lt;&gt;"",分析!T414,"")</f>
        <v/>
      </c>
      <c r="Z414" s="155">
        <f>IF(分析!Y414&lt;&gt;"",分析!Y414,"")</f>
        <v/>
      </c>
    </row>
    <row r="415" ht="21.95" customHeight="1" s="574">
      <c r="A415" s="156">
        <f>IF(分析!C415&lt;&gt;"",ROW()-2,"")</f>
        <v/>
      </c>
      <c r="B415" s="157">
        <f>IF(分析!C415&lt;&gt;"",HYPERLINK("https://kabutan.jp/stock/?code="&amp;分析!C415,"株探"),"")</f>
        <v/>
      </c>
      <c r="C415" s="603">
        <f>IF(分析!C415&lt;&gt;"",分析!C415,"")</f>
        <v/>
      </c>
      <c r="D415" s="159">
        <f>IF(分析!D415&lt;&gt;"",分析!D415,"")</f>
        <v/>
      </c>
      <c r="E415" s="160">
        <f>IF(分析!E415&lt;&gt;"",分析!E415,"")</f>
        <v/>
      </c>
      <c r="F415" s="161">
        <f>IF(分析!F415&lt;&gt;"",分析!F415,"")</f>
        <v/>
      </c>
      <c r="G415" s="161">
        <f>IF(分析!H415&lt;&gt;"",分析!H415,"")</f>
        <v/>
      </c>
      <c r="H415" s="161">
        <f>IF(分析!I415&lt;&gt;"",分析!I415,"")</f>
        <v/>
      </c>
      <c r="I415" s="161">
        <f>IF(分析!J415&lt;&gt;"",分析!J415,"")</f>
        <v/>
      </c>
      <c r="J415" s="161">
        <f>IF(分析!AB415&lt;&gt;"",分析!AB415,"")</f>
        <v/>
      </c>
      <c r="K415" s="161">
        <f>IF(分析!AC415&lt;&gt;"",分析!AC415,"")</f>
        <v/>
      </c>
      <c r="L415" s="161">
        <f>IF(分析!K415&lt;&gt;"",分析!K415,"")</f>
        <v/>
      </c>
      <c r="M415" s="156">
        <f>IF(分析!P415&lt;&gt;"",分析!P415,"")</f>
        <v/>
      </c>
      <c r="N415" s="604">
        <f>IF(分析!O415&lt;&gt;"",分析!O415,"")</f>
        <v/>
      </c>
      <c r="O415" s="163">
        <f>IF(分析!X415&lt;&gt;"",分析!X415,"")</f>
        <v/>
      </c>
      <c r="P415" s="605">
        <f>IF(分析!L415&lt;&gt;"",分析!L415,"")</f>
        <v/>
      </c>
      <c r="Q415" s="161">
        <f>IF(分析!S415&lt;&gt;"",分析!S415,"")</f>
        <v/>
      </c>
      <c r="R415" s="161">
        <f>IF(分析!R415&lt;&gt;"",分析!R415,"")</f>
        <v/>
      </c>
      <c r="S415" s="156">
        <f>IF(分析!AA415&lt;&gt;"",分析!AA415,"")</f>
        <v/>
      </c>
      <c r="T415" s="606">
        <f>IF(分析!Z415&lt;&gt;"",分析!Z415,"")</f>
        <v/>
      </c>
      <c r="U415" s="156">
        <f>IF(分析!V415&lt;&gt;"",分析!V415,"")</f>
        <v/>
      </c>
      <c r="V415" s="607">
        <f>IF(分析!W415&lt;&gt;"",分析!W415,"")</f>
        <v/>
      </c>
      <c r="W415" s="167">
        <f>IF(分析!AD415&lt;&gt;"",分析!AD415,"")</f>
        <v/>
      </c>
      <c r="X415" s="168">
        <f>IF(分析!AE415&lt;&gt;"",分析!AE415,"")</f>
        <v/>
      </c>
      <c r="Y415" s="169">
        <f>IF(分析!T415&lt;&gt;"",分析!T415,"")</f>
        <v/>
      </c>
      <c r="Z415" s="155">
        <f>IF(分析!Y415&lt;&gt;"",分析!Y415,"")</f>
        <v/>
      </c>
    </row>
    <row r="416" ht="21.95" customHeight="1" s="574">
      <c r="A416" s="141">
        <f>IF(分析!C416&lt;&gt;"",ROW()-2,"")</f>
        <v/>
      </c>
      <c r="B416" s="142">
        <f>IF(分析!C416&lt;&gt;"",HYPERLINK("https://kabutan.jp/stock/?code="&amp;分析!C416,"株探"),"")</f>
        <v/>
      </c>
      <c r="C416" s="598">
        <f>IF(分析!C416&lt;&gt;"",分析!C416,"")</f>
        <v/>
      </c>
      <c r="D416" s="144">
        <f>IF(分析!D416&lt;&gt;"",分析!D416,"")</f>
        <v/>
      </c>
      <c r="E416" s="145">
        <f>IF(分析!E416&lt;&gt;"",分析!E416,"")</f>
        <v/>
      </c>
      <c r="F416" s="146">
        <f>IF(分析!F416&lt;&gt;"",分析!F416,"")</f>
        <v/>
      </c>
      <c r="G416" s="146">
        <f>IF(分析!H416&lt;&gt;"",分析!H416,"")</f>
        <v/>
      </c>
      <c r="H416" s="146">
        <f>IF(分析!I416&lt;&gt;"",分析!I416,"")</f>
        <v/>
      </c>
      <c r="I416" s="146">
        <f>IF(分析!J416&lt;&gt;"",分析!J416,"")</f>
        <v/>
      </c>
      <c r="J416" s="146">
        <f>IF(分析!AB416&lt;&gt;"",分析!AB416,"")</f>
        <v/>
      </c>
      <c r="K416" s="146">
        <f>IF(分析!AC416&lt;&gt;"",分析!AC416,"")</f>
        <v/>
      </c>
      <c r="L416" s="146">
        <f>IF(分析!K416&lt;&gt;"",分析!K416,"")</f>
        <v/>
      </c>
      <c r="M416" s="141">
        <f>IF(分析!P416&lt;&gt;"",分析!P416,"")</f>
        <v/>
      </c>
      <c r="N416" s="599">
        <f>IF(分析!O416&lt;&gt;"",分析!O416,"")</f>
        <v/>
      </c>
      <c r="O416" s="148">
        <f>IF(分析!X416&lt;&gt;"",分析!X416,"")</f>
        <v/>
      </c>
      <c r="P416" s="600">
        <f>IF(分析!L416&lt;&gt;"",分析!L416,"")</f>
        <v/>
      </c>
      <c r="Q416" s="146">
        <f>IF(分析!S416&lt;&gt;"",分析!S416,"")</f>
        <v/>
      </c>
      <c r="R416" s="146">
        <f>IF(分析!R416&lt;&gt;"",分析!R416,"")</f>
        <v/>
      </c>
      <c r="S416" s="141">
        <f>IF(分析!AA416&lt;&gt;"",分析!AA416,"")</f>
        <v/>
      </c>
      <c r="T416" s="601">
        <f>IF(分析!Z416&lt;&gt;"",分析!Z416,"")</f>
        <v/>
      </c>
      <c r="U416" s="141">
        <f>IF(分析!V416&lt;&gt;"",分析!V416,"")</f>
        <v/>
      </c>
      <c r="V416" s="602">
        <f>IF(分析!W416&lt;&gt;"",分析!W416,"")</f>
        <v/>
      </c>
      <c r="W416" s="152">
        <f>IF(分析!AD416&lt;&gt;"",分析!AD416,"")</f>
        <v/>
      </c>
      <c r="X416" s="153">
        <f>IF(分析!AE416&lt;&gt;"",分析!AE416,"")</f>
        <v/>
      </c>
      <c r="Y416" s="154">
        <f>IF(分析!T416&lt;&gt;"",分析!T416,"")</f>
        <v/>
      </c>
      <c r="Z416" s="155">
        <f>IF(分析!Y416&lt;&gt;"",分析!Y416,"")</f>
        <v/>
      </c>
    </row>
    <row r="417" ht="21.95" customHeight="1" s="574">
      <c r="A417" s="156">
        <f>IF(分析!C417&lt;&gt;"",ROW()-2,"")</f>
        <v/>
      </c>
      <c r="B417" s="157">
        <f>IF(分析!C417&lt;&gt;"",HYPERLINK("https://kabutan.jp/stock/?code="&amp;分析!C417,"株探"),"")</f>
        <v/>
      </c>
      <c r="C417" s="603">
        <f>IF(分析!C417&lt;&gt;"",分析!C417,"")</f>
        <v/>
      </c>
      <c r="D417" s="159">
        <f>IF(分析!D417&lt;&gt;"",分析!D417,"")</f>
        <v/>
      </c>
      <c r="E417" s="160">
        <f>IF(分析!E417&lt;&gt;"",分析!E417,"")</f>
        <v/>
      </c>
      <c r="F417" s="161">
        <f>IF(分析!F417&lt;&gt;"",分析!F417,"")</f>
        <v/>
      </c>
      <c r="G417" s="161">
        <f>IF(分析!H417&lt;&gt;"",分析!H417,"")</f>
        <v/>
      </c>
      <c r="H417" s="161">
        <f>IF(分析!I417&lt;&gt;"",分析!I417,"")</f>
        <v/>
      </c>
      <c r="I417" s="161">
        <f>IF(分析!J417&lt;&gt;"",分析!J417,"")</f>
        <v/>
      </c>
      <c r="J417" s="161">
        <f>IF(分析!AB417&lt;&gt;"",分析!AB417,"")</f>
        <v/>
      </c>
      <c r="K417" s="161">
        <f>IF(分析!AC417&lt;&gt;"",分析!AC417,"")</f>
        <v/>
      </c>
      <c r="L417" s="161">
        <f>IF(分析!K417&lt;&gt;"",分析!K417,"")</f>
        <v/>
      </c>
      <c r="M417" s="156">
        <f>IF(分析!P417&lt;&gt;"",分析!P417,"")</f>
        <v/>
      </c>
      <c r="N417" s="604">
        <f>IF(分析!O417&lt;&gt;"",分析!O417,"")</f>
        <v/>
      </c>
      <c r="O417" s="163">
        <f>IF(分析!X417&lt;&gt;"",分析!X417,"")</f>
        <v/>
      </c>
      <c r="P417" s="605">
        <f>IF(分析!L417&lt;&gt;"",分析!L417,"")</f>
        <v/>
      </c>
      <c r="Q417" s="161">
        <f>IF(分析!S417&lt;&gt;"",分析!S417,"")</f>
        <v/>
      </c>
      <c r="R417" s="161">
        <f>IF(分析!R417&lt;&gt;"",分析!R417,"")</f>
        <v/>
      </c>
      <c r="S417" s="156">
        <f>IF(分析!AA417&lt;&gt;"",分析!AA417,"")</f>
        <v/>
      </c>
      <c r="T417" s="606">
        <f>IF(分析!Z417&lt;&gt;"",分析!Z417,"")</f>
        <v/>
      </c>
      <c r="U417" s="156">
        <f>IF(分析!V417&lt;&gt;"",分析!V417,"")</f>
        <v/>
      </c>
      <c r="V417" s="607">
        <f>IF(分析!W417&lt;&gt;"",分析!W417,"")</f>
        <v/>
      </c>
      <c r="W417" s="167">
        <f>IF(分析!AD417&lt;&gt;"",分析!AD417,"")</f>
        <v/>
      </c>
      <c r="X417" s="168">
        <f>IF(分析!AE417&lt;&gt;"",分析!AE417,"")</f>
        <v/>
      </c>
      <c r="Y417" s="169">
        <f>IF(分析!T417&lt;&gt;"",分析!T417,"")</f>
        <v/>
      </c>
      <c r="Z417" s="155">
        <f>IF(分析!Y417&lt;&gt;"",分析!Y417,"")</f>
        <v/>
      </c>
    </row>
    <row r="418" ht="21.95" customHeight="1" s="574">
      <c r="A418" s="141">
        <f>IF(分析!C418&lt;&gt;"",ROW()-2,"")</f>
        <v/>
      </c>
      <c r="B418" s="142">
        <f>IF(分析!C418&lt;&gt;"",HYPERLINK("https://kabutan.jp/stock/?code="&amp;分析!C418,"株探"),"")</f>
        <v/>
      </c>
      <c r="C418" s="598">
        <f>IF(分析!C418&lt;&gt;"",分析!C418,"")</f>
        <v/>
      </c>
      <c r="D418" s="144">
        <f>IF(分析!D418&lt;&gt;"",分析!D418,"")</f>
        <v/>
      </c>
      <c r="E418" s="145">
        <f>IF(分析!E418&lt;&gt;"",分析!E418,"")</f>
        <v/>
      </c>
      <c r="F418" s="146">
        <f>IF(分析!F418&lt;&gt;"",分析!F418,"")</f>
        <v/>
      </c>
      <c r="G418" s="146">
        <f>IF(分析!H418&lt;&gt;"",分析!H418,"")</f>
        <v/>
      </c>
      <c r="H418" s="146">
        <f>IF(分析!I418&lt;&gt;"",分析!I418,"")</f>
        <v/>
      </c>
      <c r="I418" s="146">
        <f>IF(分析!J418&lt;&gt;"",分析!J418,"")</f>
        <v/>
      </c>
      <c r="J418" s="146">
        <f>IF(分析!AB418&lt;&gt;"",分析!AB418,"")</f>
        <v/>
      </c>
      <c r="K418" s="146">
        <f>IF(分析!AC418&lt;&gt;"",分析!AC418,"")</f>
        <v/>
      </c>
      <c r="L418" s="146">
        <f>IF(分析!K418&lt;&gt;"",分析!K418,"")</f>
        <v/>
      </c>
      <c r="M418" s="141">
        <f>IF(分析!P418&lt;&gt;"",分析!P418,"")</f>
        <v/>
      </c>
      <c r="N418" s="599">
        <f>IF(分析!O418&lt;&gt;"",分析!O418,"")</f>
        <v/>
      </c>
      <c r="O418" s="148">
        <f>IF(分析!X418&lt;&gt;"",分析!X418,"")</f>
        <v/>
      </c>
      <c r="P418" s="600">
        <f>IF(分析!L418&lt;&gt;"",分析!L418,"")</f>
        <v/>
      </c>
      <c r="Q418" s="146">
        <f>IF(分析!S418&lt;&gt;"",分析!S418,"")</f>
        <v/>
      </c>
      <c r="R418" s="146">
        <f>IF(分析!R418&lt;&gt;"",分析!R418,"")</f>
        <v/>
      </c>
      <c r="S418" s="141">
        <f>IF(分析!AA418&lt;&gt;"",分析!AA418,"")</f>
        <v/>
      </c>
      <c r="T418" s="601">
        <f>IF(分析!Z418&lt;&gt;"",分析!Z418,"")</f>
        <v/>
      </c>
      <c r="U418" s="141">
        <f>IF(分析!V418&lt;&gt;"",分析!V418,"")</f>
        <v/>
      </c>
      <c r="V418" s="602">
        <f>IF(分析!W418&lt;&gt;"",分析!W418,"")</f>
        <v/>
      </c>
      <c r="W418" s="152">
        <f>IF(分析!AD418&lt;&gt;"",分析!AD418,"")</f>
        <v/>
      </c>
      <c r="X418" s="153">
        <f>IF(分析!AE418&lt;&gt;"",分析!AE418,"")</f>
        <v/>
      </c>
      <c r="Y418" s="154">
        <f>IF(分析!T418&lt;&gt;"",分析!T418,"")</f>
        <v/>
      </c>
      <c r="Z418" s="155">
        <f>IF(分析!Y418&lt;&gt;"",分析!Y418,"")</f>
        <v/>
      </c>
    </row>
    <row r="419" ht="21.95" customHeight="1" s="574">
      <c r="A419" s="156">
        <f>IF(分析!C419&lt;&gt;"",ROW()-2,"")</f>
        <v/>
      </c>
      <c r="B419" s="157">
        <f>IF(分析!C419&lt;&gt;"",HYPERLINK("https://kabutan.jp/stock/?code="&amp;分析!C419,"株探"),"")</f>
        <v/>
      </c>
      <c r="C419" s="603">
        <f>IF(分析!C419&lt;&gt;"",分析!C419,"")</f>
        <v/>
      </c>
      <c r="D419" s="159">
        <f>IF(分析!D419&lt;&gt;"",分析!D419,"")</f>
        <v/>
      </c>
      <c r="E419" s="160">
        <f>IF(分析!E419&lt;&gt;"",分析!E419,"")</f>
        <v/>
      </c>
      <c r="F419" s="161">
        <f>IF(分析!F419&lt;&gt;"",分析!F419,"")</f>
        <v/>
      </c>
      <c r="G419" s="161">
        <f>IF(分析!H419&lt;&gt;"",分析!H419,"")</f>
        <v/>
      </c>
      <c r="H419" s="161">
        <f>IF(分析!I419&lt;&gt;"",分析!I419,"")</f>
        <v/>
      </c>
      <c r="I419" s="161">
        <f>IF(分析!J419&lt;&gt;"",分析!J419,"")</f>
        <v/>
      </c>
      <c r="J419" s="161">
        <f>IF(分析!AB419&lt;&gt;"",分析!AB419,"")</f>
        <v/>
      </c>
      <c r="K419" s="161">
        <f>IF(分析!AC419&lt;&gt;"",分析!AC419,"")</f>
        <v/>
      </c>
      <c r="L419" s="161">
        <f>IF(分析!K419&lt;&gt;"",分析!K419,"")</f>
        <v/>
      </c>
      <c r="M419" s="156">
        <f>IF(分析!P419&lt;&gt;"",分析!P419,"")</f>
        <v/>
      </c>
      <c r="N419" s="604">
        <f>IF(分析!O419&lt;&gt;"",分析!O419,"")</f>
        <v/>
      </c>
      <c r="O419" s="163">
        <f>IF(分析!X419&lt;&gt;"",分析!X419,"")</f>
        <v/>
      </c>
      <c r="P419" s="605">
        <f>IF(分析!L419&lt;&gt;"",分析!L419,"")</f>
        <v/>
      </c>
      <c r="Q419" s="161">
        <f>IF(分析!S419&lt;&gt;"",分析!S419,"")</f>
        <v/>
      </c>
      <c r="R419" s="161">
        <f>IF(分析!R419&lt;&gt;"",分析!R419,"")</f>
        <v/>
      </c>
      <c r="S419" s="156">
        <f>IF(分析!AA419&lt;&gt;"",分析!AA419,"")</f>
        <v/>
      </c>
      <c r="T419" s="606">
        <f>IF(分析!Z419&lt;&gt;"",分析!Z419,"")</f>
        <v/>
      </c>
      <c r="U419" s="156">
        <f>IF(分析!V419&lt;&gt;"",分析!V419,"")</f>
        <v/>
      </c>
      <c r="V419" s="607">
        <f>IF(分析!W419&lt;&gt;"",分析!W419,"")</f>
        <v/>
      </c>
      <c r="W419" s="167">
        <f>IF(分析!AD419&lt;&gt;"",分析!AD419,"")</f>
        <v/>
      </c>
      <c r="X419" s="168">
        <f>IF(分析!AE419&lt;&gt;"",分析!AE419,"")</f>
        <v/>
      </c>
      <c r="Y419" s="169">
        <f>IF(分析!T419&lt;&gt;"",分析!T419,"")</f>
        <v/>
      </c>
      <c r="Z419" s="155">
        <f>IF(分析!Y419&lt;&gt;"",分析!Y419,"")</f>
        <v/>
      </c>
    </row>
    <row r="420" ht="21.95" customHeight="1" s="574">
      <c r="A420" s="141">
        <f>IF(分析!C420&lt;&gt;"",ROW()-2,"")</f>
        <v/>
      </c>
      <c r="B420" s="142">
        <f>IF(分析!C420&lt;&gt;"",HYPERLINK("https://kabutan.jp/stock/?code="&amp;分析!C420,"株探"),"")</f>
        <v/>
      </c>
      <c r="C420" s="598">
        <f>IF(分析!C420&lt;&gt;"",分析!C420,"")</f>
        <v/>
      </c>
      <c r="D420" s="144">
        <f>IF(分析!D420&lt;&gt;"",分析!D420,"")</f>
        <v/>
      </c>
      <c r="E420" s="145">
        <f>IF(分析!E420&lt;&gt;"",分析!E420,"")</f>
        <v/>
      </c>
      <c r="F420" s="146">
        <f>IF(分析!F420&lt;&gt;"",分析!F420,"")</f>
        <v/>
      </c>
      <c r="G420" s="146">
        <f>IF(分析!H420&lt;&gt;"",分析!H420,"")</f>
        <v/>
      </c>
      <c r="H420" s="146">
        <f>IF(分析!I420&lt;&gt;"",分析!I420,"")</f>
        <v/>
      </c>
      <c r="I420" s="146">
        <f>IF(分析!J420&lt;&gt;"",分析!J420,"")</f>
        <v/>
      </c>
      <c r="J420" s="146">
        <f>IF(分析!AB420&lt;&gt;"",分析!AB420,"")</f>
        <v/>
      </c>
      <c r="K420" s="146">
        <f>IF(分析!AC420&lt;&gt;"",分析!AC420,"")</f>
        <v/>
      </c>
      <c r="L420" s="146">
        <f>IF(分析!K420&lt;&gt;"",分析!K420,"")</f>
        <v/>
      </c>
      <c r="M420" s="141">
        <f>IF(分析!P420&lt;&gt;"",分析!P420,"")</f>
        <v/>
      </c>
      <c r="N420" s="599">
        <f>IF(分析!O420&lt;&gt;"",分析!O420,"")</f>
        <v/>
      </c>
      <c r="O420" s="148">
        <f>IF(分析!X420&lt;&gt;"",分析!X420,"")</f>
        <v/>
      </c>
      <c r="P420" s="600">
        <f>IF(分析!L420&lt;&gt;"",分析!L420,"")</f>
        <v/>
      </c>
      <c r="Q420" s="146">
        <f>IF(分析!S420&lt;&gt;"",分析!S420,"")</f>
        <v/>
      </c>
      <c r="R420" s="146">
        <f>IF(分析!R420&lt;&gt;"",分析!R420,"")</f>
        <v/>
      </c>
      <c r="S420" s="141">
        <f>IF(分析!AA420&lt;&gt;"",分析!AA420,"")</f>
        <v/>
      </c>
      <c r="T420" s="601">
        <f>IF(分析!Z420&lt;&gt;"",分析!Z420,"")</f>
        <v/>
      </c>
      <c r="U420" s="141">
        <f>IF(分析!V420&lt;&gt;"",分析!V420,"")</f>
        <v/>
      </c>
      <c r="V420" s="602">
        <f>IF(分析!W420&lt;&gt;"",分析!W420,"")</f>
        <v/>
      </c>
      <c r="W420" s="152">
        <f>IF(分析!AD420&lt;&gt;"",分析!AD420,"")</f>
        <v/>
      </c>
      <c r="X420" s="153">
        <f>IF(分析!AE420&lt;&gt;"",分析!AE420,"")</f>
        <v/>
      </c>
      <c r="Y420" s="154">
        <f>IF(分析!T420&lt;&gt;"",分析!T420,"")</f>
        <v/>
      </c>
      <c r="Z420" s="155">
        <f>IF(分析!Y420&lt;&gt;"",分析!Y420,"")</f>
        <v/>
      </c>
    </row>
    <row r="421" ht="21.95" customHeight="1" s="574">
      <c r="A421" s="156">
        <f>IF(分析!C421&lt;&gt;"",ROW()-2,"")</f>
        <v/>
      </c>
      <c r="B421" s="157">
        <f>IF(分析!C421&lt;&gt;"",HYPERLINK("https://kabutan.jp/stock/?code="&amp;分析!C421,"株探"),"")</f>
        <v/>
      </c>
      <c r="C421" s="603">
        <f>IF(分析!C421&lt;&gt;"",分析!C421,"")</f>
        <v/>
      </c>
      <c r="D421" s="159">
        <f>IF(分析!D421&lt;&gt;"",分析!D421,"")</f>
        <v/>
      </c>
      <c r="E421" s="160">
        <f>IF(分析!E421&lt;&gt;"",分析!E421,"")</f>
        <v/>
      </c>
      <c r="F421" s="161">
        <f>IF(分析!F421&lt;&gt;"",分析!F421,"")</f>
        <v/>
      </c>
      <c r="G421" s="161">
        <f>IF(分析!H421&lt;&gt;"",分析!H421,"")</f>
        <v/>
      </c>
      <c r="H421" s="161">
        <f>IF(分析!I421&lt;&gt;"",分析!I421,"")</f>
        <v/>
      </c>
      <c r="I421" s="161">
        <f>IF(分析!J421&lt;&gt;"",分析!J421,"")</f>
        <v/>
      </c>
      <c r="J421" s="161">
        <f>IF(分析!AB421&lt;&gt;"",分析!AB421,"")</f>
        <v/>
      </c>
      <c r="K421" s="161">
        <f>IF(分析!AC421&lt;&gt;"",分析!AC421,"")</f>
        <v/>
      </c>
      <c r="L421" s="161">
        <f>IF(分析!K421&lt;&gt;"",分析!K421,"")</f>
        <v/>
      </c>
      <c r="M421" s="156">
        <f>IF(分析!P421&lt;&gt;"",分析!P421,"")</f>
        <v/>
      </c>
      <c r="N421" s="604">
        <f>IF(分析!O421&lt;&gt;"",分析!O421,"")</f>
        <v/>
      </c>
      <c r="O421" s="163">
        <f>IF(分析!X421&lt;&gt;"",分析!X421,"")</f>
        <v/>
      </c>
      <c r="P421" s="605">
        <f>IF(分析!L421&lt;&gt;"",分析!L421,"")</f>
        <v/>
      </c>
      <c r="Q421" s="161">
        <f>IF(分析!S421&lt;&gt;"",分析!S421,"")</f>
        <v/>
      </c>
      <c r="R421" s="161">
        <f>IF(分析!R421&lt;&gt;"",分析!R421,"")</f>
        <v/>
      </c>
      <c r="S421" s="156">
        <f>IF(分析!AA421&lt;&gt;"",分析!AA421,"")</f>
        <v/>
      </c>
      <c r="T421" s="606">
        <f>IF(分析!Z421&lt;&gt;"",分析!Z421,"")</f>
        <v/>
      </c>
      <c r="U421" s="156">
        <f>IF(分析!V421&lt;&gt;"",分析!V421,"")</f>
        <v/>
      </c>
      <c r="V421" s="607">
        <f>IF(分析!W421&lt;&gt;"",分析!W421,"")</f>
        <v/>
      </c>
      <c r="W421" s="167">
        <f>IF(分析!AD421&lt;&gt;"",分析!AD421,"")</f>
        <v/>
      </c>
      <c r="X421" s="168">
        <f>IF(分析!AE421&lt;&gt;"",分析!AE421,"")</f>
        <v/>
      </c>
      <c r="Y421" s="169">
        <f>IF(分析!T421&lt;&gt;"",分析!T421,"")</f>
        <v/>
      </c>
      <c r="Z421" s="155">
        <f>IF(分析!Y421&lt;&gt;"",分析!Y421,"")</f>
        <v/>
      </c>
    </row>
    <row r="422" ht="21.95" customHeight="1" s="574">
      <c r="A422" s="141">
        <f>IF(分析!C422&lt;&gt;"",ROW()-2,"")</f>
        <v/>
      </c>
      <c r="B422" s="142">
        <f>IF(分析!C422&lt;&gt;"",HYPERLINK("https://kabutan.jp/stock/?code="&amp;分析!C422,"株探"),"")</f>
        <v/>
      </c>
      <c r="C422" s="598">
        <f>IF(分析!C422&lt;&gt;"",分析!C422,"")</f>
        <v/>
      </c>
      <c r="D422" s="144">
        <f>IF(分析!D422&lt;&gt;"",分析!D422,"")</f>
        <v/>
      </c>
      <c r="E422" s="145">
        <f>IF(分析!E422&lt;&gt;"",分析!E422,"")</f>
        <v/>
      </c>
      <c r="F422" s="146">
        <f>IF(分析!F422&lt;&gt;"",分析!F422,"")</f>
        <v/>
      </c>
      <c r="G422" s="146">
        <f>IF(分析!H422&lt;&gt;"",分析!H422,"")</f>
        <v/>
      </c>
      <c r="H422" s="146">
        <f>IF(分析!I422&lt;&gt;"",分析!I422,"")</f>
        <v/>
      </c>
      <c r="I422" s="146">
        <f>IF(分析!J422&lt;&gt;"",分析!J422,"")</f>
        <v/>
      </c>
      <c r="J422" s="146">
        <f>IF(分析!AB422&lt;&gt;"",分析!AB422,"")</f>
        <v/>
      </c>
      <c r="K422" s="146">
        <f>IF(分析!AC422&lt;&gt;"",分析!AC422,"")</f>
        <v/>
      </c>
      <c r="L422" s="146">
        <f>IF(分析!K422&lt;&gt;"",分析!K422,"")</f>
        <v/>
      </c>
      <c r="M422" s="141">
        <f>IF(分析!P422&lt;&gt;"",分析!P422,"")</f>
        <v/>
      </c>
      <c r="N422" s="599">
        <f>IF(分析!O422&lt;&gt;"",分析!O422,"")</f>
        <v/>
      </c>
      <c r="O422" s="148">
        <f>IF(分析!X422&lt;&gt;"",分析!X422,"")</f>
        <v/>
      </c>
      <c r="P422" s="600">
        <f>IF(分析!L422&lt;&gt;"",分析!L422,"")</f>
        <v/>
      </c>
      <c r="Q422" s="146">
        <f>IF(分析!S422&lt;&gt;"",分析!S422,"")</f>
        <v/>
      </c>
      <c r="R422" s="146">
        <f>IF(分析!R422&lt;&gt;"",分析!R422,"")</f>
        <v/>
      </c>
      <c r="S422" s="141">
        <f>IF(分析!AA422&lt;&gt;"",分析!AA422,"")</f>
        <v/>
      </c>
      <c r="T422" s="601">
        <f>IF(分析!Z422&lt;&gt;"",分析!Z422,"")</f>
        <v/>
      </c>
      <c r="U422" s="141">
        <f>IF(分析!V422&lt;&gt;"",分析!V422,"")</f>
        <v/>
      </c>
      <c r="V422" s="602">
        <f>IF(分析!W422&lt;&gt;"",分析!W422,"")</f>
        <v/>
      </c>
      <c r="W422" s="152">
        <f>IF(分析!AD422&lt;&gt;"",分析!AD422,"")</f>
        <v/>
      </c>
      <c r="X422" s="153">
        <f>IF(分析!AE422&lt;&gt;"",分析!AE422,"")</f>
        <v/>
      </c>
      <c r="Y422" s="154">
        <f>IF(分析!T422&lt;&gt;"",分析!T422,"")</f>
        <v/>
      </c>
      <c r="Z422" s="155">
        <f>IF(分析!Y422&lt;&gt;"",分析!Y422,"")</f>
        <v/>
      </c>
    </row>
    <row r="423" ht="21.95" customHeight="1" s="574">
      <c r="A423" s="156">
        <f>IF(分析!C423&lt;&gt;"",ROW()-2,"")</f>
        <v/>
      </c>
      <c r="B423" s="157">
        <f>IF(分析!C423&lt;&gt;"",HYPERLINK("https://kabutan.jp/stock/?code="&amp;分析!C423,"株探"),"")</f>
        <v/>
      </c>
      <c r="C423" s="603">
        <f>IF(分析!C423&lt;&gt;"",分析!C423,"")</f>
        <v/>
      </c>
      <c r="D423" s="159">
        <f>IF(分析!D423&lt;&gt;"",分析!D423,"")</f>
        <v/>
      </c>
      <c r="E423" s="160">
        <f>IF(分析!E423&lt;&gt;"",分析!E423,"")</f>
        <v/>
      </c>
      <c r="F423" s="161">
        <f>IF(分析!F423&lt;&gt;"",分析!F423,"")</f>
        <v/>
      </c>
      <c r="G423" s="161">
        <f>IF(分析!H423&lt;&gt;"",分析!H423,"")</f>
        <v/>
      </c>
      <c r="H423" s="161">
        <f>IF(分析!I423&lt;&gt;"",分析!I423,"")</f>
        <v/>
      </c>
      <c r="I423" s="161">
        <f>IF(分析!J423&lt;&gt;"",分析!J423,"")</f>
        <v/>
      </c>
      <c r="J423" s="161">
        <f>IF(分析!AB423&lt;&gt;"",分析!AB423,"")</f>
        <v/>
      </c>
      <c r="K423" s="161">
        <f>IF(分析!AC423&lt;&gt;"",分析!AC423,"")</f>
        <v/>
      </c>
      <c r="L423" s="161">
        <f>IF(分析!K423&lt;&gt;"",分析!K423,"")</f>
        <v/>
      </c>
      <c r="M423" s="156">
        <f>IF(分析!P423&lt;&gt;"",分析!P423,"")</f>
        <v/>
      </c>
      <c r="N423" s="604">
        <f>IF(分析!O423&lt;&gt;"",分析!O423,"")</f>
        <v/>
      </c>
      <c r="O423" s="163">
        <f>IF(分析!X423&lt;&gt;"",分析!X423,"")</f>
        <v/>
      </c>
      <c r="P423" s="605">
        <f>IF(分析!L423&lt;&gt;"",分析!L423,"")</f>
        <v/>
      </c>
      <c r="Q423" s="161">
        <f>IF(分析!S423&lt;&gt;"",分析!S423,"")</f>
        <v/>
      </c>
      <c r="R423" s="161">
        <f>IF(分析!R423&lt;&gt;"",分析!R423,"")</f>
        <v/>
      </c>
      <c r="S423" s="156">
        <f>IF(分析!AA423&lt;&gt;"",分析!AA423,"")</f>
        <v/>
      </c>
      <c r="T423" s="606">
        <f>IF(分析!Z423&lt;&gt;"",分析!Z423,"")</f>
        <v/>
      </c>
      <c r="U423" s="156">
        <f>IF(分析!V423&lt;&gt;"",分析!V423,"")</f>
        <v/>
      </c>
      <c r="V423" s="607">
        <f>IF(分析!W423&lt;&gt;"",分析!W423,"")</f>
        <v/>
      </c>
      <c r="W423" s="167">
        <f>IF(分析!AD423&lt;&gt;"",分析!AD423,"")</f>
        <v/>
      </c>
      <c r="X423" s="168">
        <f>IF(分析!AE423&lt;&gt;"",分析!AE423,"")</f>
        <v/>
      </c>
      <c r="Y423" s="169">
        <f>IF(分析!T423&lt;&gt;"",分析!T423,"")</f>
        <v/>
      </c>
      <c r="Z423" s="155">
        <f>IF(分析!Y423&lt;&gt;"",分析!Y423,"")</f>
        <v/>
      </c>
    </row>
    <row r="424" ht="21.95" customHeight="1" s="574">
      <c r="A424" s="141">
        <f>IF(分析!C424&lt;&gt;"",ROW()-2,"")</f>
        <v/>
      </c>
      <c r="B424" s="142">
        <f>IF(分析!C424&lt;&gt;"",HYPERLINK("https://kabutan.jp/stock/?code="&amp;分析!C424,"株探"),"")</f>
        <v/>
      </c>
      <c r="C424" s="598">
        <f>IF(分析!C424&lt;&gt;"",分析!C424,"")</f>
        <v/>
      </c>
      <c r="D424" s="144">
        <f>IF(分析!D424&lt;&gt;"",分析!D424,"")</f>
        <v/>
      </c>
      <c r="E424" s="145">
        <f>IF(分析!E424&lt;&gt;"",分析!E424,"")</f>
        <v/>
      </c>
      <c r="F424" s="146">
        <f>IF(分析!F424&lt;&gt;"",分析!F424,"")</f>
        <v/>
      </c>
      <c r="G424" s="146">
        <f>IF(分析!H424&lt;&gt;"",分析!H424,"")</f>
        <v/>
      </c>
      <c r="H424" s="146">
        <f>IF(分析!I424&lt;&gt;"",分析!I424,"")</f>
        <v/>
      </c>
      <c r="I424" s="146">
        <f>IF(分析!J424&lt;&gt;"",分析!J424,"")</f>
        <v/>
      </c>
      <c r="J424" s="146">
        <f>IF(分析!AB424&lt;&gt;"",分析!AB424,"")</f>
        <v/>
      </c>
      <c r="K424" s="146">
        <f>IF(分析!AC424&lt;&gt;"",分析!AC424,"")</f>
        <v/>
      </c>
      <c r="L424" s="146">
        <f>IF(分析!K424&lt;&gt;"",分析!K424,"")</f>
        <v/>
      </c>
      <c r="M424" s="141">
        <f>IF(分析!P424&lt;&gt;"",分析!P424,"")</f>
        <v/>
      </c>
      <c r="N424" s="599">
        <f>IF(分析!O424&lt;&gt;"",分析!O424,"")</f>
        <v/>
      </c>
      <c r="O424" s="148">
        <f>IF(分析!X424&lt;&gt;"",分析!X424,"")</f>
        <v/>
      </c>
      <c r="P424" s="600">
        <f>IF(分析!L424&lt;&gt;"",分析!L424,"")</f>
        <v/>
      </c>
      <c r="Q424" s="146">
        <f>IF(分析!S424&lt;&gt;"",分析!S424,"")</f>
        <v/>
      </c>
      <c r="R424" s="146">
        <f>IF(分析!R424&lt;&gt;"",分析!R424,"")</f>
        <v/>
      </c>
      <c r="S424" s="141">
        <f>IF(分析!AA424&lt;&gt;"",分析!AA424,"")</f>
        <v/>
      </c>
      <c r="T424" s="601">
        <f>IF(分析!Z424&lt;&gt;"",分析!Z424,"")</f>
        <v/>
      </c>
      <c r="U424" s="141">
        <f>IF(分析!V424&lt;&gt;"",分析!V424,"")</f>
        <v/>
      </c>
      <c r="V424" s="602">
        <f>IF(分析!W424&lt;&gt;"",分析!W424,"")</f>
        <v/>
      </c>
      <c r="W424" s="152">
        <f>IF(分析!AD424&lt;&gt;"",分析!AD424,"")</f>
        <v/>
      </c>
      <c r="X424" s="153">
        <f>IF(分析!AE424&lt;&gt;"",分析!AE424,"")</f>
        <v/>
      </c>
      <c r="Y424" s="154">
        <f>IF(分析!T424&lt;&gt;"",分析!T424,"")</f>
        <v/>
      </c>
      <c r="Z424" s="155">
        <f>IF(分析!Y424&lt;&gt;"",分析!Y424,"")</f>
        <v/>
      </c>
    </row>
    <row r="425" ht="21.95" customHeight="1" s="574">
      <c r="A425" s="156">
        <f>IF(分析!C425&lt;&gt;"",ROW()-2,"")</f>
        <v/>
      </c>
      <c r="B425" s="157">
        <f>IF(分析!C425&lt;&gt;"",HYPERLINK("https://kabutan.jp/stock/?code="&amp;分析!C425,"株探"),"")</f>
        <v/>
      </c>
      <c r="C425" s="603">
        <f>IF(分析!C425&lt;&gt;"",分析!C425,"")</f>
        <v/>
      </c>
      <c r="D425" s="159">
        <f>IF(分析!D425&lt;&gt;"",分析!D425,"")</f>
        <v/>
      </c>
      <c r="E425" s="160">
        <f>IF(分析!E425&lt;&gt;"",分析!E425,"")</f>
        <v/>
      </c>
      <c r="F425" s="161">
        <f>IF(分析!F425&lt;&gt;"",分析!F425,"")</f>
        <v/>
      </c>
      <c r="G425" s="161">
        <f>IF(分析!H425&lt;&gt;"",分析!H425,"")</f>
        <v/>
      </c>
      <c r="H425" s="161">
        <f>IF(分析!I425&lt;&gt;"",分析!I425,"")</f>
        <v/>
      </c>
      <c r="I425" s="161">
        <f>IF(分析!J425&lt;&gt;"",分析!J425,"")</f>
        <v/>
      </c>
      <c r="J425" s="161">
        <f>IF(分析!AB425&lt;&gt;"",分析!AB425,"")</f>
        <v/>
      </c>
      <c r="K425" s="161">
        <f>IF(分析!AC425&lt;&gt;"",分析!AC425,"")</f>
        <v/>
      </c>
      <c r="L425" s="161">
        <f>IF(分析!K425&lt;&gt;"",分析!K425,"")</f>
        <v/>
      </c>
      <c r="M425" s="156">
        <f>IF(分析!P425&lt;&gt;"",分析!P425,"")</f>
        <v/>
      </c>
      <c r="N425" s="604">
        <f>IF(分析!O425&lt;&gt;"",分析!O425,"")</f>
        <v/>
      </c>
      <c r="O425" s="163">
        <f>IF(分析!X425&lt;&gt;"",分析!X425,"")</f>
        <v/>
      </c>
      <c r="P425" s="605">
        <f>IF(分析!L425&lt;&gt;"",分析!L425,"")</f>
        <v/>
      </c>
      <c r="Q425" s="161">
        <f>IF(分析!S425&lt;&gt;"",分析!S425,"")</f>
        <v/>
      </c>
      <c r="R425" s="161">
        <f>IF(分析!R425&lt;&gt;"",分析!R425,"")</f>
        <v/>
      </c>
      <c r="S425" s="156">
        <f>IF(分析!AA425&lt;&gt;"",分析!AA425,"")</f>
        <v/>
      </c>
      <c r="T425" s="606">
        <f>IF(分析!Z425&lt;&gt;"",分析!Z425,"")</f>
        <v/>
      </c>
      <c r="U425" s="156">
        <f>IF(分析!V425&lt;&gt;"",分析!V425,"")</f>
        <v/>
      </c>
      <c r="V425" s="607">
        <f>IF(分析!W425&lt;&gt;"",分析!W425,"")</f>
        <v/>
      </c>
      <c r="W425" s="167">
        <f>IF(分析!AD425&lt;&gt;"",分析!AD425,"")</f>
        <v/>
      </c>
      <c r="X425" s="168">
        <f>IF(分析!AE425&lt;&gt;"",分析!AE425,"")</f>
        <v/>
      </c>
      <c r="Y425" s="169">
        <f>IF(分析!T425&lt;&gt;"",分析!T425,"")</f>
        <v/>
      </c>
      <c r="Z425" s="155">
        <f>IF(分析!Y425&lt;&gt;"",分析!Y425,"")</f>
        <v/>
      </c>
    </row>
    <row r="426" ht="21.95" customHeight="1" s="574">
      <c r="A426" s="141">
        <f>IF(分析!C426&lt;&gt;"",ROW()-2,"")</f>
        <v/>
      </c>
      <c r="B426" s="142">
        <f>IF(分析!C426&lt;&gt;"",HYPERLINK("https://kabutan.jp/stock/?code="&amp;分析!C426,"株探"),"")</f>
        <v/>
      </c>
      <c r="C426" s="598">
        <f>IF(分析!C426&lt;&gt;"",分析!C426,"")</f>
        <v/>
      </c>
      <c r="D426" s="144">
        <f>IF(分析!D426&lt;&gt;"",分析!D426,"")</f>
        <v/>
      </c>
      <c r="E426" s="145">
        <f>IF(分析!E426&lt;&gt;"",分析!E426,"")</f>
        <v/>
      </c>
      <c r="F426" s="146">
        <f>IF(分析!F426&lt;&gt;"",分析!F426,"")</f>
        <v/>
      </c>
      <c r="G426" s="146">
        <f>IF(分析!H426&lt;&gt;"",分析!H426,"")</f>
        <v/>
      </c>
      <c r="H426" s="146">
        <f>IF(分析!I426&lt;&gt;"",分析!I426,"")</f>
        <v/>
      </c>
      <c r="I426" s="146">
        <f>IF(分析!J426&lt;&gt;"",分析!J426,"")</f>
        <v/>
      </c>
      <c r="J426" s="146">
        <f>IF(分析!AB426&lt;&gt;"",分析!AB426,"")</f>
        <v/>
      </c>
      <c r="K426" s="146">
        <f>IF(分析!AC426&lt;&gt;"",分析!AC426,"")</f>
        <v/>
      </c>
      <c r="L426" s="146">
        <f>IF(分析!K426&lt;&gt;"",分析!K426,"")</f>
        <v/>
      </c>
      <c r="M426" s="141">
        <f>IF(分析!P426&lt;&gt;"",分析!P426,"")</f>
        <v/>
      </c>
      <c r="N426" s="599">
        <f>IF(分析!O426&lt;&gt;"",分析!O426,"")</f>
        <v/>
      </c>
      <c r="O426" s="148">
        <f>IF(分析!X426&lt;&gt;"",分析!X426,"")</f>
        <v/>
      </c>
      <c r="P426" s="600">
        <f>IF(分析!L426&lt;&gt;"",分析!L426,"")</f>
        <v/>
      </c>
      <c r="Q426" s="146">
        <f>IF(分析!S426&lt;&gt;"",分析!S426,"")</f>
        <v/>
      </c>
      <c r="R426" s="146">
        <f>IF(分析!R426&lt;&gt;"",分析!R426,"")</f>
        <v/>
      </c>
      <c r="S426" s="141">
        <f>IF(分析!AA426&lt;&gt;"",分析!AA426,"")</f>
        <v/>
      </c>
      <c r="T426" s="601">
        <f>IF(分析!Z426&lt;&gt;"",分析!Z426,"")</f>
        <v/>
      </c>
      <c r="U426" s="141">
        <f>IF(分析!V426&lt;&gt;"",分析!V426,"")</f>
        <v/>
      </c>
      <c r="V426" s="602">
        <f>IF(分析!W426&lt;&gt;"",分析!W426,"")</f>
        <v/>
      </c>
      <c r="W426" s="152">
        <f>IF(分析!AD426&lt;&gt;"",分析!AD426,"")</f>
        <v/>
      </c>
      <c r="X426" s="153">
        <f>IF(分析!AE426&lt;&gt;"",分析!AE426,"")</f>
        <v/>
      </c>
      <c r="Y426" s="154">
        <f>IF(分析!T426&lt;&gt;"",分析!T426,"")</f>
        <v/>
      </c>
      <c r="Z426" s="155">
        <f>IF(分析!Y426&lt;&gt;"",分析!Y426,"")</f>
        <v/>
      </c>
    </row>
    <row r="427" ht="21.95" customHeight="1" s="574">
      <c r="A427" s="156">
        <f>IF(分析!C427&lt;&gt;"",ROW()-2,"")</f>
        <v/>
      </c>
      <c r="B427" s="157">
        <f>IF(分析!C427&lt;&gt;"",HYPERLINK("https://kabutan.jp/stock/?code="&amp;分析!C427,"株探"),"")</f>
        <v/>
      </c>
      <c r="C427" s="603">
        <f>IF(分析!C427&lt;&gt;"",分析!C427,"")</f>
        <v/>
      </c>
      <c r="D427" s="159">
        <f>IF(分析!D427&lt;&gt;"",分析!D427,"")</f>
        <v/>
      </c>
      <c r="E427" s="160">
        <f>IF(分析!E427&lt;&gt;"",分析!E427,"")</f>
        <v/>
      </c>
      <c r="F427" s="161">
        <f>IF(分析!F427&lt;&gt;"",分析!F427,"")</f>
        <v/>
      </c>
      <c r="G427" s="161">
        <f>IF(分析!H427&lt;&gt;"",分析!H427,"")</f>
        <v/>
      </c>
      <c r="H427" s="161">
        <f>IF(分析!I427&lt;&gt;"",分析!I427,"")</f>
        <v/>
      </c>
      <c r="I427" s="161">
        <f>IF(分析!J427&lt;&gt;"",分析!J427,"")</f>
        <v/>
      </c>
      <c r="J427" s="161">
        <f>IF(分析!AB427&lt;&gt;"",分析!AB427,"")</f>
        <v/>
      </c>
      <c r="K427" s="161">
        <f>IF(分析!AC427&lt;&gt;"",分析!AC427,"")</f>
        <v/>
      </c>
      <c r="L427" s="161">
        <f>IF(分析!K427&lt;&gt;"",分析!K427,"")</f>
        <v/>
      </c>
      <c r="M427" s="156">
        <f>IF(分析!P427&lt;&gt;"",分析!P427,"")</f>
        <v/>
      </c>
      <c r="N427" s="604">
        <f>IF(分析!O427&lt;&gt;"",分析!O427,"")</f>
        <v/>
      </c>
      <c r="O427" s="163">
        <f>IF(分析!X427&lt;&gt;"",分析!X427,"")</f>
        <v/>
      </c>
      <c r="P427" s="605">
        <f>IF(分析!L427&lt;&gt;"",分析!L427,"")</f>
        <v/>
      </c>
      <c r="Q427" s="161">
        <f>IF(分析!S427&lt;&gt;"",分析!S427,"")</f>
        <v/>
      </c>
      <c r="R427" s="161">
        <f>IF(分析!R427&lt;&gt;"",分析!R427,"")</f>
        <v/>
      </c>
      <c r="S427" s="156">
        <f>IF(分析!AA427&lt;&gt;"",分析!AA427,"")</f>
        <v/>
      </c>
      <c r="T427" s="606">
        <f>IF(分析!Z427&lt;&gt;"",分析!Z427,"")</f>
        <v/>
      </c>
      <c r="U427" s="156">
        <f>IF(分析!V427&lt;&gt;"",分析!V427,"")</f>
        <v/>
      </c>
      <c r="V427" s="607">
        <f>IF(分析!W427&lt;&gt;"",分析!W427,"")</f>
        <v/>
      </c>
      <c r="W427" s="167">
        <f>IF(分析!AD427&lt;&gt;"",分析!AD427,"")</f>
        <v/>
      </c>
      <c r="X427" s="168">
        <f>IF(分析!AE427&lt;&gt;"",分析!AE427,"")</f>
        <v/>
      </c>
      <c r="Y427" s="169">
        <f>IF(分析!T427&lt;&gt;"",分析!T427,"")</f>
        <v/>
      </c>
      <c r="Z427" s="155">
        <f>IF(分析!Y427&lt;&gt;"",分析!Y427,"")</f>
        <v/>
      </c>
    </row>
    <row r="428" ht="21.95" customHeight="1" s="574">
      <c r="A428" s="141">
        <f>IF(分析!C428&lt;&gt;"",ROW()-2,"")</f>
        <v/>
      </c>
      <c r="B428" s="142">
        <f>IF(分析!C428&lt;&gt;"",HYPERLINK("https://kabutan.jp/stock/?code="&amp;分析!C428,"株探"),"")</f>
        <v/>
      </c>
      <c r="C428" s="598">
        <f>IF(分析!C428&lt;&gt;"",分析!C428,"")</f>
        <v/>
      </c>
      <c r="D428" s="144">
        <f>IF(分析!D428&lt;&gt;"",分析!D428,"")</f>
        <v/>
      </c>
      <c r="E428" s="145">
        <f>IF(分析!E428&lt;&gt;"",分析!E428,"")</f>
        <v/>
      </c>
      <c r="F428" s="146">
        <f>IF(分析!F428&lt;&gt;"",分析!F428,"")</f>
        <v/>
      </c>
      <c r="G428" s="146">
        <f>IF(分析!H428&lt;&gt;"",分析!H428,"")</f>
        <v/>
      </c>
      <c r="H428" s="146">
        <f>IF(分析!I428&lt;&gt;"",分析!I428,"")</f>
        <v/>
      </c>
      <c r="I428" s="146">
        <f>IF(分析!J428&lt;&gt;"",分析!J428,"")</f>
        <v/>
      </c>
      <c r="J428" s="146">
        <f>IF(分析!AB428&lt;&gt;"",分析!AB428,"")</f>
        <v/>
      </c>
      <c r="K428" s="146">
        <f>IF(分析!AC428&lt;&gt;"",分析!AC428,"")</f>
        <v/>
      </c>
      <c r="L428" s="146">
        <f>IF(分析!K428&lt;&gt;"",分析!K428,"")</f>
        <v/>
      </c>
      <c r="M428" s="141">
        <f>IF(分析!P428&lt;&gt;"",分析!P428,"")</f>
        <v/>
      </c>
      <c r="N428" s="599">
        <f>IF(分析!O428&lt;&gt;"",分析!O428,"")</f>
        <v/>
      </c>
      <c r="O428" s="148">
        <f>IF(分析!X428&lt;&gt;"",分析!X428,"")</f>
        <v/>
      </c>
      <c r="P428" s="600">
        <f>IF(分析!L428&lt;&gt;"",分析!L428,"")</f>
        <v/>
      </c>
      <c r="Q428" s="146">
        <f>IF(分析!S428&lt;&gt;"",分析!S428,"")</f>
        <v/>
      </c>
      <c r="R428" s="146">
        <f>IF(分析!R428&lt;&gt;"",分析!R428,"")</f>
        <v/>
      </c>
      <c r="S428" s="141">
        <f>IF(分析!AA428&lt;&gt;"",分析!AA428,"")</f>
        <v/>
      </c>
      <c r="T428" s="601">
        <f>IF(分析!Z428&lt;&gt;"",分析!Z428,"")</f>
        <v/>
      </c>
      <c r="U428" s="141">
        <f>IF(分析!V428&lt;&gt;"",分析!V428,"")</f>
        <v/>
      </c>
      <c r="V428" s="602">
        <f>IF(分析!W428&lt;&gt;"",分析!W428,"")</f>
        <v/>
      </c>
      <c r="W428" s="152">
        <f>IF(分析!AD428&lt;&gt;"",分析!AD428,"")</f>
        <v/>
      </c>
      <c r="X428" s="153">
        <f>IF(分析!AE428&lt;&gt;"",分析!AE428,"")</f>
        <v/>
      </c>
      <c r="Y428" s="154">
        <f>IF(分析!T428&lt;&gt;"",分析!T428,"")</f>
        <v/>
      </c>
      <c r="Z428" s="155">
        <f>IF(分析!Y428&lt;&gt;"",分析!Y428,"")</f>
        <v/>
      </c>
    </row>
    <row r="429" ht="21.95" customHeight="1" s="574">
      <c r="A429" s="156">
        <f>IF(分析!C429&lt;&gt;"",ROW()-2,"")</f>
        <v/>
      </c>
      <c r="B429" s="157">
        <f>IF(分析!C429&lt;&gt;"",HYPERLINK("https://kabutan.jp/stock/?code="&amp;分析!C429,"株探"),"")</f>
        <v/>
      </c>
      <c r="C429" s="603">
        <f>IF(分析!C429&lt;&gt;"",分析!C429,"")</f>
        <v/>
      </c>
      <c r="D429" s="159">
        <f>IF(分析!D429&lt;&gt;"",分析!D429,"")</f>
        <v/>
      </c>
      <c r="E429" s="160">
        <f>IF(分析!E429&lt;&gt;"",分析!E429,"")</f>
        <v/>
      </c>
      <c r="F429" s="161">
        <f>IF(分析!F429&lt;&gt;"",分析!F429,"")</f>
        <v/>
      </c>
      <c r="G429" s="161">
        <f>IF(分析!H429&lt;&gt;"",分析!H429,"")</f>
        <v/>
      </c>
      <c r="H429" s="161">
        <f>IF(分析!I429&lt;&gt;"",分析!I429,"")</f>
        <v/>
      </c>
      <c r="I429" s="161">
        <f>IF(分析!J429&lt;&gt;"",分析!J429,"")</f>
        <v/>
      </c>
      <c r="J429" s="161">
        <f>IF(分析!AB429&lt;&gt;"",分析!AB429,"")</f>
        <v/>
      </c>
      <c r="K429" s="161">
        <f>IF(分析!AC429&lt;&gt;"",分析!AC429,"")</f>
        <v/>
      </c>
      <c r="L429" s="161">
        <f>IF(分析!K429&lt;&gt;"",分析!K429,"")</f>
        <v/>
      </c>
      <c r="M429" s="156">
        <f>IF(分析!P429&lt;&gt;"",分析!P429,"")</f>
        <v/>
      </c>
      <c r="N429" s="604">
        <f>IF(分析!O429&lt;&gt;"",分析!O429,"")</f>
        <v/>
      </c>
      <c r="O429" s="163">
        <f>IF(分析!X429&lt;&gt;"",分析!X429,"")</f>
        <v/>
      </c>
      <c r="P429" s="605">
        <f>IF(分析!L429&lt;&gt;"",分析!L429,"")</f>
        <v/>
      </c>
      <c r="Q429" s="161">
        <f>IF(分析!S429&lt;&gt;"",分析!S429,"")</f>
        <v/>
      </c>
      <c r="R429" s="161">
        <f>IF(分析!R429&lt;&gt;"",分析!R429,"")</f>
        <v/>
      </c>
      <c r="S429" s="156">
        <f>IF(分析!AA429&lt;&gt;"",分析!AA429,"")</f>
        <v/>
      </c>
      <c r="T429" s="606">
        <f>IF(分析!Z429&lt;&gt;"",分析!Z429,"")</f>
        <v/>
      </c>
      <c r="U429" s="156">
        <f>IF(分析!V429&lt;&gt;"",分析!V429,"")</f>
        <v/>
      </c>
      <c r="V429" s="607">
        <f>IF(分析!W429&lt;&gt;"",分析!W429,"")</f>
        <v/>
      </c>
      <c r="W429" s="167">
        <f>IF(分析!AD429&lt;&gt;"",分析!AD429,"")</f>
        <v/>
      </c>
      <c r="X429" s="168">
        <f>IF(分析!AE429&lt;&gt;"",分析!AE429,"")</f>
        <v/>
      </c>
      <c r="Y429" s="169">
        <f>IF(分析!T429&lt;&gt;"",分析!T429,"")</f>
        <v/>
      </c>
      <c r="Z429" s="155">
        <f>IF(分析!Y429&lt;&gt;"",分析!Y429,"")</f>
        <v/>
      </c>
    </row>
    <row r="430" ht="21.95" customHeight="1" s="574">
      <c r="A430" s="141">
        <f>IF(分析!C430&lt;&gt;"",ROW()-2,"")</f>
        <v/>
      </c>
      <c r="B430" s="142">
        <f>IF(分析!C430&lt;&gt;"",HYPERLINK("https://kabutan.jp/stock/?code="&amp;分析!C430,"株探"),"")</f>
        <v/>
      </c>
      <c r="C430" s="598">
        <f>IF(分析!C430&lt;&gt;"",分析!C430,"")</f>
        <v/>
      </c>
      <c r="D430" s="144">
        <f>IF(分析!D430&lt;&gt;"",分析!D430,"")</f>
        <v/>
      </c>
      <c r="E430" s="145">
        <f>IF(分析!E430&lt;&gt;"",分析!E430,"")</f>
        <v/>
      </c>
      <c r="F430" s="146">
        <f>IF(分析!F430&lt;&gt;"",分析!F430,"")</f>
        <v/>
      </c>
      <c r="G430" s="146">
        <f>IF(分析!H430&lt;&gt;"",分析!H430,"")</f>
        <v/>
      </c>
      <c r="H430" s="146">
        <f>IF(分析!I430&lt;&gt;"",分析!I430,"")</f>
        <v/>
      </c>
      <c r="I430" s="146">
        <f>IF(分析!J430&lt;&gt;"",分析!J430,"")</f>
        <v/>
      </c>
      <c r="J430" s="146">
        <f>IF(分析!AB430&lt;&gt;"",分析!AB430,"")</f>
        <v/>
      </c>
      <c r="K430" s="146">
        <f>IF(分析!AC430&lt;&gt;"",分析!AC430,"")</f>
        <v/>
      </c>
      <c r="L430" s="146">
        <f>IF(分析!K430&lt;&gt;"",分析!K430,"")</f>
        <v/>
      </c>
      <c r="M430" s="141">
        <f>IF(分析!P430&lt;&gt;"",分析!P430,"")</f>
        <v/>
      </c>
      <c r="N430" s="599">
        <f>IF(分析!O430&lt;&gt;"",分析!O430,"")</f>
        <v/>
      </c>
      <c r="O430" s="148">
        <f>IF(分析!X430&lt;&gt;"",分析!X430,"")</f>
        <v/>
      </c>
      <c r="P430" s="600">
        <f>IF(分析!L430&lt;&gt;"",分析!L430,"")</f>
        <v/>
      </c>
      <c r="Q430" s="146">
        <f>IF(分析!S430&lt;&gt;"",分析!S430,"")</f>
        <v/>
      </c>
      <c r="R430" s="146">
        <f>IF(分析!R430&lt;&gt;"",分析!R430,"")</f>
        <v/>
      </c>
      <c r="S430" s="141">
        <f>IF(分析!AA430&lt;&gt;"",分析!AA430,"")</f>
        <v/>
      </c>
      <c r="T430" s="601">
        <f>IF(分析!Z430&lt;&gt;"",分析!Z430,"")</f>
        <v/>
      </c>
      <c r="U430" s="141">
        <f>IF(分析!V430&lt;&gt;"",分析!V430,"")</f>
        <v/>
      </c>
      <c r="V430" s="602">
        <f>IF(分析!W430&lt;&gt;"",分析!W430,"")</f>
        <v/>
      </c>
      <c r="W430" s="152">
        <f>IF(分析!AD430&lt;&gt;"",分析!AD430,"")</f>
        <v/>
      </c>
      <c r="X430" s="153">
        <f>IF(分析!AE430&lt;&gt;"",分析!AE430,"")</f>
        <v/>
      </c>
      <c r="Y430" s="154">
        <f>IF(分析!T430&lt;&gt;"",分析!T430,"")</f>
        <v/>
      </c>
      <c r="Z430" s="155">
        <f>IF(分析!Y430&lt;&gt;"",分析!Y430,"")</f>
        <v/>
      </c>
    </row>
    <row r="431" ht="21.95" customHeight="1" s="574">
      <c r="A431" s="156">
        <f>IF(分析!C431&lt;&gt;"",ROW()-2,"")</f>
        <v/>
      </c>
      <c r="B431" s="157">
        <f>IF(分析!C431&lt;&gt;"",HYPERLINK("https://kabutan.jp/stock/?code="&amp;分析!C431,"株探"),"")</f>
        <v/>
      </c>
      <c r="C431" s="603">
        <f>IF(分析!C431&lt;&gt;"",分析!C431,"")</f>
        <v/>
      </c>
      <c r="D431" s="159">
        <f>IF(分析!D431&lt;&gt;"",分析!D431,"")</f>
        <v/>
      </c>
      <c r="E431" s="160">
        <f>IF(分析!E431&lt;&gt;"",分析!E431,"")</f>
        <v/>
      </c>
      <c r="F431" s="161">
        <f>IF(分析!F431&lt;&gt;"",分析!F431,"")</f>
        <v/>
      </c>
      <c r="G431" s="161">
        <f>IF(分析!H431&lt;&gt;"",分析!H431,"")</f>
        <v/>
      </c>
      <c r="H431" s="161">
        <f>IF(分析!I431&lt;&gt;"",分析!I431,"")</f>
        <v/>
      </c>
      <c r="I431" s="161">
        <f>IF(分析!J431&lt;&gt;"",分析!J431,"")</f>
        <v/>
      </c>
      <c r="J431" s="161">
        <f>IF(分析!AB431&lt;&gt;"",分析!AB431,"")</f>
        <v/>
      </c>
      <c r="K431" s="161">
        <f>IF(分析!AC431&lt;&gt;"",分析!AC431,"")</f>
        <v/>
      </c>
      <c r="L431" s="161">
        <f>IF(分析!K431&lt;&gt;"",分析!K431,"")</f>
        <v/>
      </c>
      <c r="M431" s="156">
        <f>IF(分析!P431&lt;&gt;"",分析!P431,"")</f>
        <v/>
      </c>
      <c r="N431" s="604">
        <f>IF(分析!O431&lt;&gt;"",分析!O431,"")</f>
        <v/>
      </c>
      <c r="O431" s="163">
        <f>IF(分析!X431&lt;&gt;"",分析!X431,"")</f>
        <v/>
      </c>
      <c r="P431" s="605">
        <f>IF(分析!L431&lt;&gt;"",分析!L431,"")</f>
        <v/>
      </c>
      <c r="Q431" s="161">
        <f>IF(分析!S431&lt;&gt;"",分析!S431,"")</f>
        <v/>
      </c>
      <c r="R431" s="161">
        <f>IF(分析!R431&lt;&gt;"",分析!R431,"")</f>
        <v/>
      </c>
      <c r="S431" s="156">
        <f>IF(分析!AA431&lt;&gt;"",分析!AA431,"")</f>
        <v/>
      </c>
      <c r="T431" s="606">
        <f>IF(分析!Z431&lt;&gt;"",分析!Z431,"")</f>
        <v/>
      </c>
      <c r="U431" s="156">
        <f>IF(分析!V431&lt;&gt;"",分析!V431,"")</f>
        <v/>
      </c>
      <c r="V431" s="607">
        <f>IF(分析!W431&lt;&gt;"",分析!W431,"")</f>
        <v/>
      </c>
      <c r="W431" s="167">
        <f>IF(分析!AD431&lt;&gt;"",分析!AD431,"")</f>
        <v/>
      </c>
      <c r="X431" s="168">
        <f>IF(分析!AE431&lt;&gt;"",分析!AE431,"")</f>
        <v/>
      </c>
      <c r="Y431" s="169">
        <f>IF(分析!T431&lt;&gt;"",分析!T431,"")</f>
        <v/>
      </c>
      <c r="Z431" s="155">
        <f>IF(分析!Y431&lt;&gt;"",分析!Y431,"")</f>
        <v/>
      </c>
    </row>
    <row r="432" ht="21.95" customHeight="1" s="574">
      <c r="A432" s="141">
        <f>IF(分析!C432&lt;&gt;"",ROW()-2,"")</f>
        <v/>
      </c>
      <c r="B432" s="142">
        <f>IF(分析!C432&lt;&gt;"",HYPERLINK("https://kabutan.jp/stock/?code="&amp;分析!C432,"株探"),"")</f>
        <v/>
      </c>
      <c r="C432" s="598">
        <f>IF(分析!C432&lt;&gt;"",分析!C432,"")</f>
        <v/>
      </c>
      <c r="D432" s="144">
        <f>IF(分析!D432&lt;&gt;"",分析!D432,"")</f>
        <v/>
      </c>
      <c r="E432" s="145">
        <f>IF(分析!E432&lt;&gt;"",分析!E432,"")</f>
        <v/>
      </c>
      <c r="F432" s="146">
        <f>IF(分析!F432&lt;&gt;"",分析!F432,"")</f>
        <v/>
      </c>
      <c r="G432" s="146">
        <f>IF(分析!H432&lt;&gt;"",分析!H432,"")</f>
        <v/>
      </c>
      <c r="H432" s="146">
        <f>IF(分析!I432&lt;&gt;"",分析!I432,"")</f>
        <v/>
      </c>
      <c r="I432" s="146">
        <f>IF(分析!J432&lt;&gt;"",分析!J432,"")</f>
        <v/>
      </c>
      <c r="J432" s="146">
        <f>IF(分析!AB432&lt;&gt;"",分析!AB432,"")</f>
        <v/>
      </c>
      <c r="K432" s="146">
        <f>IF(分析!AC432&lt;&gt;"",分析!AC432,"")</f>
        <v/>
      </c>
      <c r="L432" s="146">
        <f>IF(分析!K432&lt;&gt;"",分析!K432,"")</f>
        <v/>
      </c>
      <c r="M432" s="141">
        <f>IF(分析!P432&lt;&gt;"",分析!P432,"")</f>
        <v/>
      </c>
      <c r="N432" s="599">
        <f>IF(分析!O432&lt;&gt;"",分析!O432,"")</f>
        <v/>
      </c>
      <c r="O432" s="148">
        <f>IF(分析!X432&lt;&gt;"",分析!X432,"")</f>
        <v/>
      </c>
      <c r="P432" s="600">
        <f>IF(分析!L432&lt;&gt;"",分析!L432,"")</f>
        <v/>
      </c>
      <c r="Q432" s="146">
        <f>IF(分析!S432&lt;&gt;"",分析!S432,"")</f>
        <v/>
      </c>
      <c r="R432" s="146">
        <f>IF(分析!R432&lt;&gt;"",分析!R432,"")</f>
        <v/>
      </c>
      <c r="S432" s="141">
        <f>IF(分析!AA432&lt;&gt;"",分析!AA432,"")</f>
        <v/>
      </c>
      <c r="T432" s="601">
        <f>IF(分析!Z432&lt;&gt;"",分析!Z432,"")</f>
        <v/>
      </c>
      <c r="U432" s="141">
        <f>IF(分析!V432&lt;&gt;"",分析!V432,"")</f>
        <v/>
      </c>
      <c r="V432" s="602">
        <f>IF(分析!W432&lt;&gt;"",分析!W432,"")</f>
        <v/>
      </c>
      <c r="W432" s="152">
        <f>IF(分析!AD432&lt;&gt;"",分析!AD432,"")</f>
        <v/>
      </c>
      <c r="X432" s="153">
        <f>IF(分析!AE432&lt;&gt;"",分析!AE432,"")</f>
        <v/>
      </c>
      <c r="Y432" s="154">
        <f>IF(分析!T432&lt;&gt;"",分析!T432,"")</f>
        <v/>
      </c>
      <c r="Z432" s="155">
        <f>IF(分析!Y432&lt;&gt;"",分析!Y432,"")</f>
        <v/>
      </c>
    </row>
    <row r="433" ht="21.95" customHeight="1" s="574">
      <c r="A433" s="156">
        <f>IF(分析!C433&lt;&gt;"",ROW()-2,"")</f>
        <v/>
      </c>
      <c r="B433" s="157">
        <f>IF(分析!C433&lt;&gt;"",HYPERLINK("https://kabutan.jp/stock/?code="&amp;分析!C433,"株探"),"")</f>
        <v/>
      </c>
      <c r="C433" s="603">
        <f>IF(分析!C433&lt;&gt;"",分析!C433,"")</f>
        <v/>
      </c>
      <c r="D433" s="159">
        <f>IF(分析!D433&lt;&gt;"",分析!D433,"")</f>
        <v/>
      </c>
      <c r="E433" s="160">
        <f>IF(分析!E433&lt;&gt;"",分析!E433,"")</f>
        <v/>
      </c>
      <c r="F433" s="161">
        <f>IF(分析!F433&lt;&gt;"",分析!F433,"")</f>
        <v/>
      </c>
      <c r="G433" s="161">
        <f>IF(分析!H433&lt;&gt;"",分析!H433,"")</f>
        <v/>
      </c>
      <c r="H433" s="161">
        <f>IF(分析!I433&lt;&gt;"",分析!I433,"")</f>
        <v/>
      </c>
      <c r="I433" s="161">
        <f>IF(分析!J433&lt;&gt;"",分析!J433,"")</f>
        <v/>
      </c>
      <c r="J433" s="161">
        <f>IF(分析!AB433&lt;&gt;"",分析!AB433,"")</f>
        <v/>
      </c>
      <c r="K433" s="161">
        <f>IF(分析!AC433&lt;&gt;"",分析!AC433,"")</f>
        <v/>
      </c>
      <c r="L433" s="161">
        <f>IF(分析!K433&lt;&gt;"",分析!K433,"")</f>
        <v/>
      </c>
      <c r="M433" s="156">
        <f>IF(分析!P433&lt;&gt;"",分析!P433,"")</f>
        <v/>
      </c>
      <c r="N433" s="604">
        <f>IF(分析!O433&lt;&gt;"",分析!O433,"")</f>
        <v/>
      </c>
      <c r="O433" s="163">
        <f>IF(分析!X433&lt;&gt;"",分析!X433,"")</f>
        <v/>
      </c>
      <c r="P433" s="605">
        <f>IF(分析!L433&lt;&gt;"",分析!L433,"")</f>
        <v/>
      </c>
      <c r="Q433" s="161">
        <f>IF(分析!S433&lt;&gt;"",分析!S433,"")</f>
        <v/>
      </c>
      <c r="R433" s="161">
        <f>IF(分析!R433&lt;&gt;"",分析!R433,"")</f>
        <v/>
      </c>
      <c r="S433" s="156">
        <f>IF(分析!AA433&lt;&gt;"",分析!AA433,"")</f>
        <v/>
      </c>
      <c r="T433" s="606">
        <f>IF(分析!Z433&lt;&gt;"",分析!Z433,"")</f>
        <v/>
      </c>
      <c r="U433" s="156">
        <f>IF(分析!V433&lt;&gt;"",分析!V433,"")</f>
        <v/>
      </c>
      <c r="V433" s="607">
        <f>IF(分析!W433&lt;&gt;"",分析!W433,"")</f>
        <v/>
      </c>
      <c r="W433" s="167">
        <f>IF(分析!AD433&lt;&gt;"",分析!AD433,"")</f>
        <v/>
      </c>
      <c r="X433" s="168">
        <f>IF(分析!AE433&lt;&gt;"",分析!AE433,"")</f>
        <v/>
      </c>
      <c r="Y433" s="169">
        <f>IF(分析!T433&lt;&gt;"",分析!T433,"")</f>
        <v/>
      </c>
      <c r="Z433" s="155">
        <f>IF(分析!Y433&lt;&gt;"",分析!Y433,"")</f>
        <v/>
      </c>
    </row>
    <row r="434" ht="21.95" customHeight="1" s="574">
      <c r="A434" s="141">
        <f>IF(分析!C434&lt;&gt;"",ROW()-2,"")</f>
        <v/>
      </c>
      <c r="B434" s="142">
        <f>IF(分析!C434&lt;&gt;"",HYPERLINK("https://kabutan.jp/stock/?code="&amp;分析!C434,"株探"),"")</f>
        <v/>
      </c>
      <c r="C434" s="598">
        <f>IF(分析!C434&lt;&gt;"",分析!C434,"")</f>
        <v/>
      </c>
      <c r="D434" s="144">
        <f>IF(分析!D434&lt;&gt;"",分析!D434,"")</f>
        <v/>
      </c>
      <c r="E434" s="145">
        <f>IF(分析!E434&lt;&gt;"",分析!E434,"")</f>
        <v/>
      </c>
      <c r="F434" s="146">
        <f>IF(分析!F434&lt;&gt;"",分析!F434,"")</f>
        <v/>
      </c>
      <c r="G434" s="146">
        <f>IF(分析!H434&lt;&gt;"",分析!H434,"")</f>
        <v/>
      </c>
      <c r="H434" s="146">
        <f>IF(分析!I434&lt;&gt;"",分析!I434,"")</f>
        <v/>
      </c>
      <c r="I434" s="146">
        <f>IF(分析!J434&lt;&gt;"",分析!J434,"")</f>
        <v/>
      </c>
      <c r="J434" s="146">
        <f>IF(分析!AB434&lt;&gt;"",分析!AB434,"")</f>
        <v/>
      </c>
      <c r="K434" s="146">
        <f>IF(分析!AC434&lt;&gt;"",分析!AC434,"")</f>
        <v/>
      </c>
      <c r="L434" s="146">
        <f>IF(分析!K434&lt;&gt;"",分析!K434,"")</f>
        <v/>
      </c>
      <c r="M434" s="141">
        <f>IF(分析!P434&lt;&gt;"",分析!P434,"")</f>
        <v/>
      </c>
      <c r="N434" s="599">
        <f>IF(分析!O434&lt;&gt;"",分析!O434,"")</f>
        <v/>
      </c>
      <c r="O434" s="148">
        <f>IF(分析!X434&lt;&gt;"",分析!X434,"")</f>
        <v/>
      </c>
      <c r="P434" s="600">
        <f>IF(分析!L434&lt;&gt;"",分析!L434,"")</f>
        <v/>
      </c>
      <c r="Q434" s="146">
        <f>IF(分析!S434&lt;&gt;"",分析!S434,"")</f>
        <v/>
      </c>
      <c r="R434" s="146">
        <f>IF(分析!R434&lt;&gt;"",分析!R434,"")</f>
        <v/>
      </c>
      <c r="S434" s="141">
        <f>IF(分析!AA434&lt;&gt;"",分析!AA434,"")</f>
        <v/>
      </c>
      <c r="T434" s="601">
        <f>IF(分析!Z434&lt;&gt;"",分析!Z434,"")</f>
        <v/>
      </c>
      <c r="U434" s="141">
        <f>IF(分析!V434&lt;&gt;"",分析!V434,"")</f>
        <v/>
      </c>
      <c r="V434" s="602">
        <f>IF(分析!W434&lt;&gt;"",分析!W434,"")</f>
        <v/>
      </c>
      <c r="W434" s="152">
        <f>IF(分析!AD434&lt;&gt;"",分析!AD434,"")</f>
        <v/>
      </c>
      <c r="X434" s="153">
        <f>IF(分析!AE434&lt;&gt;"",分析!AE434,"")</f>
        <v/>
      </c>
      <c r="Y434" s="154">
        <f>IF(分析!T434&lt;&gt;"",分析!T434,"")</f>
        <v/>
      </c>
      <c r="Z434" s="155">
        <f>IF(分析!Y434&lt;&gt;"",分析!Y434,"")</f>
        <v/>
      </c>
    </row>
    <row r="435" ht="21.95" customHeight="1" s="574">
      <c r="A435" s="156">
        <f>IF(分析!C435&lt;&gt;"",ROW()-2,"")</f>
        <v/>
      </c>
      <c r="B435" s="157">
        <f>IF(分析!C435&lt;&gt;"",HYPERLINK("https://kabutan.jp/stock/?code="&amp;分析!C435,"株探"),"")</f>
        <v/>
      </c>
      <c r="C435" s="603">
        <f>IF(分析!C435&lt;&gt;"",分析!C435,"")</f>
        <v/>
      </c>
      <c r="D435" s="159">
        <f>IF(分析!D435&lt;&gt;"",分析!D435,"")</f>
        <v/>
      </c>
      <c r="E435" s="160">
        <f>IF(分析!E435&lt;&gt;"",分析!E435,"")</f>
        <v/>
      </c>
      <c r="F435" s="161">
        <f>IF(分析!F435&lt;&gt;"",分析!F435,"")</f>
        <v/>
      </c>
      <c r="G435" s="161">
        <f>IF(分析!H435&lt;&gt;"",分析!H435,"")</f>
        <v/>
      </c>
      <c r="H435" s="161">
        <f>IF(分析!I435&lt;&gt;"",分析!I435,"")</f>
        <v/>
      </c>
      <c r="I435" s="161">
        <f>IF(分析!J435&lt;&gt;"",分析!J435,"")</f>
        <v/>
      </c>
      <c r="J435" s="161">
        <f>IF(分析!AB435&lt;&gt;"",分析!AB435,"")</f>
        <v/>
      </c>
      <c r="K435" s="161">
        <f>IF(分析!AC435&lt;&gt;"",分析!AC435,"")</f>
        <v/>
      </c>
      <c r="L435" s="161">
        <f>IF(分析!K435&lt;&gt;"",分析!K435,"")</f>
        <v/>
      </c>
      <c r="M435" s="156">
        <f>IF(分析!P435&lt;&gt;"",分析!P435,"")</f>
        <v/>
      </c>
      <c r="N435" s="604">
        <f>IF(分析!O435&lt;&gt;"",分析!O435,"")</f>
        <v/>
      </c>
      <c r="O435" s="163">
        <f>IF(分析!X435&lt;&gt;"",分析!X435,"")</f>
        <v/>
      </c>
      <c r="P435" s="605">
        <f>IF(分析!L435&lt;&gt;"",分析!L435,"")</f>
        <v/>
      </c>
      <c r="Q435" s="161">
        <f>IF(分析!S435&lt;&gt;"",分析!S435,"")</f>
        <v/>
      </c>
      <c r="R435" s="161">
        <f>IF(分析!R435&lt;&gt;"",分析!R435,"")</f>
        <v/>
      </c>
      <c r="S435" s="156">
        <f>IF(分析!AA435&lt;&gt;"",分析!AA435,"")</f>
        <v/>
      </c>
      <c r="T435" s="606">
        <f>IF(分析!Z435&lt;&gt;"",分析!Z435,"")</f>
        <v/>
      </c>
      <c r="U435" s="156">
        <f>IF(分析!V435&lt;&gt;"",分析!V435,"")</f>
        <v/>
      </c>
      <c r="V435" s="607">
        <f>IF(分析!W435&lt;&gt;"",分析!W435,"")</f>
        <v/>
      </c>
      <c r="W435" s="167">
        <f>IF(分析!AD435&lt;&gt;"",分析!AD435,"")</f>
        <v/>
      </c>
      <c r="X435" s="168">
        <f>IF(分析!AE435&lt;&gt;"",分析!AE435,"")</f>
        <v/>
      </c>
      <c r="Y435" s="169">
        <f>IF(分析!T435&lt;&gt;"",分析!T435,"")</f>
        <v/>
      </c>
      <c r="Z435" s="155">
        <f>IF(分析!Y435&lt;&gt;"",分析!Y435,"")</f>
        <v/>
      </c>
    </row>
    <row r="436" ht="21.95" customHeight="1" s="574">
      <c r="A436" s="141">
        <f>IF(分析!C436&lt;&gt;"",ROW()-2,"")</f>
        <v/>
      </c>
      <c r="B436" s="142">
        <f>IF(分析!C436&lt;&gt;"",HYPERLINK("https://kabutan.jp/stock/?code="&amp;分析!C436,"株探"),"")</f>
        <v/>
      </c>
      <c r="C436" s="598">
        <f>IF(分析!C436&lt;&gt;"",分析!C436,"")</f>
        <v/>
      </c>
      <c r="D436" s="144">
        <f>IF(分析!D436&lt;&gt;"",分析!D436,"")</f>
        <v/>
      </c>
      <c r="E436" s="145">
        <f>IF(分析!E436&lt;&gt;"",分析!E436,"")</f>
        <v/>
      </c>
      <c r="F436" s="146">
        <f>IF(分析!F436&lt;&gt;"",分析!F436,"")</f>
        <v/>
      </c>
      <c r="G436" s="146">
        <f>IF(分析!H436&lt;&gt;"",分析!H436,"")</f>
        <v/>
      </c>
      <c r="H436" s="146">
        <f>IF(分析!I436&lt;&gt;"",分析!I436,"")</f>
        <v/>
      </c>
      <c r="I436" s="146">
        <f>IF(分析!J436&lt;&gt;"",分析!J436,"")</f>
        <v/>
      </c>
      <c r="J436" s="146">
        <f>IF(分析!AB436&lt;&gt;"",分析!AB436,"")</f>
        <v/>
      </c>
      <c r="K436" s="146">
        <f>IF(分析!AC436&lt;&gt;"",分析!AC436,"")</f>
        <v/>
      </c>
      <c r="L436" s="146">
        <f>IF(分析!K436&lt;&gt;"",分析!K436,"")</f>
        <v/>
      </c>
      <c r="M436" s="141">
        <f>IF(分析!P436&lt;&gt;"",分析!P436,"")</f>
        <v/>
      </c>
      <c r="N436" s="599">
        <f>IF(分析!O436&lt;&gt;"",分析!O436,"")</f>
        <v/>
      </c>
      <c r="O436" s="148">
        <f>IF(分析!X436&lt;&gt;"",分析!X436,"")</f>
        <v/>
      </c>
      <c r="P436" s="600">
        <f>IF(分析!L436&lt;&gt;"",分析!L436,"")</f>
        <v/>
      </c>
      <c r="Q436" s="146">
        <f>IF(分析!S436&lt;&gt;"",分析!S436,"")</f>
        <v/>
      </c>
      <c r="R436" s="146">
        <f>IF(分析!R436&lt;&gt;"",分析!R436,"")</f>
        <v/>
      </c>
      <c r="S436" s="141">
        <f>IF(分析!AA436&lt;&gt;"",分析!AA436,"")</f>
        <v/>
      </c>
      <c r="T436" s="601">
        <f>IF(分析!Z436&lt;&gt;"",分析!Z436,"")</f>
        <v/>
      </c>
      <c r="U436" s="141">
        <f>IF(分析!V436&lt;&gt;"",分析!V436,"")</f>
        <v/>
      </c>
      <c r="V436" s="602">
        <f>IF(分析!W436&lt;&gt;"",分析!W436,"")</f>
        <v/>
      </c>
      <c r="W436" s="152">
        <f>IF(分析!AD436&lt;&gt;"",分析!AD436,"")</f>
        <v/>
      </c>
      <c r="X436" s="153">
        <f>IF(分析!AE436&lt;&gt;"",分析!AE436,"")</f>
        <v/>
      </c>
      <c r="Y436" s="154">
        <f>IF(分析!T436&lt;&gt;"",分析!T436,"")</f>
        <v/>
      </c>
      <c r="Z436" s="155">
        <f>IF(分析!Y436&lt;&gt;"",分析!Y436,"")</f>
        <v/>
      </c>
    </row>
    <row r="437" ht="21.95" customHeight="1" s="574">
      <c r="A437" s="156">
        <f>IF(分析!C437&lt;&gt;"",ROW()-2,"")</f>
        <v/>
      </c>
      <c r="B437" s="157">
        <f>IF(分析!C437&lt;&gt;"",HYPERLINK("https://kabutan.jp/stock/?code="&amp;分析!C437,"株探"),"")</f>
        <v/>
      </c>
      <c r="C437" s="603">
        <f>IF(分析!C437&lt;&gt;"",分析!C437,"")</f>
        <v/>
      </c>
      <c r="D437" s="159">
        <f>IF(分析!D437&lt;&gt;"",分析!D437,"")</f>
        <v/>
      </c>
      <c r="E437" s="160">
        <f>IF(分析!E437&lt;&gt;"",分析!E437,"")</f>
        <v/>
      </c>
      <c r="F437" s="161">
        <f>IF(分析!F437&lt;&gt;"",分析!F437,"")</f>
        <v/>
      </c>
      <c r="G437" s="161">
        <f>IF(分析!H437&lt;&gt;"",分析!H437,"")</f>
        <v/>
      </c>
      <c r="H437" s="161">
        <f>IF(分析!I437&lt;&gt;"",分析!I437,"")</f>
        <v/>
      </c>
      <c r="I437" s="161">
        <f>IF(分析!J437&lt;&gt;"",分析!J437,"")</f>
        <v/>
      </c>
      <c r="J437" s="161">
        <f>IF(分析!AB437&lt;&gt;"",分析!AB437,"")</f>
        <v/>
      </c>
      <c r="K437" s="161">
        <f>IF(分析!AC437&lt;&gt;"",分析!AC437,"")</f>
        <v/>
      </c>
      <c r="L437" s="161">
        <f>IF(分析!K437&lt;&gt;"",分析!K437,"")</f>
        <v/>
      </c>
      <c r="M437" s="156">
        <f>IF(分析!P437&lt;&gt;"",分析!P437,"")</f>
        <v/>
      </c>
      <c r="N437" s="604">
        <f>IF(分析!O437&lt;&gt;"",分析!O437,"")</f>
        <v/>
      </c>
      <c r="O437" s="163">
        <f>IF(分析!X437&lt;&gt;"",分析!X437,"")</f>
        <v/>
      </c>
      <c r="P437" s="605">
        <f>IF(分析!L437&lt;&gt;"",分析!L437,"")</f>
        <v/>
      </c>
      <c r="Q437" s="161">
        <f>IF(分析!S437&lt;&gt;"",分析!S437,"")</f>
        <v/>
      </c>
      <c r="R437" s="161">
        <f>IF(分析!R437&lt;&gt;"",分析!R437,"")</f>
        <v/>
      </c>
      <c r="S437" s="156">
        <f>IF(分析!AA437&lt;&gt;"",分析!AA437,"")</f>
        <v/>
      </c>
      <c r="T437" s="606">
        <f>IF(分析!Z437&lt;&gt;"",分析!Z437,"")</f>
        <v/>
      </c>
      <c r="U437" s="156">
        <f>IF(分析!V437&lt;&gt;"",分析!V437,"")</f>
        <v/>
      </c>
      <c r="V437" s="607">
        <f>IF(分析!W437&lt;&gt;"",分析!W437,"")</f>
        <v/>
      </c>
      <c r="W437" s="167">
        <f>IF(分析!AD437&lt;&gt;"",分析!AD437,"")</f>
        <v/>
      </c>
      <c r="X437" s="168">
        <f>IF(分析!AE437&lt;&gt;"",分析!AE437,"")</f>
        <v/>
      </c>
      <c r="Y437" s="169">
        <f>IF(分析!T437&lt;&gt;"",分析!T437,"")</f>
        <v/>
      </c>
      <c r="Z437" s="155">
        <f>IF(分析!Y437&lt;&gt;"",分析!Y437,"")</f>
        <v/>
      </c>
    </row>
    <row r="438" ht="21.95" customHeight="1" s="574">
      <c r="A438" s="141">
        <f>IF(分析!C438&lt;&gt;"",ROW()-2,"")</f>
        <v/>
      </c>
      <c r="B438" s="142">
        <f>IF(分析!C438&lt;&gt;"",HYPERLINK("https://kabutan.jp/stock/?code="&amp;分析!C438,"株探"),"")</f>
        <v/>
      </c>
      <c r="C438" s="598">
        <f>IF(分析!C438&lt;&gt;"",分析!C438,"")</f>
        <v/>
      </c>
      <c r="D438" s="144">
        <f>IF(分析!D438&lt;&gt;"",分析!D438,"")</f>
        <v/>
      </c>
      <c r="E438" s="145">
        <f>IF(分析!E438&lt;&gt;"",分析!E438,"")</f>
        <v/>
      </c>
      <c r="F438" s="146">
        <f>IF(分析!F438&lt;&gt;"",分析!F438,"")</f>
        <v/>
      </c>
      <c r="G438" s="146">
        <f>IF(分析!H438&lt;&gt;"",分析!H438,"")</f>
        <v/>
      </c>
      <c r="H438" s="146">
        <f>IF(分析!I438&lt;&gt;"",分析!I438,"")</f>
        <v/>
      </c>
      <c r="I438" s="146">
        <f>IF(分析!J438&lt;&gt;"",分析!J438,"")</f>
        <v/>
      </c>
      <c r="J438" s="146">
        <f>IF(分析!AB438&lt;&gt;"",分析!AB438,"")</f>
        <v/>
      </c>
      <c r="K438" s="146">
        <f>IF(分析!AC438&lt;&gt;"",分析!AC438,"")</f>
        <v/>
      </c>
      <c r="L438" s="146">
        <f>IF(分析!K438&lt;&gt;"",分析!K438,"")</f>
        <v/>
      </c>
      <c r="M438" s="141">
        <f>IF(分析!P438&lt;&gt;"",分析!P438,"")</f>
        <v/>
      </c>
      <c r="N438" s="599">
        <f>IF(分析!O438&lt;&gt;"",分析!O438,"")</f>
        <v/>
      </c>
      <c r="O438" s="148">
        <f>IF(分析!X438&lt;&gt;"",分析!X438,"")</f>
        <v/>
      </c>
      <c r="P438" s="600">
        <f>IF(分析!L438&lt;&gt;"",分析!L438,"")</f>
        <v/>
      </c>
      <c r="Q438" s="146">
        <f>IF(分析!S438&lt;&gt;"",分析!S438,"")</f>
        <v/>
      </c>
      <c r="R438" s="146">
        <f>IF(分析!R438&lt;&gt;"",分析!R438,"")</f>
        <v/>
      </c>
      <c r="S438" s="141">
        <f>IF(分析!AA438&lt;&gt;"",分析!AA438,"")</f>
        <v/>
      </c>
      <c r="T438" s="601">
        <f>IF(分析!Z438&lt;&gt;"",分析!Z438,"")</f>
        <v/>
      </c>
      <c r="U438" s="141">
        <f>IF(分析!V438&lt;&gt;"",分析!V438,"")</f>
        <v/>
      </c>
      <c r="V438" s="602">
        <f>IF(分析!W438&lt;&gt;"",分析!W438,"")</f>
        <v/>
      </c>
      <c r="W438" s="152">
        <f>IF(分析!AD438&lt;&gt;"",分析!AD438,"")</f>
        <v/>
      </c>
      <c r="X438" s="153">
        <f>IF(分析!AE438&lt;&gt;"",分析!AE438,"")</f>
        <v/>
      </c>
      <c r="Y438" s="154">
        <f>IF(分析!T438&lt;&gt;"",分析!T438,"")</f>
        <v/>
      </c>
      <c r="Z438" s="155">
        <f>IF(分析!Y438&lt;&gt;"",分析!Y438,"")</f>
        <v/>
      </c>
    </row>
    <row r="439" ht="21.95" customHeight="1" s="574">
      <c r="A439" s="156">
        <f>IF(分析!C439&lt;&gt;"",ROW()-2,"")</f>
        <v/>
      </c>
      <c r="B439" s="157">
        <f>IF(分析!C439&lt;&gt;"",HYPERLINK("https://kabutan.jp/stock/?code="&amp;分析!C439,"株探"),"")</f>
        <v/>
      </c>
      <c r="C439" s="603">
        <f>IF(分析!C439&lt;&gt;"",分析!C439,"")</f>
        <v/>
      </c>
      <c r="D439" s="159">
        <f>IF(分析!D439&lt;&gt;"",分析!D439,"")</f>
        <v/>
      </c>
      <c r="E439" s="160">
        <f>IF(分析!E439&lt;&gt;"",分析!E439,"")</f>
        <v/>
      </c>
      <c r="F439" s="161">
        <f>IF(分析!F439&lt;&gt;"",分析!F439,"")</f>
        <v/>
      </c>
      <c r="G439" s="161">
        <f>IF(分析!H439&lt;&gt;"",分析!H439,"")</f>
        <v/>
      </c>
      <c r="H439" s="161">
        <f>IF(分析!I439&lt;&gt;"",分析!I439,"")</f>
        <v/>
      </c>
      <c r="I439" s="161">
        <f>IF(分析!J439&lt;&gt;"",分析!J439,"")</f>
        <v/>
      </c>
      <c r="J439" s="161">
        <f>IF(分析!AB439&lt;&gt;"",分析!AB439,"")</f>
        <v/>
      </c>
      <c r="K439" s="161">
        <f>IF(分析!AC439&lt;&gt;"",分析!AC439,"")</f>
        <v/>
      </c>
      <c r="L439" s="161">
        <f>IF(分析!K439&lt;&gt;"",分析!K439,"")</f>
        <v/>
      </c>
      <c r="M439" s="156">
        <f>IF(分析!P439&lt;&gt;"",分析!P439,"")</f>
        <v/>
      </c>
      <c r="N439" s="604">
        <f>IF(分析!O439&lt;&gt;"",分析!O439,"")</f>
        <v/>
      </c>
      <c r="O439" s="163">
        <f>IF(分析!X439&lt;&gt;"",分析!X439,"")</f>
        <v/>
      </c>
      <c r="P439" s="605">
        <f>IF(分析!L439&lt;&gt;"",分析!L439,"")</f>
        <v/>
      </c>
      <c r="Q439" s="161">
        <f>IF(分析!S439&lt;&gt;"",分析!S439,"")</f>
        <v/>
      </c>
      <c r="R439" s="161">
        <f>IF(分析!R439&lt;&gt;"",分析!R439,"")</f>
        <v/>
      </c>
      <c r="S439" s="156">
        <f>IF(分析!AA439&lt;&gt;"",分析!AA439,"")</f>
        <v/>
      </c>
      <c r="T439" s="606">
        <f>IF(分析!Z439&lt;&gt;"",分析!Z439,"")</f>
        <v/>
      </c>
      <c r="U439" s="156">
        <f>IF(分析!V439&lt;&gt;"",分析!V439,"")</f>
        <v/>
      </c>
      <c r="V439" s="607">
        <f>IF(分析!W439&lt;&gt;"",分析!W439,"")</f>
        <v/>
      </c>
      <c r="W439" s="167">
        <f>IF(分析!AD439&lt;&gt;"",分析!AD439,"")</f>
        <v/>
      </c>
      <c r="X439" s="168">
        <f>IF(分析!AE439&lt;&gt;"",分析!AE439,"")</f>
        <v/>
      </c>
      <c r="Y439" s="169">
        <f>IF(分析!T439&lt;&gt;"",分析!T439,"")</f>
        <v/>
      </c>
      <c r="Z439" s="155">
        <f>IF(分析!Y439&lt;&gt;"",分析!Y439,"")</f>
        <v/>
      </c>
    </row>
    <row r="440" ht="21.95" customHeight="1" s="574">
      <c r="A440" s="141">
        <f>IF(分析!C440&lt;&gt;"",ROW()-2,"")</f>
        <v/>
      </c>
      <c r="B440" s="142">
        <f>IF(分析!C440&lt;&gt;"",HYPERLINK("https://kabutan.jp/stock/?code="&amp;分析!C440,"株探"),"")</f>
        <v/>
      </c>
      <c r="C440" s="598">
        <f>IF(分析!C440&lt;&gt;"",分析!C440,"")</f>
        <v/>
      </c>
      <c r="D440" s="144">
        <f>IF(分析!D440&lt;&gt;"",分析!D440,"")</f>
        <v/>
      </c>
      <c r="E440" s="145">
        <f>IF(分析!E440&lt;&gt;"",分析!E440,"")</f>
        <v/>
      </c>
      <c r="F440" s="146">
        <f>IF(分析!F440&lt;&gt;"",分析!F440,"")</f>
        <v/>
      </c>
      <c r="G440" s="146">
        <f>IF(分析!H440&lt;&gt;"",分析!H440,"")</f>
        <v/>
      </c>
      <c r="H440" s="146">
        <f>IF(分析!I440&lt;&gt;"",分析!I440,"")</f>
        <v/>
      </c>
      <c r="I440" s="146">
        <f>IF(分析!J440&lt;&gt;"",分析!J440,"")</f>
        <v/>
      </c>
      <c r="J440" s="146">
        <f>IF(分析!AB440&lt;&gt;"",分析!AB440,"")</f>
        <v/>
      </c>
      <c r="K440" s="146">
        <f>IF(分析!AC440&lt;&gt;"",分析!AC440,"")</f>
        <v/>
      </c>
      <c r="L440" s="146">
        <f>IF(分析!K440&lt;&gt;"",分析!K440,"")</f>
        <v/>
      </c>
      <c r="M440" s="141">
        <f>IF(分析!P440&lt;&gt;"",分析!P440,"")</f>
        <v/>
      </c>
      <c r="N440" s="599">
        <f>IF(分析!O440&lt;&gt;"",分析!O440,"")</f>
        <v/>
      </c>
      <c r="O440" s="148">
        <f>IF(分析!X440&lt;&gt;"",分析!X440,"")</f>
        <v/>
      </c>
      <c r="P440" s="600">
        <f>IF(分析!L440&lt;&gt;"",分析!L440,"")</f>
        <v/>
      </c>
      <c r="Q440" s="146">
        <f>IF(分析!S440&lt;&gt;"",分析!S440,"")</f>
        <v/>
      </c>
      <c r="R440" s="146">
        <f>IF(分析!R440&lt;&gt;"",分析!R440,"")</f>
        <v/>
      </c>
      <c r="S440" s="141">
        <f>IF(分析!AA440&lt;&gt;"",分析!AA440,"")</f>
        <v/>
      </c>
      <c r="T440" s="601">
        <f>IF(分析!Z440&lt;&gt;"",分析!Z440,"")</f>
        <v/>
      </c>
      <c r="U440" s="141">
        <f>IF(分析!V440&lt;&gt;"",分析!V440,"")</f>
        <v/>
      </c>
      <c r="V440" s="602">
        <f>IF(分析!W440&lt;&gt;"",分析!W440,"")</f>
        <v/>
      </c>
      <c r="W440" s="152">
        <f>IF(分析!AD440&lt;&gt;"",分析!AD440,"")</f>
        <v/>
      </c>
      <c r="X440" s="153">
        <f>IF(分析!AE440&lt;&gt;"",分析!AE440,"")</f>
        <v/>
      </c>
      <c r="Y440" s="154">
        <f>IF(分析!T440&lt;&gt;"",分析!T440,"")</f>
        <v/>
      </c>
      <c r="Z440" s="155">
        <f>IF(分析!Y440&lt;&gt;"",分析!Y440,"")</f>
        <v/>
      </c>
    </row>
    <row r="441" ht="21.95" customHeight="1" s="574">
      <c r="A441" s="156">
        <f>IF(分析!C441&lt;&gt;"",ROW()-2,"")</f>
        <v/>
      </c>
      <c r="B441" s="157">
        <f>IF(分析!C441&lt;&gt;"",HYPERLINK("https://kabutan.jp/stock/?code="&amp;分析!C441,"株探"),"")</f>
        <v/>
      </c>
      <c r="C441" s="603">
        <f>IF(分析!C441&lt;&gt;"",分析!C441,"")</f>
        <v/>
      </c>
      <c r="D441" s="159">
        <f>IF(分析!D441&lt;&gt;"",分析!D441,"")</f>
        <v/>
      </c>
      <c r="E441" s="160">
        <f>IF(分析!E441&lt;&gt;"",分析!E441,"")</f>
        <v/>
      </c>
      <c r="F441" s="161">
        <f>IF(分析!F441&lt;&gt;"",分析!F441,"")</f>
        <v/>
      </c>
      <c r="G441" s="161">
        <f>IF(分析!H441&lt;&gt;"",分析!H441,"")</f>
        <v/>
      </c>
      <c r="H441" s="161">
        <f>IF(分析!I441&lt;&gt;"",分析!I441,"")</f>
        <v/>
      </c>
      <c r="I441" s="161">
        <f>IF(分析!J441&lt;&gt;"",分析!J441,"")</f>
        <v/>
      </c>
      <c r="J441" s="161">
        <f>IF(分析!AB441&lt;&gt;"",分析!AB441,"")</f>
        <v/>
      </c>
      <c r="K441" s="161">
        <f>IF(分析!AC441&lt;&gt;"",分析!AC441,"")</f>
        <v/>
      </c>
      <c r="L441" s="161">
        <f>IF(分析!K441&lt;&gt;"",分析!K441,"")</f>
        <v/>
      </c>
      <c r="M441" s="156">
        <f>IF(分析!P441&lt;&gt;"",分析!P441,"")</f>
        <v/>
      </c>
      <c r="N441" s="604">
        <f>IF(分析!O441&lt;&gt;"",分析!O441,"")</f>
        <v/>
      </c>
      <c r="O441" s="163">
        <f>IF(分析!X441&lt;&gt;"",分析!X441,"")</f>
        <v/>
      </c>
      <c r="P441" s="605">
        <f>IF(分析!L441&lt;&gt;"",分析!L441,"")</f>
        <v/>
      </c>
      <c r="Q441" s="161">
        <f>IF(分析!S441&lt;&gt;"",分析!S441,"")</f>
        <v/>
      </c>
      <c r="R441" s="161">
        <f>IF(分析!R441&lt;&gt;"",分析!R441,"")</f>
        <v/>
      </c>
      <c r="S441" s="156">
        <f>IF(分析!AA441&lt;&gt;"",分析!AA441,"")</f>
        <v/>
      </c>
      <c r="T441" s="606">
        <f>IF(分析!Z441&lt;&gt;"",分析!Z441,"")</f>
        <v/>
      </c>
      <c r="U441" s="156">
        <f>IF(分析!V441&lt;&gt;"",分析!V441,"")</f>
        <v/>
      </c>
      <c r="V441" s="607">
        <f>IF(分析!W441&lt;&gt;"",分析!W441,"")</f>
        <v/>
      </c>
      <c r="W441" s="167">
        <f>IF(分析!AD441&lt;&gt;"",分析!AD441,"")</f>
        <v/>
      </c>
      <c r="X441" s="168">
        <f>IF(分析!AE441&lt;&gt;"",分析!AE441,"")</f>
        <v/>
      </c>
      <c r="Y441" s="169">
        <f>IF(分析!T441&lt;&gt;"",分析!T441,"")</f>
        <v/>
      </c>
      <c r="Z441" s="155">
        <f>IF(分析!Y441&lt;&gt;"",分析!Y441,"")</f>
        <v/>
      </c>
    </row>
    <row r="442" ht="21.95" customHeight="1" s="574">
      <c r="A442" s="141">
        <f>IF(分析!C442&lt;&gt;"",ROW()-2,"")</f>
        <v/>
      </c>
      <c r="B442" s="142">
        <f>IF(分析!C442&lt;&gt;"",HYPERLINK("https://kabutan.jp/stock/?code="&amp;分析!C442,"株探"),"")</f>
        <v/>
      </c>
      <c r="C442" s="598">
        <f>IF(分析!C442&lt;&gt;"",分析!C442,"")</f>
        <v/>
      </c>
      <c r="D442" s="144">
        <f>IF(分析!D442&lt;&gt;"",分析!D442,"")</f>
        <v/>
      </c>
      <c r="E442" s="145">
        <f>IF(分析!E442&lt;&gt;"",分析!E442,"")</f>
        <v/>
      </c>
      <c r="F442" s="146">
        <f>IF(分析!F442&lt;&gt;"",分析!F442,"")</f>
        <v/>
      </c>
      <c r="G442" s="146">
        <f>IF(分析!H442&lt;&gt;"",分析!H442,"")</f>
        <v/>
      </c>
      <c r="H442" s="146">
        <f>IF(分析!I442&lt;&gt;"",分析!I442,"")</f>
        <v/>
      </c>
      <c r="I442" s="146">
        <f>IF(分析!J442&lt;&gt;"",分析!J442,"")</f>
        <v/>
      </c>
      <c r="J442" s="146">
        <f>IF(分析!AB442&lt;&gt;"",分析!AB442,"")</f>
        <v/>
      </c>
      <c r="K442" s="146">
        <f>IF(分析!AC442&lt;&gt;"",分析!AC442,"")</f>
        <v/>
      </c>
      <c r="L442" s="146">
        <f>IF(分析!K442&lt;&gt;"",分析!K442,"")</f>
        <v/>
      </c>
      <c r="M442" s="141">
        <f>IF(分析!P442&lt;&gt;"",分析!P442,"")</f>
        <v/>
      </c>
      <c r="N442" s="599">
        <f>IF(分析!O442&lt;&gt;"",分析!O442,"")</f>
        <v/>
      </c>
      <c r="O442" s="148">
        <f>IF(分析!X442&lt;&gt;"",分析!X442,"")</f>
        <v/>
      </c>
      <c r="P442" s="600">
        <f>IF(分析!L442&lt;&gt;"",分析!L442,"")</f>
        <v/>
      </c>
      <c r="Q442" s="146">
        <f>IF(分析!S442&lt;&gt;"",分析!S442,"")</f>
        <v/>
      </c>
      <c r="R442" s="146">
        <f>IF(分析!R442&lt;&gt;"",分析!R442,"")</f>
        <v/>
      </c>
      <c r="S442" s="141">
        <f>IF(分析!AA442&lt;&gt;"",分析!AA442,"")</f>
        <v/>
      </c>
      <c r="T442" s="601">
        <f>IF(分析!Z442&lt;&gt;"",分析!Z442,"")</f>
        <v/>
      </c>
      <c r="U442" s="141">
        <f>IF(分析!V442&lt;&gt;"",分析!V442,"")</f>
        <v/>
      </c>
      <c r="V442" s="602">
        <f>IF(分析!W442&lt;&gt;"",分析!W442,"")</f>
        <v/>
      </c>
      <c r="W442" s="152">
        <f>IF(分析!AD442&lt;&gt;"",分析!AD442,"")</f>
        <v/>
      </c>
      <c r="X442" s="153">
        <f>IF(分析!AE442&lt;&gt;"",分析!AE442,"")</f>
        <v/>
      </c>
      <c r="Y442" s="154">
        <f>IF(分析!T442&lt;&gt;"",分析!T442,"")</f>
        <v/>
      </c>
      <c r="Z442" s="155">
        <f>IF(分析!Y442&lt;&gt;"",分析!Y442,"")</f>
        <v/>
      </c>
    </row>
    <row r="443" ht="21.95" customHeight="1" s="574">
      <c r="A443" s="156">
        <f>IF(分析!C443&lt;&gt;"",ROW()-2,"")</f>
        <v/>
      </c>
      <c r="B443" s="157">
        <f>IF(分析!C443&lt;&gt;"",HYPERLINK("https://kabutan.jp/stock/?code="&amp;分析!C443,"株探"),"")</f>
        <v/>
      </c>
      <c r="C443" s="603">
        <f>IF(分析!C443&lt;&gt;"",分析!C443,"")</f>
        <v/>
      </c>
      <c r="D443" s="159">
        <f>IF(分析!D443&lt;&gt;"",分析!D443,"")</f>
        <v/>
      </c>
      <c r="E443" s="160">
        <f>IF(分析!E443&lt;&gt;"",分析!E443,"")</f>
        <v/>
      </c>
      <c r="F443" s="161">
        <f>IF(分析!F443&lt;&gt;"",分析!F443,"")</f>
        <v/>
      </c>
      <c r="G443" s="161">
        <f>IF(分析!H443&lt;&gt;"",分析!H443,"")</f>
        <v/>
      </c>
      <c r="H443" s="161">
        <f>IF(分析!I443&lt;&gt;"",分析!I443,"")</f>
        <v/>
      </c>
      <c r="I443" s="161">
        <f>IF(分析!J443&lt;&gt;"",分析!J443,"")</f>
        <v/>
      </c>
      <c r="J443" s="161">
        <f>IF(分析!AB443&lt;&gt;"",分析!AB443,"")</f>
        <v/>
      </c>
      <c r="K443" s="161">
        <f>IF(分析!AC443&lt;&gt;"",分析!AC443,"")</f>
        <v/>
      </c>
      <c r="L443" s="161">
        <f>IF(分析!K443&lt;&gt;"",分析!K443,"")</f>
        <v/>
      </c>
      <c r="M443" s="156">
        <f>IF(分析!P443&lt;&gt;"",分析!P443,"")</f>
        <v/>
      </c>
      <c r="N443" s="604">
        <f>IF(分析!O443&lt;&gt;"",分析!O443,"")</f>
        <v/>
      </c>
      <c r="O443" s="163">
        <f>IF(分析!X443&lt;&gt;"",分析!X443,"")</f>
        <v/>
      </c>
      <c r="P443" s="605">
        <f>IF(分析!L443&lt;&gt;"",分析!L443,"")</f>
        <v/>
      </c>
      <c r="Q443" s="161">
        <f>IF(分析!S443&lt;&gt;"",分析!S443,"")</f>
        <v/>
      </c>
      <c r="R443" s="161">
        <f>IF(分析!R443&lt;&gt;"",分析!R443,"")</f>
        <v/>
      </c>
      <c r="S443" s="156">
        <f>IF(分析!AA443&lt;&gt;"",分析!AA443,"")</f>
        <v/>
      </c>
      <c r="T443" s="606">
        <f>IF(分析!Z443&lt;&gt;"",分析!Z443,"")</f>
        <v/>
      </c>
      <c r="U443" s="156">
        <f>IF(分析!V443&lt;&gt;"",分析!V443,"")</f>
        <v/>
      </c>
      <c r="V443" s="607">
        <f>IF(分析!W443&lt;&gt;"",分析!W443,"")</f>
        <v/>
      </c>
      <c r="W443" s="167">
        <f>IF(分析!AD443&lt;&gt;"",分析!AD443,"")</f>
        <v/>
      </c>
      <c r="X443" s="168">
        <f>IF(分析!AE443&lt;&gt;"",分析!AE443,"")</f>
        <v/>
      </c>
      <c r="Y443" s="169">
        <f>IF(分析!T443&lt;&gt;"",分析!T443,"")</f>
        <v/>
      </c>
      <c r="Z443" s="155">
        <f>IF(分析!Y443&lt;&gt;"",分析!Y443,"")</f>
        <v/>
      </c>
    </row>
    <row r="444" ht="21.95" customHeight="1" s="574">
      <c r="A444" s="141">
        <f>IF(分析!C444&lt;&gt;"",ROW()-2,"")</f>
        <v/>
      </c>
      <c r="B444" s="142">
        <f>IF(分析!C444&lt;&gt;"",HYPERLINK("https://kabutan.jp/stock/?code="&amp;分析!C444,"株探"),"")</f>
        <v/>
      </c>
      <c r="C444" s="598">
        <f>IF(分析!C444&lt;&gt;"",分析!C444,"")</f>
        <v/>
      </c>
      <c r="D444" s="144">
        <f>IF(分析!D444&lt;&gt;"",分析!D444,"")</f>
        <v/>
      </c>
      <c r="E444" s="145">
        <f>IF(分析!E444&lt;&gt;"",分析!E444,"")</f>
        <v/>
      </c>
      <c r="F444" s="146">
        <f>IF(分析!F444&lt;&gt;"",分析!F444,"")</f>
        <v/>
      </c>
      <c r="G444" s="146">
        <f>IF(分析!H444&lt;&gt;"",分析!H444,"")</f>
        <v/>
      </c>
      <c r="H444" s="146">
        <f>IF(分析!I444&lt;&gt;"",分析!I444,"")</f>
        <v/>
      </c>
      <c r="I444" s="146">
        <f>IF(分析!J444&lt;&gt;"",分析!J444,"")</f>
        <v/>
      </c>
      <c r="J444" s="146">
        <f>IF(分析!AB444&lt;&gt;"",分析!AB444,"")</f>
        <v/>
      </c>
      <c r="K444" s="146">
        <f>IF(分析!AC444&lt;&gt;"",分析!AC444,"")</f>
        <v/>
      </c>
      <c r="L444" s="146">
        <f>IF(分析!K444&lt;&gt;"",分析!K444,"")</f>
        <v/>
      </c>
      <c r="M444" s="141">
        <f>IF(分析!P444&lt;&gt;"",分析!P444,"")</f>
        <v/>
      </c>
      <c r="N444" s="599">
        <f>IF(分析!O444&lt;&gt;"",分析!O444,"")</f>
        <v/>
      </c>
      <c r="O444" s="148">
        <f>IF(分析!X444&lt;&gt;"",分析!X444,"")</f>
        <v/>
      </c>
      <c r="P444" s="600">
        <f>IF(分析!L444&lt;&gt;"",分析!L444,"")</f>
        <v/>
      </c>
      <c r="Q444" s="146">
        <f>IF(分析!S444&lt;&gt;"",分析!S444,"")</f>
        <v/>
      </c>
      <c r="R444" s="146">
        <f>IF(分析!R444&lt;&gt;"",分析!R444,"")</f>
        <v/>
      </c>
      <c r="S444" s="141">
        <f>IF(分析!AA444&lt;&gt;"",分析!AA444,"")</f>
        <v/>
      </c>
      <c r="T444" s="601">
        <f>IF(分析!Z444&lt;&gt;"",分析!Z444,"")</f>
        <v/>
      </c>
      <c r="U444" s="141">
        <f>IF(分析!V444&lt;&gt;"",分析!V444,"")</f>
        <v/>
      </c>
      <c r="V444" s="602">
        <f>IF(分析!W444&lt;&gt;"",分析!W444,"")</f>
        <v/>
      </c>
      <c r="W444" s="152">
        <f>IF(分析!AD444&lt;&gt;"",分析!AD444,"")</f>
        <v/>
      </c>
      <c r="X444" s="153">
        <f>IF(分析!AE444&lt;&gt;"",分析!AE444,"")</f>
        <v/>
      </c>
      <c r="Y444" s="154">
        <f>IF(分析!T444&lt;&gt;"",分析!T444,"")</f>
        <v/>
      </c>
      <c r="Z444" s="155">
        <f>IF(分析!Y444&lt;&gt;"",分析!Y444,"")</f>
        <v/>
      </c>
    </row>
    <row r="445" ht="21.95" customHeight="1" s="574">
      <c r="A445" s="156">
        <f>IF(分析!C445&lt;&gt;"",ROW()-2,"")</f>
        <v/>
      </c>
      <c r="B445" s="157">
        <f>IF(分析!C445&lt;&gt;"",HYPERLINK("https://kabutan.jp/stock/?code="&amp;分析!C445,"株探"),"")</f>
        <v/>
      </c>
      <c r="C445" s="603">
        <f>IF(分析!C445&lt;&gt;"",分析!C445,"")</f>
        <v/>
      </c>
      <c r="D445" s="159">
        <f>IF(分析!D445&lt;&gt;"",分析!D445,"")</f>
        <v/>
      </c>
      <c r="E445" s="160">
        <f>IF(分析!E445&lt;&gt;"",分析!E445,"")</f>
        <v/>
      </c>
      <c r="F445" s="161">
        <f>IF(分析!F445&lt;&gt;"",分析!F445,"")</f>
        <v/>
      </c>
      <c r="G445" s="161">
        <f>IF(分析!H445&lt;&gt;"",分析!H445,"")</f>
        <v/>
      </c>
      <c r="H445" s="161">
        <f>IF(分析!I445&lt;&gt;"",分析!I445,"")</f>
        <v/>
      </c>
      <c r="I445" s="161">
        <f>IF(分析!J445&lt;&gt;"",分析!J445,"")</f>
        <v/>
      </c>
      <c r="J445" s="161">
        <f>IF(分析!AB445&lt;&gt;"",分析!AB445,"")</f>
        <v/>
      </c>
      <c r="K445" s="161">
        <f>IF(分析!AC445&lt;&gt;"",分析!AC445,"")</f>
        <v/>
      </c>
      <c r="L445" s="161">
        <f>IF(分析!K445&lt;&gt;"",分析!K445,"")</f>
        <v/>
      </c>
      <c r="M445" s="156">
        <f>IF(分析!P445&lt;&gt;"",分析!P445,"")</f>
        <v/>
      </c>
      <c r="N445" s="604">
        <f>IF(分析!O445&lt;&gt;"",分析!O445,"")</f>
        <v/>
      </c>
      <c r="O445" s="163">
        <f>IF(分析!X445&lt;&gt;"",分析!X445,"")</f>
        <v/>
      </c>
      <c r="P445" s="605">
        <f>IF(分析!L445&lt;&gt;"",分析!L445,"")</f>
        <v/>
      </c>
      <c r="Q445" s="161">
        <f>IF(分析!S445&lt;&gt;"",分析!S445,"")</f>
        <v/>
      </c>
      <c r="R445" s="161">
        <f>IF(分析!R445&lt;&gt;"",分析!R445,"")</f>
        <v/>
      </c>
      <c r="S445" s="156">
        <f>IF(分析!AA445&lt;&gt;"",分析!AA445,"")</f>
        <v/>
      </c>
      <c r="T445" s="606">
        <f>IF(分析!Z445&lt;&gt;"",分析!Z445,"")</f>
        <v/>
      </c>
      <c r="U445" s="156">
        <f>IF(分析!V445&lt;&gt;"",分析!V445,"")</f>
        <v/>
      </c>
      <c r="V445" s="607">
        <f>IF(分析!W445&lt;&gt;"",分析!W445,"")</f>
        <v/>
      </c>
      <c r="W445" s="167">
        <f>IF(分析!AD445&lt;&gt;"",分析!AD445,"")</f>
        <v/>
      </c>
      <c r="X445" s="168">
        <f>IF(分析!AE445&lt;&gt;"",分析!AE445,"")</f>
        <v/>
      </c>
      <c r="Y445" s="169">
        <f>IF(分析!T445&lt;&gt;"",分析!T445,"")</f>
        <v/>
      </c>
      <c r="Z445" s="155">
        <f>IF(分析!Y445&lt;&gt;"",分析!Y445,"")</f>
        <v/>
      </c>
    </row>
    <row r="446" ht="21.95" customHeight="1" s="574">
      <c r="A446" s="141">
        <f>IF(分析!C446&lt;&gt;"",ROW()-2,"")</f>
        <v/>
      </c>
      <c r="B446" s="142">
        <f>IF(分析!C446&lt;&gt;"",HYPERLINK("https://kabutan.jp/stock/?code="&amp;分析!C446,"株探"),"")</f>
        <v/>
      </c>
      <c r="C446" s="598">
        <f>IF(分析!C446&lt;&gt;"",分析!C446,"")</f>
        <v/>
      </c>
      <c r="D446" s="144">
        <f>IF(分析!D446&lt;&gt;"",分析!D446,"")</f>
        <v/>
      </c>
      <c r="E446" s="145">
        <f>IF(分析!E446&lt;&gt;"",分析!E446,"")</f>
        <v/>
      </c>
      <c r="F446" s="146">
        <f>IF(分析!F446&lt;&gt;"",分析!F446,"")</f>
        <v/>
      </c>
      <c r="G446" s="146">
        <f>IF(分析!H446&lt;&gt;"",分析!H446,"")</f>
        <v/>
      </c>
      <c r="H446" s="146">
        <f>IF(分析!I446&lt;&gt;"",分析!I446,"")</f>
        <v/>
      </c>
      <c r="I446" s="146">
        <f>IF(分析!J446&lt;&gt;"",分析!J446,"")</f>
        <v/>
      </c>
      <c r="J446" s="146">
        <f>IF(分析!AB446&lt;&gt;"",分析!AB446,"")</f>
        <v/>
      </c>
      <c r="K446" s="146">
        <f>IF(分析!AC446&lt;&gt;"",分析!AC446,"")</f>
        <v/>
      </c>
      <c r="L446" s="146">
        <f>IF(分析!K446&lt;&gt;"",分析!K446,"")</f>
        <v/>
      </c>
      <c r="M446" s="141">
        <f>IF(分析!P446&lt;&gt;"",分析!P446,"")</f>
        <v/>
      </c>
      <c r="N446" s="599">
        <f>IF(分析!O446&lt;&gt;"",分析!O446,"")</f>
        <v/>
      </c>
      <c r="O446" s="148">
        <f>IF(分析!X446&lt;&gt;"",分析!X446,"")</f>
        <v/>
      </c>
      <c r="P446" s="600">
        <f>IF(分析!L446&lt;&gt;"",分析!L446,"")</f>
        <v/>
      </c>
      <c r="Q446" s="146">
        <f>IF(分析!S446&lt;&gt;"",分析!S446,"")</f>
        <v/>
      </c>
      <c r="R446" s="146">
        <f>IF(分析!R446&lt;&gt;"",分析!R446,"")</f>
        <v/>
      </c>
      <c r="S446" s="141">
        <f>IF(分析!AA446&lt;&gt;"",分析!AA446,"")</f>
        <v/>
      </c>
      <c r="T446" s="601">
        <f>IF(分析!Z446&lt;&gt;"",分析!Z446,"")</f>
        <v/>
      </c>
      <c r="U446" s="141">
        <f>IF(分析!V446&lt;&gt;"",分析!V446,"")</f>
        <v/>
      </c>
      <c r="V446" s="602">
        <f>IF(分析!W446&lt;&gt;"",分析!W446,"")</f>
        <v/>
      </c>
      <c r="W446" s="152">
        <f>IF(分析!AD446&lt;&gt;"",分析!AD446,"")</f>
        <v/>
      </c>
      <c r="X446" s="153">
        <f>IF(分析!AE446&lt;&gt;"",分析!AE446,"")</f>
        <v/>
      </c>
      <c r="Y446" s="154">
        <f>IF(分析!T446&lt;&gt;"",分析!T446,"")</f>
        <v/>
      </c>
      <c r="Z446" s="155">
        <f>IF(分析!Y446&lt;&gt;"",分析!Y446,"")</f>
        <v/>
      </c>
    </row>
    <row r="447" ht="21.95" customHeight="1" s="574">
      <c r="A447" s="156">
        <f>IF(分析!C447&lt;&gt;"",ROW()-2,"")</f>
        <v/>
      </c>
      <c r="B447" s="157">
        <f>IF(分析!C447&lt;&gt;"",HYPERLINK("https://kabutan.jp/stock/?code="&amp;分析!C447,"株探"),"")</f>
        <v/>
      </c>
      <c r="C447" s="603">
        <f>IF(分析!C447&lt;&gt;"",分析!C447,"")</f>
        <v/>
      </c>
      <c r="D447" s="159">
        <f>IF(分析!D447&lt;&gt;"",分析!D447,"")</f>
        <v/>
      </c>
      <c r="E447" s="160">
        <f>IF(分析!E447&lt;&gt;"",分析!E447,"")</f>
        <v/>
      </c>
      <c r="F447" s="161">
        <f>IF(分析!F447&lt;&gt;"",分析!F447,"")</f>
        <v/>
      </c>
      <c r="G447" s="161">
        <f>IF(分析!H447&lt;&gt;"",分析!H447,"")</f>
        <v/>
      </c>
      <c r="H447" s="161">
        <f>IF(分析!I447&lt;&gt;"",分析!I447,"")</f>
        <v/>
      </c>
      <c r="I447" s="161">
        <f>IF(分析!J447&lt;&gt;"",分析!J447,"")</f>
        <v/>
      </c>
      <c r="J447" s="161">
        <f>IF(分析!AB447&lt;&gt;"",分析!AB447,"")</f>
        <v/>
      </c>
      <c r="K447" s="161">
        <f>IF(分析!AC447&lt;&gt;"",分析!AC447,"")</f>
        <v/>
      </c>
      <c r="L447" s="161">
        <f>IF(分析!K447&lt;&gt;"",分析!K447,"")</f>
        <v/>
      </c>
      <c r="M447" s="156">
        <f>IF(分析!P447&lt;&gt;"",分析!P447,"")</f>
        <v/>
      </c>
      <c r="N447" s="604">
        <f>IF(分析!O447&lt;&gt;"",分析!O447,"")</f>
        <v/>
      </c>
      <c r="O447" s="163">
        <f>IF(分析!X447&lt;&gt;"",分析!X447,"")</f>
        <v/>
      </c>
      <c r="P447" s="605">
        <f>IF(分析!L447&lt;&gt;"",分析!L447,"")</f>
        <v/>
      </c>
      <c r="Q447" s="161">
        <f>IF(分析!S447&lt;&gt;"",分析!S447,"")</f>
        <v/>
      </c>
      <c r="R447" s="161">
        <f>IF(分析!R447&lt;&gt;"",分析!R447,"")</f>
        <v/>
      </c>
      <c r="S447" s="156">
        <f>IF(分析!AA447&lt;&gt;"",分析!AA447,"")</f>
        <v/>
      </c>
      <c r="T447" s="606">
        <f>IF(分析!Z447&lt;&gt;"",分析!Z447,"")</f>
        <v/>
      </c>
      <c r="U447" s="156">
        <f>IF(分析!V447&lt;&gt;"",分析!V447,"")</f>
        <v/>
      </c>
      <c r="V447" s="607">
        <f>IF(分析!W447&lt;&gt;"",分析!W447,"")</f>
        <v/>
      </c>
      <c r="W447" s="167">
        <f>IF(分析!AD447&lt;&gt;"",分析!AD447,"")</f>
        <v/>
      </c>
      <c r="X447" s="168">
        <f>IF(分析!AE447&lt;&gt;"",分析!AE447,"")</f>
        <v/>
      </c>
      <c r="Y447" s="169">
        <f>IF(分析!T447&lt;&gt;"",分析!T447,"")</f>
        <v/>
      </c>
      <c r="Z447" s="155">
        <f>IF(分析!Y447&lt;&gt;"",分析!Y447,"")</f>
        <v/>
      </c>
    </row>
    <row r="448" ht="21.95" customHeight="1" s="574">
      <c r="A448" s="141">
        <f>IF(分析!C448&lt;&gt;"",ROW()-2,"")</f>
        <v/>
      </c>
      <c r="B448" s="142">
        <f>IF(分析!C448&lt;&gt;"",HYPERLINK("https://kabutan.jp/stock/?code="&amp;分析!C448,"株探"),"")</f>
        <v/>
      </c>
      <c r="C448" s="598">
        <f>IF(分析!C448&lt;&gt;"",分析!C448,"")</f>
        <v/>
      </c>
      <c r="D448" s="144">
        <f>IF(分析!D448&lt;&gt;"",分析!D448,"")</f>
        <v/>
      </c>
      <c r="E448" s="145">
        <f>IF(分析!E448&lt;&gt;"",分析!E448,"")</f>
        <v/>
      </c>
      <c r="F448" s="146">
        <f>IF(分析!F448&lt;&gt;"",分析!F448,"")</f>
        <v/>
      </c>
      <c r="G448" s="146">
        <f>IF(分析!H448&lt;&gt;"",分析!H448,"")</f>
        <v/>
      </c>
      <c r="H448" s="146">
        <f>IF(分析!I448&lt;&gt;"",分析!I448,"")</f>
        <v/>
      </c>
      <c r="I448" s="146">
        <f>IF(分析!J448&lt;&gt;"",分析!J448,"")</f>
        <v/>
      </c>
      <c r="J448" s="146">
        <f>IF(分析!AB448&lt;&gt;"",分析!AB448,"")</f>
        <v/>
      </c>
      <c r="K448" s="146">
        <f>IF(分析!AC448&lt;&gt;"",分析!AC448,"")</f>
        <v/>
      </c>
      <c r="L448" s="146">
        <f>IF(分析!K448&lt;&gt;"",分析!K448,"")</f>
        <v/>
      </c>
      <c r="M448" s="141">
        <f>IF(分析!P448&lt;&gt;"",分析!P448,"")</f>
        <v/>
      </c>
      <c r="N448" s="599">
        <f>IF(分析!O448&lt;&gt;"",分析!O448,"")</f>
        <v/>
      </c>
      <c r="O448" s="148">
        <f>IF(分析!X448&lt;&gt;"",分析!X448,"")</f>
        <v/>
      </c>
      <c r="P448" s="600">
        <f>IF(分析!L448&lt;&gt;"",分析!L448,"")</f>
        <v/>
      </c>
      <c r="Q448" s="146">
        <f>IF(分析!S448&lt;&gt;"",分析!S448,"")</f>
        <v/>
      </c>
      <c r="R448" s="146">
        <f>IF(分析!R448&lt;&gt;"",分析!R448,"")</f>
        <v/>
      </c>
      <c r="S448" s="141">
        <f>IF(分析!AA448&lt;&gt;"",分析!AA448,"")</f>
        <v/>
      </c>
      <c r="T448" s="601">
        <f>IF(分析!Z448&lt;&gt;"",分析!Z448,"")</f>
        <v/>
      </c>
      <c r="U448" s="141">
        <f>IF(分析!V448&lt;&gt;"",分析!V448,"")</f>
        <v/>
      </c>
      <c r="V448" s="602">
        <f>IF(分析!W448&lt;&gt;"",分析!W448,"")</f>
        <v/>
      </c>
      <c r="W448" s="152">
        <f>IF(分析!AD448&lt;&gt;"",分析!AD448,"")</f>
        <v/>
      </c>
      <c r="X448" s="153">
        <f>IF(分析!AE448&lt;&gt;"",分析!AE448,"")</f>
        <v/>
      </c>
      <c r="Y448" s="154">
        <f>IF(分析!T448&lt;&gt;"",分析!T448,"")</f>
        <v/>
      </c>
      <c r="Z448" s="155">
        <f>IF(分析!Y448&lt;&gt;"",分析!Y448,"")</f>
        <v/>
      </c>
    </row>
    <row r="449" ht="21.95" customHeight="1" s="574">
      <c r="A449" s="156">
        <f>IF(分析!C449&lt;&gt;"",ROW()-2,"")</f>
        <v/>
      </c>
      <c r="B449" s="157">
        <f>IF(分析!C449&lt;&gt;"",HYPERLINK("https://kabutan.jp/stock/?code="&amp;分析!C449,"株探"),"")</f>
        <v/>
      </c>
      <c r="C449" s="603">
        <f>IF(分析!C449&lt;&gt;"",分析!C449,"")</f>
        <v/>
      </c>
      <c r="D449" s="159">
        <f>IF(分析!D449&lt;&gt;"",分析!D449,"")</f>
        <v/>
      </c>
      <c r="E449" s="160">
        <f>IF(分析!E449&lt;&gt;"",分析!E449,"")</f>
        <v/>
      </c>
      <c r="F449" s="161">
        <f>IF(分析!F449&lt;&gt;"",分析!F449,"")</f>
        <v/>
      </c>
      <c r="G449" s="161">
        <f>IF(分析!H449&lt;&gt;"",分析!H449,"")</f>
        <v/>
      </c>
      <c r="H449" s="161">
        <f>IF(分析!I449&lt;&gt;"",分析!I449,"")</f>
        <v/>
      </c>
      <c r="I449" s="161">
        <f>IF(分析!J449&lt;&gt;"",分析!J449,"")</f>
        <v/>
      </c>
      <c r="J449" s="161">
        <f>IF(分析!AB449&lt;&gt;"",分析!AB449,"")</f>
        <v/>
      </c>
      <c r="K449" s="161">
        <f>IF(分析!AC449&lt;&gt;"",分析!AC449,"")</f>
        <v/>
      </c>
      <c r="L449" s="161">
        <f>IF(分析!K449&lt;&gt;"",分析!K449,"")</f>
        <v/>
      </c>
      <c r="M449" s="156">
        <f>IF(分析!P449&lt;&gt;"",分析!P449,"")</f>
        <v/>
      </c>
      <c r="N449" s="604">
        <f>IF(分析!O449&lt;&gt;"",分析!O449,"")</f>
        <v/>
      </c>
      <c r="O449" s="163">
        <f>IF(分析!X449&lt;&gt;"",分析!X449,"")</f>
        <v/>
      </c>
      <c r="P449" s="605">
        <f>IF(分析!L449&lt;&gt;"",分析!L449,"")</f>
        <v/>
      </c>
      <c r="Q449" s="161">
        <f>IF(分析!S449&lt;&gt;"",分析!S449,"")</f>
        <v/>
      </c>
      <c r="R449" s="161">
        <f>IF(分析!R449&lt;&gt;"",分析!R449,"")</f>
        <v/>
      </c>
      <c r="S449" s="156">
        <f>IF(分析!AA449&lt;&gt;"",分析!AA449,"")</f>
        <v/>
      </c>
      <c r="T449" s="606">
        <f>IF(分析!Z449&lt;&gt;"",分析!Z449,"")</f>
        <v/>
      </c>
      <c r="U449" s="156">
        <f>IF(分析!V449&lt;&gt;"",分析!V449,"")</f>
        <v/>
      </c>
      <c r="V449" s="607">
        <f>IF(分析!W449&lt;&gt;"",分析!W449,"")</f>
        <v/>
      </c>
      <c r="W449" s="167">
        <f>IF(分析!AD449&lt;&gt;"",分析!AD449,"")</f>
        <v/>
      </c>
      <c r="X449" s="168">
        <f>IF(分析!AE449&lt;&gt;"",分析!AE449,"")</f>
        <v/>
      </c>
      <c r="Y449" s="169">
        <f>IF(分析!T449&lt;&gt;"",分析!T449,"")</f>
        <v/>
      </c>
      <c r="Z449" s="155">
        <f>IF(分析!Y449&lt;&gt;"",分析!Y449,"")</f>
        <v/>
      </c>
    </row>
    <row r="450" ht="21.95" customHeight="1" s="574">
      <c r="A450" s="141">
        <f>IF(分析!C450&lt;&gt;"",ROW()-2,"")</f>
        <v/>
      </c>
      <c r="B450" s="142">
        <f>IF(分析!C450&lt;&gt;"",HYPERLINK("https://kabutan.jp/stock/?code="&amp;分析!C450,"株探"),"")</f>
        <v/>
      </c>
      <c r="C450" s="598">
        <f>IF(分析!C450&lt;&gt;"",分析!C450,"")</f>
        <v/>
      </c>
      <c r="D450" s="144">
        <f>IF(分析!D450&lt;&gt;"",分析!D450,"")</f>
        <v/>
      </c>
      <c r="E450" s="145">
        <f>IF(分析!E450&lt;&gt;"",分析!E450,"")</f>
        <v/>
      </c>
      <c r="F450" s="146">
        <f>IF(分析!F450&lt;&gt;"",分析!F450,"")</f>
        <v/>
      </c>
      <c r="G450" s="146">
        <f>IF(分析!H450&lt;&gt;"",分析!H450,"")</f>
        <v/>
      </c>
      <c r="H450" s="146">
        <f>IF(分析!I450&lt;&gt;"",分析!I450,"")</f>
        <v/>
      </c>
      <c r="I450" s="146">
        <f>IF(分析!J450&lt;&gt;"",分析!J450,"")</f>
        <v/>
      </c>
      <c r="J450" s="146">
        <f>IF(分析!AB450&lt;&gt;"",分析!AB450,"")</f>
        <v/>
      </c>
      <c r="K450" s="146">
        <f>IF(分析!AC450&lt;&gt;"",分析!AC450,"")</f>
        <v/>
      </c>
      <c r="L450" s="146">
        <f>IF(分析!K450&lt;&gt;"",分析!K450,"")</f>
        <v/>
      </c>
      <c r="M450" s="141">
        <f>IF(分析!P450&lt;&gt;"",分析!P450,"")</f>
        <v/>
      </c>
      <c r="N450" s="599">
        <f>IF(分析!O450&lt;&gt;"",分析!O450,"")</f>
        <v/>
      </c>
      <c r="O450" s="148">
        <f>IF(分析!X450&lt;&gt;"",分析!X450,"")</f>
        <v/>
      </c>
      <c r="P450" s="600">
        <f>IF(分析!L450&lt;&gt;"",分析!L450,"")</f>
        <v/>
      </c>
      <c r="Q450" s="146">
        <f>IF(分析!S450&lt;&gt;"",分析!S450,"")</f>
        <v/>
      </c>
      <c r="R450" s="146">
        <f>IF(分析!R450&lt;&gt;"",分析!R450,"")</f>
        <v/>
      </c>
      <c r="S450" s="141">
        <f>IF(分析!AA450&lt;&gt;"",分析!AA450,"")</f>
        <v/>
      </c>
      <c r="T450" s="601">
        <f>IF(分析!Z450&lt;&gt;"",分析!Z450,"")</f>
        <v/>
      </c>
      <c r="U450" s="141">
        <f>IF(分析!V450&lt;&gt;"",分析!V450,"")</f>
        <v/>
      </c>
      <c r="V450" s="602">
        <f>IF(分析!W450&lt;&gt;"",分析!W450,"")</f>
        <v/>
      </c>
      <c r="W450" s="152">
        <f>IF(分析!AD450&lt;&gt;"",分析!AD450,"")</f>
        <v/>
      </c>
      <c r="X450" s="153">
        <f>IF(分析!AE450&lt;&gt;"",分析!AE450,"")</f>
        <v/>
      </c>
      <c r="Y450" s="154">
        <f>IF(分析!T450&lt;&gt;"",分析!T450,"")</f>
        <v/>
      </c>
      <c r="Z450" s="155">
        <f>IF(分析!Y450&lt;&gt;"",分析!Y450,"")</f>
        <v/>
      </c>
    </row>
    <row r="451" ht="21.95" customHeight="1" s="574">
      <c r="A451" s="156">
        <f>IF(分析!C451&lt;&gt;"",ROW()-2,"")</f>
        <v/>
      </c>
      <c r="B451" s="157">
        <f>IF(分析!C451&lt;&gt;"",HYPERLINK("https://kabutan.jp/stock/?code="&amp;分析!C451,"株探"),"")</f>
        <v/>
      </c>
      <c r="C451" s="603">
        <f>IF(分析!C451&lt;&gt;"",分析!C451,"")</f>
        <v/>
      </c>
      <c r="D451" s="159">
        <f>IF(分析!D451&lt;&gt;"",分析!D451,"")</f>
        <v/>
      </c>
      <c r="E451" s="160">
        <f>IF(分析!E451&lt;&gt;"",分析!E451,"")</f>
        <v/>
      </c>
      <c r="F451" s="161">
        <f>IF(分析!F451&lt;&gt;"",分析!F451,"")</f>
        <v/>
      </c>
      <c r="G451" s="161">
        <f>IF(分析!H451&lt;&gt;"",分析!H451,"")</f>
        <v/>
      </c>
      <c r="H451" s="161">
        <f>IF(分析!I451&lt;&gt;"",分析!I451,"")</f>
        <v/>
      </c>
      <c r="I451" s="161">
        <f>IF(分析!J451&lt;&gt;"",分析!J451,"")</f>
        <v/>
      </c>
      <c r="J451" s="161">
        <f>IF(分析!AB451&lt;&gt;"",分析!AB451,"")</f>
        <v/>
      </c>
      <c r="K451" s="161">
        <f>IF(分析!AC451&lt;&gt;"",分析!AC451,"")</f>
        <v/>
      </c>
      <c r="L451" s="161">
        <f>IF(分析!K451&lt;&gt;"",分析!K451,"")</f>
        <v/>
      </c>
      <c r="M451" s="156">
        <f>IF(分析!P451&lt;&gt;"",分析!P451,"")</f>
        <v/>
      </c>
      <c r="N451" s="604">
        <f>IF(分析!O451&lt;&gt;"",分析!O451,"")</f>
        <v/>
      </c>
      <c r="O451" s="163">
        <f>IF(分析!X451&lt;&gt;"",分析!X451,"")</f>
        <v/>
      </c>
      <c r="P451" s="605">
        <f>IF(分析!L451&lt;&gt;"",分析!L451,"")</f>
        <v/>
      </c>
      <c r="Q451" s="161">
        <f>IF(分析!S451&lt;&gt;"",分析!S451,"")</f>
        <v/>
      </c>
      <c r="R451" s="161">
        <f>IF(分析!R451&lt;&gt;"",分析!R451,"")</f>
        <v/>
      </c>
      <c r="S451" s="156">
        <f>IF(分析!AA451&lt;&gt;"",分析!AA451,"")</f>
        <v/>
      </c>
      <c r="T451" s="606">
        <f>IF(分析!Z451&lt;&gt;"",分析!Z451,"")</f>
        <v/>
      </c>
      <c r="U451" s="156">
        <f>IF(分析!V451&lt;&gt;"",分析!V451,"")</f>
        <v/>
      </c>
      <c r="V451" s="607">
        <f>IF(分析!W451&lt;&gt;"",分析!W451,"")</f>
        <v/>
      </c>
      <c r="W451" s="167">
        <f>IF(分析!AD451&lt;&gt;"",分析!AD451,"")</f>
        <v/>
      </c>
      <c r="X451" s="168">
        <f>IF(分析!AE451&lt;&gt;"",分析!AE451,"")</f>
        <v/>
      </c>
      <c r="Y451" s="169">
        <f>IF(分析!T451&lt;&gt;"",分析!T451,"")</f>
        <v/>
      </c>
      <c r="Z451" s="155">
        <f>IF(分析!Y451&lt;&gt;"",分析!Y451,"")</f>
        <v/>
      </c>
    </row>
    <row r="452" ht="21.95" customHeight="1" s="574">
      <c r="A452" s="141">
        <f>IF(分析!C452&lt;&gt;"",ROW()-2,"")</f>
        <v/>
      </c>
      <c r="B452" s="142">
        <f>IF(分析!C452&lt;&gt;"",HYPERLINK("https://kabutan.jp/stock/?code="&amp;分析!C452,"株探"),"")</f>
        <v/>
      </c>
      <c r="C452" s="598">
        <f>IF(分析!C452&lt;&gt;"",分析!C452,"")</f>
        <v/>
      </c>
      <c r="D452" s="144">
        <f>IF(分析!D452&lt;&gt;"",分析!D452,"")</f>
        <v/>
      </c>
      <c r="E452" s="145">
        <f>IF(分析!E452&lt;&gt;"",分析!E452,"")</f>
        <v/>
      </c>
      <c r="F452" s="146">
        <f>IF(分析!F452&lt;&gt;"",分析!F452,"")</f>
        <v/>
      </c>
      <c r="G452" s="146">
        <f>IF(分析!H452&lt;&gt;"",分析!H452,"")</f>
        <v/>
      </c>
      <c r="H452" s="146">
        <f>IF(分析!I452&lt;&gt;"",分析!I452,"")</f>
        <v/>
      </c>
      <c r="I452" s="146">
        <f>IF(分析!J452&lt;&gt;"",分析!J452,"")</f>
        <v/>
      </c>
      <c r="J452" s="146">
        <f>IF(分析!AB452&lt;&gt;"",分析!AB452,"")</f>
        <v/>
      </c>
      <c r="K452" s="146">
        <f>IF(分析!AC452&lt;&gt;"",分析!AC452,"")</f>
        <v/>
      </c>
      <c r="L452" s="146">
        <f>IF(分析!K452&lt;&gt;"",分析!K452,"")</f>
        <v/>
      </c>
      <c r="M452" s="141">
        <f>IF(分析!P452&lt;&gt;"",分析!P452,"")</f>
        <v/>
      </c>
      <c r="N452" s="599">
        <f>IF(分析!O452&lt;&gt;"",分析!O452,"")</f>
        <v/>
      </c>
      <c r="O452" s="148">
        <f>IF(分析!X452&lt;&gt;"",分析!X452,"")</f>
        <v/>
      </c>
      <c r="P452" s="600">
        <f>IF(分析!L452&lt;&gt;"",分析!L452,"")</f>
        <v/>
      </c>
      <c r="Q452" s="146">
        <f>IF(分析!S452&lt;&gt;"",分析!S452,"")</f>
        <v/>
      </c>
      <c r="R452" s="146">
        <f>IF(分析!R452&lt;&gt;"",分析!R452,"")</f>
        <v/>
      </c>
      <c r="S452" s="141">
        <f>IF(分析!AA452&lt;&gt;"",分析!AA452,"")</f>
        <v/>
      </c>
      <c r="T452" s="601">
        <f>IF(分析!Z452&lt;&gt;"",分析!Z452,"")</f>
        <v/>
      </c>
      <c r="U452" s="141">
        <f>IF(分析!V452&lt;&gt;"",分析!V452,"")</f>
        <v/>
      </c>
      <c r="V452" s="602">
        <f>IF(分析!W452&lt;&gt;"",分析!W452,"")</f>
        <v/>
      </c>
      <c r="W452" s="152">
        <f>IF(分析!AD452&lt;&gt;"",分析!AD452,"")</f>
        <v/>
      </c>
      <c r="X452" s="153">
        <f>IF(分析!AE452&lt;&gt;"",分析!AE452,"")</f>
        <v/>
      </c>
      <c r="Y452" s="154">
        <f>IF(分析!T452&lt;&gt;"",分析!T452,"")</f>
        <v/>
      </c>
      <c r="Z452" s="155">
        <f>IF(分析!Y452&lt;&gt;"",分析!Y452,"")</f>
        <v/>
      </c>
    </row>
    <row r="453" ht="21.95" customHeight="1" s="574">
      <c r="A453" s="156">
        <f>IF(分析!C453&lt;&gt;"",ROW()-2,"")</f>
        <v/>
      </c>
      <c r="B453" s="157">
        <f>IF(分析!C453&lt;&gt;"",HYPERLINK("https://kabutan.jp/stock/?code="&amp;分析!C453,"株探"),"")</f>
        <v/>
      </c>
      <c r="C453" s="603">
        <f>IF(分析!C453&lt;&gt;"",分析!C453,"")</f>
        <v/>
      </c>
      <c r="D453" s="159">
        <f>IF(分析!D453&lt;&gt;"",分析!D453,"")</f>
        <v/>
      </c>
      <c r="E453" s="160">
        <f>IF(分析!E453&lt;&gt;"",分析!E453,"")</f>
        <v/>
      </c>
      <c r="F453" s="161">
        <f>IF(分析!F453&lt;&gt;"",分析!F453,"")</f>
        <v/>
      </c>
      <c r="G453" s="161">
        <f>IF(分析!H453&lt;&gt;"",分析!H453,"")</f>
        <v/>
      </c>
      <c r="H453" s="161">
        <f>IF(分析!I453&lt;&gt;"",分析!I453,"")</f>
        <v/>
      </c>
      <c r="I453" s="161">
        <f>IF(分析!J453&lt;&gt;"",分析!J453,"")</f>
        <v/>
      </c>
      <c r="J453" s="161">
        <f>IF(分析!AB453&lt;&gt;"",分析!AB453,"")</f>
        <v/>
      </c>
      <c r="K453" s="161">
        <f>IF(分析!AC453&lt;&gt;"",分析!AC453,"")</f>
        <v/>
      </c>
      <c r="L453" s="161">
        <f>IF(分析!K453&lt;&gt;"",分析!K453,"")</f>
        <v/>
      </c>
      <c r="M453" s="156">
        <f>IF(分析!P453&lt;&gt;"",分析!P453,"")</f>
        <v/>
      </c>
      <c r="N453" s="604">
        <f>IF(分析!O453&lt;&gt;"",分析!O453,"")</f>
        <v/>
      </c>
      <c r="O453" s="163">
        <f>IF(分析!X453&lt;&gt;"",分析!X453,"")</f>
        <v/>
      </c>
      <c r="P453" s="605">
        <f>IF(分析!L453&lt;&gt;"",分析!L453,"")</f>
        <v/>
      </c>
      <c r="Q453" s="161">
        <f>IF(分析!S453&lt;&gt;"",分析!S453,"")</f>
        <v/>
      </c>
      <c r="R453" s="161">
        <f>IF(分析!R453&lt;&gt;"",分析!R453,"")</f>
        <v/>
      </c>
      <c r="S453" s="156">
        <f>IF(分析!AA453&lt;&gt;"",分析!AA453,"")</f>
        <v/>
      </c>
      <c r="T453" s="606">
        <f>IF(分析!Z453&lt;&gt;"",分析!Z453,"")</f>
        <v/>
      </c>
      <c r="U453" s="156">
        <f>IF(分析!V453&lt;&gt;"",分析!V453,"")</f>
        <v/>
      </c>
      <c r="V453" s="607">
        <f>IF(分析!W453&lt;&gt;"",分析!W453,"")</f>
        <v/>
      </c>
      <c r="W453" s="167">
        <f>IF(分析!AD453&lt;&gt;"",分析!AD453,"")</f>
        <v/>
      </c>
      <c r="X453" s="168">
        <f>IF(分析!AE453&lt;&gt;"",分析!AE453,"")</f>
        <v/>
      </c>
      <c r="Y453" s="169">
        <f>IF(分析!T453&lt;&gt;"",分析!T453,"")</f>
        <v/>
      </c>
      <c r="Z453" s="155">
        <f>IF(分析!Y453&lt;&gt;"",分析!Y453,"")</f>
        <v/>
      </c>
    </row>
    <row r="454" ht="21.95" customHeight="1" s="574">
      <c r="A454" s="141">
        <f>IF(分析!C454&lt;&gt;"",ROW()-2,"")</f>
        <v/>
      </c>
      <c r="B454" s="142">
        <f>IF(分析!C454&lt;&gt;"",HYPERLINK("https://kabutan.jp/stock/?code="&amp;分析!C454,"株探"),"")</f>
        <v/>
      </c>
      <c r="C454" s="598">
        <f>IF(分析!C454&lt;&gt;"",分析!C454,"")</f>
        <v/>
      </c>
      <c r="D454" s="144">
        <f>IF(分析!D454&lt;&gt;"",分析!D454,"")</f>
        <v/>
      </c>
      <c r="E454" s="145">
        <f>IF(分析!E454&lt;&gt;"",分析!E454,"")</f>
        <v/>
      </c>
      <c r="F454" s="146">
        <f>IF(分析!F454&lt;&gt;"",分析!F454,"")</f>
        <v/>
      </c>
      <c r="G454" s="146">
        <f>IF(分析!H454&lt;&gt;"",分析!H454,"")</f>
        <v/>
      </c>
      <c r="H454" s="146">
        <f>IF(分析!I454&lt;&gt;"",分析!I454,"")</f>
        <v/>
      </c>
      <c r="I454" s="146">
        <f>IF(分析!J454&lt;&gt;"",分析!J454,"")</f>
        <v/>
      </c>
      <c r="J454" s="146">
        <f>IF(分析!AB454&lt;&gt;"",分析!AB454,"")</f>
        <v/>
      </c>
      <c r="K454" s="146">
        <f>IF(分析!AC454&lt;&gt;"",分析!AC454,"")</f>
        <v/>
      </c>
      <c r="L454" s="146">
        <f>IF(分析!K454&lt;&gt;"",分析!K454,"")</f>
        <v/>
      </c>
      <c r="M454" s="141">
        <f>IF(分析!P454&lt;&gt;"",分析!P454,"")</f>
        <v/>
      </c>
      <c r="N454" s="599">
        <f>IF(分析!O454&lt;&gt;"",分析!O454,"")</f>
        <v/>
      </c>
      <c r="O454" s="148">
        <f>IF(分析!X454&lt;&gt;"",分析!X454,"")</f>
        <v/>
      </c>
      <c r="P454" s="600">
        <f>IF(分析!L454&lt;&gt;"",分析!L454,"")</f>
        <v/>
      </c>
      <c r="Q454" s="146">
        <f>IF(分析!S454&lt;&gt;"",分析!S454,"")</f>
        <v/>
      </c>
      <c r="R454" s="146">
        <f>IF(分析!R454&lt;&gt;"",分析!R454,"")</f>
        <v/>
      </c>
      <c r="S454" s="141">
        <f>IF(分析!AA454&lt;&gt;"",分析!AA454,"")</f>
        <v/>
      </c>
      <c r="T454" s="601">
        <f>IF(分析!Z454&lt;&gt;"",分析!Z454,"")</f>
        <v/>
      </c>
      <c r="U454" s="141">
        <f>IF(分析!V454&lt;&gt;"",分析!V454,"")</f>
        <v/>
      </c>
      <c r="V454" s="602">
        <f>IF(分析!W454&lt;&gt;"",分析!W454,"")</f>
        <v/>
      </c>
      <c r="W454" s="152">
        <f>IF(分析!AD454&lt;&gt;"",分析!AD454,"")</f>
        <v/>
      </c>
      <c r="X454" s="153">
        <f>IF(分析!AE454&lt;&gt;"",分析!AE454,"")</f>
        <v/>
      </c>
      <c r="Y454" s="154">
        <f>IF(分析!T454&lt;&gt;"",分析!T454,"")</f>
        <v/>
      </c>
      <c r="Z454" s="155">
        <f>IF(分析!Y454&lt;&gt;"",分析!Y454,"")</f>
        <v/>
      </c>
    </row>
    <row r="455" ht="21.95" customHeight="1" s="574">
      <c r="A455" s="156">
        <f>IF(分析!C455&lt;&gt;"",ROW()-2,"")</f>
        <v/>
      </c>
      <c r="B455" s="157">
        <f>IF(分析!C455&lt;&gt;"",HYPERLINK("https://kabutan.jp/stock/?code="&amp;分析!C455,"株探"),"")</f>
        <v/>
      </c>
      <c r="C455" s="603">
        <f>IF(分析!C455&lt;&gt;"",分析!C455,"")</f>
        <v/>
      </c>
      <c r="D455" s="159">
        <f>IF(分析!D455&lt;&gt;"",分析!D455,"")</f>
        <v/>
      </c>
      <c r="E455" s="160">
        <f>IF(分析!E455&lt;&gt;"",分析!E455,"")</f>
        <v/>
      </c>
      <c r="F455" s="161">
        <f>IF(分析!F455&lt;&gt;"",分析!F455,"")</f>
        <v/>
      </c>
      <c r="G455" s="161">
        <f>IF(分析!H455&lt;&gt;"",分析!H455,"")</f>
        <v/>
      </c>
      <c r="H455" s="161">
        <f>IF(分析!I455&lt;&gt;"",分析!I455,"")</f>
        <v/>
      </c>
      <c r="I455" s="161">
        <f>IF(分析!J455&lt;&gt;"",分析!J455,"")</f>
        <v/>
      </c>
      <c r="J455" s="161">
        <f>IF(分析!AB455&lt;&gt;"",分析!AB455,"")</f>
        <v/>
      </c>
      <c r="K455" s="161">
        <f>IF(分析!AC455&lt;&gt;"",分析!AC455,"")</f>
        <v/>
      </c>
      <c r="L455" s="161">
        <f>IF(分析!K455&lt;&gt;"",分析!K455,"")</f>
        <v/>
      </c>
      <c r="M455" s="156">
        <f>IF(分析!P455&lt;&gt;"",分析!P455,"")</f>
        <v/>
      </c>
      <c r="N455" s="604">
        <f>IF(分析!O455&lt;&gt;"",分析!O455,"")</f>
        <v/>
      </c>
      <c r="O455" s="163">
        <f>IF(分析!X455&lt;&gt;"",分析!X455,"")</f>
        <v/>
      </c>
      <c r="P455" s="605">
        <f>IF(分析!L455&lt;&gt;"",分析!L455,"")</f>
        <v/>
      </c>
      <c r="Q455" s="161">
        <f>IF(分析!S455&lt;&gt;"",分析!S455,"")</f>
        <v/>
      </c>
      <c r="R455" s="161">
        <f>IF(分析!R455&lt;&gt;"",分析!R455,"")</f>
        <v/>
      </c>
      <c r="S455" s="156">
        <f>IF(分析!AA455&lt;&gt;"",分析!AA455,"")</f>
        <v/>
      </c>
      <c r="T455" s="606">
        <f>IF(分析!Z455&lt;&gt;"",分析!Z455,"")</f>
        <v/>
      </c>
      <c r="U455" s="156">
        <f>IF(分析!V455&lt;&gt;"",分析!V455,"")</f>
        <v/>
      </c>
      <c r="V455" s="607">
        <f>IF(分析!W455&lt;&gt;"",分析!W455,"")</f>
        <v/>
      </c>
      <c r="W455" s="167">
        <f>IF(分析!AD455&lt;&gt;"",分析!AD455,"")</f>
        <v/>
      </c>
      <c r="X455" s="168">
        <f>IF(分析!AE455&lt;&gt;"",分析!AE455,"")</f>
        <v/>
      </c>
      <c r="Y455" s="169">
        <f>IF(分析!T455&lt;&gt;"",分析!T455,"")</f>
        <v/>
      </c>
      <c r="Z455" s="155">
        <f>IF(分析!Y455&lt;&gt;"",分析!Y455,"")</f>
        <v/>
      </c>
    </row>
    <row r="456" ht="21.95" customHeight="1" s="574">
      <c r="A456" s="141">
        <f>IF(分析!C456&lt;&gt;"",ROW()-2,"")</f>
        <v/>
      </c>
      <c r="B456" s="142">
        <f>IF(分析!C456&lt;&gt;"",HYPERLINK("https://kabutan.jp/stock/?code="&amp;分析!C456,"株探"),"")</f>
        <v/>
      </c>
      <c r="C456" s="598">
        <f>IF(分析!C456&lt;&gt;"",分析!C456,"")</f>
        <v/>
      </c>
      <c r="D456" s="144">
        <f>IF(分析!D456&lt;&gt;"",分析!D456,"")</f>
        <v/>
      </c>
      <c r="E456" s="145">
        <f>IF(分析!E456&lt;&gt;"",分析!E456,"")</f>
        <v/>
      </c>
      <c r="F456" s="146">
        <f>IF(分析!F456&lt;&gt;"",分析!F456,"")</f>
        <v/>
      </c>
      <c r="G456" s="146">
        <f>IF(分析!H456&lt;&gt;"",分析!H456,"")</f>
        <v/>
      </c>
      <c r="H456" s="146">
        <f>IF(分析!I456&lt;&gt;"",分析!I456,"")</f>
        <v/>
      </c>
      <c r="I456" s="146">
        <f>IF(分析!J456&lt;&gt;"",分析!J456,"")</f>
        <v/>
      </c>
      <c r="J456" s="146">
        <f>IF(分析!AB456&lt;&gt;"",分析!AB456,"")</f>
        <v/>
      </c>
      <c r="K456" s="146">
        <f>IF(分析!AC456&lt;&gt;"",分析!AC456,"")</f>
        <v/>
      </c>
      <c r="L456" s="146">
        <f>IF(分析!K456&lt;&gt;"",分析!K456,"")</f>
        <v/>
      </c>
      <c r="M456" s="141">
        <f>IF(分析!P456&lt;&gt;"",分析!P456,"")</f>
        <v/>
      </c>
      <c r="N456" s="599">
        <f>IF(分析!O456&lt;&gt;"",分析!O456,"")</f>
        <v/>
      </c>
      <c r="O456" s="148">
        <f>IF(分析!X456&lt;&gt;"",分析!X456,"")</f>
        <v/>
      </c>
      <c r="P456" s="600">
        <f>IF(分析!L456&lt;&gt;"",分析!L456,"")</f>
        <v/>
      </c>
      <c r="Q456" s="146">
        <f>IF(分析!S456&lt;&gt;"",分析!S456,"")</f>
        <v/>
      </c>
      <c r="R456" s="146">
        <f>IF(分析!R456&lt;&gt;"",分析!R456,"")</f>
        <v/>
      </c>
      <c r="S456" s="141">
        <f>IF(分析!AA456&lt;&gt;"",分析!AA456,"")</f>
        <v/>
      </c>
      <c r="T456" s="601">
        <f>IF(分析!Z456&lt;&gt;"",分析!Z456,"")</f>
        <v/>
      </c>
      <c r="U456" s="141">
        <f>IF(分析!V456&lt;&gt;"",分析!V456,"")</f>
        <v/>
      </c>
      <c r="V456" s="602">
        <f>IF(分析!W456&lt;&gt;"",分析!W456,"")</f>
        <v/>
      </c>
      <c r="W456" s="152">
        <f>IF(分析!AD456&lt;&gt;"",分析!AD456,"")</f>
        <v/>
      </c>
      <c r="X456" s="153">
        <f>IF(分析!AE456&lt;&gt;"",分析!AE456,"")</f>
        <v/>
      </c>
      <c r="Y456" s="154">
        <f>IF(分析!T456&lt;&gt;"",分析!T456,"")</f>
        <v/>
      </c>
      <c r="Z456" s="155">
        <f>IF(分析!Y456&lt;&gt;"",分析!Y456,"")</f>
        <v/>
      </c>
    </row>
    <row r="457" ht="21.95" customHeight="1" s="574">
      <c r="A457" s="156">
        <f>IF(分析!C457&lt;&gt;"",ROW()-2,"")</f>
        <v/>
      </c>
      <c r="B457" s="157">
        <f>IF(分析!C457&lt;&gt;"",HYPERLINK("https://kabutan.jp/stock/?code="&amp;分析!C457,"株探"),"")</f>
        <v/>
      </c>
      <c r="C457" s="603">
        <f>IF(分析!C457&lt;&gt;"",分析!C457,"")</f>
        <v/>
      </c>
      <c r="D457" s="159">
        <f>IF(分析!D457&lt;&gt;"",分析!D457,"")</f>
        <v/>
      </c>
      <c r="E457" s="160">
        <f>IF(分析!E457&lt;&gt;"",分析!E457,"")</f>
        <v/>
      </c>
      <c r="F457" s="161">
        <f>IF(分析!F457&lt;&gt;"",分析!F457,"")</f>
        <v/>
      </c>
      <c r="G457" s="161">
        <f>IF(分析!H457&lt;&gt;"",分析!H457,"")</f>
        <v/>
      </c>
      <c r="H457" s="161">
        <f>IF(分析!I457&lt;&gt;"",分析!I457,"")</f>
        <v/>
      </c>
      <c r="I457" s="161">
        <f>IF(分析!J457&lt;&gt;"",分析!J457,"")</f>
        <v/>
      </c>
      <c r="J457" s="161">
        <f>IF(分析!AB457&lt;&gt;"",分析!AB457,"")</f>
        <v/>
      </c>
      <c r="K457" s="161">
        <f>IF(分析!AC457&lt;&gt;"",分析!AC457,"")</f>
        <v/>
      </c>
      <c r="L457" s="161">
        <f>IF(分析!K457&lt;&gt;"",分析!K457,"")</f>
        <v/>
      </c>
      <c r="M457" s="156">
        <f>IF(分析!P457&lt;&gt;"",分析!P457,"")</f>
        <v/>
      </c>
      <c r="N457" s="604">
        <f>IF(分析!O457&lt;&gt;"",分析!O457,"")</f>
        <v/>
      </c>
      <c r="O457" s="163">
        <f>IF(分析!X457&lt;&gt;"",分析!X457,"")</f>
        <v/>
      </c>
      <c r="P457" s="605">
        <f>IF(分析!L457&lt;&gt;"",分析!L457,"")</f>
        <v/>
      </c>
      <c r="Q457" s="161">
        <f>IF(分析!S457&lt;&gt;"",分析!S457,"")</f>
        <v/>
      </c>
      <c r="R457" s="161">
        <f>IF(分析!R457&lt;&gt;"",分析!R457,"")</f>
        <v/>
      </c>
      <c r="S457" s="156">
        <f>IF(分析!AA457&lt;&gt;"",分析!AA457,"")</f>
        <v/>
      </c>
      <c r="T457" s="606">
        <f>IF(分析!Z457&lt;&gt;"",分析!Z457,"")</f>
        <v/>
      </c>
      <c r="U457" s="156">
        <f>IF(分析!V457&lt;&gt;"",分析!V457,"")</f>
        <v/>
      </c>
      <c r="V457" s="607">
        <f>IF(分析!W457&lt;&gt;"",分析!W457,"")</f>
        <v/>
      </c>
      <c r="W457" s="167">
        <f>IF(分析!AD457&lt;&gt;"",分析!AD457,"")</f>
        <v/>
      </c>
      <c r="X457" s="168">
        <f>IF(分析!AE457&lt;&gt;"",分析!AE457,"")</f>
        <v/>
      </c>
      <c r="Y457" s="169">
        <f>IF(分析!T457&lt;&gt;"",分析!T457,"")</f>
        <v/>
      </c>
      <c r="Z457" s="155">
        <f>IF(分析!Y457&lt;&gt;"",分析!Y457,"")</f>
        <v/>
      </c>
    </row>
    <row r="458" ht="21.95" customHeight="1" s="574">
      <c r="A458" s="141">
        <f>IF(分析!C458&lt;&gt;"",ROW()-2,"")</f>
        <v/>
      </c>
      <c r="B458" s="142">
        <f>IF(分析!C458&lt;&gt;"",HYPERLINK("https://kabutan.jp/stock/?code="&amp;分析!C458,"株探"),"")</f>
        <v/>
      </c>
      <c r="C458" s="598">
        <f>IF(分析!C458&lt;&gt;"",分析!C458,"")</f>
        <v/>
      </c>
      <c r="D458" s="144">
        <f>IF(分析!D458&lt;&gt;"",分析!D458,"")</f>
        <v/>
      </c>
      <c r="E458" s="145">
        <f>IF(分析!E458&lt;&gt;"",分析!E458,"")</f>
        <v/>
      </c>
      <c r="F458" s="146">
        <f>IF(分析!F458&lt;&gt;"",分析!F458,"")</f>
        <v/>
      </c>
      <c r="G458" s="146">
        <f>IF(分析!H458&lt;&gt;"",分析!H458,"")</f>
        <v/>
      </c>
      <c r="H458" s="146">
        <f>IF(分析!I458&lt;&gt;"",分析!I458,"")</f>
        <v/>
      </c>
      <c r="I458" s="146">
        <f>IF(分析!J458&lt;&gt;"",分析!J458,"")</f>
        <v/>
      </c>
      <c r="J458" s="146">
        <f>IF(分析!AB458&lt;&gt;"",分析!AB458,"")</f>
        <v/>
      </c>
      <c r="K458" s="146">
        <f>IF(分析!AC458&lt;&gt;"",分析!AC458,"")</f>
        <v/>
      </c>
      <c r="L458" s="146">
        <f>IF(分析!K458&lt;&gt;"",分析!K458,"")</f>
        <v/>
      </c>
      <c r="M458" s="141">
        <f>IF(分析!P458&lt;&gt;"",分析!P458,"")</f>
        <v/>
      </c>
      <c r="N458" s="599">
        <f>IF(分析!O458&lt;&gt;"",分析!O458,"")</f>
        <v/>
      </c>
      <c r="O458" s="148">
        <f>IF(分析!X458&lt;&gt;"",分析!X458,"")</f>
        <v/>
      </c>
      <c r="P458" s="600">
        <f>IF(分析!L458&lt;&gt;"",分析!L458,"")</f>
        <v/>
      </c>
      <c r="Q458" s="146">
        <f>IF(分析!S458&lt;&gt;"",分析!S458,"")</f>
        <v/>
      </c>
      <c r="R458" s="146">
        <f>IF(分析!R458&lt;&gt;"",分析!R458,"")</f>
        <v/>
      </c>
      <c r="S458" s="141">
        <f>IF(分析!AA458&lt;&gt;"",分析!AA458,"")</f>
        <v/>
      </c>
      <c r="T458" s="601">
        <f>IF(分析!Z458&lt;&gt;"",分析!Z458,"")</f>
        <v/>
      </c>
      <c r="U458" s="141">
        <f>IF(分析!V458&lt;&gt;"",分析!V458,"")</f>
        <v/>
      </c>
      <c r="V458" s="602">
        <f>IF(分析!W458&lt;&gt;"",分析!W458,"")</f>
        <v/>
      </c>
      <c r="W458" s="152">
        <f>IF(分析!AD458&lt;&gt;"",分析!AD458,"")</f>
        <v/>
      </c>
      <c r="X458" s="153">
        <f>IF(分析!AE458&lt;&gt;"",分析!AE458,"")</f>
        <v/>
      </c>
      <c r="Y458" s="154">
        <f>IF(分析!T458&lt;&gt;"",分析!T458,"")</f>
        <v/>
      </c>
      <c r="Z458" s="155">
        <f>IF(分析!Y458&lt;&gt;"",分析!Y458,"")</f>
        <v/>
      </c>
    </row>
    <row r="459" ht="21.95" customHeight="1" s="574">
      <c r="A459" s="156">
        <f>IF(分析!C459&lt;&gt;"",ROW()-2,"")</f>
        <v/>
      </c>
      <c r="B459" s="157">
        <f>IF(分析!C459&lt;&gt;"",HYPERLINK("https://kabutan.jp/stock/?code="&amp;分析!C459,"株探"),"")</f>
        <v/>
      </c>
      <c r="C459" s="603">
        <f>IF(分析!C459&lt;&gt;"",分析!C459,"")</f>
        <v/>
      </c>
      <c r="D459" s="159">
        <f>IF(分析!D459&lt;&gt;"",分析!D459,"")</f>
        <v/>
      </c>
      <c r="E459" s="160">
        <f>IF(分析!E459&lt;&gt;"",分析!E459,"")</f>
        <v/>
      </c>
      <c r="F459" s="161">
        <f>IF(分析!F459&lt;&gt;"",分析!F459,"")</f>
        <v/>
      </c>
      <c r="G459" s="161">
        <f>IF(分析!H459&lt;&gt;"",分析!H459,"")</f>
        <v/>
      </c>
      <c r="H459" s="161">
        <f>IF(分析!I459&lt;&gt;"",分析!I459,"")</f>
        <v/>
      </c>
      <c r="I459" s="161">
        <f>IF(分析!J459&lt;&gt;"",分析!J459,"")</f>
        <v/>
      </c>
      <c r="J459" s="161">
        <f>IF(分析!AB459&lt;&gt;"",分析!AB459,"")</f>
        <v/>
      </c>
      <c r="K459" s="161">
        <f>IF(分析!AC459&lt;&gt;"",分析!AC459,"")</f>
        <v/>
      </c>
      <c r="L459" s="161">
        <f>IF(分析!K459&lt;&gt;"",分析!K459,"")</f>
        <v/>
      </c>
      <c r="M459" s="156">
        <f>IF(分析!P459&lt;&gt;"",分析!P459,"")</f>
        <v/>
      </c>
      <c r="N459" s="604">
        <f>IF(分析!O459&lt;&gt;"",分析!O459,"")</f>
        <v/>
      </c>
      <c r="O459" s="163">
        <f>IF(分析!X459&lt;&gt;"",分析!X459,"")</f>
        <v/>
      </c>
      <c r="P459" s="605">
        <f>IF(分析!L459&lt;&gt;"",分析!L459,"")</f>
        <v/>
      </c>
      <c r="Q459" s="161">
        <f>IF(分析!S459&lt;&gt;"",分析!S459,"")</f>
        <v/>
      </c>
      <c r="R459" s="161">
        <f>IF(分析!R459&lt;&gt;"",分析!R459,"")</f>
        <v/>
      </c>
      <c r="S459" s="156">
        <f>IF(分析!AA459&lt;&gt;"",分析!AA459,"")</f>
        <v/>
      </c>
      <c r="T459" s="606">
        <f>IF(分析!Z459&lt;&gt;"",分析!Z459,"")</f>
        <v/>
      </c>
      <c r="U459" s="156">
        <f>IF(分析!V459&lt;&gt;"",分析!V459,"")</f>
        <v/>
      </c>
      <c r="V459" s="607">
        <f>IF(分析!W459&lt;&gt;"",分析!W459,"")</f>
        <v/>
      </c>
      <c r="W459" s="167">
        <f>IF(分析!AD459&lt;&gt;"",分析!AD459,"")</f>
        <v/>
      </c>
      <c r="X459" s="168">
        <f>IF(分析!AE459&lt;&gt;"",分析!AE459,"")</f>
        <v/>
      </c>
      <c r="Y459" s="169">
        <f>IF(分析!T459&lt;&gt;"",分析!T459,"")</f>
        <v/>
      </c>
      <c r="Z459" s="155">
        <f>IF(分析!Y459&lt;&gt;"",分析!Y459,"")</f>
        <v/>
      </c>
    </row>
    <row r="460" ht="21.95" customHeight="1" s="574">
      <c r="A460" s="141">
        <f>IF(分析!C460&lt;&gt;"",ROW()-2,"")</f>
        <v/>
      </c>
      <c r="B460" s="142">
        <f>IF(分析!C460&lt;&gt;"",HYPERLINK("https://kabutan.jp/stock/?code="&amp;分析!C460,"株探"),"")</f>
        <v/>
      </c>
      <c r="C460" s="598">
        <f>IF(分析!C460&lt;&gt;"",分析!C460,"")</f>
        <v/>
      </c>
      <c r="D460" s="144">
        <f>IF(分析!D460&lt;&gt;"",分析!D460,"")</f>
        <v/>
      </c>
      <c r="E460" s="145">
        <f>IF(分析!E460&lt;&gt;"",分析!E460,"")</f>
        <v/>
      </c>
      <c r="F460" s="146">
        <f>IF(分析!F460&lt;&gt;"",分析!F460,"")</f>
        <v/>
      </c>
      <c r="G460" s="146">
        <f>IF(分析!H460&lt;&gt;"",分析!H460,"")</f>
        <v/>
      </c>
      <c r="H460" s="146">
        <f>IF(分析!I460&lt;&gt;"",分析!I460,"")</f>
        <v/>
      </c>
      <c r="I460" s="146">
        <f>IF(分析!J460&lt;&gt;"",分析!J460,"")</f>
        <v/>
      </c>
      <c r="J460" s="146">
        <f>IF(分析!AB460&lt;&gt;"",分析!AB460,"")</f>
        <v/>
      </c>
      <c r="K460" s="146">
        <f>IF(分析!AC460&lt;&gt;"",分析!AC460,"")</f>
        <v/>
      </c>
      <c r="L460" s="146">
        <f>IF(分析!K460&lt;&gt;"",分析!K460,"")</f>
        <v/>
      </c>
      <c r="M460" s="141">
        <f>IF(分析!P460&lt;&gt;"",分析!P460,"")</f>
        <v/>
      </c>
      <c r="N460" s="599">
        <f>IF(分析!O460&lt;&gt;"",分析!O460,"")</f>
        <v/>
      </c>
      <c r="O460" s="148">
        <f>IF(分析!X460&lt;&gt;"",分析!X460,"")</f>
        <v/>
      </c>
      <c r="P460" s="600">
        <f>IF(分析!L460&lt;&gt;"",分析!L460,"")</f>
        <v/>
      </c>
      <c r="Q460" s="146">
        <f>IF(分析!S460&lt;&gt;"",分析!S460,"")</f>
        <v/>
      </c>
      <c r="R460" s="146">
        <f>IF(分析!R460&lt;&gt;"",分析!R460,"")</f>
        <v/>
      </c>
      <c r="S460" s="141">
        <f>IF(分析!AA460&lt;&gt;"",分析!AA460,"")</f>
        <v/>
      </c>
      <c r="T460" s="601">
        <f>IF(分析!Z460&lt;&gt;"",分析!Z460,"")</f>
        <v/>
      </c>
      <c r="U460" s="141">
        <f>IF(分析!V460&lt;&gt;"",分析!V460,"")</f>
        <v/>
      </c>
      <c r="V460" s="602">
        <f>IF(分析!W460&lt;&gt;"",分析!W460,"")</f>
        <v/>
      </c>
      <c r="W460" s="152">
        <f>IF(分析!AD460&lt;&gt;"",分析!AD460,"")</f>
        <v/>
      </c>
      <c r="X460" s="153">
        <f>IF(分析!AE460&lt;&gt;"",分析!AE460,"")</f>
        <v/>
      </c>
      <c r="Y460" s="154">
        <f>IF(分析!T460&lt;&gt;"",分析!T460,"")</f>
        <v/>
      </c>
      <c r="Z460" s="155">
        <f>IF(分析!Y460&lt;&gt;"",分析!Y460,"")</f>
        <v/>
      </c>
    </row>
    <row r="461" ht="21.95" customHeight="1" s="574">
      <c r="A461" s="156">
        <f>IF(分析!C461&lt;&gt;"",ROW()-2,"")</f>
        <v/>
      </c>
      <c r="B461" s="157">
        <f>IF(分析!C461&lt;&gt;"",HYPERLINK("https://kabutan.jp/stock/?code="&amp;分析!C461,"株探"),"")</f>
        <v/>
      </c>
      <c r="C461" s="603">
        <f>IF(分析!C461&lt;&gt;"",分析!C461,"")</f>
        <v/>
      </c>
      <c r="D461" s="159">
        <f>IF(分析!D461&lt;&gt;"",分析!D461,"")</f>
        <v/>
      </c>
      <c r="E461" s="160">
        <f>IF(分析!E461&lt;&gt;"",分析!E461,"")</f>
        <v/>
      </c>
      <c r="F461" s="161">
        <f>IF(分析!F461&lt;&gt;"",分析!F461,"")</f>
        <v/>
      </c>
      <c r="G461" s="161">
        <f>IF(分析!H461&lt;&gt;"",分析!H461,"")</f>
        <v/>
      </c>
      <c r="H461" s="161">
        <f>IF(分析!I461&lt;&gt;"",分析!I461,"")</f>
        <v/>
      </c>
      <c r="I461" s="161">
        <f>IF(分析!J461&lt;&gt;"",分析!J461,"")</f>
        <v/>
      </c>
      <c r="J461" s="161">
        <f>IF(分析!AB461&lt;&gt;"",分析!AB461,"")</f>
        <v/>
      </c>
      <c r="K461" s="161">
        <f>IF(分析!AC461&lt;&gt;"",分析!AC461,"")</f>
        <v/>
      </c>
      <c r="L461" s="161">
        <f>IF(分析!K461&lt;&gt;"",分析!K461,"")</f>
        <v/>
      </c>
      <c r="M461" s="156">
        <f>IF(分析!P461&lt;&gt;"",分析!P461,"")</f>
        <v/>
      </c>
      <c r="N461" s="604">
        <f>IF(分析!O461&lt;&gt;"",分析!O461,"")</f>
        <v/>
      </c>
      <c r="O461" s="163">
        <f>IF(分析!X461&lt;&gt;"",分析!X461,"")</f>
        <v/>
      </c>
      <c r="P461" s="605">
        <f>IF(分析!L461&lt;&gt;"",分析!L461,"")</f>
        <v/>
      </c>
      <c r="Q461" s="161">
        <f>IF(分析!S461&lt;&gt;"",分析!S461,"")</f>
        <v/>
      </c>
      <c r="R461" s="161">
        <f>IF(分析!R461&lt;&gt;"",分析!R461,"")</f>
        <v/>
      </c>
      <c r="S461" s="156">
        <f>IF(分析!AA461&lt;&gt;"",分析!AA461,"")</f>
        <v/>
      </c>
      <c r="T461" s="606">
        <f>IF(分析!Z461&lt;&gt;"",分析!Z461,"")</f>
        <v/>
      </c>
      <c r="U461" s="156">
        <f>IF(分析!V461&lt;&gt;"",分析!V461,"")</f>
        <v/>
      </c>
      <c r="V461" s="607">
        <f>IF(分析!W461&lt;&gt;"",分析!W461,"")</f>
        <v/>
      </c>
      <c r="W461" s="167">
        <f>IF(分析!AD461&lt;&gt;"",分析!AD461,"")</f>
        <v/>
      </c>
      <c r="X461" s="168">
        <f>IF(分析!AE461&lt;&gt;"",分析!AE461,"")</f>
        <v/>
      </c>
      <c r="Y461" s="169">
        <f>IF(分析!T461&lt;&gt;"",分析!T461,"")</f>
        <v/>
      </c>
      <c r="Z461" s="155">
        <f>IF(分析!Y461&lt;&gt;"",分析!Y461,"")</f>
        <v/>
      </c>
    </row>
    <row r="462" ht="21.95" customHeight="1" s="574">
      <c r="A462" s="141">
        <f>IF(分析!C462&lt;&gt;"",ROW()-2,"")</f>
        <v/>
      </c>
      <c r="B462" s="142">
        <f>IF(分析!C462&lt;&gt;"",HYPERLINK("https://kabutan.jp/stock/?code="&amp;分析!C462,"株探"),"")</f>
        <v/>
      </c>
      <c r="C462" s="598">
        <f>IF(分析!C462&lt;&gt;"",分析!C462,"")</f>
        <v/>
      </c>
      <c r="D462" s="144">
        <f>IF(分析!D462&lt;&gt;"",分析!D462,"")</f>
        <v/>
      </c>
      <c r="E462" s="145">
        <f>IF(分析!E462&lt;&gt;"",分析!E462,"")</f>
        <v/>
      </c>
      <c r="F462" s="146">
        <f>IF(分析!F462&lt;&gt;"",分析!F462,"")</f>
        <v/>
      </c>
      <c r="G462" s="146">
        <f>IF(分析!H462&lt;&gt;"",分析!H462,"")</f>
        <v/>
      </c>
      <c r="H462" s="146">
        <f>IF(分析!I462&lt;&gt;"",分析!I462,"")</f>
        <v/>
      </c>
      <c r="I462" s="146">
        <f>IF(分析!J462&lt;&gt;"",分析!J462,"")</f>
        <v/>
      </c>
      <c r="J462" s="146">
        <f>IF(分析!AB462&lt;&gt;"",分析!AB462,"")</f>
        <v/>
      </c>
      <c r="K462" s="146">
        <f>IF(分析!AC462&lt;&gt;"",分析!AC462,"")</f>
        <v/>
      </c>
      <c r="L462" s="146">
        <f>IF(分析!K462&lt;&gt;"",分析!K462,"")</f>
        <v/>
      </c>
      <c r="M462" s="141">
        <f>IF(分析!P462&lt;&gt;"",分析!P462,"")</f>
        <v/>
      </c>
      <c r="N462" s="599">
        <f>IF(分析!O462&lt;&gt;"",分析!O462,"")</f>
        <v/>
      </c>
      <c r="O462" s="148">
        <f>IF(分析!X462&lt;&gt;"",分析!X462,"")</f>
        <v/>
      </c>
      <c r="P462" s="600">
        <f>IF(分析!L462&lt;&gt;"",分析!L462,"")</f>
        <v/>
      </c>
      <c r="Q462" s="146">
        <f>IF(分析!S462&lt;&gt;"",分析!S462,"")</f>
        <v/>
      </c>
      <c r="R462" s="146">
        <f>IF(分析!R462&lt;&gt;"",分析!R462,"")</f>
        <v/>
      </c>
      <c r="S462" s="141">
        <f>IF(分析!AA462&lt;&gt;"",分析!AA462,"")</f>
        <v/>
      </c>
      <c r="T462" s="601">
        <f>IF(分析!Z462&lt;&gt;"",分析!Z462,"")</f>
        <v/>
      </c>
      <c r="U462" s="141">
        <f>IF(分析!V462&lt;&gt;"",分析!V462,"")</f>
        <v/>
      </c>
      <c r="V462" s="602">
        <f>IF(分析!W462&lt;&gt;"",分析!W462,"")</f>
        <v/>
      </c>
      <c r="W462" s="152">
        <f>IF(分析!AD462&lt;&gt;"",分析!AD462,"")</f>
        <v/>
      </c>
      <c r="X462" s="153">
        <f>IF(分析!AE462&lt;&gt;"",分析!AE462,"")</f>
        <v/>
      </c>
      <c r="Y462" s="154">
        <f>IF(分析!T462&lt;&gt;"",分析!T462,"")</f>
        <v/>
      </c>
      <c r="Z462" s="155">
        <f>IF(分析!Y462&lt;&gt;"",分析!Y462,"")</f>
        <v/>
      </c>
    </row>
    <row r="463" ht="21.95" customHeight="1" s="574">
      <c r="A463" s="156">
        <f>IF(分析!C463&lt;&gt;"",ROW()-2,"")</f>
        <v/>
      </c>
      <c r="B463" s="157">
        <f>IF(分析!C463&lt;&gt;"",HYPERLINK("https://kabutan.jp/stock/?code="&amp;分析!C463,"株探"),"")</f>
        <v/>
      </c>
      <c r="C463" s="603">
        <f>IF(分析!C463&lt;&gt;"",分析!C463,"")</f>
        <v/>
      </c>
      <c r="D463" s="159">
        <f>IF(分析!D463&lt;&gt;"",分析!D463,"")</f>
        <v/>
      </c>
      <c r="E463" s="160">
        <f>IF(分析!E463&lt;&gt;"",分析!E463,"")</f>
        <v/>
      </c>
      <c r="F463" s="161">
        <f>IF(分析!F463&lt;&gt;"",分析!F463,"")</f>
        <v/>
      </c>
      <c r="G463" s="161">
        <f>IF(分析!H463&lt;&gt;"",分析!H463,"")</f>
        <v/>
      </c>
      <c r="H463" s="161">
        <f>IF(分析!I463&lt;&gt;"",分析!I463,"")</f>
        <v/>
      </c>
      <c r="I463" s="161">
        <f>IF(分析!J463&lt;&gt;"",分析!J463,"")</f>
        <v/>
      </c>
      <c r="J463" s="161">
        <f>IF(分析!AB463&lt;&gt;"",分析!AB463,"")</f>
        <v/>
      </c>
      <c r="K463" s="161">
        <f>IF(分析!AC463&lt;&gt;"",分析!AC463,"")</f>
        <v/>
      </c>
      <c r="L463" s="161">
        <f>IF(分析!K463&lt;&gt;"",分析!K463,"")</f>
        <v/>
      </c>
      <c r="M463" s="156">
        <f>IF(分析!P463&lt;&gt;"",分析!P463,"")</f>
        <v/>
      </c>
      <c r="N463" s="604">
        <f>IF(分析!O463&lt;&gt;"",分析!O463,"")</f>
        <v/>
      </c>
      <c r="O463" s="163">
        <f>IF(分析!X463&lt;&gt;"",分析!X463,"")</f>
        <v/>
      </c>
      <c r="P463" s="605">
        <f>IF(分析!L463&lt;&gt;"",分析!L463,"")</f>
        <v/>
      </c>
      <c r="Q463" s="161">
        <f>IF(分析!S463&lt;&gt;"",分析!S463,"")</f>
        <v/>
      </c>
      <c r="R463" s="161">
        <f>IF(分析!R463&lt;&gt;"",分析!R463,"")</f>
        <v/>
      </c>
      <c r="S463" s="156">
        <f>IF(分析!AA463&lt;&gt;"",分析!AA463,"")</f>
        <v/>
      </c>
      <c r="T463" s="606">
        <f>IF(分析!Z463&lt;&gt;"",分析!Z463,"")</f>
        <v/>
      </c>
      <c r="U463" s="156">
        <f>IF(分析!V463&lt;&gt;"",分析!V463,"")</f>
        <v/>
      </c>
      <c r="V463" s="607">
        <f>IF(分析!W463&lt;&gt;"",分析!W463,"")</f>
        <v/>
      </c>
      <c r="W463" s="167">
        <f>IF(分析!AD463&lt;&gt;"",分析!AD463,"")</f>
        <v/>
      </c>
      <c r="X463" s="168">
        <f>IF(分析!AE463&lt;&gt;"",分析!AE463,"")</f>
        <v/>
      </c>
      <c r="Y463" s="169">
        <f>IF(分析!T463&lt;&gt;"",分析!T463,"")</f>
        <v/>
      </c>
      <c r="Z463" s="155">
        <f>IF(分析!Y463&lt;&gt;"",分析!Y463,"")</f>
        <v/>
      </c>
    </row>
    <row r="464" ht="21.95" customHeight="1" s="574">
      <c r="A464" s="141">
        <f>IF(分析!C464&lt;&gt;"",ROW()-2,"")</f>
        <v/>
      </c>
      <c r="B464" s="142">
        <f>IF(分析!C464&lt;&gt;"",HYPERLINK("https://kabutan.jp/stock/?code="&amp;分析!C464,"株探"),"")</f>
        <v/>
      </c>
      <c r="C464" s="598">
        <f>IF(分析!C464&lt;&gt;"",分析!C464,"")</f>
        <v/>
      </c>
      <c r="D464" s="144">
        <f>IF(分析!D464&lt;&gt;"",分析!D464,"")</f>
        <v/>
      </c>
      <c r="E464" s="145">
        <f>IF(分析!E464&lt;&gt;"",分析!E464,"")</f>
        <v/>
      </c>
      <c r="F464" s="146">
        <f>IF(分析!F464&lt;&gt;"",分析!F464,"")</f>
        <v/>
      </c>
      <c r="G464" s="146">
        <f>IF(分析!H464&lt;&gt;"",分析!H464,"")</f>
        <v/>
      </c>
      <c r="H464" s="146">
        <f>IF(分析!I464&lt;&gt;"",分析!I464,"")</f>
        <v/>
      </c>
      <c r="I464" s="146">
        <f>IF(分析!J464&lt;&gt;"",分析!J464,"")</f>
        <v/>
      </c>
      <c r="J464" s="146">
        <f>IF(分析!AB464&lt;&gt;"",分析!AB464,"")</f>
        <v/>
      </c>
      <c r="K464" s="146">
        <f>IF(分析!AC464&lt;&gt;"",分析!AC464,"")</f>
        <v/>
      </c>
      <c r="L464" s="146">
        <f>IF(分析!K464&lt;&gt;"",分析!K464,"")</f>
        <v/>
      </c>
      <c r="M464" s="141">
        <f>IF(分析!P464&lt;&gt;"",分析!P464,"")</f>
        <v/>
      </c>
      <c r="N464" s="599">
        <f>IF(分析!O464&lt;&gt;"",分析!O464,"")</f>
        <v/>
      </c>
      <c r="O464" s="148">
        <f>IF(分析!X464&lt;&gt;"",分析!X464,"")</f>
        <v/>
      </c>
      <c r="P464" s="600">
        <f>IF(分析!L464&lt;&gt;"",分析!L464,"")</f>
        <v/>
      </c>
      <c r="Q464" s="146">
        <f>IF(分析!S464&lt;&gt;"",分析!S464,"")</f>
        <v/>
      </c>
      <c r="R464" s="146">
        <f>IF(分析!R464&lt;&gt;"",分析!R464,"")</f>
        <v/>
      </c>
      <c r="S464" s="141">
        <f>IF(分析!AA464&lt;&gt;"",分析!AA464,"")</f>
        <v/>
      </c>
      <c r="T464" s="601">
        <f>IF(分析!Z464&lt;&gt;"",分析!Z464,"")</f>
        <v/>
      </c>
      <c r="U464" s="141">
        <f>IF(分析!V464&lt;&gt;"",分析!V464,"")</f>
        <v/>
      </c>
      <c r="V464" s="602">
        <f>IF(分析!W464&lt;&gt;"",分析!W464,"")</f>
        <v/>
      </c>
      <c r="W464" s="152">
        <f>IF(分析!AD464&lt;&gt;"",分析!AD464,"")</f>
        <v/>
      </c>
      <c r="X464" s="153">
        <f>IF(分析!AE464&lt;&gt;"",分析!AE464,"")</f>
        <v/>
      </c>
      <c r="Y464" s="154">
        <f>IF(分析!T464&lt;&gt;"",分析!T464,"")</f>
        <v/>
      </c>
      <c r="Z464" s="155">
        <f>IF(分析!Y464&lt;&gt;"",分析!Y464,"")</f>
        <v/>
      </c>
    </row>
    <row r="465" ht="21.95" customHeight="1" s="574">
      <c r="A465" s="156">
        <f>IF(分析!C465&lt;&gt;"",ROW()-2,"")</f>
        <v/>
      </c>
      <c r="B465" s="157">
        <f>IF(分析!C465&lt;&gt;"",HYPERLINK("https://kabutan.jp/stock/?code="&amp;分析!C465,"株探"),"")</f>
        <v/>
      </c>
      <c r="C465" s="603">
        <f>IF(分析!C465&lt;&gt;"",分析!C465,"")</f>
        <v/>
      </c>
      <c r="D465" s="159">
        <f>IF(分析!D465&lt;&gt;"",分析!D465,"")</f>
        <v/>
      </c>
      <c r="E465" s="160">
        <f>IF(分析!E465&lt;&gt;"",分析!E465,"")</f>
        <v/>
      </c>
      <c r="F465" s="161">
        <f>IF(分析!F465&lt;&gt;"",分析!F465,"")</f>
        <v/>
      </c>
      <c r="G465" s="161">
        <f>IF(分析!H465&lt;&gt;"",分析!H465,"")</f>
        <v/>
      </c>
      <c r="H465" s="161">
        <f>IF(分析!I465&lt;&gt;"",分析!I465,"")</f>
        <v/>
      </c>
      <c r="I465" s="161">
        <f>IF(分析!J465&lt;&gt;"",分析!J465,"")</f>
        <v/>
      </c>
      <c r="J465" s="161">
        <f>IF(分析!AB465&lt;&gt;"",分析!AB465,"")</f>
        <v/>
      </c>
      <c r="K465" s="161">
        <f>IF(分析!AC465&lt;&gt;"",分析!AC465,"")</f>
        <v/>
      </c>
      <c r="L465" s="161">
        <f>IF(分析!K465&lt;&gt;"",分析!K465,"")</f>
        <v/>
      </c>
      <c r="M465" s="156">
        <f>IF(分析!P465&lt;&gt;"",分析!P465,"")</f>
        <v/>
      </c>
      <c r="N465" s="604">
        <f>IF(分析!O465&lt;&gt;"",分析!O465,"")</f>
        <v/>
      </c>
      <c r="O465" s="163">
        <f>IF(分析!X465&lt;&gt;"",分析!X465,"")</f>
        <v/>
      </c>
      <c r="P465" s="605">
        <f>IF(分析!L465&lt;&gt;"",分析!L465,"")</f>
        <v/>
      </c>
      <c r="Q465" s="161">
        <f>IF(分析!S465&lt;&gt;"",分析!S465,"")</f>
        <v/>
      </c>
      <c r="R465" s="161">
        <f>IF(分析!R465&lt;&gt;"",分析!R465,"")</f>
        <v/>
      </c>
      <c r="S465" s="156">
        <f>IF(分析!AA465&lt;&gt;"",分析!AA465,"")</f>
        <v/>
      </c>
      <c r="T465" s="606">
        <f>IF(分析!Z465&lt;&gt;"",分析!Z465,"")</f>
        <v/>
      </c>
      <c r="U465" s="156">
        <f>IF(分析!V465&lt;&gt;"",分析!V465,"")</f>
        <v/>
      </c>
      <c r="V465" s="607">
        <f>IF(分析!W465&lt;&gt;"",分析!W465,"")</f>
        <v/>
      </c>
      <c r="W465" s="167">
        <f>IF(分析!AD465&lt;&gt;"",分析!AD465,"")</f>
        <v/>
      </c>
      <c r="X465" s="168">
        <f>IF(分析!AE465&lt;&gt;"",分析!AE465,"")</f>
        <v/>
      </c>
      <c r="Y465" s="169">
        <f>IF(分析!T465&lt;&gt;"",分析!T465,"")</f>
        <v/>
      </c>
      <c r="Z465" s="155">
        <f>IF(分析!Y465&lt;&gt;"",分析!Y465,"")</f>
        <v/>
      </c>
    </row>
    <row r="466" ht="21.95" customHeight="1" s="574">
      <c r="A466" s="141">
        <f>IF(分析!C466&lt;&gt;"",ROW()-2,"")</f>
        <v/>
      </c>
      <c r="B466" s="142">
        <f>IF(分析!C466&lt;&gt;"",HYPERLINK("https://kabutan.jp/stock/?code="&amp;分析!C466,"株探"),"")</f>
        <v/>
      </c>
      <c r="C466" s="598">
        <f>IF(分析!C466&lt;&gt;"",分析!C466,"")</f>
        <v/>
      </c>
      <c r="D466" s="144">
        <f>IF(分析!D466&lt;&gt;"",分析!D466,"")</f>
        <v/>
      </c>
      <c r="E466" s="145">
        <f>IF(分析!E466&lt;&gt;"",分析!E466,"")</f>
        <v/>
      </c>
      <c r="F466" s="146">
        <f>IF(分析!F466&lt;&gt;"",分析!F466,"")</f>
        <v/>
      </c>
      <c r="G466" s="146">
        <f>IF(分析!H466&lt;&gt;"",分析!H466,"")</f>
        <v/>
      </c>
      <c r="H466" s="146">
        <f>IF(分析!I466&lt;&gt;"",分析!I466,"")</f>
        <v/>
      </c>
      <c r="I466" s="146">
        <f>IF(分析!J466&lt;&gt;"",分析!J466,"")</f>
        <v/>
      </c>
      <c r="J466" s="146">
        <f>IF(分析!AB466&lt;&gt;"",分析!AB466,"")</f>
        <v/>
      </c>
      <c r="K466" s="146">
        <f>IF(分析!AC466&lt;&gt;"",分析!AC466,"")</f>
        <v/>
      </c>
      <c r="L466" s="146">
        <f>IF(分析!K466&lt;&gt;"",分析!K466,"")</f>
        <v/>
      </c>
      <c r="M466" s="141">
        <f>IF(分析!P466&lt;&gt;"",分析!P466,"")</f>
        <v/>
      </c>
      <c r="N466" s="599">
        <f>IF(分析!O466&lt;&gt;"",分析!O466,"")</f>
        <v/>
      </c>
      <c r="O466" s="148">
        <f>IF(分析!X466&lt;&gt;"",分析!X466,"")</f>
        <v/>
      </c>
      <c r="P466" s="600">
        <f>IF(分析!L466&lt;&gt;"",分析!L466,"")</f>
        <v/>
      </c>
      <c r="Q466" s="146">
        <f>IF(分析!S466&lt;&gt;"",分析!S466,"")</f>
        <v/>
      </c>
      <c r="R466" s="146">
        <f>IF(分析!R466&lt;&gt;"",分析!R466,"")</f>
        <v/>
      </c>
      <c r="S466" s="141">
        <f>IF(分析!AA466&lt;&gt;"",分析!AA466,"")</f>
        <v/>
      </c>
      <c r="T466" s="601">
        <f>IF(分析!Z466&lt;&gt;"",分析!Z466,"")</f>
        <v/>
      </c>
      <c r="U466" s="141">
        <f>IF(分析!V466&lt;&gt;"",分析!V466,"")</f>
        <v/>
      </c>
      <c r="V466" s="602">
        <f>IF(分析!W466&lt;&gt;"",分析!W466,"")</f>
        <v/>
      </c>
      <c r="W466" s="152">
        <f>IF(分析!AD466&lt;&gt;"",分析!AD466,"")</f>
        <v/>
      </c>
      <c r="X466" s="153">
        <f>IF(分析!AE466&lt;&gt;"",分析!AE466,"")</f>
        <v/>
      </c>
      <c r="Y466" s="154">
        <f>IF(分析!T466&lt;&gt;"",分析!T466,"")</f>
        <v/>
      </c>
      <c r="Z466" s="155">
        <f>IF(分析!Y466&lt;&gt;"",分析!Y466,"")</f>
        <v/>
      </c>
    </row>
    <row r="467" ht="21.95" customHeight="1" s="574">
      <c r="A467" s="156">
        <f>IF(分析!C467&lt;&gt;"",ROW()-2,"")</f>
        <v/>
      </c>
      <c r="B467" s="157">
        <f>IF(分析!C467&lt;&gt;"",HYPERLINK("https://kabutan.jp/stock/?code="&amp;分析!C467,"株探"),"")</f>
        <v/>
      </c>
      <c r="C467" s="603">
        <f>IF(分析!C467&lt;&gt;"",分析!C467,"")</f>
        <v/>
      </c>
      <c r="D467" s="159">
        <f>IF(分析!D467&lt;&gt;"",分析!D467,"")</f>
        <v/>
      </c>
      <c r="E467" s="160">
        <f>IF(分析!E467&lt;&gt;"",分析!E467,"")</f>
        <v/>
      </c>
      <c r="F467" s="161">
        <f>IF(分析!F467&lt;&gt;"",分析!F467,"")</f>
        <v/>
      </c>
      <c r="G467" s="161">
        <f>IF(分析!H467&lt;&gt;"",分析!H467,"")</f>
        <v/>
      </c>
      <c r="H467" s="161">
        <f>IF(分析!I467&lt;&gt;"",分析!I467,"")</f>
        <v/>
      </c>
      <c r="I467" s="161">
        <f>IF(分析!J467&lt;&gt;"",分析!J467,"")</f>
        <v/>
      </c>
      <c r="J467" s="161">
        <f>IF(分析!AB467&lt;&gt;"",分析!AB467,"")</f>
        <v/>
      </c>
      <c r="K467" s="161">
        <f>IF(分析!AC467&lt;&gt;"",分析!AC467,"")</f>
        <v/>
      </c>
      <c r="L467" s="161">
        <f>IF(分析!K467&lt;&gt;"",分析!K467,"")</f>
        <v/>
      </c>
      <c r="M467" s="156">
        <f>IF(分析!P467&lt;&gt;"",分析!P467,"")</f>
        <v/>
      </c>
      <c r="N467" s="604">
        <f>IF(分析!O467&lt;&gt;"",分析!O467,"")</f>
        <v/>
      </c>
      <c r="O467" s="163">
        <f>IF(分析!X467&lt;&gt;"",分析!X467,"")</f>
        <v/>
      </c>
      <c r="P467" s="605">
        <f>IF(分析!L467&lt;&gt;"",分析!L467,"")</f>
        <v/>
      </c>
      <c r="Q467" s="161">
        <f>IF(分析!S467&lt;&gt;"",分析!S467,"")</f>
        <v/>
      </c>
      <c r="R467" s="161">
        <f>IF(分析!R467&lt;&gt;"",分析!R467,"")</f>
        <v/>
      </c>
      <c r="S467" s="156">
        <f>IF(分析!AA467&lt;&gt;"",分析!AA467,"")</f>
        <v/>
      </c>
      <c r="T467" s="606">
        <f>IF(分析!Z467&lt;&gt;"",分析!Z467,"")</f>
        <v/>
      </c>
      <c r="U467" s="156">
        <f>IF(分析!V467&lt;&gt;"",分析!V467,"")</f>
        <v/>
      </c>
      <c r="V467" s="607">
        <f>IF(分析!W467&lt;&gt;"",分析!W467,"")</f>
        <v/>
      </c>
      <c r="W467" s="167">
        <f>IF(分析!AD467&lt;&gt;"",分析!AD467,"")</f>
        <v/>
      </c>
      <c r="X467" s="168">
        <f>IF(分析!AE467&lt;&gt;"",分析!AE467,"")</f>
        <v/>
      </c>
      <c r="Y467" s="169">
        <f>IF(分析!T467&lt;&gt;"",分析!T467,"")</f>
        <v/>
      </c>
      <c r="Z467" s="155">
        <f>IF(分析!Y467&lt;&gt;"",分析!Y467,"")</f>
        <v/>
      </c>
    </row>
    <row r="468" ht="21.95" customHeight="1" s="574">
      <c r="A468" s="141">
        <f>IF(分析!C468&lt;&gt;"",ROW()-2,"")</f>
        <v/>
      </c>
      <c r="B468" s="142">
        <f>IF(分析!C468&lt;&gt;"",HYPERLINK("https://kabutan.jp/stock/?code="&amp;分析!C468,"株探"),"")</f>
        <v/>
      </c>
      <c r="C468" s="598">
        <f>IF(分析!C468&lt;&gt;"",分析!C468,"")</f>
        <v/>
      </c>
      <c r="D468" s="144">
        <f>IF(分析!D468&lt;&gt;"",分析!D468,"")</f>
        <v/>
      </c>
      <c r="E468" s="145">
        <f>IF(分析!E468&lt;&gt;"",分析!E468,"")</f>
        <v/>
      </c>
      <c r="F468" s="146">
        <f>IF(分析!F468&lt;&gt;"",分析!F468,"")</f>
        <v/>
      </c>
      <c r="G468" s="146">
        <f>IF(分析!H468&lt;&gt;"",分析!H468,"")</f>
        <v/>
      </c>
      <c r="H468" s="146">
        <f>IF(分析!I468&lt;&gt;"",分析!I468,"")</f>
        <v/>
      </c>
      <c r="I468" s="146">
        <f>IF(分析!J468&lt;&gt;"",分析!J468,"")</f>
        <v/>
      </c>
      <c r="J468" s="146">
        <f>IF(分析!AB468&lt;&gt;"",分析!AB468,"")</f>
        <v/>
      </c>
      <c r="K468" s="146">
        <f>IF(分析!AC468&lt;&gt;"",分析!AC468,"")</f>
        <v/>
      </c>
      <c r="L468" s="146">
        <f>IF(分析!K468&lt;&gt;"",分析!K468,"")</f>
        <v/>
      </c>
      <c r="M468" s="141">
        <f>IF(分析!P468&lt;&gt;"",分析!P468,"")</f>
        <v/>
      </c>
      <c r="N468" s="599">
        <f>IF(分析!O468&lt;&gt;"",分析!O468,"")</f>
        <v/>
      </c>
      <c r="O468" s="148">
        <f>IF(分析!X468&lt;&gt;"",分析!X468,"")</f>
        <v/>
      </c>
      <c r="P468" s="600">
        <f>IF(分析!L468&lt;&gt;"",分析!L468,"")</f>
        <v/>
      </c>
      <c r="Q468" s="146">
        <f>IF(分析!S468&lt;&gt;"",分析!S468,"")</f>
        <v/>
      </c>
      <c r="R468" s="146">
        <f>IF(分析!R468&lt;&gt;"",分析!R468,"")</f>
        <v/>
      </c>
      <c r="S468" s="141">
        <f>IF(分析!AA468&lt;&gt;"",分析!AA468,"")</f>
        <v/>
      </c>
      <c r="T468" s="601">
        <f>IF(分析!Z468&lt;&gt;"",分析!Z468,"")</f>
        <v/>
      </c>
      <c r="U468" s="141">
        <f>IF(分析!V468&lt;&gt;"",分析!V468,"")</f>
        <v/>
      </c>
      <c r="V468" s="602">
        <f>IF(分析!W468&lt;&gt;"",分析!W468,"")</f>
        <v/>
      </c>
      <c r="W468" s="152">
        <f>IF(分析!AD468&lt;&gt;"",分析!AD468,"")</f>
        <v/>
      </c>
      <c r="X468" s="153">
        <f>IF(分析!AE468&lt;&gt;"",分析!AE468,"")</f>
        <v/>
      </c>
      <c r="Y468" s="154">
        <f>IF(分析!T468&lt;&gt;"",分析!T468,"")</f>
        <v/>
      </c>
      <c r="Z468" s="155">
        <f>IF(分析!Y468&lt;&gt;"",分析!Y468,"")</f>
        <v/>
      </c>
    </row>
    <row r="469" ht="21.95" customHeight="1" s="574">
      <c r="A469" s="156">
        <f>IF(分析!C469&lt;&gt;"",ROW()-2,"")</f>
        <v/>
      </c>
      <c r="B469" s="157">
        <f>IF(分析!C469&lt;&gt;"",HYPERLINK("https://kabutan.jp/stock/?code="&amp;分析!C469,"株探"),"")</f>
        <v/>
      </c>
      <c r="C469" s="603">
        <f>IF(分析!C469&lt;&gt;"",分析!C469,"")</f>
        <v/>
      </c>
      <c r="D469" s="159">
        <f>IF(分析!D469&lt;&gt;"",分析!D469,"")</f>
        <v/>
      </c>
      <c r="E469" s="160">
        <f>IF(分析!E469&lt;&gt;"",分析!E469,"")</f>
        <v/>
      </c>
      <c r="F469" s="161">
        <f>IF(分析!F469&lt;&gt;"",分析!F469,"")</f>
        <v/>
      </c>
      <c r="G469" s="161">
        <f>IF(分析!H469&lt;&gt;"",分析!H469,"")</f>
        <v/>
      </c>
      <c r="H469" s="161">
        <f>IF(分析!I469&lt;&gt;"",分析!I469,"")</f>
        <v/>
      </c>
      <c r="I469" s="161">
        <f>IF(分析!J469&lt;&gt;"",分析!J469,"")</f>
        <v/>
      </c>
      <c r="J469" s="161">
        <f>IF(分析!AB469&lt;&gt;"",分析!AB469,"")</f>
        <v/>
      </c>
      <c r="K469" s="161">
        <f>IF(分析!AC469&lt;&gt;"",分析!AC469,"")</f>
        <v/>
      </c>
      <c r="L469" s="161">
        <f>IF(分析!K469&lt;&gt;"",分析!K469,"")</f>
        <v/>
      </c>
      <c r="M469" s="156">
        <f>IF(分析!P469&lt;&gt;"",分析!P469,"")</f>
        <v/>
      </c>
      <c r="N469" s="604">
        <f>IF(分析!O469&lt;&gt;"",分析!O469,"")</f>
        <v/>
      </c>
      <c r="O469" s="163">
        <f>IF(分析!X469&lt;&gt;"",分析!X469,"")</f>
        <v/>
      </c>
      <c r="P469" s="605">
        <f>IF(分析!L469&lt;&gt;"",分析!L469,"")</f>
        <v/>
      </c>
      <c r="Q469" s="161">
        <f>IF(分析!S469&lt;&gt;"",分析!S469,"")</f>
        <v/>
      </c>
      <c r="R469" s="161">
        <f>IF(分析!R469&lt;&gt;"",分析!R469,"")</f>
        <v/>
      </c>
      <c r="S469" s="156">
        <f>IF(分析!AA469&lt;&gt;"",分析!AA469,"")</f>
        <v/>
      </c>
      <c r="T469" s="606">
        <f>IF(分析!Z469&lt;&gt;"",分析!Z469,"")</f>
        <v/>
      </c>
      <c r="U469" s="156">
        <f>IF(分析!V469&lt;&gt;"",分析!V469,"")</f>
        <v/>
      </c>
      <c r="V469" s="607">
        <f>IF(分析!W469&lt;&gt;"",分析!W469,"")</f>
        <v/>
      </c>
      <c r="W469" s="167">
        <f>IF(分析!AD469&lt;&gt;"",分析!AD469,"")</f>
        <v/>
      </c>
      <c r="X469" s="168">
        <f>IF(分析!AE469&lt;&gt;"",分析!AE469,"")</f>
        <v/>
      </c>
      <c r="Y469" s="169">
        <f>IF(分析!T469&lt;&gt;"",分析!T469,"")</f>
        <v/>
      </c>
      <c r="Z469" s="155">
        <f>IF(分析!Y469&lt;&gt;"",分析!Y469,"")</f>
        <v/>
      </c>
    </row>
    <row r="470" ht="21.95" customHeight="1" s="574">
      <c r="A470" s="141">
        <f>IF(分析!C470&lt;&gt;"",ROW()-2,"")</f>
        <v/>
      </c>
      <c r="B470" s="142">
        <f>IF(分析!C470&lt;&gt;"",HYPERLINK("https://kabutan.jp/stock/?code="&amp;分析!C470,"株探"),"")</f>
        <v/>
      </c>
      <c r="C470" s="598">
        <f>IF(分析!C470&lt;&gt;"",分析!C470,"")</f>
        <v/>
      </c>
      <c r="D470" s="144">
        <f>IF(分析!D470&lt;&gt;"",分析!D470,"")</f>
        <v/>
      </c>
      <c r="E470" s="145">
        <f>IF(分析!E470&lt;&gt;"",分析!E470,"")</f>
        <v/>
      </c>
      <c r="F470" s="146">
        <f>IF(分析!F470&lt;&gt;"",分析!F470,"")</f>
        <v/>
      </c>
      <c r="G470" s="146">
        <f>IF(分析!H470&lt;&gt;"",分析!H470,"")</f>
        <v/>
      </c>
      <c r="H470" s="146">
        <f>IF(分析!I470&lt;&gt;"",分析!I470,"")</f>
        <v/>
      </c>
      <c r="I470" s="146">
        <f>IF(分析!J470&lt;&gt;"",分析!J470,"")</f>
        <v/>
      </c>
      <c r="J470" s="146">
        <f>IF(分析!AB470&lt;&gt;"",分析!AB470,"")</f>
        <v/>
      </c>
      <c r="K470" s="146">
        <f>IF(分析!AC470&lt;&gt;"",分析!AC470,"")</f>
        <v/>
      </c>
      <c r="L470" s="146">
        <f>IF(分析!K470&lt;&gt;"",分析!K470,"")</f>
        <v/>
      </c>
      <c r="M470" s="141">
        <f>IF(分析!P470&lt;&gt;"",分析!P470,"")</f>
        <v/>
      </c>
      <c r="N470" s="599">
        <f>IF(分析!O470&lt;&gt;"",分析!O470,"")</f>
        <v/>
      </c>
      <c r="O470" s="148">
        <f>IF(分析!X470&lt;&gt;"",分析!X470,"")</f>
        <v/>
      </c>
      <c r="P470" s="600">
        <f>IF(分析!L470&lt;&gt;"",分析!L470,"")</f>
        <v/>
      </c>
      <c r="Q470" s="146">
        <f>IF(分析!S470&lt;&gt;"",分析!S470,"")</f>
        <v/>
      </c>
      <c r="R470" s="146">
        <f>IF(分析!R470&lt;&gt;"",分析!R470,"")</f>
        <v/>
      </c>
      <c r="S470" s="141">
        <f>IF(分析!AA470&lt;&gt;"",分析!AA470,"")</f>
        <v/>
      </c>
      <c r="T470" s="601">
        <f>IF(分析!Z470&lt;&gt;"",分析!Z470,"")</f>
        <v/>
      </c>
      <c r="U470" s="141">
        <f>IF(分析!V470&lt;&gt;"",分析!V470,"")</f>
        <v/>
      </c>
      <c r="V470" s="602">
        <f>IF(分析!W470&lt;&gt;"",分析!W470,"")</f>
        <v/>
      </c>
      <c r="W470" s="152">
        <f>IF(分析!AD470&lt;&gt;"",分析!AD470,"")</f>
        <v/>
      </c>
      <c r="X470" s="153">
        <f>IF(分析!AE470&lt;&gt;"",分析!AE470,"")</f>
        <v/>
      </c>
      <c r="Y470" s="154">
        <f>IF(分析!T470&lt;&gt;"",分析!T470,"")</f>
        <v/>
      </c>
      <c r="Z470" s="155">
        <f>IF(分析!Y470&lt;&gt;"",分析!Y470,"")</f>
        <v/>
      </c>
    </row>
    <row r="471" ht="21.95" customHeight="1" s="574">
      <c r="A471" s="156">
        <f>IF(分析!C471&lt;&gt;"",ROW()-2,"")</f>
        <v/>
      </c>
      <c r="B471" s="157">
        <f>IF(分析!C471&lt;&gt;"",HYPERLINK("https://kabutan.jp/stock/?code="&amp;分析!C471,"株探"),"")</f>
        <v/>
      </c>
      <c r="C471" s="603">
        <f>IF(分析!C471&lt;&gt;"",分析!C471,"")</f>
        <v/>
      </c>
      <c r="D471" s="159">
        <f>IF(分析!D471&lt;&gt;"",分析!D471,"")</f>
        <v/>
      </c>
      <c r="E471" s="160">
        <f>IF(分析!E471&lt;&gt;"",分析!E471,"")</f>
        <v/>
      </c>
      <c r="F471" s="161">
        <f>IF(分析!F471&lt;&gt;"",分析!F471,"")</f>
        <v/>
      </c>
      <c r="G471" s="161">
        <f>IF(分析!H471&lt;&gt;"",分析!H471,"")</f>
        <v/>
      </c>
      <c r="H471" s="161">
        <f>IF(分析!I471&lt;&gt;"",分析!I471,"")</f>
        <v/>
      </c>
      <c r="I471" s="161">
        <f>IF(分析!J471&lt;&gt;"",分析!J471,"")</f>
        <v/>
      </c>
      <c r="J471" s="161">
        <f>IF(分析!AB471&lt;&gt;"",分析!AB471,"")</f>
        <v/>
      </c>
      <c r="K471" s="161">
        <f>IF(分析!AC471&lt;&gt;"",分析!AC471,"")</f>
        <v/>
      </c>
      <c r="L471" s="161">
        <f>IF(分析!K471&lt;&gt;"",分析!K471,"")</f>
        <v/>
      </c>
      <c r="M471" s="156">
        <f>IF(分析!P471&lt;&gt;"",分析!P471,"")</f>
        <v/>
      </c>
      <c r="N471" s="604">
        <f>IF(分析!O471&lt;&gt;"",分析!O471,"")</f>
        <v/>
      </c>
      <c r="O471" s="163">
        <f>IF(分析!X471&lt;&gt;"",分析!X471,"")</f>
        <v/>
      </c>
      <c r="P471" s="605">
        <f>IF(分析!L471&lt;&gt;"",分析!L471,"")</f>
        <v/>
      </c>
      <c r="Q471" s="161">
        <f>IF(分析!S471&lt;&gt;"",分析!S471,"")</f>
        <v/>
      </c>
      <c r="R471" s="161">
        <f>IF(分析!R471&lt;&gt;"",分析!R471,"")</f>
        <v/>
      </c>
      <c r="S471" s="156">
        <f>IF(分析!AA471&lt;&gt;"",分析!AA471,"")</f>
        <v/>
      </c>
      <c r="T471" s="606">
        <f>IF(分析!Z471&lt;&gt;"",分析!Z471,"")</f>
        <v/>
      </c>
      <c r="U471" s="156">
        <f>IF(分析!V471&lt;&gt;"",分析!V471,"")</f>
        <v/>
      </c>
      <c r="V471" s="607">
        <f>IF(分析!W471&lt;&gt;"",分析!W471,"")</f>
        <v/>
      </c>
      <c r="W471" s="167">
        <f>IF(分析!AD471&lt;&gt;"",分析!AD471,"")</f>
        <v/>
      </c>
      <c r="X471" s="168">
        <f>IF(分析!AE471&lt;&gt;"",分析!AE471,"")</f>
        <v/>
      </c>
      <c r="Y471" s="169">
        <f>IF(分析!T471&lt;&gt;"",分析!T471,"")</f>
        <v/>
      </c>
      <c r="Z471" s="155">
        <f>IF(分析!Y471&lt;&gt;"",分析!Y471,"")</f>
        <v/>
      </c>
    </row>
    <row r="472" ht="21.95" customHeight="1" s="574">
      <c r="A472" s="141">
        <f>IF(分析!C472&lt;&gt;"",ROW()-2,"")</f>
        <v/>
      </c>
      <c r="B472" s="142">
        <f>IF(分析!C472&lt;&gt;"",HYPERLINK("https://kabutan.jp/stock/?code="&amp;分析!C472,"株探"),"")</f>
        <v/>
      </c>
      <c r="C472" s="598">
        <f>IF(分析!C472&lt;&gt;"",分析!C472,"")</f>
        <v/>
      </c>
      <c r="D472" s="144">
        <f>IF(分析!D472&lt;&gt;"",分析!D472,"")</f>
        <v/>
      </c>
      <c r="E472" s="145">
        <f>IF(分析!E472&lt;&gt;"",分析!E472,"")</f>
        <v/>
      </c>
      <c r="F472" s="146">
        <f>IF(分析!F472&lt;&gt;"",分析!F472,"")</f>
        <v/>
      </c>
      <c r="G472" s="146">
        <f>IF(分析!H472&lt;&gt;"",分析!H472,"")</f>
        <v/>
      </c>
      <c r="H472" s="146">
        <f>IF(分析!I472&lt;&gt;"",分析!I472,"")</f>
        <v/>
      </c>
      <c r="I472" s="146">
        <f>IF(分析!J472&lt;&gt;"",分析!J472,"")</f>
        <v/>
      </c>
      <c r="J472" s="146">
        <f>IF(分析!AB472&lt;&gt;"",分析!AB472,"")</f>
        <v/>
      </c>
      <c r="K472" s="146">
        <f>IF(分析!AC472&lt;&gt;"",分析!AC472,"")</f>
        <v/>
      </c>
      <c r="L472" s="146">
        <f>IF(分析!K472&lt;&gt;"",分析!K472,"")</f>
        <v/>
      </c>
      <c r="M472" s="141">
        <f>IF(分析!P472&lt;&gt;"",分析!P472,"")</f>
        <v/>
      </c>
      <c r="N472" s="599">
        <f>IF(分析!O472&lt;&gt;"",分析!O472,"")</f>
        <v/>
      </c>
      <c r="O472" s="148">
        <f>IF(分析!X472&lt;&gt;"",分析!X472,"")</f>
        <v/>
      </c>
      <c r="P472" s="600">
        <f>IF(分析!L472&lt;&gt;"",分析!L472,"")</f>
        <v/>
      </c>
      <c r="Q472" s="146">
        <f>IF(分析!S472&lt;&gt;"",分析!S472,"")</f>
        <v/>
      </c>
      <c r="R472" s="146">
        <f>IF(分析!R472&lt;&gt;"",分析!R472,"")</f>
        <v/>
      </c>
      <c r="S472" s="141">
        <f>IF(分析!AA472&lt;&gt;"",分析!AA472,"")</f>
        <v/>
      </c>
      <c r="T472" s="601">
        <f>IF(分析!Z472&lt;&gt;"",分析!Z472,"")</f>
        <v/>
      </c>
      <c r="U472" s="141">
        <f>IF(分析!V472&lt;&gt;"",分析!V472,"")</f>
        <v/>
      </c>
      <c r="V472" s="602">
        <f>IF(分析!W472&lt;&gt;"",分析!W472,"")</f>
        <v/>
      </c>
      <c r="W472" s="152">
        <f>IF(分析!AD472&lt;&gt;"",分析!AD472,"")</f>
        <v/>
      </c>
      <c r="X472" s="153">
        <f>IF(分析!AE472&lt;&gt;"",分析!AE472,"")</f>
        <v/>
      </c>
      <c r="Y472" s="154">
        <f>IF(分析!T472&lt;&gt;"",分析!T472,"")</f>
        <v/>
      </c>
      <c r="Z472" s="155">
        <f>IF(分析!Y472&lt;&gt;"",分析!Y472,"")</f>
        <v/>
      </c>
    </row>
    <row r="473" ht="21.95" customHeight="1" s="574">
      <c r="A473" s="156">
        <f>IF(分析!C473&lt;&gt;"",ROW()-2,"")</f>
        <v/>
      </c>
      <c r="B473" s="157">
        <f>IF(分析!C473&lt;&gt;"",HYPERLINK("https://kabutan.jp/stock/?code="&amp;分析!C473,"株探"),"")</f>
        <v/>
      </c>
      <c r="C473" s="603">
        <f>IF(分析!C473&lt;&gt;"",分析!C473,"")</f>
        <v/>
      </c>
      <c r="D473" s="159">
        <f>IF(分析!D473&lt;&gt;"",分析!D473,"")</f>
        <v/>
      </c>
      <c r="E473" s="160">
        <f>IF(分析!E473&lt;&gt;"",分析!E473,"")</f>
        <v/>
      </c>
      <c r="F473" s="161">
        <f>IF(分析!F473&lt;&gt;"",分析!F473,"")</f>
        <v/>
      </c>
      <c r="G473" s="161">
        <f>IF(分析!H473&lt;&gt;"",分析!H473,"")</f>
        <v/>
      </c>
      <c r="H473" s="161">
        <f>IF(分析!I473&lt;&gt;"",分析!I473,"")</f>
        <v/>
      </c>
      <c r="I473" s="161">
        <f>IF(分析!J473&lt;&gt;"",分析!J473,"")</f>
        <v/>
      </c>
      <c r="J473" s="161">
        <f>IF(分析!AB473&lt;&gt;"",分析!AB473,"")</f>
        <v/>
      </c>
      <c r="K473" s="161">
        <f>IF(分析!AC473&lt;&gt;"",分析!AC473,"")</f>
        <v/>
      </c>
      <c r="L473" s="161">
        <f>IF(分析!K473&lt;&gt;"",分析!K473,"")</f>
        <v/>
      </c>
      <c r="M473" s="156">
        <f>IF(分析!P473&lt;&gt;"",分析!P473,"")</f>
        <v/>
      </c>
      <c r="N473" s="604">
        <f>IF(分析!O473&lt;&gt;"",分析!O473,"")</f>
        <v/>
      </c>
      <c r="O473" s="163">
        <f>IF(分析!X473&lt;&gt;"",分析!X473,"")</f>
        <v/>
      </c>
      <c r="P473" s="605">
        <f>IF(分析!L473&lt;&gt;"",分析!L473,"")</f>
        <v/>
      </c>
      <c r="Q473" s="161">
        <f>IF(分析!S473&lt;&gt;"",分析!S473,"")</f>
        <v/>
      </c>
      <c r="R473" s="161">
        <f>IF(分析!R473&lt;&gt;"",分析!R473,"")</f>
        <v/>
      </c>
      <c r="S473" s="156">
        <f>IF(分析!AA473&lt;&gt;"",分析!AA473,"")</f>
        <v/>
      </c>
      <c r="T473" s="606">
        <f>IF(分析!Z473&lt;&gt;"",分析!Z473,"")</f>
        <v/>
      </c>
      <c r="U473" s="156">
        <f>IF(分析!V473&lt;&gt;"",分析!V473,"")</f>
        <v/>
      </c>
      <c r="V473" s="607">
        <f>IF(分析!W473&lt;&gt;"",分析!W473,"")</f>
        <v/>
      </c>
      <c r="W473" s="167">
        <f>IF(分析!AD473&lt;&gt;"",分析!AD473,"")</f>
        <v/>
      </c>
      <c r="X473" s="168">
        <f>IF(分析!AE473&lt;&gt;"",分析!AE473,"")</f>
        <v/>
      </c>
      <c r="Y473" s="169">
        <f>IF(分析!T473&lt;&gt;"",分析!T473,"")</f>
        <v/>
      </c>
      <c r="Z473" s="155">
        <f>IF(分析!Y473&lt;&gt;"",分析!Y473,"")</f>
        <v/>
      </c>
    </row>
    <row r="474" ht="21.95" customHeight="1" s="574">
      <c r="A474" s="141">
        <f>IF(分析!C474&lt;&gt;"",ROW()-2,"")</f>
        <v/>
      </c>
      <c r="B474" s="142">
        <f>IF(分析!C474&lt;&gt;"",HYPERLINK("https://kabutan.jp/stock/?code="&amp;分析!C474,"株探"),"")</f>
        <v/>
      </c>
      <c r="C474" s="598">
        <f>IF(分析!C474&lt;&gt;"",分析!C474,"")</f>
        <v/>
      </c>
      <c r="D474" s="144">
        <f>IF(分析!D474&lt;&gt;"",分析!D474,"")</f>
        <v/>
      </c>
      <c r="E474" s="145">
        <f>IF(分析!E474&lt;&gt;"",分析!E474,"")</f>
        <v/>
      </c>
      <c r="F474" s="146">
        <f>IF(分析!F474&lt;&gt;"",分析!F474,"")</f>
        <v/>
      </c>
      <c r="G474" s="146">
        <f>IF(分析!H474&lt;&gt;"",分析!H474,"")</f>
        <v/>
      </c>
      <c r="H474" s="146">
        <f>IF(分析!I474&lt;&gt;"",分析!I474,"")</f>
        <v/>
      </c>
      <c r="I474" s="146">
        <f>IF(分析!J474&lt;&gt;"",分析!J474,"")</f>
        <v/>
      </c>
      <c r="J474" s="146">
        <f>IF(分析!AB474&lt;&gt;"",分析!AB474,"")</f>
        <v/>
      </c>
      <c r="K474" s="146">
        <f>IF(分析!AC474&lt;&gt;"",分析!AC474,"")</f>
        <v/>
      </c>
      <c r="L474" s="146">
        <f>IF(分析!K474&lt;&gt;"",分析!K474,"")</f>
        <v/>
      </c>
      <c r="M474" s="141">
        <f>IF(分析!P474&lt;&gt;"",分析!P474,"")</f>
        <v/>
      </c>
      <c r="N474" s="599">
        <f>IF(分析!O474&lt;&gt;"",分析!O474,"")</f>
        <v/>
      </c>
      <c r="O474" s="148">
        <f>IF(分析!X474&lt;&gt;"",分析!X474,"")</f>
        <v/>
      </c>
      <c r="P474" s="600">
        <f>IF(分析!L474&lt;&gt;"",分析!L474,"")</f>
        <v/>
      </c>
      <c r="Q474" s="146">
        <f>IF(分析!S474&lt;&gt;"",分析!S474,"")</f>
        <v/>
      </c>
      <c r="R474" s="146">
        <f>IF(分析!R474&lt;&gt;"",分析!R474,"")</f>
        <v/>
      </c>
      <c r="S474" s="141">
        <f>IF(分析!AA474&lt;&gt;"",分析!AA474,"")</f>
        <v/>
      </c>
      <c r="T474" s="601">
        <f>IF(分析!Z474&lt;&gt;"",分析!Z474,"")</f>
        <v/>
      </c>
      <c r="U474" s="141">
        <f>IF(分析!V474&lt;&gt;"",分析!V474,"")</f>
        <v/>
      </c>
      <c r="V474" s="602">
        <f>IF(分析!W474&lt;&gt;"",分析!W474,"")</f>
        <v/>
      </c>
      <c r="W474" s="152">
        <f>IF(分析!AD474&lt;&gt;"",分析!AD474,"")</f>
        <v/>
      </c>
      <c r="X474" s="153">
        <f>IF(分析!AE474&lt;&gt;"",分析!AE474,"")</f>
        <v/>
      </c>
      <c r="Y474" s="154">
        <f>IF(分析!T474&lt;&gt;"",分析!T474,"")</f>
        <v/>
      </c>
      <c r="Z474" s="155">
        <f>IF(分析!Y474&lt;&gt;"",分析!Y474,"")</f>
        <v/>
      </c>
    </row>
    <row r="475" ht="21.95" customHeight="1" s="574">
      <c r="A475" s="156">
        <f>IF(分析!C475&lt;&gt;"",ROW()-2,"")</f>
        <v/>
      </c>
      <c r="B475" s="157">
        <f>IF(分析!C475&lt;&gt;"",HYPERLINK("https://kabutan.jp/stock/?code="&amp;分析!C475,"株探"),"")</f>
        <v/>
      </c>
      <c r="C475" s="603">
        <f>IF(分析!C475&lt;&gt;"",分析!C475,"")</f>
        <v/>
      </c>
      <c r="D475" s="159">
        <f>IF(分析!D475&lt;&gt;"",分析!D475,"")</f>
        <v/>
      </c>
      <c r="E475" s="160">
        <f>IF(分析!E475&lt;&gt;"",分析!E475,"")</f>
        <v/>
      </c>
      <c r="F475" s="161">
        <f>IF(分析!F475&lt;&gt;"",分析!F475,"")</f>
        <v/>
      </c>
      <c r="G475" s="161">
        <f>IF(分析!H475&lt;&gt;"",分析!H475,"")</f>
        <v/>
      </c>
      <c r="H475" s="161">
        <f>IF(分析!I475&lt;&gt;"",分析!I475,"")</f>
        <v/>
      </c>
      <c r="I475" s="161">
        <f>IF(分析!J475&lt;&gt;"",分析!J475,"")</f>
        <v/>
      </c>
      <c r="J475" s="161">
        <f>IF(分析!AB475&lt;&gt;"",分析!AB475,"")</f>
        <v/>
      </c>
      <c r="K475" s="161">
        <f>IF(分析!AC475&lt;&gt;"",分析!AC475,"")</f>
        <v/>
      </c>
      <c r="L475" s="161">
        <f>IF(分析!K475&lt;&gt;"",分析!K475,"")</f>
        <v/>
      </c>
      <c r="M475" s="156">
        <f>IF(分析!P475&lt;&gt;"",分析!P475,"")</f>
        <v/>
      </c>
      <c r="N475" s="604">
        <f>IF(分析!O475&lt;&gt;"",分析!O475,"")</f>
        <v/>
      </c>
      <c r="O475" s="163">
        <f>IF(分析!X475&lt;&gt;"",分析!X475,"")</f>
        <v/>
      </c>
      <c r="P475" s="605">
        <f>IF(分析!L475&lt;&gt;"",分析!L475,"")</f>
        <v/>
      </c>
      <c r="Q475" s="161">
        <f>IF(分析!S475&lt;&gt;"",分析!S475,"")</f>
        <v/>
      </c>
      <c r="R475" s="161">
        <f>IF(分析!R475&lt;&gt;"",分析!R475,"")</f>
        <v/>
      </c>
      <c r="S475" s="156">
        <f>IF(分析!AA475&lt;&gt;"",分析!AA475,"")</f>
        <v/>
      </c>
      <c r="T475" s="606">
        <f>IF(分析!Z475&lt;&gt;"",分析!Z475,"")</f>
        <v/>
      </c>
      <c r="U475" s="156">
        <f>IF(分析!V475&lt;&gt;"",分析!V475,"")</f>
        <v/>
      </c>
      <c r="V475" s="607">
        <f>IF(分析!W475&lt;&gt;"",分析!W475,"")</f>
        <v/>
      </c>
      <c r="W475" s="167">
        <f>IF(分析!AD475&lt;&gt;"",分析!AD475,"")</f>
        <v/>
      </c>
      <c r="X475" s="168">
        <f>IF(分析!AE475&lt;&gt;"",分析!AE475,"")</f>
        <v/>
      </c>
      <c r="Y475" s="169">
        <f>IF(分析!T475&lt;&gt;"",分析!T475,"")</f>
        <v/>
      </c>
      <c r="Z475" s="155">
        <f>IF(分析!Y475&lt;&gt;"",分析!Y475,"")</f>
        <v/>
      </c>
    </row>
    <row r="476" ht="21.95" customHeight="1" s="574">
      <c r="A476" s="141">
        <f>IF(分析!C476&lt;&gt;"",ROW()-2,"")</f>
        <v/>
      </c>
      <c r="B476" s="142">
        <f>IF(分析!C476&lt;&gt;"",HYPERLINK("https://kabutan.jp/stock/?code="&amp;分析!C476,"株探"),"")</f>
        <v/>
      </c>
      <c r="C476" s="598">
        <f>IF(分析!C476&lt;&gt;"",分析!C476,"")</f>
        <v/>
      </c>
      <c r="D476" s="144">
        <f>IF(分析!D476&lt;&gt;"",分析!D476,"")</f>
        <v/>
      </c>
      <c r="E476" s="145">
        <f>IF(分析!E476&lt;&gt;"",分析!E476,"")</f>
        <v/>
      </c>
      <c r="F476" s="146">
        <f>IF(分析!F476&lt;&gt;"",分析!F476,"")</f>
        <v/>
      </c>
      <c r="G476" s="146">
        <f>IF(分析!H476&lt;&gt;"",分析!H476,"")</f>
        <v/>
      </c>
      <c r="H476" s="146">
        <f>IF(分析!I476&lt;&gt;"",分析!I476,"")</f>
        <v/>
      </c>
      <c r="I476" s="146">
        <f>IF(分析!J476&lt;&gt;"",分析!J476,"")</f>
        <v/>
      </c>
      <c r="J476" s="146">
        <f>IF(分析!AB476&lt;&gt;"",分析!AB476,"")</f>
        <v/>
      </c>
      <c r="K476" s="146">
        <f>IF(分析!AC476&lt;&gt;"",分析!AC476,"")</f>
        <v/>
      </c>
      <c r="L476" s="146">
        <f>IF(分析!K476&lt;&gt;"",分析!K476,"")</f>
        <v/>
      </c>
      <c r="M476" s="141">
        <f>IF(分析!P476&lt;&gt;"",分析!P476,"")</f>
        <v/>
      </c>
      <c r="N476" s="599">
        <f>IF(分析!O476&lt;&gt;"",分析!O476,"")</f>
        <v/>
      </c>
      <c r="O476" s="148">
        <f>IF(分析!X476&lt;&gt;"",分析!X476,"")</f>
        <v/>
      </c>
      <c r="P476" s="600">
        <f>IF(分析!L476&lt;&gt;"",分析!L476,"")</f>
        <v/>
      </c>
      <c r="Q476" s="146">
        <f>IF(分析!S476&lt;&gt;"",分析!S476,"")</f>
        <v/>
      </c>
      <c r="R476" s="146">
        <f>IF(分析!R476&lt;&gt;"",分析!R476,"")</f>
        <v/>
      </c>
      <c r="S476" s="141">
        <f>IF(分析!AA476&lt;&gt;"",分析!AA476,"")</f>
        <v/>
      </c>
      <c r="T476" s="601">
        <f>IF(分析!Z476&lt;&gt;"",分析!Z476,"")</f>
        <v/>
      </c>
      <c r="U476" s="141">
        <f>IF(分析!V476&lt;&gt;"",分析!V476,"")</f>
        <v/>
      </c>
      <c r="V476" s="602">
        <f>IF(分析!W476&lt;&gt;"",分析!W476,"")</f>
        <v/>
      </c>
      <c r="W476" s="152">
        <f>IF(分析!AD476&lt;&gt;"",分析!AD476,"")</f>
        <v/>
      </c>
      <c r="X476" s="153">
        <f>IF(分析!AE476&lt;&gt;"",分析!AE476,"")</f>
        <v/>
      </c>
      <c r="Y476" s="154">
        <f>IF(分析!T476&lt;&gt;"",分析!T476,"")</f>
        <v/>
      </c>
      <c r="Z476" s="155">
        <f>IF(分析!Y476&lt;&gt;"",分析!Y476,"")</f>
        <v/>
      </c>
    </row>
    <row r="477" ht="21.95" customHeight="1" s="574">
      <c r="A477" s="156">
        <f>IF(分析!C477&lt;&gt;"",ROW()-2,"")</f>
        <v/>
      </c>
      <c r="B477" s="157">
        <f>IF(分析!C477&lt;&gt;"",HYPERLINK("https://kabutan.jp/stock/?code="&amp;分析!C477,"株探"),"")</f>
        <v/>
      </c>
      <c r="C477" s="603">
        <f>IF(分析!C477&lt;&gt;"",分析!C477,"")</f>
        <v/>
      </c>
      <c r="D477" s="159">
        <f>IF(分析!D477&lt;&gt;"",分析!D477,"")</f>
        <v/>
      </c>
      <c r="E477" s="160">
        <f>IF(分析!E477&lt;&gt;"",分析!E477,"")</f>
        <v/>
      </c>
      <c r="F477" s="161">
        <f>IF(分析!F477&lt;&gt;"",分析!F477,"")</f>
        <v/>
      </c>
      <c r="G477" s="161">
        <f>IF(分析!H477&lt;&gt;"",分析!H477,"")</f>
        <v/>
      </c>
      <c r="H477" s="161">
        <f>IF(分析!I477&lt;&gt;"",分析!I477,"")</f>
        <v/>
      </c>
      <c r="I477" s="161">
        <f>IF(分析!J477&lt;&gt;"",分析!J477,"")</f>
        <v/>
      </c>
      <c r="J477" s="161">
        <f>IF(分析!AB477&lt;&gt;"",分析!AB477,"")</f>
        <v/>
      </c>
      <c r="K477" s="161">
        <f>IF(分析!AC477&lt;&gt;"",分析!AC477,"")</f>
        <v/>
      </c>
      <c r="L477" s="161">
        <f>IF(分析!K477&lt;&gt;"",分析!K477,"")</f>
        <v/>
      </c>
      <c r="M477" s="156">
        <f>IF(分析!P477&lt;&gt;"",分析!P477,"")</f>
        <v/>
      </c>
      <c r="N477" s="604">
        <f>IF(分析!O477&lt;&gt;"",分析!O477,"")</f>
        <v/>
      </c>
      <c r="O477" s="163">
        <f>IF(分析!X477&lt;&gt;"",分析!X477,"")</f>
        <v/>
      </c>
      <c r="P477" s="605">
        <f>IF(分析!L477&lt;&gt;"",分析!L477,"")</f>
        <v/>
      </c>
      <c r="Q477" s="161">
        <f>IF(分析!S477&lt;&gt;"",分析!S477,"")</f>
        <v/>
      </c>
      <c r="R477" s="161">
        <f>IF(分析!R477&lt;&gt;"",分析!R477,"")</f>
        <v/>
      </c>
      <c r="S477" s="156">
        <f>IF(分析!AA477&lt;&gt;"",分析!AA477,"")</f>
        <v/>
      </c>
      <c r="T477" s="606">
        <f>IF(分析!Z477&lt;&gt;"",分析!Z477,"")</f>
        <v/>
      </c>
      <c r="U477" s="156">
        <f>IF(分析!V477&lt;&gt;"",分析!V477,"")</f>
        <v/>
      </c>
      <c r="V477" s="607">
        <f>IF(分析!W477&lt;&gt;"",分析!W477,"")</f>
        <v/>
      </c>
      <c r="W477" s="167">
        <f>IF(分析!AD477&lt;&gt;"",分析!AD477,"")</f>
        <v/>
      </c>
      <c r="X477" s="168">
        <f>IF(分析!AE477&lt;&gt;"",分析!AE477,"")</f>
        <v/>
      </c>
      <c r="Y477" s="169">
        <f>IF(分析!T477&lt;&gt;"",分析!T477,"")</f>
        <v/>
      </c>
      <c r="Z477" s="155">
        <f>IF(分析!Y477&lt;&gt;"",分析!Y477,"")</f>
        <v/>
      </c>
    </row>
    <row r="478" ht="21.95" customHeight="1" s="574">
      <c r="A478" s="141">
        <f>IF(分析!C478&lt;&gt;"",ROW()-2,"")</f>
        <v/>
      </c>
      <c r="B478" s="142">
        <f>IF(分析!C478&lt;&gt;"",HYPERLINK("https://kabutan.jp/stock/?code="&amp;分析!C478,"株探"),"")</f>
        <v/>
      </c>
      <c r="C478" s="598">
        <f>IF(分析!C478&lt;&gt;"",分析!C478,"")</f>
        <v/>
      </c>
      <c r="D478" s="144">
        <f>IF(分析!D478&lt;&gt;"",分析!D478,"")</f>
        <v/>
      </c>
      <c r="E478" s="145">
        <f>IF(分析!E478&lt;&gt;"",分析!E478,"")</f>
        <v/>
      </c>
      <c r="F478" s="146">
        <f>IF(分析!F478&lt;&gt;"",分析!F478,"")</f>
        <v/>
      </c>
      <c r="G478" s="146">
        <f>IF(分析!H478&lt;&gt;"",分析!H478,"")</f>
        <v/>
      </c>
      <c r="H478" s="146">
        <f>IF(分析!I478&lt;&gt;"",分析!I478,"")</f>
        <v/>
      </c>
      <c r="I478" s="146">
        <f>IF(分析!J478&lt;&gt;"",分析!J478,"")</f>
        <v/>
      </c>
      <c r="J478" s="146">
        <f>IF(分析!AB478&lt;&gt;"",分析!AB478,"")</f>
        <v/>
      </c>
      <c r="K478" s="146">
        <f>IF(分析!AC478&lt;&gt;"",分析!AC478,"")</f>
        <v/>
      </c>
      <c r="L478" s="146">
        <f>IF(分析!K478&lt;&gt;"",分析!K478,"")</f>
        <v/>
      </c>
      <c r="M478" s="141">
        <f>IF(分析!P478&lt;&gt;"",分析!P478,"")</f>
        <v/>
      </c>
      <c r="N478" s="599">
        <f>IF(分析!O478&lt;&gt;"",分析!O478,"")</f>
        <v/>
      </c>
      <c r="O478" s="148">
        <f>IF(分析!X478&lt;&gt;"",分析!X478,"")</f>
        <v/>
      </c>
      <c r="P478" s="600">
        <f>IF(分析!L478&lt;&gt;"",分析!L478,"")</f>
        <v/>
      </c>
      <c r="Q478" s="146">
        <f>IF(分析!S478&lt;&gt;"",分析!S478,"")</f>
        <v/>
      </c>
      <c r="R478" s="146">
        <f>IF(分析!R478&lt;&gt;"",分析!R478,"")</f>
        <v/>
      </c>
      <c r="S478" s="141">
        <f>IF(分析!AA478&lt;&gt;"",分析!AA478,"")</f>
        <v/>
      </c>
      <c r="T478" s="601">
        <f>IF(分析!Z478&lt;&gt;"",分析!Z478,"")</f>
        <v/>
      </c>
      <c r="U478" s="141">
        <f>IF(分析!V478&lt;&gt;"",分析!V478,"")</f>
        <v/>
      </c>
      <c r="V478" s="602">
        <f>IF(分析!W478&lt;&gt;"",分析!W478,"")</f>
        <v/>
      </c>
      <c r="W478" s="152">
        <f>IF(分析!AD478&lt;&gt;"",分析!AD478,"")</f>
        <v/>
      </c>
      <c r="X478" s="153">
        <f>IF(分析!AE478&lt;&gt;"",分析!AE478,"")</f>
        <v/>
      </c>
      <c r="Y478" s="154">
        <f>IF(分析!T478&lt;&gt;"",分析!T478,"")</f>
        <v/>
      </c>
      <c r="Z478" s="155">
        <f>IF(分析!Y478&lt;&gt;"",分析!Y478,"")</f>
        <v/>
      </c>
    </row>
    <row r="479" ht="21.95" customHeight="1" s="574">
      <c r="A479" s="156">
        <f>IF(分析!C479&lt;&gt;"",ROW()-2,"")</f>
        <v/>
      </c>
      <c r="B479" s="157">
        <f>IF(分析!C479&lt;&gt;"",HYPERLINK("https://kabutan.jp/stock/?code="&amp;分析!C479,"株探"),"")</f>
        <v/>
      </c>
      <c r="C479" s="603">
        <f>IF(分析!C479&lt;&gt;"",分析!C479,"")</f>
        <v/>
      </c>
      <c r="D479" s="159">
        <f>IF(分析!D479&lt;&gt;"",分析!D479,"")</f>
        <v/>
      </c>
      <c r="E479" s="160">
        <f>IF(分析!E479&lt;&gt;"",分析!E479,"")</f>
        <v/>
      </c>
      <c r="F479" s="161">
        <f>IF(分析!F479&lt;&gt;"",分析!F479,"")</f>
        <v/>
      </c>
      <c r="G479" s="161">
        <f>IF(分析!H479&lt;&gt;"",分析!H479,"")</f>
        <v/>
      </c>
      <c r="H479" s="161">
        <f>IF(分析!I479&lt;&gt;"",分析!I479,"")</f>
        <v/>
      </c>
      <c r="I479" s="161">
        <f>IF(分析!J479&lt;&gt;"",分析!J479,"")</f>
        <v/>
      </c>
      <c r="J479" s="161">
        <f>IF(分析!AB479&lt;&gt;"",分析!AB479,"")</f>
        <v/>
      </c>
      <c r="K479" s="161">
        <f>IF(分析!AC479&lt;&gt;"",分析!AC479,"")</f>
        <v/>
      </c>
      <c r="L479" s="161">
        <f>IF(分析!K479&lt;&gt;"",分析!K479,"")</f>
        <v/>
      </c>
      <c r="M479" s="156">
        <f>IF(分析!P479&lt;&gt;"",分析!P479,"")</f>
        <v/>
      </c>
      <c r="N479" s="604">
        <f>IF(分析!O479&lt;&gt;"",分析!O479,"")</f>
        <v/>
      </c>
      <c r="O479" s="163">
        <f>IF(分析!X479&lt;&gt;"",分析!X479,"")</f>
        <v/>
      </c>
      <c r="P479" s="605">
        <f>IF(分析!L479&lt;&gt;"",分析!L479,"")</f>
        <v/>
      </c>
      <c r="Q479" s="161">
        <f>IF(分析!S479&lt;&gt;"",分析!S479,"")</f>
        <v/>
      </c>
      <c r="R479" s="161">
        <f>IF(分析!R479&lt;&gt;"",分析!R479,"")</f>
        <v/>
      </c>
      <c r="S479" s="156">
        <f>IF(分析!AA479&lt;&gt;"",分析!AA479,"")</f>
        <v/>
      </c>
      <c r="T479" s="606">
        <f>IF(分析!Z479&lt;&gt;"",分析!Z479,"")</f>
        <v/>
      </c>
      <c r="U479" s="156">
        <f>IF(分析!V479&lt;&gt;"",分析!V479,"")</f>
        <v/>
      </c>
      <c r="V479" s="607">
        <f>IF(分析!W479&lt;&gt;"",分析!W479,"")</f>
        <v/>
      </c>
      <c r="W479" s="167">
        <f>IF(分析!AD479&lt;&gt;"",分析!AD479,"")</f>
        <v/>
      </c>
      <c r="X479" s="168">
        <f>IF(分析!AE479&lt;&gt;"",分析!AE479,"")</f>
        <v/>
      </c>
      <c r="Y479" s="169">
        <f>IF(分析!T479&lt;&gt;"",分析!T479,"")</f>
        <v/>
      </c>
      <c r="Z479" s="155">
        <f>IF(分析!Y479&lt;&gt;"",分析!Y479,"")</f>
        <v/>
      </c>
    </row>
    <row r="480" ht="21.95" customHeight="1" s="574">
      <c r="A480" s="141">
        <f>IF(分析!C480&lt;&gt;"",ROW()-2,"")</f>
        <v/>
      </c>
      <c r="B480" s="142">
        <f>IF(分析!C480&lt;&gt;"",HYPERLINK("https://kabutan.jp/stock/?code="&amp;分析!C480,"株探"),"")</f>
        <v/>
      </c>
      <c r="C480" s="598">
        <f>IF(分析!C480&lt;&gt;"",分析!C480,"")</f>
        <v/>
      </c>
      <c r="D480" s="144">
        <f>IF(分析!D480&lt;&gt;"",分析!D480,"")</f>
        <v/>
      </c>
      <c r="E480" s="145">
        <f>IF(分析!E480&lt;&gt;"",分析!E480,"")</f>
        <v/>
      </c>
      <c r="F480" s="146">
        <f>IF(分析!F480&lt;&gt;"",分析!F480,"")</f>
        <v/>
      </c>
      <c r="G480" s="146">
        <f>IF(分析!H480&lt;&gt;"",分析!H480,"")</f>
        <v/>
      </c>
      <c r="H480" s="146">
        <f>IF(分析!I480&lt;&gt;"",分析!I480,"")</f>
        <v/>
      </c>
      <c r="I480" s="146">
        <f>IF(分析!J480&lt;&gt;"",分析!J480,"")</f>
        <v/>
      </c>
      <c r="J480" s="146">
        <f>IF(分析!AB480&lt;&gt;"",分析!AB480,"")</f>
        <v/>
      </c>
      <c r="K480" s="146">
        <f>IF(分析!AC480&lt;&gt;"",分析!AC480,"")</f>
        <v/>
      </c>
      <c r="L480" s="146">
        <f>IF(分析!K480&lt;&gt;"",分析!K480,"")</f>
        <v/>
      </c>
      <c r="M480" s="141">
        <f>IF(分析!P480&lt;&gt;"",分析!P480,"")</f>
        <v/>
      </c>
      <c r="N480" s="599">
        <f>IF(分析!O480&lt;&gt;"",分析!O480,"")</f>
        <v/>
      </c>
      <c r="O480" s="148">
        <f>IF(分析!X480&lt;&gt;"",分析!X480,"")</f>
        <v/>
      </c>
      <c r="P480" s="600">
        <f>IF(分析!L480&lt;&gt;"",分析!L480,"")</f>
        <v/>
      </c>
      <c r="Q480" s="146">
        <f>IF(分析!S480&lt;&gt;"",分析!S480,"")</f>
        <v/>
      </c>
      <c r="R480" s="146">
        <f>IF(分析!R480&lt;&gt;"",分析!R480,"")</f>
        <v/>
      </c>
      <c r="S480" s="141">
        <f>IF(分析!AA480&lt;&gt;"",分析!AA480,"")</f>
        <v/>
      </c>
      <c r="T480" s="601">
        <f>IF(分析!Z480&lt;&gt;"",分析!Z480,"")</f>
        <v/>
      </c>
      <c r="U480" s="141">
        <f>IF(分析!V480&lt;&gt;"",分析!V480,"")</f>
        <v/>
      </c>
      <c r="V480" s="602">
        <f>IF(分析!W480&lt;&gt;"",分析!W480,"")</f>
        <v/>
      </c>
      <c r="W480" s="152">
        <f>IF(分析!AD480&lt;&gt;"",分析!AD480,"")</f>
        <v/>
      </c>
      <c r="X480" s="153">
        <f>IF(分析!AE480&lt;&gt;"",分析!AE480,"")</f>
        <v/>
      </c>
      <c r="Y480" s="154">
        <f>IF(分析!T480&lt;&gt;"",分析!T480,"")</f>
        <v/>
      </c>
      <c r="Z480" s="155">
        <f>IF(分析!Y480&lt;&gt;"",分析!Y480,"")</f>
        <v/>
      </c>
    </row>
    <row r="481" ht="21.95" customHeight="1" s="574">
      <c r="A481" s="156">
        <f>IF(分析!C481&lt;&gt;"",ROW()-2,"")</f>
        <v/>
      </c>
      <c r="B481" s="157">
        <f>IF(分析!C481&lt;&gt;"",HYPERLINK("https://kabutan.jp/stock/?code="&amp;分析!C481,"株探"),"")</f>
        <v/>
      </c>
      <c r="C481" s="603">
        <f>IF(分析!C481&lt;&gt;"",分析!C481,"")</f>
        <v/>
      </c>
      <c r="D481" s="159">
        <f>IF(分析!D481&lt;&gt;"",分析!D481,"")</f>
        <v/>
      </c>
      <c r="E481" s="160">
        <f>IF(分析!E481&lt;&gt;"",分析!E481,"")</f>
        <v/>
      </c>
      <c r="F481" s="161">
        <f>IF(分析!F481&lt;&gt;"",分析!F481,"")</f>
        <v/>
      </c>
      <c r="G481" s="161">
        <f>IF(分析!H481&lt;&gt;"",分析!H481,"")</f>
        <v/>
      </c>
      <c r="H481" s="161">
        <f>IF(分析!I481&lt;&gt;"",分析!I481,"")</f>
        <v/>
      </c>
      <c r="I481" s="161">
        <f>IF(分析!J481&lt;&gt;"",分析!J481,"")</f>
        <v/>
      </c>
      <c r="J481" s="161">
        <f>IF(分析!AB481&lt;&gt;"",分析!AB481,"")</f>
        <v/>
      </c>
      <c r="K481" s="161">
        <f>IF(分析!AC481&lt;&gt;"",分析!AC481,"")</f>
        <v/>
      </c>
      <c r="L481" s="161">
        <f>IF(分析!K481&lt;&gt;"",分析!K481,"")</f>
        <v/>
      </c>
      <c r="M481" s="156">
        <f>IF(分析!P481&lt;&gt;"",分析!P481,"")</f>
        <v/>
      </c>
      <c r="N481" s="604">
        <f>IF(分析!O481&lt;&gt;"",分析!O481,"")</f>
        <v/>
      </c>
      <c r="O481" s="163">
        <f>IF(分析!X481&lt;&gt;"",分析!X481,"")</f>
        <v/>
      </c>
      <c r="P481" s="605">
        <f>IF(分析!L481&lt;&gt;"",分析!L481,"")</f>
        <v/>
      </c>
      <c r="Q481" s="161">
        <f>IF(分析!S481&lt;&gt;"",分析!S481,"")</f>
        <v/>
      </c>
      <c r="R481" s="161">
        <f>IF(分析!R481&lt;&gt;"",分析!R481,"")</f>
        <v/>
      </c>
      <c r="S481" s="156">
        <f>IF(分析!AA481&lt;&gt;"",分析!AA481,"")</f>
        <v/>
      </c>
      <c r="T481" s="606">
        <f>IF(分析!Z481&lt;&gt;"",分析!Z481,"")</f>
        <v/>
      </c>
      <c r="U481" s="156">
        <f>IF(分析!V481&lt;&gt;"",分析!V481,"")</f>
        <v/>
      </c>
      <c r="V481" s="607">
        <f>IF(分析!W481&lt;&gt;"",分析!W481,"")</f>
        <v/>
      </c>
      <c r="W481" s="167">
        <f>IF(分析!AD481&lt;&gt;"",分析!AD481,"")</f>
        <v/>
      </c>
      <c r="X481" s="168">
        <f>IF(分析!AE481&lt;&gt;"",分析!AE481,"")</f>
        <v/>
      </c>
      <c r="Y481" s="169">
        <f>IF(分析!T481&lt;&gt;"",分析!T481,"")</f>
        <v/>
      </c>
      <c r="Z481" s="155">
        <f>IF(分析!Y481&lt;&gt;"",分析!Y481,"")</f>
        <v/>
      </c>
    </row>
    <row r="482" ht="21.95" customHeight="1" s="574">
      <c r="A482" s="141">
        <f>IF(分析!C482&lt;&gt;"",ROW()-2,"")</f>
        <v/>
      </c>
      <c r="B482" s="142">
        <f>IF(分析!C482&lt;&gt;"",HYPERLINK("https://kabutan.jp/stock/?code="&amp;分析!C482,"株探"),"")</f>
        <v/>
      </c>
      <c r="C482" s="598">
        <f>IF(分析!C482&lt;&gt;"",分析!C482,"")</f>
        <v/>
      </c>
      <c r="D482" s="144">
        <f>IF(分析!D482&lt;&gt;"",分析!D482,"")</f>
        <v/>
      </c>
      <c r="E482" s="145">
        <f>IF(分析!E482&lt;&gt;"",分析!E482,"")</f>
        <v/>
      </c>
      <c r="F482" s="146">
        <f>IF(分析!F482&lt;&gt;"",分析!F482,"")</f>
        <v/>
      </c>
      <c r="G482" s="146">
        <f>IF(分析!H482&lt;&gt;"",分析!H482,"")</f>
        <v/>
      </c>
      <c r="H482" s="146">
        <f>IF(分析!I482&lt;&gt;"",分析!I482,"")</f>
        <v/>
      </c>
      <c r="I482" s="146">
        <f>IF(分析!J482&lt;&gt;"",分析!J482,"")</f>
        <v/>
      </c>
      <c r="J482" s="146">
        <f>IF(分析!AB482&lt;&gt;"",分析!AB482,"")</f>
        <v/>
      </c>
      <c r="K482" s="146">
        <f>IF(分析!AC482&lt;&gt;"",分析!AC482,"")</f>
        <v/>
      </c>
      <c r="L482" s="146">
        <f>IF(分析!K482&lt;&gt;"",分析!K482,"")</f>
        <v/>
      </c>
      <c r="M482" s="141">
        <f>IF(分析!P482&lt;&gt;"",分析!P482,"")</f>
        <v/>
      </c>
      <c r="N482" s="599">
        <f>IF(分析!O482&lt;&gt;"",分析!O482,"")</f>
        <v/>
      </c>
      <c r="O482" s="148">
        <f>IF(分析!X482&lt;&gt;"",分析!X482,"")</f>
        <v/>
      </c>
      <c r="P482" s="600">
        <f>IF(分析!L482&lt;&gt;"",分析!L482,"")</f>
        <v/>
      </c>
      <c r="Q482" s="146">
        <f>IF(分析!S482&lt;&gt;"",分析!S482,"")</f>
        <v/>
      </c>
      <c r="R482" s="146">
        <f>IF(分析!R482&lt;&gt;"",分析!R482,"")</f>
        <v/>
      </c>
      <c r="S482" s="141">
        <f>IF(分析!AA482&lt;&gt;"",分析!AA482,"")</f>
        <v/>
      </c>
      <c r="T482" s="601">
        <f>IF(分析!Z482&lt;&gt;"",分析!Z482,"")</f>
        <v/>
      </c>
      <c r="U482" s="141">
        <f>IF(分析!V482&lt;&gt;"",分析!V482,"")</f>
        <v/>
      </c>
      <c r="V482" s="602">
        <f>IF(分析!W482&lt;&gt;"",分析!W482,"")</f>
        <v/>
      </c>
      <c r="W482" s="152">
        <f>IF(分析!AD482&lt;&gt;"",分析!AD482,"")</f>
        <v/>
      </c>
      <c r="X482" s="153">
        <f>IF(分析!AE482&lt;&gt;"",分析!AE482,"")</f>
        <v/>
      </c>
      <c r="Y482" s="154">
        <f>IF(分析!T482&lt;&gt;"",分析!T482,"")</f>
        <v/>
      </c>
      <c r="Z482" s="155">
        <f>IF(分析!Y482&lt;&gt;"",分析!Y482,"")</f>
        <v/>
      </c>
    </row>
    <row r="483" ht="21.95" customHeight="1" s="574">
      <c r="A483" s="156">
        <f>IF(分析!C483&lt;&gt;"",ROW()-2,"")</f>
        <v/>
      </c>
      <c r="B483" s="157">
        <f>IF(分析!C483&lt;&gt;"",HYPERLINK("https://kabutan.jp/stock/?code="&amp;分析!C483,"株探"),"")</f>
        <v/>
      </c>
      <c r="C483" s="603">
        <f>IF(分析!C483&lt;&gt;"",分析!C483,"")</f>
        <v/>
      </c>
      <c r="D483" s="159">
        <f>IF(分析!D483&lt;&gt;"",分析!D483,"")</f>
        <v/>
      </c>
      <c r="E483" s="160">
        <f>IF(分析!E483&lt;&gt;"",分析!E483,"")</f>
        <v/>
      </c>
      <c r="F483" s="161">
        <f>IF(分析!F483&lt;&gt;"",分析!F483,"")</f>
        <v/>
      </c>
      <c r="G483" s="161">
        <f>IF(分析!H483&lt;&gt;"",分析!H483,"")</f>
        <v/>
      </c>
      <c r="H483" s="161">
        <f>IF(分析!I483&lt;&gt;"",分析!I483,"")</f>
        <v/>
      </c>
      <c r="I483" s="161">
        <f>IF(分析!J483&lt;&gt;"",分析!J483,"")</f>
        <v/>
      </c>
      <c r="J483" s="161">
        <f>IF(分析!AB483&lt;&gt;"",分析!AB483,"")</f>
        <v/>
      </c>
      <c r="K483" s="161">
        <f>IF(分析!AC483&lt;&gt;"",分析!AC483,"")</f>
        <v/>
      </c>
      <c r="L483" s="161">
        <f>IF(分析!K483&lt;&gt;"",分析!K483,"")</f>
        <v/>
      </c>
      <c r="M483" s="156">
        <f>IF(分析!P483&lt;&gt;"",分析!P483,"")</f>
        <v/>
      </c>
      <c r="N483" s="604">
        <f>IF(分析!O483&lt;&gt;"",分析!O483,"")</f>
        <v/>
      </c>
      <c r="O483" s="163">
        <f>IF(分析!X483&lt;&gt;"",分析!X483,"")</f>
        <v/>
      </c>
      <c r="P483" s="605">
        <f>IF(分析!L483&lt;&gt;"",分析!L483,"")</f>
        <v/>
      </c>
      <c r="Q483" s="161">
        <f>IF(分析!S483&lt;&gt;"",分析!S483,"")</f>
        <v/>
      </c>
      <c r="R483" s="161">
        <f>IF(分析!R483&lt;&gt;"",分析!R483,"")</f>
        <v/>
      </c>
      <c r="S483" s="156">
        <f>IF(分析!AA483&lt;&gt;"",分析!AA483,"")</f>
        <v/>
      </c>
      <c r="T483" s="606">
        <f>IF(分析!Z483&lt;&gt;"",分析!Z483,"")</f>
        <v/>
      </c>
      <c r="U483" s="156">
        <f>IF(分析!V483&lt;&gt;"",分析!V483,"")</f>
        <v/>
      </c>
      <c r="V483" s="607">
        <f>IF(分析!W483&lt;&gt;"",分析!W483,"")</f>
        <v/>
      </c>
      <c r="W483" s="167">
        <f>IF(分析!AD483&lt;&gt;"",分析!AD483,"")</f>
        <v/>
      </c>
      <c r="X483" s="168">
        <f>IF(分析!AE483&lt;&gt;"",分析!AE483,"")</f>
        <v/>
      </c>
      <c r="Y483" s="169">
        <f>IF(分析!T483&lt;&gt;"",分析!T483,"")</f>
        <v/>
      </c>
      <c r="Z483" s="155">
        <f>IF(分析!Y483&lt;&gt;"",分析!Y483,"")</f>
        <v/>
      </c>
    </row>
    <row r="484" ht="21.95" customHeight="1" s="574">
      <c r="A484" s="141">
        <f>IF(分析!C484&lt;&gt;"",ROW()-2,"")</f>
        <v/>
      </c>
      <c r="B484" s="142">
        <f>IF(分析!C484&lt;&gt;"",HYPERLINK("https://kabutan.jp/stock/?code="&amp;分析!C484,"株探"),"")</f>
        <v/>
      </c>
      <c r="C484" s="598">
        <f>IF(分析!C484&lt;&gt;"",分析!C484,"")</f>
        <v/>
      </c>
      <c r="D484" s="144">
        <f>IF(分析!D484&lt;&gt;"",分析!D484,"")</f>
        <v/>
      </c>
      <c r="E484" s="145">
        <f>IF(分析!E484&lt;&gt;"",分析!E484,"")</f>
        <v/>
      </c>
      <c r="F484" s="146">
        <f>IF(分析!F484&lt;&gt;"",分析!F484,"")</f>
        <v/>
      </c>
      <c r="G484" s="146">
        <f>IF(分析!H484&lt;&gt;"",分析!H484,"")</f>
        <v/>
      </c>
      <c r="H484" s="146">
        <f>IF(分析!I484&lt;&gt;"",分析!I484,"")</f>
        <v/>
      </c>
      <c r="I484" s="146">
        <f>IF(分析!J484&lt;&gt;"",分析!J484,"")</f>
        <v/>
      </c>
      <c r="J484" s="146">
        <f>IF(分析!AB484&lt;&gt;"",分析!AB484,"")</f>
        <v/>
      </c>
      <c r="K484" s="146">
        <f>IF(分析!AC484&lt;&gt;"",分析!AC484,"")</f>
        <v/>
      </c>
      <c r="L484" s="146">
        <f>IF(分析!K484&lt;&gt;"",分析!K484,"")</f>
        <v/>
      </c>
      <c r="M484" s="141">
        <f>IF(分析!P484&lt;&gt;"",分析!P484,"")</f>
        <v/>
      </c>
      <c r="N484" s="599">
        <f>IF(分析!O484&lt;&gt;"",分析!O484,"")</f>
        <v/>
      </c>
      <c r="O484" s="148">
        <f>IF(分析!X484&lt;&gt;"",分析!X484,"")</f>
        <v/>
      </c>
      <c r="P484" s="600">
        <f>IF(分析!L484&lt;&gt;"",分析!L484,"")</f>
        <v/>
      </c>
      <c r="Q484" s="146">
        <f>IF(分析!S484&lt;&gt;"",分析!S484,"")</f>
        <v/>
      </c>
      <c r="R484" s="146">
        <f>IF(分析!R484&lt;&gt;"",分析!R484,"")</f>
        <v/>
      </c>
      <c r="S484" s="141">
        <f>IF(分析!AA484&lt;&gt;"",分析!AA484,"")</f>
        <v/>
      </c>
      <c r="T484" s="601">
        <f>IF(分析!Z484&lt;&gt;"",分析!Z484,"")</f>
        <v/>
      </c>
      <c r="U484" s="141">
        <f>IF(分析!V484&lt;&gt;"",分析!V484,"")</f>
        <v/>
      </c>
      <c r="V484" s="602">
        <f>IF(分析!W484&lt;&gt;"",分析!W484,"")</f>
        <v/>
      </c>
      <c r="W484" s="152">
        <f>IF(分析!AD484&lt;&gt;"",分析!AD484,"")</f>
        <v/>
      </c>
      <c r="X484" s="153">
        <f>IF(分析!AE484&lt;&gt;"",分析!AE484,"")</f>
        <v/>
      </c>
      <c r="Y484" s="154">
        <f>IF(分析!T484&lt;&gt;"",分析!T484,"")</f>
        <v/>
      </c>
      <c r="Z484" s="155">
        <f>IF(分析!Y484&lt;&gt;"",分析!Y484,"")</f>
        <v/>
      </c>
    </row>
    <row r="485" ht="21.95" customHeight="1" s="574">
      <c r="A485" s="156">
        <f>IF(分析!C485&lt;&gt;"",ROW()-2,"")</f>
        <v/>
      </c>
      <c r="B485" s="157">
        <f>IF(分析!C485&lt;&gt;"",HYPERLINK("https://kabutan.jp/stock/?code="&amp;分析!C485,"株探"),"")</f>
        <v/>
      </c>
      <c r="C485" s="603">
        <f>IF(分析!C485&lt;&gt;"",分析!C485,"")</f>
        <v/>
      </c>
      <c r="D485" s="159">
        <f>IF(分析!D485&lt;&gt;"",分析!D485,"")</f>
        <v/>
      </c>
      <c r="E485" s="160">
        <f>IF(分析!E485&lt;&gt;"",分析!E485,"")</f>
        <v/>
      </c>
      <c r="F485" s="161">
        <f>IF(分析!F485&lt;&gt;"",分析!F485,"")</f>
        <v/>
      </c>
      <c r="G485" s="161">
        <f>IF(分析!H485&lt;&gt;"",分析!H485,"")</f>
        <v/>
      </c>
      <c r="H485" s="161">
        <f>IF(分析!I485&lt;&gt;"",分析!I485,"")</f>
        <v/>
      </c>
      <c r="I485" s="161">
        <f>IF(分析!J485&lt;&gt;"",分析!J485,"")</f>
        <v/>
      </c>
      <c r="J485" s="161">
        <f>IF(分析!AB485&lt;&gt;"",分析!AB485,"")</f>
        <v/>
      </c>
      <c r="K485" s="161">
        <f>IF(分析!AC485&lt;&gt;"",分析!AC485,"")</f>
        <v/>
      </c>
      <c r="L485" s="161">
        <f>IF(分析!K485&lt;&gt;"",分析!K485,"")</f>
        <v/>
      </c>
      <c r="M485" s="156">
        <f>IF(分析!P485&lt;&gt;"",分析!P485,"")</f>
        <v/>
      </c>
      <c r="N485" s="604">
        <f>IF(分析!O485&lt;&gt;"",分析!O485,"")</f>
        <v/>
      </c>
      <c r="O485" s="163">
        <f>IF(分析!X485&lt;&gt;"",分析!X485,"")</f>
        <v/>
      </c>
      <c r="P485" s="605">
        <f>IF(分析!L485&lt;&gt;"",分析!L485,"")</f>
        <v/>
      </c>
      <c r="Q485" s="161">
        <f>IF(分析!S485&lt;&gt;"",分析!S485,"")</f>
        <v/>
      </c>
      <c r="R485" s="161">
        <f>IF(分析!R485&lt;&gt;"",分析!R485,"")</f>
        <v/>
      </c>
      <c r="S485" s="156">
        <f>IF(分析!AA485&lt;&gt;"",分析!AA485,"")</f>
        <v/>
      </c>
      <c r="T485" s="606">
        <f>IF(分析!Z485&lt;&gt;"",分析!Z485,"")</f>
        <v/>
      </c>
      <c r="U485" s="156">
        <f>IF(分析!V485&lt;&gt;"",分析!V485,"")</f>
        <v/>
      </c>
      <c r="V485" s="607">
        <f>IF(分析!W485&lt;&gt;"",分析!W485,"")</f>
        <v/>
      </c>
      <c r="W485" s="167">
        <f>IF(分析!AD485&lt;&gt;"",分析!AD485,"")</f>
        <v/>
      </c>
      <c r="X485" s="168">
        <f>IF(分析!AE485&lt;&gt;"",分析!AE485,"")</f>
        <v/>
      </c>
      <c r="Y485" s="169">
        <f>IF(分析!T485&lt;&gt;"",分析!T485,"")</f>
        <v/>
      </c>
      <c r="Z485" s="155">
        <f>IF(分析!Y485&lt;&gt;"",分析!Y485,"")</f>
        <v/>
      </c>
    </row>
    <row r="486" ht="21.95" customHeight="1" s="574">
      <c r="A486" s="141">
        <f>IF(分析!C486&lt;&gt;"",ROW()-2,"")</f>
        <v/>
      </c>
      <c r="B486" s="142">
        <f>IF(分析!C486&lt;&gt;"",HYPERLINK("https://kabutan.jp/stock/?code="&amp;分析!C486,"株探"),"")</f>
        <v/>
      </c>
      <c r="C486" s="598">
        <f>IF(分析!C486&lt;&gt;"",分析!C486,"")</f>
        <v/>
      </c>
      <c r="D486" s="144">
        <f>IF(分析!D486&lt;&gt;"",分析!D486,"")</f>
        <v/>
      </c>
      <c r="E486" s="145">
        <f>IF(分析!E486&lt;&gt;"",分析!E486,"")</f>
        <v/>
      </c>
      <c r="F486" s="146">
        <f>IF(分析!F486&lt;&gt;"",分析!F486,"")</f>
        <v/>
      </c>
      <c r="G486" s="146">
        <f>IF(分析!H486&lt;&gt;"",分析!H486,"")</f>
        <v/>
      </c>
      <c r="H486" s="146">
        <f>IF(分析!I486&lt;&gt;"",分析!I486,"")</f>
        <v/>
      </c>
      <c r="I486" s="146">
        <f>IF(分析!J486&lt;&gt;"",分析!J486,"")</f>
        <v/>
      </c>
      <c r="J486" s="146">
        <f>IF(分析!AB486&lt;&gt;"",分析!AB486,"")</f>
        <v/>
      </c>
      <c r="K486" s="146">
        <f>IF(分析!AC486&lt;&gt;"",分析!AC486,"")</f>
        <v/>
      </c>
      <c r="L486" s="146">
        <f>IF(分析!K486&lt;&gt;"",分析!K486,"")</f>
        <v/>
      </c>
      <c r="M486" s="141">
        <f>IF(分析!P486&lt;&gt;"",分析!P486,"")</f>
        <v/>
      </c>
      <c r="N486" s="599">
        <f>IF(分析!O486&lt;&gt;"",分析!O486,"")</f>
        <v/>
      </c>
      <c r="O486" s="148">
        <f>IF(分析!X486&lt;&gt;"",分析!X486,"")</f>
        <v/>
      </c>
      <c r="P486" s="600">
        <f>IF(分析!L486&lt;&gt;"",分析!L486,"")</f>
        <v/>
      </c>
      <c r="Q486" s="146">
        <f>IF(分析!S486&lt;&gt;"",分析!S486,"")</f>
        <v/>
      </c>
      <c r="R486" s="146">
        <f>IF(分析!R486&lt;&gt;"",分析!R486,"")</f>
        <v/>
      </c>
      <c r="S486" s="141">
        <f>IF(分析!AA486&lt;&gt;"",分析!AA486,"")</f>
        <v/>
      </c>
      <c r="T486" s="601">
        <f>IF(分析!Z486&lt;&gt;"",分析!Z486,"")</f>
        <v/>
      </c>
      <c r="U486" s="141">
        <f>IF(分析!V486&lt;&gt;"",分析!V486,"")</f>
        <v/>
      </c>
      <c r="V486" s="602">
        <f>IF(分析!W486&lt;&gt;"",分析!W486,"")</f>
        <v/>
      </c>
      <c r="W486" s="152">
        <f>IF(分析!AD486&lt;&gt;"",分析!AD486,"")</f>
        <v/>
      </c>
      <c r="X486" s="153">
        <f>IF(分析!AE486&lt;&gt;"",分析!AE486,"")</f>
        <v/>
      </c>
      <c r="Y486" s="154">
        <f>IF(分析!T486&lt;&gt;"",分析!T486,"")</f>
        <v/>
      </c>
      <c r="Z486" s="155">
        <f>IF(分析!Y486&lt;&gt;"",分析!Y486,"")</f>
        <v/>
      </c>
    </row>
    <row r="487" ht="21.95" customHeight="1" s="574">
      <c r="A487" s="156">
        <f>IF(分析!C487&lt;&gt;"",ROW()-2,"")</f>
        <v/>
      </c>
      <c r="B487" s="157">
        <f>IF(分析!C487&lt;&gt;"",HYPERLINK("https://kabutan.jp/stock/?code="&amp;分析!C487,"株探"),"")</f>
        <v/>
      </c>
      <c r="C487" s="603">
        <f>IF(分析!C487&lt;&gt;"",分析!C487,"")</f>
        <v/>
      </c>
      <c r="D487" s="159">
        <f>IF(分析!D487&lt;&gt;"",分析!D487,"")</f>
        <v/>
      </c>
      <c r="E487" s="160">
        <f>IF(分析!E487&lt;&gt;"",分析!E487,"")</f>
        <v/>
      </c>
      <c r="F487" s="161">
        <f>IF(分析!F487&lt;&gt;"",分析!F487,"")</f>
        <v/>
      </c>
      <c r="G487" s="161">
        <f>IF(分析!H487&lt;&gt;"",分析!H487,"")</f>
        <v/>
      </c>
      <c r="H487" s="161">
        <f>IF(分析!I487&lt;&gt;"",分析!I487,"")</f>
        <v/>
      </c>
      <c r="I487" s="161">
        <f>IF(分析!J487&lt;&gt;"",分析!J487,"")</f>
        <v/>
      </c>
      <c r="J487" s="161">
        <f>IF(分析!AB487&lt;&gt;"",分析!AB487,"")</f>
        <v/>
      </c>
      <c r="K487" s="161">
        <f>IF(分析!AC487&lt;&gt;"",分析!AC487,"")</f>
        <v/>
      </c>
      <c r="L487" s="161">
        <f>IF(分析!K487&lt;&gt;"",分析!K487,"")</f>
        <v/>
      </c>
      <c r="M487" s="156">
        <f>IF(分析!P487&lt;&gt;"",分析!P487,"")</f>
        <v/>
      </c>
      <c r="N487" s="604">
        <f>IF(分析!O487&lt;&gt;"",分析!O487,"")</f>
        <v/>
      </c>
      <c r="O487" s="163">
        <f>IF(分析!X487&lt;&gt;"",分析!X487,"")</f>
        <v/>
      </c>
      <c r="P487" s="605">
        <f>IF(分析!L487&lt;&gt;"",分析!L487,"")</f>
        <v/>
      </c>
      <c r="Q487" s="161">
        <f>IF(分析!S487&lt;&gt;"",分析!S487,"")</f>
        <v/>
      </c>
      <c r="R487" s="161">
        <f>IF(分析!R487&lt;&gt;"",分析!R487,"")</f>
        <v/>
      </c>
      <c r="S487" s="156">
        <f>IF(分析!AA487&lt;&gt;"",分析!AA487,"")</f>
        <v/>
      </c>
      <c r="T487" s="606">
        <f>IF(分析!Z487&lt;&gt;"",分析!Z487,"")</f>
        <v/>
      </c>
      <c r="U487" s="156">
        <f>IF(分析!V487&lt;&gt;"",分析!V487,"")</f>
        <v/>
      </c>
      <c r="V487" s="607">
        <f>IF(分析!W487&lt;&gt;"",分析!W487,"")</f>
        <v/>
      </c>
      <c r="W487" s="167">
        <f>IF(分析!AD487&lt;&gt;"",分析!AD487,"")</f>
        <v/>
      </c>
      <c r="X487" s="168">
        <f>IF(分析!AE487&lt;&gt;"",分析!AE487,"")</f>
        <v/>
      </c>
      <c r="Y487" s="169">
        <f>IF(分析!T487&lt;&gt;"",分析!T487,"")</f>
        <v/>
      </c>
      <c r="Z487" s="155">
        <f>IF(分析!Y487&lt;&gt;"",分析!Y487,"")</f>
        <v/>
      </c>
    </row>
    <row r="488" ht="21.95" customHeight="1" s="574">
      <c r="A488" s="141">
        <f>IF(分析!C488&lt;&gt;"",ROW()-2,"")</f>
        <v/>
      </c>
      <c r="B488" s="142">
        <f>IF(分析!C488&lt;&gt;"",HYPERLINK("https://kabutan.jp/stock/?code="&amp;分析!C488,"株探"),"")</f>
        <v/>
      </c>
      <c r="C488" s="598">
        <f>IF(分析!C488&lt;&gt;"",分析!C488,"")</f>
        <v/>
      </c>
      <c r="D488" s="144">
        <f>IF(分析!D488&lt;&gt;"",分析!D488,"")</f>
        <v/>
      </c>
      <c r="E488" s="145">
        <f>IF(分析!E488&lt;&gt;"",分析!E488,"")</f>
        <v/>
      </c>
      <c r="F488" s="146">
        <f>IF(分析!F488&lt;&gt;"",分析!F488,"")</f>
        <v/>
      </c>
      <c r="G488" s="146">
        <f>IF(分析!H488&lt;&gt;"",分析!H488,"")</f>
        <v/>
      </c>
      <c r="H488" s="146">
        <f>IF(分析!I488&lt;&gt;"",分析!I488,"")</f>
        <v/>
      </c>
      <c r="I488" s="146">
        <f>IF(分析!J488&lt;&gt;"",分析!J488,"")</f>
        <v/>
      </c>
      <c r="J488" s="146">
        <f>IF(分析!AB488&lt;&gt;"",分析!AB488,"")</f>
        <v/>
      </c>
      <c r="K488" s="146">
        <f>IF(分析!AC488&lt;&gt;"",分析!AC488,"")</f>
        <v/>
      </c>
      <c r="L488" s="146">
        <f>IF(分析!K488&lt;&gt;"",分析!K488,"")</f>
        <v/>
      </c>
      <c r="M488" s="141">
        <f>IF(分析!P488&lt;&gt;"",分析!P488,"")</f>
        <v/>
      </c>
      <c r="N488" s="599">
        <f>IF(分析!O488&lt;&gt;"",分析!O488,"")</f>
        <v/>
      </c>
      <c r="O488" s="148">
        <f>IF(分析!X488&lt;&gt;"",分析!X488,"")</f>
        <v/>
      </c>
      <c r="P488" s="600">
        <f>IF(分析!L488&lt;&gt;"",分析!L488,"")</f>
        <v/>
      </c>
      <c r="Q488" s="146">
        <f>IF(分析!S488&lt;&gt;"",分析!S488,"")</f>
        <v/>
      </c>
      <c r="R488" s="146">
        <f>IF(分析!R488&lt;&gt;"",分析!R488,"")</f>
        <v/>
      </c>
      <c r="S488" s="141">
        <f>IF(分析!AA488&lt;&gt;"",分析!AA488,"")</f>
        <v/>
      </c>
      <c r="T488" s="601">
        <f>IF(分析!Z488&lt;&gt;"",分析!Z488,"")</f>
        <v/>
      </c>
      <c r="U488" s="141">
        <f>IF(分析!V488&lt;&gt;"",分析!V488,"")</f>
        <v/>
      </c>
      <c r="V488" s="602">
        <f>IF(分析!W488&lt;&gt;"",分析!W488,"")</f>
        <v/>
      </c>
      <c r="W488" s="152">
        <f>IF(分析!AD488&lt;&gt;"",分析!AD488,"")</f>
        <v/>
      </c>
      <c r="X488" s="153">
        <f>IF(分析!AE488&lt;&gt;"",分析!AE488,"")</f>
        <v/>
      </c>
      <c r="Y488" s="154">
        <f>IF(分析!T488&lt;&gt;"",分析!T488,"")</f>
        <v/>
      </c>
      <c r="Z488" s="155">
        <f>IF(分析!Y488&lt;&gt;"",分析!Y488,"")</f>
        <v/>
      </c>
    </row>
    <row r="489" ht="21.95" customHeight="1" s="574">
      <c r="A489" s="156">
        <f>IF(分析!C489&lt;&gt;"",ROW()-2,"")</f>
        <v/>
      </c>
      <c r="B489" s="157">
        <f>IF(分析!C489&lt;&gt;"",HYPERLINK("https://kabutan.jp/stock/?code="&amp;分析!C489,"株探"),"")</f>
        <v/>
      </c>
      <c r="C489" s="603">
        <f>IF(分析!C489&lt;&gt;"",分析!C489,"")</f>
        <v/>
      </c>
      <c r="D489" s="159">
        <f>IF(分析!D489&lt;&gt;"",分析!D489,"")</f>
        <v/>
      </c>
      <c r="E489" s="160">
        <f>IF(分析!E489&lt;&gt;"",分析!E489,"")</f>
        <v/>
      </c>
      <c r="F489" s="161">
        <f>IF(分析!F489&lt;&gt;"",分析!F489,"")</f>
        <v/>
      </c>
      <c r="G489" s="161">
        <f>IF(分析!H489&lt;&gt;"",分析!H489,"")</f>
        <v/>
      </c>
      <c r="H489" s="161">
        <f>IF(分析!I489&lt;&gt;"",分析!I489,"")</f>
        <v/>
      </c>
      <c r="I489" s="161">
        <f>IF(分析!J489&lt;&gt;"",分析!J489,"")</f>
        <v/>
      </c>
      <c r="J489" s="161">
        <f>IF(分析!AB489&lt;&gt;"",分析!AB489,"")</f>
        <v/>
      </c>
      <c r="K489" s="161">
        <f>IF(分析!AC489&lt;&gt;"",分析!AC489,"")</f>
        <v/>
      </c>
      <c r="L489" s="161">
        <f>IF(分析!K489&lt;&gt;"",分析!K489,"")</f>
        <v/>
      </c>
      <c r="M489" s="156">
        <f>IF(分析!P489&lt;&gt;"",分析!P489,"")</f>
        <v/>
      </c>
      <c r="N489" s="604">
        <f>IF(分析!O489&lt;&gt;"",分析!O489,"")</f>
        <v/>
      </c>
      <c r="O489" s="163">
        <f>IF(分析!X489&lt;&gt;"",分析!X489,"")</f>
        <v/>
      </c>
      <c r="P489" s="605">
        <f>IF(分析!L489&lt;&gt;"",分析!L489,"")</f>
        <v/>
      </c>
      <c r="Q489" s="161">
        <f>IF(分析!S489&lt;&gt;"",分析!S489,"")</f>
        <v/>
      </c>
      <c r="R489" s="161">
        <f>IF(分析!R489&lt;&gt;"",分析!R489,"")</f>
        <v/>
      </c>
      <c r="S489" s="156">
        <f>IF(分析!AA489&lt;&gt;"",分析!AA489,"")</f>
        <v/>
      </c>
      <c r="T489" s="606">
        <f>IF(分析!Z489&lt;&gt;"",分析!Z489,"")</f>
        <v/>
      </c>
      <c r="U489" s="156">
        <f>IF(分析!V489&lt;&gt;"",分析!V489,"")</f>
        <v/>
      </c>
      <c r="V489" s="607">
        <f>IF(分析!W489&lt;&gt;"",分析!W489,"")</f>
        <v/>
      </c>
      <c r="W489" s="167">
        <f>IF(分析!AD489&lt;&gt;"",分析!AD489,"")</f>
        <v/>
      </c>
      <c r="X489" s="168">
        <f>IF(分析!AE489&lt;&gt;"",分析!AE489,"")</f>
        <v/>
      </c>
      <c r="Y489" s="169">
        <f>IF(分析!T489&lt;&gt;"",分析!T489,"")</f>
        <v/>
      </c>
      <c r="Z489" s="155">
        <f>IF(分析!Y489&lt;&gt;"",分析!Y489,"")</f>
        <v/>
      </c>
    </row>
    <row r="490" ht="21.95" customHeight="1" s="574">
      <c r="A490" s="141">
        <f>IF(分析!C490&lt;&gt;"",ROW()-2,"")</f>
        <v/>
      </c>
      <c r="B490" s="142">
        <f>IF(分析!C490&lt;&gt;"",HYPERLINK("https://kabutan.jp/stock/?code="&amp;分析!C490,"株探"),"")</f>
        <v/>
      </c>
      <c r="C490" s="598">
        <f>IF(分析!C490&lt;&gt;"",分析!C490,"")</f>
        <v/>
      </c>
      <c r="D490" s="144">
        <f>IF(分析!D490&lt;&gt;"",分析!D490,"")</f>
        <v/>
      </c>
      <c r="E490" s="145">
        <f>IF(分析!E490&lt;&gt;"",分析!E490,"")</f>
        <v/>
      </c>
      <c r="F490" s="146">
        <f>IF(分析!F490&lt;&gt;"",分析!F490,"")</f>
        <v/>
      </c>
      <c r="G490" s="146">
        <f>IF(分析!H490&lt;&gt;"",分析!H490,"")</f>
        <v/>
      </c>
      <c r="H490" s="146">
        <f>IF(分析!I490&lt;&gt;"",分析!I490,"")</f>
        <v/>
      </c>
      <c r="I490" s="146">
        <f>IF(分析!J490&lt;&gt;"",分析!J490,"")</f>
        <v/>
      </c>
      <c r="J490" s="146">
        <f>IF(分析!AB490&lt;&gt;"",分析!AB490,"")</f>
        <v/>
      </c>
      <c r="K490" s="146">
        <f>IF(分析!AC490&lt;&gt;"",分析!AC490,"")</f>
        <v/>
      </c>
      <c r="L490" s="146">
        <f>IF(分析!K490&lt;&gt;"",分析!K490,"")</f>
        <v/>
      </c>
      <c r="M490" s="141">
        <f>IF(分析!P490&lt;&gt;"",分析!P490,"")</f>
        <v/>
      </c>
      <c r="N490" s="599">
        <f>IF(分析!O490&lt;&gt;"",分析!O490,"")</f>
        <v/>
      </c>
      <c r="O490" s="148">
        <f>IF(分析!X490&lt;&gt;"",分析!X490,"")</f>
        <v/>
      </c>
      <c r="P490" s="600">
        <f>IF(分析!L490&lt;&gt;"",分析!L490,"")</f>
        <v/>
      </c>
      <c r="Q490" s="146">
        <f>IF(分析!S490&lt;&gt;"",分析!S490,"")</f>
        <v/>
      </c>
      <c r="R490" s="146">
        <f>IF(分析!R490&lt;&gt;"",分析!R490,"")</f>
        <v/>
      </c>
      <c r="S490" s="141">
        <f>IF(分析!AA490&lt;&gt;"",分析!AA490,"")</f>
        <v/>
      </c>
      <c r="T490" s="601">
        <f>IF(分析!Z490&lt;&gt;"",分析!Z490,"")</f>
        <v/>
      </c>
      <c r="U490" s="141">
        <f>IF(分析!V490&lt;&gt;"",分析!V490,"")</f>
        <v/>
      </c>
      <c r="V490" s="602">
        <f>IF(分析!W490&lt;&gt;"",分析!W490,"")</f>
        <v/>
      </c>
      <c r="W490" s="152">
        <f>IF(分析!AD490&lt;&gt;"",分析!AD490,"")</f>
        <v/>
      </c>
      <c r="X490" s="153">
        <f>IF(分析!AE490&lt;&gt;"",分析!AE490,"")</f>
        <v/>
      </c>
      <c r="Y490" s="154">
        <f>IF(分析!T490&lt;&gt;"",分析!T490,"")</f>
        <v/>
      </c>
      <c r="Z490" s="155">
        <f>IF(分析!Y490&lt;&gt;"",分析!Y490,"")</f>
        <v/>
      </c>
    </row>
    <row r="491" ht="21.95" customHeight="1" s="574">
      <c r="A491" s="156">
        <f>IF(分析!C491&lt;&gt;"",ROW()-2,"")</f>
        <v/>
      </c>
      <c r="B491" s="157">
        <f>IF(分析!C491&lt;&gt;"",HYPERLINK("https://kabutan.jp/stock/?code="&amp;分析!C491,"株探"),"")</f>
        <v/>
      </c>
      <c r="C491" s="603">
        <f>IF(分析!C491&lt;&gt;"",分析!C491,"")</f>
        <v/>
      </c>
      <c r="D491" s="159">
        <f>IF(分析!D491&lt;&gt;"",分析!D491,"")</f>
        <v/>
      </c>
      <c r="E491" s="160">
        <f>IF(分析!E491&lt;&gt;"",分析!E491,"")</f>
        <v/>
      </c>
      <c r="F491" s="161">
        <f>IF(分析!F491&lt;&gt;"",分析!F491,"")</f>
        <v/>
      </c>
      <c r="G491" s="161">
        <f>IF(分析!H491&lt;&gt;"",分析!H491,"")</f>
        <v/>
      </c>
      <c r="H491" s="161">
        <f>IF(分析!I491&lt;&gt;"",分析!I491,"")</f>
        <v/>
      </c>
      <c r="I491" s="161">
        <f>IF(分析!J491&lt;&gt;"",分析!J491,"")</f>
        <v/>
      </c>
      <c r="J491" s="161">
        <f>IF(分析!AB491&lt;&gt;"",分析!AB491,"")</f>
        <v/>
      </c>
      <c r="K491" s="161">
        <f>IF(分析!AC491&lt;&gt;"",分析!AC491,"")</f>
        <v/>
      </c>
      <c r="L491" s="161">
        <f>IF(分析!K491&lt;&gt;"",分析!K491,"")</f>
        <v/>
      </c>
      <c r="M491" s="156">
        <f>IF(分析!P491&lt;&gt;"",分析!P491,"")</f>
        <v/>
      </c>
      <c r="N491" s="604">
        <f>IF(分析!O491&lt;&gt;"",分析!O491,"")</f>
        <v/>
      </c>
      <c r="O491" s="163">
        <f>IF(分析!X491&lt;&gt;"",分析!X491,"")</f>
        <v/>
      </c>
      <c r="P491" s="605">
        <f>IF(分析!L491&lt;&gt;"",分析!L491,"")</f>
        <v/>
      </c>
      <c r="Q491" s="161">
        <f>IF(分析!S491&lt;&gt;"",分析!S491,"")</f>
        <v/>
      </c>
      <c r="R491" s="161">
        <f>IF(分析!R491&lt;&gt;"",分析!R491,"")</f>
        <v/>
      </c>
      <c r="S491" s="156">
        <f>IF(分析!AA491&lt;&gt;"",分析!AA491,"")</f>
        <v/>
      </c>
      <c r="T491" s="606">
        <f>IF(分析!Z491&lt;&gt;"",分析!Z491,"")</f>
        <v/>
      </c>
      <c r="U491" s="156">
        <f>IF(分析!V491&lt;&gt;"",分析!V491,"")</f>
        <v/>
      </c>
      <c r="V491" s="607">
        <f>IF(分析!W491&lt;&gt;"",分析!W491,"")</f>
        <v/>
      </c>
      <c r="W491" s="167">
        <f>IF(分析!AD491&lt;&gt;"",分析!AD491,"")</f>
        <v/>
      </c>
      <c r="X491" s="168">
        <f>IF(分析!AE491&lt;&gt;"",分析!AE491,"")</f>
        <v/>
      </c>
      <c r="Y491" s="169">
        <f>IF(分析!T491&lt;&gt;"",分析!T491,"")</f>
        <v/>
      </c>
      <c r="Z491" s="155">
        <f>IF(分析!Y491&lt;&gt;"",分析!Y491,"")</f>
        <v/>
      </c>
    </row>
    <row r="492" ht="21.95" customHeight="1" s="574">
      <c r="A492" s="141">
        <f>IF(分析!C492&lt;&gt;"",ROW()-2,"")</f>
        <v/>
      </c>
      <c r="B492" s="142">
        <f>IF(分析!C492&lt;&gt;"",HYPERLINK("https://kabutan.jp/stock/?code="&amp;分析!C492,"株探"),"")</f>
        <v/>
      </c>
      <c r="C492" s="598">
        <f>IF(分析!C492&lt;&gt;"",分析!C492,"")</f>
        <v/>
      </c>
      <c r="D492" s="144">
        <f>IF(分析!D492&lt;&gt;"",分析!D492,"")</f>
        <v/>
      </c>
      <c r="E492" s="145">
        <f>IF(分析!E492&lt;&gt;"",分析!E492,"")</f>
        <v/>
      </c>
      <c r="F492" s="146">
        <f>IF(分析!F492&lt;&gt;"",分析!F492,"")</f>
        <v/>
      </c>
      <c r="G492" s="146">
        <f>IF(分析!H492&lt;&gt;"",分析!H492,"")</f>
        <v/>
      </c>
      <c r="H492" s="146">
        <f>IF(分析!I492&lt;&gt;"",分析!I492,"")</f>
        <v/>
      </c>
      <c r="I492" s="146">
        <f>IF(分析!J492&lt;&gt;"",分析!J492,"")</f>
        <v/>
      </c>
      <c r="J492" s="146">
        <f>IF(分析!AB492&lt;&gt;"",分析!AB492,"")</f>
        <v/>
      </c>
      <c r="K492" s="146">
        <f>IF(分析!AC492&lt;&gt;"",分析!AC492,"")</f>
        <v/>
      </c>
      <c r="L492" s="146">
        <f>IF(分析!K492&lt;&gt;"",分析!K492,"")</f>
        <v/>
      </c>
      <c r="M492" s="141">
        <f>IF(分析!P492&lt;&gt;"",分析!P492,"")</f>
        <v/>
      </c>
      <c r="N492" s="599">
        <f>IF(分析!O492&lt;&gt;"",分析!O492,"")</f>
        <v/>
      </c>
      <c r="O492" s="148">
        <f>IF(分析!X492&lt;&gt;"",分析!X492,"")</f>
        <v/>
      </c>
      <c r="P492" s="600">
        <f>IF(分析!L492&lt;&gt;"",分析!L492,"")</f>
        <v/>
      </c>
      <c r="Q492" s="146">
        <f>IF(分析!S492&lt;&gt;"",分析!S492,"")</f>
        <v/>
      </c>
      <c r="R492" s="146">
        <f>IF(分析!R492&lt;&gt;"",分析!R492,"")</f>
        <v/>
      </c>
      <c r="S492" s="141">
        <f>IF(分析!AA492&lt;&gt;"",分析!AA492,"")</f>
        <v/>
      </c>
      <c r="T492" s="601">
        <f>IF(分析!Z492&lt;&gt;"",分析!Z492,"")</f>
        <v/>
      </c>
      <c r="U492" s="141">
        <f>IF(分析!V492&lt;&gt;"",分析!V492,"")</f>
        <v/>
      </c>
      <c r="V492" s="602">
        <f>IF(分析!W492&lt;&gt;"",分析!W492,"")</f>
        <v/>
      </c>
      <c r="W492" s="152">
        <f>IF(分析!AD492&lt;&gt;"",分析!AD492,"")</f>
        <v/>
      </c>
      <c r="X492" s="153">
        <f>IF(分析!AE492&lt;&gt;"",分析!AE492,"")</f>
        <v/>
      </c>
      <c r="Y492" s="154">
        <f>IF(分析!T492&lt;&gt;"",分析!T492,"")</f>
        <v/>
      </c>
      <c r="Z492" s="155">
        <f>IF(分析!Y492&lt;&gt;"",分析!Y492,"")</f>
        <v/>
      </c>
    </row>
    <row r="493" ht="21.95" customHeight="1" s="574">
      <c r="A493" s="156">
        <f>IF(分析!C493&lt;&gt;"",ROW()-2,"")</f>
        <v/>
      </c>
      <c r="B493" s="157">
        <f>IF(分析!C493&lt;&gt;"",HYPERLINK("https://kabutan.jp/stock/?code="&amp;分析!C493,"株探"),"")</f>
        <v/>
      </c>
      <c r="C493" s="603">
        <f>IF(分析!C493&lt;&gt;"",分析!C493,"")</f>
        <v/>
      </c>
      <c r="D493" s="159">
        <f>IF(分析!D493&lt;&gt;"",分析!D493,"")</f>
        <v/>
      </c>
      <c r="E493" s="160">
        <f>IF(分析!E493&lt;&gt;"",分析!E493,"")</f>
        <v/>
      </c>
      <c r="F493" s="161">
        <f>IF(分析!F493&lt;&gt;"",分析!F493,"")</f>
        <v/>
      </c>
      <c r="G493" s="161">
        <f>IF(分析!H493&lt;&gt;"",分析!H493,"")</f>
        <v/>
      </c>
      <c r="H493" s="161">
        <f>IF(分析!I493&lt;&gt;"",分析!I493,"")</f>
        <v/>
      </c>
      <c r="I493" s="161">
        <f>IF(分析!J493&lt;&gt;"",分析!J493,"")</f>
        <v/>
      </c>
      <c r="J493" s="161">
        <f>IF(分析!AB493&lt;&gt;"",分析!AB493,"")</f>
        <v/>
      </c>
      <c r="K493" s="161">
        <f>IF(分析!AC493&lt;&gt;"",分析!AC493,"")</f>
        <v/>
      </c>
      <c r="L493" s="161">
        <f>IF(分析!K493&lt;&gt;"",分析!K493,"")</f>
        <v/>
      </c>
      <c r="M493" s="156">
        <f>IF(分析!P493&lt;&gt;"",分析!P493,"")</f>
        <v/>
      </c>
      <c r="N493" s="604">
        <f>IF(分析!O493&lt;&gt;"",分析!O493,"")</f>
        <v/>
      </c>
      <c r="O493" s="163">
        <f>IF(分析!X493&lt;&gt;"",分析!X493,"")</f>
        <v/>
      </c>
      <c r="P493" s="605">
        <f>IF(分析!L493&lt;&gt;"",分析!L493,"")</f>
        <v/>
      </c>
      <c r="Q493" s="161">
        <f>IF(分析!S493&lt;&gt;"",分析!S493,"")</f>
        <v/>
      </c>
      <c r="R493" s="161">
        <f>IF(分析!R493&lt;&gt;"",分析!R493,"")</f>
        <v/>
      </c>
      <c r="S493" s="156">
        <f>IF(分析!AA493&lt;&gt;"",分析!AA493,"")</f>
        <v/>
      </c>
      <c r="T493" s="606">
        <f>IF(分析!Z493&lt;&gt;"",分析!Z493,"")</f>
        <v/>
      </c>
      <c r="U493" s="156">
        <f>IF(分析!V493&lt;&gt;"",分析!V493,"")</f>
        <v/>
      </c>
      <c r="V493" s="607">
        <f>IF(分析!W493&lt;&gt;"",分析!W493,"")</f>
        <v/>
      </c>
      <c r="W493" s="167">
        <f>IF(分析!AD493&lt;&gt;"",分析!AD493,"")</f>
        <v/>
      </c>
      <c r="X493" s="168">
        <f>IF(分析!AE493&lt;&gt;"",分析!AE493,"")</f>
        <v/>
      </c>
      <c r="Y493" s="169">
        <f>IF(分析!T493&lt;&gt;"",分析!T493,"")</f>
        <v/>
      </c>
      <c r="Z493" s="155">
        <f>IF(分析!Y493&lt;&gt;"",分析!Y493,"")</f>
        <v/>
      </c>
    </row>
    <row r="494" ht="21.95" customHeight="1" s="574">
      <c r="A494" s="141">
        <f>IF(分析!C494&lt;&gt;"",ROW()-2,"")</f>
        <v/>
      </c>
      <c r="B494" s="142">
        <f>IF(分析!C494&lt;&gt;"",HYPERLINK("https://kabutan.jp/stock/?code="&amp;分析!C494,"株探"),"")</f>
        <v/>
      </c>
      <c r="C494" s="598">
        <f>IF(分析!C494&lt;&gt;"",分析!C494,"")</f>
        <v/>
      </c>
      <c r="D494" s="144">
        <f>IF(分析!D494&lt;&gt;"",分析!D494,"")</f>
        <v/>
      </c>
      <c r="E494" s="145">
        <f>IF(分析!E494&lt;&gt;"",分析!E494,"")</f>
        <v/>
      </c>
      <c r="F494" s="146">
        <f>IF(分析!F494&lt;&gt;"",分析!F494,"")</f>
        <v/>
      </c>
      <c r="G494" s="146">
        <f>IF(分析!H494&lt;&gt;"",分析!H494,"")</f>
        <v/>
      </c>
      <c r="H494" s="146">
        <f>IF(分析!I494&lt;&gt;"",分析!I494,"")</f>
        <v/>
      </c>
      <c r="I494" s="146">
        <f>IF(分析!J494&lt;&gt;"",分析!J494,"")</f>
        <v/>
      </c>
      <c r="J494" s="146">
        <f>IF(分析!AB494&lt;&gt;"",分析!AB494,"")</f>
        <v/>
      </c>
      <c r="K494" s="146">
        <f>IF(分析!AC494&lt;&gt;"",分析!AC494,"")</f>
        <v/>
      </c>
      <c r="L494" s="146">
        <f>IF(分析!K494&lt;&gt;"",分析!K494,"")</f>
        <v/>
      </c>
      <c r="M494" s="141">
        <f>IF(分析!P494&lt;&gt;"",分析!P494,"")</f>
        <v/>
      </c>
      <c r="N494" s="599">
        <f>IF(分析!O494&lt;&gt;"",分析!O494,"")</f>
        <v/>
      </c>
      <c r="O494" s="148">
        <f>IF(分析!X494&lt;&gt;"",分析!X494,"")</f>
        <v/>
      </c>
      <c r="P494" s="600">
        <f>IF(分析!L494&lt;&gt;"",分析!L494,"")</f>
        <v/>
      </c>
      <c r="Q494" s="146">
        <f>IF(分析!S494&lt;&gt;"",分析!S494,"")</f>
        <v/>
      </c>
      <c r="R494" s="146">
        <f>IF(分析!R494&lt;&gt;"",分析!R494,"")</f>
        <v/>
      </c>
      <c r="S494" s="141">
        <f>IF(分析!AA494&lt;&gt;"",分析!AA494,"")</f>
        <v/>
      </c>
      <c r="T494" s="601">
        <f>IF(分析!Z494&lt;&gt;"",分析!Z494,"")</f>
        <v/>
      </c>
      <c r="U494" s="141">
        <f>IF(分析!V494&lt;&gt;"",分析!V494,"")</f>
        <v/>
      </c>
      <c r="V494" s="602">
        <f>IF(分析!W494&lt;&gt;"",分析!W494,"")</f>
        <v/>
      </c>
      <c r="W494" s="152">
        <f>IF(分析!AD494&lt;&gt;"",分析!AD494,"")</f>
        <v/>
      </c>
      <c r="X494" s="153">
        <f>IF(分析!AE494&lt;&gt;"",分析!AE494,"")</f>
        <v/>
      </c>
      <c r="Y494" s="154">
        <f>IF(分析!T494&lt;&gt;"",分析!T494,"")</f>
        <v/>
      </c>
      <c r="Z494" s="155">
        <f>IF(分析!Y494&lt;&gt;"",分析!Y494,"")</f>
        <v/>
      </c>
    </row>
    <row r="495" ht="21.95" customHeight="1" s="574">
      <c r="A495" s="156">
        <f>IF(分析!C495&lt;&gt;"",ROW()-2,"")</f>
        <v/>
      </c>
      <c r="B495" s="157">
        <f>IF(分析!C495&lt;&gt;"",HYPERLINK("https://kabutan.jp/stock/?code="&amp;分析!C495,"株探"),"")</f>
        <v/>
      </c>
      <c r="C495" s="603">
        <f>IF(分析!C495&lt;&gt;"",分析!C495,"")</f>
        <v/>
      </c>
      <c r="D495" s="159">
        <f>IF(分析!D495&lt;&gt;"",分析!D495,"")</f>
        <v/>
      </c>
      <c r="E495" s="160">
        <f>IF(分析!E495&lt;&gt;"",分析!E495,"")</f>
        <v/>
      </c>
      <c r="F495" s="161">
        <f>IF(分析!F495&lt;&gt;"",分析!F495,"")</f>
        <v/>
      </c>
      <c r="G495" s="161">
        <f>IF(分析!H495&lt;&gt;"",分析!H495,"")</f>
        <v/>
      </c>
      <c r="H495" s="161">
        <f>IF(分析!I495&lt;&gt;"",分析!I495,"")</f>
        <v/>
      </c>
      <c r="I495" s="161">
        <f>IF(分析!J495&lt;&gt;"",分析!J495,"")</f>
        <v/>
      </c>
      <c r="J495" s="161">
        <f>IF(分析!AB495&lt;&gt;"",分析!AB495,"")</f>
        <v/>
      </c>
      <c r="K495" s="161">
        <f>IF(分析!AC495&lt;&gt;"",分析!AC495,"")</f>
        <v/>
      </c>
      <c r="L495" s="161">
        <f>IF(分析!K495&lt;&gt;"",分析!K495,"")</f>
        <v/>
      </c>
      <c r="M495" s="156">
        <f>IF(分析!P495&lt;&gt;"",分析!P495,"")</f>
        <v/>
      </c>
      <c r="N495" s="604">
        <f>IF(分析!O495&lt;&gt;"",分析!O495,"")</f>
        <v/>
      </c>
      <c r="O495" s="163">
        <f>IF(分析!X495&lt;&gt;"",分析!X495,"")</f>
        <v/>
      </c>
      <c r="P495" s="605">
        <f>IF(分析!L495&lt;&gt;"",分析!L495,"")</f>
        <v/>
      </c>
      <c r="Q495" s="161">
        <f>IF(分析!S495&lt;&gt;"",分析!S495,"")</f>
        <v/>
      </c>
      <c r="R495" s="161">
        <f>IF(分析!R495&lt;&gt;"",分析!R495,"")</f>
        <v/>
      </c>
      <c r="S495" s="156">
        <f>IF(分析!AA495&lt;&gt;"",分析!AA495,"")</f>
        <v/>
      </c>
      <c r="T495" s="606">
        <f>IF(分析!Z495&lt;&gt;"",分析!Z495,"")</f>
        <v/>
      </c>
      <c r="U495" s="156">
        <f>IF(分析!V495&lt;&gt;"",分析!V495,"")</f>
        <v/>
      </c>
      <c r="V495" s="607">
        <f>IF(分析!W495&lt;&gt;"",分析!W495,"")</f>
        <v/>
      </c>
      <c r="W495" s="167">
        <f>IF(分析!AD495&lt;&gt;"",分析!AD495,"")</f>
        <v/>
      </c>
      <c r="X495" s="168">
        <f>IF(分析!AE495&lt;&gt;"",分析!AE495,"")</f>
        <v/>
      </c>
      <c r="Y495" s="169">
        <f>IF(分析!T495&lt;&gt;"",分析!T495,"")</f>
        <v/>
      </c>
      <c r="Z495" s="155">
        <f>IF(分析!Y495&lt;&gt;"",分析!Y495,"")</f>
        <v/>
      </c>
    </row>
    <row r="496" ht="21.95" customHeight="1" s="574">
      <c r="A496" s="141">
        <f>IF(分析!C496&lt;&gt;"",ROW()-2,"")</f>
        <v/>
      </c>
      <c r="B496" s="142">
        <f>IF(分析!C496&lt;&gt;"",HYPERLINK("https://kabutan.jp/stock/?code="&amp;分析!C496,"株探"),"")</f>
        <v/>
      </c>
      <c r="C496" s="598">
        <f>IF(分析!C496&lt;&gt;"",分析!C496,"")</f>
        <v/>
      </c>
      <c r="D496" s="144">
        <f>IF(分析!D496&lt;&gt;"",分析!D496,"")</f>
        <v/>
      </c>
      <c r="E496" s="145">
        <f>IF(分析!E496&lt;&gt;"",分析!E496,"")</f>
        <v/>
      </c>
      <c r="F496" s="146">
        <f>IF(分析!F496&lt;&gt;"",分析!F496,"")</f>
        <v/>
      </c>
      <c r="G496" s="146">
        <f>IF(分析!H496&lt;&gt;"",分析!H496,"")</f>
        <v/>
      </c>
      <c r="H496" s="146">
        <f>IF(分析!I496&lt;&gt;"",分析!I496,"")</f>
        <v/>
      </c>
      <c r="I496" s="146">
        <f>IF(分析!J496&lt;&gt;"",分析!J496,"")</f>
        <v/>
      </c>
      <c r="J496" s="146">
        <f>IF(分析!AB496&lt;&gt;"",分析!AB496,"")</f>
        <v/>
      </c>
      <c r="K496" s="146">
        <f>IF(分析!AC496&lt;&gt;"",分析!AC496,"")</f>
        <v/>
      </c>
      <c r="L496" s="146">
        <f>IF(分析!K496&lt;&gt;"",分析!K496,"")</f>
        <v/>
      </c>
      <c r="M496" s="141">
        <f>IF(分析!P496&lt;&gt;"",分析!P496,"")</f>
        <v/>
      </c>
      <c r="N496" s="599">
        <f>IF(分析!O496&lt;&gt;"",分析!O496,"")</f>
        <v/>
      </c>
      <c r="O496" s="148">
        <f>IF(分析!X496&lt;&gt;"",分析!X496,"")</f>
        <v/>
      </c>
      <c r="P496" s="600">
        <f>IF(分析!L496&lt;&gt;"",分析!L496,"")</f>
        <v/>
      </c>
      <c r="Q496" s="146">
        <f>IF(分析!S496&lt;&gt;"",分析!S496,"")</f>
        <v/>
      </c>
      <c r="R496" s="146">
        <f>IF(分析!R496&lt;&gt;"",分析!R496,"")</f>
        <v/>
      </c>
      <c r="S496" s="141">
        <f>IF(分析!AA496&lt;&gt;"",分析!AA496,"")</f>
        <v/>
      </c>
      <c r="T496" s="601">
        <f>IF(分析!Z496&lt;&gt;"",分析!Z496,"")</f>
        <v/>
      </c>
      <c r="U496" s="141">
        <f>IF(分析!V496&lt;&gt;"",分析!V496,"")</f>
        <v/>
      </c>
      <c r="V496" s="602">
        <f>IF(分析!W496&lt;&gt;"",分析!W496,"")</f>
        <v/>
      </c>
      <c r="W496" s="152">
        <f>IF(分析!AD496&lt;&gt;"",分析!AD496,"")</f>
        <v/>
      </c>
      <c r="X496" s="153">
        <f>IF(分析!AE496&lt;&gt;"",分析!AE496,"")</f>
        <v/>
      </c>
      <c r="Y496" s="154">
        <f>IF(分析!T496&lt;&gt;"",分析!T496,"")</f>
        <v/>
      </c>
      <c r="Z496" s="155">
        <f>IF(分析!Y496&lt;&gt;"",分析!Y496,"")</f>
        <v/>
      </c>
    </row>
    <row r="497" ht="21.95" customHeight="1" s="574">
      <c r="A497" s="156">
        <f>IF(分析!C497&lt;&gt;"",ROW()-2,"")</f>
        <v/>
      </c>
      <c r="B497" s="157">
        <f>IF(分析!C497&lt;&gt;"",HYPERLINK("https://kabutan.jp/stock/?code="&amp;分析!C497,"株探"),"")</f>
        <v/>
      </c>
      <c r="C497" s="603">
        <f>IF(分析!C497&lt;&gt;"",分析!C497,"")</f>
        <v/>
      </c>
      <c r="D497" s="159">
        <f>IF(分析!D497&lt;&gt;"",分析!D497,"")</f>
        <v/>
      </c>
      <c r="E497" s="160">
        <f>IF(分析!E497&lt;&gt;"",分析!E497,"")</f>
        <v/>
      </c>
      <c r="F497" s="161">
        <f>IF(分析!F497&lt;&gt;"",分析!F497,"")</f>
        <v/>
      </c>
      <c r="G497" s="161">
        <f>IF(分析!H497&lt;&gt;"",分析!H497,"")</f>
        <v/>
      </c>
      <c r="H497" s="161">
        <f>IF(分析!I497&lt;&gt;"",分析!I497,"")</f>
        <v/>
      </c>
      <c r="I497" s="161">
        <f>IF(分析!J497&lt;&gt;"",分析!J497,"")</f>
        <v/>
      </c>
      <c r="J497" s="161">
        <f>IF(分析!AB497&lt;&gt;"",分析!AB497,"")</f>
        <v/>
      </c>
      <c r="K497" s="161">
        <f>IF(分析!AC497&lt;&gt;"",分析!AC497,"")</f>
        <v/>
      </c>
      <c r="L497" s="161">
        <f>IF(分析!K497&lt;&gt;"",分析!K497,"")</f>
        <v/>
      </c>
      <c r="M497" s="156">
        <f>IF(分析!P497&lt;&gt;"",分析!P497,"")</f>
        <v/>
      </c>
      <c r="N497" s="604">
        <f>IF(分析!O497&lt;&gt;"",分析!O497,"")</f>
        <v/>
      </c>
      <c r="O497" s="163">
        <f>IF(分析!X497&lt;&gt;"",分析!X497,"")</f>
        <v/>
      </c>
      <c r="P497" s="605">
        <f>IF(分析!L497&lt;&gt;"",分析!L497,"")</f>
        <v/>
      </c>
      <c r="Q497" s="161">
        <f>IF(分析!S497&lt;&gt;"",分析!S497,"")</f>
        <v/>
      </c>
      <c r="R497" s="161">
        <f>IF(分析!R497&lt;&gt;"",分析!R497,"")</f>
        <v/>
      </c>
      <c r="S497" s="156">
        <f>IF(分析!AA497&lt;&gt;"",分析!AA497,"")</f>
        <v/>
      </c>
      <c r="T497" s="606">
        <f>IF(分析!Z497&lt;&gt;"",分析!Z497,"")</f>
        <v/>
      </c>
      <c r="U497" s="156">
        <f>IF(分析!V497&lt;&gt;"",分析!V497,"")</f>
        <v/>
      </c>
      <c r="V497" s="607">
        <f>IF(分析!W497&lt;&gt;"",分析!W497,"")</f>
        <v/>
      </c>
      <c r="W497" s="167">
        <f>IF(分析!AD497&lt;&gt;"",分析!AD497,"")</f>
        <v/>
      </c>
      <c r="X497" s="168">
        <f>IF(分析!AE497&lt;&gt;"",分析!AE497,"")</f>
        <v/>
      </c>
      <c r="Y497" s="169">
        <f>IF(分析!T497&lt;&gt;"",分析!T497,"")</f>
        <v/>
      </c>
      <c r="Z497" s="155">
        <f>IF(分析!Y497&lt;&gt;"",分析!Y497,"")</f>
        <v/>
      </c>
    </row>
    <row r="498" ht="21.95" customHeight="1" s="574">
      <c r="A498" s="141">
        <f>IF(分析!C498&lt;&gt;"",ROW()-2,"")</f>
        <v/>
      </c>
      <c r="B498" s="142">
        <f>IF(分析!C498&lt;&gt;"",HYPERLINK("https://kabutan.jp/stock/?code="&amp;分析!C498,"株探"),"")</f>
        <v/>
      </c>
      <c r="C498" s="598">
        <f>IF(分析!C498&lt;&gt;"",分析!C498,"")</f>
        <v/>
      </c>
      <c r="D498" s="144">
        <f>IF(分析!D498&lt;&gt;"",分析!D498,"")</f>
        <v/>
      </c>
      <c r="E498" s="145">
        <f>IF(分析!E498&lt;&gt;"",分析!E498,"")</f>
        <v/>
      </c>
      <c r="F498" s="146">
        <f>IF(分析!F498&lt;&gt;"",分析!F498,"")</f>
        <v/>
      </c>
      <c r="G498" s="146">
        <f>IF(分析!H498&lt;&gt;"",分析!H498,"")</f>
        <v/>
      </c>
      <c r="H498" s="146">
        <f>IF(分析!I498&lt;&gt;"",分析!I498,"")</f>
        <v/>
      </c>
      <c r="I498" s="146">
        <f>IF(分析!J498&lt;&gt;"",分析!J498,"")</f>
        <v/>
      </c>
      <c r="J498" s="146">
        <f>IF(分析!AB498&lt;&gt;"",分析!AB498,"")</f>
        <v/>
      </c>
      <c r="K498" s="146">
        <f>IF(分析!AC498&lt;&gt;"",分析!AC498,"")</f>
        <v/>
      </c>
      <c r="L498" s="146">
        <f>IF(分析!K498&lt;&gt;"",分析!K498,"")</f>
        <v/>
      </c>
      <c r="M498" s="141">
        <f>IF(分析!P498&lt;&gt;"",分析!P498,"")</f>
        <v/>
      </c>
      <c r="N498" s="599">
        <f>IF(分析!O498&lt;&gt;"",分析!O498,"")</f>
        <v/>
      </c>
      <c r="O498" s="148">
        <f>IF(分析!X498&lt;&gt;"",分析!X498,"")</f>
        <v/>
      </c>
      <c r="P498" s="600">
        <f>IF(分析!L498&lt;&gt;"",分析!L498,"")</f>
        <v/>
      </c>
      <c r="Q498" s="146">
        <f>IF(分析!S498&lt;&gt;"",分析!S498,"")</f>
        <v/>
      </c>
      <c r="R498" s="146">
        <f>IF(分析!R498&lt;&gt;"",分析!R498,"")</f>
        <v/>
      </c>
      <c r="S498" s="141">
        <f>IF(分析!AA498&lt;&gt;"",分析!AA498,"")</f>
        <v/>
      </c>
      <c r="T498" s="601">
        <f>IF(分析!Z498&lt;&gt;"",分析!Z498,"")</f>
        <v/>
      </c>
      <c r="U498" s="141">
        <f>IF(分析!V498&lt;&gt;"",分析!V498,"")</f>
        <v/>
      </c>
      <c r="V498" s="602">
        <f>IF(分析!W498&lt;&gt;"",分析!W498,"")</f>
        <v/>
      </c>
      <c r="W498" s="152">
        <f>IF(分析!AD498&lt;&gt;"",分析!AD498,"")</f>
        <v/>
      </c>
      <c r="X498" s="153">
        <f>IF(分析!AE498&lt;&gt;"",分析!AE498,"")</f>
        <v/>
      </c>
      <c r="Y498" s="154">
        <f>IF(分析!T498&lt;&gt;"",分析!T498,"")</f>
        <v/>
      </c>
      <c r="Z498" s="155">
        <f>IF(分析!Y498&lt;&gt;"",分析!Y498,"")</f>
        <v/>
      </c>
    </row>
    <row r="499" ht="21.95" customHeight="1" s="574">
      <c r="A499" s="156">
        <f>IF(分析!C499&lt;&gt;"",ROW()-2,"")</f>
        <v/>
      </c>
      <c r="B499" s="157">
        <f>IF(分析!C499&lt;&gt;"",HYPERLINK("https://kabutan.jp/stock/?code="&amp;分析!C499,"株探"),"")</f>
        <v/>
      </c>
      <c r="C499" s="603">
        <f>IF(分析!C499&lt;&gt;"",分析!C499,"")</f>
        <v/>
      </c>
      <c r="D499" s="159">
        <f>IF(分析!D499&lt;&gt;"",分析!D499,"")</f>
        <v/>
      </c>
      <c r="E499" s="160">
        <f>IF(分析!E499&lt;&gt;"",分析!E499,"")</f>
        <v/>
      </c>
      <c r="F499" s="161">
        <f>IF(分析!F499&lt;&gt;"",分析!F499,"")</f>
        <v/>
      </c>
      <c r="G499" s="161">
        <f>IF(分析!H499&lt;&gt;"",分析!H499,"")</f>
        <v/>
      </c>
      <c r="H499" s="161">
        <f>IF(分析!I499&lt;&gt;"",分析!I499,"")</f>
        <v/>
      </c>
      <c r="I499" s="161">
        <f>IF(分析!J499&lt;&gt;"",分析!J499,"")</f>
        <v/>
      </c>
      <c r="J499" s="161">
        <f>IF(分析!AB499&lt;&gt;"",分析!AB499,"")</f>
        <v/>
      </c>
      <c r="K499" s="161">
        <f>IF(分析!AC499&lt;&gt;"",分析!AC499,"")</f>
        <v/>
      </c>
      <c r="L499" s="161">
        <f>IF(分析!K499&lt;&gt;"",分析!K499,"")</f>
        <v/>
      </c>
      <c r="M499" s="156">
        <f>IF(分析!P499&lt;&gt;"",分析!P499,"")</f>
        <v/>
      </c>
      <c r="N499" s="604">
        <f>IF(分析!O499&lt;&gt;"",分析!O499,"")</f>
        <v/>
      </c>
      <c r="O499" s="163">
        <f>IF(分析!X499&lt;&gt;"",分析!X499,"")</f>
        <v/>
      </c>
      <c r="P499" s="605">
        <f>IF(分析!L499&lt;&gt;"",分析!L499,"")</f>
        <v/>
      </c>
      <c r="Q499" s="161">
        <f>IF(分析!S499&lt;&gt;"",分析!S499,"")</f>
        <v/>
      </c>
      <c r="R499" s="161">
        <f>IF(分析!R499&lt;&gt;"",分析!R499,"")</f>
        <v/>
      </c>
      <c r="S499" s="156">
        <f>IF(分析!AA499&lt;&gt;"",分析!AA499,"")</f>
        <v/>
      </c>
      <c r="T499" s="606">
        <f>IF(分析!Z499&lt;&gt;"",分析!Z499,"")</f>
        <v/>
      </c>
      <c r="U499" s="156">
        <f>IF(分析!V499&lt;&gt;"",分析!V499,"")</f>
        <v/>
      </c>
      <c r="V499" s="607">
        <f>IF(分析!W499&lt;&gt;"",分析!W499,"")</f>
        <v/>
      </c>
      <c r="W499" s="167">
        <f>IF(分析!AD499&lt;&gt;"",分析!AD499,"")</f>
        <v/>
      </c>
      <c r="X499" s="168">
        <f>IF(分析!AE499&lt;&gt;"",分析!AE499,"")</f>
        <v/>
      </c>
      <c r="Y499" s="169">
        <f>IF(分析!T499&lt;&gt;"",分析!T499,"")</f>
        <v/>
      </c>
      <c r="Z499" s="155">
        <f>IF(分析!Y499&lt;&gt;"",分析!Y499,"")</f>
        <v/>
      </c>
    </row>
    <row r="500" ht="21.95" customHeight="1" s="574">
      <c r="A500" s="141">
        <f>IF(分析!C500&lt;&gt;"",ROW()-2,"")</f>
        <v/>
      </c>
      <c r="B500" s="142">
        <f>IF(分析!C500&lt;&gt;"",HYPERLINK("https://kabutan.jp/stock/?code="&amp;分析!C500,"株探"),"")</f>
        <v/>
      </c>
      <c r="C500" s="598">
        <f>IF(分析!C500&lt;&gt;"",分析!C500,"")</f>
        <v/>
      </c>
      <c r="D500" s="144">
        <f>IF(分析!D500&lt;&gt;"",分析!D500,"")</f>
        <v/>
      </c>
      <c r="E500" s="145">
        <f>IF(分析!E500&lt;&gt;"",分析!E500,"")</f>
        <v/>
      </c>
      <c r="F500" s="146">
        <f>IF(分析!F500&lt;&gt;"",分析!F500,"")</f>
        <v/>
      </c>
      <c r="G500" s="146">
        <f>IF(分析!H500&lt;&gt;"",分析!H500,"")</f>
        <v/>
      </c>
      <c r="H500" s="146">
        <f>IF(分析!I500&lt;&gt;"",分析!I500,"")</f>
        <v/>
      </c>
      <c r="I500" s="146">
        <f>IF(分析!J500&lt;&gt;"",分析!J500,"")</f>
        <v/>
      </c>
      <c r="J500" s="146">
        <f>IF(分析!AB500&lt;&gt;"",分析!AB500,"")</f>
        <v/>
      </c>
      <c r="K500" s="146">
        <f>IF(分析!AC500&lt;&gt;"",分析!AC500,"")</f>
        <v/>
      </c>
      <c r="L500" s="146">
        <f>IF(分析!K500&lt;&gt;"",分析!K500,"")</f>
        <v/>
      </c>
      <c r="M500" s="141">
        <f>IF(分析!P500&lt;&gt;"",分析!P500,"")</f>
        <v/>
      </c>
      <c r="N500" s="599">
        <f>IF(分析!O500&lt;&gt;"",分析!O500,"")</f>
        <v/>
      </c>
      <c r="O500" s="148">
        <f>IF(分析!X500&lt;&gt;"",分析!X500,"")</f>
        <v/>
      </c>
      <c r="P500" s="600">
        <f>IF(分析!L500&lt;&gt;"",分析!L500,"")</f>
        <v/>
      </c>
      <c r="Q500" s="146">
        <f>IF(分析!S500&lt;&gt;"",分析!S500,"")</f>
        <v/>
      </c>
      <c r="R500" s="146">
        <f>IF(分析!R500&lt;&gt;"",分析!R500,"")</f>
        <v/>
      </c>
      <c r="S500" s="141">
        <f>IF(分析!AA500&lt;&gt;"",分析!AA500,"")</f>
        <v/>
      </c>
      <c r="T500" s="601">
        <f>IF(分析!Z500&lt;&gt;"",分析!Z500,"")</f>
        <v/>
      </c>
      <c r="U500" s="141">
        <f>IF(分析!V500&lt;&gt;"",分析!V500,"")</f>
        <v/>
      </c>
      <c r="V500" s="602">
        <f>IF(分析!W500&lt;&gt;"",分析!W500,"")</f>
        <v/>
      </c>
      <c r="W500" s="152">
        <f>IF(分析!AD500&lt;&gt;"",分析!AD500,"")</f>
        <v/>
      </c>
      <c r="X500" s="153">
        <f>IF(分析!AE500&lt;&gt;"",分析!AE500,"")</f>
        <v/>
      </c>
      <c r="Y500" s="154">
        <f>IF(分析!T500&lt;&gt;"",分析!T500,"")</f>
        <v/>
      </c>
      <c r="Z500" s="155">
        <f>IF(分析!Y500&lt;&gt;"",分析!Y500,"")</f>
        <v/>
      </c>
    </row>
    <row r="501" ht="21.95" customHeight="1" s="574">
      <c r="A501" s="156">
        <f>IF(分析!C501&lt;&gt;"",ROW()-2,"")</f>
        <v/>
      </c>
      <c r="B501" s="157">
        <f>IF(分析!C501&lt;&gt;"",HYPERLINK("https://kabutan.jp/stock/?code="&amp;分析!C501,"株探"),"")</f>
        <v/>
      </c>
      <c r="C501" s="603">
        <f>IF(分析!C501&lt;&gt;"",分析!C501,"")</f>
        <v/>
      </c>
      <c r="D501" s="159">
        <f>IF(分析!D501&lt;&gt;"",分析!D501,"")</f>
        <v/>
      </c>
      <c r="E501" s="160">
        <f>IF(分析!E501&lt;&gt;"",分析!E501,"")</f>
        <v/>
      </c>
      <c r="F501" s="161">
        <f>IF(分析!F501&lt;&gt;"",分析!F501,"")</f>
        <v/>
      </c>
      <c r="G501" s="161">
        <f>IF(分析!H501&lt;&gt;"",分析!H501,"")</f>
        <v/>
      </c>
      <c r="H501" s="161">
        <f>IF(分析!I501&lt;&gt;"",分析!I501,"")</f>
        <v/>
      </c>
      <c r="I501" s="161">
        <f>IF(分析!J501&lt;&gt;"",分析!J501,"")</f>
        <v/>
      </c>
      <c r="J501" s="161">
        <f>IF(分析!AB501&lt;&gt;"",分析!AB501,"")</f>
        <v/>
      </c>
      <c r="K501" s="161">
        <f>IF(分析!AC501&lt;&gt;"",分析!AC501,"")</f>
        <v/>
      </c>
      <c r="L501" s="161">
        <f>IF(分析!K501&lt;&gt;"",分析!K501,"")</f>
        <v/>
      </c>
      <c r="M501" s="156">
        <f>IF(分析!P501&lt;&gt;"",分析!P501,"")</f>
        <v/>
      </c>
      <c r="N501" s="604">
        <f>IF(分析!O501&lt;&gt;"",分析!O501,"")</f>
        <v/>
      </c>
      <c r="O501" s="163">
        <f>IF(分析!X501&lt;&gt;"",分析!X501,"")</f>
        <v/>
      </c>
      <c r="P501" s="605">
        <f>IF(分析!L501&lt;&gt;"",分析!L501,"")</f>
        <v/>
      </c>
      <c r="Q501" s="161">
        <f>IF(分析!S501&lt;&gt;"",分析!S501,"")</f>
        <v/>
      </c>
      <c r="R501" s="161">
        <f>IF(分析!R501&lt;&gt;"",分析!R501,"")</f>
        <v/>
      </c>
      <c r="S501" s="156">
        <f>IF(分析!AA501&lt;&gt;"",分析!AA501,"")</f>
        <v/>
      </c>
      <c r="T501" s="606">
        <f>IF(分析!Z501&lt;&gt;"",分析!Z501,"")</f>
        <v/>
      </c>
      <c r="U501" s="156">
        <f>IF(分析!V501&lt;&gt;"",分析!V501,"")</f>
        <v/>
      </c>
      <c r="V501" s="607">
        <f>IF(分析!W501&lt;&gt;"",分析!W501,"")</f>
        <v/>
      </c>
      <c r="W501" s="167">
        <f>IF(分析!AD501&lt;&gt;"",分析!AD501,"")</f>
        <v/>
      </c>
      <c r="X501" s="168">
        <f>IF(分析!AE501&lt;&gt;"",分析!AE501,"")</f>
        <v/>
      </c>
      <c r="Y501" s="169">
        <f>IF(分析!T501&lt;&gt;"",分析!T501,"")</f>
        <v/>
      </c>
      <c r="Z501" s="155">
        <f>IF(分析!Y501&lt;&gt;"",分析!Y501,"")</f>
        <v/>
      </c>
    </row>
    <row r="502" ht="21.95" customHeight="1" s="574">
      <c r="A502" s="141">
        <f>IF(分析!C502&lt;&gt;"",ROW()-2,"")</f>
        <v/>
      </c>
      <c r="B502" s="142">
        <f>IF(分析!C502&lt;&gt;"",HYPERLINK("https://kabutan.jp/stock/?code="&amp;分析!C502,"株探"),"")</f>
        <v/>
      </c>
      <c r="C502" s="598">
        <f>IF(分析!C502&lt;&gt;"",分析!C502,"")</f>
        <v/>
      </c>
      <c r="D502" s="144">
        <f>IF(分析!D502&lt;&gt;"",分析!D502,"")</f>
        <v/>
      </c>
      <c r="E502" s="145">
        <f>IF(分析!E502&lt;&gt;"",分析!E502,"")</f>
        <v/>
      </c>
      <c r="F502" s="146">
        <f>IF(分析!F502&lt;&gt;"",分析!F502,"")</f>
        <v/>
      </c>
      <c r="G502" s="146">
        <f>IF(分析!H502&lt;&gt;"",分析!H502,"")</f>
        <v/>
      </c>
      <c r="H502" s="146">
        <f>IF(分析!I502&lt;&gt;"",分析!I502,"")</f>
        <v/>
      </c>
      <c r="I502" s="146">
        <f>IF(分析!J502&lt;&gt;"",分析!J502,"")</f>
        <v/>
      </c>
      <c r="J502" s="146">
        <f>IF(分析!AB502&lt;&gt;"",分析!AB502,"")</f>
        <v/>
      </c>
      <c r="K502" s="146">
        <f>IF(分析!AC502&lt;&gt;"",分析!AC502,"")</f>
        <v/>
      </c>
      <c r="L502" s="146">
        <f>IF(分析!K502&lt;&gt;"",分析!K502,"")</f>
        <v/>
      </c>
      <c r="M502" s="141">
        <f>IF(分析!P502&lt;&gt;"",分析!P502,"")</f>
        <v/>
      </c>
      <c r="N502" s="599">
        <f>IF(分析!O502&lt;&gt;"",分析!O502,"")</f>
        <v/>
      </c>
      <c r="O502" s="148">
        <f>IF(分析!X502&lt;&gt;"",分析!X502,"")</f>
        <v/>
      </c>
      <c r="P502" s="600">
        <f>IF(分析!L502&lt;&gt;"",分析!L502,"")</f>
        <v/>
      </c>
      <c r="Q502" s="146">
        <f>IF(分析!S502&lt;&gt;"",分析!S502,"")</f>
        <v/>
      </c>
      <c r="R502" s="146">
        <f>IF(分析!R502&lt;&gt;"",分析!R502,"")</f>
        <v/>
      </c>
      <c r="S502" s="141">
        <f>IF(分析!AA502&lt;&gt;"",分析!AA502,"")</f>
        <v/>
      </c>
      <c r="T502" s="601">
        <f>IF(分析!Z502&lt;&gt;"",分析!Z502,"")</f>
        <v/>
      </c>
      <c r="U502" s="141">
        <f>IF(分析!V502&lt;&gt;"",分析!V502,"")</f>
        <v/>
      </c>
      <c r="V502" s="602">
        <f>IF(分析!W502&lt;&gt;"",分析!W502,"")</f>
        <v/>
      </c>
      <c r="W502" s="152">
        <f>IF(分析!AD502&lt;&gt;"",分析!AD502,"")</f>
        <v/>
      </c>
      <c r="X502" s="153">
        <f>IF(分析!AE502&lt;&gt;"",分析!AE502,"")</f>
        <v/>
      </c>
      <c r="Y502" s="154">
        <f>IF(分析!T502&lt;&gt;"",分析!T502,"")</f>
        <v/>
      </c>
      <c r="Z502" s="155">
        <f>IF(分析!Y502&lt;&gt;"",分析!Y502,"")</f>
        <v/>
      </c>
    </row>
  </sheetData>
  <autoFilter ref="A2:Z502">
    <sortState ref="A3:Z502">
      <sortCondition descending="1" ref="Z2:Z502"/>
    </sortState>
  </autoFilter>
  <mergeCells count="1">
    <mergeCell ref="A1:Z1"/>
  </mergeCells>
  <conditionalFormatting sqref="Z3:Z502">
    <cfRule type="containsText" priority="1" operator="containsText" dxfId="37" stopIfTrue="1" text="★強い買い">
      <formula>NOT(ISERROR(SEARCH("★強い買い",Z3)))</formula>
    </cfRule>
    <cfRule type="containsText" priority="2" operator="containsText" dxfId="37" stopIfTrue="1" text="★逆張り候補">
      <formula>NOT(ISERROR(SEARCH("★逆張り候補",Z3)))</formula>
    </cfRule>
    <cfRule type="containsText" priority="3" operator="containsText" dxfId="10" stopIfTrue="1" text="◎押し目買い">
      <formula>NOT(ISERROR(SEARCH("◎押し目買い",Z3)))</formula>
    </cfRule>
    <cfRule type="containsText" priority="4" operator="containsText" dxfId="10" stopIfTrue="1" text="◎反発確認">
      <formula>NOT(ISERROR(SEARCH("◎反発確認",Z3)))</formula>
    </cfRule>
    <cfRule type="containsText" priority="5" operator="containsText" dxfId="3" stopIfTrue="1" text="○買い候補">
      <formula>NOT(ISERROR(SEARCH("○買い候補",Z3)))</formula>
    </cfRule>
    <cfRule type="containsText" priority="6" operator="containsText" dxfId="3" stopIfTrue="1" text="○逆張り候補">
      <formula>NOT(ISERROR(SEARCH("○逆張り候補",Z3)))</formula>
    </cfRule>
    <cfRule type="containsText" priority="7" operator="containsText" dxfId="32" stopIfTrue="1" text="△要注意">
      <formula>NOT(ISERROR(SEARCH("△要注意",Z3)))</formula>
    </cfRule>
    <cfRule type="containsText" priority="8" operator="containsText" dxfId="31" stopIfTrue="1" text="△">
      <formula>NOT(ISERROR(SEARCH("△",Z3)))</formula>
    </cfRule>
    <cfRule type="containsText" priority="9" operator="containsText" dxfId="30" stopIfTrue="1" text="様子見">
      <formula>NOT(ISERROR(SEARCH("様子見",Z3)))</formula>
    </cfRule>
    <cfRule type="containsText" priority="10" operator="containsText" dxfId="29" stopIfTrue="1" text="見送り">
      <formula>NOT(ISERROR(SEARCH("見送り",Z3)))</formula>
    </cfRule>
  </conditionalFormatting>
  <conditionalFormatting sqref="Y3:Y502">
    <cfRule type="dataBar" priority="11">
      <dataBar>
        <cfvo type="num" val="0"/>
        <cfvo type="num" val="21"/>
        <color rgb="FFFF8C00"/>
      </dataBar>
    </cfRule>
  </conditionalFormatting>
  <conditionalFormatting sqref="T3:T502">
    <cfRule type="cellIs" priority="12" operator="greaterThan" dxfId="26" stopIfTrue="1">
      <formula>0</formula>
    </cfRule>
    <cfRule type="cellIs" priority="13" operator="lessThan" dxfId="25" stopIfTrue="1">
      <formula>0</formula>
    </cfRule>
  </conditionalFormatting>
  <conditionalFormatting sqref="S3:S502">
    <cfRule type="containsText" priority="14" operator="containsText" dxfId="26" stopIfTrue="1" text="上昇▲">
      <formula>NOT(ISERROR(SEARCH("上昇▲",S3)))</formula>
    </cfRule>
    <cfRule type="containsText" priority="15" operator="containsText" dxfId="25" stopIfTrue="1" text="下落▼">
      <formula>NOT(ISERROR(SEARCH("下落▼",S3)))</formula>
    </cfRule>
  </conditionalFormatting>
  <conditionalFormatting sqref="U3:U502">
    <cfRule type="containsText" priority="16" operator="containsText" dxfId="24" stopIfTrue="1" text="年初来高値更新">
      <formula>NOT(ISERROR(SEARCH("年初来高値更新",U3)))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8">
    <tabColor rgb="FF00B0F0"/>
    <outlinePr summaryBelow="1" summaryRight="1"/>
    <pageSetUpPr/>
  </sheetPr>
  <dimension ref="A1:AL206"/>
  <sheetViews>
    <sheetView zoomScale="161" zoomScaleNormal="161" workbookViewId="0">
      <pane xSplit="4" ySplit="2" topLeftCell="Q75" activePane="bottomRight" state="frozen"/>
      <selection activeCell="C162" sqref="C162"/>
      <selection pane="topRight" activeCell="C162" sqref="C162"/>
      <selection pane="bottomLeft" activeCell="C162" sqref="C162"/>
      <selection pane="bottomRight" activeCell="A81" sqref="A81:XFD81"/>
    </sheetView>
  </sheetViews>
  <sheetFormatPr baseColWidth="8" defaultRowHeight="21"/>
  <cols>
    <col width="7.625" customWidth="1" style="570" min="1" max="1"/>
    <col width="10.625" customWidth="1" style="570" min="2" max="2"/>
    <col width="7.625" customWidth="1" style="579" min="3" max="3"/>
    <col width="16.625" customWidth="1" style="580" min="4" max="4"/>
    <col width="9.625" customWidth="1" style="570" min="5" max="12"/>
    <col width="11.625" customWidth="1" style="570" min="13" max="14"/>
    <col width="9.625" customWidth="1" style="570" min="15" max="15"/>
    <col width="11.625" customWidth="1" style="570" min="16" max="17"/>
    <col width="9.625" customWidth="1" style="570" min="18" max="19"/>
    <col width="7.625" customWidth="1" style="570" min="20" max="20"/>
    <col width="13.625" customWidth="1" style="570" min="21" max="22"/>
    <col width="7.625" customWidth="1" style="570" min="23" max="24"/>
    <col width="15.625" bestFit="1" customWidth="1" style="570" min="25" max="25"/>
    <col width="8.625" customWidth="1" style="570" min="26" max="26"/>
    <col width="10.625" customWidth="1" style="570" min="27" max="27"/>
    <col width="12.625" customWidth="1" style="570" min="28" max="31"/>
    <col width="9" customWidth="1" style="570" min="32" max="16384"/>
  </cols>
  <sheetData>
    <row r="1" ht="36" customHeight="1" s="574">
      <c r="A1" s="578" t="inlineStr">
        <is>
          <t>株価分析システム  |  買い候補分析シート</t>
        </is>
      </c>
      <c r="B1" s="570" t="n"/>
      <c r="C1" s="570" t="n"/>
      <c r="D1" s="570" t="n"/>
      <c r="E1" s="570" t="n"/>
      <c r="F1" s="570" t="n"/>
      <c r="G1" s="570" t="n"/>
      <c r="H1" s="570" t="n"/>
      <c r="I1" s="570" t="n"/>
      <c r="J1" s="570" t="n"/>
      <c r="K1" s="570" t="n"/>
      <c r="L1" s="570" t="n"/>
      <c r="M1" s="570" t="n"/>
      <c r="N1" s="570" t="n"/>
      <c r="O1" s="570" t="n"/>
      <c r="P1" s="570" t="n"/>
      <c r="Q1" s="570" t="n"/>
      <c r="R1" s="570" t="n"/>
      <c r="S1" s="570" t="n"/>
      <c r="T1" s="570" t="n"/>
      <c r="U1" s="570" t="n"/>
      <c r="V1" s="570" t="n"/>
      <c r="W1" s="570" t="n"/>
      <c r="X1" s="570" t="n"/>
      <c r="Y1" s="570" t="n"/>
      <c r="Z1" s="570" t="n"/>
      <c r="AA1" s="570" t="n"/>
      <c r="AB1" s="172" t="n"/>
      <c r="AC1" s="172" t="n"/>
      <c r="AD1" s="172" t="n"/>
      <c r="AE1" s="172" t="n"/>
      <c r="AK1" s="388" t="inlineStr">
        <is>
          <t>TOPIX有効日数</t>
        </is>
      </c>
      <c r="AL1" s="388" t="inlineStr">
        <is>
          <t>基準列オフセット</t>
        </is>
      </c>
    </row>
    <row r="2" ht="32.1" customHeight="1" s="574" thickBot="1">
      <c r="A2" s="173" t="inlineStr">
        <is>
          <t>株リンク</t>
        </is>
      </c>
      <c r="B2" s="174" t="inlineStr">
        <is>
          <t>メモ</t>
        </is>
      </c>
      <c r="C2" s="174" t="inlineStr">
        <is>
          <t>銘柄コード</t>
        </is>
      </c>
      <c r="D2" s="174" t="inlineStr">
        <is>
          <t>銘柄名称</t>
        </is>
      </c>
      <c r="E2" s="174" t="inlineStr">
        <is>
          <t>現在値</t>
        </is>
      </c>
      <c r="F2" s="174" t="inlineStr">
        <is>
          <t>始値</t>
        </is>
      </c>
      <c r="G2" s="174" t="inlineStr">
        <is>
          <t>前日終値</t>
        </is>
      </c>
      <c r="H2" s="174" t="inlineStr">
        <is>
          <t>高値</t>
        </is>
      </c>
      <c r="I2" s="174" t="inlineStr">
        <is>
          <t>安値</t>
        </is>
      </c>
      <c r="J2" s="174" t="inlineStr">
        <is>
          <t>出来高</t>
        </is>
      </c>
      <c r="K2" s="174" t="inlineStr">
        <is>
          <t>年初来高値</t>
        </is>
      </c>
      <c r="L2" s="174" t="inlineStr">
        <is>
          <t>高値距離(%)</t>
        </is>
      </c>
      <c r="M2" s="174" t="inlineStr">
        <is>
          <t>出来高5日平均</t>
        </is>
      </c>
      <c r="N2" s="174" t="inlineStr">
        <is>
          <t>出来高25日平均</t>
        </is>
      </c>
      <c r="O2" s="174" t="inlineStr">
        <is>
          <t>出来高倍率</t>
        </is>
      </c>
      <c r="P2" s="174" t="inlineStr">
        <is>
          <t>出来高トレンド</t>
        </is>
      </c>
      <c r="Q2" s="174" t="inlineStr">
        <is>
          <t>エントリー判定</t>
        </is>
      </c>
      <c r="R2" s="174" t="inlineStr">
        <is>
          <t>利確ライン</t>
        </is>
      </c>
      <c r="S2" s="174" t="inlineStr">
        <is>
          <t>損切りライン</t>
        </is>
      </c>
      <c r="T2" s="174" t="inlineStr">
        <is>
          <t>総合スコア</t>
        </is>
      </c>
      <c r="U2" s="174" t="inlineStr">
        <is>
          <t>ダマシ除外</t>
        </is>
      </c>
      <c r="V2" s="174" t="inlineStr">
        <is>
          <t>高値更新</t>
        </is>
      </c>
      <c r="W2" s="174" t="inlineStr">
        <is>
          <t>RSI(14)</t>
        </is>
      </c>
      <c r="X2" s="174" t="inlineStr">
        <is>
          <t>MACD</t>
        </is>
      </c>
      <c r="Y2" s="174" t="inlineStr">
        <is>
          <t>最終シグナル</t>
        </is>
      </c>
      <c r="Z2" s="174" t="inlineStr">
        <is>
          <t>前日比(%)</t>
        </is>
      </c>
      <c r="AA2" s="175" t="inlineStr">
        <is>
          <t>ステータス</t>
        </is>
      </c>
      <c r="AB2" s="435" t="inlineStr">
        <is>
          <t>5日EMA</t>
        </is>
      </c>
      <c r="AC2" s="435" t="inlineStr">
        <is>
          <t>25日EMA</t>
        </is>
      </c>
      <c r="AD2" s="435" t="inlineStr">
        <is>
          <t>EMAトレンド</t>
        </is>
      </c>
      <c r="AE2" s="435" t="inlineStr">
        <is>
          <t>押し目判定</t>
        </is>
      </c>
      <c r="AF2" s="383" t="inlineStr">
        <is>
          <t>銘柄騰落率</t>
        </is>
      </c>
      <c r="AG2" s="383" t="inlineStr">
        <is>
          <t>TOPIX騰落率</t>
        </is>
      </c>
      <c r="AH2" s="384" t="inlineStr">
        <is>
          <t>対TOPIX超過</t>
        </is>
      </c>
      <c r="AI2" s="384" t="inlineStr">
        <is>
          <t>相対力スコア</t>
        </is>
      </c>
      <c r="AK2" s="389">
        <f>COUNT(終値!$E$5:$BL$5)</f>
        <v/>
      </c>
      <c r="AL2" s="389">
        <f>MIN(25,AK2)</f>
        <v/>
      </c>
    </row>
    <row r="3" ht="18" customFormat="1" customHeight="1" s="187">
      <c r="A3" s="176">
        <f>IF(銘柄管理!B5&lt;&gt;"",HYPERLINK("https://kabutan.jp/stock/?code="&amp;銘柄管理!B5,"株探"),"")</f>
        <v/>
      </c>
      <c r="B3" s="177" t="n"/>
      <c r="C3" s="178">
        <f>IF(銘柄管理!B5="","",銘柄管理!B5)</f>
        <v/>
      </c>
      <c r="D3" s="106">
        <f>IF(銘柄管理!C5="","",銘柄管理!C5)</f>
        <v/>
      </c>
      <c r="E3" s="179">
        <f>IF(C3&lt;&gt;"",_xll.RssMarket(C3,"現在値"),"")</f>
        <v/>
      </c>
      <c r="F3" s="179">
        <f>IF(C3&lt;&gt;"",_xll.RssMarket(C3,"始値"),"")</f>
        <v/>
      </c>
      <c r="G3" s="179">
        <f>IF(C3&lt;&gt;"",終値!C5,"")</f>
        <v/>
      </c>
      <c r="H3" s="179">
        <f>IF(C3&lt;&gt;"",_xll.RssMarket(C3,"高値"),"")</f>
        <v/>
      </c>
      <c r="I3" s="179">
        <f>IF(C3&lt;&gt;"",_xll.RssMarket(C3,"安値"),"")</f>
        <v/>
      </c>
      <c r="J3" s="179">
        <f>IF(C3&lt;&gt;"",_xll.RssMarket(C3,"出来高"),"")</f>
        <v/>
      </c>
      <c r="K3" s="179">
        <f>IF(C3&lt;&gt;"",_xll.RssMarket(C3,"年初来高値"),"")</f>
        <v/>
      </c>
      <c r="L3" s="613">
        <f>IF(AND(E3&lt;&gt;"",K3&lt;&gt;"",K3&lt;&gt;0),(E3-K3)/K3*100,"")</f>
        <v/>
      </c>
      <c r="M3" s="179">
        <f>IF(C3&lt;&gt;"",IFERROR(AVERAGE(出来高!E5:H5),""),"")</f>
        <v/>
      </c>
      <c r="N3" s="179">
        <f>IF(C3&lt;&gt;"",IFERROR(AVERAGE(出来高!E5:AB5),""),"")</f>
        <v/>
      </c>
      <c r="O3" s="614">
        <f>IF(AND(J3&lt;&gt;"",M3&lt;&gt;"",M3&lt;&gt;0),J3/M3,"")</f>
        <v/>
      </c>
      <c r="P3" s="176">
        <f>IF(O3="","",IF(O3&gt;=2,"急増↑↑",IF(O3&gt;=1.5,"増加↑",IF(O3&gt;=1,"普通→","減少↓"))))</f>
        <v/>
      </c>
      <c r="Q3" s="176">
        <f>IF(E3="","",IF(AND(E3&gt;G3,O3&gt;=1.5),"買い▲",IF(E3&lt;G3,"様子見▼","中立→")))</f>
        <v/>
      </c>
      <c r="R3" s="179">
        <f>IF(E3&lt;&gt;"",ROUND(E3*1.05,0),"")</f>
        <v/>
      </c>
      <c r="S3" s="179">
        <f>IF(E3&lt;&gt;"",ROUND(E3*0.95,0),"")</f>
        <v/>
      </c>
      <c r="T3" s="176">
        <f>IF(C3="","",IFERROR(IF(O3&gt;=2,3,IF(O3&gt;=1.5,2,IF(O3&gt;=1,1,0)))+IF(E3&gt;G3,1,0)+IF(L3&gt;=-5,1,0)+IF(Q3="買い▲",2,0)+IF(W3&lt;=30,3,IF(W3&lt;=40,2,IF(AND(W3&gt;=40,W3&lt;=60),1,0)))+IF(X3&gt;0,1,0)+IF(V3="年初来高値更新●",3,IF(V3="高値圏",2,0))+IF(AD3="パーフェクト▲",3,IF(AD3="上昇トレンド▲",2,0))+IF(AE3="25日線押し目●",2,IF(AE3="5日線押し目○",1,0))+IF(P3="急増↑↑",2,IF(P3="増加↑",1,0))+N(AI3),0))</f>
        <v/>
      </c>
      <c r="U3" s="176" t="n"/>
      <c r="V3" s="176">
        <f>IF(AND(H3&lt;&gt;"",K3&lt;&gt;""),IF(H3&gt;=K3,"年初来高値更新●",IF(H3&gt;=K3*0.95,"高値圏","通常")),"")</f>
        <v/>
      </c>
      <c r="W3" s="615" t="n"/>
      <c r="X3" s="183" t="n"/>
      <c r="Y3" s="570">
        <f>IF(T3="","",IF(銘柄管理!$F$5="下落▼",IF(AND(AD3="パーフェクト▲",OR(AE3="25日線押し目●",AE3="5日線押し目○")),"★逆張り候補",IF(AND(AD3="上昇トレンド▲",OR(AE3="25日線押し目●",AE3="5日線押し目○")),"○逆張り候補",IF(W3&lt;=30,IF(Z3&gt;0,"◎反発確認",IF(Z3&lt;-5,"△要注意・様子見","△売られ過ぎ注目")),"相場下落・見送り"))),IF(AND(T3&gt;=12,AD3="パーフェクト▲"),"★強い買い",IF(AND(T3&gt;=12,AD3="上昇トレンド▲"),"★強い買い",IF(AND(T3&gt;=8,OR(AE3="25日線押し目●",AE3="5日線押し目○")),"◎押し目買い",IF(T3&gt;=10,"○買い候補",IF(T3&gt;=6,"△注目",IF(T3&gt;=3,"様子見","見送り"))))))))</f>
        <v/>
      </c>
      <c r="Z3" s="616" t="n"/>
      <c r="AA3" s="176" t="n"/>
      <c r="AB3" s="436">
        <f>IF(C3="","",IFERROR(((終値!E5*0.333)+(終値!F5*0.222)+(終値!G5*0.148)+(終値!H5*0.099)+(終値!I5*0.066)+(終値!J5*0.044)+(終値!K5*0.029)+(終値!L5*0.019)+(終値!M5*0.013)+(終値!N5*0.009))/(0.333+0.222+0.148+0.099+0.066+0.044+0.029+0.019+0.013+0.009),""))</f>
        <v/>
      </c>
      <c r="AC3" s="436">
        <f>IF(C3="","",IFERROR(SUMPRODUCT((終値!E5:AC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" s="437">
        <f>IF(OR(C3="",AB3="",AC3=""),"",IF(AND(E3&gt;AB3,AB3&gt;AC3),"パーフェクト▲",IF(E3&gt;AC3,"上昇トレンド▲",IF(AND(E3&lt;AB3,AB3&lt;AC3),"下降トレンド▼","もみ合い→"))))</f>
        <v/>
      </c>
      <c r="AE3" s="437">
        <f>IF(OR(C3="",AB3="",AC3=""),"",IF(AND(ABS(E3-AC3)/AC3&lt;=0.02,E3&gt;AC3),"25日押し目★",IF(AND(ABS(E3-AB3)/AB3&lt;=0.01,E3&gt;AB3),"5日押し目○","なし")))</f>
        <v/>
      </c>
      <c r="AF3" s="617">
        <f t="array" ref="AF3">IF(C3="","",IFERROR((INDEX(終値!$E:$E,MATCH(TEXT(C3,"0"),終値!$A:$A,0))-INDEX(終値!$E:$BL,MATCH(TEXT(C3,"0"),終値!$A:$A,0),$AL$2))/INDEX(終値!$E:$BL,MATCH(TEXT(C3,"0"),終値!$A:$A,0),$AL$2)*100,""))</f>
        <v/>
      </c>
      <c r="AG3" s="617">
        <f t="array" ref="AG3">IFERROR((終値!$E$5-INDEX(終値!$E$5:$BL$5,1,$AL$2))/INDEX(終値!$E$5:$BL$5,1,$AL$2)*100,"")</f>
        <v/>
      </c>
      <c r="AH3" s="618">
        <f>IF(OR(AF3="",AG3=""),"",AF3-AG3)</f>
        <v/>
      </c>
      <c r="AI3" s="385">
        <f>IF(AH3="","",IF(AH3&gt;5,3,IF(AH3&gt;0,1,IF(AH3&gt;-3,-1,-2))))</f>
        <v/>
      </c>
    </row>
    <row r="4" ht="18" customFormat="1" customHeight="1" s="187">
      <c r="A4" s="176">
        <f>IF(銘柄管理!B189&lt;&gt;"",HYPERLINK("https://kabutan.jp/stock/?code="&amp;銘柄管理!B189,"株探"),"")</f>
        <v/>
      </c>
      <c r="B4" s="177" t="n"/>
      <c r="C4" s="178">
        <f>IF(銘柄管理!B189="","",銘柄管理!B189)</f>
        <v/>
      </c>
      <c r="D4" s="106">
        <f>IF(銘柄管理!C189="","",銘柄管理!C189)</f>
        <v/>
      </c>
      <c r="E4" s="179">
        <f>IF(C4&lt;&gt;"",_xll.RssMarket(C4,"現在値"),"")</f>
        <v/>
      </c>
      <c r="F4" s="179">
        <f>IF(C4&lt;&gt;"",_xll.RssMarket(C4,"始値"),"")</f>
        <v/>
      </c>
      <c r="G4" s="178">
        <f>IF(C4&lt;&gt;"",終値!F189,"")</f>
        <v/>
      </c>
      <c r="H4" s="179">
        <f>IF(C4&lt;&gt;"",_xll.RssMarket(C4,"高値"),"")</f>
        <v/>
      </c>
      <c r="I4" s="179">
        <f>IF(C4&lt;&gt;"",_xll.RssMarket(C4,"安値"),"")</f>
        <v/>
      </c>
      <c r="J4" s="179">
        <f>IF(C4&lt;&gt;"",_xll.RssMarket(C4,"出来高"),"")</f>
        <v/>
      </c>
      <c r="K4" s="179">
        <f>IF(C4&lt;&gt;"",_xll.RssMarket(C4,"年初来高値"),"")</f>
        <v/>
      </c>
      <c r="L4" s="613">
        <f>IF(AND(E4&lt;&gt;"",K4&lt;&gt;"",K4&lt;&gt;0),(E4-K4)/K4*100,"")</f>
        <v/>
      </c>
      <c r="M4" s="179">
        <f>IF(C4&lt;&gt;"",IFERROR(AVERAGE(出来高!E189:I189),""),"")</f>
        <v/>
      </c>
      <c r="N4" s="179">
        <f>IF(C4&lt;&gt;"",IFERROR(AVERAGE(出来高!E189:AC189),""),"")</f>
        <v/>
      </c>
      <c r="O4" s="614">
        <f>IF(AND(J4&lt;&gt;"",M4&lt;&gt;"",M4&lt;&gt;0),J4/M4,"")</f>
        <v/>
      </c>
      <c r="P4" s="176">
        <f>IF(O4="","",IF(O4&gt;=2,"急増↑↑",IF(O4&gt;=1.5,"増加↑",IF(O4&gt;=1,"普通→","減少↓"))))</f>
        <v/>
      </c>
      <c r="Q4" s="176">
        <f>IF(E4="","",IF(AND(E4&gt;G4,O4&gt;=1.5),"買い▲",IF(E4&lt;G4,"様子見▼","中立→")))</f>
        <v/>
      </c>
      <c r="R4" s="179">
        <f>IF(E4&lt;&gt;"",ROUND(E4*1.08,0),"")</f>
        <v/>
      </c>
      <c r="S4" s="179">
        <f>IF(E4&lt;&gt;"",ROUND(E4*0.96,0),"")</f>
        <v/>
      </c>
      <c r="T4" s="176">
        <f>IF(C4="","",IFERROR(IF(O4&gt;=2,3,IF(O4&gt;=1.5,2,IF(O4&gt;=1,1,0)))+IF(E4&gt;G4,1,0)+IF(L4&gt;=-5,1,0)+IF(Q4="買い▲",2,0)+IF(W4&lt;=30,3,IF(W4&lt;=40,2,IF(AND(W4&gt;=40,W4&lt;=60),1,0)))+IF(X4&gt;0,1,0)+IF(V4="年初来高値更新●",3,IF(V4="高値圏",2,0))+IF(AD4="パーフェクト▲",3,IF(AD4="上昇トレンド▲",2,0))+IF(AE4="25日線押し目●",2,IF(AE4="5日線押し目○",1,0))+IF(P4="急増↑↑",2,IF(P4="増加↑",1,0))+N(AI4),0))</f>
        <v/>
      </c>
      <c r="U4" s="176">
        <f>IF(T4="","",IF(AND(T4&gt;=3,O4&gt;=1.5),"有効",IF(T4&gt;=3,"要確認","除外")))</f>
        <v/>
      </c>
      <c r="V4" s="176">
        <f>IF(AND(H4&lt;&gt;"",K4&lt;&gt;""),IF(H4&gt;=K4,"年初来高値更新●",IF(H4&gt;=K4*0.95,"高値圏","通常")),"")</f>
        <v/>
      </c>
      <c r="W4" s="615">
        <f t="array" ref="W4">IF(C4&lt;&gt;"",IFERROR(100-100/(1+SUMPRODUCT((終値!F189:R189&gt;終値!G189:S189)*( 終値!F189:R189-終値!G189:S189))/SUMPRODUCT((終値!F189:R189&lt;終値!G189:S189)*(終値!G189:S189-終値!F189:R189))),50),"")</f>
        <v/>
      </c>
      <c r="X4" s="183">
        <f>IF(C4&lt;&gt;"",IFERROR(SUMPRODUCT(終値!E189:P189,{0.154,0.132,0.113,0.097,0.083,0.071,0.061,0.052,0.045,0.038,0.033,0.028})/SUMPRODUCT({0.154,0.132,0.113,0.097,0.083,0.071,0.061,0.052,0.045,0.038,0.033,0.028})-SUMPRODUCT(終値!E189:AD189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" s="570">
        <f>IF(T4="","",IF(銘柄管理!$F$5="下落▼",IF(AND(AD4="パーフェクト▲",OR(AE4="25日線押し目●",AE4="5日線押し目○")),"★逆張り候補",IF(AND(AD4="上昇トレンド▲",OR(AE4="25日線押し目●",AE4="5日線押し目○")),"○逆張り候補",IF(W4&lt;=30,IF(Z4&gt;0,"◎反発確認",IF(Z4&lt;-5,"△要注意・様子見","△売られ過ぎ注目")),"相場下落・見送り"))),IF(AND(T4&gt;=12,AD4="パーフェクト▲"),"★強い買い",IF(AND(T4&gt;=12,AD4="上昇トレンド▲"),"★強い買い",IF(AND(T4&gt;=8,OR(AE4="25日線押し目●",AE4="5日線押し目○")),"◎押し目買い",IF(T4&gt;=10,"○買い候補",IF(T4&gt;=6,"△注目",IF(T4&gt;=3,"様子見","見送り"))))))))</f>
        <v/>
      </c>
      <c r="Z4" s="616">
        <f>IF(AND(E4&lt;&gt;"",G4&lt;&gt;"",G4&lt;&gt;0),(E4-G4)/G4*100,"")</f>
        <v/>
      </c>
      <c r="AA4" s="176">
        <f>IF(OR(C4="",E4="",E4=0),"",IF(E4&gt;G4,"上昇▲",IF(E4&lt;G4,"下落▼","横ばい→")))</f>
        <v/>
      </c>
      <c r="AB4" s="438">
        <f>IF(C4="","",IFERROR(((終値!E6*0.333)+(終値!F6*0.222)+(終値!G6*0.148)+(終値!H6*0.099)+(終値!I6*0.066)+(終値!J6*0.044)+(終値!K6*0.029)+(終値!L6*0.019)+(終値!M6*0.013)+(終値!N6*0.009))/(0.333+0.222+0.148+0.099+0.066+0.044+0.029+0.019+0.013+0.009),""))</f>
        <v/>
      </c>
      <c r="AC4" s="438">
        <f>IF(C4="","",IFERROR(SUMPRODUCT((終値!E6:AC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" s="439">
        <f>IF(OR(C4="",AB4="",AC4=""),"",IF(AND(E4&gt;AB4,AB4&gt;AC4),"パーフェクト▲",IF(E4&gt;AC4,"上昇トレンド▲",IF(AND(E4&lt;AB4,AB4&lt;AC4),"下降トレンド▼","もみ合い→"))))</f>
        <v/>
      </c>
      <c r="AE4" s="439">
        <f>IF(OR(C4="",AB4="",AC4=""),"",IF(AND(ABS(E4-AC4)/AC4&lt;=0.02,E4&gt;AC4),"25日押し目★",IF(AND(ABS(E4-AB4)/AB4&lt;=0.01,E4&gt;AB4),"5日押し目○","なし")))</f>
        <v/>
      </c>
      <c r="AF4" s="617">
        <f t="array" ref="AF4">IF(C4="","",IFERROR((INDEX(終値!$E:$E,MATCH(TEXT(C4,"0"),終値!$A:$A,0))-INDEX(終値!$E:$BL,MATCH(TEXT(C4,"0"),終値!$A:$A,0),$AL$2))/INDEX(終値!$E:$BL,MATCH(TEXT(C4,"0"),終値!$A:$A,0),$AL$2)*100,""))</f>
        <v/>
      </c>
      <c r="AG4" s="617">
        <f t="array" ref="AG4">IFERROR((終値!$E$5-INDEX(終値!$E$5:$BL$5,1,$AL$2))/INDEX(終値!$E$5:$BL$5,1,$AL$2)*100,"")</f>
        <v/>
      </c>
      <c r="AH4" s="618">
        <f>IF(OR(AF4="",AG4=""),"",AF4-AG4)</f>
        <v/>
      </c>
      <c r="AI4" s="385">
        <f>IF(AH4="","",IF(AH4&gt;5,3,IF(AH4&gt;0,1,IF(AH4&gt;-3,-1,-2))))</f>
        <v/>
      </c>
    </row>
    <row r="5" ht="18" customFormat="1" customHeight="1" s="187">
      <c r="A5" s="176">
        <f>IF(銘柄管理!B190&lt;&gt;"",HYPERLINK("https://kabutan.jp/stock/?code="&amp;銘柄管理!B190,"株探"),"")</f>
        <v/>
      </c>
      <c r="B5" s="177" t="n"/>
      <c r="C5" s="178">
        <f>IF(銘柄管理!B190="","",銘柄管理!B190)</f>
        <v/>
      </c>
      <c r="D5" s="106">
        <f>IF(銘柄管理!C190="","",銘柄管理!C190)</f>
        <v/>
      </c>
      <c r="E5" s="179">
        <f>IF(C5&lt;&gt;"",_xll.RssMarket(C5,"現在値"),"")</f>
        <v/>
      </c>
      <c r="F5" s="179">
        <f>IF(C5&lt;&gt;"",_xll.RssMarket(C5,"始値"),"")</f>
        <v/>
      </c>
      <c r="G5" s="178">
        <f>IF(C5&lt;&gt;"",終値!F190,"")</f>
        <v/>
      </c>
      <c r="H5" s="179">
        <f>IF(C5&lt;&gt;"",_xll.RssMarket(C5,"高値"),"")</f>
        <v/>
      </c>
      <c r="I5" s="179">
        <f>IF(C5&lt;&gt;"",_xll.RssMarket(C5,"安値"),"")</f>
        <v/>
      </c>
      <c r="J5" s="179">
        <f>IF(C5&lt;&gt;"",_xll.RssMarket(C5,"出来高"),"")</f>
        <v/>
      </c>
      <c r="K5" s="179">
        <f>IF(C5&lt;&gt;"",_xll.RssMarket(C5,"年初来高値"),"")</f>
        <v/>
      </c>
      <c r="L5" s="613">
        <f>IF(AND(E5&lt;&gt;"",K5&lt;&gt;"",K5&lt;&gt;0),(E5-K5)/K5*100,"")</f>
        <v/>
      </c>
      <c r="M5" s="179">
        <f>IF(C5&lt;&gt;"",IFERROR(AVERAGE(出来高!E190:I190),""),"")</f>
        <v/>
      </c>
      <c r="N5" s="179">
        <f>IF(C5&lt;&gt;"",IFERROR(AVERAGE(出来高!E190:AC190),""),"")</f>
        <v/>
      </c>
      <c r="O5" s="614">
        <f>IF(AND(J5&lt;&gt;"",M5&lt;&gt;"",M5&lt;&gt;0),J5/M5,"")</f>
        <v/>
      </c>
      <c r="P5" s="176">
        <f>IF(O5="","",IF(O5&gt;=2,"急増↑↑",IF(O5&gt;=1.5,"増加↑",IF(O5&gt;=1,"普通→","減少↓"))))</f>
        <v/>
      </c>
      <c r="Q5" s="176">
        <f>IF(E5="","",IF(AND(E5&gt;G5,O5&gt;=1.5),"買い▲",IF(E5&lt;G5,"様子見▼","中立→")))</f>
        <v/>
      </c>
      <c r="R5" s="179">
        <f>IF(E5&lt;&gt;"",ROUND(E5*1.08,0),"")</f>
        <v/>
      </c>
      <c r="S5" s="179">
        <f>IF(E5&lt;&gt;"",ROUND(E5*0.96,0),"")</f>
        <v/>
      </c>
      <c r="T5" s="176">
        <f>IF(C5="","",IFERROR(IF(O5&gt;=2,3,IF(O5&gt;=1.5,2,IF(O5&gt;=1,1,0)))+IF(E5&gt;G5,1,0)+IF(L5&gt;=-5,1,0)+IF(Q5="買い▲",2,0)+IF(W5&lt;=30,3,IF(W5&lt;=40,2,IF(AND(W5&gt;=40,W5&lt;=60),1,0)))+IF(X5&gt;0,1,0)+IF(V5="年初来高値更新●",3,IF(V5="高値圏",2,0))+IF(AD5="パーフェクト▲",3,IF(AD5="上昇トレンド▲",2,0))+IF(AE5="25日線押し目●",2,IF(AE5="5日線押し目○",1,0))+IF(P5="急増↑↑",2,IF(P5="増加↑",1,0))+N(AI5),0))</f>
        <v/>
      </c>
      <c r="U5" s="176">
        <f>IF(T5="","",IF(AND(T5&gt;=3,O5&gt;=1.5),"有効",IF(T5&gt;=3,"要確認","除外")))</f>
        <v/>
      </c>
      <c r="V5" s="176">
        <f>IF(AND(H5&lt;&gt;"",K5&lt;&gt;""),IF(H5&gt;=K5,"年初来高値更新●",IF(H5&gt;=K5*0.95,"高値圏","通常")),"")</f>
        <v/>
      </c>
      <c r="W5" s="615">
        <f t="array" ref="W5">IF(C5&lt;&gt;"",IFERROR(100-100/(1+SUMPRODUCT((終値!F190:R190&gt;終値!G190:S190)*( 終値!F190:R190-終値!G190:S190))/SUMPRODUCT((終値!F190:R190&lt;終値!G190:S190)*(終値!G190:S190-終値!F190:R190))),50),"")</f>
        <v/>
      </c>
      <c r="X5" s="183">
        <f>IF(C5&lt;&gt;"",IFERROR(SUMPRODUCT(終値!E190:P190,{0.154,0.132,0.113,0.097,0.083,0.071,0.061,0.052,0.045,0.038,0.033,0.028})/SUMPRODUCT({0.154,0.132,0.113,0.097,0.083,0.071,0.061,0.052,0.045,0.038,0.033,0.028})-SUMPRODUCT(終値!E190:AD190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" s="570">
        <f>IF(T5="","",IF(銘柄管理!$F$5="下落▼",IF(AND(AD5="パーフェクト▲",OR(AE5="25日線押し目●",AE5="5日線押し目○")),"★逆張り候補",IF(AND(AD5="上昇トレンド▲",OR(AE5="25日線押し目●",AE5="5日線押し目○")),"○逆張り候補",IF(W5&lt;=30,IF(Z5&gt;0,"◎反発確認",IF(Z5&lt;-5,"△要注意・様子見","△売られ過ぎ注目")),"相場下落・見送り"))),IF(AND(T5&gt;=12,AD5="パーフェクト▲"),"★強い買い",IF(AND(T5&gt;=12,AD5="上昇トレンド▲"),"★強い買い",IF(AND(T5&gt;=8,OR(AE5="25日線押し目●",AE5="5日線押し目○")),"◎押し目買い",IF(T5&gt;=10,"○買い候補",IF(T5&gt;=6,"△注目",IF(T5&gt;=3,"様子見","見送り"))))))))</f>
        <v/>
      </c>
      <c r="Z5" s="616">
        <f>IF(AND(E5&lt;&gt;"",G5&lt;&gt;"",G5&lt;&gt;0),(E5-G5)/G5*100,"")</f>
        <v/>
      </c>
      <c r="AA5" s="176">
        <f>IF(OR(C5="",E5="",E5=0),"",IF(E5&gt;G5,"上昇▲",IF(E5&lt;G5,"下落▼","横ばい→")))</f>
        <v/>
      </c>
      <c r="AB5" s="440">
        <f>IF(C5="","",IFERROR(((終値!E7*0.333)+(終値!F7*0.222)+(終値!G7*0.148)+(終値!H7*0.099)+(終値!I7*0.066)+(終値!J7*0.044)+(終値!K7*0.029)+(終値!L7*0.019)+(終値!M7*0.013)+(終値!N7*0.009))/(0.333+0.222+0.148+0.099+0.066+0.044+0.029+0.019+0.013+0.009),""))</f>
        <v/>
      </c>
      <c r="AC5" s="440">
        <f>IF(C5="","",IFERROR(SUMPRODUCT((終値!E7:AC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" s="441">
        <f>IF(OR(C5="",AB5="",AC5=""),"",IF(AND(E5&gt;AB5,AB5&gt;AC5),"パーフェクト▲",IF(E5&gt;AC5,"上昇トレンド▲",IF(AND(E5&lt;AB5,AB5&lt;AC5),"下降トレンド▼","もみ合い→"))))</f>
        <v/>
      </c>
      <c r="AE5" s="441">
        <f>IF(OR(C5="",AB5="",AC5=""),"",IF(AND(ABS(E5-AC5)/AC5&lt;=0.02,E5&gt;AC5),"25日押し目★",IF(AND(ABS(E5-AB5)/AB5&lt;=0.01,E5&gt;AB5),"5日押し目○","なし")))</f>
        <v/>
      </c>
      <c r="AF5" s="617">
        <f t="array" ref="AF5">IF(C5="","",IFERROR((INDEX(終値!$E:$E,MATCH(TEXT(C5,"0"),終値!$A:$A,0))-INDEX(終値!$E:$BL,MATCH(TEXT(C5,"0"),終値!$A:$A,0),$AL$2))/INDEX(終値!$E:$BL,MATCH(TEXT(C5,"0"),終値!$A:$A,0),$AL$2)*100,""))</f>
        <v/>
      </c>
      <c r="AG5" s="617">
        <f t="array" ref="AG5">IFERROR((終値!$E$5-INDEX(終値!$E$5:$BL$5,1,$AL$2))/INDEX(終値!$E$5:$BL$5,1,$AL$2)*100,"")</f>
        <v/>
      </c>
      <c r="AH5" s="618">
        <f>IF(OR(AF5="",AG5=""),"",AF5-AG5)</f>
        <v/>
      </c>
      <c r="AI5" s="385">
        <f>IF(AH5="","",IF(AH5&gt;5,3,IF(AH5&gt;0,1,IF(AH5&gt;-3,-1,-2))))</f>
        <v/>
      </c>
    </row>
    <row r="6" ht="18" customFormat="1" customHeight="1" s="187">
      <c r="A6" s="176">
        <f>IF(銘柄管理!B191&lt;&gt;"",HYPERLINK("https://kabutan.jp/stock/?code="&amp;銘柄管理!B191,"株探"),"")</f>
        <v/>
      </c>
      <c r="B6" s="177" t="n"/>
      <c r="C6" s="178">
        <f>IF(銘柄管理!B191="","",銘柄管理!B191)</f>
        <v/>
      </c>
      <c r="D6" s="106">
        <f>IF(銘柄管理!C191="","",銘柄管理!C191)</f>
        <v/>
      </c>
      <c r="E6" s="179">
        <f>IF(C6&lt;&gt;"",_xll.RssMarket(C6,"現在値"),"")</f>
        <v/>
      </c>
      <c r="F6" s="179">
        <f>IF(C6&lt;&gt;"",_xll.RssMarket(C6,"始値"),"")</f>
        <v/>
      </c>
      <c r="G6" s="178">
        <f>IF(C6&lt;&gt;"",終値!F191,"")</f>
        <v/>
      </c>
      <c r="H6" s="179">
        <f>IF(C6&lt;&gt;"",_xll.RssMarket(C6,"高値"),"")</f>
        <v/>
      </c>
      <c r="I6" s="179">
        <f>IF(C6&lt;&gt;"",_xll.RssMarket(C6,"安値"),"")</f>
        <v/>
      </c>
      <c r="J6" s="179">
        <f>IF(C6&lt;&gt;"",_xll.RssMarket(C6,"出来高"),"")</f>
        <v/>
      </c>
      <c r="K6" s="179">
        <f>IF(C6&lt;&gt;"",_xll.RssMarket(C6,"年初来高値"),"")</f>
        <v/>
      </c>
      <c r="L6" s="613">
        <f>IF(AND(E6&lt;&gt;"",K6&lt;&gt;"",K6&lt;&gt;0),(E6-K6)/K6*100,"")</f>
        <v/>
      </c>
      <c r="M6" s="179">
        <f>IF(C6&lt;&gt;"",IFERROR(AVERAGE(出来高!E191:I191),""),"")</f>
        <v/>
      </c>
      <c r="N6" s="179">
        <f>IF(C6&lt;&gt;"",IFERROR(AVERAGE(出来高!E191:AC191),""),"")</f>
        <v/>
      </c>
      <c r="O6" s="614">
        <f>IF(AND(J6&lt;&gt;"",M6&lt;&gt;"",M6&lt;&gt;0),J6/M6,"")</f>
        <v/>
      </c>
      <c r="P6" s="176">
        <f>IF(O6="","",IF(O6&gt;=2,"急増↑↑",IF(O6&gt;=1.5,"増加↑",IF(O6&gt;=1,"普通→","減少↓"))))</f>
        <v/>
      </c>
      <c r="Q6" s="176">
        <f>IF(E6="","",IF(AND(E6&gt;G6,O6&gt;=1.5),"買い▲",IF(E6&lt;G6,"様子見▼","中立→")))</f>
        <v/>
      </c>
      <c r="R6" s="179">
        <f>IF(E6&lt;&gt;"",ROUND(E6*1.08,0),"")</f>
        <v/>
      </c>
      <c r="S6" s="179">
        <f>IF(E6&lt;&gt;"",ROUND(E6*0.96,0),"")</f>
        <v/>
      </c>
      <c r="T6" s="176">
        <f>IF(C6="","",IFERROR(IF(O6&gt;=2,3,IF(O6&gt;=1.5,2,IF(O6&gt;=1,1,0)))+IF(E6&gt;G6,1,0)+IF(L6&gt;=-5,1,0)+IF(Q6="買い▲",2,0)+IF(W6&lt;=30,3,IF(W6&lt;=40,2,IF(AND(W6&gt;=40,W6&lt;=60),1,0)))+IF(X6&gt;0,1,0)+IF(V6="年初来高値更新●",3,IF(V6="高値圏",2,0))+IF(AD6="パーフェクト▲",3,IF(AD6="上昇トレンド▲",2,0))+IF(AE6="25日線押し目●",2,IF(AE6="5日線押し目○",1,0))+IF(P6="急増↑↑",2,IF(P6="増加↑",1,0))+N(AI6),0))</f>
        <v/>
      </c>
      <c r="U6" s="176">
        <f>IF(T6="","",IF(AND(T6&gt;=3,O6&gt;=1.5),"有効",IF(T6&gt;=3,"要確認","除外")))</f>
        <v/>
      </c>
      <c r="V6" s="176">
        <f>IF(AND(H6&lt;&gt;"",K6&lt;&gt;""),IF(H6&gt;=K6,"年初来高値更新●",IF(H6&gt;=K6*0.95,"高値圏","通常")),"")</f>
        <v/>
      </c>
      <c r="W6" s="615">
        <f t="array" ref="W6">IF(C6&lt;&gt;"",IFERROR(100-100/(1+SUMPRODUCT((終値!F191:R191&gt;終値!G191:S191)*( 終値!F191:R191-終値!G191:S191))/SUMPRODUCT((終値!F191:R191&lt;終値!G191:S191)*(終値!G191:S191-終値!F191:R191))),50),"")</f>
        <v/>
      </c>
      <c r="X6" s="183">
        <f>IF(C6&lt;&gt;"",IFERROR(SUMPRODUCT(終値!E191:P191,{0.154,0.132,0.113,0.097,0.083,0.071,0.061,0.052,0.045,0.038,0.033,0.028})/SUMPRODUCT({0.154,0.132,0.113,0.097,0.083,0.071,0.061,0.052,0.045,0.038,0.033,0.028})-SUMPRODUCT(終値!E191:AD191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" s="570">
        <f>IF(T6="","",IF(銘柄管理!$F$5="下落▼",IF(AND(AD6="パーフェクト▲",OR(AE6="25日線押し目●",AE6="5日線押し目○")),"★逆張り候補",IF(AND(AD6="上昇トレンド▲",OR(AE6="25日線押し目●",AE6="5日線押し目○")),"○逆張り候補",IF(W6&lt;=30,IF(Z6&gt;0,"◎反発確認",IF(Z6&lt;-5,"△要注意・様子見","△売られ過ぎ注目")),"相場下落・見送り"))),IF(AND(T6&gt;=12,AD6="パーフェクト▲"),"★強い買い",IF(AND(T6&gt;=12,AD6="上昇トレンド▲"),"★強い買い",IF(AND(T6&gt;=8,OR(AE6="25日線押し目●",AE6="5日線押し目○")),"◎押し目買い",IF(T6&gt;=10,"○買い候補",IF(T6&gt;=6,"△注目",IF(T6&gt;=3,"様子見","見送り"))))))))</f>
        <v/>
      </c>
      <c r="Z6" s="616">
        <f>IF(AND(E6&lt;&gt;"",G6&lt;&gt;"",G6&lt;&gt;0),(E6-G6)/G6*100,"")</f>
        <v/>
      </c>
      <c r="AA6" s="176">
        <f>IF(OR(C6="",E6="",E6=0),"",IF(E6&gt;G6,"上昇▲",IF(E6&lt;G6,"下落▼","横ばい→")))</f>
        <v/>
      </c>
      <c r="AB6" s="438">
        <f>IF(C6="","",IFERROR(((終値!E8*0.333)+(終値!F8*0.222)+(終値!G8*0.148)+(終値!H8*0.099)+(終値!I8*0.066)+(終値!J8*0.044)+(終値!K8*0.029)+(終値!L8*0.019)+(終値!M8*0.013)+(終値!N8*0.009))/(0.333+0.222+0.148+0.099+0.066+0.044+0.029+0.019+0.013+0.009),""))</f>
        <v/>
      </c>
      <c r="AC6" s="438">
        <f>IF(C6="","",IFERROR(SUMPRODUCT((終値!E8:AC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" s="439">
        <f>IF(OR(C6="",AB6="",AC6=""),"",IF(AND(E6&gt;AB6,AB6&gt;AC6),"パーフェクト▲",IF(E6&gt;AC6,"上昇トレンド▲",IF(AND(E6&lt;AB6,AB6&lt;AC6),"下降トレンド▼","もみ合い→"))))</f>
        <v/>
      </c>
      <c r="AE6" s="439">
        <f>IF(OR(C6="",AB6="",AC6=""),"",IF(AND(ABS(E6-AC6)/AC6&lt;=0.02,E6&gt;AC6),"25日押し目★",IF(AND(ABS(E6-AB6)/AB6&lt;=0.01,E6&gt;AB6),"5日押し目○","なし")))</f>
        <v/>
      </c>
      <c r="AF6" s="617">
        <f t="array" ref="AF6">IF(C6="","",IFERROR((INDEX(終値!$E:$E,MATCH(TEXT(C6,"0"),終値!$A:$A,0))-INDEX(終値!$E:$BL,MATCH(TEXT(C6,"0"),終値!$A:$A,0),$AL$2))/INDEX(終値!$E:$BL,MATCH(TEXT(C6,"0"),終値!$A:$A,0),$AL$2)*100,""))</f>
        <v/>
      </c>
      <c r="AG6" s="617">
        <f t="array" ref="AG6">IFERROR((終値!$E$5-INDEX(終値!$E$5:$BL$5,1,$AL$2))/INDEX(終値!$E$5:$BL$5,1,$AL$2)*100,"")</f>
        <v/>
      </c>
      <c r="AH6" s="618">
        <f>IF(OR(AF6="",AG6=""),"",AF6-AG6)</f>
        <v/>
      </c>
      <c r="AI6" s="385">
        <f>IF(AH6="","",IF(AH6&gt;5,3,IF(AH6&gt;0,1,IF(AH6&gt;-3,-1,-2))))</f>
        <v/>
      </c>
    </row>
    <row r="7" ht="18" customFormat="1" customHeight="1" s="187">
      <c r="A7" s="176">
        <f>IF(銘柄管理!B142&lt;&gt;"",HYPERLINK("https://kabutan.jp/stock/?code="&amp;銘柄管理!B142,"株探"),"")</f>
        <v/>
      </c>
      <c r="B7" s="177" t="n"/>
      <c r="C7" s="178">
        <f>IF(銘柄管理!B142="","",銘柄管理!B142)</f>
        <v/>
      </c>
      <c r="D7" s="106">
        <f>IF(銘柄管理!C142="","",銘柄管理!C142)</f>
        <v/>
      </c>
      <c r="E7" s="179">
        <f>IF(C7&lt;&gt;"",_xll.RssMarket(C7,"現在値"),"")</f>
        <v/>
      </c>
      <c r="F7" s="179">
        <f>IF(C7&lt;&gt;"",_xll.RssMarket(C7,"始値"),"")</f>
        <v/>
      </c>
      <c r="G7" s="178">
        <f>IF(C7&lt;&gt;"",終値!F142,"")</f>
        <v/>
      </c>
      <c r="H7" s="179">
        <f>IF(C7&lt;&gt;"",_xll.RssMarket(C7,"高値"),"")</f>
        <v/>
      </c>
      <c r="I7" s="179">
        <f>IF(C7&lt;&gt;"",_xll.RssMarket(C7,"安値"),"")</f>
        <v/>
      </c>
      <c r="J7" s="179">
        <f>IF(C7&lt;&gt;"",_xll.RssMarket(C7,"出来高"),"")</f>
        <v/>
      </c>
      <c r="K7" s="179">
        <f>IF(C7&lt;&gt;"",_xll.RssMarket(C7,"年初来高値"),"")</f>
        <v/>
      </c>
      <c r="L7" s="613">
        <f>IF(AND(E7&lt;&gt;"",K7&lt;&gt;"",K7&lt;&gt;0),(E7-K7)/K7*100,"")</f>
        <v/>
      </c>
      <c r="M7" s="179">
        <f>IF(C7&lt;&gt;"",IFERROR(AVERAGE(出来高!E142:I142),""),"")</f>
        <v/>
      </c>
      <c r="N7" s="179">
        <f>IF(C7&lt;&gt;"",IFERROR(AVERAGE(出来高!E142:AC142),""),"")</f>
        <v/>
      </c>
      <c r="O7" s="614">
        <f>IF(AND(J7&lt;&gt;"",M7&lt;&gt;"",M7&lt;&gt;0),J7/M7,"")</f>
        <v/>
      </c>
      <c r="P7" s="176">
        <f>IF(O7="","",IF(O7&gt;=2,"急増↑↑",IF(O7&gt;=1.5,"増加↑",IF(O7&gt;=1,"普通→","減少↓"))))</f>
        <v/>
      </c>
      <c r="Q7" s="176">
        <f>IF(E7="","",IF(AND(E7&gt;G7,O7&gt;=1.5),"買い▲",IF(E7&lt;G7,"様子見▼","中立→")))</f>
        <v/>
      </c>
      <c r="R7" s="179">
        <f>IF(E7&lt;&gt;"",ROUND(E7*1.08,0),"")</f>
        <v/>
      </c>
      <c r="S7" s="179">
        <f>IF(E7&lt;&gt;"",ROUND(E7*0.96,0),"")</f>
        <v/>
      </c>
      <c r="T7" s="176">
        <f>IF(C7="","",IFERROR(IF(O7&gt;=2,3,IF(O7&gt;=1.5,2,IF(O7&gt;=1,1,0)))+IF(E7&gt;G7,1,0)+IF(L7&gt;=-5,1,0)+IF(Q7="買い▲",2,0)+IF(W7&lt;=30,3,IF(W7&lt;=40,2,IF(AND(W7&gt;=40,W7&lt;=60),1,0)))+IF(X7&gt;0,1,0)+IF(V7="年初来高値更新●",3,IF(V7="高値圏",2,0))+IF(AD7="パーフェクト▲",3,IF(AD7="上昇トレンド▲",2,0))+IF(AE7="25日線押し目●",2,IF(AE7="5日線押し目○",1,0))+IF(P7="急増↑↑",2,IF(P7="増加↑",1,0))+N(AI7),0))</f>
        <v/>
      </c>
      <c r="U7" s="176">
        <f>IF(T7="","",IF(AND(T7&gt;=3,O7&gt;=1.5),"有効",IF(T7&gt;=3,"要確認","除外")))</f>
        <v/>
      </c>
      <c r="V7" s="176">
        <f>IF(AND(H7&lt;&gt;"",K7&lt;&gt;""),IF(H7&gt;=K7,"年初来高値更新●",IF(H7&gt;=K7*0.95,"高値圏","通常")),"")</f>
        <v/>
      </c>
      <c r="W7" s="615">
        <f t="array" ref="W7">IF(C7&lt;&gt;"",IFERROR(100-100/(1+SUMPRODUCT((終値!F142:R142&gt;終値!G142:S142)*( 終値!F142:R142-終値!G142:S142))/SUMPRODUCT((終値!F142:R142&lt;終値!G142:S142)*(終値!G142:S142-終値!F142:R142))),50),"")</f>
        <v/>
      </c>
      <c r="X7" s="183">
        <f>IF(C7&lt;&gt;"",IFERROR(SUMPRODUCT(終値!E142:P142,{0.154,0.132,0.113,0.097,0.083,0.071,0.061,0.052,0.045,0.038,0.033,0.028})/SUMPRODUCT({0.154,0.132,0.113,0.097,0.083,0.071,0.061,0.052,0.045,0.038,0.033,0.028})-SUMPRODUCT(終値!E142:AD142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" s="570">
        <f>IF(T7="","",IF(銘柄管理!$F$5="下落▼",IF(AND(AD7="パーフェクト▲",OR(AE7="25日線押し目●",AE7="5日線押し目○")),"★逆張り候補",IF(AND(AD7="上昇トレンド▲",OR(AE7="25日線押し目●",AE7="5日線押し目○")),"○逆張り候補",IF(W7&lt;=30,IF(Z7&gt;0,"◎反発確認",IF(Z7&lt;-5,"△要注意・様子見","△売られ過ぎ注目")),"相場下落・見送り"))),IF(AND(T7&gt;=12,AD7="パーフェクト▲"),"★強い買い",IF(AND(T7&gt;=12,AD7="上昇トレンド▲"),"★強い買い",IF(AND(T7&gt;=8,OR(AE7="25日線押し目●",AE7="5日線押し目○")),"◎押し目買い",IF(T7&gt;=10,"○買い候補",IF(T7&gt;=6,"△注目",IF(T7&gt;=3,"様子見","見送り"))))))))</f>
        <v/>
      </c>
      <c r="Z7" s="616">
        <f>IF(AND(E7&lt;&gt;"",G7&lt;&gt;"",G7&lt;&gt;0),(E7-G7)/G7*100,"")</f>
        <v/>
      </c>
      <c r="AA7" s="176">
        <f>IF(OR(C7="",E7="",E7=0),"",IF(E7&gt;G7,"上昇▲",IF(E7&lt;G7,"下落▼","横ばい→")))</f>
        <v/>
      </c>
      <c r="AB7" s="440">
        <f>IF(C7="","",IFERROR(((終値!E9*0.333)+(終値!F9*0.222)+(終値!G9*0.148)+(終値!H9*0.099)+(終値!I9*0.066)+(終値!J9*0.044)+(終値!K9*0.029)+(終値!L9*0.019)+(終値!M9*0.013)+(終値!N9*0.009))/(0.333+0.222+0.148+0.099+0.066+0.044+0.029+0.019+0.013+0.009),""))</f>
        <v/>
      </c>
      <c r="AC7" s="440">
        <f>IF(C7="","",IFERROR(SUMPRODUCT((終値!E9:AC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" s="441">
        <f>IF(OR(C7="",AB7="",AC7=""),"",IF(AND(E7&gt;AB7,AB7&gt;AC7),"パーフェクト▲",IF(E7&gt;AC7,"上昇トレンド▲",IF(AND(E7&lt;AB7,AB7&lt;AC7),"下降トレンド▼","もみ合い→"))))</f>
        <v/>
      </c>
      <c r="AE7" s="441">
        <f>IF(OR(C7="",AB7="",AC7=""),"",IF(AND(ABS(E7-AC7)/AC7&lt;=0.02,E7&gt;AC7),"25日押し目★",IF(AND(ABS(E7-AB7)/AB7&lt;=0.01,E7&gt;AB7),"5日押し目○","なし")))</f>
        <v/>
      </c>
      <c r="AF7" s="617">
        <f t="array" ref="AF7">IF(C7="","",IFERROR((INDEX(終値!$E:$E,MATCH(TEXT(C7,"0"),終値!$A:$A,0))-INDEX(終値!$E:$BL,MATCH(TEXT(C7,"0"),終値!$A:$A,0),$AL$2))/INDEX(終値!$E:$BL,MATCH(TEXT(C7,"0"),終値!$A:$A,0),$AL$2)*100,""))</f>
        <v/>
      </c>
      <c r="AG7" s="617">
        <f t="array" ref="AG7">IFERROR((終値!$E$5-INDEX(終値!$E$5:$BL$5,1,$AL$2))/INDEX(終値!$E$5:$BL$5,1,$AL$2)*100,"")</f>
        <v/>
      </c>
      <c r="AH7" s="618">
        <f>IF(OR(AF7="",AG7=""),"",AF7-AG7)</f>
        <v/>
      </c>
      <c r="AI7" s="385">
        <f>IF(AH7="","",IF(AH7&gt;5,3,IF(AH7&gt;0,1,IF(AH7&gt;-3,-1,-2))))</f>
        <v/>
      </c>
    </row>
    <row r="8" ht="18" customFormat="1" customHeight="1" s="187">
      <c r="A8" s="176">
        <f>IF(銘柄管理!B65&lt;&gt;"",HYPERLINK("https://kabutan.jp/stock/?code="&amp;銘柄管理!B65,"株探"),"")</f>
        <v/>
      </c>
      <c r="B8" s="177" t="n"/>
      <c r="C8" s="178">
        <f>IF(銘柄管理!B65="","",銘柄管理!B65)</f>
        <v/>
      </c>
      <c r="D8" s="106">
        <f>IF(銘柄管理!C65="","",銘柄管理!C65)</f>
        <v/>
      </c>
      <c r="E8" s="179">
        <f>IF(C8&lt;&gt;"",_xll.RssMarket(C8,"現在値"),"")</f>
        <v/>
      </c>
      <c r="F8" s="179">
        <f>IF(C8&lt;&gt;"",_xll.RssMarket(C8,"始値"),"")</f>
        <v/>
      </c>
      <c r="G8" s="178">
        <f>IF(C8&lt;&gt;"",終値!F65,"")</f>
        <v/>
      </c>
      <c r="H8" s="179">
        <f>IF(C8&lt;&gt;"",_xll.RssMarket(C8,"高値"),"")</f>
        <v/>
      </c>
      <c r="I8" s="179">
        <f>IF(C8&lt;&gt;"",_xll.RssMarket(C8,"安値"),"")</f>
        <v/>
      </c>
      <c r="J8" s="179">
        <f>IF(C8&lt;&gt;"",_xll.RssMarket(C8,"出来高"),"")</f>
        <v/>
      </c>
      <c r="K8" s="179">
        <f>IF(C8&lt;&gt;"",_xll.RssMarket(C8,"年初来高値"),"")</f>
        <v/>
      </c>
      <c r="L8" s="613">
        <f>IF(AND(E8&lt;&gt;"",K8&lt;&gt;"",K8&lt;&gt;0),(E8-K8)/K8*100,"")</f>
        <v/>
      </c>
      <c r="M8" s="179">
        <f>IF(C8&lt;&gt;"",IFERROR(AVERAGE(出来高!E65:I65),""),"")</f>
        <v/>
      </c>
      <c r="N8" s="179">
        <f>IF(C8&lt;&gt;"",IFERROR(AVERAGE(出来高!E65:AC65),""),"")</f>
        <v/>
      </c>
      <c r="O8" s="614">
        <f>IF(AND(J8&lt;&gt;"",M8&lt;&gt;"",M8&lt;&gt;0),J8/M8,"")</f>
        <v/>
      </c>
      <c r="P8" s="176">
        <f>IF(O8="","",IF(O8&gt;=2,"急増↑↑",IF(O8&gt;=1.5,"増加↑",IF(O8&gt;=1,"普通→","減少↓"))))</f>
        <v/>
      </c>
      <c r="Q8" s="176">
        <f>IF(E8="","",IF(AND(E8&gt;G8,O8&gt;=1.5),"買い▲",IF(E8&lt;G8,"様子見▼","中立→")))</f>
        <v/>
      </c>
      <c r="R8" s="179">
        <f>IF(E8&lt;&gt;"",ROUND(E8*1.08,0),"")</f>
        <v/>
      </c>
      <c r="S8" s="179">
        <f>IF(E8&lt;&gt;"",ROUND(E8*0.96,0),"")</f>
        <v/>
      </c>
      <c r="T8" s="176">
        <f>IF(C8="","",IFERROR(IF(O8&gt;=2,3,IF(O8&gt;=1.5,2,IF(O8&gt;=1,1,0)))+IF(E8&gt;G8,1,0)+IF(L8&gt;=-5,1,0)+IF(Q8="買い▲",2,0)+IF(W8&lt;=30,3,IF(W8&lt;=40,2,IF(AND(W8&gt;=40,W8&lt;=60),1,0)))+IF(X8&gt;0,1,0)+IF(V8="年初来高値更新●",3,IF(V8="高値圏",2,0))+IF(AD8="パーフェクト▲",3,IF(AD8="上昇トレンド▲",2,0))+IF(AE8="25日線押し目●",2,IF(AE8="5日線押し目○",1,0))+IF(P8="急増↑↑",2,IF(P8="増加↑",1,0))+N(AI8),0))</f>
        <v/>
      </c>
      <c r="U8" s="176">
        <f>IF(T8="","",IF(AND(T8&gt;=3,O8&gt;=1.5),"有効",IF(T8&gt;=3,"要確認","除外")))</f>
        <v/>
      </c>
      <c r="V8" s="176">
        <f>IF(AND(H8&lt;&gt;"",K8&lt;&gt;""),IF(H8&gt;=K8,"年初来高値更新●",IF(H8&gt;=K8*0.95,"高値圏","通常")),"")</f>
        <v/>
      </c>
      <c r="W8" s="615">
        <f t="array" ref="W8">IF(C8&lt;&gt;"",IFERROR(100-100/(1+SUMPRODUCT((終値!F65:R65&gt;終値!G65:S65)*( 終値!F65:R65-終値!G65:S65))/SUMPRODUCT((終値!F65:R65&lt;終値!G65:S65)*(終値!G65:S65-終値!F65:R65))),50),"")</f>
        <v/>
      </c>
      <c r="X8" s="183">
        <f>IF(C8&lt;&gt;"",IFERROR(SUMPRODUCT(終値!E65:P65,{0.154,0.132,0.113,0.097,0.083,0.071,0.061,0.052,0.045,0.038,0.033,0.028})/SUMPRODUCT({0.154,0.132,0.113,0.097,0.083,0.071,0.061,0.052,0.045,0.038,0.033,0.028})-SUMPRODUCT(終値!E65:AD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" s="570">
        <f>IF(T8="","",IF(銘柄管理!$F$5="下落▼",IF(AND(AD8="パーフェクト▲",OR(AE8="25日線押し目●",AE8="5日線押し目○")),"★逆張り候補",IF(AND(AD8="上昇トレンド▲",OR(AE8="25日線押し目●",AE8="5日線押し目○")),"○逆張り候補",IF(W8&lt;=30,IF(Z8&gt;0,"◎反発確認",IF(Z8&lt;-5,"△要注意・様子見","△売られ過ぎ注目")),"相場下落・見送り"))),IF(AND(T8&gt;=12,AD8="パーフェクト▲"),"★強い買い",IF(AND(T8&gt;=12,AD8="上昇トレンド▲"),"★強い買い",IF(AND(T8&gt;=8,OR(AE8="25日線押し目●",AE8="5日線押し目○")),"◎押し目買い",IF(T8&gt;=10,"○買い候補",IF(T8&gt;=6,"△注目",IF(T8&gt;=3,"様子見","見送り"))))))))</f>
        <v/>
      </c>
      <c r="Z8" s="616">
        <f>IF(AND(E8&lt;&gt;"",G8&lt;&gt;"",G8&lt;&gt;0),(E8-G8)/G8*100,"")</f>
        <v/>
      </c>
      <c r="AA8" s="176">
        <f>IF(OR(C8="",E8="",E8=0),"",IF(E8&gt;G8,"上昇▲",IF(E8&lt;G8,"下落▼","横ばい→")))</f>
        <v/>
      </c>
      <c r="AB8" s="438">
        <f>IF(C8="","",IFERROR(((終値!E10*0.333)+(終値!F10*0.222)+(終値!G10*0.148)+(終値!H10*0.099)+(終値!I10*0.066)+(終値!J10*0.044)+(終値!K10*0.029)+(終値!L10*0.019)+(終値!M10*0.013)+(終値!N10*0.009))/(0.333+0.222+0.148+0.099+0.066+0.044+0.029+0.019+0.013+0.009),""))</f>
        <v/>
      </c>
      <c r="AC8" s="438">
        <f>IF(C8="","",IFERROR(SUMPRODUCT((終値!E10:AC10)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" s="439">
        <f>IF(OR(C8="",AB8="",AC8=""),"",IF(AND(E8&gt;AB8,AB8&gt;AC8),"パーフェクト▲",IF(E8&gt;AC8,"上昇トレンド▲",IF(AND(E8&lt;AB8,AB8&lt;AC8),"下降トレンド▼","もみ合い→"))))</f>
        <v/>
      </c>
      <c r="AE8" s="439">
        <f>IF(OR(C8="",AB8="",AC8=""),"",IF(AND(ABS(E8-AC8)/AC8&lt;=0.02,E8&gt;AC8),"25日押し目★",IF(AND(ABS(E8-AB8)/AB8&lt;=0.01,E8&gt;AB8),"5日押し目○","なし")))</f>
        <v/>
      </c>
      <c r="AF8" s="617">
        <f t="array" ref="AF8">IF(C8="","",IFERROR((INDEX(終値!$E:$E,MATCH(TEXT(C8,"0"),終値!$A:$A,0))-INDEX(終値!$E:$BL,MATCH(TEXT(C8,"0"),終値!$A:$A,0),$AL$2))/INDEX(終値!$E:$BL,MATCH(TEXT(C8,"0"),終値!$A:$A,0),$AL$2)*100,""))</f>
        <v/>
      </c>
      <c r="AG8" s="617">
        <f t="array" ref="AG8">IFERROR((終値!$E$5-INDEX(終値!$E$5:$BL$5,1,$AL$2))/INDEX(終値!$E$5:$BL$5,1,$AL$2)*100,"")</f>
        <v/>
      </c>
      <c r="AH8" s="618">
        <f>IF(OR(AF8="",AG8=""),"",AF8-AG8)</f>
        <v/>
      </c>
      <c r="AI8" s="385">
        <f>IF(AH8="","",IF(AH8&gt;5,3,IF(AH8&gt;0,1,IF(AH8&gt;-3,-1,-2))))</f>
        <v/>
      </c>
    </row>
    <row r="9" ht="18" customFormat="1" customHeight="1" s="187">
      <c r="A9" s="176">
        <f>IF(銘柄管理!B116&lt;&gt;"",HYPERLINK("https://kabutan.jp/stock/?code="&amp;銘柄管理!B116,"株探"),"")</f>
        <v/>
      </c>
      <c r="B9" s="177" t="n"/>
      <c r="C9" s="178">
        <f>IF(銘柄管理!B116="","",銘柄管理!B116)</f>
        <v/>
      </c>
      <c r="D9" s="106">
        <f>IF(銘柄管理!C116="","",銘柄管理!C116)</f>
        <v/>
      </c>
      <c r="E9" s="179">
        <f>IF(C9&lt;&gt;"",_xll.RssMarket(C9,"現在値"),"")</f>
        <v/>
      </c>
      <c r="F9" s="179">
        <f>IF(C9&lt;&gt;"",_xll.RssMarket(C9,"始値"),"")</f>
        <v/>
      </c>
      <c r="G9" s="178">
        <f>IF(C9&lt;&gt;"",終値!F116,"")</f>
        <v/>
      </c>
      <c r="H9" s="179">
        <f>IF(C9&lt;&gt;"",_xll.RssMarket(C9,"高値"),"")</f>
        <v/>
      </c>
      <c r="I9" s="179">
        <f>IF(C9&lt;&gt;"",_xll.RssMarket(C9,"安値"),"")</f>
        <v/>
      </c>
      <c r="J9" s="179">
        <f>IF(C9&lt;&gt;"",_xll.RssMarket(C9,"出来高"),"")</f>
        <v/>
      </c>
      <c r="K9" s="179">
        <f>IF(C9&lt;&gt;"",_xll.RssMarket(C9,"年初来高値"),"")</f>
        <v/>
      </c>
      <c r="L9" s="613">
        <f>IF(AND(E9&lt;&gt;"",K9&lt;&gt;"",K9&lt;&gt;0),(E9-K9)/K9*100,"")</f>
        <v/>
      </c>
      <c r="M9" s="179">
        <f>IF(C9&lt;&gt;"",IFERROR(AVERAGE(出来高!E116:I116),""),"")</f>
        <v/>
      </c>
      <c r="N9" s="179">
        <f>IF(C9&lt;&gt;"",IFERROR(AVERAGE(出来高!E116:AC116),""),"")</f>
        <v/>
      </c>
      <c r="O9" s="614">
        <f>IF(AND(J9&lt;&gt;"",M9&lt;&gt;"",M9&lt;&gt;0),J9/M9,"")</f>
        <v/>
      </c>
      <c r="P9" s="176">
        <f>IF(O9="","",IF(O9&gt;=2,"急増↑↑",IF(O9&gt;=1.5,"増加↑",IF(O9&gt;=1,"普通→","減少↓"))))</f>
        <v/>
      </c>
      <c r="Q9" s="176">
        <f>IF(E9="","",IF(AND(E9&gt;G9,O9&gt;=1.5),"買い▲",IF(E9&lt;G9,"様子見▼","中立→")))</f>
        <v/>
      </c>
      <c r="R9" s="179">
        <f>IF(E9&lt;&gt;"",ROUND(E9*1.08,0),"")</f>
        <v/>
      </c>
      <c r="S9" s="179">
        <f>IF(E9&lt;&gt;"",ROUND(E9*0.96,0),"")</f>
        <v/>
      </c>
      <c r="T9" s="176">
        <f>IF(C9="","",IFERROR(IF(O9&gt;=2,3,IF(O9&gt;=1.5,2,IF(O9&gt;=1,1,0)))+IF(E9&gt;G9,1,0)+IF(L9&gt;=-5,1,0)+IF(Q9="買い▲",2,0)+IF(W9&lt;=30,3,IF(W9&lt;=40,2,IF(AND(W9&gt;=40,W9&lt;=60),1,0)))+IF(X9&gt;0,1,0)+IF(V9="年初来高値更新●",3,IF(V9="高値圏",2,0))+IF(AD9="パーフェクト▲",3,IF(AD9="上昇トレンド▲",2,0))+IF(AE9="25日線押し目●",2,IF(AE9="5日線押し目○",1,0))+IF(P9="急増↑↑",2,IF(P9="増加↑",1,0))+N(AI9),0))</f>
        <v/>
      </c>
      <c r="U9" s="176">
        <f>IF(T9="","",IF(AND(T9&gt;=3,O9&gt;=1.5),"有効",IF(T9&gt;=3,"要確認","除外")))</f>
        <v/>
      </c>
      <c r="V9" s="176">
        <f>IF(AND(H9&lt;&gt;"",K9&lt;&gt;""),IF(H9&gt;=K9,"年初来高値更新●",IF(H9&gt;=K9*0.95,"高値圏","通常")),"")</f>
        <v/>
      </c>
      <c r="W9" s="615">
        <f t="array" ref="W9">IF(C9&lt;&gt;"",IFERROR(100-100/(1+SUMPRODUCT((終値!F116:R116&gt;終値!G116:S116)*( 終値!F116:R116-終値!G116:S116))/SUMPRODUCT((終値!F116:R116&lt;終値!G116:S116)*(終値!G116:S116-終値!F116:R116))),50),"")</f>
        <v/>
      </c>
      <c r="X9" s="183">
        <f>IF(C9&lt;&gt;"",IFERROR(SUMPRODUCT(終値!E116:P116,{0.154,0.132,0.113,0.097,0.083,0.071,0.061,0.052,0.045,0.038,0.033,0.028})/SUMPRODUCT({0.154,0.132,0.113,0.097,0.083,0.071,0.061,0.052,0.045,0.038,0.033,0.028})-SUMPRODUCT(終値!E116:AD116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" s="570">
        <f>IF(T9="","",IF(銘柄管理!$F$5="下落▼",IF(AND(AD9="パーフェクト▲",OR(AE9="25日線押し目●",AE9="5日線押し目○")),"★逆張り候補",IF(AND(AD9="上昇トレンド▲",OR(AE9="25日線押し目●",AE9="5日線押し目○")),"○逆張り候補",IF(W9&lt;=30,IF(Z9&gt;0,"◎反発確認",IF(Z9&lt;-5,"△要注意・様子見","△売られ過ぎ注目")),"相場下落・見送り"))),IF(AND(T9&gt;=12,AD9="パーフェクト▲"),"★強い買い",IF(AND(T9&gt;=12,AD9="上昇トレンド▲"),"★強い買い",IF(AND(T9&gt;=8,OR(AE9="25日線押し目●",AE9="5日線押し目○")),"◎押し目買い",IF(T9&gt;=10,"○買い候補",IF(T9&gt;=6,"△注目",IF(T9&gt;=3,"様子見","見送り"))))))))</f>
        <v/>
      </c>
      <c r="Z9" s="616">
        <f>IF(AND(E9&lt;&gt;"",G9&lt;&gt;"",G9&lt;&gt;0),(E9-G9)/G9*100,"")</f>
        <v/>
      </c>
      <c r="AA9" s="176">
        <f>IF(OR(C9="",E9="",E9=0),"",IF(E9&gt;G9,"上昇▲",IF(E9&lt;G9,"下落▼","横ばい→")))</f>
        <v/>
      </c>
      <c r="AB9" s="440">
        <f>IF(C9="","",IFERROR(((終値!E11*0.333)+(終値!F11*0.222)+(終値!G11*0.148)+(終値!H11*0.099)+(終値!I11*0.066)+(終値!J11*0.044)+(終値!K11*0.029)+(終値!L11*0.019)+(終値!M11*0.013)+(終値!N11*0.009))/(0.333+0.222+0.148+0.099+0.066+0.044+0.029+0.019+0.013+0.009),""))</f>
        <v/>
      </c>
      <c r="AC9" s="440">
        <f>IF(C9="","",IFERROR(SUMPRODUCT((終値!E11:AC11)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" s="441">
        <f>IF(OR(C9="",AB9="",AC9=""),"",IF(AND(E9&gt;AB9,AB9&gt;AC9),"パーフェクト▲",IF(E9&gt;AC9,"上昇トレンド▲",IF(AND(E9&lt;AB9,AB9&lt;AC9),"下降トレンド▼","もみ合い→"))))</f>
        <v/>
      </c>
      <c r="AE9" s="441">
        <f>IF(OR(C9="",AB9="",AC9=""),"",IF(AND(ABS(E9-AC9)/AC9&lt;=0.02,E9&gt;AC9),"25日押し目★",IF(AND(ABS(E9-AB9)/AB9&lt;=0.01,E9&gt;AB9),"5日押し目○","なし")))</f>
        <v/>
      </c>
      <c r="AF9" s="617">
        <f t="array" ref="AF9">IF(C9="","",IFERROR((INDEX(終値!$E:$E,MATCH(TEXT(C9,"0"),終値!$A:$A,0))-INDEX(終値!$E:$BL,MATCH(TEXT(C9,"0"),終値!$A:$A,0),$AL$2))/INDEX(終値!$E:$BL,MATCH(TEXT(C9,"0"),終値!$A:$A,0),$AL$2)*100,""))</f>
        <v/>
      </c>
      <c r="AG9" s="617">
        <f t="array" ref="AG9">IFERROR((終値!$E$5-INDEX(終値!$E$5:$BL$5,1,$AL$2))/INDEX(終値!$E$5:$BL$5,1,$AL$2)*100,"")</f>
        <v/>
      </c>
      <c r="AH9" s="618">
        <f>IF(OR(AF9="",AG9=""),"",AF9-AG9)</f>
        <v/>
      </c>
      <c r="AI9" s="385">
        <f>IF(AH9="","",IF(AH9&gt;5,3,IF(AH9&gt;0,1,IF(AH9&gt;-3,-1,-2))))</f>
        <v/>
      </c>
    </row>
    <row r="10" ht="18" customFormat="1" customHeight="1" s="187">
      <c r="A10" s="176">
        <f>IF(銘柄管理!B166&lt;&gt;"",HYPERLINK("https://kabutan.jp/stock/?code="&amp;銘柄管理!B166,"株探"),"")</f>
        <v/>
      </c>
      <c r="B10" s="177" t="n"/>
      <c r="C10" s="178">
        <f>IF(銘柄管理!B166="","",銘柄管理!B166)</f>
        <v/>
      </c>
      <c r="D10" s="106">
        <f>IF(銘柄管理!C166="","",銘柄管理!C166)</f>
        <v/>
      </c>
      <c r="E10" s="179">
        <f>IF(C10&lt;&gt;"",_xll.RssMarket(C10,"現在値"),"")</f>
        <v/>
      </c>
      <c r="F10" s="179">
        <f>IF(C10&lt;&gt;"",_xll.RssMarket(C10,"始値"),"")</f>
        <v/>
      </c>
      <c r="G10" s="178">
        <f>IF(C10&lt;&gt;"",終値!F166,"")</f>
        <v/>
      </c>
      <c r="H10" s="179">
        <f>IF(C10&lt;&gt;"",_xll.RssMarket(C10,"高値"),"")</f>
        <v/>
      </c>
      <c r="I10" s="179">
        <f>IF(C10&lt;&gt;"",_xll.RssMarket(C10,"安値"),"")</f>
        <v/>
      </c>
      <c r="J10" s="179">
        <f>IF(C10&lt;&gt;"",_xll.RssMarket(C10,"出来高"),"")</f>
        <v/>
      </c>
      <c r="K10" s="179">
        <f>IF(C10&lt;&gt;"",_xll.RssMarket(C10,"年初来高値"),"")</f>
        <v/>
      </c>
      <c r="L10" s="613">
        <f>IF(AND(E10&lt;&gt;"",K10&lt;&gt;"",K10&lt;&gt;0),(E10-K10)/K10*100,"")</f>
        <v/>
      </c>
      <c r="M10" s="179">
        <f>IF(C10&lt;&gt;"",IFERROR(AVERAGE(出来高!E166:I166),""),"")</f>
        <v/>
      </c>
      <c r="N10" s="179">
        <f>IF(C10&lt;&gt;"",IFERROR(AVERAGE(出来高!E166:AC166),""),"")</f>
        <v/>
      </c>
      <c r="O10" s="614">
        <f>IF(AND(J10&lt;&gt;"",M10&lt;&gt;"",M10&lt;&gt;0),J10/M10,"")</f>
        <v/>
      </c>
      <c r="P10" s="176">
        <f>IF(O10="","",IF(O10&gt;=2,"急増↑↑",IF(O10&gt;=1.5,"増加↑",IF(O10&gt;=1,"普通→","減少↓"))))</f>
        <v/>
      </c>
      <c r="Q10" s="176">
        <f>IF(E10="","",IF(AND(E10&gt;G10,O10&gt;=1.5),"買い▲",IF(E10&lt;G10,"様子見▼","中立→")))</f>
        <v/>
      </c>
      <c r="R10" s="179">
        <f>IF(E10&lt;&gt;"",ROUND(E10*1.08,0),"")</f>
        <v/>
      </c>
      <c r="S10" s="179">
        <f>IF(E10&lt;&gt;"",ROUND(E10*0.96,0),"")</f>
        <v/>
      </c>
      <c r="T10" s="176">
        <f>IF(C10="","",IFERROR(IF(O10&gt;=2,3,IF(O10&gt;=1.5,2,IF(O10&gt;=1,1,0)))+IF(E10&gt;G10,1,0)+IF(L10&gt;=-5,1,0)+IF(Q10="買い▲",2,0)+IF(W10&lt;=30,3,IF(W10&lt;=40,2,IF(AND(W10&gt;=40,W10&lt;=60),1,0)))+IF(X10&gt;0,1,0)+IF(V10="年初来高値更新●",3,IF(V10="高値圏",2,0))+IF(AD10="パーフェクト▲",3,IF(AD10="上昇トレンド▲",2,0))+IF(AE10="25日線押し目●",2,IF(AE10="5日線押し目○",1,0))+IF(P10="急増↑↑",2,IF(P10="増加↑",1,0))+N(AI10),0))</f>
        <v/>
      </c>
      <c r="U10" s="176">
        <f>IF(T10="","",IF(AND(T10&gt;=3,O10&gt;=1.5),"有効",IF(T10&gt;=3,"要確認","除外")))</f>
        <v/>
      </c>
      <c r="V10" s="176">
        <f>IF(AND(H10&lt;&gt;"",K10&lt;&gt;""),IF(H10&gt;=K10,"年初来高値更新●",IF(H10&gt;=K10*0.95,"高値圏","通常")),"")</f>
        <v/>
      </c>
      <c r="W10" s="615">
        <f t="array" ref="W10">IF(C10&lt;&gt;"",IFERROR(100-100/(1+SUMPRODUCT((終値!F166:R166&gt;終値!G166:S166)*( 終値!F166:R166-終値!G166:S166))/SUMPRODUCT((終値!F166:R166&lt;終値!G166:S166)*(終値!G166:S166-終値!F166:R166))),50),"")</f>
        <v/>
      </c>
      <c r="X10" s="183">
        <f>IF(C10&lt;&gt;"",IFERROR(SUMPRODUCT(終値!E166:P166,{0.154,0.132,0.113,0.097,0.083,0.071,0.061,0.052,0.045,0.038,0.033,0.028})/SUMPRODUCT({0.154,0.132,0.113,0.097,0.083,0.071,0.061,0.052,0.045,0.038,0.033,0.028})-SUMPRODUCT(終値!E166:AD166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" s="570">
        <f>IF(T10="","",IF(銘柄管理!$F$5="下落▼",IF(AND(AD10="パーフェクト▲",OR(AE10="25日線押し目●",AE10="5日線押し目○")),"★逆張り候補",IF(AND(AD10="上昇トレンド▲",OR(AE10="25日線押し目●",AE10="5日線押し目○")),"○逆張り候補",IF(W10&lt;=30,IF(Z10&gt;0,"◎反発確認",IF(Z10&lt;-5,"△要注意・様子見","△売られ過ぎ注目")),"相場下落・見送り"))),IF(AND(T10&gt;=12,AD10="パーフェクト▲"),"★強い買い",IF(AND(T10&gt;=12,AD10="上昇トレンド▲"),"★強い買い",IF(AND(T10&gt;=8,OR(AE10="25日線押し目●",AE10="5日線押し目○")),"◎押し目買い",IF(T10&gt;=10,"○買い候補",IF(T10&gt;=6,"△注目",IF(T10&gt;=3,"様子見","見送り"))))))))</f>
        <v/>
      </c>
      <c r="Z10" s="616">
        <f>IF(AND(E10&lt;&gt;"",G10&lt;&gt;"",G10&lt;&gt;0),(E10-G10)/G10*100,"")</f>
        <v/>
      </c>
      <c r="AA10" s="176">
        <f>IF(OR(C10="",E10="",E10=0),"",IF(E10&gt;G10,"上昇▲",IF(E10&lt;G10,"下落▼","横ばい→")))</f>
        <v/>
      </c>
      <c r="AB10" s="438">
        <f>IF(C10="","",IFERROR(((終値!E12*0.333)+(終値!F12*0.222)+(終値!G12*0.148)+(終値!H12*0.099)+(終値!I12*0.066)+(終値!J12*0.044)+(終値!K12*0.029)+(終値!L12*0.019)+(終値!M12*0.013)+(終値!N12*0.009))/(0.333+0.222+0.148+0.099+0.066+0.044+0.029+0.019+0.013+0.009),""))</f>
        <v/>
      </c>
      <c r="AC10" s="438">
        <f>IF(C10="","",IFERROR(SUMPRODUCT((終値!E12:AC12)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" s="439">
        <f>IF(OR(C10="",AB10="",AC10=""),"",IF(AND(E10&gt;AB10,AB10&gt;AC10),"パーフェクト▲",IF(E10&gt;AC10,"上昇トレンド▲",IF(AND(E10&lt;AB10,AB10&lt;AC10),"下降トレンド▼","もみ合い→"))))</f>
        <v/>
      </c>
      <c r="AE10" s="439">
        <f>IF(OR(C10="",AB10="",AC10=""),"",IF(AND(ABS(E10-AC10)/AC10&lt;=0.02,E10&gt;AC10),"25日押し目★",IF(AND(ABS(E10-AB10)/AB10&lt;=0.01,E10&gt;AB10),"5日押し目○","なし")))</f>
        <v/>
      </c>
      <c r="AF10" s="617">
        <f t="array" ref="AF10">IF(C10="","",IFERROR((INDEX(終値!$E:$E,MATCH(TEXT(C10,"0"),終値!$A:$A,0))-INDEX(終値!$E:$BL,MATCH(TEXT(C10,"0"),終値!$A:$A,0),$AL$2))/INDEX(終値!$E:$BL,MATCH(TEXT(C10,"0"),終値!$A:$A,0),$AL$2)*100,""))</f>
        <v/>
      </c>
      <c r="AG10" s="617">
        <f t="array" ref="AG10">IFERROR((終値!$E$5-INDEX(終値!$E$5:$BL$5,1,$AL$2))/INDEX(終値!$E$5:$BL$5,1,$AL$2)*100,"")</f>
        <v/>
      </c>
      <c r="AH10" s="618">
        <f>IF(OR(AF10="",AG10=""),"",AF10-AG10)</f>
        <v/>
      </c>
      <c r="AI10" s="385">
        <f>IF(AH10="","",IF(AH10&gt;5,3,IF(AH10&gt;0,1,IF(AH10&gt;-3,-1,-2))))</f>
        <v/>
      </c>
    </row>
    <row r="11" ht="18" customFormat="1" customHeight="1" s="187">
      <c r="A11" s="176">
        <f>IF(銘柄管理!B162&lt;&gt;"",HYPERLINK("https://kabutan.jp/stock/?code="&amp;銘柄管理!B162,"株探"),"")</f>
        <v/>
      </c>
      <c r="B11" s="177" t="n"/>
      <c r="C11" s="178">
        <f>IF(銘柄管理!B162="","",銘柄管理!B162)</f>
        <v/>
      </c>
      <c r="D11" s="106">
        <f>IF(銘柄管理!C162="","",銘柄管理!C162)</f>
        <v/>
      </c>
      <c r="E11" s="179">
        <f>IF(C11&lt;&gt;"",_xll.RssMarket(C11,"現在値"),"")</f>
        <v/>
      </c>
      <c r="F11" s="179">
        <f>IF(C11&lt;&gt;"",_xll.RssMarket(C11,"始値"),"")</f>
        <v/>
      </c>
      <c r="G11" s="178">
        <f>IF(C11&lt;&gt;"",終値!F162,"")</f>
        <v/>
      </c>
      <c r="H11" s="179">
        <f>IF(C11&lt;&gt;"",_xll.RssMarket(C11,"高値"),"")</f>
        <v/>
      </c>
      <c r="I11" s="179">
        <f>IF(C11&lt;&gt;"",_xll.RssMarket(C11,"安値"),"")</f>
        <v/>
      </c>
      <c r="J11" s="179">
        <f>IF(C11&lt;&gt;"",_xll.RssMarket(C11,"出来高"),"")</f>
        <v/>
      </c>
      <c r="K11" s="179">
        <f>IF(C11&lt;&gt;"",_xll.RssMarket(C11,"年初来高値"),"")</f>
        <v/>
      </c>
      <c r="L11" s="613">
        <f>IF(AND(E11&lt;&gt;"",K11&lt;&gt;"",K11&lt;&gt;0),(E11-K11)/K11*100,"")</f>
        <v/>
      </c>
      <c r="M11" s="179">
        <f>IF(C11&lt;&gt;"",IFERROR(AVERAGE(出来高!E162:I162),""),"")</f>
        <v/>
      </c>
      <c r="N11" s="179">
        <f>IF(C11&lt;&gt;"",IFERROR(AVERAGE(出来高!E162:AC162),""),"")</f>
        <v/>
      </c>
      <c r="O11" s="614">
        <f>IF(AND(J11&lt;&gt;"",M11&lt;&gt;"",M11&lt;&gt;0),J11/M11,"")</f>
        <v/>
      </c>
      <c r="P11" s="176">
        <f>IF(O11="","",IF(O11&gt;=2,"急増↑↑",IF(O11&gt;=1.5,"増加↑",IF(O11&gt;=1,"普通→","減少↓"))))</f>
        <v/>
      </c>
      <c r="Q11" s="176">
        <f>IF(E11="","",IF(AND(E11&gt;G11,O11&gt;=1.5),"買い▲",IF(E11&lt;G11,"様子見▼","中立→")))</f>
        <v/>
      </c>
      <c r="R11" s="179">
        <f>IF(E11&lt;&gt;"",ROUND(E11*1.08,0),"")</f>
        <v/>
      </c>
      <c r="S11" s="179">
        <f>IF(E11&lt;&gt;"",ROUND(E11*0.96,0),"")</f>
        <v/>
      </c>
      <c r="T11" s="176">
        <f>IF(C11="","",IFERROR(IF(O11&gt;=2,3,IF(O11&gt;=1.5,2,IF(O11&gt;=1,1,0)))+IF(E11&gt;G11,1,0)+IF(L11&gt;=-5,1,0)+IF(Q11="買い▲",2,0)+IF(W11&lt;=30,3,IF(W11&lt;=40,2,IF(AND(W11&gt;=40,W11&lt;=60),1,0)))+IF(X11&gt;0,1,0)+IF(V11="年初来高値更新●",3,IF(V11="高値圏",2,0))+IF(AD11="パーフェクト▲",3,IF(AD11="上昇トレンド▲",2,0))+IF(AE11="25日線押し目●",2,IF(AE11="5日線押し目○",1,0))+IF(P11="急増↑↑",2,IF(P11="増加↑",1,0))+N(AI11),0))</f>
        <v/>
      </c>
      <c r="U11" s="176">
        <f>IF(T11="","",IF(AND(T11&gt;=3,O11&gt;=1.5),"有効",IF(T11&gt;=3,"要確認","除外")))</f>
        <v/>
      </c>
      <c r="V11" s="176">
        <f>IF(AND(H11&lt;&gt;"",K11&lt;&gt;""),IF(H11&gt;=K11,"年初来高値更新●",IF(H11&gt;=K11*0.95,"高値圏","通常")),"")</f>
        <v/>
      </c>
      <c r="W11" s="615">
        <f t="array" ref="W11">IF(C11&lt;&gt;"",IFERROR(100-100/(1+SUMPRODUCT((終値!F162:R162&gt;終値!G162:S162)*( 終値!F162:R162-終値!G162:S162))/SUMPRODUCT((終値!F162:R162&lt;終値!G162:S162)*(終値!G162:S162-終値!F162:R162))),50),"")</f>
        <v/>
      </c>
      <c r="X11" s="183">
        <f>IF(C11&lt;&gt;"",IFERROR(SUMPRODUCT(終値!E162:P162,{0.154,0.132,0.113,0.097,0.083,0.071,0.061,0.052,0.045,0.038,0.033,0.028})/SUMPRODUCT({0.154,0.132,0.113,0.097,0.083,0.071,0.061,0.052,0.045,0.038,0.033,0.028})-SUMPRODUCT(終値!E162:AD162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" s="570">
        <f>IF(T11="","",IF(銘柄管理!$F$5="下落▼",IF(AND(AD11="パーフェクト▲",OR(AE11="25日線押し目●",AE11="5日線押し目○")),"★逆張り候補",IF(AND(AD11="上昇トレンド▲",OR(AE11="25日線押し目●",AE11="5日線押し目○")),"○逆張り候補",IF(W11&lt;=30,IF(Z11&gt;0,"◎反発確認",IF(Z11&lt;-5,"△要注意・様子見","△売られ過ぎ注目")),"相場下落・見送り"))),IF(AND(T11&gt;=12,AD11="パーフェクト▲"),"★強い買い",IF(AND(T11&gt;=12,AD11="上昇トレンド▲"),"★強い買い",IF(AND(T11&gt;=8,OR(AE11="25日線押し目●",AE11="5日線押し目○")),"◎押し目買い",IF(T11&gt;=10,"○買い候補",IF(T11&gt;=6,"△注目",IF(T11&gt;=3,"様子見","見送り"))))))))</f>
        <v/>
      </c>
      <c r="Z11" s="616">
        <f>IF(AND(E11&lt;&gt;"",G11&lt;&gt;"",G11&lt;&gt;0),(E11-G11)/G11*100,"")</f>
        <v/>
      </c>
      <c r="AA11" s="176">
        <f>IF(OR(C11="",E11="",E11=0),"",IF(E11&gt;G11,"上昇▲",IF(E11&lt;G11,"下落▼","横ばい→")))</f>
        <v/>
      </c>
      <c r="AB11" s="440">
        <f>IF(C11="","",IFERROR(((終値!E13*0.333)+(終値!F13*0.222)+(終値!G13*0.148)+(終値!H13*0.099)+(終値!I13*0.066)+(終値!J13*0.044)+(終値!K13*0.029)+(終値!L13*0.019)+(終値!M13*0.013)+(終値!N13*0.009))/(0.333+0.222+0.148+0.099+0.066+0.044+0.029+0.019+0.013+0.009),""))</f>
        <v/>
      </c>
      <c r="AC11" s="440">
        <f>IF(C11="","",IFERROR(SUMPRODUCT((終値!E13:AC13)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" s="441">
        <f>IF(OR(C11="",AB11="",AC11=""),"",IF(AND(E11&gt;AB11,AB11&gt;AC11),"パーフェクト▲",IF(E11&gt;AC11,"上昇トレンド▲",IF(AND(E11&lt;AB11,AB11&lt;AC11),"下降トレンド▼","もみ合い→"))))</f>
        <v/>
      </c>
      <c r="AE11" s="441">
        <f>IF(OR(C11="",AB11="",AC11=""),"",IF(AND(ABS(E11-AC11)/AC11&lt;=0.02,E11&gt;AC11),"25日押し目★",IF(AND(ABS(E11-AB11)/AB11&lt;=0.01,E11&gt;AB11),"5日押し目○","なし")))</f>
        <v/>
      </c>
      <c r="AF11" s="617">
        <f t="array" ref="AF11">IF(C11="","",IFERROR((INDEX(終値!$E:$E,MATCH(TEXT(C11,"0"),終値!$A:$A,0))-INDEX(終値!$E:$BL,MATCH(TEXT(C11,"0"),終値!$A:$A,0),$AL$2))/INDEX(終値!$E:$BL,MATCH(TEXT(C11,"0"),終値!$A:$A,0),$AL$2)*100,""))</f>
        <v/>
      </c>
      <c r="AG11" s="617">
        <f t="array" ref="AG11">IFERROR((終値!$E$5-INDEX(終値!$E$5:$BL$5,1,$AL$2))/INDEX(終値!$E$5:$BL$5,1,$AL$2)*100,"")</f>
        <v/>
      </c>
      <c r="AH11" s="618">
        <f>IF(OR(AF11="",AG11=""),"",AF11-AG11)</f>
        <v/>
      </c>
      <c r="AI11" s="385">
        <f>IF(AH11="","",IF(AH11&gt;5,3,IF(AH11&gt;0,1,IF(AH11&gt;-3,-1,-2))))</f>
        <v/>
      </c>
    </row>
    <row r="12" ht="18" customFormat="1" customHeight="1" s="187">
      <c r="A12" s="176">
        <f>IF(銘柄管理!B167&lt;&gt;"",HYPERLINK("https://kabutan.jp/stock/?code="&amp;銘柄管理!B167,"株探"),"")</f>
        <v/>
      </c>
      <c r="B12" s="177" t="n"/>
      <c r="C12" s="178">
        <f>IF(銘柄管理!B167="","",銘柄管理!B167)</f>
        <v/>
      </c>
      <c r="D12" s="106">
        <f>IF(銘柄管理!C167="","",銘柄管理!C167)</f>
        <v/>
      </c>
      <c r="E12" s="179">
        <f>IF(C12&lt;&gt;"",_xll.RssMarket(C12,"現在値"),"")</f>
        <v/>
      </c>
      <c r="F12" s="179">
        <f>IF(C12&lt;&gt;"",_xll.RssMarket(C12,"始値"),"")</f>
        <v/>
      </c>
      <c r="G12" s="178">
        <f>IF(C12&lt;&gt;"",終値!F167,"")</f>
        <v/>
      </c>
      <c r="H12" s="179">
        <f>IF(C12&lt;&gt;"",_xll.RssMarket(C12,"高値"),"")</f>
        <v/>
      </c>
      <c r="I12" s="179">
        <f>IF(C12&lt;&gt;"",_xll.RssMarket(C12,"安値"),"")</f>
        <v/>
      </c>
      <c r="J12" s="179">
        <f>IF(C12&lt;&gt;"",_xll.RssMarket(C12,"出来高"),"")</f>
        <v/>
      </c>
      <c r="K12" s="179">
        <f>IF(C12&lt;&gt;"",_xll.RssMarket(C12,"年初来高値"),"")</f>
        <v/>
      </c>
      <c r="L12" s="613">
        <f>IF(AND(E12&lt;&gt;"",K12&lt;&gt;"",K12&lt;&gt;0),(E12-K12)/K12*100,"")</f>
        <v/>
      </c>
      <c r="M12" s="179">
        <f>IF(C12&lt;&gt;"",IFERROR(AVERAGE(出来高!E167:I167),""),"")</f>
        <v/>
      </c>
      <c r="N12" s="179">
        <f>IF(C12&lt;&gt;"",IFERROR(AVERAGE(出来高!E167:AC167),""),"")</f>
        <v/>
      </c>
      <c r="O12" s="614">
        <f>IF(AND(J12&lt;&gt;"",M12&lt;&gt;"",M12&lt;&gt;0),J12/M12,"")</f>
        <v/>
      </c>
      <c r="P12" s="176">
        <f>IF(O12="","",IF(O12&gt;=2,"急増↑↑",IF(O12&gt;=1.5,"増加↑",IF(O12&gt;=1,"普通→","減少↓"))))</f>
        <v/>
      </c>
      <c r="Q12" s="176">
        <f>IF(E12="","",IF(AND(E12&gt;G12,O12&gt;=1.5),"買い▲",IF(E12&lt;G12,"様子見▼","中立→")))</f>
        <v/>
      </c>
      <c r="R12" s="179">
        <f>IF(E12&lt;&gt;"",ROUND(E12*1.08,0),"")</f>
        <v/>
      </c>
      <c r="S12" s="179">
        <f>IF(E12&lt;&gt;"",ROUND(E12*0.96,0),"")</f>
        <v/>
      </c>
      <c r="T12" s="176">
        <f>IF(C12="","",IFERROR(IF(O12&gt;=2,3,IF(O12&gt;=1.5,2,IF(O12&gt;=1,1,0)))+IF(E12&gt;G12,1,0)+IF(L12&gt;=-5,1,0)+IF(Q12="買い▲",2,0)+IF(W12&lt;=30,3,IF(W12&lt;=40,2,IF(AND(W12&gt;=40,W12&lt;=60),1,0)))+IF(X12&gt;0,1,0)+IF(V12="年初来高値更新●",3,IF(V12="高値圏",2,0))+IF(AD12="パーフェクト▲",3,IF(AD12="上昇トレンド▲",2,0))+IF(AE12="25日線押し目●",2,IF(AE12="5日線押し目○",1,0))+IF(P12="急増↑↑",2,IF(P12="増加↑",1,0))+N(AI12),0))</f>
        <v/>
      </c>
      <c r="U12" s="176">
        <f>IF(T12="","",IF(AND(T12&gt;=3,O12&gt;=1.5),"有効",IF(T12&gt;=3,"要確認","除外")))</f>
        <v/>
      </c>
      <c r="V12" s="176">
        <f>IF(AND(H12&lt;&gt;"",K12&lt;&gt;""),IF(H12&gt;=K12,"年初来高値更新●",IF(H12&gt;=K12*0.95,"高値圏","通常")),"")</f>
        <v/>
      </c>
      <c r="W12" s="615">
        <f t="array" ref="W12">IF(C12&lt;&gt;"",IFERROR(100-100/(1+SUMPRODUCT((終値!F167:R167&gt;終値!G167:S167)*( 終値!F167:R167-終値!G167:S167))/SUMPRODUCT((終値!F167:R167&lt;終値!G167:S167)*(終値!G167:S167-終値!F167:R167))),50),"")</f>
        <v/>
      </c>
      <c r="X12" s="183">
        <f>IF(C12&lt;&gt;"",IFERROR(SUMPRODUCT(終値!E167:P167,{0.154,0.132,0.113,0.097,0.083,0.071,0.061,0.052,0.045,0.038,0.033,0.028})/SUMPRODUCT({0.154,0.132,0.113,0.097,0.083,0.071,0.061,0.052,0.045,0.038,0.033,0.028})-SUMPRODUCT(終値!E167:AD167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" s="570">
        <f>IF(T12="","",IF(銘柄管理!$F$5="下落▼",IF(AND(AD12="パーフェクト▲",OR(AE12="25日線押し目●",AE12="5日線押し目○")),"★逆張り候補",IF(AND(AD12="上昇トレンド▲",OR(AE12="25日線押し目●",AE12="5日線押し目○")),"○逆張り候補",IF(W12&lt;=30,IF(Z12&gt;0,"◎反発確認",IF(Z12&lt;-5,"△要注意・様子見","△売られ過ぎ注目")),"相場下落・見送り"))),IF(AND(T12&gt;=12,AD12="パーフェクト▲"),"★強い買い",IF(AND(T12&gt;=12,AD12="上昇トレンド▲"),"★強い買い",IF(AND(T12&gt;=8,OR(AE12="25日線押し目●",AE12="5日線押し目○")),"◎押し目買い",IF(T12&gt;=10,"○買い候補",IF(T12&gt;=6,"△注目",IF(T12&gt;=3,"様子見","見送り"))))))))</f>
        <v/>
      </c>
      <c r="Z12" s="616">
        <f>IF(AND(E12&lt;&gt;"",G12&lt;&gt;"",G12&lt;&gt;0),(E12-G12)/G12*100,"")</f>
        <v/>
      </c>
      <c r="AA12" s="176">
        <f>IF(OR(C12="",E12="",E12=0),"",IF(E12&gt;G12,"上昇▲",IF(E12&lt;G12,"下落▼","横ばい→")))</f>
        <v/>
      </c>
      <c r="AB12" s="438">
        <f>IF(C12="","",IFERROR(((終値!E14*0.333)+(終値!F14*0.222)+(終値!G14*0.148)+(終値!H14*0.099)+(終値!I14*0.066)+(終値!J14*0.044)+(終値!K14*0.029)+(終値!L14*0.019)+(終値!M14*0.013)+(終値!N14*0.009))/(0.333+0.222+0.148+0.099+0.066+0.044+0.029+0.019+0.013+0.009),""))</f>
        <v/>
      </c>
      <c r="AC12" s="438">
        <f>IF(C12="","",IFERROR(SUMPRODUCT((終値!E14:AC14)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" s="439">
        <f>IF(OR(C12="",AB12="",AC12=""),"",IF(AND(E12&gt;AB12,AB12&gt;AC12),"パーフェクト▲",IF(E12&gt;AC12,"上昇トレンド▲",IF(AND(E12&lt;AB12,AB12&lt;AC12),"下降トレンド▼","もみ合い→"))))</f>
        <v/>
      </c>
      <c r="AE12" s="439">
        <f>IF(OR(C12="",AB12="",AC12=""),"",IF(AND(ABS(E12-AC12)/AC12&lt;=0.02,E12&gt;AC12),"25日押し目★",IF(AND(ABS(E12-AB12)/AB12&lt;=0.01,E12&gt;AB12),"5日押し目○","なし")))</f>
        <v/>
      </c>
      <c r="AF12" s="617">
        <f t="array" ref="AF12">IF(C12="","",IFERROR((INDEX(終値!$E:$E,MATCH(TEXT(C12,"0"),終値!$A:$A,0))-INDEX(終値!$E:$BL,MATCH(TEXT(C12,"0"),終値!$A:$A,0),$AL$2))/INDEX(終値!$E:$BL,MATCH(TEXT(C12,"0"),終値!$A:$A,0),$AL$2)*100,""))</f>
        <v/>
      </c>
      <c r="AG12" s="617">
        <f t="array" ref="AG12">IFERROR((終値!$E$5-INDEX(終値!$E$5:$BL$5,1,$AL$2))/INDEX(終値!$E$5:$BL$5,1,$AL$2)*100,"")</f>
        <v/>
      </c>
      <c r="AH12" s="618">
        <f>IF(OR(AF12="",AG12=""),"",AF12-AG12)</f>
        <v/>
      </c>
      <c r="AI12" s="385">
        <f>IF(AH12="","",IF(AH12&gt;5,3,IF(AH12&gt;0,1,IF(AH12&gt;-3,-1,-2))))</f>
        <v/>
      </c>
    </row>
    <row r="13" ht="18" customFormat="1" customHeight="1" s="187">
      <c r="A13" s="176">
        <f>IF(銘柄管理!B185&lt;&gt;"",HYPERLINK("https://kabutan.jp/stock/?code="&amp;銘柄管理!B185,"株探"),"")</f>
        <v/>
      </c>
      <c r="B13" s="177" t="n"/>
      <c r="C13" s="178">
        <f>IF(銘柄管理!B185="","",銘柄管理!B185)</f>
        <v/>
      </c>
      <c r="D13" s="106">
        <f>IF(銘柄管理!C185="","",銘柄管理!C185)</f>
        <v/>
      </c>
      <c r="E13" s="179">
        <f>IF(C13&lt;&gt;"",_xll.RssMarket(C13,"現在値"),"")</f>
        <v/>
      </c>
      <c r="F13" s="179">
        <f>IF(C13&lt;&gt;"",_xll.RssMarket(C13,"始値"),"")</f>
        <v/>
      </c>
      <c r="G13" s="178">
        <f>IF(C13&lt;&gt;"",終値!F185,"")</f>
        <v/>
      </c>
      <c r="H13" s="179">
        <f>IF(C13&lt;&gt;"",_xll.RssMarket(C13,"高値"),"")</f>
        <v/>
      </c>
      <c r="I13" s="179">
        <f>IF(C13&lt;&gt;"",_xll.RssMarket(C13,"安値"),"")</f>
        <v/>
      </c>
      <c r="J13" s="179">
        <f>IF(C13&lt;&gt;"",_xll.RssMarket(C13,"出来高"),"")</f>
        <v/>
      </c>
      <c r="K13" s="179">
        <f>IF(C13&lt;&gt;"",_xll.RssMarket(C13,"年初来高値"),"")</f>
        <v/>
      </c>
      <c r="L13" s="613">
        <f>IF(AND(E13&lt;&gt;"",K13&lt;&gt;"",K13&lt;&gt;0),(E13-K13)/K13*100,"")</f>
        <v/>
      </c>
      <c r="M13" s="179">
        <f>IF(C13&lt;&gt;"",IFERROR(AVERAGE(出来高!E185:I185),""),"")</f>
        <v/>
      </c>
      <c r="N13" s="179">
        <f>IF(C13&lt;&gt;"",IFERROR(AVERAGE(出来高!E185:AC185),""),"")</f>
        <v/>
      </c>
      <c r="O13" s="614">
        <f>IF(AND(J13&lt;&gt;"",M13&lt;&gt;"",M13&lt;&gt;0),J13/M13,"")</f>
        <v/>
      </c>
      <c r="P13" s="176">
        <f>IF(O13="","",IF(O13&gt;=2,"急増↑↑",IF(O13&gt;=1.5,"増加↑",IF(O13&gt;=1,"普通→","減少↓"))))</f>
        <v/>
      </c>
      <c r="Q13" s="176">
        <f>IF(E13="","",IF(AND(E13&gt;G13,O13&gt;=1.5),"買い▲",IF(E13&lt;G13,"様子見▼","中立→")))</f>
        <v/>
      </c>
      <c r="R13" s="179">
        <f>IF(E13&lt;&gt;"",ROUND(E13*1.08,0),"")</f>
        <v/>
      </c>
      <c r="S13" s="179">
        <f>IF(E13&lt;&gt;"",ROUND(E13*0.96,0),"")</f>
        <v/>
      </c>
      <c r="T13" s="176">
        <f>IF(C13="","",IFERROR(IF(O13&gt;=2,3,IF(O13&gt;=1.5,2,IF(O13&gt;=1,1,0)))+IF(E13&gt;G13,1,0)+IF(L13&gt;=-5,1,0)+IF(Q13="買い▲",2,0)+IF(W13&lt;=30,3,IF(W13&lt;=40,2,IF(AND(W13&gt;=40,W13&lt;=60),1,0)))+IF(X13&gt;0,1,0)+IF(V13="年初来高値更新●",3,IF(V13="高値圏",2,0))+IF(AD13="パーフェクト▲",3,IF(AD13="上昇トレンド▲",2,0))+IF(AE13="25日線押し目●",2,IF(AE13="5日線押し目○",1,0))+IF(P13="急増↑↑",2,IF(P13="増加↑",1,0))+N(AI13),0))</f>
        <v/>
      </c>
      <c r="U13" s="176">
        <f>IF(T13="","",IF(AND(T13&gt;=3,O13&gt;=1.5),"有効",IF(T13&gt;=3,"要確認","除外")))</f>
        <v/>
      </c>
      <c r="V13" s="176">
        <f>IF(AND(H13&lt;&gt;"",K13&lt;&gt;""),IF(H13&gt;=K13,"年初来高値更新●",IF(H13&gt;=K13*0.95,"高値圏","通常")),"")</f>
        <v/>
      </c>
      <c r="W13" s="615">
        <f t="array" ref="W13">IF(C13&lt;&gt;"",IFERROR(100-100/(1+SUMPRODUCT((終値!F185:R185&gt;終値!G185:S185)*( 終値!F185:R185-終値!G185:S185))/SUMPRODUCT((終値!F185:R185&lt;終値!G185:S185)*(終値!G185:S185-終値!F185:R185))),50),"")</f>
        <v/>
      </c>
      <c r="X13" s="183">
        <f>IF(C13&lt;&gt;"",IFERROR(SUMPRODUCT(終値!E185:P185,{0.154,0.132,0.113,0.097,0.083,0.071,0.061,0.052,0.045,0.038,0.033,0.028})/SUMPRODUCT({0.154,0.132,0.113,0.097,0.083,0.071,0.061,0.052,0.045,0.038,0.033,0.028})-SUMPRODUCT(終値!E185:AD185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" s="570">
        <f>IF(T13="","",IF(銘柄管理!$F$5="下落▼",IF(AND(AD13="パーフェクト▲",OR(AE13="25日線押し目●",AE13="5日線押し目○")),"★逆張り候補",IF(AND(AD13="上昇トレンド▲",OR(AE13="25日線押し目●",AE13="5日線押し目○")),"○逆張り候補",IF(W13&lt;=30,IF(Z13&gt;0,"◎反発確認",IF(Z13&lt;-5,"△要注意・様子見","△売られ過ぎ注目")),"相場下落・見送り"))),IF(AND(T13&gt;=12,AD13="パーフェクト▲"),"★強い買い",IF(AND(T13&gt;=12,AD13="上昇トレンド▲"),"★強い買い",IF(AND(T13&gt;=8,OR(AE13="25日線押し目●",AE13="5日線押し目○")),"◎押し目買い",IF(T13&gt;=10,"○買い候補",IF(T13&gt;=6,"△注目",IF(T13&gt;=3,"様子見","見送り"))))))))</f>
        <v/>
      </c>
      <c r="Z13" s="616">
        <f>IF(AND(E13&lt;&gt;"",G13&lt;&gt;"",G13&lt;&gt;0),(E13-G13)/G13*100,"")</f>
        <v/>
      </c>
      <c r="AA13" s="176">
        <f>IF(OR(C13="",E13="",E13=0),"",IF(E13&gt;G13,"上昇▲",IF(E13&lt;G13,"下落▼","横ばい→")))</f>
        <v/>
      </c>
      <c r="AB13" s="440">
        <f>IF(C13="","",IFERROR(((終値!E15*0.333)+(終値!F15*0.222)+(終値!G15*0.148)+(終値!H15*0.099)+(終値!I15*0.066)+(終値!J15*0.044)+(終値!K15*0.029)+(終値!L15*0.019)+(終値!M15*0.013)+(終値!N15*0.009))/(0.333+0.222+0.148+0.099+0.066+0.044+0.029+0.019+0.013+0.009),""))</f>
        <v/>
      </c>
      <c r="AC13" s="440">
        <f>IF(C13="","",IFERROR(SUMPRODUCT((終値!E15:AC15)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" s="441">
        <f>IF(OR(C13="",AB13="",AC13=""),"",IF(AND(E13&gt;AB13,AB13&gt;AC13),"パーフェクト▲",IF(E13&gt;AC13,"上昇トレンド▲",IF(AND(E13&lt;AB13,AB13&lt;AC13),"下降トレンド▼","もみ合い→"))))</f>
        <v/>
      </c>
      <c r="AE13" s="441">
        <f>IF(OR(C13="",AB13="",AC13=""),"",IF(AND(ABS(E13-AC13)/AC13&lt;=0.02,E13&gt;AC13),"25日押し目★",IF(AND(ABS(E13-AB13)/AB13&lt;=0.01,E13&gt;AB13),"5日押し目○","なし")))</f>
        <v/>
      </c>
      <c r="AF13" s="617">
        <f t="array" ref="AF13">IF(C13="","",IFERROR((INDEX(終値!$E:$E,MATCH(TEXT(C13,"0"),終値!$A:$A,0))-INDEX(終値!$E:$BL,MATCH(TEXT(C13,"0"),終値!$A:$A,0),$AL$2))/INDEX(終値!$E:$BL,MATCH(TEXT(C13,"0"),終値!$A:$A,0),$AL$2)*100,""))</f>
        <v/>
      </c>
      <c r="AG13" s="617">
        <f t="array" ref="AG13">IFERROR((終値!$E$5-INDEX(終値!$E$5:$BL$5,1,$AL$2))/INDEX(終値!$E$5:$BL$5,1,$AL$2)*100,"")</f>
        <v/>
      </c>
      <c r="AH13" s="618">
        <f>IF(OR(AF13="",AG13=""),"",AF13-AG13)</f>
        <v/>
      </c>
      <c r="AI13" s="385">
        <f>IF(AH13="","",IF(AH13&gt;5,3,IF(AH13&gt;0,1,IF(AH13&gt;-3,-1,-2))))</f>
        <v/>
      </c>
    </row>
    <row r="14" ht="18" customFormat="1" customHeight="1" s="187">
      <c r="A14" s="176">
        <f>IF(銘柄管理!B127&lt;&gt;"",HYPERLINK("https://kabutan.jp/stock/?code="&amp;銘柄管理!B127,"株探"),"")</f>
        <v/>
      </c>
      <c r="B14" s="177" t="n"/>
      <c r="C14" s="178">
        <f>IF(銘柄管理!B127="","",銘柄管理!B127)</f>
        <v/>
      </c>
      <c r="D14" s="106">
        <f>IF(銘柄管理!C127="","",銘柄管理!C127)</f>
        <v/>
      </c>
      <c r="E14" s="179">
        <f>IF(C14&lt;&gt;"",_xll.RssMarket(C14,"現在値"),"")</f>
        <v/>
      </c>
      <c r="F14" s="179">
        <f>IF(C14&lt;&gt;"",_xll.RssMarket(C14,"始値"),"")</f>
        <v/>
      </c>
      <c r="G14" s="178">
        <f>IF(C14&lt;&gt;"",終値!F127,"")</f>
        <v/>
      </c>
      <c r="H14" s="179">
        <f>IF(C14&lt;&gt;"",_xll.RssMarket(C14,"高値"),"")</f>
        <v/>
      </c>
      <c r="I14" s="179">
        <f>IF(C14&lt;&gt;"",_xll.RssMarket(C14,"安値"),"")</f>
        <v/>
      </c>
      <c r="J14" s="179">
        <f>IF(C14&lt;&gt;"",_xll.RssMarket(C14,"出来高"),"")</f>
        <v/>
      </c>
      <c r="K14" s="179">
        <f>IF(C14&lt;&gt;"",_xll.RssMarket(C14,"年初来高値"),"")</f>
        <v/>
      </c>
      <c r="L14" s="613">
        <f>IF(AND(E14&lt;&gt;"",K14&lt;&gt;"",K14&lt;&gt;0),(E14-K14)/K14*100,"")</f>
        <v/>
      </c>
      <c r="M14" s="179">
        <f>IF(C14&lt;&gt;"",IFERROR(AVERAGE(出来高!E127:I127),""),"")</f>
        <v/>
      </c>
      <c r="N14" s="179">
        <f>IF(C14&lt;&gt;"",IFERROR(AVERAGE(出来高!E127:AC127),""),"")</f>
        <v/>
      </c>
      <c r="O14" s="614">
        <f>IF(AND(J14&lt;&gt;"",M14&lt;&gt;"",M14&lt;&gt;0),J14/M14,"")</f>
        <v/>
      </c>
      <c r="P14" s="176">
        <f>IF(O14="","",IF(O14&gt;=2,"急増↑↑",IF(O14&gt;=1.5,"増加↑",IF(O14&gt;=1,"普通→","減少↓"))))</f>
        <v/>
      </c>
      <c r="Q14" s="176">
        <f>IF(E14="","",IF(AND(E14&gt;G14,O14&gt;=1.5),"買い▲",IF(E14&lt;G14,"様子見▼","中立→")))</f>
        <v/>
      </c>
      <c r="R14" s="179">
        <f>IF(E14&lt;&gt;"",ROUND(E14*1.08,0),"")</f>
        <v/>
      </c>
      <c r="S14" s="179">
        <f>IF(E14&lt;&gt;"",ROUND(E14*0.96,0),"")</f>
        <v/>
      </c>
      <c r="T14" s="176">
        <f>IF(C14="","",IFERROR(IF(O14&gt;=2,3,IF(O14&gt;=1.5,2,IF(O14&gt;=1,1,0)))+IF(E14&gt;G14,1,0)+IF(L14&gt;=-5,1,0)+IF(Q14="買い▲",2,0)+IF(W14&lt;=30,3,IF(W14&lt;=40,2,IF(AND(W14&gt;=40,W14&lt;=60),1,0)))+IF(X14&gt;0,1,0)+IF(V14="年初来高値更新●",3,IF(V14="高値圏",2,0))+IF(AD14="パーフェクト▲",3,IF(AD14="上昇トレンド▲",2,0))+IF(AE14="25日線押し目●",2,IF(AE14="5日線押し目○",1,0))+IF(P14="急増↑↑",2,IF(P14="増加↑",1,0))+N(AI14),0))</f>
        <v/>
      </c>
      <c r="U14" s="176">
        <f>IF(T14="","",IF(AND(T14&gt;=3,O14&gt;=1.5),"有効",IF(T14&gt;=3,"要確認","除外")))</f>
        <v/>
      </c>
      <c r="V14" s="176">
        <f>IF(AND(H14&lt;&gt;"",K14&lt;&gt;""),IF(H14&gt;=K14,"年初来高値更新●",IF(H14&gt;=K14*0.95,"高値圏","通常")),"")</f>
        <v/>
      </c>
      <c r="W14" s="615">
        <f t="array" ref="W14">IF(C14&lt;&gt;"",IFERROR(100-100/(1+SUMPRODUCT((終値!F127:R127&gt;終値!G127:S127)*( 終値!F127:R127-終値!G127:S127))/SUMPRODUCT((終値!F127:R127&lt;終値!G127:S127)*(終値!G127:S127-終値!F127:R127))),50),"")</f>
        <v/>
      </c>
      <c r="X14" s="183">
        <f>IF(C14&lt;&gt;"",IFERROR(SUMPRODUCT(終値!E127:P127,{0.154,0.132,0.113,0.097,0.083,0.071,0.061,0.052,0.045,0.038,0.033,0.028})/SUMPRODUCT({0.154,0.132,0.113,0.097,0.083,0.071,0.061,0.052,0.045,0.038,0.033,0.028})-SUMPRODUCT(終値!E127:AD127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" s="570">
        <f>IF(T14="","",IF(銘柄管理!$F$5="下落▼",IF(AND(AD14="パーフェクト▲",OR(AE14="25日線押し目●",AE14="5日線押し目○")),"★逆張り候補",IF(AND(AD14="上昇トレンド▲",OR(AE14="25日線押し目●",AE14="5日線押し目○")),"○逆張り候補",IF(W14&lt;=30,IF(Z14&gt;0,"◎反発確認",IF(Z14&lt;-5,"△要注意・様子見","△売られ過ぎ注目")),"相場下落・見送り"))),IF(AND(T14&gt;=12,AD14="パーフェクト▲"),"★強い買い",IF(AND(T14&gt;=12,AD14="上昇トレンド▲"),"★強い買い",IF(AND(T14&gt;=8,OR(AE14="25日線押し目●",AE14="5日線押し目○")),"◎押し目買い",IF(T14&gt;=10,"○買い候補",IF(T14&gt;=6,"△注目",IF(T14&gt;=3,"様子見","見送り"))))))))</f>
        <v/>
      </c>
      <c r="Z14" s="616">
        <f>IF(AND(E14&lt;&gt;"",G14&lt;&gt;"",G14&lt;&gt;0),(E14-G14)/G14*100,"")</f>
        <v/>
      </c>
      <c r="AA14" s="176">
        <f>IF(OR(C14="",E14="",E14=0),"",IF(E14&gt;G14,"上昇▲",IF(E14&lt;G14,"下落▼","横ばい→")))</f>
        <v/>
      </c>
      <c r="AB14" s="438">
        <f>IF(C14="","",IFERROR(((終値!E16*0.333)+(終値!F16*0.222)+(終値!G16*0.148)+(終値!H16*0.099)+(終値!I16*0.066)+(終値!J16*0.044)+(終値!K16*0.029)+(終値!L16*0.019)+(終値!M16*0.013)+(終値!N16*0.009))/(0.333+0.222+0.148+0.099+0.066+0.044+0.029+0.019+0.013+0.009),""))</f>
        <v/>
      </c>
      <c r="AC14" s="438">
        <f>IF(C14="","",IFERROR(SUMPRODUCT((終値!E16:AC16)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" s="439">
        <f>IF(OR(C14="",AB14="",AC14=""),"",IF(AND(E14&gt;AB14,AB14&gt;AC14),"パーフェクト▲",IF(E14&gt;AC14,"上昇トレンド▲",IF(AND(E14&lt;AB14,AB14&lt;AC14),"下降トレンド▼","もみ合い→"))))</f>
        <v/>
      </c>
      <c r="AE14" s="439">
        <f>IF(OR(C14="",AB14="",AC14=""),"",IF(AND(ABS(E14-AC14)/AC14&lt;=0.02,E14&gt;AC14),"25日押し目★",IF(AND(ABS(E14-AB14)/AB14&lt;=0.01,E14&gt;AB14),"5日押し目○","なし")))</f>
        <v/>
      </c>
      <c r="AF14" s="617">
        <f t="array" ref="AF14">IF(C14="","",IFERROR((INDEX(終値!$E:$E,MATCH(TEXT(C14,"0"),終値!$A:$A,0))-INDEX(終値!$E:$BL,MATCH(TEXT(C14,"0"),終値!$A:$A,0),$AL$2))/INDEX(終値!$E:$BL,MATCH(TEXT(C14,"0"),終値!$A:$A,0),$AL$2)*100,""))</f>
        <v/>
      </c>
      <c r="AG14" s="617">
        <f t="array" ref="AG14">IFERROR((終値!$E$5-INDEX(終値!$E$5:$BL$5,1,$AL$2))/INDEX(終値!$E$5:$BL$5,1,$AL$2)*100,"")</f>
        <v/>
      </c>
      <c r="AH14" s="618">
        <f>IF(OR(AF14="",AG14=""),"",AF14-AG14)</f>
        <v/>
      </c>
      <c r="AI14" s="385">
        <f>IF(AH14="","",IF(AH14&gt;5,3,IF(AH14&gt;0,1,IF(AH14&gt;-3,-1,-2))))</f>
        <v/>
      </c>
    </row>
    <row r="15" ht="18" customFormat="1" customHeight="1" s="187">
      <c r="A15" s="176">
        <f>IF(銘柄管理!B115&lt;&gt;"",HYPERLINK("https://kabutan.jp/stock/?code="&amp;銘柄管理!B115,"株探"),"")</f>
        <v/>
      </c>
      <c r="B15" s="177" t="n"/>
      <c r="C15" s="178">
        <f>IF(銘柄管理!B115="","",銘柄管理!B115)</f>
        <v/>
      </c>
      <c r="D15" s="106">
        <f>IF(銘柄管理!C115="","",銘柄管理!C115)</f>
        <v/>
      </c>
      <c r="E15" s="179">
        <f>IF(C15&lt;&gt;"",_xll.RssMarket(C15,"現在値"),"")</f>
        <v/>
      </c>
      <c r="F15" s="179">
        <f>IF(C15&lt;&gt;"",_xll.RssMarket(C15,"始値"),"")</f>
        <v/>
      </c>
      <c r="G15" s="178">
        <f>IF(C15&lt;&gt;"",終値!F115,"")</f>
        <v/>
      </c>
      <c r="H15" s="179">
        <f>IF(C15&lt;&gt;"",_xll.RssMarket(C15,"高値"),"")</f>
        <v/>
      </c>
      <c r="I15" s="179">
        <f>IF(C15&lt;&gt;"",_xll.RssMarket(C15,"安値"),"")</f>
        <v/>
      </c>
      <c r="J15" s="179">
        <f>IF(C15&lt;&gt;"",_xll.RssMarket(C15,"出来高"),"")</f>
        <v/>
      </c>
      <c r="K15" s="179">
        <f>IF(C15&lt;&gt;"",_xll.RssMarket(C15,"年初来高値"),"")</f>
        <v/>
      </c>
      <c r="L15" s="613">
        <f>IF(AND(E15&lt;&gt;"",K15&lt;&gt;"",K15&lt;&gt;0),(E15-K15)/K15*100,"")</f>
        <v/>
      </c>
      <c r="M15" s="179">
        <f>IF(C15&lt;&gt;"",IFERROR(AVERAGE(出来高!E115:I115),""),"")</f>
        <v/>
      </c>
      <c r="N15" s="179">
        <f>IF(C15&lt;&gt;"",IFERROR(AVERAGE(出来高!E115:AC115),""),"")</f>
        <v/>
      </c>
      <c r="O15" s="614">
        <f>IF(AND(J15&lt;&gt;"",M15&lt;&gt;"",M15&lt;&gt;0),J15/M15,"")</f>
        <v/>
      </c>
      <c r="P15" s="176">
        <f>IF(O15="","",IF(O15&gt;=2,"急増↑↑",IF(O15&gt;=1.5,"増加↑",IF(O15&gt;=1,"普通→","減少↓"))))</f>
        <v/>
      </c>
      <c r="Q15" s="176">
        <f>IF(E15="","",IF(AND(E15&gt;G15,O15&gt;=1.5),"買い▲",IF(E15&lt;G15,"様子見▼","中立→")))</f>
        <v/>
      </c>
      <c r="R15" s="179">
        <f>IF(E15&lt;&gt;"",ROUND(E15*1.08,0),"")</f>
        <v/>
      </c>
      <c r="S15" s="179">
        <f>IF(E15&lt;&gt;"",ROUND(E15*0.96,0),"")</f>
        <v/>
      </c>
      <c r="T15" s="176">
        <f>IF(C15="","",IFERROR(IF(O15&gt;=2,3,IF(O15&gt;=1.5,2,IF(O15&gt;=1,1,0)))+IF(E15&gt;G15,1,0)+IF(L15&gt;=-5,1,0)+IF(Q15="買い▲",2,0)+IF(W15&lt;=30,3,IF(W15&lt;=40,2,IF(AND(W15&gt;=40,W15&lt;=60),1,0)))+IF(X15&gt;0,1,0)+IF(V15="年初来高値更新●",3,IF(V15="高値圏",2,0))+IF(AD15="パーフェクト▲",3,IF(AD15="上昇トレンド▲",2,0))+IF(AE15="25日線押し目●",2,IF(AE15="5日線押し目○",1,0))+IF(P15="急増↑↑",2,IF(P15="増加↑",1,0))+N(AI15),0))</f>
        <v/>
      </c>
      <c r="U15" s="176">
        <f>IF(T15="","",IF(AND(T15&gt;=3,O15&gt;=1.5),"有効",IF(T15&gt;=3,"要確認","除外")))</f>
        <v/>
      </c>
      <c r="V15" s="176">
        <f>IF(AND(H15&lt;&gt;"",K15&lt;&gt;""),IF(H15&gt;=K15,"年初来高値更新●",IF(H15&gt;=K15*0.95,"高値圏","通常")),"")</f>
        <v/>
      </c>
      <c r="W15" s="615">
        <f t="array" ref="W15">IF(C15&lt;&gt;"",IFERROR(100-100/(1+SUMPRODUCT((終値!F115:R115&gt;終値!G115:S115)*( 終値!F115:R115-終値!G115:S115))/SUMPRODUCT((終値!F115:R115&lt;終値!G115:S115)*(終値!G115:S115-終値!F115:R115))),50),"")</f>
        <v/>
      </c>
      <c r="X15" s="183">
        <f>IF(C15&lt;&gt;"",IFERROR(SUMPRODUCT(終値!E115:P115,{0.154,0.132,0.113,0.097,0.083,0.071,0.061,0.052,0.045,0.038,0.033,0.028})/SUMPRODUCT({0.154,0.132,0.113,0.097,0.083,0.071,0.061,0.052,0.045,0.038,0.033,0.028})-SUMPRODUCT(終値!E115:AD115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" s="570">
        <f>IF(T15="","",IF(銘柄管理!$F$5="下落▼",IF(AND(AD15="パーフェクト▲",OR(AE15="25日線押し目●",AE15="5日線押し目○")),"★逆張り候補",IF(AND(AD15="上昇トレンド▲",OR(AE15="25日線押し目●",AE15="5日線押し目○")),"○逆張り候補",IF(W15&lt;=30,IF(Z15&gt;0,"◎反発確認",IF(Z15&lt;-5,"△要注意・様子見","△売られ過ぎ注目")),"相場下落・見送り"))),IF(AND(T15&gt;=12,AD15="パーフェクト▲"),"★強い買い",IF(AND(T15&gt;=12,AD15="上昇トレンド▲"),"★強い買い",IF(AND(T15&gt;=8,OR(AE15="25日線押し目●",AE15="5日線押し目○")),"◎押し目買い",IF(T15&gt;=10,"○買い候補",IF(T15&gt;=6,"△注目",IF(T15&gt;=3,"様子見","見送り"))))))))</f>
        <v/>
      </c>
      <c r="Z15" s="616">
        <f>IF(AND(E15&lt;&gt;"",G15&lt;&gt;"",G15&lt;&gt;0),(E15-G15)/G15*100,"")</f>
        <v/>
      </c>
      <c r="AA15" s="176">
        <f>IF(OR(C15="",E15="",E15=0),"",IF(E15&gt;G15,"上昇▲",IF(E15&lt;G15,"下落▼","横ばい→")))</f>
        <v/>
      </c>
      <c r="AB15" s="440">
        <f>IF(C15="","",IFERROR(((終値!E17*0.333)+(終値!F17*0.222)+(終値!G17*0.148)+(終値!H17*0.099)+(終値!I17*0.066)+(終値!J17*0.044)+(終値!K17*0.029)+(終値!L17*0.019)+(終値!M17*0.013)+(終値!N17*0.009))/(0.333+0.222+0.148+0.099+0.066+0.044+0.029+0.019+0.013+0.009),""))</f>
        <v/>
      </c>
      <c r="AC15" s="440">
        <f>IF(C15="","",IFERROR(SUMPRODUCT((終値!E17:AC17)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" s="441">
        <f>IF(OR(C15="",AB15="",AC15=""),"",IF(AND(E15&gt;AB15,AB15&gt;AC15),"パーフェクト▲",IF(E15&gt;AC15,"上昇トレンド▲",IF(AND(E15&lt;AB15,AB15&lt;AC15),"下降トレンド▼","もみ合い→"))))</f>
        <v/>
      </c>
      <c r="AE15" s="441">
        <f>IF(OR(C15="",AB15="",AC15=""),"",IF(AND(ABS(E15-AC15)/AC15&lt;=0.02,E15&gt;AC15),"25日押し目★",IF(AND(ABS(E15-AB15)/AB15&lt;=0.01,E15&gt;AB15),"5日押し目○","なし")))</f>
        <v/>
      </c>
      <c r="AF15" s="617">
        <f t="array" ref="AF15">IF(C15="","",IFERROR((INDEX(終値!$E:$E,MATCH(TEXT(C15,"0"),終値!$A:$A,0))-INDEX(終値!$E:$BL,MATCH(TEXT(C15,"0"),終値!$A:$A,0),$AL$2))/INDEX(終値!$E:$BL,MATCH(TEXT(C15,"0"),終値!$A:$A,0),$AL$2)*100,""))</f>
        <v/>
      </c>
      <c r="AG15" s="617">
        <f t="array" ref="AG15">IFERROR((終値!$E$5-INDEX(終値!$E$5:$BL$5,1,$AL$2))/INDEX(終値!$E$5:$BL$5,1,$AL$2)*100,"")</f>
        <v/>
      </c>
      <c r="AH15" s="618">
        <f>IF(OR(AF15="",AG15=""),"",AF15-AG15)</f>
        <v/>
      </c>
      <c r="AI15" s="385">
        <f>IF(AH15="","",IF(AH15&gt;5,3,IF(AH15&gt;0,1,IF(AH15&gt;-3,-1,-2))))</f>
        <v/>
      </c>
    </row>
    <row r="16" ht="18" customFormat="1" customHeight="1" s="187">
      <c r="A16" s="176">
        <f>IF(銘柄管理!B186&lt;&gt;"",HYPERLINK("https://kabutan.jp/stock/?code="&amp;銘柄管理!B186,"株探"),"")</f>
        <v/>
      </c>
      <c r="B16" s="177" t="n"/>
      <c r="C16" s="178">
        <f>IF(銘柄管理!B186="","",銘柄管理!B186)</f>
        <v/>
      </c>
      <c r="D16" s="106">
        <f>IF(銘柄管理!C186="","",銘柄管理!C186)</f>
        <v/>
      </c>
      <c r="E16" s="179">
        <f>IF(C16&lt;&gt;"",_xll.RssMarket(C16,"現在値"),"")</f>
        <v/>
      </c>
      <c r="F16" s="179">
        <f>IF(C16&lt;&gt;"",_xll.RssMarket(C16,"始値"),"")</f>
        <v/>
      </c>
      <c r="G16" s="178">
        <f>IF(C16&lt;&gt;"",終値!F186,"")</f>
        <v/>
      </c>
      <c r="H16" s="179">
        <f>IF(C16&lt;&gt;"",_xll.RssMarket(C16,"高値"),"")</f>
        <v/>
      </c>
      <c r="I16" s="179">
        <f>IF(C16&lt;&gt;"",_xll.RssMarket(C16,"安値"),"")</f>
        <v/>
      </c>
      <c r="J16" s="179">
        <f>IF(C16&lt;&gt;"",_xll.RssMarket(C16,"出来高"),"")</f>
        <v/>
      </c>
      <c r="K16" s="179">
        <f>IF(C16&lt;&gt;"",_xll.RssMarket(C16,"年初来高値"),"")</f>
        <v/>
      </c>
      <c r="L16" s="613">
        <f>IF(AND(E16&lt;&gt;"",K16&lt;&gt;"",K16&lt;&gt;0),(E16-K16)/K16*100,"")</f>
        <v/>
      </c>
      <c r="M16" s="179">
        <f>IF(C16&lt;&gt;"",IFERROR(AVERAGE(出来高!E186:I186),""),"")</f>
        <v/>
      </c>
      <c r="N16" s="179">
        <f>IF(C16&lt;&gt;"",IFERROR(AVERAGE(出来高!E186:AC186),""),"")</f>
        <v/>
      </c>
      <c r="O16" s="614">
        <f>IF(AND(J16&lt;&gt;"",M16&lt;&gt;"",M16&lt;&gt;0),J16/M16,"")</f>
        <v/>
      </c>
      <c r="P16" s="176">
        <f>IF(O16="","",IF(O16&gt;=2,"急増↑↑",IF(O16&gt;=1.5,"増加↑",IF(O16&gt;=1,"普通→","減少↓"))))</f>
        <v/>
      </c>
      <c r="Q16" s="176">
        <f>IF(E16="","",IF(AND(E16&gt;G16,O16&gt;=1.5),"買い▲",IF(E16&lt;G16,"様子見▼","中立→")))</f>
        <v/>
      </c>
      <c r="R16" s="179">
        <f>IF(E16&lt;&gt;"",ROUND(E16*1.08,0),"")</f>
        <v/>
      </c>
      <c r="S16" s="179">
        <f>IF(E16&lt;&gt;"",ROUND(E16*0.96,0),"")</f>
        <v/>
      </c>
      <c r="T16" s="176">
        <f>IF(C16="","",IFERROR(IF(O16&gt;=2,3,IF(O16&gt;=1.5,2,IF(O16&gt;=1,1,0)))+IF(E16&gt;G16,1,0)+IF(L16&gt;=-5,1,0)+IF(Q16="買い▲",2,0)+IF(W16&lt;=30,3,IF(W16&lt;=40,2,IF(AND(W16&gt;=40,W16&lt;=60),1,0)))+IF(X16&gt;0,1,0)+IF(V16="年初来高値更新●",3,IF(V16="高値圏",2,0))+IF(AD16="パーフェクト▲",3,IF(AD16="上昇トレンド▲",2,0))+IF(AE16="25日線押し目●",2,IF(AE16="5日線押し目○",1,0))+IF(P16="急増↑↑",2,IF(P16="増加↑",1,0))+N(AI16),0))</f>
        <v/>
      </c>
      <c r="U16" s="176">
        <f>IF(T16="","",IF(AND(T16&gt;=3,O16&gt;=1.5),"有効",IF(T16&gt;=3,"要確認","除外")))</f>
        <v/>
      </c>
      <c r="V16" s="176">
        <f>IF(AND(H16&lt;&gt;"",K16&lt;&gt;""),IF(H16&gt;=K16,"年初来高値更新●",IF(H16&gt;=K16*0.95,"高値圏","通常")),"")</f>
        <v/>
      </c>
      <c r="W16" s="615">
        <f t="array" ref="W16">IF(C16&lt;&gt;"",IFERROR(100-100/(1+SUMPRODUCT((終値!F186:R186&gt;終値!G186:S186)*( 終値!F186:R186-終値!G186:S186))/SUMPRODUCT((終値!F186:R186&lt;終値!G186:S186)*(終値!G186:S186-終値!F186:R186))),50),"")</f>
        <v/>
      </c>
      <c r="X16" s="183">
        <f>IF(C16&lt;&gt;"",IFERROR(SUMPRODUCT(終値!E186:P186,{0.154,0.132,0.113,0.097,0.083,0.071,0.061,0.052,0.045,0.038,0.033,0.028})/SUMPRODUCT({0.154,0.132,0.113,0.097,0.083,0.071,0.061,0.052,0.045,0.038,0.033,0.028})-SUMPRODUCT(終値!E186:AD186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" s="570">
        <f>IF(T16="","",IF(銘柄管理!$F$5="下落▼",IF(AND(AD16="パーフェクト▲",OR(AE16="25日線押し目●",AE16="5日線押し目○")),"★逆張り候補",IF(AND(AD16="上昇トレンド▲",OR(AE16="25日線押し目●",AE16="5日線押し目○")),"○逆張り候補",IF(W16&lt;=30,IF(Z16&gt;0,"◎反発確認",IF(Z16&lt;-5,"△要注意・様子見","△売られ過ぎ注目")),"相場下落・見送り"))),IF(AND(T16&gt;=12,AD16="パーフェクト▲"),"★強い買い",IF(AND(T16&gt;=12,AD16="上昇トレンド▲"),"★強い買い",IF(AND(T16&gt;=8,OR(AE16="25日線押し目●",AE16="5日線押し目○")),"◎押し目買い",IF(T16&gt;=10,"○買い候補",IF(T16&gt;=6,"△注目",IF(T16&gt;=3,"様子見","見送り"))))))))</f>
        <v/>
      </c>
      <c r="Z16" s="616">
        <f>IF(AND(E16&lt;&gt;"",G16&lt;&gt;"",G16&lt;&gt;0),(E16-G16)/G16*100,"")</f>
        <v/>
      </c>
      <c r="AA16" s="176">
        <f>IF(OR(C16="",E16="",E16=0),"",IF(E16&gt;G16,"上昇▲",IF(E16&lt;G16,"下落▼","横ばい→")))</f>
        <v/>
      </c>
      <c r="AB16" s="438">
        <f>IF(C16="","",IFERROR(((終値!E18*0.333)+(終値!F18*0.222)+(終値!G18*0.148)+(終値!H18*0.099)+(終値!I18*0.066)+(終値!J18*0.044)+(終値!K18*0.029)+(終値!L18*0.019)+(終値!M18*0.013)+(終値!N18*0.009))/(0.333+0.222+0.148+0.099+0.066+0.044+0.029+0.019+0.013+0.009),""))</f>
        <v/>
      </c>
      <c r="AC16" s="438">
        <f>IF(C16="","",IFERROR(SUMPRODUCT((終値!E18:AC18)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" s="439">
        <f>IF(OR(C16="",AB16="",AC16=""),"",IF(AND(E16&gt;AB16,AB16&gt;AC16),"パーフェクト▲",IF(E16&gt;AC16,"上昇トレンド▲",IF(AND(E16&lt;AB16,AB16&lt;AC16),"下降トレンド▼","もみ合い→"))))</f>
        <v/>
      </c>
      <c r="AE16" s="439">
        <f>IF(OR(C16="",AB16="",AC16=""),"",IF(AND(ABS(E16-AC16)/AC16&lt;=0.02,E16&gt;AC16),"25日押し目★",IF(AND(ABS(E16-AB16)/AB16&lt;=0.01,E16&gt;AB16),"5日押し目○","なし")))</f>
        <v/>
      </c>
      <c r="AF16" s="617">
        <f t="array" ref="AF16">IF(C16="","",IFERROR((INDEX(終値!$E:$E,MATCH(TEXT(C16,"0"),終値!$A:$A,0))-INDEX(終値!$E:$BL,MATCH(TEXT(C16,"0"),終値!$A:$A,0),$AL$2))/INDEX(終値!$E:$BL,MATCH(TEXT(C16,"0"),終値!$A:$A,0),$AL$2)*100,""))</f>
        <v/>
      </c>
      <c r="AG16" s="617">
        <f t="array" ref="AG16">IFERROR((終値!$E$5-INDEX(終値!$E$5:$BL$5,1,$AL$2))/INDEX(終値!$E$5:$BL$5,1,$AL$2)*100,"")</f>
        <v/>
      </c>
      <c r="AH16" s="618">
        <f>IF(OR(AF16="",AG16=""),"",AF16-AG16)</f>
        <v/>
      </c>
      <c r="AI16" s="385">
        <f>IF(AH16="","",IF(AH16&gt;5,3,IF(AH16&gt;0,1,IF(AH16&gt;-3,-1,-2))))</f>
        <v/>
      </c>
    </row>
    <row r="17" ht="18" customFormat="1" customHeight="1" s="187">
      <c r="A17" s="176">
        <f>IF(銘柄管理!B181&lt;&gt;"",HYPERLINK("https://kabutan.jp/stock/?code="&amp;銘柄管理!B181,"株探"),"")</f>
        <v/>
      </c>
      <c r="B17" s="177" t="n"/>
      <c r="C17" s="178">
        <f>IF(銘柄管理!B181="","",銘柄管理!B181)</f>
        <v/>
      </c>
      <c r="D17" s="106">
        <f>IF(銘柄管理!C181="","",銘柄管理!C181)</f>
        <v/>
      </c>
      <c r="E17" s="179">
        <f>IF(C17&lt;&gt;"",_xll.RssMarket(C17,"現在値"),"")</f>
        <v/>
      </c>
      <c r="F17" s="179">
        <f>IF(C17&lt;&gt;"",_xll.RssMarket(C17,"始値"),"")</f>
        <v/>
      </c>
      <c r="G17" s="178">
        <f>IF(C17&lt;&gt;"",終値!F181,"")</f>
        <v/>
      </c>
      <c r="H17" s="179">
        <f>IF(C17&lt;&gt;"",_xll.RssMarket(C17,"高値"),"")</f>
        <v/>
      </c>
      <c r="I17" s="179">
        <f>IF(C17&lt;&gt;"",_xll.RssMarket(C17,"安値"),"")</f>
        <v/>
      </c>
      <c r="J17" s="179">
        <f>IF(C17&lt;&gt;"",_xll.RssMarket(C17,"出来高"),"")</f>
        <v/>
      </c>
      <c r="K17" s="179">
        <f>IF(C17&lt;&gt;"",_xll.RssMarket(C17,"年初来高値"),"")</f>
        <v/>
      </c>
      <c r="L17" s="613">
        <f>IF(AND(E17&lt;&gt;"",K17&lt;&gt;"",K17&lt;&gt;0),(E17-K17)/K17*100,"")</f>
        <v/>
      </c>
      <c r="M17" s="179">
        <f>IF(C17&lt;&gt;"",IFERROR(AVERAGE(出来高!E181:I181),""),"")</f>
        <v/>
      </c>
      <c r="N17" s="179">
        <f>IF(C17&lt;&gt;"",IFERROR(AVERAGE(出来高!E181:AC181),""),"")</f>
        <v/>
      </c>
      <c r="O17" s="614">
        <f>IF(AND(J17&lt;&gt;"",M17&lt;&gt;"",M17&lt;&gt;0),J17/M17,"")</f>
        <v/>
      </c>
      <c r="P17" s="176">
        <f>IF(O17="","",IF(O17&gt;=2,"急増↑↑",IF(O17&gt;=1.5,"増加↑",IF(O17&gt;=1,"普通→","減少↓"))))</f>
        <v/>
      </c>
      <c r="Q17" s="176">
        <f>IF(E17="","",IF(AND(E17&gt;G17,O17&gt;=1.5),"買い▲",IF(E17&lt;G17,"様子見▼","中立→")))</f>
        <v/>
      </c>
      <c r="R17" s="179">
        <f>IF(E17&lt;&gt;"",ROUND(E17*1.08,0),"")</f>
        <v/>
      </c>
      <c r="S17" s="179">
        <f>IF(E17&lt;&gt;"",ROUND(E17*0.96,0),"")</f>
        <v/>
      </c>
      <c r="T17" s="176">
        <f>IF(C17="","",IFERROR(IF(O17&gt;=2,3,IF(O17&gt;=1.5,2,IF(O17&gt;=1,1,0)))+IF(E17&gt;G17,1,0)+IF(L17&gt;=-5,1,0)+IF(Q17="買い▲",2,0)+IF(W17&lt;=30,3,IF(W17&lt;=40,2,IF(AND(W17&gt;=40,W17&lt;=60),1,0)))+IF(X17&gt;0,1,0)+IF(V17="年初来高値更新●",3,IF(V17="高値圏",2,0))+IF(AD17="パーフェクト▲",3,IF(AD17="上昇トレンド▲",2,0))+IF(AE17="25日線押し目●",2,IF(AE17="5日線押し目○",1,0))+IF(P17="急増↑↑",2,IF(P17="増加↑",1,0))+N(AI17),0))</f>
        <v/>
      </c>
      <c r="U17" s="176">
        <f>IF(T17="","",IF(AND(T17&gt;=3,O17&gt;=1.5),"有効",IF(T17&gt;=3,"要確認","除外")))</f>
        <v/>
      </c>
      <c r="V17" s="176">
        <f>IF(AND(H17&lt;&gt;"",K17&lt;&gt;""),IF(H17&gt;=K17,"年初来高値更新●",IF(H17&gt;=K17*0.95,"高値圏","通常")),"")</f>
        <v/>
      </c>
      <c r="W17" s="615">
        <f t="array" ref="W17">IF(C17&lt;&gt;"",IFERROR(100-100/(1+SUMPRODUCT((終値!F181:R181&gt;終値!G181:S181)*( 終値!F181:R181-終値!G181:S181))/SUMPRODUCT((終値!F181:R181&lt;終値!G181:S181)*(終値!G181:S181-終値!F181:R181))),50),"")</f>
        <v/>
      </c>
      <c r="X17" s="183">
        <f>IF(C17&lt;&gt;"",IFERROR(SUMPRODUCT(終値!E181:P181,{0.154,0.132,0.113,0.097,0.083,0.071,0.061,0.052,0.045,0.038,0.033,0.028})/SUMPRODUCT({0.154,0.132,0.113,0.097,0.083,0.071,0.061,0.052,0.045,0.038,0.033,0.028})-SUMPRODUCT(終値!E181:AD181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" s="570">
        <f>IF(T17="","",IF(銘柄管理!$F$5="下落▼",IF(AND(AD17="パーフェクト▲",OR(AE17="25日線押し目●",AE17="5日線押し目○")),"★逆張り候補",IF(AND(AD17="上昇トレンド▲",OR(AE17="25日線押し目●",AE17="5日線押し目○")),"○逆張り候補",IF(W17&lt;=30,IF(Z17&gt;0,"◎反発確認",IF(Z17&lt;-5,"△要注意・様子見","△売られ過ぎ注目")),"相場下落・見送り"))),IF(AND(T17&gt;=12,AD17="パーフェクト▲"),"★強い買い",IF(AND(T17&gt;=12,AD17="上昇トレンド▲"),"★強い買い",IF(AND(T17&gt;=8,OR(AE17="25日線押し目●",AE17="5日線押し目○")),"◎押し目買い",IF(T17&gt;=10,"○買い候補",IF(T17&gt;=6,"△注目",IF(T17&gt;=3,"様子見","見送り"))))))))</f>
        <v/>
      </c>
      <c r="Z17" s="616">
        <f>IF(AND(E17&lt;&gt;"",G17&lt;&gt;"",G17&lt;&gt;0),(E17-G17)/G17*100,"")</f>
        <v/>
      </c>
      <c r="AA17" s="176">
        <f>IF(OR(C17="",E17="",E17=0),"",IF(E17&gt;G17,"上昇▲",IF(E17&lt;G17,"下落▼","横ばい→")))</f>
        <v/>
      </c>
      <c r="AB17" s="440">
        <f>IF(C17="","",IFERROR(((終値!E19*0.333)+(終値!F19*0.222)+(終値!G19*0.148)+(終値!H19*0.099)+(終値!I19*0.066)+(終値!J19*0.044)+(終値!K19*0.029)+(終値!L19*0.019)+(終値!M19*0.013)+(終値!N19*0.009))/(0.333+0.222+0.148+0.099+0.066+0.044+0.029+0.019+0.013+0.009),""))</f>
        <v/>
      </c>
      <c r="AC17" s="440">
        <f>IF(C17="","",IFERROR(SUMPRODUCT((終値!E19:AC19)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" s="441">
        <f>IF(OR(C17="",AB17="",AC17=""),"",IF(AND(E17&gt;AB17,AB17&gt;AC17),"パーフェクト▲",IF(E17&gt;AC17,"上昇トレンド▲",IF(AND(E17&lt;AB17,AB17&lt;AC17),"下降トレンド▼","もみ合い→"))))</f>
        <v/>
      </c>
      <c r="AE17" s="441">
        <f>IF(OR(C17="",AB17="",AC17=""),"",IF(AND(ABS(E17-AC17)/AC17&lt;=0.02,E17&gt;AC17),"25日押し目★",IF(AND(ABS(E17-AB17)/AB17&lt;=0.01,E17&gt;AB17),"5日押し目○","なし")))</f>
        <v/>
      </c>
      <c r="AF17" s="617">
        <f t="array" ref="AF17">IF(C17="","",IFERROR((INDEX(終値!$E:$E,MATCH(TEXT(C17,"0"),終値!$A:$A,0))-INDEX(終値!$E:$BL,MATCH(TEXT(C17,"0"),終値!$A:$A,0),$AL$2))/INDEX(終値!$E:$BL,MATCH(TEXT(C17,"0"),終値!$A:$A,0),$AL$2)*100,""))</f>
        <v/>
      </c>
      <c r="AG17" s="617">
        <f t="array" ref="AG17">IFERROR((終値!$E$5-INDEX(終値!$E$5:$BL$5,1,$AL$2))/INDEX(終値!$E$5:$BL$5,1,$AL$2)*100,"")</f>
        <v/>
      </c>
      <c r="AH17" s="618">
        <f>IF(OR(AF17="",AG17=""),"",AF17-AG17)</f>
        <v/>
      </c>
      <c r="AI17" s="385">
        <f>IF(AH17="","",IF(AH17&gt;5,3,IF(AH17&gt;0,1,IF(AH17&gt;-3,-1,-2))))</f>
        <v/>
      </c>
    </row>
    <row r="18" ht="18" customFormat="1" customHeight="1" s="187">
      <c r="A18" s="176">
        <f>IF(銘柄管理!B114&lt;&gt;"",HYPERLINK("https://kabutan.jp/stock/?code="&amp;銘柄管理!B114,"株探"),"")</f>
        <v/>
      </c>
      <c r="B18" s="177" t="n"/>
      <c r="C18" s="178">
        <f>IF(銘柄管理!B114="","",銘柄管理!B114)</f>
        <v/>
      </c>
      <c r="D18" s="106">
        <f>IF(銘柄管理!C114="","",銘柄管理!C114)</f>
        <v/>
      </c>
      <c r="E18" s="179">
        <f>IF(C18&lt;&gt;"",_xll.RssMarket(C18,"現在値"),"")</f>
        <v/>
      </c>
      <c r="F18" s="179">
        <f>IF(C18&lt;&gt;"",_xll.RssMarket(C18,"始値"),"")</f>
        <v/>
      </c>
      <c r="G18" s="178">
        <f>IF(C18&lt;&gt;"",終値!F114,"")</f>
        <v/>
      </c>
      <c r="H18" s="179">
        <f>IF(C18&lt;&gt;"",_xll.RssMarket(C18,"高値"),"")</f>
        <v/>
      </c>
      <c r="I18" s="179">
        <f>IF(C18&lt;&gt;"",_xll.RssMarket(C18,"安値"),"")</f>
        <v/>
      </c>
      <c r="J18" s="179">
        <f>IF(C18&lt;&gt;"",_xll.RssMarket(C18,"出来高"),"")</f>
        <v/>
      </c>
      <c r="K18" s="179">
        <f>IF(C18&lt;&gt;"",_xll.RssMarket(C18,"年初来高値"),"")</f>
        <v/>
      </c>
      <c r="L18" s="613">
        <f>IF(AND(E18&lt;&gt;"",K18&lt;&gt;"",K18&lt;&gt;0),(E18-K18)/K18*100,"")</f>
        <v/>
      </c>
      <c r="M18" s="179">
        <f>IF(C18&lt;&gt;"",IFERROR(AVERAGE(出来高!E114:I114),""),"")</f>
        <v/>
      </c>
      <c r="N18" s="179">
        <f>IF(C18&lt;&gt;"",IFERROR(AVERAGE(出来高!E114:AC114),""),"")</f>
        <v/>
      </c>
      <c r="O18" s="614">
        <f>IF(AND(J18&lt;&gt;"",M18&lt;&gt;"",M18&lt;&gt;0),J18/M18,"")</f>
        <v/>
      </c>
      <c r="P18" s="176">
        <f>IF(O18="","",IF(O18&gt;=2,"急増↑↑",IF(O18&gt;=1.5,"増加↑",IF(O18&gt;=1,"普通→","減少↓"))))</f>
        <v/>
      </c>
      <c r="Q18" s="176">
        <f>IF(E18="","",IF(AND(E18&gt;G18,O18&gt;=1.5),"買い▲",IF(E18&lt;G18,"様子見▼","中立→")))</f>
        <v/>
      </c>
      <c r="R18" s="179">
        <f>IF(E18&lt;&gt;"",ROUND(E18*1.08,0),"")</f>
        <v/>
      </c>
      <c r="S18" s="179">
        <f>IF(E18&lt;&gt;"",ROUND(E18*0.96,0),"")</f>
        <v/>
      </c>
      <c r="T18" s="176">
        <f>IF(C18="","",IFERROR(IF(O18&gt;=2,3,IF(O18&gt;=1.5,2,IF(O18&gt;=1,1,0)))+IF(E18&gt;G18,1,0)+IF(L18&gt;=-5,1,0)+IF(Q18="買い▲",2,0)+IF(W18&lt;=30,3,IF(W18&lt;=40,2,IF(AND(W18&gt;=40,W18&lt;=60),1,0)))+IF(X18&gt;0,1,0)+IF(V18="年初来高値更新●",3,IF(V18="高値圏",2,0))+IF(AD18="パーフェクト▲",3,IF(AD18="上昇トレンド▲",2,0))+IF(AE18="25日線押し目●",2,IF(AE18="5日線押し目○",1,0))+IF(P18="急増↑↑",2,IF(P18="増加↑",1,0))+N(AI18),0))</f>
        <v/>
      </c>
      <c r="U18" s="176">
        <f>IF(T18="","",IF(AND(T18&gt;=3,O18&gt;=1.5),"有効",IF(T18&gt;=3,"要確認","除外")))</f>
        <v/>
      </c>
      <c r="V18" s="176">
        <f>IF(AND(H18&lt;&gt;"",K18&lt;&gt;""),IF(H18&gt;=K18,"年初来高値更新●",IF(H18&gt;=K18*0.95,"高値圏","通常")),"")</f>
        <v/>
      </c>
      <c r="W18" s="615">
        <f t="array" ref="W18">IF(C18&lt;&gt;"",IFERROR(100-100/(1+SUMPRODUCT((終値!F114:R114&gt;終値!G114:S114)*( 終値!F114:R114-終値!G114:S114))/SUMPRODUCT((終値!F114:R114&lt;終値!G114:S114)*(終値!G114:S114-終値!F114:R114))),50),"")</f>
        <v/>
      </c>
      <c r="X18" s="183">
        <f>IF(C18&lt;&gt;"",IFERROR(SUMPRODUCT(終値!E114:P114,{0.154,0.132,0.113,0.097,0.083,0.071,0.061,0.052,0.045,0.038,0.033,0.028})/SUMPRODUCT({0.154,0.132,0.113,0.097,0.083,0.071,0.061,0.052,0.045,0.038,0.033,0.028})-SUMPRODUCT(終値!E114:AD114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" s="570">
        <f>IF(T18="","",IF(銘柄管理!$F$5="下落▼",IF(AND(AD18="パーフェクト▲",OR(AE18="25日線押し目●",AE18="5日線押し目○")),"★逆張り候補",IF(AND(AD18="上昇トレンド▲",OR(AE18="25日線押し目●",AE18="5日線押し目○")),"○逆張り候補",IF(W18&lt;=30,IF(Z18&gt;0,"◎反発確認",IF(Z18&lt;-5,"△要注意・様子見","△売られ過ぎ注目")),"相場下落・見送り"))),IF(AND(T18&gt;=12,AD18="パーフェクト▲"),"★強い買い",IF(AND(T18&gt;=12,AD18="上昇トレンド▲"),"★強い買い",IF(AND(T18&gt;=8,OR(AE18="25日線押し目●",AE18="5日線押し目○")),"◎押し目買い",IF(T18&gt;=10,"○買い候補",IF(T18&gt;=6,"△注目",IF(T18&gt;=3,"様子見","見送り"))))))))</f>
        <v/>
      </c>
      <c r="Z18" s="616">
        <f>IF(AND(E18&lt;&gt;"",G18&lt;&gt;"",G18&lt;&gt;0),(E18-G18)/G18*100,"")</f>
        <v/>
      </c>
      <c r="AA18" s="176">
        <f>IF(OR(C18="",E18="",E18=0),"",IF(E18&gt;G18,"上昇▲",IF(E18&lt;G18,"下落▼","横ばい→")))</f>
        <v/>
      </c>
      <c r="AB18" s="438">
        <f>IF(C18="","",IFERROR(((終値!E20*0.333)+(終値!F20*0.222)+(終値!G20*0.148)+(終値!H20*0.099)+(終値!I20*0.066)+(終値!J20*0.044)+(終値!K20*0.029)+(終値!L20*0.019)+(終値!M20*0.013)+(終値!N20*0.009))/(0.333+0.222+0.148+0.099+0.066+0.044+0.029+0.019+0.013+0.009),""))</f>
        <v/>
      </c>
      <c r="AC18" s="438">
        <f>IF(C18="","",IFERROR(SUMPRODUCT((終値!E20:AC20)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" s="439">
        <f>IF(OR(C18="",AB18="",AC18=""),"",IF(AND(E18&gt;AB18,AB18&gt;AC18),"パーフェクト▲",IF(E18&gt;AC18,"上昇トレンド▲",IF(AND(E18&lt;AB18,AB18&lt;AC18),"下降トレンド▼","もみ合い→"))))</f>
        <v/>
      </c>
      <c r="AE18" s="439">
        <f>IF(OR(C18="",AB18="",AC18=""),"",IF(AND(ABS(E18-AC18)/AC18&lt;=0.02,E18&gt;AC18),"25日押し目★",IF(AND(ABS(E18-AB18)/AB18&lt;=0.01,E18&gt;AB18),"5日押し目○","なし")))</f>
        <v/>
      </c>
      <c r="AF18" s="617">
        <f t="array" ref="AF18">IF(C18="","",IFERROR((INDEX(終値!$E:$E,MATCH(TEXT(C18,"0"),終値!$A:$A,0))-INDEX(終値!$E:$BL,MATCH(TEXT(C18,"0"),終値!$A:$A,0),$AL$2))/INDEX(終値!$E:$BL,MATCH(TEXT(C18,"0"),終値!$A:$A,0),$AL$2)*100,""))</f>
        <v/>
      </c>
      <c r="AG18" s="617">
        <f t="array" ref="AG18">IFERROR((終値!$E$5-INDEX(終値!$E$5:$BL$5,1,$AL$2))/INDEX(終値!$E$5:$BL$5,1,$AL$2)*100,"")</f>
        <v/>
      </c>
      <c r="AH18" s="618">
        <f>IF(OR(AF18="",AG18=""),"",AF18-AG18)</f>
        <v/>
      </c>
      <c r="AI18" s="385">
        <f>IF(AH18="","",IF(AH18&gt;5,3,IF(AH18&gt;0,1,IF(AH18&gt;-3,-1,-2))))</f>
        <v/>
      </c>
    </row>
    <row r="19" ht="18" customFormat="1" customHeight="1" s="187">
      <c r="A19" s="176">
        <f>IF(銘柄管理!B113&lt;&gt;"",HYPERLINK("https://kabutan.jp/stock/?code="&amp;銘柄管理!B113,"株探"),"")</f>
        <v/>
      </c>
      <c r="B19" s="177" t="n"/>
      <c r="C19" s="178">
        <f>IF(銘柄管理!B113="","",銘柄管理!B113)</f>
        <v/>
      </c>
      <c r="D19" s="106">
        <f>IF(銘柄管理!C113="","",銘柄管理!C113)</f>
        <v/>
      </c>
      <c r="E19" s="179">
        <f>IF(C19&lt;&gt;"",_xll.RssMarket(C19,"現在値"),"")</f>
        <v/>
      </c>
      <c r="F19" s="179">
        <f>IF(C19&lt;&gt;"",_xll.RssMarket(C19,"始値"),"")</f>
        <v/>
      </c>
      <c r="G19" s="178">
        <f>IF(C19&lt;&gt;"",終値!F113,"")</f>
        <v/>
      </c>
      <c r="H19" s="179">
        <f>IF(C19&lt;&gt;"",_xll.RssMarket(C19,"高値"),"")</f>
        <v/>
      </c>
      <c r="I19" s="179">
        <f>IF(C19&lt;&gt;"",_xll.RssMarket(C19,"安値"),"")</f>
        <v/>
      </c>
      <c r="J19" s="179">
        <f>IF(C19&lt;&gt;"",_xll.RssMarket(C19,"出来高"),"")</f>
        <v/>
      </c>
      <c r="K19" s="179">
        <f>IF(C19&lt;&gt;"",_xll.RssMarket(C19,"年初来高値"),"")</f>
        <v/>
      </c>
      <c r="L19" s="613">
        <f>IF(AND(E19&lt;&gt;"",K19&lt;&gt;"",K19&lt;&gt;0),(E19-K19)/K19*100,"")</f>
        <v/>
      </c>
      <c r="M19" s="179">
        <f>IF(C19&lt;&gt;"",IFERROR(AVERAGE(出来高!E113:I113),""),"")</f>
        <v/>
      </c>
      <c r="N19" s="179">
        <f>IF(C19&lt;&gt;"",IFERROR(AVERAGE(出来高!E113:AC113),""),"")</f>
        <v/>
      </c>
      <c r="O19" s="614">
        <f>IF(AND(J19&lt;&gt;"",M19&lt;&gt;"",M19&lt;&gt;0),J19/M19,"")</f>
        <v/>
      </c>
      <c r="P19" s="176">
        <f>IF(O19="","",IF(O19&gt;=2,"急増↑↑",IF(O19&gt;=1.5,"増加↑",IF(O19&gt;=1,"普通→","減少↓"))))</f>
        <v/>
      </c>
      <c r="Q19" s="176">
        <f>IF(E19="","",IF(AND(E19&gt;G19,O19&gt;=1.5),"買い▲",IF(E19&lt;G19,"様子見▼","中立→")))</f>
        <v/>
      </c>
      <c r="R19" s="179">
        <f>IF(E19&lt;&gt;"",ROUND(E19*1.08,0),"")</f>
        <v/>
      </c>
      <c r="S19" s="179">
        <f>IF(E19&lt;&gt;"",ROUND(E19*0.96,0),"")</f>
        <v/>
      </c>
      <c r="T19" s="176">
        <f>IF(C19="","",IFERROR(IF(O19&gt;=2,3,IF(O19&gt;=1.5,2,IF(O19&gt;=1,1,0)))+IF(E19&gt;G19,1,0)+IF(L19&gt;=-5,1,0)+IF(Q19="買い▲",2,0)+IF(W19&lt;=30,3,IF(W19&lt;=40,2,IF(AND(W19&gt;=40,W19&lt;=60),1,0)))+IF(X19&gt;0,1,0)+IF(V19="年初来高値更新●",3,IF(V19="高値圏",2,0))+IF(AD19="パーフェクト▲",3,IF(AD19="上昇トレンド▲",2,0))+IF(AE19="25日線押し目●",2,IF(AE19="5日線押し目○",1,0))+IF(P19="急増↑↑",2,IF(P19="増加↑",1,0))+N(AI19),0))</f>
        <v/>
      </c>
      <c r="U19" s="176">
        <f>IF(T19="","",IF(AND(T19&gt;=3,O19&gt;=1.5),"有効",IF(T19&gt;=3,"要確認","除外")))</f>
        <v/>
      </c>
      <c r="V19" s="176">
        <f>IF(AND(H19&lt;&gt;"",K19&lt;&gt;""),IF(H19&gt;=K19,"年初来高値更新●",IF(H19&gt;=K19*0.95,"高値圏","通常")),"")</f>
        <v/>
      </c>
      <c r="W19" s="615">
        <f t="array" ref="W19">IF(C19&lt;&gt;"",IFERROR(100-100/(1+SUMPRODUCT((終値!F113:R113&gt;終値!G113:S113)*( 終値!F113:R113-終値!G113:S113))/SUMPRODUCT((終値!F113:R113&lt;終値!G113:S113)*(終値!G113:S113-終値!F113:R113))),50),"")</f>
        <v/>
      </c>
      <c r="X19" s="183">
        <f>IF(C19&lt;&gt;"",IFERROR(SUMPRODUCT(終値!E113:P113,{0.154,0.132,0.113,0.097,0.083,0.071,0.061,0.052,0.045,0.038,0.033,0.028})/SUMPRODUCT({0.154,0.132,0.113,0.097,0.083,0.071,0.061,0.052,0.045,0.038,0.033,0.028})-SUMPRODUCT(終値!E113:AD113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" s="570">
        <f>IF(T19="","",IF(銘柄管理!$F$5="下落▼",IF(AND(AD19="パーフェクト▲",OR(AE19="25日線押し目●",AE19="5日線押し目○")),"★逆張り候補",IF(AND(AD19="上昇トレンド▲",OR(AE19="25日線押し目●",AE19="5日線押し目○")),"○逆張り候補",IF(W19&lt;=30,IF(Z19&gt;0,"◎反発確認",IF(Z19&lt;-5,"△要注意・様子見","△売られ過ぎ注目")),"相場下落・見送り"))),IF(AND(T19&gt;=12,AD19="パーフェクト▲"),"★強い買い",IF(AND(T19&gt;=12,AD19="上昇トレンド▲"),"★強い買い",IF(AND(T19&gt;=8,OR(AE19="25日線押し目●",AE19="5日線押し目○")),"◎押し目買い",IF(T19&gt;=10,"○買い候補",IF(T19&gt;=6,"△注目",IF(T19&gt;=3,"様子見","見送り"))))))))</f>
        <v/>
      </c>
      <c r="Z19" s="616">
        <f>IF(AND(E19&lt;&gt;"",G19&lt;&gt;"",G19&lt;&gt;0),(E19-G19)/G19*100,"")</f>
        <v/>
      </c>
      <c r="AA19" s="176">
        <f>IF(OR(C19="",E19="",E19=0),"",IF(E19&gt;G19,"上昇▲",IF(E19&lt;G19,"下落▼","横ばい→")))</f>
        <v/>
      </c>
      <c r="AB19" s="440">
        <f>IF(C19="","",IFERROR(((終値!E21*0.333)+(終値!F21*0.222)+(終値!G21*0.148)+(終値!H21*0.099)+(終値!I21*0.066)+(終値!J21*0.044)+(終値!K21*0.029)+(終値!L21*0.019)+(終値!M21*0.013)+(終値!N21*0.009))/(0.333+0.222+0.148+0.099+0.066+0.044+0.029+0.019+0.013+0.009),""))</f>
        <v/>
      </c>
      <c r="AC19" s="440">
        <f>IF(C19="","",IFERROR(SUMPRODUCT((終値!E21:AC21)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" s="441">
        <f>IF(OR(C19="",AB19="",AC19=""),"",IF(AND(E19&gt;AB19,AB19&gt;AC19),"パーフェクト▲",IF(E19&gt;AC19,"上昇トレンド▲",IF(AND(E19&lt;AB19,AB19&lt;AC19),"下降トレンド▼","もみ合い→"))))</f>
        <v/>
      </c>
      <c r="AE19" s="441">
        <f>IF(OR(C19="",AB19="",AC19=""),"",IF(AND(ABS(E19-AC19)/AC19&lt;=0.02,E19&gt;AC19),"25日押し目★",IF(AND(ABS(E19-AB19)/AB19&lt;=0.01,E19&gt;AB19),"5日押し目○","なし")))</f>
        <v/>
      </c>
      <c r="AF19" s="617">
        <f t="array" ref="AF19">IF(C19="","",IFERROR((INDEX(終値!$E:$E,MATCH(TEXT(C19,"0"),終値!$A:$A,0))-INDEX(終値!$E:$BL,MATCH(TEXT(C19,"0"),終値!$A:$A,0),$AL$2))/INDEX(終値!$E:$BL,MATCH(TEXT(C19,"0"),終値!$A:$A,0),$AL$2)*100,""))</f>
        <v/>
      </c>
      <c r="AG19" s="617">
        <f t="array" ref="AG19">IFERROR((終値!$E$5-INDEX(終値!$E$5:$BL$5,1,$AL$2))/INDEX(終値!$E$5:$BL$5,1,$AL$2)*100,"")</f>
        <v/>
      </c>
      <c r="AH19" s="618">
        <f>IF(OR(AF19="",AG19=""),"",AF19-AG19)</f>
        <v/>
      </c>
      <c r="AI19" s="385">
        <f>IF(AH19="","",IF(AH19&gt;5,3,IF(AH19&gt;0,1,IF(AH19&gt;-3,-1,-2))))</f>
        <v/>
      </c>
    </row>
    <row r="20" ht="18" customFormat="1" customHeight="1" s="187">
      <c r="A20" s="176">
        <f>IF(銘柄管理!B70&lt;&gt;"",HYPERLINK("https://kabutan.jp/stock/?code="&amp;銘柄管理!B70,"株探"),"")</f>
        <v/>
      </c>
      <c r="B20" s="177" t="n"/>
      <c r="C20" s="178">
        <f>IF(銘柄管理!B70="","",銘柄管理!B70)</f>
        <v/>
      </c>
      <c r="D20" s="106">
        <f>IF(銘柄管理!C70="","",銘柄管理!C70)</f>
        <v/>
      </c>
      <c r="E20" s="179">
        <f>IF(C20&lt;&gt;"",_xll.RssMarket(C20,"現在値"),"")</f>
        <v/>
      </c>
      <c r="F20" s="179">
        <f>IF(C20&lt;&gt;"",_xll.RssMarket(C20,"始値"),"")</f>
        <v/>
      </c>
      <c r="G20" s="178">
        <f>IF(C20&lt;&gt;"",終値!F70,"")</f>
        <v/>
      </c>
      <c r="H20" s="179">
        <f>IF(C20&lt;&gt;"",_xll.RssMarket(C20,"高値"),"")</f>
        <v/>
      </c>
      <c r="I20" s="179">
        <f>IF(C20&lt;&gt;"",_xll.RssMarket(C20,"安値"),"")</f>
        <v/>
      </c>
      <c r="J20" s="179">
        <f>IF(C20&lt;&gt;"",_xll.RssMarket(C20,"出来高"),"")</f>
        <v/>
      </c>
      <c r="K20" s="179">
        <f>IF(C20&lt;&gt;"",_xll.RssMarket(C20,"年初来高値"),"")</f>
        <v/>
      </c>
      <c r="L20" s="613">
        <f>IF(AND(E20&lt;&gt;"",K20&lt;&gt;"",K20&lt;&gt;0),(E20-K20)/K20*100,"")</f>
        <v/>
      </c>
      <c r="M20" s="179">
        <f>IF(C20&lt;&gt;"",IFERROR(AVERAGE(出来高!E70:I70),""),"")</f>
        <v/>
      </c>
      <c r="N20" s="179">
        <f>IF(C20&lt;&gt;"",IFERROR(AVERAGE(出来高!E70:AC70),""),"")</f>
        <v/>
      </c>
      <c r="O20" s="614">
        <f>IF(AND(J20&lt;&gt;"",M20&lt;&gt;"",M20&lt;&gt;0),J20/M20,"")</f>
        <v/>
      </c>
      <c r="P20" s="176">
        <f>IF(O20="","",IF(O20&gt;=2,"急増↑↑",IF(O20&gt;=1.5,"増加↑",IF(O20&gt;=1,"普通→","減少↓"))))</f>
        <v/>
      </c>
      <c r="Q20" s="176">
        <f>IF(E20="","",IF(AND(E20&gt;G20,O20&gt;=1.5),"買い▲",IF(E20&lt;G20,"様子見▼","中立→")))</f>
        <v/>
      </c>
      <c r="R20" s="179">
        <f>IF(E20&lt;&gt;"",ROUND(E20*1.08,0),"")</f>
        <v/>
      </c>
      <c r="S20" s="179">
        <f>IF(E20&lt;&gt;"",ROUND(E20*0.96,0),"")</f>
        <v/>
      </c>
      <c r="T20" s="176">
        <f>IF(C20="","",IFERROR(IF(O20&gt;=2,3,IF(O20&gt;=1.5,2,IF(O20&gt;=1,1,0)))+IF(E20&gt;G20,1,0)+IF(L20&gt;=-5,1,0)+IF(Q20="買い▲",2,0)+IF(W20&lt;=30,3,IF(W20&lt;=40,2,IF(AND(W20&gt;=40,W20&lt;=60),1,0)))+IF(X20&gt;0,1,0)+IF(V20="年初来高値更新●",3,IF(V20="高値圏",2,0))+IF(AD20="パーフェクト▲",3,IF(AD20="上昇トレンド▲",2,0))+IF(AE20="25日線押し目●",2,IF(AE20="5日線押し目○",1,0))+IF(P20="急増↑↑",2,IF(P20="増加↑",1,0))+N(AI20),0))</f>
        <v/>
      </c>
      <c r="U20" s="176">
        <f>IF(T20="","",IF(AND(T20&gt;=3,O20&gt;=1.5),"有効",IF(T20&gt;=3,"要確認","除外")))</f>
        <v/>
      </c>
      <c r="V20" s="176">
        <f>IF(AND(H20&lt;&gt;"",K20&lt;&gt;""),IF(H20&gt;=K20,"年初来高値更新●",IF(H20&gt;=K20*0.95,"高値圏","通常")),"")</f>
        <v/>
      </c>
      <c r="W20" s="615">
        <f t="array" ref="W20">IF(C20&lt;&gt;"",IFERROR(100-100/(1+SUMPRODUCT((終値!F70:R70&gt;終値!G70:S70)*( 終値!F70:R70-終値!G70:S70))/SUMPRODUCT((終値!F70:R70&lt;終値!G70:S70)*(終値!G70:S70-終値!F70:R70))),50),"")</f>
        <v/>
      </c>
      <c r="X20" s="183">
        <f>IF(C20&lt;&gt;"",IFERROR(SUMPRODUCT(終値!E70:P70,{0.154,0.132,0.113,0.097,0.083,0.071,0.061,0.052,0.045,0.038,0.033,0.028})/SUMPRODUCT({0.154,0.132,0.113,0.097,0.083,0.071,0.061,0.052,0.045,0.038,0.033,0.028})-SUMPRODUCT(終値!E70:AD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" s="570">
        <f>IF(T20="","",IF(銘柄管理!$F$5="下落▼",IF(AND(AD20="パーフェクト▲",OR(AE20="25日線押し目●",AE20="5日線押し目○")),"★逆張り候補",IF(AND(AD20="上昇トレンド▲",OR(AE20="25日線押し目●",AE20="5日線押し目○")),"○逆張り候補",IF(W20&lt;=30,IF(Z20&gt;0,"◎反発確認",IF(Z20&lt;-5,"△要注意・様子見","△売られ過ぎ注目")),"相場下落・見送り"))),IF(AND(T20&gt;=12,AD20="パーフェクト▲"),"★強い買い",IF(AND(T20&gt;=12,AD20="上昇トレンド▲"),"★強い買い",IF(AND(T20&gt;=8,OR(AE20="25日線押し目●",AE20="5日線押し目○")),"◎押し目買い",IF(T20&gt;=10,"○買い候補",IF(T20&gt;=6,"△注目",IF(T20&gt;=3,"様子見","見送り"))))))))</f>
        <v/>
      </c>
      <c r="Z20" s="616">
        <f>IF(AND(E20&lt;&gt;"",G20&lt;&gt;"",G20&lt;&gt;0),(E20-G20)/G20*100,"")</f>
        <v/>
      </c>
      <c r="AA20" s="176">
        <f>IF(OR(C20="",E20="",E20=0),"",IF(E20&gt;G20,"上昇▲",IF(E20&lt;G20,"下落▼","横ばい→")))</f>
        <v/>
      </c>
      <c r="AB20" s="438">
        <f>IF(C20="","",IFERROR(((終値!E22*0.333)+(終値!F22*0.222)+(終値!G22*0.148)+(終値!H22*0.099)+(終値!I22*0.066)+(終値!J22*0.044)+(終値!K22*0.029)+(終値!L22*0.019)+(終値!M22*0.013)+(終値!N22*0.009))/(0.333+0.222+0.148+0.099+0.066+0.044+0.029+0.019+0.013+0.009),""))</f>
        <v/>
      </c>
      <c r="AC20" s="438">
        <f>IF(C20="","",IFERROR(SUMPRODUCT((終値!E22:AC22)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0" s="439">
        <f>IF(OR(C20="",AB20="",AC20=""),"",IF(AND(E20&gt;AB20,AB20&gt;AC20),"パーフェクト▲",IF(E20&gt;AC20,"上昇トレンド▲",IF(AND(E20&lt;AB20,AB20&lt;AC20),"下降トレンド▼","もみ合い→"))))</f>
        <v/>
      </c>
      <c r="AE20" s="439">
        <f>IF(OR(C20="",AB20="",AC20=""),"",IF(AND(ABS(E20-AC20)/AC20&lt;=0.02,E20&gt;AC20),"25日押し目★",IF(AND(ABS(E20-AB20)/AB20&lt;=0.01,E20&gt;AB20),"5日押し目○","なし")))</f>
        <v/>
      </c>
      <c r="AF20" s="617">
        <f t="array" ref="AF20">IF(C20="","",IFERROR((INDEX(終値!$E:$E,MATCH(TEXT(C20,"0"),終値!$A:$A,0))-INDEX(終値!$E:$BL,MATCH(TEXT(C20,"0"),終値!$A:$A,0),$AL$2))/INDEX(終値!$E:$BL,MATCH(TEXT(C20,"0"),終値!$A:$A,0),$AL$2)*100,""))</f>
        <v/>
      </c>
      <c r="AG20" s="617">
        <f t="array" ref="AG20">IFERROR((終値!$E$5-INDEX(終値!$E$5:$BL$5,1,$AL$2))/INDEX(終値!$E$5:$BL$5,1,$AL$2)*100,"")</f>
        <v/>
      </c>
      <c r="AH20" s="618">
        <f>IF(OR(AF20="",AG20=""),"",AF20-AG20)</f>
        <v/>
      </c>
      <c r="AI20" s="385">
        <f>IF(AH20="","",IF(AH20&gt;5,3,IF(AH20&gt;0,1,IF(AH20&gt;-3,-1,-2))))</f>
        <v/>
      </c>
    </row>
    <row r="21" ht="18" customFormat="1" customHeight="1" s="187">
      <c r="A21" s="176">
        <f>IF(銘柄管理!B126&lt;&gt;"",HYPERLINK("https://kabutan.jp/stock/?code="&amp;銘柄管理!B126,"株探"),"")</f>
        <v/>
      </c>
      <c r="B21" s="177" t="n"/>
      <c r="C21" s="178">
        <f>IF(銘柄管理!B126="","",銘柄管理!B126)</f>
        <v/>
      </c>
      <c r="D21" s="106">
        <f>IF(銘柄管理!C126="","",銘柄管理!C126)</f>
        <v/>
      </c>
      <c r="E21" s="179">
        <f>IF(C21&lt;&gt;"",_xll.RssMarket(C21,"現在値"),"")</f>
        <v/>
      </c>
      <c r="F21" s="179">
        <f>IF(C21&lt;&gt;"",_xll.RssMarket(C21,"始値"),"")</f>
        <v/>
      </c>
      <c r="G21" s="178">
        <f>IF(C21&lt;&gt;"",終値!F126,"")</f>
        <v/>
      </c>
      <c r="H21" s="179">
        <f>IF(C21&lt;&gt;"",_xll.RssMarket(C21,"高値"),"")</f>
        <v/>
      </c>
      <c r="I21" s="179">
        <f>IF(C21&lt;&gt;"",_xll.RssMarket(C21,"安値"),"")</f>
        <v/>
      </c>
      <c r="J21" s="179">
        <f>IF(C21&lt;&gt;"",_xll.RssMarket(C21,"出来高"),"")</f>
        <v/>
      </c>
      <c r="K21" s="179">
        <f>IF(C21&lt;&gt;"",_xll.RssMarket(C21,"年初来高値"),"")</f>
        <v/>
      </c>
      <c r="L21" s="613">
        <f>IF(AND(E21&lt;&gt;"",K21&lt;&gt;"",K21&lt;&gt;0),(E21-K21)/K21*100,"")</f>
        <v/>
      </c>
      <c r="M21" s="179">
        <f>IF(C21&lt;&gt;"",IFERROR(AVERAGE(出来高!E126:I126),""),"")</f>
        <v/>
      </c>
      <c r="N21" s="179">
        <f>IF(C21&lt;&gt;"",IFERROR(AVERAGE(出来高!E126:AC126),""),"")</f>
        <v/>
      </c>
      <c r="O21" s="614">
        <f>IF(AND(J21&lt;&gt;"",M21&lt;&gt;"",M21&lt;&gt;0),J21/M21,"")</f>
        <v/>
      </c>
      <c r="P21" s="176">
        <f>IF(O21="","",IF(O21&gt;=2,"急増↑↑",IF(O21&gt;=1.5,"増加↑",IF(O21&gt;=1,"普通→","減少↓"))))</f>
        <v/>
      </c>
      <c r="Q21" s="176">
        <f>IF(E21="","",IF(AND(E21&gt;G21,O21&gt;=1.5),"買い▲",IF(E21&lt;G21,"様子見▼","中立→")))</f>
        <v/>
      </c>
      <c r="R21" s="179">
        <f>IF(E21&lt;&gt;"",ROUND(E21*1.08,0),"")</f>
        <v/>
      </c>
      <c r="S21" s="179">
        <f>IF(E21&lt;&gt;"",ROUND(E21*0.96,0),"")</f>
        <v/>
      </c>
      <c r="T21" s="176">
        <f>IF(C21="","",IFERROR(IF(O21&gt;=2,3,IF(O21&gt;=1.5,2,IF(O21&gt;=1,1,0)))+IF(E21&gt;G21,1,0)+IF(L21&gt;=-5,1,0)+IF(Q21="買い▲",2,0)+IF(W21&lt;=30,3,IF(W21&lt;=40,2,IF(AND(W21&gt;=40,W21&lt;=60),1,0)))+IF(X21&gt;0,1,0)+IF(V21="年初来高値更新●",3,IF(V21="高値圏",2,0))+IF(AD21="パーフェクト▲",3,IF(AD21="上昇トレンド▲",2,0))+IF(AE21="25日線押し目●",2,IF(AE21="5日線押し目○",1,0))+IF(P21="急増↑↑",2,IF(P21="増加↑",1,0))+N(AI21),0))</f>
        <v/>
      </c>
      <c r="U21" s="176">
        <f>IF(T21="","",IF(AND(T21&gt;=3,O21&gt;=1.5),"有効",IF(T21&gt;=3,"要確認","除外")))</f>
        <v/>
      </c>
      <c r="V21" s="176">
        <f>IF(AND(H21&lt;&gt;"",K21&lt;&gt;""),IF(H21&gt;=K21,"年初来高値更新●",IF(H21&gt;=K21*0.95,"高値圏","通常")),"")</f>
        <v/>
      </c>
      <c r="W21" s="615">
        <f t="array" ref="W21">IF(C21&lt;&gt;"",IFERROR(100-100/(1+SUMPRODUCT((終値!F126:R126&gt;終値!G126:S126)*( 終値!F126:R126-終値!G126:S126))/SUMPRODUCT((終値!F126:R126&lt;終値!G126:S126)*(終値!G126:S126-終値!F126:R126))),50),"")</f>
        <v/>
      </c>
      <c r="X21" s="183">
        <f>IF(C21&lt;&gt;"",IFERROR(SUMPRODUCT(終値!E126:P126,{0.154,0.132,0.113,0.097,0.083,0.071,0.061,0.052,0.045,0.038,0.033,0.028})/SUMPRODUCT({0.154,0.132,0.113,0.097,0.083,0.071,0.061,0.052,0.045,0.038,0.033,0.028})-SUMPRODUCT(終値!E126:AD126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1" s="570">
        <f>IF(T21="","",IF(銘柄管理!$F$5="下落▼",IF(AND(AD21="パーフェクト▲",OR(AE21="25日線押し目●",AE21="5日線押し目○")),"★逆張り候補",IF(AND(AD21="上昇トレンド▲",OR(AE21="25日線押し目●",AE21="5日線押し目○")),"○逆張り候補",IF(W21&lt;=30,IF(Z21&gt;0,"◎反発確認",IF(Z21&lt;-5,"△要注意・様子見","△売られ過ぎ注目")),"相場下落・見送り"))),IF(AND(T21&gt;=12,AD21="パーフェクト▲"),"★強い買い",IF(AND(T21&gt;=12,AD21="上昇トレンド▲"),"★強い買い",IF(AND(T21&gt;=8,OR(AE21="25日線押し目●",AE21="5日線押し目○")),"◎押し目買い",IF(T21&gt;=10,"○買い候補",IF(T21&gt;=6,"△注目",IF(T21&gt;=3,"様子見","見送り"))))))))</f>
        <v/>
      </c>
      <c r="Z21" s="616">
        <f>IF(AND(E21&lt;&gt;"",G21&lt;&gt;"",G21&lt;&gt;0),(E21-G21)/G21*100,"")</f>
        <v/>
      </c>
      <c r="AA21" s="176">
        <f>IF(OR(C21="",E21="",E21=0),"",IF(E21&gt;G21,"上昇▲",IF(E21&lt;G21,"下落▼","横ばい→")))</f>
        <v/>
      </c>
      <c r="AB21" s="440">
        <f>IF(C21="","",IFERROR(((終値!E23*0.333)+(終値!F23*0.222)+(終値!G23*0.148)+(終値!H23*0.099)+(終値!I23*0.066)+(終値!J23*0.044)+(終値!K23*0.029)+(終値!L23*0.019)+(終値!M23*0.013)+(終値!N23*0.009))/(0.333+0.222+0.148+0.099+0.066+0.044+0.029+0.019+0.013+0.009),""))</f>
        <v/>
      </c>
      <c r="AC21" s="440">
        <f>IF(C21="","",IFERROR(SUMPRODUCT((終値!E23:AC23)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1" s="441">
        <f>IF(OR(C21="",AB21="",AC21=""),"",IF(AND(E21&gt;AB21,AB21&gt;AC21),"パーフェクト▲",IF(E21&gt;AC21,"上昇トレンド▲",IF(AND(E21&lt;AB21,AB21&lt;AC21),"下降トレンド▼","もみ合い→"))))</f>
        <v/>
      </c>
      <c r="AE21" s="441">
        <f>IF(OR(C21="",AB21="",AC21=""),"",IF(AND(ABS(E21-AC21)/AC21&lt;=0.02,E21&gt;AC21),"25日押し目★",IF(AND(ABS(E21-AB21)/AB21&lt;=0.01,E21&gt;AB21),"5日押し目○","なし")))</f>
        <v/>
      </c>
      <c r="AF21" s="617">
        <f t="array" ref="AF21">IF(C21="","",IFERROR((INDEX(終値!$E:$E,MATCH(TEXT(C21,"0"),終値!$A:$A,0))-INDEX(終値!$E:$BL,MATCH(TEXT(C21,"0"),終値!$A:$A,0),$AL$2))/INDEX(終値!$E:$BL,MATCH(TEXT(C21,"0"),終値!$A:$A,0),$AL$2)*100,""))</f>
        <v/>
      </c>
      <c r="AG21" s="617">
        <f t="array" ref="AG21">IFERROR((終値!$E$5-INDEX(終値!$E$5:$BL$5,1,$AL$2))/INDEX(終値!$E$5:$BL$5,1,$AL$2)*100,"")</f>
        <v/>
      </c>
      <c r="AH21" s="618">
        <f>IF(OR(AF21="",AG21=""),"",AF21-AG21)</f>
        <v/>
      </c>
      <c r="AI21" s="385">
        <f>IF(AH21="","",IF(AH21&gt;5,3,IF(AH21&gt;0,1,IF(AH21&gt;-3,-1,-2))))</f>
        <v/>
      </c>
    </row>
    <row r="22" ht="18" customFormat="1" customHeight="1" s="187">
      <c r="A22" s="176">
        <f>IF(銘柄管理!B56&lt;&gt;"",HYPERLINK("https://kabutan.jp/stock/?code="&amp;銘柄管理!B56,"株探"),"")</f>
        <v/>
      </c>
      <c r="B22" s="177" t="n"/>
      <c r="C22" s="178">
        <f>IF(銘柄管理!B56="","",銘柄管理!B56)</f>
        <v/>
      </c>
      <c r="D22" s="106">
        <f>IF(銘柄管理!C56="","",銘柄管理!C56)</f>
        <v/>
      </c>
      <c r="E22" s="179">
        <f>IF(C22&lt;&gt;"",_xll.RssMarket(C22,"現在値"),"")</f>
        <v/>
      </c>
      <c r="F22" s="179">
        <f>IF(C22&lt;&gt;"",_xll.RssMarket(C22,"始値"),"")</f>
        <v/>
      </c>
      <c r="G22" s="178">
        <f>IF(C22&lt;&gt;"",終値!F56,"")</f>
        <v/>
      </c>
      <c r="H22" s="179">
        <f>IF(C22&lt;&gt;"",_xll.RssMarket(C22,"高値"),"")</f>
        <v/>
      </c>
      <c r="I22" s="179">
        <f>IF(C22&lt;&gt;"",_xll.RssMarket(C22,"安値"),"")</f>
        <v/>
      </c>
      <c r="J22" s="179">
        <f>IF(C22&lt;&gt;"",_xll.RssMarket(C22,"出来高"),"")</f>
        <v/>
      </c>
      <c r="K22" s="179">
        <f>IF(C22&lt;&gt;"",_xll.RssMarket(C22,"年初来高値"),"")</f>
        <v/>
      </c>
      <c r="L22" s="613">
        <f>IF(AND(E22&lt;&gt;"",K22&lt;&gt;"",K22&lt;&gt;0),(E22-K22)/K22*100,"")</f>
        <v/>
      </c>
      <c r="M22" s="179">
        <f>IF(C22&lt;&gt;"",IFERROR(AVERAGE(出来高!E56:I56),""),"")</f>
        <v/>
      </c>
      <c r="N22" s="179">
        <f>IF(C22&lt;&gt;"",IFERROR(AVERAGE(出来高!E56:AC56),""),"")</f>
        <v/>
      </c>
      <c r="O22" s="614">
        <f>IF(AND(J22&lt;&gt;"",M22&lt;&gt;"",M22&lt;&gt;0),J22/M22,"")</f>
        <v/>
      </c>
      <c r="P22" s="176">
        <f>IF(O22="","",IF(O22&gt;=2,"急増↑↑",IF(O22&gt;=1.5,"増加↑",IF(O22&gt;=1,"普通→","減少↓"))))</f>
        <v/>
      </c>
      <c r="Q22" s="176">
        <f>IF(E22="","",IF(AND(E22&gt;G22,O22&gt;=1.5),"買い▲",IF(E22&lt;G22,"様子見▼","中立→")))</f>
        <v/>
      </c>
      <c r="R22" s="179">
        <f>IF(E22&lt;&gt;"",ROUND(E22*1.08,0),"")</f>
        <v/>
      </c>
      <c r="S22" s="179">
        <f>IF(E22&lt;&gt;"",ROUND(E22*0.96,0),"")</f>
        <v/>
      </c>
      <c r="T22" s="176">
        <f>IF(C22="","",IFERROR(IF(O22&gt;=2,3,IF(O22&gt;=1.5,2,IF(O22&gt;=1,1,0)))+IF(E22&gt;G22,1,0)+IF(L22&gt;=-5,1,0)+IF(Q22="買い▲",2,0)+IF(W22&lt;=30,3,IF(W22&lt;=40,2,IF(AND(W22&gt;=40,W22&lt;=60),1,0)))+IF(X22&gt;0,1,0)+IF(V22="年初来高値更新●",3,IF(V22="高値圏",2,0))+IF(AD22="パーフェクト▲",3,IF(AD22="上昇トレンド▲",2,0))+IF(AE22="25日線押し目●",2,IF(AE22="5日線押し目○",1,0))+IF(P22="急増↑↑",2,IF(P22="増加↑",1,0))+N(AI22),0))</f>
        <v/>
      </c>
      <c r="U22" s="176">
        <f>IF(T22="","",IF(AND(T22&gt;=3,O22&gt;=1.5),"有効",IF(T22&gt;=3,"要確認","除外")))</f>
        <v/>
      </c>
      <c r="V22" s="176">
        <f>IF(AND(H22&lt;&gt;"",K22&lt;&gt;""),IF(H22&gt;=K22,"年初来高値更新●",IF(H22&gt;=K22*0.95,"高値圏","通常")),"")</f>
        <v/>
      </c>
      <c r="W22" s="615">
        <f t="array" ref="W22">IF(C22&lt;&gt;"",IFERROR(100-100/(1+SUMPRODUCT((終値!F56:R56&gt;終値!G56:S56)*( 終値!F56:R56-終値!G56:S56))/SUMPRODUCT((終値!F56:R56&lt;終値!G56:S56)*(終値!G56:S56-終値!F56:R56))),50),"")</f>
        <v/>
      </c>
      <c r="X22" s="183">
        <f>IF(C22&lt;&gt;"",IFERROR(SUMPRODUCT(終値!E56:P56,{0.154,0.132,0.113,0.097,0.083,0.071,0.061,0.052,0.045,0.038,0.033,0.028})/SUMPRODUCT({0.154,0.132,0.113,0.097,0.083,0.071,0.061,0.052,0.045,0.038,0.033,0.028})-SUMPRODUCT(終値!E56:AD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2" s="570">
        <f>IF(T22="","",IF(銘柄管理!$F$5="下落▼",IF(AND(AD22="パーフェクト▲",OR(AE22="25日線押し目●",AE22="5日線押し目○")),"★逆張り候補",IF(AND(AD22="上昇トレンド▲",OR(AE22="25日線押し目●",AE22="5日線押し目○")),"○逆張り候補",IF(W22&lt;=30,IF(Z22&gt;0,"◎反発確認",IF(Z22&lt;-5,"△要注意・様子見","△売られ過ぎ注目")),"相場下落・見送り"))),IF(AND(T22&gt;=12,AD22="パーフェクト▲"),"★強い買い",IF(AND(T22&gt;=12,AD22="上昇トレンド▲"),"★強い買い",IF(AND(T22&gt;=8,OR(AE22="25日線押し目●",AE22="5日線押し目○")),"◎押し目買い",IF(T22&gt;=10,"○買い候補",IF(T22&gt;=6,"△注目",IF(T22&gt;=3,"様子見","見送り"))))))))</f>
        <v/>
      </c>
      <c r="Z22" s="616">
        <f>IF(AND(E22&lt;&gt;"",G22&lt;&gt;"",G22&lt;&gt;0),(E22-G22)/G22*100,"")</f>
        <v/>
      </c>
      <c r="AA22" s="176">
        <f>IF(OR(C22="",E22="",E22=0),"",IF(E22&gt;G22,"上昇▲",IF(E22&lt;G22,"下落▼","横ばい→")))</f>
        <v/>
      </c>
      <c r="AB22" s="438">
        <f>IF(C22="","",IFERROR(((終値!E24*0.333)+(終値!F24*0.222)+(終値!G24*0.148)+(終値!H24*0.099)+(終値!I24*0.066)+(終値!J24*0.044)+(終値!K24*0.029)+(終値!L24*0.019)+(終値!M24*0.013)+(終値!N24*0.009))/(0.333+0.222+0.148+0.099+0.066+0.044+0.029+0.019+0.013+0.009),""))</f>
        <v/>
      </c>
      <c r="AC22" s="438">
        <f>IF(C22="","",IFERROR(SUMPRODUCT((終値!E24:AC24)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2" s="439">
        <f>IF(OR(C22="",AB22="",AC22=""),"",IF(AND(E22&gt;AB22,AB22&gt;AC22),"パーフェクト▲",IF(E22&gt;AC22,"上昇トレンド▲",IF(AND(E22&lt;AB22,AB22&lt;AC22),"下降トレンド▼","もみ合い→"))))</f>
        <v/>
      </c>
      <c r="AE22" s="439">
        <f>IF(OR(C22="",AB22="",AC22=""),"",IF(AND(ABS(E22-AC22)/AC22&lt;=0.02,E22&gt;AC22),"25日押し目★",IF(AND(ABS(E22-AB22)/AB22&lt;=0.01,E22&gt;AB22),"5日押し目○","なし")))</f>
        <v/>
      </c>
      <c r="AF22" s="617">
        <f t="array" ref="AF22">IF(C22="","",IFERROR((INDEX(終値!$E:$E,MATCH(TEXT(C22,"0"),終値!$A:$A,0))-INDEX(終値!$E:$BL,MATCH(TEXT(C22,"0"),終値!$A:$A,0),$AL$2))/INDEX(終値!$E:$BL,MATCH(TEXT(C22,"0"),終値!$A:$A,0),$AL$2)*100,""))</f>
        <v/>
      </c>
      <c r="AG22" s="617">
        <f t="array" ref="AG22">IFERROR((終値!$E$5-INDEX(終値!$E$5:$BL$5,1,$AL$2))/INDEX(終値!$E$5:$BL$5,1,$AL$2)*100,"")</f>
        <v/>
      </c>
      <c r="AH22" s="618">
        <f>IF(OR(AF22="",AG22=""),"",AF22-AG22)</f>
        <v/>
      </c>
      <c r="AI22" s="385">
        <f>IF(AH22="","",IF(AH22&gt;5,3,IF(AH22&gt;0,1,IF(AH22&gt;-3,-1,-2))))</f>
        <v/>
      </c>
    </row>
    <row r="23" ht="18" customFormat="1" customHeight="1" s="187">
      <c r="A23" s="176">
        <f>IF(銘柄管理!B119&lt;&gt;"",HYPERLINK("https://kabutan.jp/stock/?code="&amp;銘柄管理!B119,"株探"),"")</f>
        <v/>
      </c>
      <c r="B23" s="177" t="n"/>
      <c r="C23" s="178">
        <f>IF(銘柄管理!B119="","",銘柄管理!B119)</f>
        <v/>
      </c>
      <c r="D23" s="106">
        <f>IF(銘柄管理!C119="","",銘柄管理!C119)</f>
        <v/>
      </c>
      <c r="E23" s="179">
        <f>IF(C23&lt;&gt;"",_xll.RssMarket(C23,"現在値"),"")</f>
        <v/>
      </c>
      <c r="F23" s="179">
        <f>IF(C23&lt;&gt;"",_xll.RssMarket(C23,"始値"),"")</f>
        <v/>
      </c>
      <c r="G23" s="178">
        <f>IF(C23&lt;&gt;"",終値!F119,"")</f>
        <v/>
      </c>
      <c r="H23" s="179">
        <f>IF(C23&lt;&gt;"",_xll.RssMarket(C23,"高値"),"")</f>
        <v/>
      </c>
      <c r="I23" s="179">
        <f>IF(C23&lt;&gt;"",_xll.RssMarket(C23,"安値"),"")</f>
        <v/>
      </c>
      <c r="J23" s="179">
        <f>IF(C23&lt;&gt;"",_xll.RssMarket(C23,"出来高"),"")</f>
        <v/>
      </c>
      <c r="K23" s="179">
        <f>IF(C23&lt;&gt;"",_xll.RssMarket(C23,"年初来高値"),"")</f>
        <v/>
      </c>
      <c r="L23" s="613">
        <f>IF(AND(E23&lt;&gt;"",K23&lt;&gt;"",K23&lt;&gt;0),(E23-K23)/K23*100,"")</f>
        <v/>
      </c>
      <c r="M23" s="179">
        <f>IF(C23&lt;&gt;"",IFERROR(AVERAGE(出来高!E119:I119),""),"")</f>
        <v/>
      </c>
      <c r="N23" s="179">
        <f>IF(C23&lt;&gt;"",IFERROR(AVERAGE(出来高!E119:AC119),""),"")</f>
        <v/>
      </c>
      <c r="O23" s="614">
        <f>IF(AND(J23&lt;&gt;"",M23&lt;&gt;"",M23&lt;&gt;0),J23/M23,"")</f>
        <v/>
      </c>
      <c r="P23" s="176">
        <f>IF(O23="","",IF(O23&gt;=2,"急増↑↑",IF(O23&gt;=1.5,"増加↑",IF(O23&gt;=1,"普通→","減少↓"))))</f>
        <v/>
      </c>
      <c r="Q23" s="176">
        <f>IF(E23="","",IF(AND(E23&gt;G23,O23&gt;=1.5),"買い▲",IF(E23&lt;G23,"様子見▼","中立→")))</f>
        <v/>
      </c>
      <c r="R23" s="179">
        <f>IF(E23&lt;&gt;"",ROUND(E23*1.08,0),"")</f>
        <v/>
      </c>
      <c r="S23" s="179">
        <f>IF(E23&lt;&gt;"",ROUND(E23*0.96,0),"")</f>
        <v/>
      </c>
      <c r="T23" s="176">
        <f>IF(C23="","",IFERROR(IF(O23&gt;=2,3,IF(O23&gt;=1.5,2,IF(O23&gt;=1,1,0)))+IF(E23&gt;G23,1,0)+IF(L23&gt;=-5,1,0)+IF(Q23="買い▲",2,0)+IF(W23&lt;=30,3,IF(W23&lt;=40,2,IF(AND(W23&gt;=40,W23&lt;=60),1,0)))+IF(X23&gt;0,1,0)+IF(V23="年初来高値更新●",3,IF(V23="高値圏",2,0))+IF(AD23="パーフェクト▲",3,IF(AD23="上昇トレンド▲",2,0))+IF(AE23="25日線押し目●",2,IF(AE23="5日線押し目○",1,0))+IF(P23="急増↑↑",2,IF(P23="増加↑",1,0))+N(AI23),0))</f>
        <v/>
      </c>
      <c r="U23" s="176">
        <f>IF(T23="","",IF(AND(T23&gt;=3,O23&gt;=1.5),"有効",IF(T23&gt;=3,"要確認","除外")))</f>
        <v/>
      </c>
      <c r="V23" s="176">
        <f>IF(AND(H23&lt;&gt;"",K23&lt;&gt;""),IF(H23&gt;=K23,"年初来高値更新●",IF(H23&gt;=K23*0.95,"高値圏","通常")),"")</f>
        <v/>
      </c>
      <c r="W23" s="615">
        <f t="array" ref="W23">IF(C23&lt;&gt;"",IFERROR(100-100/(1+SUMPRODUCT((終値!F119:R119&gt;終値!G119:S119)*( 終値!F119:R119-終値!G119:S119))/SUMPRODUCT((終値!F119:R119&lt;終値!G119:S119)*(終値!G119:S119-終値!F119:R119))),50),"")</f>
        <v/>
      </c>
      <c r="X23" s="183">
        <f>IF(C23&lt;&gt;"",IFERROR(SUMPRODUCT(終値!E119:P119,{0.154,0.132,0.113,0.097,0.083,0.071,0.061,0.052,0.045,0.038,0.033,0.028})/SUMPRODUCT({0.154,0.132,0.113,0.097,0.083,0.071,0.061,0.052,0.045,0.038,0.033,0.028})-SUMPRODUCT(終値!E119:AD119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3" s="570">
        <f>IF(T23="","",IF(銘柄管理!$F$5="下落▼",IF(AND(AD23="パーフェクト▲",OR(AE23="25日線押し目●",AE23="5日線押し目○")),"★逆張り候補",IF(AND(AD23="上昇トレンド▲",OR(AE23="25日線押し目●",AE23="5日線押し目○")),"○逆張り候補",IF(W23&lt;=30,IF(Z23&gt;0,"◎反発確認",IF(Z23&lt;-5,"△要注意・様子見","△売られ過ぎ注目")),"相場下落・見送り"))),IF(AND(T23&gt;=12,AD23="パーフェクト▲"),"★強い買い",IF(AND(T23&gt;=12,AD23="上昇トレンド▲"),"★強い買い",IF(AND(T23&gt;=8,OR(AE23="25日線押し目●",AE23="5日線押し目○")),"◎押し目買い",IF(T23&gt;=10,"○買い候補",IF(T23&gt;=6,"△注目",IF(T23&gt;=3,"様子見","見送り"))))))))</f>
        <v/>
      </c>
      <c r="Z23" s="616">
        <f>IF(AND(E23&lt;&gt;"",G23&lt;&gt;"",G23&lt;&gt;0),(E23-G23)/G23*100,"")</f>
        <v/>
      </c>
      <c r="AA23" s="176">
        <f>IF(OR(C23="",E23="",E23=0),"",IF(E23&gt;G23,"上昇▲",IF(E23&lt;G23,"下落▼","横ばい→")))</f>
        <v/>
      </c>
      <c r="AB23" s="440">
        <f>IF(C23="","",IFERROR(((終値!E25*0.333)+(終値!F25*0.222)+(終値!G25*0.148)+(終値!H25*0.099)+(終値!I25*0.066)+(終値!J25*0.044)+(終値!K25*0.029)+(終値!L25*0.019)+(終値!M25*0.013)+(終値!N25*0.009))/(0.333+0.222+0.148+0.099+0.066+0.044+0.029+0.019+0.013+0.009),""))</f>
        <v/>
      </c>
      <c r="AC23" s="440">
        <f>IF(C23="","",IFERROR(SUMPRODUCT((終値!E25:AC25)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3" s="441">
        <f>IF(OR(C23="",AB23="",AC23=""),"",IF(AND(E23&gt;AB23,AB23&gt;AC23),"パーフェクト▲",IF(E23&gt;AC23,"上昇トレンド▲",IF(AND(E23&lt;AB23,AB23&lt;AC23),"下降トレンド▼","もみ合い→"))))</f>
        <v/>
      </c>
      <c r="AE23" s="441">
        <f>IF(OR(C23="",AB23="",AC23=""),"",IF(AND(ABS(E23-AC23)/AC23&lt;=0.02,E23&gt;AC23),"25日押し目★",IF(AND(ABS(E23-AB23)/AB23&lt;=0.01,E23&gt;AB23),"5日押し目○","なし")))</f>
        <v/>
      </c>
      <c r="AF23" s="617">
        <f t="array" ref="AF23">IF(C23="","",IFERROR((INDEX(終値!$E:$E,MATCH(TEXT(C23,"0"),終値!$A:$A,0))-INDEX(終値!$E:$BL,MATCH(TEXT(C23,"0"),終値!$A:$A,0),$AL$2))/INDEX(終値!$E:$BL,MATCH(TEXT(C23,"0"),終値!$A:$A,0),$AL$2)*100,""))</f>
        <v/>
      </c>
      <c r="AG23" s="617">
        <f t="array" ref="AG23">IFERROR((終値!$E$5-INDEX(終値!$E$5:$BL$5,1,$AL$2))/INDEX(終値!$E$5:$BL$5,1,$AL$2)*100,"")</f>
        <v/>
      </c>
      <c r="AH23" s="618">
        <f>IF(OR(AF23="",AG23=""),"",AF23-AG23)</f>
        <v/>
      </c>
      <c r="AI23" s="385">
        <f>IF(AH23="","",IF(AH23&gt;5,3,IF(AH23&gt;0,1,IF(AH23&gt;-3,-1,-2))))</f>
        <v/>
      </c>
    </row>
    <row r="24" ht="18" customFormat="1" customHeight="1" s="187">
      <c r="A24" s="176">
        <f>IF(銘柄管理!B112&lt;&gt;"",HYPERLINK("https://kabutan.jp/stock/?code="&amp;銘柄管理!B112,"株探"),"")</f>
        <v/>
      </c>
      <c r="B24" s="177" t="n"/>
      <c r="C24" s="178">
        <f>IF(銘柄管理!B112="","",銘柄管理!B112)</f>
        <v/>
      </c>
      <c r="D24" s="106">
        <f>IF(銘柄管理!C112="","",銘柄管理!C112)</f>
        <v/>
      </c>
      <c r="E24" s="179">
        <f>IF(C24&lt;&gt;"",_xll.RssMarket(C24,"現在値"),"")</f>
        <v/>
      </c>
      <c r="F24" s="179">
        <f>IF(C24&lt;&gt;"",_xll.RssMarket(C24,"始値"),"")</f>
        <v/>
      </c>
      <c r="G24" s="178">
        <f>IF(C24&lt;&gt;"",終値!F112,"")</f>
        <v/>
      </c>
      <c r="H24" s="179">
        <f>IF(C24&lt;&gt;"",_xll.RssMarket(C24,"高値"),"")</f>
        <v/>
      </c>
      <c r="I24" s="179">
        <f>IF(C24&lt;&gt;"",_xll.RssMarket(C24,"安値"),"")</f>
        <v/>
      </c>
      <c r="J24" s="179">
        <f>IF(C24&lt;&gt;"",_xll.RssMarket(C24,"出来高"),"")</f>
        <v/>
      </c>
      <c r="K24" s="179">
        <f>IF(C24&lt;&gt;"",_xll.RssMarket(C24,"年初来高値"),"")</f>
        <v/>
      </c>
      <c r="L24" s="613">
        <f>IF(AND(E24&lt;&gt;"",K24&lt;&gt;"",K24&lt;&gt;0),(E24-K24)/K24*100,"")</f>
        <v/>
      </c>
      <c r="M24" s="179">
        <f>IF(C24&lt;&gt;"",IFERROR(AVERAGE(出来高!E112:I112),""),"")</f>
        <v/>
      </c>
      <c r="N24" s="179">
        <f>IF(C24&lt;&gt;"",IFERROR(AVERAGE(出来高!E112:AC112),""),"")</f>
        <v/>
      </c>
      <c r="O24" s="614">
        <f>IF(AND(J24&lt;&gt;"",M24&lt;&gt;"",M24&lt;&gt;0),J24/M24,"")</f>
        <v/>
      </c>
      <c r="P24" s="176">
        <f>IF(O24="","",IF(O24&gt;=2,"急増↑↑",IF(O24&gt;=1.5,"増加↑",IF(O24&gt;=1,"普通→","減少↓"))))</f>
        <v/>
      </c>
      <c r="Q24" s="176">
        <f>IF(E24="","",IF(AND(E24&gt;G24,O24&gt;=1.5),"買い▲",IF(E24&lt;G24,"様子見▼","中立→")))</f>
        <v/>
      </c>
      <c r="R24" s="179">
        <f>IF(E24&lt;&gt;"",ROUND(E24*1.08,0),"")</f>
        <v/>
      </c>
      <c r="S24" s="179">
        <f>IF(E24&lt;&gt;"",ROUND(E24*0.96,0),"")</f>
        <v/>
      </c>
      <c r="T24" s="176">
        <f>IF(C24="","",IFERROR(IF(O24&gt;=2,3,IF(O24&gt;=1.5,2,IF(O24&gt;=1,1,0)))+IF(E24&gt;G24,1,0)+IF(L24&gt;=-5,1,0)+IF(Q24="買い▲",2,0)+IF(W24&lt;=30,3,IF(W24&lt;=40,2,IF(AND(W24&gt;=40,W24&lt;=60),1,0)))+IF(X24&gt;0,1,0)+IF(V24="年初来高値更新●",3,IF(V24="高値圏",2,0))+IF(AD24="パーフェクト▲",3,IF(AD24="上昇トレンド▲",2,0))+IF(AE24="25日線押し目●",2,IF(AE24="5日線押し目○",1,0))+IF(P24="急増↑↑",2,IF(P24="増加↑",1,0))+N(AI24),0))</f>
        <v/>
      </c>
      <c r="U24" s="176">
        <f>IF(T24="","",IF(AND(T24&gt;=3,O24&gt;=1.5),"有効",IF(T24&gt;=3,"要確認","除外")))</f>
        <v/>
      </c>
      <c r="V24" s="176">
        <f>IF(AND(H24&lt;&gt;"",K24&lt;&gt;""),IF(H24&gt;=K24,"年初来高値更新●",IF(H24&gt;=K24*0.95,"高値圏","通常")),"")</f>
        <v/>
      </c>
      <c r="W24" s="615">
        <f t="array" ref="W24">IF(C24&lt;&gt;"",IFERROR(100-100/(1+SUMPRODUCT((終値!F112:R112&gt;終値!G112:S112)*( 終値!F112:R112-終値!G112:S112))/SUMPRODUCT((終値!F112:R112&lt;終値!G112:S112)*(終値!G112:S112-終値!F112:R112))),50),"")</f>
        <v/>
      </c>
      <c r="X24" s="183">
        <f>IF(C24&lt;&gt;"",IFERROR(SUMPRODUCT(終値!E112:P112,{0.154,0.132,0.113,0.097,0.083,0.071,0.061,0.052,0.045,0.038,0.033,0.028})/SUMPRODUCT({0.154,0.132,0.113,0.097,0.083,0.071,0.061,0.052,0.045,0.038,0.033,0.028})-SUMPRODUCT(終値!E112:AD112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4" s="570">
        <f>IF(T24="","",IF(銘柄管理!$F$5="下落▼",IF(AND(AD24="パーフェクト▲",OR(AE24="25日線押し目●",AE24="5日線押し目○")),"★逆張り候補",IF(AND(AD24="上昇トレンド▲",OR(AE24="25日線押し目●",AE24="5日線押し目○")),"○逆張り候補",IF(W24&lt;=30,IF(Z24&gt;0,"◎反発確認",IF(Z24&lt;-5,"△要注意・様子見","△売られ過ぎ注目")),"相場下落・見送り"))),IF(AND(T24&gt;=12,AD24="パーフェクト▲"),"★強い買い",IF(AND(T24&gt;=12,AD24="上昇トレンド▲"),"★強い買い",IF(AND(T24&gt;=8,OR(AE24="25日線押し目●",AE24="5日線押し目○")),"◎押し目買い",IF(T24&gt;=10,"○買い候補",IF(T24&gt;=6,"△注目",IF(T24&gt;=3,"様子見","見送り"))))))))</f>
        <v/>
      </c>
      <c r="Z24" s="616">
        <f>IF(AND(E24&lt;&gt;"",G24&lt;&gt;"",G24&lt;&gt;0),(E24-G24)/G24*100,"")</f>
        <v/>
      </c>
      <c r="AA24" s="176">
        <f>IF(OR(C24="",E24="",E24=0),"",IF(E24&gt;G24,"上昇▲",IF(E24&lt;G24,"下落▼","横ばい→")))</f>
        <v/>
      </c>
      <c r="AB24" s="438">
        <f>IF(C24="","",IFERROR(((終値!E26*0.333)+(終値!F26*0.222)+(終値!G26*0.148)+(終値!H26*0.099)+(終値!I26*0.066)+(終値!J26*0.044)+(終値!K26*0.029)+(終値!L26*0.019)+(終値!M26*0.013)+(終値!N26*0.009))/(0.333+0.222+0.148+0.099+0.066+0.044+0.029+0.019+0.013+0.009),""))</f>
        <v/>
      </c>
      <c r="AC24" s="438">
        <f>IF(C24="","",IFERROR(SUMPRODUCT((終値!E26:AC26)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4" s="439">
        <f>IF(OR(C24="",AB24="",AC24=""),"",IF(AND(E24&gt;AB24,AB24&gt;AC24),"パーフェクト▲",IF(E24&gt;AC24,"上昇トレンド▲",IF(AND(E24&lt;AB24,AB24&lt;AC24),"下降トレンド▼","もみ合い→"))))</f>
        <v/>
      </c>
      <c r="AE24" s="439">
        <f>IF(OR(C24="",AB24="",AC24=""),"",IF(AND(ABS(E24-AC24)/AC24&lt;=0.02,E24&gt;AC24),"25日押し目★",IF(AND(ABS(E24-AB24)/AB24&lt;=0.01,E24&gt;AB24),"5日押し目○","なし")))</f>
        <v/>
      </c>
      <c r="AF24" s="617">
        <f t="array" ref="AF24">IF(C24="","",IFERROR((INDEX(終値!$E:$E,MATCH(TEXT(C24,"0"),終値!$A:$A,0))-INDEX(終値!$E:$BL,MATCH(TEXT(C24,"0"),終値!$A:$A,0),$AL$2))/INDEX(終値!$E:$BL,MATCH(TEXT(C24,"0"),終値!$A:$A,0),$AL$2)*100,""))</f>
        <v/>
      </c>
      <c r="AG24" s="617">
        <f t="array" ref="AG24">IFERROR((終値!$E$5-INDEX(終値!$E$5:$BL$5,1,$AL$2))/INDEX(終値!$E$5:$BL$5,1,$AL$2)*100,"")</f>
        <v/>
      </c>
      <c r="AH24" s="618">
        <f>IF(OR(AF24="",AG24=""),"",AF24-AG24)</f>
        <v/>
      </c>
      <c r="AI24" s="385">
        <f>IF(AH24="","",IF(AH24&gt;5,3,IF(AH24&gt;0,1,IF(AH24&gt;-3,-1,-2))))</f>
        <v/>
      </c>
    </row>
    <row r="25" ht="18" customFormat="1" customHeight="1" s="187">
      <c r="A25" s="176">
        <f>IF(銘柄管理!B111&lt;&gt;"",HYPERLINK("https://kabutan.jp/stock/?code="&amp;銘柄管理!B111,"株探"),"")</f>
        <v/>
      </c>
      <c r="B25" s="177" t="n"/>
      <c r="C25" s="178">
        <f>IF(銘柄管理!B111="","",銘柄管理!B111)</f>
        <v/>
      </c>
      <c r="D25" s="106">
        <f>IF(銘柄管理!C111="","",銘柄管理!C111)</f>
        <v/>
      </c>
      <c r="E25" s="179">
        <f>IF(C25&lt;&gt;"",_xll.RssMarket(C25,"現在値"),"")</f>
        <v/>
      </c>
      <c r="F25" s="179">
        <f>IF(C25&lt;&gt;"",_xll.RssMarket(C25,"始値"),"")</f>
        <v/>
      </c>
      <c r="G25" s="178">
        <f>IF(C25&lt;&gt;"",終値!F111,"")</f>
        <v/>
      </c>
      <c r="H25" s="179">
        <f>IF(C25&lt;&gt;"",_xll.RssMarket(C25,"高値"),"")</f>
        <v/>
      </c>
      <c r="I25" s="179">
        <f>IF(C25&lt;&gt;"",_xll.RssMarket(C25,"安値"),"")</f>
        <v/>
      </c>
      <c r="J25" s="179">
        <f>IF(C25&lt;&gt;"",_xll.RssMarket(C25,"出来高"),"")</f>
        <v/>
      </c>
      <c r="K25" s="179">
        <f>IF(C25&lt;&gt;"",_xll.RssMarket(C25,"年初来高値"),"")</f>
        <v/>
      </c>
      <c r="L25" s="613">
        <f>IF(AND(E25&lt;&gt;"",K25&lt;&gt;"",K25&lt;&gt;0),(E25-K25)/K25*100,"")</f>
        <v/>
      </c>
      <c r="M25" s="179">
        <f>IF(C25&lt;&gt;"",IFERROR(AVERAGE(出来高!E111:I111),""),"")</f>
        <v/>
      </c>
      <c r="N25" s="179">
        <f>IF(C25&lt;&gt;"",IFERROR(AVERAGE(出来高!E111:AC111),""),"")</f>
        <v/>
      </c>
      <c r="O25" s="614">
        <f>IF(AND(J25&lt;&gt;"",M25&lt;&gt;"",M25&lt;&gt;0),J25/M25,"")</f>
        <v/>
      </c>
      <c r="P25" s="176">
        <f>IF(O25="","",IF(O25&gt;=2,"急増↑↑",IF(O25&gt;=1.5,"増加↑",IF(O25&gt;=1,"普通→","減少↓"))))</f>
        <v/>
      </c>
      <c r="Q25" s="176">
        <f>IF(E25="","",IF(AND(E25&gt;G25,O25&gt;=1.5),"買い▲",IF(E25&lt;G25,"様子見▼","中立→")))</f>
        <v/>
      </c>
      <c r="R25" s="179">
        <f>IF(E25&lt;&gt;"",ROUND(E25*1.08,0),"")</f>
        <v/>
      </c>
      <c r="S25" s="179">
        <f>IF(E25&lt;&gt;"",ROUND(E25*0.96,0),"")</f>
        <v/>
      </c>
      <c r="T25" s="176">
        <f>IF(C25="","",IFERROR(IF(O25&gt;=2,3,IF(O25&gt;=1.5,2,IF(O25&gt;=1,1,0)))+IF(E25&gt;G25,1,0)+IF(L25&gt;=-5,1,0)+IF(Q25="買い▲",2,0)+IF(W25&lt;=30,3,IF(W25&lt;=40,2,IF(AND(W25&gt;=40,W25&lt;=60),1,0)))+IF(X25&gt;0,1,0)+IF(V25="年初来高値更新●",3,IF(V25="高値圏",2,0))+IF(AD25="パーフェクト▲",3,IF(AD25="上昇トレンド▲",2,0))+IF(AE25="25日線押し目●",2,IF(AE25="5日線押し目○",1,0))+IF(P25="急増↑↑",2,IF(P25="増加↑",1,0))+N(AI25),0))</f>
        <v/>
      </c>
      <c r="U25" s="176">
        <f>IF(T25="","",IF(AND(T25&gt;=3,O25&gt;=1.5),"有効",IF(T25&gt;=3,"要確認","除外")))</f>
        <v/>
      </c>
      <c r="V25" s="176">
        <f>IF(AND(H25&lt;&gt;"",K25&lt;&gt;""),IF(H25&gt;=K25,"年初来高値更新●",IF(H25&gt;=K25*0.95,"高値圏","通常")),"")</f>
        <v/>
      </c>
      <c r="W25" s="615">
        <f t="array" ref="W25">IF(C25&lt;&gt;"",IFERROR(100-100/(1+SUMPRODUCT((終値!F111:R111&gt;終値!G111:S111)*( 終値!F111:R111-終値!G111:S111))/SUMPRODUCT((終値!F111:R111&lt;終値!G111:S111)*(終値!G111:S111-終値!F111:R111))),50),"")</f>
        <v/>
      </c>
      <c r="X25" s="183">
        <f>IF(C25&lt;&gt;"",IFERROR(SUMPRODUCT(終値!E111:P111,{0.154,0.132,0.113,0.097,0.083,0.071,0.061,0.052,0.045,0.038,0.033,0.028})/SUMPRODUCT({0.154,0.132,0.113,0.097,0.083,0.071,0.061,0.052,0.045,0.038,0.033,0.028})-SUMPRODUCT(終値!E111:AD111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5" s="570">
        <f>IF(T25="","",IF(銘柄管理!$F$5="下落▼",IF(AND(AD25="パーフェクト▲",OR(AE25="25日線押し目●",AE25="5日線押し目○")),"★逆張り候補",IF(AND(AD25="上昇トレンド▲",OR(AE25="25日線押し目●",AE25="5日線押し目○")),"○逆張り候補",IF(W25&lt;=30,IF(Z25&gt;0,"◎反発確認",IF(Z25&lt;-5,"△要注意・様子見","△売られ過ぎ注目")),"相場下落・見送り"))),IF(AND(T25&gt;=12,AD25="パーフェクト▲"),"★強い買い",IF(AND(T25&gt;=12,AD25="上昇トレンド▲"),"★強い買い",IF(AND(T25&gt;=8,OR(AE25="25日線押し目●",AE25="5日線押し目○")),"◎押し目買い",IF(T25&gt;=10,"○買い候補",IF(T25&gt;=6,"△注目",IF(T25&gt;=3,"様子見","見送り"))))))))</f>
        <v/>
      </c>
      <c r="Z25" s="616">
        <f>IF(AND(E25&lt;&gt;"",G25&lt;&gt;"",G25&lt;&gt;0),(E25-G25)/G25*100,"")</f>
        <v/>
      </c>
      <c r="AA25" s="176">
        <f>IF(OR(C25="",E25="",E25=0),"",IF(E25&gt;G25,"上昇▲",IF(E25&lt;G25,"下落▼","横ばい→")))</f>
        <v/>
      </c>
      <c r="AB25" s="440">
        <f>IF(C25="","",IFERROR(((終値!E27*0.333)+(終値!F27*0.222)+(終値!G27*0.148)+(終値!H27*0.099)+(終値!I27*0.066)+(終値!J27*0.044)+(終値!K27*0.029)+(終値!L27*0.019)+(終値!M27*0.013)+(終値!N27*0.009))/(0.333+0.222+0.148+0.099+0.066+0.044+0.029+0.019+0.013+0.009),""))</f>
        <v/>
      </c>
      <c r="AC25" s="440">
        <f>IF(C25="","",IFERROR(SUMPRODUCT((終値!E27:AC27)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5" s="441">
        <f>IF(OR(C25="",AB25="",AC25=""),"",IF(AND(E25&gt;AB25,AB25&gt;AC25),"パーフェクト▲",IF(E25&gt;AC25,"上昇トレンド▲",IF(AND(E25&lt;AB25,AB25&lt;AC25),"下降トレンド▼","もみ合い→"))))</f>
        <v/>
      </c>
      <c r="AE25" s="441">
        <f>IF(OR(C25="",AB25="",AC25=""),"",IF(AND(ABS(E25-AC25)/AC25&lt;=0.02,E25&gt;AC25),"25日押し目★",IF(AND(ABS(E25-AB25)/AB25&lt;=0.01,E25&gt;AB25),"5日押し目○","なし")))</f>
        <v/>
      </c>
      <c r="AF25" s="617">
        <f t="array" ref="AF25">IF(C25="","",IFERROR((INDEX(終値!$E:$E,MATCH(TEXT(C25,"0"),終値!$A:$A,0))-INDEX(終値!$E:$BL,MATCH(TEXT(C25,"0"),終値!$A:$A,0),$AL$2))/INDEX(終値!$E:$BL,MATCH(TEXT(C25,"0"),終値!$A:$A,0),$AL$2)*100,""))</f>
        <v/>
      </c>
      <c r="AG25" s="617">
        <f t="array" ref="AG25">IFERROR((終値!$E$5-INDEX(終値!$E$5:$BL$5,1,$AL$2))/INDEX(終値!$E$5:$BL$5,1,$AL$2)*100,"")</f>
        <v/>
      </c>
      <c r="AH25" s="618">
        <f>IF(OR(AF25="",AG25=""),"",AF25-AG25)</f>
        <v/>
      </c>
      <c r="AI25" s="385">
        <f>IF(AH25="","",IF(AH25&gt;5,3,IF(AH25&gt;0,1,IF(AH25&gt;-3,-1,-2))))</f>
        <v/>
      </c>
    </row>
    <row r="26" ht="18" customFormat="1" customHeight="1" s="187">
      <c r="A26" s="176">
        <f>IF(銘柄管理!B74&lt;&gt;"",HYPERLINK("https://kabutan.jp/stock/?code="&amp;銘柄管理!B74,"株探"),"")</f>
        <v/>
      </c>
      <c r="B26" s="177" t="n"/>
      <c r="C26" s="178">
        <f>IF(銘柄管理!B74="","",銘柄管理!B74)</f>
        <v/>
      </c>
      <c r="D26" s="106">
        <f>IF(銘柄管理!C74="","",銘柄管理!C74)</f>
        <v/>
      </c>
      <c r="E26" s="179">
        <f>IF(C26&lt;&gt;"",_xll.RssMarket(C26,"現在値"),"")</f>
        <v/>
      </c>
      <c r="F26" s="179">
        <f>IF(C26&lt;&gt;"",_xll.RssMarket(C26,"始値"),"")</f>
        <v/>
      </c>
      <c r="G26" s="178">
        <f>IF(C26&lt;&gt;"",終値!F74,"")</f>
        <v/>
      </c>
      <c r="H26" s="179">
        <f>IF(C26&lt;&gt;"",_xll.RssMarket(C26,"高値"),"")</f>
        <v/>
      </c>
      <c r="I26" s="179">
        <f>IF(C26&lt;&gt;"",_xll.RssMarket(C26,"安値"),"")</f>
        <v/>
      </c>
      <c r="J26" s="179">
        <f>IF(C26&lt;&gt;"",_xll.RssMarket(C26,"出来高"),"")</f>
        <v/>
      </c>
      <c r="K26" s="179">
        <f>IF(C26&lt;&gt;"",_xll.RssMarket(C26,"年初来高値"),"")</f>
        <v/>
      </c>
      <c r="L26" s="613">
        <f>IF(AND(E26&lt;&gt;"",K26&lt;&gt;"",K26&lt;&gt;0),(E26-K26)/K26*100,"")</f>
        <v/>
      </c>
      <c r="M26" s="179">
        <f>IF(C26&lt;&gt;"",IFERROR(AVERAGE(出来高!E74:I74),""),"")</f>
        <v/>
      </c>
      <c r="N26" s="179">
        <f>IF(C26&lt;&gt;"",IFERROR(AVERAGE(出来高!E74:AC74),""),"")</f>
        <v/>
      </c>
      <c r="O26" s="614">
        <f>IF(AND(J26&lt;&gt;"",M26&lt;&gt;"",M26&lt;&gt;0),J26/M26,"")</f>
        <v/>
      </c>
      <c r="P26" s="176">
        <f>IF(O26="","",IF(O26&gt;=2,"急増↑↑",IF(O26&gt;=1.5,"増加↑",IF(O26&gt;=1,"普通→","減少↓"))))</f>
        <v/>
      </c>
      <c r="Q26" s="176">
        <f>IF(E26="","",IF(AND(E26&gt;G26,O26&gt;=1.5),"買い▲",IF(E26&lt;G26,"様子見▼","中立→")))</f>
        <v/>
      </c>
      <c r="R26" s="179">
        <f>IF(E26&lt;&gt;"",ROUND(E26*1.08,0),"")</f>
        <v/>
      </c>
      <c r="S26" s="179">
        <f>IF(E26&lt;&gt;"",ROUND(E26*0.96,0),"")</f>
        <v/>
      </c>
      <c r="T26" s="176">
        <f>IF(C26="","",IFERROR(IF(O26&gt;=2,3,IF(O26&gt;=1.5,2,IF(O26&gt;=1,1,0)))+IF(E26&gt;G26,1,0)+IF(L26&gt;=-5,1,0)+IF(Q26="買い▲",2,0)+IF(W26&lt;=30,3,IF(W26&lt;=40,2,IF(AND(W26&gt;=40,W26&lt;=60),1,0)))+IF(X26&gt;0,1,0)+IF(V26="年初来高値更新●",3,IF(V26="高値圏",2,0))+IF(AD26="パーフェクト▲",3,IF(AD26="上昇トレンド▲",2,0))+IF(AE26="25日線押し目●",2,IF(AE26="5日線押し目○",1,0))+IF(P26="急増↑↑",2,IF(P26="増加↑",1,0))+N(AI26),0))</f>
        <v/>
      </c>
      <c r="U26" s="176">
        <f>IF(T26="","",IF(AND(T26&gt;=3,O26&gt;=1.5),"有効",IF(T26&gt;=3,"要確認","除外")))</f>
        <v/>
      </c>
      <c r="V26" s="176">
        <f>IF(AND(H26&lt;&gt;"",K26&lt;&gt;""),IF(H26&gt;=K26,"年初来高値更新●",IF(H26&gt;=K26*0.95,"高値圏","通常")),"")</f>
        <v/>
      </c>
      <c r="W26" s="615">
        <f t="array" ref="W26">IF(C26&lt;&gt;"",IFERROR(100-100/(1+SUMPRODUCT((終値!F74:R74&gt;終値!G74:S74)*( 終値!F74:R74-終値!G74:S74))/SUMPRODUCT((終値!F74:R74&lt;終値!G74:S74)*(終値!G74:S74-終値!F74:R74))),50),"")</f>
        <v/>
      </c>
      <c r="X26" s="183">
        <f>IF(C26&lt;&gt;"",IFERROR(SUMPRODUCT(終値!E74:P74,{0.154,0.132,0.113,0.097,0.083,0.071,0.061,0.052,0.045,0.038,0.033,0.028})/SUMPRODUCT({0.154,0.132,0.113,0.097,0.083,0.071,0.061,0.052,0.045,0.038,0.033,0.028})-SUMPRODUCT(終値!E74:AD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6" s="570">
        <f>IF(T26="","",IF(銘柄管理!$F$5="下落▼",IF(AND(AD26="パーフェクト▲",OR(AE26="25日線押し目●",AE26="5日線押し目○")),"★逆張り候補",IF(AND(AD26="上昇トレンド▲",OR(AE26="25日線押し目●",AE26="5日線押し目○")),"○逆張り候補",IF(W26&lt;=30,IF(Z26&gt;0,"◎反発確認",IF(Z26&lt;-5,"△要注意・様子見","△売られ過ぎ注目")),"相場下落・見送り"))),IF(AND(T26&gt;=12,AD26="パーフェクト▲"),"★強い買い",IF(AND(T26&gt;=12,AD26="上昇トレンド▲"),"★強い買い",IF(AND(T26&gt;=8,OR(AE26="25日線押し目●",AE26="5日線押し目○")),"◎押し目買い",IF(T26&gt;=10,"○買い候補",IF(T26&gt;=6,"△注目",IF(T26&gt;=3,"様子見","見送り"))))))))</f>
        <v/>
      </c>
      <c r="Z26" s="616">
        <f>IF(AND(E26&lt;&gt;"",G26&lt;&gt;"",G26&lt;&gt;0),(E26-G26)/G26*100,"")</f>
        <v/>
      </c>
      <c r="AA26" s="176">
        <f>IF(OR(C26="",E26="",E26=0),"",IF(E26&gt;G26,"上昇▲",IF(E26&lt;G26,"下落▼","横ばい→")))</f>
        <v/>
      </c>
      <c r="AB26" s="438">
        <f>IF(C26="","",IFERROR(((終値!E28*0.333)+(終値!F28*0.222)+(終値!G28*0.148)+(終値!H28*0.099)+(終値!I28*0.066)+(終値!J28*0.044)+(終値!K28*0.029)+(終値!L28*0.019)+(終値!M28*0.013)+(終値!N28*0.009))/(0.333+0.222+0.148+0.099+0.066+0.044+0.029+0.019+0.013+0.009),""))</f>
        <v/>
      </c>
      <c r="AC26" s="438">
        <f>IF(C26="","",IFERROR(SUMPRODUCT((終値!E28:AC28)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6" s="439">
        <f>IF(OR(C26="",AB26="",AC26=""),"",IF(AND(E26&gt;AB26,AB26&gt;AC26),"パーフェクト▲",IF(E26&gt;AC26,"上昇トレンド▲",IF(AND(E26&lt;AB26,AB26&lt;AC26),"下降トレンド▼","もみ合い→"))))</f>
        <v/>
      </c>
      <c r="AE26" s="439">
        <f>IF(OR(C26="",AB26="",AC26=""),"",IF(AND(ABS(E26-AC26)/AC26&lt;=0.02,E26&gt;AC26),"25日押し目★",IF(AND(ABS(E26-AB26)/AB26&lt;=0.01,E26&gt;AB26),"5日押し目○","なし")))</f>
        <v/>
      </c>
      <c r="AF26" s="617">
        <f t="array" ref="AF26">IF(C26="","",IFERROR((INDEX(終値!$E:$E,MATCH(TEXT(C26,"0"),終値!$A:$A,0))-INDEX(終値!$E:$BL,MATCH(TEXT(C26,"0"),終値!$A:$A,0),$AL$2))/INDEX(終値!$E:$BL,MATCH(TEXT(C26,"0"),終値!$A:$A,0),$AL$2)*100,""))</f>
        <v/>
      </c>
      <c r="AG26" s="617">
        <f t="array" ref="AG26">IFERROR((終値!$E$5-INDEX(終値!$E$5:$BL$5,1,$AL$2))/INDEX(終値!$E$5:$BL$5,1,$AL$2)*100,"")</f>
        <v/>
      </c>
      <c r="AH26" s="618">
        <f>IF(OR(AF26="",AG26=""),"",AF26-AG26)</f>
        <v/>
      </c>
      <c r="AI26" s="385">
        <f>IF(AH26="","",IF(AH26&gt;5,3,IF(AH26&gt;0,1,IF(AH26&gt;-3,-1,-2))))</f>
        <v/>
      </c>
    </row>
    <row r="27" ht="18" customFormat="1" customHeight="1" s="187">
      <c r="A27" s="176">
        <f>IF(銘柄管理!B206&lt;&gt;"",HYPERLINK("https://kabutan.jp/stock/?code="&amp;銘柄管理!B206,"株探"),"")</f>
        <v/>
      </c>
      <c r="B27" s="177" t="n"/>
      <c r="C27" s="178">
        <f>IF(銘柄管理!B206="","",銘柄管理!B206)</f>
        <v/>
      </c>
      <c r="D27" s="106">
        <f>IF(銘柄管理!C206="","",銘柄管理!C206)</f>
        <v/>
      </c>
      <c r="E27" s="179">
        <f>IF(C27&lt;&gt;"",_xll.RssMarket(C27,"現在値"),"")</f>
        <v/>
      </c>
      <c r="F27" s="179">
        <f>IF(C27&lt;&gt;"",_xll.RssMarket(C27,"始値"),"")</f>
        <v/>
      </c>
      <c r="G27" s="178">
        <f>IF(C27&lt;&gt;"",終値!F206,"")</f>
        <v/>
      </c>
      <c r="H27" s="179">
        <f>IF(C27&lt;&gt;"",_xll.RssMarket(C27,"高値"),"")</f>
        <v/>
      </c>
      <c r="I27" s="179">
        <f>IF(C27&lt;&gt;"",_xll.RssMarket(C27,"安値"),"")</f>
        <v/>
      </c>
      <c r="J27" s="179">
        <f>IF(C27&lt;&gt;"",_xll.RssMarket(C27,"出来高"),"")</f>
        <v/>
      </c>
      <c r="K27" s="179">
        <f>IF(C27&lt;&gt;"",_xll.RssMarket(C27,"年初来高値"),"")</f>
        <v/>
      </c>
      <c r="L27" s="613">
        <f>IF(AND(E27&lt;&gt;"",K27&lt;&gt;"",K27&lt;&gt;0),(E27-K27)/K27*100,"")</f>
        <v/>
      </c>
      <c r="M27" s="179">
        <f>IF(C27&lt;&gt;"",IFERROR(AVERAGE(出来高!E206:I206),""),"")</f>
        <v/>
      </c>
      <c r="N27" s="179">
        <f>IF(C27&lt;&gt;"",IFERROR(AVERAGE(出来高!E206:AC206),""),"")</f>
        <v/>
      </c>
      <c r="O27" s="614">
        <f>IF(AND(J27&lt;&gt;"",M27&lt;&gt;"",M27&lt;&gt;0),J27/M27,"")</f>
        <v/>
      </c>
      <c r="P27" s="176">
        <f>IF(O27="","",IF(O27&gt;=2,"急増↑↑",IF(O27&gt;=1.5,"増加↑",IF(O27&gt;=1,"普通→","減少↓"))))</f>
        <v/>
      </c>
      <c r="Q27" s="176">
        <f>IF(E27="","",IF(AND(E27&gt;G27,O27&gt;=1.5),"買い▲",IF(E27&lt;G27,"様子見▼","中立→")))</f>
        <v/>
      </c>
      <c r="R27" s="179">
        <f>IF(E27&lt;&gt;"",ROUND(E27*1.08,0),"")</f>
        <v/>
      </c>
      <c r="S27" s="179">
        <f>IF(E27&lt;&gt;"",ROUND(E27*0.96,0),"")</f>
        <v/>
      </c>
      <c r="T27" s="176">
        <f>IF(C27="","",IFERROR(IF(O27&gt;=2,3,IF(O27&gt;=1.5,2,IF(O27&gt;=1,1,0)))+IF(E27&gt;G27,1,0)+IF(L27&gt;=-5,1,0)+IF(Q27="買い▲",2,0)+IF(W27&lt;=30,3,IF(W27&lt;=40,2,IF(AND(W27&gt;=40,W27&lt;=60),1,0)))+IF(X27&gt;0,1,0)+IF(V27="年初来高値更新●",3,IF(V27="高値圏",2,0))+IF(AD27="パーフェクト▲",3,IF(AD27="上昇トレンド▲",2,0))+IF(AE27="25日線押し目●",2,IF(AE27="5日線押し目○",1,0))+IF(P27="急増↑↑",2,IF(P27="増加↑",1,0))+N(AI27),0))</f>
        <v/>
      </c>
      <c r="U27" s="176">
        <f>IF(T27="","",IF(AND(T27&gt;=3,O27&gt;=1.5),"有効",IF(T27&gt;=3,"要確認","除外")))</f>
        <v/>
      </c>
      <c r="V27" s="176">
        <f>IF(AND(H27&lt;&gt;"",K27&lt;&gt;""),IF(H27&gt;=K27,"年初来高値更新●",IF(H27&gt;=K27*0.95,"高値圏","通常")),"")</f>
        <v/>
      </c>
      <c r="W27" s="615">
        <f t="array" ref="W27">IF(C27&lt;&gt;"",IFERROR(100-100/(1+SUMPRODUCT((終値!F206:R206&gt;終値!G206:S206)*( 終値!F206:R206-終値!G206:S206))/SUMPRODUCT((終値!F206:R206&lt;終値!G206:S206)*(終値!G206:S206-終値!F206:R206))),50),"")</f>
        <v/>
      </c>
      <c r="X27" s="183">
        <f>IF(C27&lt;&gt;"",IFERROR(SUMPRODUCT(終値!E206:P206,{0.154,0.132,0.113,0.097,0.083,0.071,0.061,0.052,0.045,0.038,0.033,0.028})/SUMPRODUCT({0.154,0.132,0.113,0.097,0.083,0.071,0.061,0.052,0.045,0.038,0.033,0.028})-SUMPRODUCT(終値!E206:AD206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7" s="570">
        <f>IF(T27="","",IF(銘柄管理!$F$5="下落▼",IF(AND(AD27="パーフェクト▲",OR(AE27="25日線押し目●",AE27="5日線押し目○")),"★逆張り候補",IF(AND(AD27="上昇トレンド▲",OR(AE27="25日線押し目●",AE27="5日線押し目○")),"○逆張り候補",IF(W27&lt;=30,IF(Z27&gt;0,"◎反発確認",IF(Z27&lt;-5,"△要注意・様子見","△売られ過ぎ注目")),"相場下落・見送り"))),IF(AND(T27&gt;=12,AD27="パーフェクト▲"),"★強い買い",IF(AND(T27&gt;=12,AD27="上昇トレンド▲"),"★強い買い",IF(AND(T27&gt;=8,OR(AE27="25日線押し目●",AE27="5日線押し目○")),"◎押し目買い",IF(T27&gt;=10,"○買い候補",IF(T27&gt;=6,"△注目",IF(T27&gt;=3,"様子見","見送り"))))))))</f>
        <v/>
      </c>
      <c r="Z27" s="616">
        <f>IF(AND(E27&lt;&gt;"",G27&lt;&gt;"",G27&lt;&gt;0),(E27-G27)/G27*100,"")</f>
        <v/>
      </c>
      <c r="AA27" s="176">
        <f>IF(OR(C27="",E27="",E27=0),"",IF(E27&gt;G27,"上昇▲",IF(E27&lt;G27,"下落▼","横ばい→")))</f>
        <v/>
      </c>
      <c r="AB27" s="440">
        <f>IF(C27="","",IFERROR(((終値!E29*0.333)+(終値!F29*0.222)+(終値!G29*0.148)+(終値!H29*0.099)+(終値!I29*0.066)+(終値!J29*0.044)+(終値!K29*0.029)+(終値!L29*0.019)+(終値!M29*0.013)+(終値!N29*0.009))/(0.333+0.222+0.148+0.099+0.066+0.044+0.029+0.019+0.013+0.009),""))</f>
        <v/>
      </c>
      <c r="AC27" s="440">
        <f>IF(C27="","",IFERROR(SUMPRODUCT((終値!E29:AC29)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7" s="441">
        <f>IF(OR(C27="",AB27="",AC27=""),"",IF(AND(E27&gt;AB27,AB27&gt;AC27),"パーフェクト▲",IF(E27&gt;AC27,"上昇トレンド▲",IF(AND(E27&lt;AB27,AB27&lt;AC27),"下降トレンド▼","もみ合い→"))))</f>
        <v/>
      </c>
      <c r="AE27" s="441">
        <f>IF(OR(C27="",AB27="",AC27=""),"",IF(AND(ABS(E27-AC27)/AC27&lt;=0.02,E27&gt;AC27),"25日押し目★",IF(AND(ABS(E27-AB27)/AB27&lt;=0.01,E27&gt;AB27),"5日押し目○","なし")))</f>
        <v/>
      </c>
      <c r="AF27" s="617">
        <f t="array" ref="AF27">IF(C27="","",IFERROR((INDEX(終値!$E:$E,MATCH(TEXT(C27,"0"),終値!$A:$A,0))-INDEX(終値!$E:$BL,MATCH(TEXT(C27,"0"),終値!$A:$A,0),$AL$2))/INDEX(終値!$E:$BL,MATCH(TEXT(C27,"0"),終値!$A:$A,0),$AL$2)*100,""))</f>
        <v/>
      </c>
      <c r="AG27" s="617">
        <f t="array" ref="AG27">IFERROR((終値!$E$5-INDEX(終値!$E$5:$BL$5,1,$AL$2))/INDEX(終値!$E$5:$BL$5,1,$AL$2)*100,"")</f>
        <v/>
      </c>
      <c r="AH27" s="618">
        <f>IF(OR(AF27="",AG27=""),"",AF27-AG27)</f>
        <v/>
      </c>
      <c r="AI27" s="385">
        <f>IF(AH27="","",IF(AH27&gt;5,3,IF(AH27&gt;0,1,IF(AH27&gt;-3,-1,-2))))</f>
        <v/>
      </c>
    </row>
    <row r="28" ht="18" customFormat="1" customHeight="1" s="187">
      <c r="A28" s="176">
        <f>IF(銘柄管理!B110&lt;&gt;"",HYPERLINK("https://kabutan.jp/stock/?code="&amp;銘柄管理!B110,"株探"),"")</f>
        <v/>
      </c>
      <c r="B28" s="177" t="n"/>
      <c r="C28" s="178">
        <f>IF(銘柄管理!B110="","",銘柄管理!B110)</f>
        <v/>
      </c>
      <c r="D28" s="106">
        <f>IF(銘柄管理!C110="","",銘柄管理!C110)</f>
        <v/>
      </c>
      <c r="E28" s="179">
        <f>IF(C28&lt;&gt;"",_xll.RssMarket(C28,"現在値"),"")</f>
        <v/>
      </c>
      <c r="F28" s="179">
        <f>IF(C28&lt;&gt;"",_xll.RssMarket(C28,"始値"),"")</f>
        <v/>
      </c>
      <c r="G28" s="178">
        <f>IF(C28&lt;&gt;"",終値!F110,"")</f>
        <v/>
      </c>
      <c r="H28" s="179">
        <f>IF(C28&lt;&gt;"",_xll.RssMarket(C28,"高値"),"")</f>
        <v/>
      </c>
      <c r="I28" s="179">
        <f>IF(C28&lt;&gt;"",_xll.RssMarket(C28,"安値"),"")</f>
        <v/>
      </c>
      <c r="J28" s="179">
        <f>IF(C28&lt;&gt;"",_xll.RssMarket(C28,"出来高"),"")</f>
        <v/>
      </c>
      <c r="K28" s="179">
        <f>IF(C28&lt;&gt;"",_xll.RssMarket(C28,"年初来高値"),"")</f>
        <v/>
      </c>
      <c r="L28" s="613">
        <f>IF(AND(E28&lt;&gt;"",K28&lt;&gt;"",K28&lt;&gt;0),(E28-K28)/K28*100,"")</f>
        <v/>
      </c>
      <c r="M28" s="179">
        <f>IF(C28&lt;&gt;"",IFERROR(AVERAGE(出来高!E110:I110),""),"")</f>
        <v/>
      </c>
      <c r="N28" s="179">
        <f>IF(C28&lt;&gt;"",IFERROR(AVERAGE(出来高!E110:AC110),""),"")</f>
        <v/>
      </c>
      <c r="O28" s="614">
        <f>IF(AND(J28&lt;&gt;"",M28&lt;&gt;"",M28&lt;&gt;0),J28/M28,"")</f>
        <v/>
      </c>
      <c r="P28" s="176">
        <f>IF(O28="","",IF(O28&gt;=2,"急増↑↑",IF(O28&gt;=1.5,"増加↑",IF(O28&gt;=1,"普通→","減少↓"))))</f>
        <v/>
      </c>
      <c r="Q28" s="176">
        <f>IF(E28="","",IF(AND(E28&gt;G28,O28&gt;=1.5),"買い▲",IF(E28&lt;G28,"様子見▼","中立→")))</f>
        <v/>
      </c>
      <c r="R28" s="179">
        <f>IF(E28&lt;&gt;"",ROUND(E28*1.08,0),"")</f>
        <v/>
      </c>
      <c r="S28" s="179">
        <f>IF(E28&lt;&gt;"",ROUND(E28*0.96,0),"")</f>
        <v/>
      </c>
      <c r="T28" s="176">
        <f>IF(C28="","",IFERROR(IF(O28&gt;=2,3,IF(O28&gt;=1.5,2,IF(O28&gt;=1,1,0)))+IF(E28&gt;G28,1,0)+IF(L28&gt;=-5,1,0)+IF(Q28="買い▲",2,0)+IF(W28&lt;=30,3,IF(W28&lt;=40,2,IF(AND(W28&gt;=40,W28&lt;=60),1,0)))+IF(X28&gt;0,1,0)+IF(V28="年初来高値更新●",3,IF(V28="高値圏",2,0))+IF(AD28="パーフェクト▲",3,IF(AD28="上昇トレンド▲",2,0))+IF(AE28="25日線押し目●",2,IF(AE28="5日線押し目○",1,0))+IF(P28="急増↑↑",2,IF(P28="増加↑",1,0))+N(AI28),0))</f>
        <v/>
      </c>
      <c r="U28" s="176">
        <f>IF(T28="","",IF(AND(T28&gt;=3,O28&gt;=1.5),"有効",IF(T28&gt;=3,"要確認","除外")))</f>
        <v/>
      </c>
      <c r="V28" s="176">
        <f>IF(AND(H28&lt;&gt;"",K28&lt;&gt;""),IF(H28&gt;=K28,"年初来高値更新●",IF(H28&gt;=K28*0.95,"高値圏","通常")),"")</f>
        <v/>
      </c>
      <c r="W28" s="615">
        <f t="array" ref="W28">IF(C28&lt;&gt;"",IFERROR(100-100/(1+SUMPRODUCT((終値!F110:R110&gt;終値!G110:S110)*( 終値!F110:R110-終値!G110:S110))/SUMPRODUCT((終値!F110:R110&lt;終値!G110:S110)*(終値!G110:S110-終値!F110:R110))),50),"")</f>
        <v/>
      </c>
      <c r="X28" s="183">
        <f>IF(C28&lt;&gt;"",IFERROR(SUMPRODUCT(終値!E110:P110,{0.154,0.132,0.113,0.097,0.083,0.071,0.061,0.052,0.045,0.038,0.033,0.028})/SUMPRODUCT({0.154,0.132,0.113,0.097,0.083,0.071,0.061,0.052,0.045,0.038,0.033,0.028})-SUMPRODUCT(終値!E110:AD110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8" s="570">
        <f>IF(T28="","",IF(銘柄管理!$F$5="下落▼",IF(AND(AD28="パーフェクト▲",OR(AE28="25日線押し目●",AE28="5日線押し目○")),"★逆張り候補",IF(AND(AD28="上昇トレンド▲",OR(AE28="25日線押し目●",AE28="5日線押し目○")),"○逆張り候補",IF(W28&lt;=30,IF(Z28&gt;0,"◎反発確認",IF(Z28&lt;-5,"△要注意・様子見","△売られ過ぎ注目")),"相場下落・見送り"))),IF(AND(T28&gt;=12,AD28="パーフェクト▲"),"★強い買い",IF(AND(T28&gt;=12,AD28="上昇トレンド▲"),"★強い買い",IF(AND(T28&gt;=8,OR(AE28="25日線押し目●",AE28="5日線押し目○")),"◎押し目買い",IF(T28&gt;=10,"○買い候補",IF(T28&gt;=6,"△注目",IF(T28&gt;=3,"様子見","見送り"))))))))</f>
        <v/>
      </c>
      <c r="Z28" s="616">
        <f>IF(AND(E28&lt;&gt;"",G28&lt;&gt;"",G28&lt;&gt;0),(E28-G28)/G28*100,"")</f>
        <v/>
      </c>
      <c r="AA28" s="176">
        <f>IF(OR(C28="",E28="",E28=0),"",IF(E28&gt;G28,"上昇▲",IF(E28&lt;G28,"下落▼","横ばい→")))</f>
        <v/>
      </c>
      <c r="AB28" s="438">
        <f>IF(C28="","",IFERROR(((終値!E30*0.333)+(終値!F30*0.222)+(終値!G30*0.148)+(終値!H30*0.099)+(終値!I30*0.066)+(終値!J30*0.044)+(終値!K30*0.029)+(終値!L30*0.019)+(終値!M30*0.013)+(終値!N30*0.009))/(0.333+0.222+0.148+0.099+0.066+0.044+0.029+0.019+0.013+0.009),""))</f>
        <v/>
      </c>
      <c r="AC28" s="438">
        <f>IF(C28="","",IFERROR(SUMPRODUCT((終値!E30:AC30)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8" s="439">
        <f>IF(OR(C28="",AB28="",AC28=""),"",IF(AND(E28&gt;AB28,AB28&gt;AC28),"パーフェクト▲",IF(E28&gt;AC28,"上昇トレンド▲",IF(AND(E28&lt;AB28,AB28&lt;AC28),"下降トレンド▼","もみ合い→"))))</f>
        <v/>
      </c>
      <c r="AE28" s="439">
        <f>IF(OR(C28="",AB28="",AC28=""),"",IF(AND(ABS(E28-AC28)/AC28&lt;=0.02,E28&gt;AC28),"25日押し目★",IF(AND(ABS(E28-AB28)/AB28&lt;=0.01,E28&gt;AB28),"5日押し目○","なし")))</f>
        <v/>
      </c>
      <c r="AF28" s="617">
        <f t="array" ref="AF28">IF(C28="","",IFERROR((INDEX(終値!$E:$E,MATCH(TEXT(C28,"0"),終値!$A:$A,0))-INDEX(終値!$E:$BL,MATCH(TEXT(C28,"0"),終値!$A:$A,0),$AL$2))/INDEX(終値!$E:$BL,MATCH(TEXT(C28,"0"),終値!$A:$A,0),$AL$2)*100,""))</f>
        <v/>
      </c>
      <c r="AG28" s="617">
        <f t="array" ref="AG28">IFERROR((終値!$E$5-INDEX(終値!$E$5:$BL$5,1,$AL$2))/INDEX(終値!$E$5:$BL$5,1,$AL$2)*100,"")</f>
        <v/>
      </c>
      <c r="AH28" s="618">
        <f>IF(OR(AF28="",AG28=""),"",AF28-AG28)</f>
        <v/>
      </c>
      <c r="AI28" s="385">
        <f>IF(AH28="","",IF(AH28&gt;5,3,IF(AH28&gt;0,1,IF(AH28&gt;-3,-1,-2))))</f>
        <v/>
      </c>
    </row>
    <row r="29" ht="18" customFormat="1" customHeight="1" s="187">
      <c r="A29" s="176">
        <f>IF(銘柄管理!B184&lt;&gt;"",HYPERLINK("https://kabutan.jp/stock/?code="&amp;銘柄管理!B184,"株探"),"")</f>
        <v/>
      </c>
      <c r="B29" s="177" t="n"/>
      <c r="C29" s="178">
        <f>IF(銘柄管理!B184="","",銘柄管理!B184)</f>
        <v/>
      </c>
      <c r="D29" s="106">
        <f>IF(銘柄管理!C184="","",銘柄管理!C184)</f>
        <v/>
      </c>
      <c r="E29" s="179">
        <f>IF(C29&lt;&gt;"",_xll.RssMarket(C29,"現在値"),"")</f>
        <v/>
      </c>
      <c r="F29" s="179">
        <f>IF(C29&lt;&gt;"",_xll.RssMarket(C29,"始値"),"")</f>
        <v/>
      </c>
      <c r="G29" s="178">
        <f>IF(C29&lt;&gt;"",終値!F184,"")</f>
        <v/>
      </c>
      <c r="H29" s="179">
        <f>IF(C29&lt;&gt;"",_xll.RssMarket(C29,"高値"),"")</f>
        <v/>
      </c>
      <c r="I29" s="179">
        <f>IF(C29&lt;&gt;"",_xll.RssMarket(C29,"安値"),"")</f>
        <v/>
      </c>
      <c r="J29" s="179">
        <f>IF(C29&lt;&gt;"",_xll.RssMarket(C29,"出来高"),"")</f>
        <v/>
      </c>
      <c r="K29" s="179">
        <f>IF(C29&lt;&gt;"",_xll.RssMarket(C29,"年初来高値"),"")</f>
        <v/>
      </c>
      <c r="L29" s="613">
        <f>IF(AND(E29&lt;&gt;"",K29&lt;&gt;"",K29&lt;&gt;0),(E29-K29)/K29*100,"")</f>
        <v/>
      </c>
      <c r="M29" s="179">
        <f>IF(C29&lt;&gt;"",IFERROR(AVERAGE(出来高!E184:I184),""),"")</f>
        <v/>
      </c>
      <c r="N29" s="179">
        <f>IF(C29&lt;&gt;"",IFERROR(AVERAGE(出来高!E184:AC184),""),"")</f>
        <v/>
      </c>
      <c r="O29" s="614">
        <f>IF(AND(J29&lt;&gt;"",M29&lt;&gt;"",M29&lt;&gt;0),J29/M29,"")</f>
        <v/>
      </c>
      <c r="P29" s="176">
        <f>IF(O29="","",IF(O29&gt;=2,"急増↑↑",IF(O29&gt;=1.5,"増加↑",IF(O29&gt;=1,"普通→","減少↓"))))</f>
        <v/>
      </c>
      <c r="Q29" s="176">
        <f>IF(E29="","",IF(AND(E29&gt;G29,O29&gt;=1.5),"買い▲",IF(E29&lt;G29,"様子見▼","中立→")))</f>
        <v/>
      </c>
      <c r="R29" s="179">
        <f>IF(E29&lt;&gt;"",ROUND(E29*1.08,0),"")</f>
        <v/>
      </c>
      <c r="S29" s="179">
        <f>IF(E29&lt;&gt;"",ROUND(E29*0.96,0),"")</f>
        <v/>
      </c>
      <c r="T29" s="176">
        <f>IF(C29="","",IFERROR(IF(O29&gt;=2,3,IF(O29&gt;=1.5,2,IF(O29&gt;=1,1,0)))+IF(E29&gt;G29,1,0)+IF(L29&gt;=-5,1,0)+IF(Q29="買い▲",2,0)+IF(W29&lt;=30,3,IF(W29&lt;=40,2,IF(AND(W29&gt;=40,W29&lt;=60),1,0)))+IF(X29&gt;0,1,0)+IF(V29="年初来高値更新●",3,IF(V29="高値圏",2,0))+IF(AD29="パーフェクト▲",3,IF(AD29="上昇トレンド▲",2,0))+IF(AE29="25日線押し目●",2,IF(AE29="5日線押し目○",1,0))+IF(P29="急増↑↑",2,IF(P29="増加↑",1,0))+N(AI29),0))</f>
        <v/>
      </c>
      <c r="U29" s="176">
        <f>IF(T29="","",IF(AND(T29&gt;=3,O29&gt;=1.5),"有効",IF(T29&gt;=3,"要確認","除外")))</f>
        <v/>
      </c>
      <c r="V29" s="176">
        <f>IF(AND(H29&lt;&gt;"",K29&lt;&gt;""),IF(H29&gt;=K29,"年初来高値更新●",IF(H29&gt;=K29*0.95,"高値圏","通常")),"")</f>
        <v/>
      </c>
      <c r="W29" s="615">
        <f t="array" ref="W29">IF(C29&lt;&gt;"",IFERROR(100-100/(1+SUMPRODUCT((終値!F184:R184&gt;終値!G184:S184)*( 終値!F184:R184-終値!G184:S184))/SUMPRODUCT((終値!F184:R184&lt;終値!G184:S184)*(終値!G184:S184-終値!F184:R184))),50),"")</f>
        <v/>
      </c>
      <c r="X29" s="183">
        <f>IF(C29&lt;&gt;"",IFERROR(SUMPRODUCT(終値!E184:P184,{0.154,0.132,0.113,0.097,0.083,0.071,0.061,0.052,0.045,0.038,0.033,0.028})/SUMPRODUCT({0.154,0.132,0.113,0.097,0.083,0.071,0.061,0.052,0.045,0.038,0.033,0.028})-SUMPRODUCT(終値!E184:AD184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9" s="570">
        <f>IF(T29="","",IF(銘柄管理!$F$5="下落▼",IF(AND(AD29="パーフェクト▲",OR(AE29="25日線押し目●",AE29="5日線押し目○")),"★逆張り候補",IF(AND(AD29="上昇トレンド▲",OR(AE29="25日線押し目●",AE29="5日線押し目○")),"○逆張り候補",IF(W29&lt;=30,IF(Z29&gt;0,"◎反発確認",IF(Z29&lt;-5,"△要注意・様子見","△売られ過ぎ注目")),"相場下落・見送り"))),IF(AND(T29&gt;=12,AD29="パーフェクト▲"),"★強い買い",IF(AND(T29&gt;=12,AD29="上昇トレンド▲"),"★強い買い",IF(AND(T29&gt;=8,OR(AE29="25日線押し目●",AE29="5日線押し目○")),"◎押し目買い",IF(T29&gt;=10,"○買い候補",IF(T29&gt;=6,"△注目",IF(T29&gt;=3,"様子見","見送り"))))))))</f>
        <v/>
      </c>
      <c r="Z29" s="616">
        <f>IF(AND(E29&lt;&gt;"",G29&lt;&gt;"",G29&lt;&gt;0),(E29-G29)/G29*100,"")</f>
        <v/>
      </c>
      <c r="AA29" s="176">
        <f>IF(OR(C29="",E29="",E29=0),"",IF(E29&gt;G29,"上昇▲",IF(E29&lt;G29,"下落▼","横ばい→")))</f>
        <v/>
      </c>
      <c r="AB29" s="440">
        <f>IF(C29="","",IFERROR(((終値!E31*0.333)+(終値!F31*0.222)+(終値!G31*0.148)+(終値!H31*0.099)+(終値!I31*0.066)+(終値!J31*0.044)+(終値!K31*0.029)+(終値!L31*0.019)+(終値!M31*0.013)+(終値!N31*0.009))/(0.333+0.222+0.148+0.099+0.066+0.044+0.029+0.019+0.013+0.009),""))</f>
        <v/>
      </c>
      <c r="AC29" s="440">
        <f>IF(C29="","",IFERROR(SUMPRODUCT((終値!E31:AC31)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9" s="441">
        <f>IF(OR(C29="",AB29="",AC29=""),"",IF(AND(E29&gt;AB29,AB29&gt;AC29),"パーフェクト▲",IF(E29&gt;AC29,"上昇トレンド▲",IF(AND(E29&lt;AB29,AB29&lt;AC29),"下降トレンド▼","もみ合い→"))))</f>
        <v/>
      </c>
      <c r="AE29" s="441">
        <f>IF(OR(C29="",AB29="",AC29=""),"",IF(AND(ABS(E29-AC29)/AC29&lt;=0.02,E29&gt;AC29),"25日押し目★",IF(AND(ABS(E29-AB29)/AB29&lt;=0.01,E29&gt;AB29),"5日押し目○","なし")))</f>
        <v/>
      </c>
      <c r="AF29" s="617">
        <f t="array" ref="AF29">IF(C29="","",IFERROR((INDEX(終値!$E:$E,MATCH(TEXT(C29,"0"),終値!$A:$A,0))-INDEX(終値!$E:$BL,MATCH(TEXT(C29,"0"),終値!$A:$A,0),$AL$2))/INDEX(終値!$E:$BL,MATCH(TEXT(C29,"0"),終値!$A:$A,0),$AL$2)*100,""))</f>
        <v/>
      </c>
      <c r="AG29" s="617">
        <f t="array" ref="AG29">IFERROR((終値!$E$5-INDEX(終値!$E$5:$BL$5,1,$AL$2))/INDEX(終値!$E$5:$BL$5,1,$AL$2)*100,"")</f>
        <v/>
      </c>
      <c r="AH29" s="618">
        <f>IF(OR(AF29="",AG29=""),"",AF29-AG29)</f>
        <v/>
      </c>
      <c r="AI29" s="385">
        <f>IF(AH29="","",IF(AH29&gt;5,3,IF(AH29&gt;0,1,IF(AH29&gt;-3,-1,-2))))</f>
        <v/>
      </c>
    </row>
    <row r="30" ht="18" customFormat="1" customHeight="1" s="187">
      <c r="A30" s="176">
        <f>IF(銘柄管理!B109&lt;&gt;"",HYPERLINK("https://kabutan.jp/stock/?code="&amp;銘柄管理!B109,"株探"),"")</f>
        <v/>
      </c>
      <c r="B30" s="177" t="n"/>
      <c r="C30" s="178">
        <f>IF(銘柄管理!B109="","",銘柄管理!B109)</f>
        <v/>
      </c>
      <c r="D30" s="106">
        <f>IF(銘柄管理!C109="","",銘柄管理!C109)</f>
        <v/>
      </c>
      <c r="E30" s="179">
        <f>IF(C30&lt;&gt;"",_xll.RssMarket(C30,"現在値"),"")</f>
        <v/>
      </c>
      <c r="F30" s="179">
        <f>IF(C30&lt;&gt;"",_xll.RssMarket(C30,"始値"),"")</f>
        <v/>
      </c>
      <c r="G30" s="178">
        <f>IF(C30&lt;&gt;"",終値!F109,"")</f>
        <v/>
      </c>
      <c r="H30" s="179">
        <f>IF(C30&lt;&gt;"",_xll.RssMarket(C30,"高値"),"")</f>
        <v/>
      </c>
      <c r="I30" s="179">
        <f>IF(C30&lt;&gt;"",_xll.RssMarket(C30,"安値"),"")</f>
        <v/>
      </c>
      <c r="J30" s="179">
        <f>IF(C30&lt;&gt;"",_xll.RssMarket(C30,"出来高"),"")</f>
        <v/>
      </c>
      <c r="K30" s="179">
        <f>IF(C30&lt;&gt;"",_xll.RssMarket(C30,"年初来高値"),"")</f>
        <v/>
      </c>
      <c r="L30" s="613">
        <f>IF(AND(E30&lt;&gt;"",K30&lt;&gt;"",K30&lt;&gt;0),(E30-K30)/K30*100,"")</f>
        <v/>
      </c>
      <c r="M30" s="179">
        <f>IF(C30&lt;&gt;"",IFERROR(AVERAGE(出来高!E109:I109),""),"")</f>
        <v/>
      </c>
      <c r="N30" s="179">
        <f>IF(C30&lt;&gt;"",IFERROR(AVERAGE(出来高!E109:AC109),""),"")</f>
        <v/>
      </c>
      <c r="O30" s="614">
        <f>IF(AND(J30&lt;&gt;"",M30&lt;&gt;"",M30&lt;&gt;0),J30/M30,"")</f>
        <v/>
      </c>
      <c r="P30" s="176">
        <f>IF(O30="","",IF(O30&gt;=2,"急増↑↑",IF(O30&gt;=1.5,"増加↑",IF(O30&gt;=1,"普通→","減少↓"))))</f>
        <v/>
      </c>
      <c r="Q30" s="176">
        <f>IF(E30="","",IF(AND(E30&gt;G30,O30&gt;=1.5),"買い▲",IF(E30&lt;G30,"様子見▼","中立→")))</f>
        <v/>
      </c>
      <c r="R30" s="179">
        <f>IF(E30&lt;&gt;"",ROUND(E30*1.08,0),"")</f>
        <v/>
      </c>
      <c r="S30" s="179">
        <f>IF(E30&lt;&gt;"",ROUND(E30*0.96,0),"")</f>
        <v/>
      </c>
      <c r="T30" s="176">
        <f>IF(C30="","",IFERROR(IF(O30&gt;=2,3,IF(O30&gt;=1.5,2,IF(O30&gt;=1,1,0)))+IF(E30&gt;G30,1,0)+IF(L30&gt;=-5,1,0)+IF(Q30="買い▲",2,0)+IF(W30&lt;=30,3,IF(W30&lt;=40,2,IF(AND(W30&gt;=40,W30&lt;=60),1,0)))+IF(X30&gt;0,1,0)+IF(V30="年初来高値更新●",3,IF(V30="高値圏",2,0))+IF(AD30="パーフェクト▲",3,IF(AD30="上昇トレンド▲",2,0))+IF(AE30="25日線押し目●",2,IF(AE30="5日線押し目○",1,0))+IF(P30="急増↑↑",2,IF(P30="増加↑",1,0))+N(AI30),0))</f>
        <v/>
      </c>
      <c r="U30" s="176">
        <f>IF(T30="","",IF(AND(T30&gt;=3,O30&gt;=1.5),"有効",IF(T30&gt;=3,"要確認","除外")))</f>
        <v/>
      </c>
      <c r="V30" s="176">
        <f>IF(AND(H30&lt;&gt;"",K30&lt;&gt;""),IF(H30&gt;=K30,"年初来高値更新●",IF(H30&gt;=K30*0.95,"高値圏","通常")),"")</f>
        <v/>
      </c>
      <c r="W30" s="615">
        <f t="array" ref="W30">IF(C30&lt;&gt;"",IFERROR(100-100/(1+SUMPRODUCT((終値!F109:R109&gt;終値!G109:S109)*( 終値!F109:R109-終値!G109:S109))/SUMPRODUCT((終値!F109:R109&lt;終値!G109:S109)*(終値!G109:S109-終値!F109:R109))),50),"")</f>
        <v/>
      </c>
      <c r="X30" s="183">
        <f>IF(C30&lt;&gt;"",IFERROR(SUMPRODUCT(終値!E109:P109,{0.154,0.132,0.113,0.097,0.083,0.071,0.061,0.052,0.045,0.038,0.033,0.028})/SUMPRODUCT({0.154,0.132,0.113,0.097,0.083,0.071,0.061,0.052,0.045,0.038,0.033,0.028})-SUMPRODUCT(終値!E109:AD109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0" s="570">
        <f>IF(T30="","",IF(銘柄管理!$F$5="下落▼",IF(AND(AD30="パーフェクト▲",OR(AE30="25日線押し目●",AE30="5日線押し目○")),"★逆張り候補",IF(AND(AD30="上昇トレンド▲",OR(AE30="25日線押し目●",AE30="5日線押し目○")),"○逆張り候補",IF(W30&lt;=30,IF(Z30&gt;0,"◎反発確認",IF(Z30&lt;-5,"△要注意・様子見","△売られ過ぎ注目")),"相場下落・見送り"))),IF(AND(T30&gt;=12,AD30="パーフェクト▲"),"★強い買い",IF(AND(T30&gt;=12,AD30="上昇トレンド▲"),"★強い買い",IF(AND(T30&gt;=8,OR(AE30="25日線押し目●",AE30="5日線押し目○")),"◎押し目買い",IF(T30&gt;=10,"○買い候補",IF(T30&gt;=6,"△注目",IF(T30&gt;=3,"様子見","見送り"))))))))</f>
        <v/>
      </c>
      <c r="Z30" s="616">
        <f>IF(AND(E30&lt;&gt;"",G30&lt;&gt;"",G30&lt;&gt;0),(E30-G30)/G30*100,"")</f>
        <v/>
      </c>
      <c r="AA30" s="176">
        <f>IF(OR(C30="",E30="",E30=0),"",IF(E30&gt;G30,"上昇▲",IF(E30&lt;G30,"下落▼","横ばい→")))</f>
        <v/>
      </c>
      <c r="AB30" s="438">
        <f>IF(C30="","",IFERROR(((終値!E32*0.333)+(終値!F32*0.222)+(終値!G32*0.148)+(終値!H32*0.099)+(終値!I32*0.066)+(終値!J32*0.044)+(終値!K32*0.029)+(終値!L32*0.019)+(終値!M32*0.013)+(終値!N32*0.009))/(0.333+0.222+0.148+0.099+0.066+0.044+0.029+0.019+0.013+0.009),""))</f>
        <v/>
      </c>
      <c r="AC30" s="438">
        <f>IF(C30="","",IFERROR(SUMPRODUCT((終値!E32:AC32)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0" s="439">
        <f>IF(OR(C30="",AB30="",AC30=""),"",IF(AND(E30&gt;AB30,AB30&gt;AC30),"パーフェクト▲",IF(E30&gt;AC30,"上昇トレンド▲",IF(AND(E30&lt;AB30,AB30&lt;AC30),"下降トレンド▼","もみ合い→"))))</f>
        <v/>
      </c>
      <c r="AE30" s="439">
        <f>IF(OR(C30="",AB30="",AC30=""),"",IF(AND(ABS(E30-AC30)/AC30&lt;=0.02,E30&gt;AC30),"25日押し目★",IF(AND(ABS(E30-AB30)/AB30&lt;=0.01,E30&gt;AB30),"5日押し目○","なし")))</f>
        <v/>
      </c>
      <c r="AF30" s="617">
        <f t="array" ref="AF30">IF(C30="","",IFERROR((INDEX(終値!$E:$E,MATCH(TEXT(C30,"0"),終値!$A:$A,0))-INDEX(終値!$E:$BL,MATCH(TEXT(C30,"0"),終値!$A:$A,0),$AL$2))/INDEX(終値!$E:$BL,MATCH(TEXT(C30,"0"),終値!$A:$A,0),$AL$2)*100,""))</f>
        <v/>
      </c>
      <c r="AG30" s="617">
        <f t="array" ref="AG30">IFERROR((終値!$E$5-INDEX(終値!$E$5:$BL$5,1,$AL$2))/INDEX(終値!$E$5:$BL$5,1,$AL$2)*100,"")</f>
        <v/>
      </c>
      <c r="AH30" s="618">
        <f>IF(OR(AF30="",AG30=""),"",AF30-AG30)</f>
        <v/>
      </c>
      <c r="AI30" s="385">
        <f>IF(AH30="","",IF(AH30&gt;5,3,IF(AH30&gt;0,1,IF(AH30&gt;-3,-1,-2))))</f>
        <v/>
      </c>
    </row>
    <row r="31" ht="18" customFormat="1" customHeight="1" s="187">
      <c r="A31" s="176">
        <f>IF(銘柄管理!B125&lt;&gt;"",HYPERLINK("https://kabutan.jp/stock/?code="&amp;銘柄管理!B125,"株探"),"")</f>
        <v/>
      </c>
      <c r="B31" s="177" t="n"/>
      <c r="C31" s="178">
        <f>IF(銘柄管理!B125="","",銘柄管理!B125)</f>
        <v/>
      </c>
      <c r="D31" s="106">
        <f>IF(銘柄管理!C125="","",銘柄管理!C125)</f>
        <v/>
      </c>
      <c r="E31" s="179">
        <f>IF(C31&lt;&gt;"",_xll.RssMarket(C31,"現在値"),"")</f>
        <v/>
      </c>
      <c r="F31" s="179">
        <f>IF(C31&lt;&gt;"",_xll.RssMarket(C31,"始値"),"")</f>
        <v/>
      </c>
      <c r="G31" s="178">
        <f>IF(C31&lt;&gt;"",終値!F125,"")</f>
        <v/>
      </c>
      <c r="H31" s="179">
        <f>IF(C31&lt;&gt;"",_xll.RssMarket(C31,"高値"),"")</f>
        <v/>
      </c>
      <c r="I31" s="179">
        <f>IF(C31&lt;&gt;"",_xll.RssMarket(C31,"安値"),"")</f>
        <v/>
      </c>
      <c r="J31" s="179">
        <f>IF(C31&lt;&gt;"",_xll.RssMarket(C31,"出来高"),"")</f>
        <v/>
      </c>
      <c r="K31" s="179">
        <f>IF(C31&lt;&gt;"",_xll.RssMarket(C31,"年初来高値"),"")</f>
        <v/>
      </c>
      <c r="L31" s="613">
        <f>IF(AND(E31&lt;&gt;"",K31&lt;&gt;"",K31&lt;&gt;0),(E31-K31)/K31*100,"")</f>
        <v/>
      </c>
      <c r="M31" s="179">
        <f>IF(C31&lt;&gt;"",IFERROR(AVERAGE(出来高!E125:I125),""),"")</f>
        <v/>
      </c>
      <c r="N31" s="179">
        <f>IF(C31&lt;&gt;"",IFERROR(AVERAGE(出来高!E125:AC125),""),"")</f>
        <v/>
      </c>
      <c r="O31" s="614">
        <f>IF(AND(J31&lt;&gt;"",M31&lt;&gt;"",M31&lt;&gt;0),J31/M31,"")</f>
        <v/>
      </c>
      <c r="P31" s="176">
        <f>IF(O31="","",IF(O31&gt;=2,"急増↑↑",IF(O31&gt;=1.5,"増加↑",IF(O31&gt;=1,"普通→","減少↓"))))</f>
        <v/>
      </c>
      <c r="Q31" s="176">
        <f>IF(E31="","",IF(AND(E31&gt;G31,O31&gt;=1.5),"買い▲",IF(E31&lt;G31,"様子見▼","中立→")))</f>
        <v/>
      </c>
      <c r="R31" s="179">
        <f>IF(E31&lt;&gt;"",ROUND(E31*1.08,0),"")</f>
        <v/>
      </c>
      <c r="S31" s="179">
        <f>IF(E31&lt;&gt;"",ROUND(E31*0.96,0),"")</f>
        <v/>
      </c>
      <c r="T31" s="176">
        <f>IF(C31="","",IFERROR(IF(O31&gt;=2,3,IF(O31&gt;=1.5,2,IF(O31&gt;=1,1,0)))+IF(E31&gt;G31,1,0)+IF(L31&gt;=-5,1,0)+IF(Q31="買い▲",2,0)+IF(W31&lt;=30,3,IF(W31&lt;=40,2,IF(AND(W31&gt;=40,W31&lt;=60),1,0)))+IF(X31&gt;0,1,0)+IF(V31="年初来高値更新●",3,IF(V31="高値圏",2,0))+IF(AD31="パーフェクト▲",3,IF(AD31="上昇トレンド▲",2,0))+IF(AE31="25日線押し目●",2,IF(AE31="5日線押し目○",1,0))+IF(P31="急増↑↑",2,IF(P31="増加↑",1,0))+N(AI31),0))</f>
        <v/>
      </c>
      <c r="U31" s="176">
        <f>IF(T31="","",IF(AND(T31&gt;=3,O31&gt;=1.5),"有効",IF(T31&gt;=3,"要確認","除外")))</f>
        <v/>
      </c>
      <c r="V31" s="176">
        <f>IF(AND(H31&lt;&gt;"",K31&lt;&gt;""),IF(H31&gt;=K31,"年初来高値更新●",IF(H31&gt;=K31*0.95,"高値圏","通常")),"")</f>
        <v/>
      </c>
      <c r="W31" s="615">
        <f t="array" ref="W31">IF(C31&lt;&gt;"",IFERROR(100-100/(1+SUMPRODUCT((終値!F125:R125&gt;終値!G125:S125)*( 終値!F125:R125-終値!G125:S125))/SUMPRODUCT((終値!F125:R125&lt;終値!G125:S125)*(終値!G125:S125-終値!F125:R125))),50),"")</f>
        <v/>
      </c>
      <c r="X31" s="183">
        <f>IF(C31&lt;&gt;"",IFERROR(SUMPRODUCT(終値!E125:P125,{0.154,0.132,0.113,0.097,0.083,0.071,0.061,0.052,0.045,0.038,0.033,0.028})/SUMPRODUCT({0.154,0.132,0.113,0.097,0.083,0.071,0.061,0.052,0.045,0.038,0.033,0.028})-SUMPRODUCT(終値!E125:AD125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1" s="570">
        <f>IF(T31="","",IF(銘柄管理!$F$5="下落▼",IF(AND(AD31="パーフェクト▲",OR(AE31="25日線押し目●",AE31="5日線押し目○")),"★逆張り候補",IF(AND(AD31="上昇トレンド▲",OR(AE31="25日線押し目●",AE31="5日線押し目○")),"○逆張り候補",IF(W31&lt;=30,IF(Z31&gt;0,"◎反発確認",IF(Z31&lt;-5,"△要注意・様子見","△売られ過ぎ注目")),"相場下落・見送り"))),IF(AND(T31&gt;=12,AD31="パーフェクト▲"),"★強い買い",IF(AND(T31&gt;=12,AD31="上昇トレンド▲"),"★強い買い",IF(AND(T31&gt;=8,OR(AE31="25日線押し目●",AE31="5日線押し目○")),"◎押し目買い",IF(T31&gt;=10,"○買い候補",IF(T31&gt;=6,"△注目",IF(T31&gt;=3,"様子見","見送り"))))))))</f>
        <v/>
      </c>
      <c r="Z31" s="616">
        <f>IF(AND(E31&lt;&gt;"",G31&lt;&gt;"",G31&lt;&gt;0),(E31-G31)/G31*100,"")</f>
        <v/>
      </c>
      <c r="AA31" s="176">
        <f>IF(OR(C31="",E31="",E31=0),"",IF(E31&gt;G31,"上昇▲",IF(E31&lt;G31,"下落▼","横ばい→")))</f>
        <v/>
      </c>
      <c r="AB31" s="440">
        <f>IF(C31="","",IFERROR(((終値!E33*0.333)+(終値!F33*0.222)+(終値!G33*0.148)+(終値!H33*0.099)+(終値!I33*0.066)+(終値!J33*0.044)+(終値!K33*0.029)+(終値!L33*0.019)+(終値!M33*0.013)+(終値!N33*0.009))/(0.333+0.222+0.148+0.099+0.066+0.044+0.029+0.019+0.013+0.009),""))</f>
        <v/>
      </c>
      <c r="AC31" s="440">
        <f>IF(C31="","",IFERROR(SUMPRODUCT((終値!E33:AC33)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1" s="441">
        <f>IF(OR(C31="",AB31="",AC31=""),"",IF(AND(E31&gt;AB31,AB31&gt;AC31),"パーフェクト▲",IF(E31&gt;AC31,"上昇トレンド▲",IF(AND(E31&lt;AB31,AB31&lt;AC31),"下降トレンド▼","もみ合い→"))))</f>
        <v/>
      </c>
      <c r="AE31" s="441">
        <f>IF(OR(C31="",AB31="",AC31=""),"",IF(AND(ABS(E31-AC31)/AC31&lt;=0.02,E31&gt;AC31),"25日押し目★",IF(AND(ABS(E31-AB31)/AB31&lt;=0.01,E31&gt;AB31),"5日押し目○","なし")))</f>
        <v/>
      </c>
      <c r="AF31" s="617">
        <f t="array" ref="AF31">IF(C31="","",IFERROR((INDEX(終値!$E:$E,MATCH(TEXT(C31,"0"),終値!$A:$A,0))-INDEX(終値!$E:$BL,MATCH(TEXT(C31,"0"),終値!$A:$A,0),$AL$2))/INDEX(終値!$E:$BL,MATCH(TEXT(C31,"0"),終値!$A:$A,0),$AL$2)*100,""))</f>
        <v/>
      </c>
      <c r="AG31" s="617">
        <f t="array" ref="AG31">IFERROR((終値!$E$5-INDEX(終値!$E$5:$BL$5,1,$AL$2))/INDEX(終値!$E$5:$BL$5,1,$AL$2)*100,"")</f>
        <v/>
      </c>
      <c r="AH31" s="618">
        <f>IF(OR(AF31="",AG31=""),"",AF31-AG31)</f>
        <v/>
      </c>
      <c r="AI31" s="385">
        <f>IF(AH31="","",IF(AH31&gt;5,3,IF(AH31&gt;0,1,IF(AH31&gt;-3,-1,-2))))</f>
        <v/>
      </c>
    </row>
    <row r="32" ht="18" customFormat="1" customHeight="1" s="187">
      <c r="A32" s="176">
        <f>IF(銘柄管理!B161&lt;&gt;"",HYPERLINK("https://kabutan.jp/stock/?code="&amp;銘柄管理!B161,"株探"),"")</f>
        <v/>
      </c>
      <c r="B32" s="177" t="n"/>
      <c r="C32" s="178">
        <f>IF(銘柄管理!B161="","",銘柄管理!B161)</f>
        <v/>
      </c>
      <c r="D32" s="106">
        <f>IF(銘柄管理!C161="","",銘柄管理!C161)</f>
        <v/>
      </c>
      <c r="E32" s="179">
        <f>IF(C32&lt;&gt;"",_xll.RssMarket(C32,"現在値"),"")</f>
        <v/>
      </c>
      <c r="F32" s="179">
        <f>IF(C32&lt;&gt;"",_xll.RssMarket(C32,"始値"),"")</f>
        <v/>
      </c>
      <c r="G32" s="178">
        <f>IF(C32&lt;&gt;"",終値!F161,"")</f>
        <v/>
      </c>
      <c r="H32" s="179">
        <f>IF(C32&lt;&gt;"",_xll.RssMarket(C32,"高値"),"")</f>
        <v/>
      </c>
      <c r="I32" s="179">
        <f>IF(C32&lt;&gt;"",_xll.RssMarket(C32,"安値"),"")</f>
        <v/>
      </c>
      <c r="J32" s="179">
        <f>IF(C32&lt;&gt;"",_xll.RssMarket(C32,"出来高"),"")</f>
        <v/>
      </c>
      <c r="K32" s="179">
        <f>IF(C32&lt;&gt;"",_xll.RssMarket(C32,"年初来高値"),"")</f>
        <v/>
      </c>
      <c r="L32" s="613">
        <f>IF(AND(E32&lt;&gt;"",K32&lt;&gt;"",K32&lt;&gt;0),(E32-K32)/K32*100,"")</f>
        <v/>
      </c>
      <c r="M32" s="179">
        <f>IF(C32&lt;&gt;"",IFERROR(AVERAGE(出来高!E161:I161),""),"")</f>
        <v/>
      </c>
      <c r="N32" s="179">
        <f>IF(C32&lt;&gt;"",IFERROR(AVERAGE(出来高!E161:AC161),""),"")</f>
        <v/>
      </c>
      <c r="O32" s="614">
        <f>IF(AND(J32&lt;&gt;"",M32&lt;&gt;"",M32&lt;&gt;0),J32/M32,"")</f>
        <v/>
      </c>
      <c r="P32" s="176">
        <f>IF(O32="","",IF(O32&gt;=2,"急増↑↑",IF(O32&gt;=1.5,"増加↑",IF(O32&gt;=1,"普通→","減少↓"))))</f>
        <v/>
      </c>
      <c r="Q32" s="176">
        <f>IF(E32="","",IF(AND(E32&gt;G32,O32&gt;=1.5),"買い▲",IF(E32&lt;G32,"様子見▼","中立→")))</f>
        <v/>
      </c>
      <c r="R32" s="179">
        <f>IF(E32&lt;&gt;"",ROUND(E32*1.08,0),"")</f>
        <v/>
      </c>
      <c r="S32" s="179">
        <f>IF(E32&lt;&gt;"",ROUND(E32*0.96,0),"")</f>
        <v/>
      </c>
      <c r="T32" s="176">
        <f>IF(C32="","",IFERROR(IF(O32&gt;=2,3,IF(O32&gt;=1.5,2,IF(O32&gt;=1,1,0)))+IF(E32&gt;G32,1,0)+IF(L32&gt;=-5,1,0)+IF(Q32="買い▲",2,0)+IF(W32&lt;=30,3,IF(W32&lt;=40,2,IF(AND(W32&gt;=40,W32&lt;=60),1,0)))+IF(X32&gt;0,1,0)+IF(V32="年初来高値更新●",3,IF(V32="高値圏",2,0))+IF(AD32="パーフェクト▲",3,IF(AD32="上昇トレンド▲",2,0))+IF(AE32="25日線押し目●",2,IF(AE32="5日線押し目○",1,0))+IF(P32="急増↑↑",2,IF(P32="増加↑",1,0))+N(AI32),0))</f>
        <v/>
      </c>
      <c r="U32" s="176">
        <f>IF(T32="","",IF(AND(T32&gt;=3,O32&gt;=1.5),"有効",IF(T32&gt;=3,"要確認","除外")))</f>
        <v/>
      </c>
      <c r="V32" s="176">
        <f>IF(AND(H32&lt;&gt;"",K32&lt;&gt;""),IF(H32&gt;=K32,"年初来高値更新●",IF(H32&gt;=K32*0.95,"高値圏","通常")),"")</f>
        <v/>
      </c>
      <c r="W32" s="615">
        <f t="array" ref="W32">IF(C32&lt;&gt;"",IFERROR(100-100/(1+SUMPRODUCT((終値!F161:R161&gt;終値!G161:S161)*( 終値!F161:R161-終値!G161:S161))/SUMPRODUCT((終値!F161:R161&lt;終値!G161:S161)*(終値!G161:S161-終値!F161:R161))),50),"")</f>
        <v/>
      </c>
      <c r="X32" s="183">
        <f>IF(C32&lt;&gt;"",IFERROR(SUMPRODUCT(終値!E161:P161,{0.154,0.132,0.113,0.097,0.083,0.071,0.061,0.052,0.045,0.038,0.033,0.028})/SUMPRODUCT({0.154,0.132,0.113,0.097,0.083,0.071,0.061,0.052,0.045,0.038,0.033,0.028})-SUMPRODUCT(終値!E161:AD161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2" s="570">
        <f>IF(T32="","",IF(銘柄管理!$F$5="下落▼",IF(AND(AD32="パーフェクト▲",OR(AE32="25日線押し目●",AE32="5日線押し目○")),"★逆張り候補",IF(AND(AD32="上昇トレンド▲",OR(AE32="25日線押し目●",AE32="5日線押し目○")),"○逆張り候補",IF(W32&lt;=30,IF(Z32&gt;0,"◎反発確認",IF(Z32&lt;-5,"△要注意・様子見","△売られ過ぎ注目")),"相場下落・見送り"))),IF(AND(T32&gt;=12,AD32="パーフェクト▲"),"★強い買い",IF(AND(T32&gt;=12,AD32="上昇トレンド▲"),"★強い買い",IF(AND(T32&gt;=8,OR(AE32="25日線押し目●",AE32="5日線押し目○")),"◎押し目買い",IF(T32&gt;=10,"○買い候補",IF(T32&gt;=6,"△注目",IF(T32&gt;=3,"様子見","見送り"))))))))</f>
        <v/>
      </c>
      <c r="Z32" s="616">
        <f>IF(AND(E32&lt;&gt;"",G32&lt;&gt;"",G32&lt;&gt;0),(E32-G32)/G32*100,"")</f>
        <v/>
      </c>
      <c r="AA32" s="176">
        <f>IF(OR(C32="",E32="",E32=0),"",IF(E32&gt;G32,"上昇▲",IF(E32&lt;G32,"下落▼","横ばい→")))</f>
        <v/>
      </c>
      <c r="AB32" s="438">
        <f>IF(C32="","",IFERROR(((終値!E34*0.333)+(終値!F34*0.222)+(終値!G34*0.148)+(終値!H34*0.099)+(終値!I34*0.066)+(終値!J34*0.044)+(終値!K34*0.029)+(終値!L34*0.019)+(終値!M34*0.013)+(終値!N34*0.009))/(0.333+0.222+0.148+0.099+0.066+0.044+0.029+0.019+0.013+0.009),""))</f>
        <v/>
      </c>
      <c r="AC32" s="438">
        <f>IF(C32="","",IFERROR(SUMPRODUCT((終値!E34:AC34)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2" s="439">
        <f>IF(OR(C32="",AB32="",AC32=""),"",IF(AND(E32&gt;AB32,AB32&gt;AC32),"パーフェクト▲",IF(E32&gt;AC32,"上昇トレンド▲",IF(AND(E32&lt;AB32,AB32&lt;AC32),"下降トレンド▼","もみ合い→"))))</f>
        <v/>
      </c>
      <c r="AE32" s="439">
        <f>IF(OR(C32="",AB32="",AC32=""),"",IF(AND(ABS(E32-AC32)/AC32&lt;=0.02,E32&gt;AC32),"25日押し目★",IF(AND(ABS(E32-AB32)/AB32&lt;=0.01,E32&gt;AB32),"5日押し目○","なし")))</f>
        <v/>
      </c>
      <c r="AF32" s="617">
        <f t="array" ref="AF32">IF(C32="","",IFERROR((INDEX(終値!$E:$E,MATCH(TEXT(C32,"0"),終値!$A:$A,0))-INDEX(終値!$E:$BL,MATCH(TEXT(C32,"0"),終値!$A:$A,0),$AL$2))/INDEX(終値!$E:$BL,MATCH(TEXT(C32,"0"),終値!$A:$A,0),$AL$2)*100,""))</f>
        <v/>
      </c>
      <c r="AG32" s="617">
        <f t="array" ref="AG32">IFERROR((終値!$E$5-INDEX(終値!$E$5:$BL$5,1,$AL$2))/INDEX(終値!$E$5:$BL$5,1,$AL$2)*100,"")</f>
        <v/>
      </c>
      <c r="AH32" s="618">
        <f>IF(OR(AF32="",AG32=""),"",AF32-AG32)</f>
        <v/>
      </c>
      <c r="AI32" s="385">
        <f>IF(AH32="","",IF(AH32&gt;5,3,IF(AH32&gt;0,1,IF(AH32&gt;-3,-1,-2))))</f>
        <v/>
      </c>
    </row>
    <row r="33" ht="18" customFormat="1" customHeight="1" s="187">
      <c r="A33" s="176">
        <f>IF(銘柄管理!B124&lt;&gt;"",HYPERLINK("https://kabutan.jp/stock/?code="&amp;銘柄管理!B124,"株探"),"")</f>
        <v/>
      </c>
      <c r="B33" s="177" t="n"/>
      <c r="C33" s="178">
        <f>IF(銘柄管理!B124="","",銘柄管理!B124)</f>
        <v/>
      </c>
      <c r="D33" s="106">
        <f>IF(銘柄管理!C124="","",銘柄管理!C124)</f>
        <v/>
      </c>
      <c r="E33" s="179">
        <f>IF(C33&lt;&gt;"",_xll.RssMarket(C33,"現在値"),"")</f>
        <v/>
      </c>
      <c r="F33" s="179">
        <f>IF(C33&lt;&gt;"",_xll.RssMarket(C33,"始値"),"")</f>
        <v/>
      </c>
      <c r="G33" s="178">
        <f>IF(C33&lt;&gt;"",終値!F124,"")</f>
        <v/>
      </c>
      <c r="H33" s="179">
        <f>IF(C33&lt;&gt;"",_xll.RssMarket(C33,"高値"),"")</f>
        <v/>
      </c>
      <c r="I33" s="179">
        <f>IF(C33&lt;&gt;"",_xll.RssMarket(C33,"安値"),"")</f>
        <v/>
      </c>
      <c r="J33" s="179">
        <f>IF(C33&lt;&gt;"",_xll.RssMarket(C33,"出来高"),"")</f>
        <v/>
      </c>
      <c r="K33" s="179">
        <f>IF(C33&lt;&gt;"",_xll.RssMarket(C33,"年初来高値"),"")</f>
        <v/>
      </c>
      <c r="L33" s="613">
        <f>IF(AND(E33&lt;&gt;"",K33&lt;&gt;"",K33&lt;&gt;0),(E33-K33)/K33*100,"")</f>
        <v/>
      </c>
      <c r="M33" s="179">
        <f>IF(C33&lt;&gt;"",IFERROR(AVERAGE(出来高!E124:I124),""),"")</f>
        <v/>
      </c>
      <c r="N33" s="179">
        <f>IF(C33&lt;&gt;"",IFERROR(AVERAGE(出来高!E124:AC124),""),"")</f>
        <v/>
      </c>
      <c r="O33" s="614">
        <f>IF(AND(J33&lt;&gt;"",M33&lt;&gt;"",M33&lt;&gt;0),J33/M33,"")</f>
        <v/>
      </c>
      <c r="P33" s="176">
        <f>IF(O33="","",IF(O33&gt;=2,"急増↑↑",IF(O33&gt;=1.5,"増加↑",IF(O33&gt;=1,"普通→","減少↓"))))</f>
        <v/>
      </c>
      <c r="Q33" s="176">
        <f>IF(E33="","",IF(AND(E33&gt;G33,O33&gt;=1.5),"買い▲",IF(E33&lt;G33,"様子見▼","中立→")))</f>
        <v/>
      </c>
      <c r="R33" s="179">
        <f>IF(E33&lt;&gt;"",ROUND(E33*1.08,0),"")</f>
        <v/>
      </c>
      <c r="S33" s="179">
        <f>IF(E33&lt;&gt;"",ROUND(E33*0.96,0),"")</f>
        <v/>
      </c>
      <c r="T33" s="176">
        <f>IF(C33="","",IFERROR(IF(O33&gt;=2,3,IF(O33&gt;=1.5,2,IF(O33&gt;=1,1,0)))+IF(E33&gt;G33,1,0)+IF(L33&gt;=-5,1,0)+IF(Q33="買い▲",2,0)+IF(W33&lt;=30,3,IF(W33&lt;=40,2,IF(AND(W33&gt;=40,W33&lt;=60),1,0)))+IF(X33&gt;0,1,0)+IF(V33="年初来高値更新●",3,IF(V33="高値圏",2,0))+IF(AD33="パーフェクト▲",3,IF(AD33="上昇トレンド▲",2,0))+IF(AE33="25日線押し目●",2,IF(AE33="5日線押し目○",1,0))+IF(P33="急増↑↑",2,IF(P33="増加↑",1,0))+N(AI33),0))</f>
        <v/>
      </c>
      <c r="U33" s="176">
        <f>IF(T33="","",IF(AND(T33&gt;=3,O33&gt;=1.5),"有効",IF(T33&gt;=3,"要確認","除外")))</f>
        <v/>
      </c>
      <c r="V33" s="176">
        <f>IF(AND(H33&lt;&gt;"",K33&lt;&gt;""),IF(H33&gt;=K33,"年初来高値更新●",IF(H33&gt;=K33*0.95,"高値圏","通常")),"")</f>
        <v/>
      </c>
      <c r="W33" s="615">
        <f t="array" ref="W33">IF(C33&lt;&gt;"",IFERROR(100-100/(1+SUMPRODUCT((終値!F124:R124&gt;終値!G124:S124)*( 終値!F124:R124-終値!G124:S124))/SUMPRODUCT((終値!F124:R124&lt;終値!G124:S124)*(終値!G124:S124-終値!F124:R124))),50),"")</f>
        <v/>
      </c>
      <c r="X33" s="183">
        <f>IF(C33&lt;&gt;"",IFERROR(SUMPRODUCT(終値!E124:P124,{0.154,0.132,0.113,0.097,0.083,0.071,0.061,0.052,0.045,0.038,0.033,0.028})/SUMPRODUCT({0.154,0.132,0.113,0.097,0.083,0.071,0.061,0.052,0.045,0.038,0.033,0.028})-SUMPRODUCT(終値!E124:AD124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3" s="570">
        <f>IF(T33="","",IF(銘柄管理!$F$5="下落▼",IF(AND(AD33="パーフェクト▲",OR(AE33="25日線押し目●",AE33="5日線押し目○")),"★逆張り候補",IF(AND(AD33="上昇トレンド▲",OR(AE33="25日線押し目●",AE33="5日線押し目○")),"○逆張り候補",IF(W33&lt;=30,IF(Z33&gt;0,"◎反発確認",IF(Z33&lt;-5,"△要注意・様子見","△売られ過ぎ注目")),"相場下落・見送り"))),IF(AND(T33&gt;=12,AD33="パーフェクト▲"),"★強い買い",IF(AND(T33&gt;=12,AD33="上昇トレンド▲"),"★強い買い",IF(AND(T33&gt;=8,OR(AE33="25日線押し目●",AE33="5日線押し目○")),"◎押し目買い",IF(T33&gt;=10,"○買い候補",IF(T33&gt;=6,"△注目",IF(T33&gt;=3,"様子見","見送り"))))))))</f>
        <v/>
      </c>
      <c r="Z33" s="616">
        <f>IF(AND(E33&lt;&gt;"",G33&lt;&gt;"",G33&lt;&gt;0),(E33-G33)/G33*100,"")</f>
        <v/>
      </c>
      <c r="AA33" s="176">
        <f>IF(OR(C33="",E33="",E33=0),"",IF(E33&gt;G33,"上昇▲",IF(E33&lt;G33,"下落▼","横ばい→")))</f>
        <v/>
      </c>
      <c r="AB33" s="440">
        <f>IF(C33="","",IFERROR(((終値!E35*0.333)+(終値!F35*0.222)+(終値!G35*0.148)+(終値!H35*0.099)+(終値!I35*0.066)+(終値!J35*0.044)+(終値!K35*0.029)+(終値!L35*0.019)+(終値!M35*0.013)+(終値!N35*0.009))/(0.333+0.222+0.148+0.099+0.066+0.044+0.029+0.019+0.013+0.009),""))</f>
        <v/>
      </c>
      <c r="AC33" s="440">
        <f>IF(C33="","",IFERROR(SUMPRODUCT((終値!E35:AC35)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3" s="441">
        <f>IF(OR(C33="",AB33="",AC33=""),"",IF(AND(E33&gt;AB33,AB33&gt;AC33),"パーフェクト▲",IF(E33&gt;AC33,"上昇トレンド▲",IF(AND(E33&lt;AB33,AB33&lt;AC33),"下降トレンド▼","もみ合い→"))))</f>
        <v/>
      </c>
      <c r="AE33" s="441">
        <f>IF(OR(C33="",AB33="",AC33=""),"",IF(AND(ABS(E33-AC33)/AC33&lt;=0.02,E33&gt;AC33),"25日押し目★",IF(AND(ABS(E33-AB33)/AB33&lt;=0.01,E33&gt;AB33),"5日押し目○","なし")))</f>
        <v/>
      </c>
      <c r="AF33" s="617">
        <f t="array" ref="AF33">IF(C33="","",IFERROR((INDEX(終値!$E:$E,MATCH(TEXT(C33,"0"),終値!$A:$A,0))-INDEX(終値!$E:$BL,MATCH(TEXT(C33,"0"),終値!$A:$A,0),$AL$2))/INDEX(終値!$E:$BL,MATCH(TEXT(C33,"0"),終値!$A:$A,0),$AL$2)*100,""))</f>
        <v/>
      </c>
      <c r="AG33" s="617">
        <f t="array" ref="AG33">IFERROR((終値!$E$5-INDEX(終値!$E$5:$BL$5,1,$AL$2))/INDEX(終値!$E$5:$BL$5,1,$AL$2)*100,"")</f>
        <v/>
      </c>
      <c r="AH33" s="618">
        <f>IF(OR(AF33="",AG33=""),"",AF33-AG33)</f>
        <v/>
      </c>
      <c r="AI33" s="385">
        <f>IF(AH33="","",IF(AH33&gt;5,3,IF(AH33&gt;0,1,IF(AH33&gt;-3,-1,-2))))</f>
        <v/>
      </c>
    </row>
    <row r="34" ht="18" customFormat="1" customHeight="1" s="187">
      <c r="A34" s="176">
        <f>IF(銘柄管理!B23&lt;&gt;"",HYPERLINK("https://kabutan.jp/stock/?code="&amp;銘柄管理!B23,"株探"),"")</f>
        <v/>
      </c>
      <c r="B34" s="177" t="n"/>
      <c r="C34" s="178">
        <f>IF(銘柄管理!B23="","",銘柄管理!B23)</f>
        <v/>
      </c>
      <c r="D34" s="106">
        <f>IF(銘柄管理!C23="","",銘柄管理!C23)</f>
        <v/>
      </c>
      <c r="E34" s="179">
        <f>IF(C34&lt;&gt;"",_xll.RssMarket(C34,"現在値"),"")</f>
        <v/>
      </c>
      <c r="F34" s="179">
        <f>IF(C34&lt;&gt;"",_xll.RssMarket(C34,"始値"),"")</f>
        <v/>
      </c>
      <c r="G34" s="178">
        <f>IF(C34&lt;&gt;"",終値!F23,"")</f>
        <v/>
      </c>
      <c r="H34" s="179">
        <f>IF(C34&lt;&gt;"",_xll.RssMarket(C34,"高値"),"")</f>
        <v/>
      </c>
      <c r="I34" s="179">
        <f>IF(C34&lt;&gt;"",_xll.RssMarket(C34,"安値"),"")</f>
        <v/>
      </c>
      <c r="J34" s="179">
        <f>IF(C34&lt;&gt;"",_xll.RssMarket(C34,"出来高"),"")</f>
        <v/>
      </c>
      <c r="K34" s="179">
        <f>IF(C34&lt;&gt;"",_xll.RssMarket(C34,"年初来高値"),"")</f>
        <v/>
      </c>
      <c r="L34" s="613">
        <f>IF(AND(E34&lt;&gt;"",K34&lt;&gt;"",K34&lt;&gt;0),(E34-K34)/K34*100,"")</f>
        <v/>
      </c>
      <c r="M34" s="179">
        <f>IF(C34&lt;&gt;"",IFERROR(AVERAGE(出来高!E23:I23),""),"")</f>
        <v/>
      </c>
      <c r="N34" s="179">
        <f>IF(C34&lt;&gt;"",IFERROR(AVERAGE(出来高!E23:AC23),""),"")</f>
        <v/>
      </c>
      <c r="O34" s="614">
        <f>IF(AND(J34&lt;&gt;"",M34&lt;&gt;"",M34&lt;&gt;0),J34/M34,"")</f>
        <v/>
      </c>
      <c r="P34" s="176">
        <f>IF(O34="","",IF(O34&gt;=2,"急増↑↑",IF(O34&gt;=1.5,"増加↑",IF(O34&gt;=1,"普通→","減少↓"))))</f>
        <v/>
      </c>
      <c r="Q34" s="176">
        <f>IF(E34="","",IF(AND(E34&gt;G34,O34&gt;=1.5),"買い▲",IF(E34&lt;G34,"様子見▼","中立→")))</f>
        <v/>
      </c>
      <c r="R34" s="179">
        <f>IF(E34&lt;&gt;"",ROUND(E34*1.08,0),"")</f>
        <v/>
      </c>
      <c r="S34" s="179">
        <f>IF(E34&lt;&gt;"",ROUND(E34*0.96,0),"")</f>
        <v/>
      </c>
      <c r="T34" s="176">
        <f>IF(C34="","",IFERROR(IF(O34&gt;=2,3,IF(O34&gt;=1.5,2,IF(O34&gt;=1,1,0)))+IF(E34&gt;G34,1,0)+IF(L34&gt;=-5,1,0)+IF(Q34="買い▲",2,0)+IF(W34&lt;=30,3,IF(W34&lt;=40,2,IF(AND(W34&gt;=40,W34&lt;=60),1,0)))+IF(X34&gt;0,1,0)+IF(V34="年初来高値更新●",3,IF(V34="高値圏",2,0))+IF(AD34="パーフェクト▲",3,IF(AD34="上昇トレンド▲",2,0))+IF(AE34="25日線押し目●",2,IF(AE34="5日線押し目○",1,0))+IF(P34="急増↑↑",2,IF(P34="増加↑",1,0))+N(AI34),0))</f>
        <v/>
      </c>
      <c r="U34" s="176">
        <f>IF(T34="","",IF(AND(T34&gt;=3,O34&gt;=1.5),"有効",IF(T34&gt;=3,"要確認","除外")))</f>
        <v/>
      </c>
      <c r="V34" s="176">
        <f>IF(AND(H34&lt;&gt;"",K34&lt;&gt;""),IF(H34&gt;=K34,"年初来高値更新●",IF(H34&gt;=K34*0.95,"高値圏","通常")),"")</f>
        <v/>
      </c>
      <c r="W34" s="615">
        <f t="array" ref="W34">IF(C34&lt;&gt;"",IFERROR(100-100/(1+SUMPRODUCT((終値!F23:R23&gt;終値!G23:S23)*( 終値!F23:R23-終値!G23:S23))/SUMPRODUCT((終値!F23:R23&lt;終値!G23:S23)*(終値!G23:S23-終値!F23:R23))),50),"")</f>
        <v/>
      </c>
      <c r="X34" s="183">
        <f>IF(C34&lt;&gt;"",IFERROR(SUMPRODUCT(終値!E23:P23,{0.154,0.132,0.113,0.097,0.083,0.071,0.061,0.052,0.045,0.038,0.033,0.028})/SUMPRODUCT({0.154,0.132,0.113,0.097,0.083,0.071,0.061,0.052,0.045,0.038,0.033,0.028})-SUMPRODUCT(終値!E23:AD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4" s="570">
        <f>IF(T34="","",IF(銘柄管理!$F$5="下落▼",IF(AND(AD34="パーフェクト▲",OR(AE34="25日線押し目●",AE34="5日線押し目○")),"★逆張り候補",IF(AND(AD34="上昇トレンド▲",OR(AE34="25日線押し目●",AE34="5日線押し目○")),"○逆張り候補",IF(W34&lt;=30,IF(Z34&gt;0,"◎反発確認",IF(Z34&lt;-5,"△要注意・様子見","△売られ過ぎ注目")),"相場下落・見送り"))),IF(AND(T34&gt;=12,AD34="パーフェクト▲"),"★強い買い",IF(AND(T34&gt;=12,AD34="上昇トレンド▲"),"★強い買い",IF(AND(T34&gt;=8,OR(AE34="25日線押し目●",AE34="5日線押し目○")),"◎押し目買い",IF(T34&gt;=10,"○買い候補",IF(T34&gt;=6,"△注目",IF(T34&gt;=3,"様子見","見送り"))))))))</f>
        <v/>
      </c>
      <c r="Z34" s="616">
        <f>IF(AND(E34&lt;&gt;"",G34&lt;&gt;"",G34&lt;&gt;0),(E34-G34)/G34*100,"")</f>
        <v/>
      </c>
      <c r="AA34" s="176">
        <f>IF(OR(C34="",E34="",E34=0),"",IF(E34&gt;G34,"上昇▲",IF(E34&lt;G34,"下落▼","横ばい→")))</f>
        <v/>
      </c>
      <c r="AB34" s="438">
        <f>IF(C34="","",IFERROR(((終値!E36*0.333)+(終値!F36*0.222)+(終値!G36*0.148)+(終値!H36*0.099)+(終値!I36*0.066)+(終値!J36*0.044)+(終値!K36*0.029)+(終値!L36*0.019)+(終値!M36*0.013)+(終値!N36*0.009))/(0.333+0.222+0.148+0.099+0.066+0.044+0.029+0.019+0.013+0.009),""))</f>
        <v/>
      </c>
      <c r="AC34" s="438">
        <f>IF(C34="","",IFERROR(SUMPRODUCT((終値!E36:AC36)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4" s="439">
        <f>IF(OR(C34="",AB34="",AC34=""),"",IF(AND(E34&gt;AB34,AB34&gt;AC34),"パーフェクト▲",IF(E34&gt;AC34,"上昇トレンド▲",IF(AND(E34&lt;AB34,AB34&lt;AC34),"下降トレンド▼","もみ合い→"))))</f>
        <v/>
      </c>
      <c r="AE34" s="439">
        <f>IF(OR(C34="",AB34="",AC34=""),"",IF(AND(ABS(E34-AC34)/AC34&lt;=0.02,E34&gt;AC34),"25日押し目★",IF(AND(ABS(E34-AB34)/AB34&lt;=0.01,E34&gt;AB34),"5日押し目○","なし")))</f>
        <v/>
      </c>
      <c r="AF34" s="617">
        <f t="array" ref="AF34">IF(C34="","",IFERROR((INDEX(終値!$E:$E,MATCH(TEXT(C34,"0"),終値!$A:$A,0))-INDEX(終値!$E:$BL,MATCH(TEXT(C34,"0"),終値!$A:$A,0),$AL$2))/INDEX(終値!$E:$BL,MATCH(TEXT(C34,"0"),終値!$A:$A,0),$AL$2)*100,""))</f>
        <v/>
      </c>
      <c r="AG34" s="617">
        <f t="array" ref="AG34">IFERROR((終値!$E$5-INDEX(終値!$E$5:$BL$5,1,$AL$2))/INDEX(終値!$E$5:$BL$5,1,$AL$2)*100,"")</f>
        <v/>
      </c>
      <c r="AH34" s="618">
        <f>IF(OR(AF34="",AG34=""),"",AF34-AG34)</f>
        <v/>
      </c>
      <c r="AI34" s="385">
        <f>IF(AH34="","",IF(AH34&gt;5,3,IF(AH34&gt;0,1,IF(AH34&gt;-3,-1,-2))))</f>
        <v/>
      </c>
    </row>
    <row r="35" ht="18" customFormat="1" customHeight="1" s="187">
      <c r="A35" s="176">
        <f>IF(銘柄管理!B52&lt;&gt;"",HYPERLINK("https://kabutan.jp/stock/?code="&amp;銘柄管理!B52,"株探"),"")</f>
        <v/>
      </c>
      <c r="B35" s="177" t="n"/>
      <c r="C35" s="178">
        <f>IF(銘柄管理!B52="","",銘柄管理!B52)</f>
        <v/>
      </c>
      <c r="D35" s="106">
        <f>IF(銘柄管理!C52="","",銘柄管理!C52)</f>
        <v/>
      </c>
      <c r="E35" s="179">
        <f>IF(C35&lt;&gt;"",_xll.RssMarket(C35,"現在値"),"")</f>
        <v/>
      </c>
      <c r="F35" s="179">
        <f>IF(C35&lt;&gt;"",_xll.RssMarket(C35,"始値"),"")</f>
        <v/>
      </c>
      <c r="G35" s="178">
        <f>IF(C35&lt;&gt;"",終値!F52,"")</f>
        <v/>
      </c>
      <c r="H35" s="179">
        <f>IF(C35&lt;&gt;"",_xll.RssMarket(C35,"高値"),"")</f>
        <v/>
      </c>
      <c r="I35" s="179">
        <f>IF(C35&lt;&gt;"",_xll.RssMarket(C35,"安値"),"")</f>
        <v/>
      </c>
      <c r="J35" s="179">
        <f>IF(C35&lt;&gt;"",_xll.RssMarket(C35,"出来高"),"")</f>
        <v/>
      </c>
      <c r="K35" s="179">
        <f>IF(C35&lt;&gt;"",_xll.RssMarket(C35,"年初来高値"),"")</f>
        <v/>
      </c>
      <c r="L35" s="613">
        <f>IF(AND(E35&lt;&gt;"",K35&lt;&gt;"",K35&lt;&gt;0),(E35-K35)/K35*100,"")</f>
        <v/>
      </c>
      <c r="M35" s="179">
        <f>IF(C35&lt;&gt;"",IFERROR(AVERAGE(出来高!E52:I52),""),"")</f>
        <v/>
      </c>
      <c r="N35" s="179">
        <f>IF(C35&lt;&gt;"",IFERROR(AVERAGE(出来高!E52:AC52),""),"")</f>
        <v/>
      </c>
      <c r="O35" s="614">
        <f>IF(AND(J35&lt;&gt;"",M35&lt;&gt;"",M35&lt;&gt;0),J35/M35,"")</f>
        <v/>
      </c>
      <c r="P35" s="176">
        <f>IF(O35="","",IF(O35&gt;=2,"急増↑↑",IF(O35&gt;=1.5,"増加↑",IF(O35&gt;=1,"普通→","減少↓"))))</f>
        <v/>
      </c>
      <c r="Q35" s="176">
        <f>IF(E35="","",IF(AND(E35&gt;G35,O35&gt;=1.5),"買い▲",IF(E35&lt;G35,"様子見▼","中立→")))</f>
        <v/>
      </c>
      <c r="R35" s="179">
        <f>IF(E35&lt;&gt;"",ROUND(E35*1.08,0),"")</f>
        <v/>
      </c>
      <c r="S35" s="179">
        <f>IF(E35&lt;&gt;"",ROUND(E35*0.96,0),"")</f>
        <v/>
      </c>
      <c r="T35" s="176">
        <f>IF(C35="","",IFERROR(IF(O35&gt;=2,3,IF(O35&gt;=1.5,2,IF(O35&gt;=1,1,0)))+IF(E35&gt;G35,1,0)+IF(L35&gt;=-5,1,0)+IF(Q35="買い▲",2,0)+IF(W35&lt;=30,3,IF(W35&lt;=40,2,IF(AND(W35&gt;=40,W35&lt;=60),1,0)))+IF(X35&gt;0,1,0)+IF(V35="年初来高値更新●",3,IF(V35="高値圏",2,0))+IF(AD35="パーフェクト▲",3,IF(AD35="上昇トレンド▲",2,0))+IF(AE35="25日線押し目●",2,IF(AE35="5日線押し目○",1,0))+IF(P35="急増↑↑",2,IF(P35="増加↑",1,0))+N(AI35),0))</f>
        <v/>
      </c>
      <c r="U35" s="176">
        <f>IF(T35="","",IF(AND(T35&gt;=3,O35&gt;=1.5),"有効",IF(T35&gt;=3,"要確認","除外")))</f>
        <v/>
      </c>
      <c r="V35" s="176">
        <f>IF(AND(H35&lt;&gt;"",K35&lt;&gt;""),IF(H35&gt;=K35,"年初来高値更新●",IF(H35&gt;=K35*0.95,"高値圏","通常")),"")</f>
        <v/>
      </c>
      <c r="W35" s="615">
        <f t="array" ref="W35">IF(C35&lt;&gt;"",IFERROR(100-100/(1+SUMPRODUCT((終値!F52:R52&gt;終値!G52:S52)*( 終値!F52:R52-終値!G52:S52))/SUMPRODUCT((終値!F52:R52&lt;終値!G52:S52)*(終値!G52:S52-終値!F52:R52))),50),"")</f>
        <v/>
      </c>
      <c r="X35" s="183">
        <f>IF(C35&lt;&gt;"",IFERROR(SUMPRODUCT(終値!E52:P52,{0.154,0.132,0.113,0.097,0.083,0.071,0.061,0.052,0.045,0.038,0.033,0.028})/SUMPRODUCT({0.154,0.132,0.113,0.097,0.083,0.071,0.061,0.052,0.045,0.038,0.033,0.028})-SUMPRODUCT(終値!E52:AD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5" s="570">
        <f>IF(T35="","",IF(銘柄管理!$F$5="下落▼",IF(AND(AD35="パーフェクト▲",OR(AE35="25日線押し目●",AE35="5日線押し目○")),"★逆張り候補",IF(AND(AD35="上昇トレンド▲",OR(AE35="25日線押し目●",AE35="5日線押し目○")),"○逆張り候補",IF(W35&lt;=30,IF(Z35&gt;0,"◎反発確認",IF(Z35&lt;-5,"△要注意・様子見","△売られ過ぎ注目")),"相場下落・見送り"))),IF(AND(T35&gt;=12,AD35="パーフェクト▲"),"★強い買い",IF(AND(T35&gt;=12,AD35="上昇トレンド▲"),"★強い買い",IF(AND(T35&gt;=8,OR(AE35="25日線押し目●",AE35="5日線押し目○")),"◎押し目買い",IF(T35&gt;=10,"○買い候補",IF(T35&gt;=6,"△注目",IF(T35&gt;=3,"様子見","見送り"))))))))</f>
        <v/>
      </c>
      <c r="Z35" s="616">
        <f>IF(AND(E35&lt;&gt;"",G35&lt;&gt;"",G35&lt;&gt;0),(E35-G35)/G35*100,"")</f>
        <v/>
      </c>
      <c r="AA35" s="176">
        <f>IF(OR(C35="",E35="",E35=0),"",IF(E35&gt;G35,"上昇▲",IF(E35&lt;G35,"下落▼","横ばい→")))</f>
        <v/>
      </c>
      <c r="AB35" s="440">
        <f>IF(C35="","",IFERROR(((終値!E37*0.333)+(終値!F37*0.222)+(終値!G37*0.148)+(終値!H37*0.099)+(終値!I37*0.066)+(終値!J37*0.044)+(終値!K37*0.029)+(終値!L37*0.019)+(終値!M37*0.013)+(終値!N37*0.009))/(0.333+0.222+0.148+0.099+0.066+0.044+0.029+0.019+0.013+0.009),""))</f>
        <v/>
      </c>
      <c r="AC35" s="440">
        <f>IF(C35="","",IFERROR(SUMPRODUCT((終値!E37:AC37)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5" s="441">
        <f>IF(OR(C35="",AB35="",AC35=""),"",IF(AND(E35&gt;AB35,AB35&gt;AC35),"パーフェクト▲",IF(E35&gt;AC35,"上昇トレンド▲",IF(AND(E35&lt;AB35,AB35&lt;AC35),"下降トレンド▼","もみ合い→"))))</f>
        <v/>
      </c>
      <c r="AE35" s="441">
        <f>IF(OR(C35="",AB35="",AC35=""),"",IF(AND(ABS(E35-AC35)/AC35&lt;=0.02,E35&gt;AC35),"25日押し目★",IF(AND(ABS(E35-AB35)/AB35&lt;=0.01,E35&gt;AB35),"5日押し目○","なし")))</f>
        <v/>
      </c>
      <c r="AF35" s="617">
        <f t="array" ref="AF35">IF(C35="","",IFERROR((INDEX(終値!$E:$E,MATCH(TEXT(C35,"0"),終値!$A:$A,0))-INDEX(終値!$E:$BL,MATCH(TEXT(C35,"0"),終値!$A:$A,0),$AL$2))/INDEX(終値!$E:$BL,MATCH(TEXT(C35,"0"),終値!$A:$A,0),$AL$2)*100,""))</f>
        <v/>
      </c>
      <c r="AG35" s="617">
        <f t="array" ref="AG35">IFERROR((終値!$E$5-INDEX(終値!$E$5:$BL$5,1,$AL$2))/INDEX(終値!$E$5:$BL$5,1,$AL$2)*100,"")</f>
        <v/>
      </c>
      <c r="AH35" s="618">
        <f>IF(OR(AF35="",AG35=""),"",AF35-AG35)</f>
        <v/>
      </c>
      <c r="AI35" s="385">
        <f>IF(AH35="","",IF(AH35&gt;5,3,IF(AH35&gt;0,1,IF(AH35&gt;-3,-1,-2))))</f>
        <v/>
      </c>
    </row>
    <row r="36" ht="18" customFormat="1" customHeight="1" s="187">
      <c r="A36" s="176">
        <f>IF(銘柄管理!B43&lt;&gt;"",HYPERLINK("https://kabutan.jp/stock/?code="&amp;銘柄管理!B43,"株探"),"")</f>
        <v/>
      </c>
      <c r="B36" s="177" t="n"/>
      <c r="C36" s="178">
        <f>IF(銘柄管理!B43="","",銘柄管理!B43)</f>
        <v/>
      </c>
      <c r="D36" s="106">
        <f>IF(銘柄管理!C43="","",銘柄管理!C43)</f>
        <v/>
      </c>
      <c r="E36" s="179">
        <f>IF(C36&lt;&gt;"",_xll.RssMarket(C36,"現在値"),"")</f>
        <v/>
      </c>
      <c r="F36" s="179">
        <f>IF(C36&lt;&gt;"",_xll.RssMarket(C36,"始値"),"")</f>
        <v/>
      </c>
      <c r="G36" s="178">
        <f>IF(C36&lt;&gt;"",終値!F43,"")</f>
        <v/>
      </c>
      <c r="H36" s="179">
        <f>IF(C36&lt;&gt;"",_xll.RssMarket(C36,"高値"),"")</f>
        <v/>
      </c>
      <c r="I36" s="179">
        <f>IF(C36&lt;&gt;"",_xll.RssMarket(C36,"安値"),"")</f>
        <v/>
      </c>
      <c r="J36" s="179">
        <f>IF(C36&lt;&gt;"",_xll.RssMarket(C36,"出来高"),"")</f>
        <v/>
      </c>
      <c r="K36" s="179">
        <f>IF(C36&lt;&gt;"",_xll.RssMarket(C36,"年初来高値"),"")</f>
        <v/>
      </c>
      <c r="L36" s="613">
        <f>IF(AND(E36&lt;&gt;"",K36&lt;&gt;"",K36&lt;&gt;0),(E36-K36)/K36*100,"")</f>
        <v/>
      </c>
      <c r="M36" s="179">
        <f>IF(C36&lt;&gt;"",IFERROR(AVERAGE(出来高!E43:I43),""),"")</f>
        <v/>
      </c>
      <c r="N36" s="179">
        <f>IF(C36&lt;&gt;"",IFERROR(AVERAGE(出来高!E43:AC43),""),"")</f>
        <v/>
      </c>
      <c r="O36" s="614">
        <f>IF(AND(J36&lt;&gt;"",M36&lt;&gt;"",M36&lt;&gt;0),J36/M36,"")</f>
        <v/>
      </c>
      <c r="P36" s="176">
        <f>IF(O36="","",IF(O36&gt;=2,"急増↑↑",IF(O36&gt;=1.5,"増加↑",IF(O36&gt;=1,"普通→","減少↓"))))</f>
        <v/>
      </c>
      <c r="Q36" s="176">
        <f>IF(E36="","",IF(AND(E36&gt;G36,O36&gt;=1.5),"買い▲",IF(E36&lt;G36,"様子見▼","中立→")))</f>
        <v/>
      </c>
      <c r="R36" s="179">
        <f>IF(E36&lt;&gt;"",ROUND(E36*1.08,0),"")</f>
        <v/>
      </c>
      <c r="S36" s="179">
        <f>IF(E36&lt;&gt;"",ROUND(E36*0.96,0),"")</f>
        <v/>
      </c>
      <c r="T36" s="176">
        <f>IF(C36="","",IFERROR(IF(O36&gt;=2,3,IF(O36&gt;=1.5,2,IF(O36&gt;=1,1,0)))+IF(E36&gt;G36,1,0)+IF(L36&gt;=-5,1,0)+IF(Q36="買い▲",2,0)+IF(W36&lt;=30,3,IF(W36&lt;=40,2,IF(AND(W36&gt;=40,W36&lt;=60),1,0)))+IF(X36&gt;0,1,0)+IF(V36="年初来高値更新●",3,IF(V36="高値圏",2,0))+IF(AD36="パーフェクト▲",3,IF(AD36="上昇トレンド▲",2,0))+IF(AE36="25日線押し目●",2,IF(AE36="5日線押し目○",1,0))+IF(P36="急増↑↑",2,IF(P36="増加↑",1,0))+N(AI36),0))</f>
        <v/>
      </c>
      <c r="U36" s="176">
        <f>IF(T36="","",IF(AND(T36&gt;=3,O36&gt;=1.5),"有効",IF(T36&gt;=3,"要確認","除外")))</f>
        <v/>
      </c>
      <c r="V36" s="176">
        <f>IF(AND(H36&lt;&gt;"",K36&lt;&gt;""),IF(H36&gt;=K36,"年初来高値更新●",IF(H36&gt;=K36*0.95,"高値圏","通常")),"")</f>
        <v/>
      </c>
      <c r="W36" s="615">
        <f t="array" ref="W36">IF(C36&lt;&gt;"",IFERROR(100-100/(1+SUMPRODUCT((終値!F43:R43&gt;終値!G43:S43)*( 終値!F43:R43-終値!G43:S43))/SUMPRODUCT((終値!F43:R43&lt;終値!G43:S43)*(終値!G43:S43-終値!F43:R43))),50),"")</f>
        <v/>
      </c>
      <c r="X36" s="183">
        <f>IF(C36&lt;&gt;"",IFERROR(SUMPRODUCT(終値!E43:P43,{0.154,0.132,0.113,0.097,0.083,0.071,0.061,0.052,0.045,0.038,0.033,0.028})/SUMPRODUCT({0.154,0.132,0.113,0.097,0.083,0.071,0.061,0.052,0.045,0.038,0.033,0.028})-SUMPRODUCT(終値!E43:AD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6" s="570">
        <f>IF(T36="","",IF(銘柄管理!$F$5="下落▼",IF(AND(AD36="パーフェクト▲",OR(AE36="25日線押し目●",AE36="5日線押し目○")),"★逆張り候補",IF(AND(AD36="上昇トレンド▲",OR(AE36="25日線押し目●",AE36="5日線押し目○")),"○逆張り候補",IF(W36&lt;=30,IF(Z36&gt;0,"◎反発確認",IF(Z36&lt;-5,"△要注意・様子見","△売られ過ぎ注目")),"相場下落・見送り"))),IF(AND(T36&gt;=12,AD36="パーフェクト▲"),"★強い買い",IF(AND(T36&gt;=12,AD36="上昇トレンド▲"),"★強い買い",IF(AND(T36&gt;=8,OR(AE36="25日線押し目●",AE36="5日線押し目○")),"◎押し目買い",IF(T36&gt;=10,"○買い候補",IF(T36&gt;=6,"△注目",IF(T36&gt;=3,"様子見","見送り"))))))))</f>
        <v/>
      </c>
      <c r="Z36" s="616">
        <f>IF(AND(E36&lt;&gt;"",G36&lt;&gt;"",G36&lt;&gt;0),(E36-G36)/G36*100,"")</f>
        <v/>
      </c>
      <c r="AA36" s="176">
        <f>IF(OR(C36="",E36="",E36=0),"",IF(E36&gt;G36,"上昇▲",IF(E36&lt;G36,"下落▼","横ばい→")))</f>
        <v/>
      </c>
      <c r="AB36" s="438">
        <f>IF(C36="","",IFERROR(((終値!E38*0.333)+(終値!F38*0.222)+(終値!G38*0.148)+(終値!H38*0.099)+(終値!I38*0.066)+(終値!J38*0.044)+(終値!K38*0.029)+(終値!L38*0.019)+(終値!M38*0.013)+(終値!N38*0.009))/(0.333+0.222+0.148+0.099+0.066+0.044+0.029+0.019+0.013+0.009),""))</f>
        <v/>
      </c>
      <c r="AC36" s="438">
        <f>IF(C36="","",IFERROR(SUMPRODUCT((終値!E38:AC38)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6" s="439">
        <f>IF(OR(C36="",AB36="",AC36=""),"",IF(AND(E36&gt;AB36,AB36&gt;AC36),"パーフェクト▲",IF(E36&gt;AC36,"上昇トレンド▲",IF(AND(E36&lt;AB36,AB36&lt;AC36),"下降トレンド▼","もみ合い→"))))</f>
        <v/>
      </c>
      <c r="AE36" s="439">
        <f>IF(OR(C36="",AB36="",AC36=""),"",IF(AND(ABS(E36-AC36)/AC36&lt;=0.02,E36&gt;AC36),"25日押し目★",IF(AND(ABS(E36-AB36)/AB36&lt;=0.01,E36&gt;AB36),"5日押し目○","なし")))</f>
        <v/>
      </c>
      <c r="AF36" s="617">
        <f t="array" ref="AF36">IF(C36="","",IFERROR((INDEX(終値!$E:$E,MATCH(TEXT(C36,"0"),終値!$A:$A,0))-INDEX(終値!$E:$BL,MATCH(TEXT(C36,"0"),終値!$A:$A,0),$AL$2))/INDEX(終値!$E:$BL,MATCH(TEXT(C36,"0"),終値!$A:$A,0),$AL$2)*100,""))</f>
        <v/>
      </c>
      <c r="AG36" s="617">
        <f t="array" ref="AG36">IFERROR((終値!$E$5-INDEX(終値!$E$5:$BL$5,1,$AL$2))/INDEX(終値!$E$5:$BL$5,1,$AL$2)*100,"")</f>
        <v/>
      </c>
      <c r="AH36" s="618">
        <f>IF(OR(AF36="",AG36=""),"",AF36-AG36)</f>
        <v/>
      </c>
      <c r="AI36" s="385">
        <f>IF(AH36="","",IF(AH36&gt;5,3,IF(AH36&gt;0,1,IF(AH36&gt;-3,-1,-2))))</f>
        <v/>
      </c>
    </row>
    <row r="37" ht="18" customFormat="1" customHeight="1" s="187">
      <c r="A37" s="176">
        <f>IF(銘柄管理!B22&lt;&gt;"",HYPERLINK("https://kabutan.jp/stock/?code="&amp;銘柄管理!B22,"株探"),"")</f>
        <v/>
      </c>
      <c r="B37" s="177" t="n"/>
      <c r="C37" s="178">
        <f>IF(銘柄管理!B22="","",銘柄管理!B22)</f>
        <v/>
      </c>
      <c r="D37" s="106">
        <f>IF(銘柄管理!C22="","",銘柄管理!C22)</f>
        <v/>
      </c>
      <c r="E37" s="179">
        <f>IF(C37&lt;&gt;"",_xll.RssMarket(C37,"現在値"),"")</f>
        <v/>
      </c>
      <c r="F37" s="179">
        <f>IF(C37&lt;&gt;"",_xll.RssMarket(C37,"始値"),"")</f>
        <v/>
      </c>
      <c r="G37" s="178">
        <f>IF(C37&lt;&gt;"",終値!F22,"")</f>
        <v/>
      </c>
      <c r="H37" s="179">
        <f>IF(C37&lt;&gt;"",_xll.RssMarket(C37,"高値"),"")</f>
        <v/>
      </c>
      <c r="I37" s="179">
        <f>IF(C37&lt;&gt;"",_xll.RssMarket(C37,"安値"),"")</f>
        <v/>
      </c>
      <c r="J37" s="179">
        <f>IF(C37&lt;&gt;"",_xll.RssMarket(C37,"出来高"),"")</f>
        <v/>
      </c>
      <c r="K37" s="179">
        <f>IF(C37&lt;&gt;"",_xll.RssMarket(C37,"年初来高値"),"")</f>
        <v/>
      </c>
      <c r="L37" s="613">
        <f>IF(AND(E37&lt;&gt;"",K37&lt;&gt;"",K37&lt;&gt;0),(E37-K37)/K37*100,"")</f>
        <v/>
      </c>
      <c r="M37" s="179">
        <f>IF(C37&lt;&gt;"",IFERROR(AVERAGE(出来高!E22:I22),""),"")</f>
        <v/>
      </c>
      <c r="N37" s="179">
        <f>IF(C37&lt;&gt;"",IFERROR(AVERAGE(出来高!E22:AC22),""),"")</f>
        <v/>
      </c>
      <c r="O37" s="614">
        <f>IF(AND(J37&lt;&gt;"",M37&lt;&gt;"",M37&lt;&gt;0),J37/M37,"")</f>
        <v/>
      </c>
      <c r="P37" s="176">
        <f>IF(O37="","",IF(O37&gt;=2,"急増↑↑",IF(O37&gt;=1.5,"増加↑",IF(O37&gt;=1,"普通→","減少↓"))))</f>
        <v/>
      </c>
      <c r="Q37" s="176">
        <f>IF(E37="","",IF(AND(E37&gt;G37,O37&gt;=1.5),"買い▲",IF(E37&lt;G37,"様子見▼","中立→")))</f>
        <v/>
      </c>
      <c r="R37" s="179">
        <f>IF(E37&lt;&gt;"",ROUND(E37*1.08,0),"")</f>
        <v/>
      </c>
      <c r="S37" s="179">
        <f>IF(E37&lt;&gt;"",ROUND(E37*0.96,0),"")</f>
        <v/>
      </c>
      <c r="T37" s="176">
        <f>IF(C37="","",IFERROR(IF(O37&gt;=2,3,IF(O37&gt;=1.5,2,IF(O37&gt;=1,1,0)))+IF(E37&gt;G37,1,0)+IF(L37&gt;=-5,1,0)+IF(Q37="買い▲",2,0)+IF(W37&lt;=30,3,IF(W37&lt;=40,2,IF(AND(W37&gt;=40,W37&lt;=60),1,0)))+IF(X37&gt;0,1,0)+IF(V37="年初来高値更新●",3,IF(V37="高値圏",2,0))+IF(AD37="パーフェクト▲",3,IF(AD37="上昇トレンド▲",2,0))+IF(AE37="25日線押し目●",2,IF(AE37="5日線押し目○",1,0))+IF(P37="急増↑↑",2,IF(P37="増加↑",1,0))+N(AI37),0))</f>
        <v/>
      </c>
      <c r="U37" s="176">
        <f>IF(T37="","",IF(AND(T37&gt;=3,O37&gt;=1.5),"有効",IF(T37&gt;=3,"要確認","除外")))</f>
        <v/>
      </c>
      <c r="V37" s="176">
        <f>IF(AND(H37&lt;&gt;"",K37&lt;&gt;""),IF(H37&gt;=K37,"年初来高値更新●",IF(H37&gt;=K37*0.95,"高値圏","通常")),"")</f>
        <v/>
      </c>
      <c r="W37" s="615">
        <f t="array" ref="W37">IF(C37&lt;&gt;"",IFERROR(100-100/(1+SUMPRODUCT((終値!F22:R22&gt;終値!G22:S22)*( 終値!F22:R22-終値!G22:S22))/SUMPRODUCT((終値!F22:R22&lt;終値!G22:S22)*(終値!G22:S22-終値!F22:R22))),50),"")</f>
        <v/>
      </c>
      <c r="X37" s="183">
        <f>IF(C37&lt;&gt;"",IFERROR(SUMPRODUCT(終値!E22:P22,{0.154,0.132,0.113,0.097,0.083,0.071,0.061,0.052,0.045,0.038,0.033,0.028})/SUMPRODUCT({0.154,0.132,0.113,0.097,0.083,0.071,0.061,0.052,0.045,0.038,0.033,0.028})-SUMPRODUCT(終値!E22:AD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7" s="570">
        <f>IF(T37="","",IF(銘柄管理!$F$5="下落▼",IF(AND(AD37="パーフェクト▲",OR(AE37="25日線押し目●",AE37="5日線押し目○")),"★逆張り候補",IF(AND(AD37="上昇トレンド▲",OR(AE37="25日線押し目●",AE37="5日線押し目○")),"○逆張り候補",IF(W37&lt;=30,IF(Z37&gt;0,"◎反発確認",IF(Z37&lt;-5,"△要注意・様子見","△売られ過ぎ注目")),"相場下落・見送り"))),IF(AND(T37&gt;=12,AD37="パーフェクト▲"),"★強い買い",IF(AND(T37&gt;=12,AD37="上昇トレンド▲"),"★強い買い",IF(AND(T37&gt;=8,OR(AE37="25日線押し目●",AE37="5日線押し目○")),"◎押し目買い",IF(T37&gt;=10,"○買い候補",IF(T37&gt;=6,"△注目",IF(T37&gt;=3,"様子見","見送り"))))))))</f>
        <v/>
      </c>
      <c r="Z37" s="616">
        <f>IF(AND(E37&lt;&gt;"",G37&lt;&gt;"",G37&lt;&gt;0),(E37-G37)/G37*100,"")</f>
        <v/>
      </c>
      <c r="AA37" s="176">
        <f>IF(OR(C37="",E37="",E37=0),"",IF(E37&gt;G37,"上昇▲",IF(E37&lt;G37,"下落▼","横ばい→")))</f>
        <v/>
      </c>
      <c r="AB37" s="440">
        <f>IF(C37="","",IFERROR(((終値!E39*0.333)+(終値!F39*0.222)+(終値!G39*0.148)+(終値!H39*0.099)+(終値!I39*0.066)+(終値!J39*0.044)+(終値!K39*0.029)+(終値!L39*0.019)+(終値!M39*0.013)+(終値!N39*0.009))/(0.333+0.222+0.148+0.099+0.066+0.044+0.029+0.019+0.013+0.009),""))</f>
        <v/>
      </c>
      <c r="AC37" s="440">
        <f>IF(C37="","",IFERROR(SUMPRODUCT((終値!E39:AC39)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7" s="441">
        <f>IF(OR(C37="",AB37="",AC37=""),"",IF(AND(E37&gt;AB37,AB37&gt;AC37),"パーフェクト▲",IF(E37&gt;AC37,"上昇トレンド▲",IF(AND(E37&lt;AB37,AB37&lt;AC37),"下降トレンド▼","もみ合い→"))))</f>
        <v/>
      </c>
      <c r="AE37" s="441">
        <f>IF(OR(C37="",AB37="",AC37=""),"",IF(AND(ABS(E37-AC37)/AC37&lt;=0.02,E37&gt;AC37),"25日押し目★",IF(AND(ABS(E37-AB37)/AB37&lt;=0.01,E37&gt;AB37),"5日押し目○","なし")))</f>
        <v/>
      </c>
      <c r="AF37" s="617">
        <f t="array" ref="AF37">IF(C37="","",IFERROR((INDEX(終値!$E:$E,MATCH(TEXT(C37,"0"),終値!$A:$A,0))-INDEX(終値!$E:$BL,MATCH(TEXT(C37,"0"),終値!$A:$A,0),$AL$2))/INDEX(終値!$E:$BL,MATCH(TEXT(C37,"0"),終値!$A:$A,0),$AL$2)*100,""))</f>
        <v/>
      </c>
      <c r="AG37" s="617">
        <f t="array" ref="AG37">IFERROR((終値!$E$5-INDEX(終値!$E$5:$BL$5,1,$AL$2))/INDEX(終値!$E$5:$BL$5,1,$AL$2)*100,"")</f>
        <v/>
      </c>
      <c r="AH37" s="618">
        <f>IF(OR(AF37="",AG37=""),"",AF37-AG37)</f>
        <v/>
      </c>
      <c r="AI37" s="385">
        <f>IF(AH37="","",IF(AH37&gt;5,3,IF(AH37&gt;0,1,IF(AH37&gt;-3,-1,-2))))</f>
        <v/>
      </c>
    </row>
    <row r="38" ht="18" customFormat="1" customHeight="1" s="187">
      <c r="A38" s="176">
        <f>IF(銘柄管理!B164&lt;&gt;"",HYPERLINK("https://kabutan.jp/stock/?code="&amp;銘柄管理!B164,"株探"),"")</f>
        <v/>
      </c>
      <c r="B38" s="177" t="n"/>
      <c r="C38" s="178">
        <f>IF(銘柄管理!B164="","",銘柄管理!B164)</f>
        <v/>
      </c>
      <c r="D38" s="106">
        <f>IF(銘柄管理!C164="","",銘柄管理!C164)</f>
        <v/>
      </c>
      <c r="E38" s="179">
        <f>IF(C38&lt;&gt;"",_xll.RssMarket(C38,"現在値"),"")</f>
        <v/>
      </c>
      <c r="F38" s="179">
        <f>IF(C38&lt;&gt;"",_xll.RssMarket(C38,"始値"),"")</f>
        <v/>
      </c>
      <c r="G38" s="178">
        <f>IF(C38&lt;&gt;"",終値!F164,"")</f>
        <v/>
      </c>
      <c r="H38" s="179">
        <f>IF(C38&lt;&gt;"",_xll.RssMarket(C38,"高値"),"")</f>
        <v/>
      </c>
      <c r="I38" s="179">
        <f>IF(C38&lt;&gt;"",_xll.RssMarket(C38,"安値"),"")</f>
        <v/>
      </c>
      <c r="J38" s="179">
        <f>IF(C38&lt;&gt;"",_xll.RssMarket(C38,"出来高"),"")</f>
        <v/>
      </c>
      <c r="K38" s="179">
        <f>IF(C38&lt;&gt;"",_xll.RssMarket(C38,"年初来高値"),"")</f>
        <v/>
      </c>
      <c r="L38" s="613">
        <f>IF(AND(E38&lt;&gt;"",K38&lt;&gt;"",K38&lt;&gt;0),(E38-K38)/K38*100,"")</f>
        <v/>
      </c>
      <c r="M38" s="179">
        <f>IF(C38&lt;&gt;"",IFERROR(AVERAGE(出来高!E164:I164),""),"")</f>
        <v/>
      </c>
      <c r="N38" s="179">
        <f>IF(C38&lt;&gt;"",IFERROR(AVERAGE(出来高!E164:AC164),""),"")</f>
        <v/>
      </c>
      <c r="O38" s="614">
        <f>IF(AND(J38&lt;&gt;"",M38&lt;&gt;"",M38&lt;&gt;0),J38/M38,"")</f>
        <v/>
      </c>
      <c r="P38" s="176">
        <f>IF(O38="","",IF(O38&gt;=2,"急増↑↑",IF(O38&gt;=1.5,"増加↑",IF(O38&gt;=1,"普通→","減少↓"))))</f>
        <v/>
      </c>
      <c r="Q38" s="176">
        <f>IF(E38="","",IF(AND(E38&gt;G38,O38&gt;=1.5),"買い▲",IF(E38&lt;G38,"様子見▼","中立→")))</f>
        <v/>
      </c>
      <c r="R38" s="179">
        <f>IF(E38&lt;&gt;"",ROUND(E38*1.08,0),"")</f>
        <v/>
      </c>
      <c r="S38" s="179">
        <f>IF(E38&lt;&gt;"",ROUND(E38*0.96,0),"")</f>
        <v/>
      </c>
      <c r="T38" s="176">
        <f>IF(C38="","",IFERROR(IF(O38&gt;=2,3,IF(O38&gt;=1.5,2,IF(O38&gt;=1,1,0)))+IF(E38&gt;G38,1,0)+IF(L38&gt;=-5,1,0)+IF(Q38="買い▲",2,0)+IF(W38&lt;=30,3,IF(W38&lt;=40,2,IF(AND(W38&gt;=40,W38&lt;=60),1,0)))+IF(X38&gt;0,1,0)+IF(V38="年初来高値更新●",3,IF(V38="高値圏",2,0))+IF(AD38="パーフェクト▲",3,IF(AD38="上昇トレンド▲",2,0))+IF(AE38="25日線押し目●",2,IF(AE38="5日線押し目○",1,0))+IF(P38="急増↑↑",2,IF(P38="増加↑",1,0))+N(AI38),0))</f>
        <v/>
      </c>
      <c r="U38" s="176">
        <f>IF(T38="","",IF(AND(T38&gt;=3,O38&gt;=1.5),"有効",IF(T38&gt;=3,"要確認","除外")))</f>
        <v/>
      </c>
      <c r="V38" s="176">
        <f>IF(AND(H38&lt;&gt;"",K38&lt;&gt;""),IF(H38&gt;=K38,"年初来高値更新●",IF(H38&gt;=K38*0.95,"高値圏","通常")),"")</f>
        <v/>
      </c>
      <c r="W38" s="615">
        <f t="array" ref="W38">IF(C38&lt;&gt;"",IFERROR(100-100/(1+SUMPRODUCT((終値!F164:R164&gt;終値!G164:S164)*( 終値!F164:R164-終値!G164:S164))/SUMPRODUCT((終値!F164:R164&lt;終値!G164:S164)*(終値!G164:S164-終値!F164:R164))),50),"")</f>
        <v/>
      </c>
      <c r="X38" s="183">
        <f>IF(C38&lt;&gt;"",IFERROR(SUMPRODUCT(終値!E164:P164,{0.154,0.132,0.113,0.097,0.083,0.071,0.061,0.052,0.045,0.038,0.033,0.028})/SUMPRODUCT({0.154,0.132,0.113,0.097,0.083,0.071,0.061,0.052,0.045,0.038,0.033,0.028})-SUMPRODUCT(終値!E164:AD164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8" s="570">
        <f>IF(T38="","",IF(銘柄管理!$F$5="下落▼",IF(AND(AD38="パーフェクト▲",OR(AE38="25日線押し目●",AE38="5日線押し目○")),"★逆張り候補",IF(AND(AD38="上昇トレンド▲",OR(AE38="25日線押し目●",AE38="5日線押し目○")),"○逆張り候補",IF(W38&lt;=30,IF(Z38&gt;0,"◎反発確認",IF(Z38&lt;-5,"△要注意・様子見","△売られ過ぎ注目")),"相場下落・見送り"))),IF(AND(T38&gt;=12,AD38="パーフェクト▲"),"★強い買い",IF(AND(T38&gt;=12,AD38="上昇トレンド▲"),"★強い買い",IF(AND(T38&gt;=8,OR(AE38="25日線押し目●",AE38="5日線押し目○")),"◎押し目買い",IF(T38&gt;=10,"○買い候補",IF(T38&gt;=6,"△注目",IF(T38&gt;=3,"様子見","見送り"))))))))</f>
        <v/>
      </c>
      <c r="Z38" s="616">
        <f>IF(AND(E38&lt;&gt;"",G38&lt;&gt;"",G38&lt;&gt;0),(E38-G38)/G38*100,"")</f>
        <v/>
      </c>
      <c r="AA38" s="176">
        <f>IF(OR(C38="",E38="",E38=0),"",IF(E38&gt;G38,"上昇▲",IF(E38&lt;G38,"下落▼","横ばい→")))</f>
        <v/>
      </c>
      <c r="AB38" s="438">
        <f>IF(C38="","",IFERROR(((終値!E40*0.333)+(終値!F40*0.222)+(終値!G40*0.148)+(終値!H40*0.099)+(終値!I40*0.066)+(終値!J40*0.044)+(終値!K40*0.029)+(終値!L40*0.019)+(終値!M40*0.013)+(終値!N40*0.009))/(0.333+0.222+0.148+0.099+0.066+0.044+0.029+0.019+0.013+0.009),""))</f>
        <v/>
      </c>
      <c r="AC38" s="438">
        <f>IF(C38="","",IFERROR(SUMPRODUCT((終値!E40:AC40)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8" s="439">
        <f>IF(OR(C38="",AB38="",AC38=""),"",IF(AND(E38&gt;AB38,AB38&gt;AC38),"パーフェクト▲",IF(E38&gt;AC38,"上昇トレンド▲",IF(AND(E38&lt;AB38,AB38&lt;AC38),"下降トレンド▼","もみ合い→"))))</f>
        <v/>
      </c>
      <c r="AE38" s="439">
        <f>IF(OR(C38="",AB38="",AC38=""),"",IF(AND(ABS(E38-AC38)/AC38&lt;=0.02,E38&gt;AC38),"25日押し目★",IF(AND(ABS(E38-AB38)/AB38&lt;=0.01,E38&gt;AB38),"5日押し目○","なし")))</f>
        <v/>
      </c>
      <c r="AF38" s="617">
        <f t="array" ref="AF38">IF(C38="","",IFERROR((INDEX(終値!$E:$E,MATCH(TEXT(C38,"0"),終値!$A:$A,0))-INDEX(終値!$E:$BL,MATCH(TEXT(C38,"0"),終値!$A:$A,0),$AL$2))/INDEX(終値!$E:$BL,MATCH(TEXT(C38,"0"),終値!$A:$A,0),$AL$2)*100,""))</f>
        <v/>
      </c>
      <c r="AG38" s="617">
        <f t="array" ref="AG38">IFERROR((終値!$E$5-INDEX(終値!$E$5:$BL$5,1,$AL$2))/INDEX(終値!$E$5:$BL$5,1,$AL$2)*100,"")</f>
        <v/>
      </c>
      <c r="AH38" s="618">
        <f>IF(OR(AF38="",AG38=""),"",AF38-AG38)</f>
        <v/>
      </c>
      <c r="AI38" s="385">
        <f>IF(AH38="","",IF(AH38&gt;5,3,IF(AH38&gt;0,1,IF(AH38&gt;-3,-1,-2))))</f>
        <v/>
      </c>
    </row>
    <row r="39" ht="18" customFormat="1" customHeight="1" s="187">
      <c r="A39" s="176">
        <f>IF(銘柄管理!B54&lt;&gt;"",HYPERLINK("https://kabutan.jp/stock/?code="&amp;銘柄管理!B54,"株探"),"")</f>
        <v/>
      </c>
      <c r="B39" s="177" t="n"/>
      <c r="C39" s="178">
        <f>IF(銘柄管理!B54="","",銘柄管理!B54)</f>
        <v/>
      </c>
      <c r="D39" s="106">
        <f>IF(銘柄管理!C54="","",銘柄管理!C54)</f>
        <v/>
      </c>
      <c r="E39" s="179">
        <f>IF(C39&lt;&gt;"",_xll.RssMarket(C39,"現在値"),"")</f>
        <v/>
      </c>
      <c r="F39" s="179">
        <f>IF(C39&lt;&gt;"",_xll.RssMarket(C39,"始値"),"")</f>
        <v/>
      </c>
      <c r="G39" s="178">
        <f>IF(C39&lt;&gt;"",終値!F54,"")</f>
        <v/>
      </c>
      <c r="H39" s="179">
        <f>IF(C39&lt;&gt;"",_xll.RssMarket(C39,"高値"),"")</f>
        <v/>
      </c>
      <c r="I39" s="179">
        <f>IF(C39&lt;&gt;"",_xll.RssMarket(C39,"安値"),"")</f>
        <v/>
      </c>
      <c r="J39" s="179">
        <f>IF(C39&lt;&gt;"",_xll.RssMarket(C39,"出来高"),"")</f>
        <v/>
      </c>
      <c r="K39" s="179">
        <f>IF(C39&lt;&gt;"",_xll.RssMarket(C39,"年初来高値"),"")</f>
        <v/>
      </c>
      <c r="L39" s="613">
        <f>IF(AND(E39&lt;&gt;"",K39&lt;&gt;"",K39&lt;&gt;0),(E39-K39)/K39*100,"")</f>
        <v/>
      </c>
      <c r="M39" s="179">
        <f>IF(C39&lt;&gt;"",IFERROR(AVERAGE(出来高!E54:I54),""),"")</f>
        <v/>
      </c>
      <c r="N39" s="179">
        <f>IF(C39&lt;&gt;"",IFERROR(AVERAGE(出来高!E54:AC54),""),"")</f>
        <v/>
      </c>
      <c r="O39" s="614">
        <f>IF(AND(J39&lt;&gt;"",M39&lt;&gt;"",M39&lt;&gt;0),J39/M39,"")</f>
        <v/>
      </c>
      <c r="P39" s="176">
        <f>IF(O39="","",IF(O39&gt;=2,"急増↑↑",IF(O39&gt;=1.5,"増加↑",IF(O39&gt;=1,"普通→","減少↓"))))</f>
        <v/>
      </c>
      <c r="Q39" s="176">
        <f>IF(E39="","",IF(AND(E39&gt;G39,O39&gt;=1.5),"買い▲",IF(E39&lt;G39,"様子見▼","中立→")))</f>
        <v/>
      </c>
      <c r="R39" s="179">
        <f>IF(E39&lt;&gt;"",ROUND(E39*1.08,0),"")</f>
        <v/>
      </c>
      <c r="S39" s="179">
        <f>IF(E39&lt;&gt;"",ROUND(E39*0.96,0),"")</f>
        <v/>
      </c>
      <c r="T39" s="176">
        <f>IF(C39="","",IFERROR(IF(O39&gt;=2,3,IF(O39&gt;=1.5,2,IF(O39&gt;=1,1,0)))+IF(E39&gt;G39,1,0)+IF(L39&gt;=-5,1,0)+IF(Q39="買い▲",2,0)+IF(W39&lt;=30,3,IF(W39&lt;=40,2,IF(AND(W39&gt;=40,W39&lt;=60),1,0)))+IF(X39&gt;0,1,0)+IF(V39="年初来高値更新●",3,IF(V39="高値圏",2,0))+IF(AD39="パーフェクト▲",3,IF(AD39="上昇トレンド▲",2,0))+IF(AE39="25日線押し目●",2,IF(AE39="5日線押し目○",1,0))+IF(P39="急増↑↑",2,IF(P39="増加↑",1,0))+N(AI39),0))</f>
        <v/>
      </c>
      <c r="U39" s="176">
        <f>IF(T39="","",IF(AND(T39&gt;=3,O39&gt;=1.5),"有効",IF(T39&gt;=3,"要確認","除外")))</f>
        <v/>
      </c>
      <c r="V39" s="176">
        <f>IF(AND(H39&lt;&gt;"",K39&lt;&gt;""),IF(H39&gt;=K39,"年初来高値更新●",IF(H39&gt;=K39*0.95,"高値圏","通常")),"")</f>
        <v/>
      </c>
      <c r="W39" s="615">
        <f t="array" ref="W39">IF(C39&lt;&gt;"",IFERROR(100-100/(1+SUMPRODUCT((終値!F54:R54&gt;終値!G54:S54)*( 終値!F54:R54-終値!G54:S54))/SUMPRODUCT((終値!F54:R54&lt;終値!G54:S54)*(終値!G54:S54-終値!F54:R54))),50),"")</f>
        <v/>
      </c>
      <c r="X39" s="183">
        <f>IF(C39&lt;&gt;"",IFERROR(SUMPRODUCT(終値!E54:P54,{0.154,0.132,0.113,0.097,0.083,0.071,0.061,0.052,0.045,0.038,0.033,0.028})/SUMPRODUCT({0.154,0.132,0.113,0.097,0.083,0.071,0.061,0.052,0.045,0.038,0.033,0.028})-SUMPRODUCT(終値!E54:AD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9" s="570">
        <f>IF(T39="","",IF(銘柄管理!$F$5="下落▼",IF(AND(AD39="パーフェクト▲",OR(AE39="25日線押し目●",AE39="5日線押し目○")),"★逆張り候補",IF(AND(AD39="上昇トレンド▲",OR(AE39="25日線押し目●",AE39="5日線押し目○")),"○逆張り候補",IF(W39&lt;=30,IF(Z39&gt;0,"◎反発確認",IF(Z39&lt;-5,"△要注意・様子見","△売られ過ぎ注目")),"相場下落・見送り"))),IF(AND(T39&gt;=12,AD39="パーフェクト▲"),"★強い買い",IF(AND(T39&gt;=12,AD39="上昇トレンド▲"),"★強い買い",IF(AND(T39&gt;=8,OR(AE39="25日線押し目●",AE39="5日線押し目○")),"◎押し目買い",IF(T39&gt;=10,"○買い候補",IF(T39&gt;=6,"△注目",IF(T39&gt;=3,"様子見","見送り"))))))))</f>
        <v/>
      </c>
      <c r="Z39" s="616">
        <f>IF(AND(E39&lt;&gt;"",G39&lt;&gt;"",G39&lt;&gt;0),(E39-G39)/G39*100,"")</f>
        <v/>
      </c>
      <c r="AA39" s="176">
        <f>IF(OR(C39="",E39="",E39=0),"",IF(E39&gt;G39,"上昇▲",IF(E39&lt;G39,"下落▼","横ばい→")))</f>
        <v/>
      </c>
      <c r="AB39" s="440">
        <f>IF(C39="","",IFERROR(((終値!E41*0.333)+(終値!F41*0.222)+(終値!G41*0.148)+(終値!H41*0.099)+(終値!I41*0.066)+(終値!J41*0.044)+(終値!K41*0.029)+(終値!L41*0.019)+(終値!M41*0.013)+(終値!N41*0.009))/(0.333+0.222+0.148+0.099+0.066+0.044+0.029+0.019+0.013+0.009),""))</f>
        <v/>
      </c>
      <c r="AC39" s="440">
        <f>IF(C39="","",IFERROR(SUMPRODUCT((終値!E41:AC41)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9" s="441">
        <f>IF(OR(C39="",AB39="",AC39=""),"",IF(AND(E39&gt;AB39,AB39&gt;AC39),"パーフェクト▲",IF(E39&gt;AC39,"上昇トレンド▲",IF(AND(E39&lt;AB39,AB39&lt;AC39),"下降トレンド▼","もみ合い→"))))</f>
        <v/>
      </c>
      <c r="AE39" s="441">
        <f>IF(OR(C39="",AB39="",AC39=""),"",IF(AND(ABS(E39-AC39)/AC39&lt;=0.02,E39&gt;AC39),"25日押し目★",IF(AND(ABS(E39-AB39)/AB39&lt;=0.01,E39&gt;AB39),"5日押し目○","なし")))</f>
        <v/>
      </c>
      <c r="AF39" s="617">
        <f t="array" ref="AF39">IF(C39="","",IFERROR((INDEX(終値!$E:$E,MATCH(TEXT(C39,"0"),終値!$A:$A,0))-INDEX(終値!$E:$BL,MATCH(TEXT(C39,"0"),終値!$A:$A,0),$AL$2))/INDEX(終値!$E:$BL,MATCH(TEXT(C39,"0"),終値!$A:$A,0),$AL$2)*100,""))</f>
        <v/>
      </c>
      <c r="AG39" s="617">
        <f t="array" ref="AG39">IFERROR((終値!$E$5-INDEX(終値!$E$5:$BL$5,1,$AL$2))/INDEX(終値!$E$5:$BL$5,1,$AL$2)*100,"")</f>
        <v/>
      </c>
      <c r="AH39" s="618">
        <f>IF(OR(AF39="",AG39=""),"",AF39-AG39)</f>
        <v/>
      </c>
      <c r="AI39" s="385">
        <f>IF(AH39="","",IF(AH39&gt;5,3,IF(AH39&gt;0,1,IF(AH39&gt;-3,-1,-2))))</f>
        <v/>
      </c>
    </row>
    <row r="40" ht="18" customFormat="1" customHeight="1" s="187">
      <c r="A40" s="176">
        <f>IF(銘柄管理!B40&lt;&gt;"",HYPERLINK("https://kabutan.jp/stock/?code="&amp;銘柄管理!B40,"株探"),"")</f>
        <v/>
      </c>
      <c r="B40" s="177" t="n"/>
      <c r="C40" s="178">
        <f>IF(銘柄管理!B40="","",銘柄管理!B40)</f>
        <v/>
      </c>
      <c r="D40" s="106">
        <f>IF(銘柄管理!C40="","",銘柄管理!C40)</f>
        <v/>
      </c>
      <c r="E40" s="179">
        <f>IF(C40&lt;&gt;"",_xll.RssMarket(C40,"現在値"),"")</f>
        <v/>
      </c>
      <c r="F40" s="179">
        <f>IF(C40&lt;&gt;"",_xll.RssMarket(C40,"始値"),"")</f>
        <v/>
      </c>
      <c r="G40" s="178">
        <f>IF(C40&lt;&gt;"",終値!F40,"")</f>
        <v/>
      </c>
      <c r="H40" s="179">
        <f>IF(C40&lt;&gt;"",_xll.RssMarket(C40,"高値"),"")</f>
        <v/>
      </c>
      <c r="I40" s="179">
        <f>IF(C40&lt;&gt;"",_xll.RssMarket(C40,"安値"),"")</f>
        <v/>
      </c>
      <c r="J40" s="179">
        <f>IF(C40&lt;&gt;"",_xll.RssMarket(C40,"出来高"),"")</f>
        <v/>
      </c>
      <c r="K40" s="179">
        <f>IF(C40&lt;&gt;"",_xll.RssMarket(C40,"年初来高値"),"")</f>
        <v/>
      </c>
      <c r="L40" s="613">
        <f>IF(AND(E40&lt;&gt;"",K40&lt;&gt;"",K40&lt;&gt;0),(E40-K40)/K40*100,"")</f>
        <v/>
      </c>
      <c r="M40" s="179">
        <f>IF(C40&lt;&gt;"",IFERROR(AVERAGE(出来高!E40:I40),""),"")</f>
        <v/>
      </c>
      <c r="N40" s="179">
        <f>IF(C40&lt;&gt;"",IFERROR(AVERAGE(出来高!E40:AC40),""),"")</f>
        <v/>
      </c>
      <c r="O40" s="614">
        <f>IF(AND(J40&lt;&gt;"",M40&lt;&gt;"",M40&lt;&gt;0),J40/M40,"")</f>
        <v/>
      </c>
      <c r="P40" s="176">
        <f>IF(O40="","",IF(O40&gt;=2,"急増↑↑",IF(O40&gt;=1.5,"増加↑",IF(O40&gt;=1,"普通→","減少↓"))))</f>
        <v/>
      </c>
      <c r="Q40" s="176">
        <f>IF(E40="","",IF(AND(E40&gt;G40,O40&gt;=1.5),"買い▲",IF(E40&lt;G40,"様子見▼","中立→")))</f>
        <v/>
      </c>
      <c r="R40" s="179">
        <f>IF(E40&lt;&gt;"",ROUND(E40*1.08,0),"")</f>
        <v/>
      </c>
      <c r="S40" s="179">
        <f>IF(E40&lt;&gt;"",ROUND(E40*0.96,0),"")</f>
        <v/>
      </c>
      <c r="T40" s="176">
        <f>IF(C40="","",IFERROR(IF(O40&gt;=2,3,IF(O40&gt;=1.5,2,IF(O40&gt;=1,1,0)))+IF(E40&gt;G40,1,0)+IF(L40&gt;=-5,1,0)+IF(Q40="買い▲",2,0)+IF(W40&lt;=30,3,IF(W40&lt;=40,2,IF(AND(W40&gt;=40,W40&lt;=60),1,0)))+IF(X40&gt;0,1,0)+IF(V40="年初来高値更新●",3,IF(V40="高値圏",2,0))+IF(AD40="パーフェクト▲",3,IF(AD40="上昇トレンド▲",2,0))+IF(AE40="25日線押し目●",2,IF(AE40="5日線押し目○",1,0))+IF(P40="急増↑↑",2,IF(P40="増加↑",1,0))+N(AI40),0))</f>
        <v/>
      </c>
      <c r="U40" s="176">
        <f>IF(T40="","",IF(AND(T40&gt;=3,O40&gt;=1.5),"有効",IF(T40&gt;=3,"要確認","除外")))</f>
        <v/>
      </c>
      <c r="V40" s="176">
        <f>IF(AND(H40&lt;&gt;"",K40&lt;&gt;""),IF(H40&gt;=K40,"年初来高値更新●",IF(H40&gt;=K40*0.95,"高値圏","通常")),"")</f>
        <v/>
      </c>
      <c r="W40" s="615">
        <f t="array" ref="W40">IF(C40&lt;&gt;"",IFERROR(100-100/(1+SUMPRODUCT((終値!F40:R40&gt;終値!G40:S40)*( 終値!F40:R40-終値!G40:S40))/SUMPRODUCT((終値!F40:R40&lt;終値!G40:S40)*(終値!G40:S40-終値!F40:R40))),50),"")</f>
        <v/>
      </c>
      <c r="X40" s="183">
        <f>IF(C40&lt;&gt;"",IFERROR(SUMPRODUCT(終値!E40:P40,{0.154,0.132,0.113,0.097,0.083,0.071,0.061,0.052,0.045,0.038,0.033,0.028})/SUMPRODUCT({0.154,0.132,0.113,0.097,0.083,0.071,0.061,0.052,0.045,0.038,0.033,0.028})-SUMPRODUCT(終値!E40:AD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0" s="570">
        <f>IF(T40="","",IF(銘柄管理!$F$5="下落▼",IF(AND(AD40="パーフェクト▲",OR(AE40="25日線押し目●",AE40="5日線押し目○")),"★逆張り候補",IF(AND(AD40="上昇トレンド▲",OR(AE40="25日線押し目●",AE40="5日線押し目○")),"○逆張り候補",IF(W40&lt;=30,IF(Z40&gt;0,"◎反発確認",IF(Z40&lt;-5,"△要注意・様子見","△売られ過ぎ注目")),"相場下落・見送り"))),IF(AND(T40&gt;=12,AD40="パーフェクト▲"),"★強い買い",IF(AND(T40&gt;=12,AD40="上昇トレンド▲"),"★強い買い",IF(AND(T40&gt;=8,OR(AE40="25日線押し目●",AE40="5日線押し目○")),"◎押し目買い",IF(T40&gt;=10,"○買い候補",IF(T40&gt;=6,"△注目",IF(T40&gt;=3,"様子見","見送り"))))))))</f>
        <v/>
      </c>
      <c r="Z40" s="616">
        <f>IF(AND(E40&lt;&gt;"",G40&lt;&gt;"",G40&lt;&gt;0),(E40-G40)/G40*100,"")</f>
        <v/>
      </c>
      <c r="AA40" s="176">
        <f>IF(OR(C40="",E40="",E40=0),"",IF(E40&gt;G40,"上昇▲",IF(E40&lt;G40,"下落▼","横ばい→")))</f>
        <v/>
      </c>
      <c r="AB40" s="438">
        <f>IF(C40="","",IFERROR(((終値!E42*0.333)+(終値!F42*0.222)+(終値!G42*0.148)+(終値!H42*0.099)+(終値!I42*0.066)+(終値!J42*0.044)+(終値!K42*0.029)+(終値!L42*0.019)+(終値!M42*0.013)+(終値!N42*0.009))/(0.333+0.222+0.148+0.099+0.066+0.044+0.029+0.019+0.013+0.009),""))</f>
        <v/>
      </c>
      <c r="AC40" s="438">
        <f>IF(C40="","",IFERROR(SUMPRODUCT((終値!E42:AC42)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0" s="439">
        <f>IF(OR(C40="",AB40="",AC40=""),"",IF(AND(E40&gt;AB40,AB40&gt;AC40),"パーフェクト▲",IF(E40&gt;AC40,"上昇トレンド▲",IF(AND(E40&lt;AB40,AB40&lt;AC40),"下降トレンド▼","もみ合い→"))))</f>
        <v/>
      </c>
      <c r="AE40" s="439">
        <f>IF(OR(C40="",AB40="",AC40=""),"",IF(AND(ABS(E40-AC40)/AC40&lt;=0.02,E40&gt;AC40),"25日押し目★",IF(AND(ABS(E40-AB40)/AB40&lt;=0.01,E40&gt;AB40),"5日押し目○","なし")))</f>
        <v/>
      </c>
      <c r="AF40" s="617">
        <f t="array" ref="AF40">IF(C40="","",IFERROR((INDEX(終値!$E:$E,MATCH(TEXT(C40,"0"),終値!$A:$A,0))-INDEX(終値!$E:$BL,MATCH(TEXT(C40,"0"),終値!$A:$A,0),$AL$2))/INDEX(終値!$E:$BL,MATCH(TEXT(C40,"0"),終値!$A:$A,0),$AL$2)*100,""))</f>
        <v/>
      </c>
      <c r="AG40" s="617">
        <f t="array" ref="AG40">IFERROR((終値!$E$5-INDEX(終値!$E$5:$BL$5,1,$AL$2))/INDEX(終値!$E$5:$BL$5,1,$AL$2)*100,"")</f>
        <v/>
      </c>
      <c r="AH40" s="618">
        <f>IF(OR(AF40="",AG40=""),"",AF40-AG40)</f>
        <v/>
      </c>
      <c r="AI40" s="385">
        <f>IF(AH40="","",IF(AH40&gt;5,3,IF(AH40&gt;0,1,IF(AH40&gt;-3,-1,-2))))</f>
        <v/>
      </c>
    </row>
    <row r="41" ht="18" customFormat="1" customHeight="1" s="187">
      <c r="A41" s="176">
        <f>IF(銘柄管理!B33&lt;&gt;"",HYPERLINK("https://kabutan.jp/stock/?code="&amp;銘柄管理!B33,"株探"),"")</f>
        <v/>
      </c>
      <c r="B41" s="177" t="n"/>
      <c r="C41" s="178">
        <f>IF(銘柄管理!B33="","",銘柄管理!B33)</f>
        <v/>
      </c>
      <c r="D41" s="106">
        <f>IF(銘柄管理!C33="","",銘柄管理!C33)</f>
        <v/>
      </c>
      <c r="E41" s="179">
        <f>IF(C41&lt;&gt;"",_xll.RssMarket(C41,"現在値"),"")</f>
        <v/>
      </c>
      <c r="F41" s="179">
        <f>IF(C41&lt;&gt;"",_xll.RssMarket(C41,"始値"),"")</f>
        <v/>
      </c>
      <c r="G41" s="178">
        <f>IF(C41&lt;&gt;"",終値!F33,"")</f>
        <v/>
      </c>
      <c r="H41" s="179">
        <f>IF(C41&lt;&gt;"",_xll.RssMarket(C41,"高値"),"")</f>
        <v/>
      </c>
      <c r="I41" s="179">
        <f>IF(C41&lt;&gt;"",_xll.RssMarket(C41,"安値"),"")</f>
        <v/>
      </c>
      <c r="J41" s="179">
        <f>IF(C41&lt;&gt;"",_xll.RssMarket(C41,"出来高"),"")</f>
        <v/>
      </c>
      <c r="K41" s="179">
        <f>IF(C41&lt;&gt;"",_xll.RssMarket(C41,"年初来高値"),"")</f>
        <v/>
      </c>
      <c r="L41" s="613">
        <f>IF(AND(E41&lt;&gt;"",K41&lt;&gt;"",K41&lt;&gt;0),(E41-K41)/K41*100,"")</f>
        <v/>
      </c>
      <c r="M41" s="179">
        <f>IF(C41&lt;&gt;"",IFERROR(AVERAGE(出来高!E33:I33),""),"")</f>
        <v/>
      </c>
      <c r="N41" s="179">
        <f>IF(C41&lt;&gt;"",IFERROR(AVERAGE(出来高!E33:AC33),""),"")</f>
        <v/>
      </c>
      <c r="O41" s="614">
        <f>IF(AND(J41&lt;&gt;"",M41&lt;&gt;"",M41&lt;&gt;0),J41/M41,"")</f>
        <v/>
      </c>
      <c r="P41" s="176">
        <f>IF(O41="","",IF(O41&gt;=2,"急増↑↑",IF(O41&gt;=1.5,"増加↑",IF(O41&gt;=1,"普通→","減少↓"))))</f>
        <v/>
      </c>
      <c r="Q41" s="176">
        <f>IF(E41="","",IF(AND(E41&gt;G41,O41&gt;=1.5),"買い▲",IF(E41&lt;G41,"様子見▼","中立→")))</f>
        <v/>
      </c>
      <c r="R41" s="179">
        <f>IF(E41&lt;&gt;"",ROUND(E41*1.08,0),"")</f>
        <v/>
      </c>
      <c r="S41" s="179">
        <f>IF(E41&lt;&gt;"",ROUND(E41*0.96,0),"")</f>
        <v/>
      </c>
      <c r="T41" s="176">
        <f>IF(C41="","",IFERROR(IF(O41&gt;=2,3,IF(O41&gt;=1.5,2,IF(O41&gt;=1,1,0)))+IF(E41&gt;G41,1,0)+IF(L41&gt;=-5,1,0)+IF(Q41="買い▲",2,0)+IF(W41&lt;=30,3,IF(W41&lt;=40,2,IF(AND(W41&gt;=40,W41&lt;=60),1,0)))+IF(X41&gt;0,1,0)+IF(V41="年初来高値更新●",3,IF(V41="高値圏",2,0))+IF(AD41="パーフェクト▲",3,IF(AD41="上昇トレンド▲",2,0))+IF(AE41="25日線押し目●",2,IF(AE41="5日線押し目○",1,0))+IF(P41="急増↑↑",2,IF(P41="増加↑",1,0))+N(AI41),0))</f>
        <v/>
      </c>
      <c r="U41" s="176">
        <f>IF(T41="","",IF(AND(T41&gt;=3,O41&gt;=1.5),"有効",IF(T41&gt;=3,"要確認","除外")))</f>
        <v/>
      </c>
      <c r="V41" s="176">
        <f>IF(AND(H41&lt;&gt;"",K41&lt;&gt;""),IF(H41&gt;=K41,"年初来高値更新●",IF(H41&gt;=K41*0.95,"高値圏","通常")),"")</f>
        <v/>
      </c>
      <c r="W41" s="615">
        <f t="array" ref="W41">IF(C41&lt;&gt;"",IFERROR(100-100/(1+SUMPRODUCT((終値!F33:R33&gt;終値!G33:S33)*( 終値!F33:R33-終値!G33:S33))/SUMPRODUCT((終値!F33:R33&lt;終値!G33:S33)*(終値!G33:S33-終値!F33:R33))),50),"")</f>
        <v/>
      </c>
      <c r="X41" s="183">
        <f>IF(C41&lt;&gt;"",IFERROR(SUMPRODUCT(終値!E33:P33,{0.154,0.132,0.113,0.097,0.083,0.071,0.061,0.052,0.045,0.038,0.033,0.028})/SUMPRODUCT({0.154,0.132,0.113,0.097,0.083,0.071,0.061,0.052,0.045,0.038,0.033,0.028})-SUMPRODUCT(終値!E33:AD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1" s="570">
        <f>IF(T41="","",IF(銘柄管理!$F$5="下落▼",IF(AND(AD41="パーフェクト▲",OR(AE41="25日線押し目●",AE41="5日線押し目○")),"★逆張り候補",IF(AND(AD41="上昇トレンド▲",OR(AE41="25日線押し目●",AE41="5日線押し目○")),"○逆張り候補",IF(W41&lt;=30,IF(Z41&gt;0,"◎反発確認",IF(Z41&lt;-5,"△要注意・様子見","△売られ過ぎ注目")),"相場下落・見送り"))),IF(AND(T41&gt;=12,AD41="パーフェクト▲"),"★強い買い",IF(AND(T41&gt;=12,AD41="上昇トレンド▲"),"★強い買い",IF(AND(T41&gt;=8,OR(AE41="25日線押し目●",AE41="5日線押し目○")),"◎押し目買い",IF(T41&gt;=10,"○買い候補",IF(T41&gt;=6,"△注目",IF(T41&gt;=3,"様子見","見送り"))))))))</f>
        <v/>
      </c>
      <c r="Z41" s="616">
        <f>IF(AND(E41&lt;&gt;"",G41&lt;&gt;"",G41&lt;&gt;0),(E41-G41)/G41*100,"")</f>
        <v/>
      </c>
      <c r="AA41" s="176">
        <f>IF(OR(C41="",E41="",E41=0),"",IF(E41&gt;G41,"上昇▲",IF(E41&lt;G41,"下落▼","横ばい→")))</f>
        <v/>
      </c>
      <c r="AB41" s="440">
        <f>IF(C41="","",IFERROR(((終値!E43*0.333)+(終値!F43*0.222)+(終値!G43*0.148)+(終値!H43*0.099)+(終値!I43*0.066)+(終値!J43*0.044)+(終値!K43*0.029)+(終値!L43*0.019)+(終値!M43*0.013)+(終値!N43*0.009))/(0.333+0.222+0.148+0.099+0.066+0.044+0.029+0.019+0.013+0.009),""))</f>
        <v/>
      </c>
      <c r="AC41" s="440">
        <f>IF(C41="","",IFERROR(SUMPRODUCT((終値!E43:AC43)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1" s="441">
        <f>IF(OR(C41="",AB41="",AC41=""),"",IF(AND(E41&gt;AB41,AB41&gt;AC41),"パーフェクト▲",IF(E41&gt;AC41,"上昇トレンド▲",IF(AND(E41&lt;AB41,AB41&lt;AC41),"下降トレンド▼","もみ合い→"))))</f>
        <v/>
      </c>
      <c r="AE41" s="441">
        <f>IF(OR(C41="",AB41="",AC41=""),"",IF(AND(ABS(E41-AC41)/AC41&lt;=0.02,E41&gt;AC41),"25日押し目★",IF(AND(ABS(E41-AB41)/AB41&lt;=0.01,E41&gt;AB41),"5日押し目○","なし")))</f>
        <v/>
      </c>
      <c r="AF41" s="617">
        <f t="array" ref="AF41">IF(C41="","",IFERROR((INDEX(終値!$E:$E,MATCH(TEXT(C41,"0"),終値!$A:$A,0))-INDEX(終値!$E:$BL,MATCH(TEXT(C41,"0"),終値!$A:$A,0),$AL$2))/INDEX(終値!$E:$BL,MATCH(TEXT(C41,"0"),終値!$A:$A,0),$AL$2)*100,""))</f>
        <v/>
      </c>
      <c r="AG41" s="617">
        <f t="array" ref="AG41">IFERROR((終値!$E$5-INDEX(終値!$E$5:$BL$5,1,$AL$2))/INDEX(終値!$E$5:$BL$5,1,$AL$2)*100,"")</f>
        <v/>
      </c>
      <c r="AH41" s="618">
        <f>IF(OR(AF41="",AG41=""),"",AF41-AG41)</f>
        <v/>
      </c>
      <c r="AI41" s="385">
        <f>IF(AH41="","",IF(AH41&gt;5,3,IF(AH41&gt;0,1,IF(AH41&gt;-3,-1,-2))))</f>
        <v/>
      </c>
    </row>
    <row r="42" ht="18" customFormat="1" customHeight="1" s="187">
      <c r="A42" s="176">
        <f>IF(銘柄管理!B39&lt;&gt;"",HYPERLINK("https://kabutan.jp/stock/?code="&amp;銘柄管理!B39,"株探"),"")</f>
        <v/>
      </c>
      <c r="B42" s="177" t="n"/>
      <c r="C42" s="178">
        <f>IF(銘柄管理!B39="","",銘柄管理!B39)</f>
        <v/>
      </c>
      <c r="D42" s="106">
        <f>IF(銘柄管理!C39="","",銘柄管理!C39)</f>
        <v/>
      </c>
      <c r="E42" s="179">
        <f>IF(C42&lt;&gt;"",_xll.RssMarket(C42,"現在値"),"")</f>
        <v/>
      </c>
      <c r="F42" s="179">
        <f>IF(C42&lt;&gt;"",_xll.RssMarket(C42,"始値"),"")</f>
        <v/>
      </c>
      <c r="G42" s="178">
        <f>IF(C42&lt;&gt;"",終値!F39,"")</f>
        <v/>
      </c>
      <c r="H42" s="179">
        <f>IF(C42&lt;&gt;"",_xll.RssMarket(C42,"高値"),"")</f>
        <v/>
      </c>
      <c r="I42" s="179">
        <f>IF(C42&lt;&gt;"",_xll.RssMarket(C42,"安値"),"")</f>
        <v/>
      </c>
      <c r="J42" s="179">
        <f>IF(C42&lt;&gt;"",_xll.RssMarket(C42,"出来高"),"")</f>
        <v/>
      </c>
      <c r="K42" s="179">
        <f>IF(C42&lt;&gt;"",_xll.RssMarket(C42,"年初来高値"),"")</f>
        <v/>
      </c>
      <c r="L42" s="613">
        <f>IF(AND(E42&lt;&gt;"",K42&lt;&gt;"",K42&lt;&gt;0),(E42-K42)/K42*100,"")</f>
        <v/>
      </c>
      <c r="M42" s="179">
        <f>IF(C42&lt;&gt;"",IFERROR(AVERAGE(出来高!E39:I39),""),"")</f>
        <v/>
      </c>
      <c r="N42" s="179">
        <f>IF(C42&lt;&gt;"",IFERROR(AVERAGE(出来高!E39:AC39),""),"")</f>
        <v/>
      </c>
      <c r="O42" s="614">
        <f>IF(AND(J42&lt;&gt;"",M42&lt;&gt;"",M42&lt;&gt;0),J42/M42,"")</f>
        <v/>
      </c>
      <c r="P42" s="176">
        <f>IF(O42="","",IF(O42&gt;=2,"急増↑↑",IF(O42&gt;=1.5,"増加↑",IF(O42&gt;=1,"普通→","減少↓"))))</f>
        <v/>
      </c>
      <c r="Q42" s="176">
        <f>IF(E42="","",IF(AND(E42&gt;G42,O42&gt;=1.5),"買い▲",IF(E42&lt;G42,"様子見▼","中立→")))</f>
        <v/>
      </c>
      <c r="R42" s="179">
        <f>IF(E42&lt;&gt;"",ROUND(E42*1.08,0),"")</f>
        <v/>
      </c>
      <c r="S42" s="179">
        <f>IF(E42&lt;&gt;"",ROUND(E42*0.96,0),"")</f>
        <v/>
      </c>
      <c r="T42" s="176">
        <f>IF(C42="","",IFERROR(IF(O42&gt;=2,3,IF(O42&gt;=1.5,2,IF(O42&gt;=1,1,0)))+IF(E42&gt;G42,1,0)+IF(L42&gt;=-5,1,0)+IF(Q42="買い▲",2,0)+IF(W42&lt;=30,3,IF(W42&lt;=40,2,IF(AND(W42&gt;=40,W42&lt;=60),1,0)))+IF(X42&gt;0,1,0)+IF(V42="年初来高値更新●",3,IF(V42="高値圏",2,0))+IF(AD42="パーフェクト▲",3,IF(AD42="上昇トレンド▲",2,0))+IF(AE42="25日線押し目●",2,IF(AE42="5日線押し目○",1,0))+IF(P42="急増↑↑",2,IF(P42="増加↑",1,0))+N(AI42),0))</f>
        <v/>
      </c>
      <c r="U42" s="176">
        <f>IF(T42="","",IF(AND(T42&gt;=3,O42&gt;=1.5),"有効",IF(T42&gt;=3,"要確認","除外")))</f>
        <v/>
      </c>
      <c r="V42" s="176">
        <f>IF(AND(H42&lt;&gt;"",K42&lt;&gt;""),IF(H42&gt;=K42,"年初来高値更新●",IF(H42&gt;=K42*0.95,"高値圏","通常")),"")</f>
        <v/>
      </c>
      <c r="W42" s="615">
        <f t="array" ref="W42">IF(C42&lt;&gt;"",IFERROR(100-100/(1+SUMPRODUCT((終値!F39:R39&gt;終値!G39:S39)*( 終値!F39:R39-終値!G39:S39))/SUMPRODUCT((終値!F39:R39&lt;終値!G39:S39)*(終値!G39:S39-終値!F39:R39))),50),"")</f>
        <v/>
      </c>
      <c r="X42" s="183">
        <f>IF(C42&lt;&gt;"",IFERROR(SUMPRODUCT(終値!E39:P39,{0.154,0.132,0.113,0.097,0.083,0.071,0.061,0.052,0.045,0.038,0.033,0.028})/SUMPRODUCT({0.154,0.132,0.113,0.097,0.083,0.071,0.061,0.052,0.045,0.038,0.033,0.028})-SUMPRODUCT(終値!E39:AD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2" s="570">
        <f>IF(T42="","",IF(銘柄管理!$F$5="下落▼",IF(AND(AD42="パーフェクト▲",OR(AE42="25日線押し目●",AE42="5日線押し目○")),"★逆張り候補",IF(AND(AD42="上昇トレンド▲",OR(AE42="25日線押し目●",AE42="5日線押し目○")),"○逆張り候補",IF(W42&lt;=30,IF(Z42&gt;0,"◎反発確認",IF(Z42&lt;-5,"△要注意・様子見","△売られ過ぎ注目")),"相場下落・見送り"))),IF(AND(T42&gt;=12,AD42="パーフェクト▲"),"★強い買い",IF(AND(T42&gt;=12,AD42="上昇トレンド▲"),"★強い買い",IF(AND(T42&gt;=8,OR(AE42="25日線押し目●",AE42="5日線押し目○")),"◎押し目買い",IF(T42&gt;=10,"○買い候補",IF(T42&gt;=6,"△注目",IF(T42&gt;=3,"様子見","見送り"))))))))</f>
        <v/>
      </c>
      <c r="Z42" s="616">
        <f>IF(AND(E42&lt;&gt;"",G42&lt;&gt;"",G42&lt;&gt;0),(E42-G42)/G42*100,"")</f>
        <v/>
      </c>
      <c r="AA42" s="176">
        <f>IF(OR(C42="",E42="",E42=0),"",IF(E42&gt;G42,"上昇▲",IF(E42&lt;G42,"下落▼","横ばい→")))</f>
        <v/>
      </c>
      <c r="AB42" s="438">
        <f>IF(C42="","",IFERROR(((終値!E44*0.333)+(終値!F44*0.222)+(終値!G44*0.148)+(終値!H44*0.099)+(終値!I44*0.066)+(終値!J44*0.044)+(終値!K44*0.029)+(終値!L44*0.019)+(終値!M44*0.013)+(終値!N44*0.009))/(0.333+0.222+0.148+0.099+0.066+0.044+0.029+0.019+0.013+0.009),""))</f>
        <v/>
      </c>
      <c r="AC42" s="438">
        <f>IF(C42="","",IFERROR(SUMPRODUCT((終値!E44:AC44)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2" s="439">
        <f>IF(OR(C42="",AB42="",AC42=""),"",IF(AND(E42&gt;AB42,AB42&gt;AC42),"パーフェクト▲",IF(E42&gt;AC42,"上昇トレンド▲",IF(AND(E42&lt;AB42,AB42&lt;AC42),"下降トレンド▼","もみ合い→"))))</f>
        <v/>
      </c>
      <c r="AE42" s="439">
        <f>IF(OR(C42="",AB42="",AC42=""),"",IF(AND(ABS(E42-AC42)/AC42&lt;=0.02,E42&gt;AC42),"25日押し目★",IF(AND(ABS(E42-AB42)/AB42&lt;=0.01,E42&gt;AB42),"5日押し目○","なし")))</f>
        <v/>
      </c>
      <c r="AF42" s="617">
        <f t="array" ref="AF42">IF(C42="","",IFERROR((INDEX(終値!$E:$E,MATCH(TEXT(C42,"0"),終値!$A:$A,0))-INDEX(終値!$E:$BL,MATCH(TEXT(C42,"0"),終値!$A:$A,0),$AL$2))/INDEX(終値!$E:$BL,MATCH(TEXT(C42,"0"),終値!$A:$A,0),$AL$2)*100,""))</f>
        <v/>
      </c>
      <c r="AG42" s="617">
        <f t="array" ref="AG42">IFERROR((終値!$E$5-INDEX(終値!$E$5:$BL$5,1,$AL$2))/INDEX(終値!$E$5:$BL$5,1,$AL$2)*100,"")</f>
        <v/>
      </c>
      <c r="AH42" s="618">
        <f>IF(OR(AF42="",AG42=""),"",AF42-AG42)</f>
        <v/>
      </c>
      <c r="AI42" s="385">
        <f>IF(AH42="","",IF(AH42&gt;5,3,IF(AH42&gt;0,1,IF(AH42&gt;-3,-1,-2))))</f>
        <v/>
      </c>
    </row>
    <row r="43" ht="18" customFormat="1" customHeight="1" s="187">
      <c r="A43" s="176">
        <f>IF(銘柄管理!B26&lt;&gt;"",HYPERLINK("https://kabutan.jp/stock/?code="&amp;銘柄管理!B26,"株探"),"")</f>
        <v/>
      </c>
      <c r="B43" s="177" t="n"/>
      <c r="C43" s="178">
        <f>IF(銘柄管理!B26="","",銘柄管理!B26)</f>
        <v/>
      </c>
      <c r="D43" s="106">
        <f>IF(銘柄管理!C26="","",銘柄管理!C26)</f>
        <v/>
      </c>
      <c r="E43" s="179">
        <f>IF(C43&lt;&gt;"",_xll.RssMarket(C43,"現在値"),"")</f>
        <v/>
      </c>
      <c r="F43" s="179">
        <f>IF(C43&lt;&gt;"",_xll.RssMarket(C43,"始値"),"")</f>
        <v/>
      </c>
      <c r="G43" s="178">
        <f>IF(C43&lt;&gt;"",終値!F26,"")</f>
        <v/>
      </c>
      <c r="H43" s="179">
        <f>IF(C43&lt;&gt;"",_xll.RssMarket(C43,"高値"),"")</f>
        <v/>
      </c>
      <c r="I43" s="179">
        <f>IF(C43&lt;&gt;"",_xll.RssMarket(C43,"安値"),"")</f>
        <v/>
      </c>
      <c r="J43" s="179">
        <f>IF(C43&lt;&gt;"",_xll.RssMarket(C43,"出来高"),"")</f>
        <v/>
      </c>
      <c r="K43" s="179">
        <f>IF(C43&lt;&gt;"",_xll.RssMarket(C43,"年初来高値"),"")</f>
        <v/>
      </c>
      <c r="L43" s="613">
        <f>IF(AND(E43&lt;&gt;"",K43&lt;&gt;"",K43&lt;&gt;0),(E43-K43)/K43*100,"")</f>
        <v/>
      </c>
      <c r="M43" s="179">
        <f>IF(C43&lt;&gt;"",IFERROR(AVERAGE(出来高!E26:I26),""),"")</f>
        <v/>
      </c>
      <c r="N43" s="179">
        <f>IF(C43&lt;&gt;"",IFERROR(AVERAGE(出来高!E26:AC26),""),"")</f>
        <v/>
      </c>
      <c r="O43" s="614">
        <f>IF(AND(J43&lt;&gt;"",M43&lt;&gt;"",M43&lt;&gt;0),J43/M43,"")</f>
        <v/>
      </c>
      <c r="P43" s="176">
        <f>IF(O43="","",IF(O43&gt;=2,"急増↑↑",IF(O43&gt;=1.5,"増加↑",IF(O43&gt;=1,"普通→","減少↓"))))</f>
        <v/>
      </c>
      <c r="Q43" s="176">
        <f>IF(E43="","",IF(AND(E43&gt;G43,O43&gt;=1.5),"買い▲",IF(E43&lt;G43,"様子見▼","中立→")))</f>
        <v/>
      </c>
      <c r="R43" s="179">
        <f>IF(E43&lt;&gt;"",ROUND(E43*1.08,0),"")</f>
        <v/>
      </c>
      <c r="S43" s="179">
        <f>IF(E43&lt;&gt;"",ROUND(E43*0.96,0),"")</f>
        <v/>
      </c>
      <c r="T43" s="176">
        <f>IF(C43="","",IFERROR(IF(O43&gt;=2,3,IF(O43&gt;=1.5,2,IF(O43&gt;=1,1,0)))+IF(E43&gt;G43,1,0)+IF(L43&gt;=-5,1,0)+IF(Q43="買い▲",2,0)+IF(W43&lt;=30,3,IF(W43&lt;=40,2,IF(AND(W43&gt;=40,W43&lt;=60),1,0)))+IF(X43&gt;0,1,0)+IF(V43="年初来高値更新●",3,IF(V43="高値圏",2,0))+IF(AD43="パーフェクト▲",3,IF(AD43="上昇トレンド▲",2,0))+IF(AE43="25日線押し目●",2,IF(AE43="5日線押し目○",1,0))+IF(P43="急増↑↑",2,IF(P43="増加↑",1,0))+N(AI43),0))</f>
        <v/>
      </c>
      <c r="U43" s="176">
        <f>IF(T43="","",IF(AND(T43&gt;=3,O43&gt;=1.5),"有効",IF(T43&gt;=3,"要確認","除外")))</f>
        <v/>
      </c>
      <c r="V43" s="176">
        <f>IF(AND(H43&lt;&gt;"",K43&lt;&gt;""),IF(H43&gt;=K43,"年初来高値更新●",IF(H43&gt;=K43*0.95,"高値圏","通常")),"")</f>
        <v/>
      </c>
      <c r="W43" s="615">
        <f t="array" ref="W43">IF(C43&lt;&gt;"",IFERROR(100-100/(1+SUMPRODUCT((終値!F26:R26&gt;終値!G26:S26)*( 終値!F26:R26-終値!G26:S26))/SUMPRODUCT((終値!F26:R26&lt;終値!G26:S26)*(終値!G26:S26-終値!F26:R26))),50),"")</f>
        <v/>
      </c>
      <c r="X43" s="183">
        <f>IF(C43&lt;&gt;"",IFERROR(SUMPRODUCT(終値!E26:P26,{0.154,0.132,0.113,0.097,0.083,0.071,0.061,0.052,0.045,0.038,0.033,0.028})/SUMPRODUCT({0.154,0.132,0.113,0.097,0.083,0.071,0.061,0.052,0.045,0.038,0.033,0.028})-SUMPRODUCT(終値!E26:AD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3" s="570">
        <f>IF(T43="","",IF(銘柄管理!$F$5="下落▼",IF(AND(AD43="パーフェクト▲",OR(AE43="25日線押し目●",AE43="5日線押し目○")),"★逆張り候補",IF(AND(AD43="上昇トレンド▲",OR(AE43="25日線押し目●",AE43="5日線押し目○")),"○逆張り候補",IF(W43&lt;=30,IF(Z43&gt;0,"◎反発確認",IF(Z43&lt;-5,"△要注意・様子見","△売られ過ぎ注目")),"相場下落・見送り"))),IF(AND(T43&gt;=12,AD43="パーフェクト▲"),"★強い買い",IF(AND(T43&gt;=12,AD43="上昇トレンド▲"),"★強い買い",IF(AND(T43&gt;=8,OR(AE43="25日線押し目●",AE43="5日線押し目○")),"◎押し目買い",IF(T43&gt;=10,"○買い候補",IF(T43&gt;=6,"△注目",IF(T43&gt;=3,"様子見","見送り"))))))))</f>
        <v/>
      </c>
      <c r="Z43" s="616">
        <f>IF(AND(E43&lt;&gt;"",G43&lt;&gt;"",G43&lt;&gt;0),(E43-G43)/G43*100,"")</f>
        <v/>
      </c>
      <c r="AA43" s="176">
        <f>IF(OR(C43="",E43="",E43=0),"",IF(E43&gt;G43,"上昇▲",IF(E43&lt;G43,"下落▼","横ばい→")))</f>
        <v/>
      </c>
      <c r="AB43" s="440">
        <f>IF(C43="","",IFERROR(((終値!E45*0.333)+(終値!F45*0.222)+(終値!G45*0.148)+(終値!H45*0.099)+(終値!I45*0.066)+(終値!J45*0.044)+(終値!K45*0.029)+(終値!L45*0.019)+(終値!M45*0.013)+(終値!N45*0.009))/(0.333+0.222+0.148+0.099+0.066+0.044+0.029+0.019+0.013+0.009),""))</f>
        <v/>
      </c>
      <c r="AC43" s="440">
        <f>IF(C43="","",IFERROR(SUMPRODUCT((終値!E45:AC45)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3" s="441">
        <f>IF(OR(C43="",AB43="",AC43=""),"",IF(AND(E43&gt;AB43,AB43&gt;AC43),"パーフェクト▲",IF(E43&gt;AC43,"上昇トレンド▲",IF(AND(E43&lt;AB43,AB43&lt;AC43),"下降トレンド▼","もみ合い→"))))</f>
        <v/>
      </c>
      <c r="AE43" s="441">
        <f>IF(OR(C43="",AB43="",AC43=""),"",IF(AND(ABS(E43-AC43)/AC43&lt;=0.02,E43&gt;AC43),"25日押し目★",IF(AND(ABS(E43-AB43)/AB43&lt;=0.01,E43&gt;AB43),"5日押し目○","なし")))</f>
        <v/>
      </c>
      <c r="AF43" s="617">
        <f t="array" ref="AF43">IF(C43="","",IFERROR((INDEX(終値!$E:$E,MATCH(TEXT(C43,"0"),終値!$A:$A,0))-INDEX(終値!$E:$BL,MATCH(TEXT(C43,"0"),終値!$A:$A,0),$AL$2))/INDEX(終値!$E:$BL,MATCH(TEXT(C43,"0"),終値!$A:$A,0),$AL$2)*100,""))</f>
        <v/>
      </c>
      <c r="AG43" s="617">
        <f t="array" ref="AG43">IFERROR((終値!$E$5-INDEX(終値!$E$5:$BL$5,1,$AL$2))/INDEX(終値!$E$5:$BL$5,1,$AL$2)*100,"")</f>
        <v/>
      </c>
      <c r="AH43" s="618">
        <f>IF(OR(AF43="",AG43=""),"",AF43-AG43)</f>
        <v/>
      </c>
      <c r="AI43" s="385">
        <f>IF(AH43="","",IF(AH43&gt;5,3,IF(AH43&gt;0,1,IF(AH43&gt;-3,-1,-2))))</f>
        <v/>
      </c>
    </row>
    <row r="44" ht="18" customFormat="1" customHeight="1" s="187">
      <c r="A44" s="176">
        <f>IF(銘柄管理!B47&lt;&gt;"",HYPERLINK("https://kabutan.jp/stock/?code="&amp;銘柄管理!B47,"株探"),"")</f>
        <v/>
      </c>
      <c r="B44" s="177" t="n"/>
      <c r="C44" s="178">
        <f>IF(銘柄管理!B47="","",銘柄管理!B47)</f>
        <v/>
      </c>
      <c r="D44" s="106">
        <f>IF(銘柄管理!C47="","",銘柄管理!C47)</f>
        <v/>
      </c>
      <c r="E44" s="179">
        <f>IF(C44&lt;&gt;"",_xll.RssMarket(C44,"現在値"),"")</f>
        <v/>
      </c>
      <c r="F44" s="179">
        <f>IF(C44&lt;&gt;"",_xll.RssMarket(C44,"始値"),"")</f>
        <v/>
      </c>
      <c r="G44" s="178">
        <f>IF(C44&lt;&gt;"",終値!F47,"")</f>
        <v/>
      </c>
      <c r="H44" s="179">
        <f>IF(C44&lt;&gt;"",_xll.RssMarket(C44,"高値"),"")</f>
        <v/>
      </c>
      <c r="I44" s="179">
        <f>IF(C44&lt;&gt;"",_xll.RssMarket(C44,"安値"),"")</f>
        <v/>
      </c>
      <c r="J44" s="179">
        <f>IF(C44&lt;&gt;"",_xll.RssMarket(C44,"出来高"),"")</f>
        <v/>
      </c>
      <c r="K44" s="179">
        <f>IF(C44&lt;&gt;"",_xll.RssMarket(C44,"年初来高値"),"")</f>
        <v/>
      </c>
      <c r="L44" s="613">
        <f>IF(AND(E44&lt;&gt;"",K44&lt;&gt;"",K44&lt;&gt;0),(E44-K44)/K44*100,"")</f>
        <v/>
      </c>
      <c r="M44" s="179">
        <f>IF(C44&lt;&gt;"",IFERROR(AVERAGE(出来高!E47:I47),""),"")</f>
        <v/>
      </c>
      <c r="N44" s="179">
        <f>IF(C44&lt;&gt;"",IFERROR(AVERAGE(出来高!E47:AC47),""),"")</f>
        <v/>
      </c>
      <c r="O44" s="614">
        <f>IF(AND(J44&lt;&gt;"",M44&lt;&gt;"",M44&lt;&gt;0),J44/M44,"")</f>
        <v/>
      </c>
      <c r="P44" s="176">
        <f>IF(O44="","",IF(O44&gt;=2,"急増↑↑",IF(O44&gt;=1.5,"増加↑",IF(O44&gt;=1,"普通→","減少↓"))))</f>
        <v/>
      </c>
      <c r="Q44" s="176">
        <f>IF(E44="","",IF(AND(E44&gt;G44,O44&gt;=1.5),"買い▲",IF(E44&lt;G44,"様子見▼","中立→")))</f>
        <v/>
      </c>
      <c r="R44" s="179">
        <f>IF(E44&lt;&gt;"",ROUND(E44*1.08,0),"")</f>
        <v/>
      </c>
      <c r="S44" s="179">
        <f>IF(E44&lt;&gt;"",ROUND(E44*0.96,0),"")</f>
        <v/>
      </c>
      <c r="T44" s="176">
        <f>IF(C44="","",IFERROR(IF(O44&gt;=2,3,IF(O44&gt;=1.5,2,IF(O44&gt;=1,1,0)))+IF(E44&gt;G44,1,0)+IF(L44&gt;=-5,1,0)+IF(Q44="買い▲",2,0)+IF(W44&lt;=30,3,IF(W44&lt;=40,2,IF(AND(W44&gt;=40,W44&lt;=60),1,0)))+IF(X44&gt;0,1,0)+IF(V44="年初来高値更新●",3,IF(V44="高値圏",2,0))+IF(AD44="パーフェクト▲",3,IF(AD44="上昇トレンド▲",2,0))+IF(AE44="25日線押し目●",2,IF(AE44="5日線押し目○",1,0))+IF(P44="急増↑↑",2,IF(P44="増加↑",1,0))+N(AI44),0))</f>
        <v/>
      </c>
      <c r="U44" s="176">
        <f>IF(T44="","",IF(AND(T44&gt;=3,O44&gt;=1.5),"有効",IF(T44&gt;=3,"要確認","除外")))</f>
        <v/>
      </c>
      <c r="V44" s="176">
        <f>IF(AND(H44&lt;&gt;"",K44&lt;&gt;""),IF(H44&gt;=K44,"年初来高値更新●",IF(H44&gt;=K44*0.95,"高値圏","通常")),"")</f>
        <v/>
      </c>
      <c r="W44" s="615">
        <f t="array" ref="W44">IF(C44&lt;&gt;"",IFERROR(100-100/(1+SUMPRODUCT((終値!F47:R47&gt;終値!G47:S47)*( 終値!F47:R47-終値!G47:S47))/SUMPRODUCT((終値!F47:R47&lt;終値!G47:S47)*(終値!G47:S47-終値!F47:R47))),50),"")</f>
        <v/>
      </c>
      <c r="X44" s="183">
        <f>IF(C44&lt;&gt;"",IFERROR(SUMPRODUCT(終値!E47:P47,{0.154,0.132,0.113,0.097,0.083,0.071,0.061,0.052,0.045,0.038,0.033,0.028})/SUMPRODUCT({0.154,0.132,0.113,0.097,0.083,0.071,0.061,0.052,0.045,0.038,0.033,0.028})-SUMPRODUCT(終値!E47:AD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4" s="570">
        <f>IF(T44="","",IF(銘柄管理!$F$5="下落▼",IF(AND(AD44="パーフェクト▲",OR(AE44="25日線押し目●",AE44="5日線押し目○")),"★逆張り候補",IF(AND(AD44="上昇トレンド▲",OR(AE44="25日線押し目●",AE44="5日線押し目○")),"○逆張り候補",IF(W44&lt;=30,IF(Z44&gt;0,"◎反発確認",IF(Z44&lt;-5,"△要注意・様子見","△売られ過ぎ注目")),"相場下落・見送り"))),IF(AND(T44&gt;=12,AD44="パーフェクト▲"),"★強い買い",IF(AND(T44&gt;=12,AD44="上昇トレンド▲"),"★強い買い",IF(AND(T44&gt;=8,OR(AE44="25日線押し目●",AE44="5日線押し目○")),"◎押し目買い",IF(T44&gt;=10,"○買い候補",IF(T44&gt;=6,"△注目",IF(T44&gt;=3,"様子見","見送り"))))))))</f>
        <v/>
      </c>
      <c r="Z44" s="616">
        <f>IF(AND(E44&lt;&gt;"",G44&lt;&gt;"",G44&lt;&gt;0),(E44-G44)/G44*100,"")</f>
        <v/>
      </c>
      <c r="AA44" s="176">
        <f>IF(OR(C44="",E44="",E44=0),"",IF(E44&gt;G44,"上昇▲",IF(E44&lt;G44,"下落▼","横ばい→")))</f>
        <v/>
      </c>
      <c r="AB44" s="438">
        <f>IF(C44="","",IFERROR(((終値!E46*0.333)+(終値!F46*0.222)+(終値!G46*0.148)+(終値!H46*0.099)+(終値!I46*0.066)+(終値!J46*0.044)+(終値!K46*0.029)+(終値!L46*0.019)+(終値!M46*0.013)+(終値!N46*0.009))/(0.333+0.222+0.148+0.099+0.066+0.044+0.029+0.019+0.013+0.009),""))</f>
        <v/>
      </c>
      <c r="AC44" s="438">
        <f>IF(C44="","",IFERROR(SUMPRODUCT((終値!E46:AC46)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4" s="439">
        <f>IF(OR(C44="",AB44="",AC44=""),"",IF(AND(E44&gt;AB44,AB44&gt;AC44),"パーフェクト▲",IF(E44&gt;AC44,"上昇トレンド▲",IF(AND(E44&lt;AB44,AB44&lt;AC44),"下降トレンド▼","もみ合い→"))))</f>
        <v/>
      </c>
      <c r="AE44" s="439">
        <f>IF(OR(C44="",AB44="",AC44=""),"",IF(AND(ABS(E44-AC44)/AC44&lt;=0.02,E44&gt;AC44),"25日押し目★",IF(AND(ABS(E44-AB44)/AB44&lt;=0.01,E44&gt;AB44),"5日押し目○","なし")))</f>
        <v/>
      </c>
      <c r="AF44" s="617">
        <f t="array" ref="AF44">IF(C44="","",IFERROR((INDEX(終値!$E:$E,MATCH(TEXT(C44,"0"),終値!$A:$A,0))-INDEX(終値!$E:$BL,MATCH(TEXT(C44,"0"),終値!$A:$A,0),$AL$2))/INDEX(終値!$E:$BL,MATCH(TEXT(C44,"0"),終値!$A:$A,0),$AL$2)*100,""))</f>
        <v/>
      </c>
      <c r="AG44" s="617">
        <f t="array" ref="AG44">IFERROR((終値!$E$5-INDEX(終値!$E$5:$BL$5,1,$AL$2))/INDEX(終値!$E$5:$BL$5,1,$AL$2)*100,"")</f>
        <v/>
      </c>
      <c r="AH44" s="618">
        <f>IF(OR(AF44="",AG44=""),"",AF44-AG44)</f>
        <v/>
      </c>
      <c r="AI44" s="385">
        <f>IF(AH44="","",IF(AH44&gt;5,3,IF(AH44&gt;0,1,IF(AH44&gt;-3,-1,-2))))</f>
        <v/>
      </c>
    </row>
    <row r="45" ht="18" customFormat="1" customHeight="1" s="187">
      <c r="A45" s="176">
        <f>IF(銘柄管理!B37&lt;&gt;"",HYPERLINK("https://kabutan.jp/stock/?code="&amp;銘柄管理!B37,"株探"),"")</f>
        <v/>
      </c>
      <c r="B45" s="177" t="n"/>
      <c r="C45" s="178">
        <f>IF(銘柄管理!B37="","",銘柄管理!B37)</f>
        <v/>
      </c>
      <c r="D45" s="106">
        <f>IF(銘柄管理!C37="","",銘柄管理!C37)</f>
        <v/>
      </c>
      <c r="E45" s="179">
        <f>IF(C45&lt;&gt;"",_xll.RssMarket(C45,"現在値"),"")</f>
        <v/>
      </c>
      <c r="F45" s="179">
        <f>IF(C45&lt;&gt;"",_xll.RssMarket(C45,"始値"),"")</f>
        <v/>
      </c>
      <c r="G45" s="178">
        <f>IF(C45&lt;&gt;"",終値!F37,"")</f>
        <v/>
      </c>
      <c r="H45" s="179">
        <f>IF(C45&lt;&gt;"",_xll.RssMarket(C45,"高値"),"")</f>
        <v/>
      </c>
      <c r="I45" s="179">
        <f>IF(C45&lt;&gt;"",_xll.RssMarket(C45,"安値"),"")</f>
        <v/>
      </c>
      <c r="J45" s="179">
        <f>IF(C45&lt;&gt;"",_xll.RssMarket(C45,"出来高"),"")</f>
        <v/>
      </c>
      <c r="K45" s="179">
        <f>IF(C45&lt;&gt;"",_xll.RssMarket(C45,"年初来高値"),"")</f>
        <v/>
      </c>
      <c r="L45" s="613">
        <f>IF(AND(E45&lt;&gt;"",K45&lt;&gt;"",K45&lt;&gt;0),(E45-K45)/K45*100,"")</f>
        <v/>
      </c>
      <c r="M45" s="179">
        <f>IF(C45&lt;&gt;"",IFERROR(AVERAGE(出来高!E37:I37),""),"")</f>
        <v/>
      </c>
      <c r="N45" s="179">
        <f>IF(C45&lt;&gt;"",IFERROR(AVERAGE(出来高!E37:AC37),""),"")</f>
        <v/>
      </c>
      <c r="O45" s="614">
        <f>IF(AND(J45&lt;&gt;"",M45&lt;&gt;"",M45&lt;&gt;0),J45/M45,"")</f>
        <v/>
      </c>
      <c r="P45" s="176">
        <f>IF(O45="","",IF(O45&gt;=2,"急増↑↑",IF(O45&gt;=1.5,"増加↑",IF(O45&gt;=1,"普通→","減少↓"))))</f>
        <v/>
      </c>
      <c r="Q45" s="176">
        <f>IF(E45="","",IF(AND(E45&gt;G45,O45&gt;=1.5),"買い▲",IF(E45&lt;G45,"様子見▼","中立→")))</f>
        <v/>
      </c>
      <c r="R45" s="179">
        <f>IF(E45&lt;&gt;"",ROUND(E45*1.08,0),"")</f>
        <v/>
      </c>
      <c r="S45" s="179">
        <f>IF(E45&lt;&gt;"",ROUND(E45*0.96,0),"")</f>
        <v/>
      </c>
      <c r="T45" s="176">
        <f>IF(C45="","",IFERROR(IF(O45&gt;=2,3,IF(O45&gt;=1.5,2,IF(O45&gt;=1,1,0)))+IF(E45&gt;G45,1,0)+IF(L45&gt;=-5,1,0)+IF(Q45="買い▲",2,0)+IF(W45&lt;=30,3,IF(W45&lt;=40,2,IF(AND(W45&gt;=40,W45&lt;=60),1,0)))+IF(X45&gt;0,1,0)+IF(V45="年初来高値更新●",3,IF(V45="高値圏",2,0))+IF(AD45="パーフェクト▲",3,IF(AD45="上昇トレンド▲",2,0))+IF(AE45="25日線押し目●",2,IF(AE45="5日線押し目○",1,0))+IF(P45="急増↑↑",2,IF(P45="増加↑",1,0))+N(AI45),0))</f>
        <v/>
      </c>
      <c r="U45" s="176">
        <f>IF(T45="","",IF(AND(T45&gt;=3,O45&gt;=1.5),"有効",IF(T45&gt;=3,"要確認","除外")))</f>
        <v/>
      </c>
      <c r="V45" s="176">
        <f>IF(AND(H45&lt;&gt;"",K45&lt;&gt;""),IF(H45&gt;=K45,"年初来高値更新●",IF(H45&gt;=K45*0.95,"高値圏","通常")),"")</f>
        <v/>
      </c>
      <c r="W45" s="615">
        <f t="array" ref="W45">IF(C45&lt;&gt;"",IFERROR(100-100/(1+SUMPRODUCT((終値!F37:R37&gt;終値!G37:S37)*( 終値!F37:R37-終値!G37:S37))/SUMPRODUCT((終値!F37:R37&lt;終値!G37:S37)*(終値!G37:S37-終値!F37:R37))),50),"")</f>
        <v/>
      </c>
      <c r="X45" s="183">
        <f>IF(C45&lt;&gt;"",IFERROR(SUMPRODUCT(終値!E37:P37,{0.154,0.132,0.113,0.097,0.083,0.071,0.061,0.052,0.045,0.038,0.033,0.028})/SUMPRODUCT({0.154,0.132,0.113,0.097,0.083,0.071,0.061,0.052,0.045,0.038,0.033,0.028})-SUMPRODUCT(終値!E37:AD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5" s="570">
        <f>IF(T45="","",IF(銘柄管理!$F$5="下落▼",IF(AND(AD45="パーフェクト▲",OR(AE45="25日線押し目●",AE45="5日線押し目○")),"★逆張り候補",IF(AND(AD45="上昇トレンド▲",OR(AE45="25日線押し目●",AE45="5日線押し目○")),"○逆張り候補",IF(W45&lt;=30,IF(Z45&gt;0,"◎反発確認",IF(Z45&lt;-5,"△要注意・様子見","△売られ過ぎ注目")),"相場下落・見送り"))),IF(AND(T45&gt;=12,AD45="パーフェクト▲"),"★強い買い",IF(AND(T45&gt;=12,AD45="上昇トレンド▲"),"★強い買い",IF(AND(T45&gt;=8,OR(AE45="25日線押し目●",AE45="5日線押し目○")),"◎押し目買い",IF(T45&gt;=10,"○買い候補",IF(T45&gt;=6,"△注目",IF(T45&gt;=3,"様子見","見送り"))))))))</f>
        <v/>
      </c>
      <c r="Z45" s="616">
        <f>IF(AND(E45&lt;&gt;"",G45&lt;&gt;"",G45&lt;&gt;0),(E45-G45)/G45*100,"")</f>
        <v/>
      </c>
      <c r="AA45" s="176">
        <f>IF(OR(C45="",E45="",E45=0),"",IF(E45&gt;G45,"上昇▲",IF(E45&lt;G45,"下落▼","横ばい→")))</f>
        <v/>
      </c>
      <c r="AB45" s="440">
        <f>IF(C45="","",IFERROR(((終値!E47*0.333)+(終値!F47*0.222)+(終値!G47*0.148)+(終値!H47*0.099)+(終値!I47*0.066)+(終値!J47*0.044)+(終値!K47*0.029)+(終値!L47*0.019)+(終値!M47*0.013)+(終値!N47*0.009))/(0.333+0.222+0.148+0.099+0.066+0.044+0.029+0.019+0.013+0.009),""))</f>
        <v/>
      </c>
      <c r="AC45" s="440">
        <f>IF(C45="","",IFERROR(SUMPRODUCT((終値!E47:AC47)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5" s="441">
        <f>IF(OR(C45="",AB45="",AC45=""),"",IF(AND(E45&gt;AB45,AB45&gt;AC45),"パーフェクト▲",IF(E45&gt;AC45,"上昇トレンド▲",IF(AND(E45&lt;AB45,AB45&lt;AC45),"下降トレンド▼","もみ合い→"))))</f>
        <v/>
      </c>
      <c r="AE45" s="441">
        <f>IF(OR(C45="",AB45="",AC45=""),"",IF(AND(ABS(E45-AC45)/AC45&lt;=0.02,E45&gt;AC45),"25日押し目★",IF(AND(ABS(E45-AB45)/AB45&lt;=0.01,E45&gt;AB45),"5日押し目○","なし")))</f>
        <v/>
      </c>
      <c r="AF45" s="617">
        <f t="array" ref="AF45">IF(C45="","",IFERROR((INDEX(終値!$E:$E,MATCH(TEXT(C45,"0"),終値!$A:$A,0))-INDEX(終値!$E:$BL,MATCH(TEXT(C45,"0"),終値!$A:$A,0),$AL$2))/INDEX(終値!$E:$BL,MATCH(TEXT(C45,"0"),終値!$A:$A,0),$AL$2)*100,""))</f>
        <v/>
      </c>
      <c r="AG45" s="617">
        <f t="array" ref="AG45">IFERROR((終値!$E$5-INDEX(終値!$E$5:$BL$5,1,$AL$2))/INDEX(終値!$E$5:$BL$5,1,$AL$2)*100,"")</f>
        <v/>
      </c>
      <c r="AH45" s="618">
        <f>IF(OR(AF45="",AG45=""),"",AF45-AG45)</f>
        <v/>
      </c>
      <c r="AI45" s="385">
        <f>IF(AH45="","",IF(AH45&gt;5,3,IF(AH45&gt;0,1,IF(AH45&gt;-3,-1,-2))))</f>
        <v/>
      </c>
    </row>
    <row r="46" ht="18" customFormat="1" customHeight="1" s="187">
      <c r="A46" s="176">
        <f>IF(銘柄管理!B108&lt;&gt;"",HYPERLINK("https://kabutan.jp/stock/?code="&amp;銘柄管理!B108,"株探"),"")</f>
        <v/>
      </c>
      <c r="B46" s="177" t="n"/>
      <c r="C46" s="178">
        <f>IF(銘柄管理!B108="","",銘柄管理!B108)</f>
        <v/>
      </c>
      <c r="D46" s="106">
        <f>IF(銘柄管理!C108="","",銘柄管理!C108)</f>
        <v/>
      </c>
      <c r="E46" s="179">
        <f>IF(C46&lt;&gt;"",_xll.RssMarket(C46,"現在値"),"")</f>
        <v/>
      </c>
      <c r="F46" s="179">
        <f>IF(C46&lt;&gt;"",_xll.RssMarket(C46,"始値"),"")</f>
        <v/>
      </c>
      <c r="G46" s="178">
        <f>IF(C46&lt;&gt;"",終値!F108,"")</f>
        <v/>
      </c>
      <c r="H46" s="179">
        <f>IF(C46&lt;&gt;"",_xll.RssMarket(C46,"高値"),"")</f>
        <v/>
      </c>
      <c r="I46" s="179">
        <f>IF(C46&lt;&gt;"",_xll.RssMarket(C46,"安値"),"")</f>
        <v/>
      </c>
      <c r="J46" s="179">
        <f>IF(C46&lt;&gt;"",_xll.RssMarket(C46,"出来高"),"")</f>
        <v/>
      </c>
      <c r="K46" s="179">
        <f>IF(C46&lt;&gt;"",_xll.RssMarket(C46,"年初来高値"),"")</f>
        <v/>
      </c>
      <c r="L46" s="613">
        <f>IF(AND(E46&lt;&gt;"",K46&lt;&gt;"",K46&lt;&gt;0),(E46-K46)/K46*100,"")</f>
        <v/>
      </c>
      <c r="M46" s="179">
        <f>IF(C46&lt;&gt;"",IFERROR(AVERAGE(出来高!E108:I108),""),"")</f>
        <v/>
      </c>
      <c r="N46" s="179">
        <f>IF(C46&lt;&gt;"",IFERROR(AVERAGE(出来高!E108:AC108),""),"")</f>
        <v/>
      </c>
      <c r="O46" s="614">
        <f>IF(AND(J46&lt;&gt;"",M46&lt;&gt;"",M46&lt;&gt;0),J46/M46,"")</f>
        <v/>
      </c>
      <c r="P46" s="176">
        <f>IF(O46="","",IF(O46&gt;=2,"急増↑↑",IF(O46&gt;=1.5,"増加↑",IF(O46&gt;=1,"普通→","減少↓"))))</f>
        <v/>
      </c>
      <c r="Q46" s="176">
        <f>IF(E46="","",IF(AND(E46&gt;G46,O46&gt;=1.5),"買い▲",IF(E46&lt;G46,"様子見▼","中立→")))</f>
        <v/>
      </c>
      <c r="R46" s="179">
        <f>IF(E46&lt;&gt;"",ROUND(E46*1.08,0),"")</f>
        <v/>
      </c>
      <c r="S46" s="179">
        <f>IF(E46&lt;&gt;"",ROUND(E46*0.96,0),"")</f>
        <v/>
      </c>
      <c r="T46" s="176">
        <f>IF(C46="","",IFERROR(IF(O46&gt;=2,3,IF(O46&gt;=1.5,2,IF(O46&gt;=1,1,0)))+IF(E46&gt;G46,1,0)+IF(L46&gt;=-5,1,0)+IF(Q46="買い▲",2,0)+IF(W46&lt;=30,3,IF(W46&lt;=40,2,IF(AND(W46&gt;=40,W46&lt;=60),1,0)))+IF(X46&gt;0,1,0)+IF(V46="年初来高値更新●",3,IF(V46="高値圏",2,0))+IF(AD46="パーフェクト▲",3,IF(AD46="上昇トレンド▲",2,0))+IF(AE46="25日線押し目●",2,IF(AE46="5日線押し目○",1,0))+IF(P46="急増↑↑",2,IF(P46="増加↑",1,0))+N(AI46),0))</f>
        <v/>
      </c>
      <c r="U46" s="176">
        <f>IF(T46="","",IF(AND(T46&gt;=3,O46&gt;=1.5),"有効",IF(T46&gt;=3,"要確認","除外")))</f>
        <v/>
      </c>
      <c r="V46" s="176">
        <f>IF(AND(H46&lt;&gt;"",K46&lt;&gt;""),IF(H46&gt;=K46,"年初来高値更新●",IF(H46&gt;=K46*0.95,"高値圏","通常")),"")</f>
        <v/>
      </c>
      <c r="W46" s="615">
        <f t="array" ref="W46">IF(C46&lt;&gt;"",IFERROR(100-100/(1+SUMPRODUCT((終値!F108:R108&gt;終値!G108:S108)*( 終値!F108:R108-終値!G108:S108))/SUMPRODUCT((終値!F108:R108&lt;終値!G108:S108)*(終値!G108:S108-終値!F108:R108))),50),"")</f>
        <v/>
      </c>
      <c r="X46" s="183">
        <f>IF(C46&lt;&gt;"",IFERROR(SUMPRODUCT(終値!E108:P108,{0.154,0.132,0.113,0.097,0.083,0.071,0.061,0.052,0.045,0.038,0.033,0.028})/SUMPRODUCT({0.154,0.132,0.113,0.097,0.083,0.071,0.061,0.052,0.045,0.038,0.033,0.028})-SUMPRODUCT(終値!E108:AD108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6" s="570">
        <f>IF(T46="","",IF(銘柄管理!$F$5="下落▼",IF(AND(AD46="パーフェクト▲",OR(AE46="25日線押し目●",AE46="5日線押し目○")),"★逆張り候補",IF(AND(AD46="上昇トレンド▲",OR(AE46="25日線押し目●",AE46="5日線押し目○")),"○逆張り候補",IF(W46&lt;=30,IF(Z46&gt;0,"◎反発確認",IF(Z46&lt;-5,"△要注意・様子見","△売られ過ぎ注目")),"相場下落・見送り"))),IF(AND(T46&gt;=12,AD46="パーフェクト▲"),"★強い買い",IF(AND(T46&gt;=12,AD46="上昇トレンド▲"),"★強い買い",IF(AND(T46&gt;=8,OR(AE46="25日線押し目●",AE46="5日線押し目○")),"◎押し目買い",IF(T46&gt;=10,"○買い候補",IF(T46&gt;=6,"△注目",IF(T46&gt;=3,"様子見","見送り"))))))))</f>
        <v/>
      </c>
      <c r="Z46" s="616">
        <f>IF(AND(E46&lt;&gt;"",G46&lt;&gt;"",G46&lt;&gt;0),(E46-G46)/G46*100,"")</f>
        <v/>
      </c>
      <c r="AA46" s="176">
        <f>IF(OR(C46="",E46="",E46=0),"",IF(E46&gt;G46,"上昇▲",IF(E46&lt;G46,"下落▼","横ばい→")))</f>
        <v/>
      </c>
      <c r="AB46" s="438">
        <f>IF(C46="","",IFERROR(((終値!E48*0.333)+(終値!F48*0.222)+(終値!G48*0.148)+(終値!H48*0.099)+(終値!I48*0.066)+(終値!J48*0.044)+(終値!K48*0.029)+(終値!L48*0.019)+(終値!M48*0.013)+(終値!N48*0.009))/(0.333+0.222+0.148+0.099+0.066+0.044+0.029+0.019+0.013+0.009),""))</f>
        <v/>
      </c>
      <c r="AC46" s="438">
        <f>IF(C46="","",IFERROR(SUMPRODUCT((終値!E48:AC48)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6" s="439">
        <f>IF(OR(C46="",AB46="",AC46=""),"",IF(AND(E46&gt;AB46,AB46&gt;AC46),"パーフェクト▲",IF(E46&gt;AC46,"上昇トレンド▲",IF(AND(E46&lt;AB46,AB46&lt;AC46),"下降トレンド▼","もみ合い→"))))</f>
        <v/>
      </c>
      <c r="AE46" s="439">
        <f>IF(OR(C46="",AB46="",AC46=""),"",IF(AND(ABS(E46-AC46)/AC46&lt;=0.02,E46&gt;AC46),"25日押し目★",IF(AND(ABS(E46-AB46)/AB46&lt;=0.01,E46&gt;AB46),"5日押し目○","なし")))</f>
        <v/>
      </c>
      <c r="AF46" s="617">
        <f t="array" ref="AF46">IF(C46="","",IFERROR((INDEX(終値!$E:$E,MATCH(TEXT(C46,"0"),終値!$A:$A,0))-INDEX(終値!$E:$BL,MATCH(TEXT(C46,"0"),終値!$A:$A,0),$AL$2))/INDEX(終値!$E:$BL,MATCH(TEXT(C46,"0"),終値!$A:$A,0),$AL$2)*100,""))</f>
        <v/>
      </c>
      <c r="AG46" s="617">
        <f t="array" ref="AG46">IFERROR((終値!$E$5-INDEX(終値!$E$5:$BL$5,1,$AL$2))/INDEX(終値!$E$5:$BL$5,1,$AL$2)*100,"")</f>
        <v/>
      </c>
      <c r="AH46" s="618">
        <f>IF(OR(AF46="",AG46=""),"",AF46-AG46)</f>
        <v/>
      </c>
      <c r="AI46" s="385">
        <f>IF(AH46="","",IF(AH46&gt;5,3,IF(AH46&gt;0,1,IF(AH46&gt;-3,-1,-2))))</f>
        <v/>
      </c>
    </row>
    <row r="47" ht="18" customFormat="1" customHeight="1" s="187">
      <c r="A47" s="176">
        <f>IF(銘柄管理!B19&lt;&gt;"",HYPERLINK("https://kabutan.jp/stock/?code="&amp;銘柄管理!B19,"株探"),"")</f>
        <v/>
      </c>
      <c r="B47" s="177" t="n"/>
      <c r="C47" s="178">
        <f>IF(銘柄管理!B19="","",銘柄管理!B19)</f>
        <v/>
      </c>
      <c r="D47" s="106">
        <f>IF(銘柄管理!C19="","",銘柄管理!C19)</f>
        <v/>
      </c>
      <c r="E47" s="179">
        <f>IF(C47&lt;&gt;"",_xll.RssMarket(C47,"現在値"),"")</f>
        <v/>
      </c>
      <c r="F47" s="179">
        <f>IF(C47&lt;&gt;"",_xll.RssMarket(C47,"始値"),"")</f>
        <v/>
      </c>
      <c r="G47" s="178">
        <f>IF(C47&lt;&gt;"",終値!F19,"")</f>
        <v/>
      </c>
      <c r="H47" s="179">
        <f>IF(C47&lt;&gt;"",_xll.RssMarket(C47,"高値"),"")</f>
        <v/>
      </c>
      <c r="I47" s="179">
        <f>IF(C47&lt;&gt;"",_xll.RssMarket(C47,"安値"),"")</f>
        <v/>
      </c>
      <c r="J47" s="179">
        <f>IF(C47&lt;&gt;"",_xll.RssMarket(C47,"出来高"),"")</f>
        <v/>
      </c>
      <c r="K47" s="179">
        <f>IF(C47&lt;&gt;"",_xll.RssMarket(C47,"年初来高値"),"")</f>
        <v/>
      </c>
      <c r="L47" s="613">
        <f>IF(AND(E47&lt;&gt;"",K47&lt;&gt;"",K47&lt;&gt;0),(E47-K47)/K47*100,"")</f>
        <v/>
      </c>
      <c r="M47" s="179">
        <f>IF(C47&lt;&gt;"",IFERROR(AVERAGE(出来高!E19:I19),""),"")</f>
        <v/>
      </c>
      <c r="N47" s="179">
        <f>IF(C47&lt;&gt;"",IFERROR(AVERAGE(出来高!E19:AC19),""),"")</f>
        <v/>
      </c>
      <c r="O47" s="614">
        <f>IF(AND(J47&lt;&gt;"",M47&lt;&gt;"",M47&lt;&gt;0),J47/M47,"")</f>
        <v/>
      </c>
      <c r="P47" s="176">
        <f>IF(O47="","",IF(O47&gt;=2,"急増↑↑",IF(O47&gt;=1.5,"増加↑",IF(O47&gt;=1,"普通→","減少↓"))))</f>
        <v/>
      </c>
      <c r="Q47" s="176">
        <f>IF(E47="","",IF(AND(E47&gt;G47,O47&gt;=1.5),"買い▲",IF(E47&lt;G47,"様子見▼","中立→")))</f>
        <v/>
      </c>
      <c r="R47" s="179">
        <f>IF(E47&lt;&gt;"",ROUND(E47*1.08,0),"")</f>
        <v/>
      </c>
      <c r="S47" s="179">
        <f>IF(E47&lt;&gt;"",ROUND(E47*0.96,0),"")</f>
        <v/>
      </c>
      <c r="T47" s="176">
        <f>IF(C47="","",IFERROR(IF(O47&gt;=2,3,IF(O47&gt;=1.5,2,IF(O47&gt;=1,1,0)))+IF(E47&gt;G47,1,0)+IF(L47&gt;=-5,1,0)+IF(Q47="買い▲",2,0)+IF(W47&lt;=30,3,IF(W47&lt;=40,2,IF(AND(W47&gt;=40,W47&lt;=60),1,0)))+IF(X47&gt;0,1,0)+IF(V47="年初来高値更新●",3,IF(V47="高値圏",2,0))+IF(AD47="パーフェクト▲",3,IF(AD47="上昇トレンド▲",2,0))+IF(AE47="25日線押し目●",2,IF(AE47="5日線押し目○",1,0))+IF(P47="急増↑↑",2,IF(P47="増加↑",1,0))+N(AI47),0))</f>
        <v/>
      </c>
      <c r="U47" s="176">
        <f>IF(T47="","",IF(AND(T47&gt;=3,O47&gt;=1.5),"有効",IF(T47&gt;=3,"要確認","除外")))</f>
        <v/>
      </c>
      <c r="V47" s="176">
        <f>IF(AND(H47&lt;&gt;"",K47&lt;&gt;""),IF(H47&gt;=K47,"年初来高値更新●",IF(H47&gt;=K47*0.95,"高値圏","通常")),"")</f>
        <v/>
      </c>
      <c r="W47" s="615">
        <f t="array" ref="W47">IF(C47&lt;&gt;"",IFERROR(100-100/(1+SUMPRODUCT((終値!F19:R19&gt;終値!G19:S19)*( 終値!F19:R19-終値!G19:S19))/SUMPRODUCT((終値!F19:R19&lt;終値!G19:S19)*(終値!G19:S19-終値!F19:R19))),50),"")</f>
        <v/>
      </c>
      <c r="X47" s="183">
        <f>IF(C47&lt;&gt;"",IFERROR(SUMPRODUCT(終値!E19:P19,{0.154,0.132,0.113,0.097,0.083,0.071,0.061,0.052,0.045,0.038,0.033,0.028})/SUMPRODUCT({0.154,0.132,0.113,0.097,0.083,0.071,0.061,0.052,0.045,0.038,0.033,0.028})-SUMPRODUCT(終値!E19:AD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7" s="570">
        <f>IF(T47="","",IF(銘柄管理!$F$5="下落▼",IF(AND(AD47="パーフェクト▲",OR(AE47="25日線押し目●",AE47="5日線押し目○")),"★逆張り候補",IF(AND(AD47="上昇トレンド▲",OR(AE47="25日線押し目●",AE47="5日線押し目○")),"○逆張り候補",IF(W47&lt;=30,IF(Z47&gt;0,"◎反発確認",IF(Z47&lt;-5,"△要注意・様子見","△売られ過ぎ注目")),"相場下落・見送り"))),IF(AND(T47&gt;=12,AD47="パーフェクト▲"),"★強い買い",IF(AND(T47&gt;=12,AD47="上昇トレンド▲"),"★強い買い",IF(AND(T47&gt;=8,OR(AE47="25日線押し目●",AE47="5日線押し目○")),"◎押し目買い",IF(T47&gt;=10,"○買い候補",IF(T47&gt;=6,"△注目",IF(T47&gt;=3,"様子見","見送り"))))))))</f>
        <v/>
      </c>
      <c r="Z47" s="616">
        <f>IF(AND(E47&lt;&gt;"",G47&lt;&gt;"",G47&lt;&gt;0),(E47-G47)/G47*100,"")</f>
        <v/>
      </c>
      <c r="AA47" s="176">
        <f>IF(OR(C47="",E47="",E47=0),"",IF(E47&gt;G47,"上昇▲",IF(E47&lt;G47,"下落▼","横ばい→")))</f>
        <v/>
      </c>
      <c r="AB47" s="440">
        <f>IF(C47="","",IFERROR(((終値!E49*0.333)+(終値!F49*0.222)+(終値!G49*0.148)+(終値!H49*0.099)+(終値!I49*0.066)+(終値!J49*0.044)+(終値!K49*0.029)+(終値!L49*0.019)+(終値!M49*0.013)+(終値!N49*0.009))/(0.333+0.222+0.148+0.099+0.066+0.044+0.029+0.019+0.013+0.009),""))</f>
        <v/>
      </c>
      <c r="AC47" s="440">
        <f>IF(C47="","",IFERROR(SUMPRODUCT((終値!E49:AC49)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7" s="441">
        <f>IF(OR(C47="",AB47="",AC47=""),"",IF(AND(E47&gt;AB47,AB47&gt;AC47),"パーフェクト▲",IF(E47&gt;AC47,"上昇トレンド▲",IF(AND(E47&lt;AB47,AB47&lt;AC47),"下降トレンド▼","もみ合い→"))))</f>
        <v/>
      </c>
      <c r="AE47" s="441">
        <f>IF(OR(C47="",AB47="",AC47=""),"",IF(AND(ABS(E47-AC47)/AC47&lt;=0.02,E47&gt;AC47),"25日押し目★",IF(AND(ABS(E47-AB47)/AB47&lt;=0.01,E47&gt;AB47),"5日押し目○","なし")))</f>
        <v/>
      </c>
      <c r="AF47" s="617">
        <f t="array" ref="AF47">IF(C47="","",IFERROR((INDEX(終値!$E:$E,MATCH(TEXT(C47,"0"),終値!$A:$A,0))-INDEX(終値!$E:$BL,MATCH(TEXT(C47,"0"),終値!$A:$A,0),$AL$2))/INDEX(終値!$E:$BL,MATCH(TEXT(C47,"0"),終値!$A:$A,0),$AL$2)*100,""))</f>
        <v/>
      </c>
      <c r="AG47" s="617">
        <f t="array" ref="AG47">IFERROR((終値!$E$5-INDEX(終値!$E$5:$BL$5,1,$AL$2))/INDEX(終値!$E$5:$BL$5,1,$AL$2)*100,"")</f>
        <v/>
      </c>
      <c r="AH47" s="618">
        <f>IF(OR(AF47="",AG47=""),"",AF47-AG47)</f>
        <v/>
      </c>
      <c r="AI47" s="385">
        <f>IF(AH47="","",IF(AH47&gt;5,3,IF(AH47&gt;0,1,IF(AH47&gt;-3,-1,-2))))</f>
        <v/>
      </c>
    </row>
    <row r="48" ht="18" customFormat="1" customHeight="1" s="187">
      <c r="A48" s="176">
        <f>IF(銘柄管理!B123&lt;&gt;"",HYPERLINK("https://kabutan.jp/stock/?code="&amp;銘柄管理!B123,"株探"),"")</f>
        <v/>
      </c>
      <c r="B48" s="177" t="n"/>
      <c r="C48" s="178">
        <f>IF(銘柄管理!B123="","",銘柄管理!B123)</f>
        <v/>
      </c>
      <c r="D48" s="106">
        <f>IF(銘柄管理!C123="","",銘柄管理!C123)</f>
        <v/>
      </c>
      <c r="E48" s="179">
        <f>IF(C48&lt;&gt;"",_xll.RssMarket(C48,"現在値"),"")</f>
        <v/>
      </c>
      <c r="F48" s="179">
        <f>IF(C48&lt;&gt;"",_xll.RssMarket(C48,"始値"),"")</f>
        <v/>
      </c>
      <c r="G48" s="178">
        <f>IF(C48&lt;&gt;"",終値!F123,"")</f>
        <v/>
      </c>
      <c r="H48" s="179">
        <f>IF(C48&lt;&gt;"",_xll.RssMarket(C48,"高値"),"")</f>
        <v/>
      </c>
      <c r="I48" s="179">
        <f>IF(C48&lt;&gt;"",_xll.RssMarket(C48,"安値"),"")</f>
        <v/>
      </c>
      <c r="J48" s="179">
        <f>IF(C48&lt;&gt;"",_xll.RssMarket(C48,"出来高"),"")</f>
        <v/>
      </c>
      <c r="K48" s="179">
        <f>IF(C48&lt;&gt;"",_xll.RssMarket(C48,"年初来高値"),"")</f>
        <v/>
      </c>
      <c r="L48" s="613">
        <f>IF(AND(E48&lt;&gt;"",K48&lt;&gt;"",K48&lt;&gt;0),(E48-K48)/K48*100,"")</f>
        <v/>
      </c>
      <c r="M48" s="179">
        <f>IF(C48&lt;&gt;"",IFERROR(AVERAGE(出来高!E123:I123),""),"")</f>
        <v/>
      </c>
      <c r="N48" s="179">
        <f>IF(C48&lt;&gt;"",IFERROR(AVERAGE(出来高!E123:AC123),""),"")</f>
        <v/>
      </c>
      <c r="O48" s="614">
        <f>IF(AND(J48&lt;&gt;"",M48&lt;&gt;"",M48&lt;&gt;0),J48/M48,"")</f>
        <v/>
      </c>
      <c r="P48" s="176">
        <f>IF(O48="","",IF(O48&gt;=2,"急増↑↑",IF(O48&gt;=1.5,"増加↑",IF(O48&gt;=1,"普通→","減少↓"))))</f>
        <v/>
      </c>
      <c r="Q48" s="176">
        <f>IF(E48="","",IF(AND(E48&gt;G48,O48&gt;=1.5),"買い▲",IF(E48&lt;G48,"様子見▼","中立→")))</f>
        <v/>
      </c>
      <c r="R48" s="179">
        <f>IF(E48&lt;&gt;"",ROUND(E48*1.08,0),"")</f>
        <v/>
      </c>
      <c r="S48" s="179">
        <f>IF(E48&lt;&gt;"",ROUND(E48*0.96,0),"")</f>
        <v/>
      </c>
      <c r="T48" s="176">
        <f>IF(C48="","",IFERROR(IF(O48&gt;=2,3,IF(O48&gt;=1.5,2,IF(O48&gt;=1,1,0)))+IF(E48&gt;G48,1,0)+IF(L48&gt;=-5,1,0)+IF(Q48="買い▲",2,0)+IF(W48&lt;=30,3,IF(W48&lt;=40,2,IF(AND(W48&gt;=40,W48&lt;=60),1,0)))+IF(X48&gt;0,1,0)+IF(V48="年初来高値更新●",3,IF(V48="高値圏",2,0))+IF(AD48="パーフェクト▲",3,IF(AD48="上昇トレンド▲",2,0))+IF(AE48="25日線押し目●",2,IF(AE48="5日線押し目○",1,0))+IF(P48="急増↑↑",2,IF(P48="増加↑",1,0))+N(AI48),0))</f>
        <v/>
      </c>
      <c r="U48" s="176">
        <f>IF(T48="","",IF(AND(T48&gt;=3,O48&gt;=1.5),"有効",IF(T48&gt;=3,"要確認","除外")))</f>
        <v/>
      </c>
      <c r="V48" s="176">
        <f>IF(AND(H48&lt;&gt;"",K48&lt;&gt;""),IF(H48&gt;=K48,"年初来高値更新●",IF(H48&gt;=K48*0.95,"高値圏","通常")),"")</f>
        <v/>
      </c>
      <c r="W48" s="615">
        <f t="array" ref="W48">IF(C48&lt;&gt;"",IFERROR(100-100/(1+SUMPRODUCT((終値!F123:R123&gt;終値!G123:S123)*( 終値!F123:R123-終値!G123:S123))/SUMPRODUCT((終値!F123:R123&lt;終値!G123:S123)*(終値!G123:S123-終値!F123:R123))),50),"")</f>
        <v/>
      </c>
      <c r="X48" s="183">
        <f>IF(C48&lt;&gt;"",IFERROR(SUMPRODUCT(終値!E123:P123,{0.154,0.132,0.113,0.097,0.083,0.071,0.061,0.052,0.045,0.038,0.033,0.028})/SUMPRODUCT({0.154,0.132,0.113,0.097,0.083,0.071,0.061,0.052,0.045,0.038,0.033,0.028})-SUMPRODUCT(終値!E123:AD123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8" s="570">
        <f>IF(T48="","",IF(銘柄管理!$F$5="下落▼",IF(AND(AD48="パーフェクト▲",OR(AE48="25日線押し目●",AE48="5日線押し目○")),"★逆張り候補",IF(AND(AD48="上昇トレンド▲",OR(AE48="25日線押し目●",AE48="5日線押し目○")),"○逆張り候補",IF(W48&lt;=30,IF(Z48&gt;0,"◎反発確認",IF(Z48&lt;-5,"△要注意・様子見","△売られ過ぎ注目")),"相場下落・見送り"))),IF(AND(T48&gt;=12,AD48="パーフェクト▲"),"★強い買い",IF(AND(T48&gt;=12,AD48="上昇トレンド▲"),"★強い買い",IF(AND(T48&gt;=8,OR(AE48="25日線押し目●",AE48="5日線押し目○")),"◎押し目買い",IF(T48&gt;=10,"○買い候補",IF(T48&gt;=6,"△注目",IF(T48&gt;=3,"様子見","見送り"))))))))</f>
        <v/>
      </c>
      <c r="Z48" s="616">
        <f>IF(AND(E48&lt;&gt;"",G48&lt;&gt;"",G48&lt;&gt;0),(E48-G48)/G48*100,"")</f>
        <v/>
      </c>
      <c r="AA48" s="176">
        <f>IF(OR(C48="",E48="",E48=0),"",IF(E48&gt;G48,"上昇▲",IF(E48&lt;G48,"下落▼","横ばい→")))</f>
        <v/>
      </c>
      <c r="AB48" s="438">
        <f>IF(C48="","",IFERROR(((終値!E50*0.333)+(終値!F50*0.222)+(終値!G50*0.148)+(終値!H50*0.099)+(終値!I50*0.066)+(終値!J50*0.044)+(終値!K50*0.029)+(終値!L50*0.019)+(終値!M50*0.013)+(終値!N50*0.009))/(0.333+0.222+0.148+0.099+0.066+0.044+0.029+0.019+0.013+0.009),""))</f>
        <v/>
      </c>
      <c r="AC48" s="438">
        <f>IF(C48="","",IFERROR(SUMPRODUCT((終値!E50:AC50)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8" s="439">
        <f>IF(OR(C48="",AB48="",AC48=""),"",IF(AND(E48&gt;AB48,AB48&gt;AC48),"パーフェクト▲",IF(E48&gt;AC48,"上昇トレンド▲",IF(AND(E48&lt;AB48,AB48&lt;AC48),"下降トレンド▼","もみ合い→"))))</f>
        <v/>
      </c>
      <c r="AE48" s="439">
        <f>IF(OR(C48="",AB48="",AC48=""),"",IF(AND(ABS(E48-AC48)/AC48&lt;=0.02,E48&gt;AC48),"25日押し目★",IF(AND(ABS(E48-AB48)/AB48&lt;=0.01,E48&gt;AB48),"5日押し目○","なし")))</f>
        <v/>
      </c>
      <c r="AF48" s="617">
        <f t="array" ref="AF48">IF(C48="","",IFERROR((INDEX(終値!$E:$E,MATCH(TEXT(C48,"0"),終値!$A:$A,0))-INDEX(終値!$E:$BL,MATCH(TEXT(C48,"0"),終値!$A:$A,0),$AL$2))/INDEX(終値!$E:$BL,MATCH(TEXT(C48,"0"),終値!$A:$A,0),$AL$2)*100,""))</f>
        <v/>
      </c>
      <c r="AG48" s="617">
        <f t="array" ref="AG48">IFERROR((終値!$E$5-INDEX(終値!$E$5:$BL$5,1,$AL$2))/INDEX(終値!$E$5:$BL$5,1,$AL$2)*100,"")</f>
        <v/>
      </c>
      <c r="AH48" s="618">
        <f>IF(OR(AF48="",AG48=""),"",AF48-AG48)</f>
        <v/>
      </c>
      <c r="AI48" s="385">
        <f>IF(AH48="","",IF(AH48&gt;5,3,IF(AH48&gt;0,1,IF(AH48&gt;-3,-1,-2))))</f>
        <v/>
      </c>
    </row>
    <row r="49" ht="18" customFormat="1" customHeight="1" s="187">
      <c r="A49" s="176">
        <f>IF(銘柄管理!B122&lt;&gt;"",HYPERLINK("https://kabutan.jp/stock/?code="&amp;銘柄管理!B122,"株探"),"")</f>
        <v/>
      </c>
      <c r="B49" s="177" t="n"/>
      <c r="C49" s="178">
        <f>IF(銘柄管理!B122="","",銘柄管理!B122)</f>
        <v/>
      </c>
      <c r="D49" s="106">
        <f>IF(銘柄管理!C122="","",銘柄管理!C122)</f>
        <v/>
      </c>
      <c r="E49" s="179">
        <f>IF(C49&lt;&gt;"",_xll.RssMarket(C49,"現在値"),"")</f>
        <v/>
      </c>
      <c r="F49" s="179">
        <f>IF(C49&lt;&gt;"",_xll.RssMarket(C49,"始値"),"")</f>
        <v/>
      </c>
      <c r="G49" s="178">
        <f>IF(C49&lt;&gt;"",終値!F122,"")</f>
        <v/>
      </c>
      <c r="H49" s="179">
        <f>IF(C49&lt;&gt;"",_xll.RssMarket(C49,"高値"),"")</f>
        <v/>
      </c>
      <c r="I49" s="179">
        <f>IF(C49&lt;&gt;"",_xll.RssMarket(C49,"安値"),"")</f>
        <v/>
      </c>
      <c r="J49" s="179">
        <f>IF(C49&lt;&gt;"",_xll.RssMarket(C49,"出来高"),"")</f>
        <v/>
      </c>
      <c r="K49" s="179">
        <f>IF(C49&lt;&gt;"",_xll.RssMarket(C49,"年初来高値"),"")</f>
        <v/>
      </c>
      <c r="L49" s="613">
        <f>IF(AND(E49&lt;&gt;"",K49&lt;&gt;"",K49&lt;&gt;0),(E49-K49)/K49*100,"")</f>
        <v/>
      </c>
      <c r="M49" s="179">
        <f>IF(C49&lt;&gt;"",IFERROR(AVERAGE(出来高!E122:I122),""),"")</f>
        <v/>
      </c>
      <c r="N49" s="179">
        <f>IF(C49&lt;&gt;"",IFERROR(AVERAGE(出来高!E122:AC122),""),"")</f>
        <v/>
      </c>
      <c r="O49" s="614">
        <f>IF(AND(J49&lt;&gt;"",M49&lt;&gt;"",M49&lt;&gt;0),J49/M49,"")</f>
        <v/>
      </c>
      <c r="P49" s="176">
        <f>IF(O49="","",IF(O49&gt;=2,"急増↑↑",IF(O49&gt;=1.5,"増加↑",IF(O49&gt;=1,"普通→","減少↓"))))</f>
        <v/>
      </c>
      <c r="Q49" s="176">
        <f>IF(E49="","",IF(AND(E49&gt;G49,O49&gt;=1.5),"買い▲",IF(E49&lt;G49,"様子見▼","中立→")))</f>
        <v/>
      </c>
      <c r="R49" s="179">
        <f>IF(E49&lt;&gt;"",ROUND(E49*1.08,0),"")</f>
        <v/>
      </c>
      <c r="S49" s="179">
        <f>IF(E49&lt;&gt;"",ROUND(E49*0.96,0),"")</f>
        <v/>
      </c>
      <c r="T49" s="176">
        <f>IF(C49="","",IFERROR(IF(O49&gt;=2,3,IF(O49&gt;=1.5,2,IF(O49&gt;=1,1,0)))+IF(E49&gt;G49,1,0)+IF(L49&gt;=-5,1,0)+IF(Q49="買い▲",2,0)+IF(W49&lt;=30,3,IF(W49&lt;=40,2,IF(AND(W49&gt;=40,W49&lt;=60),1,0)))+IF(X49&gt;0,1,0)+IF(V49="年初来高値更新●",3,IF(V49="高値圏",2,0))+IF(AD49="パーフェクト▲",3,IF(AD49="上昇トレンド▲",2,0))+IF(AE49="25日線押し目●",2,IF(AE49="5日線押し目○",1,0))+IF(P49="急増↑↑",2,IF(P49="増加↑",1,0))+N(AI49),0))</f>
        <v/>
      </c>
      <c r="U49" s="176">
        <f>IF(T49="","",IF(AND(T49&gt;=3,O49&gt;=1.5),"有効",IF(T49&gt;=3,"要確認","除外")))</f>
        <v/>
      </c>
      <c r="V49" s="176">
        <f>IF(AND(H49&lt;&gt;"",K49&lt;&gt;""),IF(H49&gt;=K49,"年初来高値更新●",IF(H49&gt;=K49*0.95,"高値圏","通常")),"")</f>
        <v/>
      </c>
      <c r="W49" s="615">
        <f t="array" ref="W49">IF(C49&lt;&gt;"",IFERROR(100-100/(1+SUMPRODUCT((終値!F122:R122&gt;終値!G122:S122)*( 終値!F122:R122-終値!G122:S122))/SUMPRODUCT((終値!F122:R122&lt;終値!G122:S122)*(終値!G122:S122-終値!F122:R122))),50),"")</f>
        <v/>
      </c>
      <c r="X49" s="183">
        <f>IF(C49&lt;&gt;"",IFERROR(SUMPRODUCT(終値!E122:P122,{0.154,0.132,0.113,0.097,0.083,0.071,0.061,0.052,0.045,0.038,0.033,0.028})/SUMPRODUCT({0.154,0.132,0.113,0.097,0.083,0.071,0.061,0.052,0.045,0.038,0.033,0.028})-SUMPRODUCT(終値!E122:AD122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9" s="570">
        <f>IF(T49="","",IF(銘柄管理!$F$5="下落▼",IF(AND(AD49="パーフェクト▲",OR(AE49="25日線押し目●",AE49="5日線押し目○")),"★逆張り候補",IF(AND(AD49="上昇トレンド▲",OR(AE49="25日線押し目●",AE49="5日線押し目○")),"○逆張り候補",IF(W49&lt;=30,IF(Z49&gt;0,"◎反発確認",IF(Z49&lt;-5,"△要注意・様子見","△売られ過ぎ注目")),"相場下落・見送り"))),IF(AND(T49&gt;=12,AD49="パーフェクト▲"),"★強い買い",IF(AND(T49&gt;=12,AD49="上昇トレンド▲"),"★強い買い",IF(AND(T49&gt;=8,OR(AE49="25日線押し目●",AE49="5日線押し目○")),"◎押し目買い",IF(T49&gt;=10,"○買い候補",IF(T49&gt;=6,"△注目",IF(T49&gt;=3,"様子見","見送り"))))))))</f>
        <v/>
      </c>
      <c r="Z49" s="616">
        <f>IF(AND(E49&lt;&gt;"",G49&lt;&gt;"",G49&lt;&gt;0),(E49-G49)/G49*100,"")</f>
        <v/>
      </c>
      <c r="AA49" s="176">
        <f>IF(OR(C49="",E49="",E49=0),"",IF(E49&gt;G49,"上昇▲",IF(E49&lt;G49,"下落▼","横ばい→")))</f>
        <v/>
      </c>
      <c r="AB49" s="440">
        <f>IF(C49="","",IFERROR(((終値!E51*0.333)+(終値!F51*0.222)+(終値!G51*0.148)+(終値!H51*0.099)+(終値!I51*0.066)+(終値!J51*0.044)+(終値!K51*0.029)+(終値!L51*0.019)+(終値!M51*0.013)+(終値!N51*0.009))/(0.333+0.222+0.148+0.099+0.066+0.044+0.029+0.019+0.013+0.009),""))</f>
        <v/>
      </c>
      <c r="AC49" s="440">
        <f>IF(C49="","",IFERROR(SUMPRODUCT((終値!E51:AC51)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9" s="441">
        <f>IF(OR(C49="",AB49="",AC49=""),"",IF(AND(E49&gt;AB49,AB49&gt;AC49),"パーフェクト▲",IF(E49&gt;AC49,"上昇トレンド▲",IF(AND(E49&lt;AB49,AB49&lt;AC49),"下降トレンド▼","もみ合い→"))))</f>
        <v/>
      </c>
      <c r="AE49" s="441">
        <f>IF(OR(C49="",AB49="",AC49=""),"",IF(AND(ABS(E49-AC49)/AC49&lt;=0.02,E49&gt;AC49),"25日押し目★",IF(AND(ABS(E49-AB49)/AB49&lt;=0.01,E49&gt;AB49),"5日押し目○","なし")))</f>
        <v/>
      </c>
      <c r="AF49" s="617">
        <f t="array" ref="AF49">IF(C49="","",IFERROR((INDEX(終値!$E:$E,MATCH(TEXT(C49,"0"),終値!$A:$A,0))-INDEX(終値!$E:$BL,MATCH(TEXT(C49,"0"),終値!$A:$A,0),$AL$2))/INDEX(終値!$E:$BL,MATCH(TEXT(C49,"0"),終値!$A:$A,0),$AL$2)*100,""))</f>
        <v/>
      </c>
      <c r="AG49" s="617">
        <f t="array" ref="AG49">IFERROR((終値!$E$5-INDEX(終値!$E$5:$BL$5,1,$AL$2))/INDEX(終値!$E$5:$BL$5,1,$AL$2)*100,"")</f>
        <v/>
      </c>
      <c r="AH49" s="618">
        <f>IF(OR(AF49="",AG49=""),"",AF49-AG49)</f>
        <v/>
      </c>
      <c r="AI49" s="385">
        <f>IF(AH49="","",IF(AH49&gt;5,3,IF(AH49&gt;0,1,IF(AH49&gt;-3,-1,-2))))</f>
        <v/>
      </c>
    </row>
    <row r="50" ht="18" customFormat="1" customHeight="1" s="187">
      <c r="A50" s="176">
        <f>IF(銘柄管理!B50&lt;&gt;"",HYPERLINK("https://kabutan.jp/stock/?code="&amp;銘柄管理!B50,"株探"),"")</f>
        <v/>
      </c>
      <c r="B50" s="177" t="n"/>
      <c r="C50" s="178">
        <f>IF(銘柄管理!B50="","",銘柄管理!B50)</f>
        <v/>
      </c>
      <c r="D50" s="106">
        <f>IF(銘柄管理!C50="","",銘柄管理!C50)</f>
        <v/>
      </c>
      <c r="E50" s="179">
        <f>IF(C50&lt;&gt;"",_xll.RssMarket(C50,"現在値"),"")</f>
        <v/>
      </c>
      <c r="F50" s="179">
        <f>IF(C50&lt;&gt;"",_xll.RssMarket(C50,"始値"),"")</f>
        <v/>
      </c>
      <c r="G50" s="178">
        <f>IF(C50&lt;&gt;"",終値!F50,"")</f>
        <v/>
      </c>
      <c r="H50" s="179">
        <f>IF(C50&lt;&gt;"",_xll.RssMarket(C50,"高値"),"")</f>
        <v/>
      </c>
      <c r="I50" s="179">
        <f>IF(C50&lt;&gt;"",_xll.RssMarket(C50,"安値"),"")</f>
        <v/>
      </c>
      <c r="J50" s="179">
        <f>IF(C50&lt;&gt;"",_xll.RssMarket(C50,"出来高"),"")</f>
        <v/>
      </c>
      <c r="K50" s="179">
        <f>IF(C50&lt;&gt;"",_xll.RssMarket(C50,"年初来高値"),"")</f>
        <v/>
      </c>
      <c r="L50" s="613">
        <f>IF(AND(E50&lt;&gt;"",K50&lt;&gt;"",K50&lt;&gt;0),(E50-K50)/K50*100,"")</f>
        <v/>
      </c>
      <c r="M50" s="179">
        <f>IF(C50&lt;&gt;"",IFERROR(AVERAGE(出来高!E50:I50),""),"")</f>
        <v/>
      </c>
      <c r="N50" s="179">
        <f>IF(C50&lt;&gt;"",IFERROR(AVERAGE(出来高!E50:AC50),""),"")</f>
        <v/>
      </c>
      <c r="O50" s="614">
        <f>IF(AND(J50&lt;&gt;"",M50&lt;&gt;"",M50&lt;&gt;0),J50/M50,"")</f>
        <v/>
      </c>
      <c r="P50" s="176">
        <f>IF(O50="","",IF(O50&gt;=2,"急増↑↑",IF(O50&gt;=1.5,"増加↑",IF(O50&gt;=1,"普通→","減少↓"))))</f>
        <v/>
      </c>
      <c r="Q50" s="176">
        <f>IF(E50="","",IF(AND(E50&gt;G50,O50&gt;=1.5),"買い▲",IF(E50&lt;G50,"様子見▼","中立→")))</f>
        <v/>
      </c>
      <c r="R50" s="179">
        <f>IF(E50&lt;&gt;"",ROUND(E50*1.08,0),"")</f>
        <v/>
      </c>
      <c r="S50" s="179">
        <f>IF(E50&lt;&gt;"",ROUND(E50*0.96,0),"")</f>
        <v/>
      </c>
      <c r="T50" s="176">
        <f>IF(C50="","",IFERROR(IF(O50&gt;=2,3,IF(O50&gt;=1.5,2,IF(O50&gt;=1,1,0)))+IF(E50&gt;G50,1,0)+IF(L50&gt;=-5,1,0)+IF(Q50="買い▲",2,0)+IF(W50&lt;=30,3,IF(W50&lt;=40,2,IF(AND(W50&gt;=40,W50&lt;=60),1,0)))+IF(X50&gt;0,1,0)+IF(V50="年初来高値更新●",3,IF(V50="高値圏",2,0))+IF(AD50="パーフェクト▲",3,IF(AD50="上昇トレンド▲",2,0))+IF(AE50="25日線押し目●",2,IF(AE50="5日線押し目○",1,0))+IF(P50="急増↑↑",2,IF(P50="増加↑",1,0))+N(AI50),0))</f>
        <v/>
      </c>
      <c r="U50" s="176">
        <f>IF(T50="","",IF(AND(T50&gt;=3,O50&gt;=1.5),"有効",IF(T50&gt;=3,"要確認","除外")))</f>
        <v/>
      </c>
      <c r="V50" s="176">
        <f>IF(AND(H50&lt;&gt;"",K50&lt;&gt;""),IF(H50&gt;=K50,"年初来高値更新●",IF(H50&gt;=K50*0.95,"高値圏","通常")),"")</f>
        <v/>
      </c>
      <c r="W50" s="615">
        <f t="array" ref="W50">IF(C50&lt;&gt;"",IFERROR(100-100/(1+SUMPRODUCT((終値!F50:R50&gt;終値!G50:S50)*( 終値!F50:R50-終値!G50:S50))/SUMPRODUCT((終値!F50:R50&lt;終値!G50:S50)*(終値!G50:S50-終値!F50:R50))),50),"")</f>
        <v/>
      </c>
      <c r="X50" s="183">
        <f>IF(C50&lt;&gt;"",IFERROR(SUMPRODUCT(終値!E50:P50,{0.154,0.132,0.113,0.097,0.083,0.071,0.061,0.052,0.045,0.038,0.033,0.028})/SUMPRODUCT({0.154,0.132,0.113,0.097,0.083,0.071,0.061,0.052,0.045,0.038,0.033,0.028})-SUMPRODUCT(終値!E50:AD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0" s="570">
        <f>IF(T50="","",IF(銘柄管理!$F$5="下落▼",IF(AND(AD50="パーフェクト▲",OR(AE50="25日線押し目●",AE50="5日線押し目○")),"★逆張り候補",IF(AND(AD50="上昇トレンド▲",OR(AE50="25日線押し目●",AE50="5日線押し目○")),"○逆張り候補",IF(W50&lt;=30,IF(Z50&gt;0,"◎反発確認",IF(Z50&lt;-5,"△要注意・様子見","△売られ過ぎ注目")),"相場下落・見送り"))),IF(AND(T50&gt;=12,AD50="パーフェクト▲"),"★強い買い",IF(AND(T50&gt;=12,AD50="上昇トレンド▲"),"★強い買い",IF(AND(T50&gt;=8,OR(AE50="25日線押し目●",AE50="5日線押し目○")),"◎押し目買い",IF(T50&gt;=10,"○買い候補",IF(T50&gt;=6,"△注目",IF(T50&gt;=3,"様子見","見送り"))))))))</f>
        <v/>
      </c>
      <c r="Z50" s="616">
        <f>IF(AND(E50&lt;&gt;"",G50&lt;&gt;"",G50&lt;&gt;0),(E50-G50)/G50*100,"")</f>
        <v/>
      </c>
      <c r="AA50" s="176">
        <f>IF(OR(C50="",E50="",E50=0),"",IF(E50&gt;G50,"上昇▲",IF(E50&lt;G50,"下落▼","横ばい→")))</f>
        <v/>
      </c>
      <c r="AB50" s="438">
        <f>IF(C50="","",IFERROR(((終値!E52*0.333)+(終値!F52*0.222)+(終値!G52*0.148)+(終値!H52*0.099)+(終値!I52*0.066)+(終値!J52*0.044)+(終値!K52*0.029)+(終値!L52*0.019)+(終値!M52*0.013)+(終値!N52*0.009))/(0.333+0.222+0.148+0.099+0.066+0.044+0.029+0.019+0.013+0.009),""))</f>
        <v/>
      </c>
      <c r="AC50" s="438">
        <f>IF(C50="","",IFERROR(SUMPRODUCT((終値!E52:AC52)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0" s="439">
        <f>IF(OR(C50="",AB50="",AC50=""),"",IF(AND(E50&gt;AB50,AB50&gt;AC50),"パーフェクト▲",IF(E50&gt;AC50,"上昇トレンド▲",IF(AND(E50&lt;AB50,AB50&lt;AC50),"下降トレンド▼","もみ合い→"))))</f>
        <v/>
      </c>
      <c r="AE50" s="439">
        <f>IF(OR(C50="",AB50="",AC50=""),"",IF(AND(ABS(E50-AC50)/AC50&lt;=0.02,E50&gt;AC50),"25日押し目★",IF(AND(ABS(E50-AB50)/AB50&lt;=0.01,E50&gt;AB50),"5日押し目○","なし")))</f>
        <v/>
      </c>
      <c r="AF50" s="617">
        <f t="array" ref="AF50">IF(C50="","",IFERROR((INDEX(終値!$E:$E,MATCH(TEXT(C50,"0"),終値!$A:$A,0))-INDEX(終値!$E:$BL,MATCH(TEXT(C50,"0"),終値!$A:$A,0),$AL$2))/INDEX(終値!$E:$BL,MATCH(TEXT(C50,"0"),終値!$A:$A,0),$AL$2)*100,""))</f>
        <v/>
      </c>
      <c r="AG50" s="617">
        <f t="array" ref="AG50">IFERROR((終値!$E$5-INDEX(終値!$E$5:$BL$5,1,$AL$2))/INDEX(終値!$E$5:$BL$5,1,$AL$2)*100,"")</f>
        <v/>
      </c>
      <c r="AH50" s="618">
        <f>IF(OR(AF50="",AG50=""),"",AF50-AG50)</f>
        <v/>
      </c>
      <c r="AI50" s="385">
        <f>IF(AH50="","",IF(AH50&gt;5,3,IF(AH50&gt;0,1,IF(AH50&gt;-3,-1,-2))))</f>
        <v/>
      </c>
    </row>
    <row r="51" ht="18" customFormat="1" customHeight="1" s="187">
      <c r="A51" s="176">
        <f>IF(銘柄管理!B31&lt;&gt;"",HYPERLINK("https://kabutan.jp/stock/?code="&amp;銘柄管理!B31,"株探"),"")</f>
        <v/>
      </c>
      <c r="B51" s="177" t="n"/>
      <c r="C51" s="178">
        <f>IF(銘柄管理!B31="","",銘柄管理!B31)</f>
        <v/>
      </c>
      <c r="D51" s="106">
        <f>IF(銘柄管理!C31="","",銘柄管理!C31)</f>
        <v/>
      </c>
      <c r="E51" s="179">
        <f>IF(C51&lt;&gt;"",_xll.RssMarket(C51,"現在値"),"")</f>
        <v/>
      </c>
      <c r="F51" s="179">
        <f>IF(C51&lt;&gt;"",_xll.RssMarket(C51,"始値"),"")</f>
        <v/>
      </c>
      <c r="G51" s="178">
        <f>IF(C51&lt;&gt;"",終値!F31,"")</f>
        <v/>
      </c>
      <c r="H51" s="179">
        <f>IF(C51&lt;&gt;"",_xll.RssMarket(C51,"高値"),"")</f>
        <v/>
      </c>
      <c r="I51" s="179">
        <f>IF(C51&lt;&gt;"",_xll.RssMarket(C51,"安値"),"")</f>
        <v/>
      </c>
      <c r="J51" s="179">
        <f>IF(C51&lt;&gt;"",_xll.RssMarket(C51,"出来高"),"")</f>
        <v/>
      </c>
      <c r="K51" s="179">
        <f>IF(C51&lt;&gt;"",_xll.RssMarket(C51,"年初来高値"),"")</f>
        <v/>
      </c>
      <c r="L51" s="613">
        <f>IF(AND(E51&lt;&gt;"",K51&lt;&gt;"",K51&lt;&gt;0),(E51-K51)/K51*100,"")</f>
        <v/>
      </c>
      <c r="M51" s="179">
        <f>IF(C51&lt;&gt;"",IFERROR(AVERAGE(出来高!E31:I31),""),"")</f>
        <v/>
      </c>
      <c r="N51" s="179">
        <f>IF(C51&lt;&gt;"",IFERROR(AVERAGE(出来高!E31:AC31),""),"")</f>
        <v/>
      </c>
      <c r="O51" s="614">
        <f>IF(AND(J51&lt;&gt;"",M51&lt;&gt;"",M51&lt;&gt;0),J51/M51,"")</f>
        <v/>
      </c>
      <c r="P51" s="176">
        <f>IF(O51="","",IF(O51&gt;=2,"急増↑↑",IF(O51&gt;=1.5,"増加↑",IF(O51&gt;=1,"普通→","減少↓"))))</f>
        <v/>
      </c>
      <c r="Q51" s="176">
        <f>IF(E51="","",IF(AND(E51&gt;G51,O51&gt;=1.5),"買い▲",IF(E51&lt;G51,"様子見▼","中立→")))</f>
        <v/>
      </c>
      <c r="R51" s="179">
        <f>IF(E51&lt;&gt;"",ROUND(E51*1.08,0),"")</f>
        <v/>
      </c>
      <c r="S51" s="179">
        <f>IF(E51&lt;&gt;"",ROUND(E51*0.96,0),"")</f>
        <v/>
      </c>
      <c r="T51" s="176">
        <f>IF(C51="","",IFERROR(IF(O51&gt;=2,3,IF(O51&gt;=1.5,2,IF(O51&gt;=1,1,0)))+IF(E51&gt;G51,1,0)+IF(L51&gt;=-5,1,0)+IF(Q51="買い▲",2,0)+IF(W51&lt;=30,3,IF(W51&lt;=40,2,IF(AND(W51&gt;=40,W51&lt;=60),1,0)))+IF(X51&gt;0,1,0)+IF(V51="年初来高値更新●",3,IF(V51="高値圏",2,0))+IF(AD51="パーフェクト▲",3,IF(AD51="上昇トレンド▲",2,0))+IF(AE51="25日線押し目●",2,IF(AE51="5日線押し目○",1,0))+IF(P51="急増↑↑",2,IF(P51="増加↑",1,0))+N(AI51),0))</f>
        <v/>
      </c>
      <c r="U51" s="176">
        <f>IF(T51="","",IF(AND(T51&gt;=3,O51&gt;=1.5),"有効",IF(T51&gt;=3,"要確認","除外")))</f>
        <v/>
      </c>
      <c r="V51" s="176">
        <f>IF(AND(H51&lt;&gt;"",K51&lt;&gt;""),IF(H51&gt;=K51,"年初来高値更新●",IF(H51&gt;=K51*0.95,"高値圏","通常")),"")</f>
        <v/>
      </c>
      <c r="W51" s="615">
        <f t="array" ref="W51">IF(C51&lt;&gt;"",IFERROR(100-100/(1+SUMPRODUCT((終値!F31:R31&gt;終値!G31:S31)*( 終値!F31:R31-終値!G31:S31))/SUMPRODUCT((終値!F31:R31&lt;終値!G31:S31)*(終値!G31:S31-終値!F31:R31))),50),"")</f>
        <v/>
      </c>
      <c r="X51" s="183">
        <f>IF(C51&lt;&gt;"",IFERROR(SUMPRODUCT(終値!E31:P31,{0.154,0.132,0.113,0.097,0.083,0.071,0.061,0.052,0.045,0.038,0.033,0.028})/SUMPRODUCT({0.154,0.132,0.113,0.097,0.083,0.071,0.061,0.052,0.045,0.038,0.033,0.028})-SUMPRODUCT(終値!E31:AD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1" s="570">
        <f>IF(T51="","",IF(銘柄管理!$F$5="下落▼",IF(AND(AD51="パーフェクト▲",OR(AE51="25日線押し目●",AE51="5日線押し目○")),"★逆張り候補",IF(AND(AD51="上昇トレンド▲",OR(AE51="25日線押し目●",AE51="5日線押し目○")),"○逆張り候補",IF(W51&lt;=30,IF(Z51&gt;0,"◎反発確認",IF(Z51&lt;-5,"△要注意・様子見","△売られ過ぎ注目")),"相場下落・見送り"))),IF(AND(T51&gt;=12,AD51="パーフェクト▲"),"★強い買い",IF(AND(T51&gt;=12,AD51="上昇トレンド▲"),"★強い買い",IF(AND(T51&gt;=8,OR(AE51="25日線押し目●",AE51="5日線押し目○")),"◎押し目買い",IF(T51&gt;=10,"○買い候補",IF(T51&gt;=6,"△注目",IF(T51&gt;=3,"様子見","見送り"))))))))</f>
        <v/>
      </c>
      <c r="Z51" s="616">
        <f>IF(AND(E51&lt;&gt;"",G51&lt;&gt;"",G51&lt;&gt;0),(E51-G51)/G51*100,"")</f>
        <v/>
      </c>
      <c r="AA51" s="176">
        <f>IF(OR(C51="",E51="",E51=0),"",IF(E51&gt;G51,"上昇▲",IF(E51&lt;G51,"下落▼","横ばい→")))</f>
        <v/>
      </c>
      <c r="AB51" s="440">
        <f>IF(C51="","",IFERROR(((終値!E53*0.333)+(終値!F53*0.222)+(終値!G53*0.148)+(終値!H53*0.099)+(終値!I53*0.066)+(終値!J53*0.044)+(終値!K53*0.029)+(終値!L53*0.019)+(終値!M53*0.013)+(終値!N53*0.009))/(0.333+0.222+0.148+0.099+0.066+0.044+0.029+0.019+0.013+0.009),""))</f>
        <v/>
      </c>
      <c r="AC51" s="440">
        <f>IF(C51="","",IFERROR(SUMPRODUCT((終値!E53:AC53)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1" s="441">
        <f>IF(OR(C51="",AB51="",AC51=""),"",IF(AND(E51&gt;AB51,AB51&gt;AC51),"パーフェクト▲",IF(E51&gt;AC51,"上昇トレンド▲",IF(AND(E51&lt;AB51,AB51&lt;AC51),"下降トレンド▼","もみ合い→"))))</f>
        <v/>
      </c>
      <c r="AE51" s="441">
        <f>IF(OR(C51="",AB51="",AC51=""),"",IF(AND(ABS(E51-AC51)/AC51&lt;=0.02,E51&gt;AC51),"25日押し目★",IF(AND(ABS(E51-AB51)/AB51&lt;=0.01,E51&gt;AB51),"5日押し目○","なし")))</f>
        <v/>
      </c>
      <c r="AF51" s="617">
        <f t="array" ref="AF51">IF(C51="","",IFERROR((INDEX(終値!$E:$E,MATCH(TEXT(C51,"0"),終値!$A:$A,0))-INDEX(終値!$E:$BL,MATCH(TEXT(C51,"0"),終値!$A:$A,0),$AL$2))/INDEX(終値!$E:$BL,MATCH(TEXT(C51,"0"),終値!$A:$A,0),$AL$2)*100,""))</f>
        <v/>
      </c>
      <c r="AG51" s="617">
        <f t="array" ref="AG51">IFERROR((終値!$E$5-INDEX(終値!$E$5:$BL$5,1,$AL$2))/INDEX(終値!$E$5:$BL$5,1,$AL$2)*100,"")</f>
        <v/>
      </c>
      <c r="AH51" s="618">
        <f>IF(OR(AF51="",AG51=""),"",AF51-AG51)</f>
        <v/>
      </c>
      <c r="AI51" s="385">
        <f>IF(AH51="","",IF(AH51&gt;5,3,IF(AH51&gt;0,1,IF(AH51&gt;-3,-1,-2))))</f>
        <v/>
      </c>
    </row>
    <row r="52" ht="18" customFormat="1" customHeight="1" s="187">
      <c r="A52" s="176">
        <f>IF(銘柄管理!B35&lt;&gt;"",HYPERLINK("https://kabutan.jp/stock/?code="&amp;銘柄管理!B35,"株探"),"")</f>
        <v/>
      </c>
      <c r="B52" s="177" t="n"/>
      <c r="C52" s="178">
        <f>IF(銘柄管理!B35="","",銘柄管理!B35)</f>
        <v/>
      </c>
      <c r="D52" s="106">
        <f>IF(銘柄管理!C35="","",銘柄管理!C35)</f>
        <v/>
      </c>
      <c r="E52" s="179">
        <f>IF(C52&lt;&gt;"",_xll.RssMarket(C52,"現在値"),"")</f>
        <v/>
      </c>
      <c r="F52" s="179">
        <f>IF(C52&lt;&gt;"",_xll.RssMarket(C52,"始値"),"")</f>
        <v/>
      </c>
      <c r="G52" s="178">
        <f>IF(C52&lt;&gt;"",終値!F35,"")</f>
        <v/>
      </c>
      <c r="H52" s="179">
        <f>IF(C52&lt;&gt;"",_xll.RssMarket(C52,"高値"),"")</f>
        <v/>
      </c>
      <c r="I52" s="179">
        <f>IF(C52&lt;&gt;"",_xll.RssMarket(C52,"安値"),"")</f>
        <v/>
      </c>
      <c r="J52" s="179">
        <f>IF(C52&lt;&gt;"",_xll.RssMarket(C52,"出来高"),"")</f>
        <v/>
      </c>
      <c r="K52" s="179">
        <f>IF(C52&lt;&gt;"",_xll.RssMarket(C52,"年初来高値"),"")</f>
        <v/>
      </c>
      <c r="L52" s="613">
        <f>IF(AND(E52&lt;&gt;"",K52&lt;&gt;"",K52&lt;&gt;0),(E52-K52)/K52*100,"")</f>
        <v/>
      </c>
      <c r="M52" s="179">
        <f>IF(C52&lt;&gt;"",IFERROR(AVERAGE(出来高!E35:I35),""),"")</f>
        <v/>
      </c>
      <c r="N52" s="179">
        <f>IF(C52&lt;&gt;"",IFERROR(AVERAGE(出来高!E35:AC35),""),"")</f>
        <v/>
      </c>
      <c r="O52" s="614">
        <f>IF(AND(J52&lt;&gt;"",M52&lt;&gt;"",M52&lt;&gt;0),J52/M52,"")</f>
        <v/>
      </c>
      <c r="P52" s="176">
        <f>IF(O52="","",IF(O52&gt;=2,"急増↑↑",IF(O52&gt;=1.5,"増加↑",IF(O52&gt;=1,"普通→","減少↓"))))</f>
        <v/>
      </c>
      <c r="Q52" s="176">
        <f>IF(E52="","",IF(AND(E52&gt;G52,O52&gt;=1.5),"買い▲",IF(E52&lt;G52,"様子見▼","中立→")))</f>
        <v/>
      </c>
      <c r="R52" s="179">
        <f>IF(E52&lt;&gt;"",ROUND(E52*1.08,0),"")</f>
        <v/>
      </c>
      <c r="S52" s="179">
        <f>IF(E52&lt;&gt;"",ROUND(E52*0.96,0),"")</f>
        <v/>
      </c>
      <c r="T52" s="176">
        <f>IF(C52="","",IFERROR(IF(O52&gt;=2,3,IF(O52&gt;=1.5,2,IF(O52&gt;=1,1,0)))+IF(E52&gt;G52,1,0)+IF(L52&gt;=-5,1,0)+IF(Q52="買い▲",2,0)+IF(W52&lt;=30,3,IF(W52&lt;=40,2,IF(AND(W52&gt;=40,W52&lt;=60),1,0)))+IF(X52&gt;0,1,0)+IF(V52="年初来高値更新●",3,IF(V52="高値圏",2,0))+IF(AD52="パーフェクト▲",3,IF(AD52="上昇トレンド▲",2,0))+IF(AE52="25日線押し目●",2,IF(AE52="5日線押し目○",1,0))+IF(P52="急増↑↑",2,IF(P52="増加↑",1,0))+N(AI52),0))</f>
        <v/>
      </c>
      <c r="U52" s="176">
        <f>IF(T52="","",IF(AND(T52&gt;=3,O52&gt;=1.5),"有効",IF(T52&gt;=3,"要確認","除外")))</f>
        <v/>
      </c>
      <c r="V52" s="176">
        <f>IF(AND(H52&lt;&gt;"",K52&lt;&gt;""),IF(H52&gt;=K52,"年初来高値更新●",IF(H52&gt;=K52*0.95,"高値圏","通常")),"")</f>
        <v/>
      </c>
      <c r="W52" s="615">
        <f t="array" ref="W52">IF(C52&lt;&gt;"",IFERROR(100-100/(1+SUMPRODUCT((終値!F35:R35&gt;終値!G35:S35)*( 終値!F35:R35-終値!G35:S35))/SUMPRODUCT((終値!F35:R35&lt;終値!G35:S35)*(終値!G35:S35-終値!F35:R35))),50),"")</f>
        <v/>
      </c>
      <c r="X52" s="183">
        <f>IF(C52&lt;&gt;"",IFERROR(SUMPRODUCT(終値!E35:P35,{0.154,0.132,0.113,0.097,0.083,0.071,0.061,0.052,0.045,0.038,0.033,0.028})/SUMPRODUCT({0.154,0.132,0.113,0.097,0.083,0.071,0.061,0.052,0.045,0.038,0.033,0.028})-SUMPRODUCT(終値!E35:AD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2" s="570">
        <f>IF(T52="","",IF(銘柄管理!$F$5="下落▼",IF(AND(AD52="パーフェクト▲",OR(AE52="25日線押し目●",AE52="5日線押し目○")),"★逆張り候補",IF(AND(AD52="上昇トレンド▲",OR(AE52="25日線押し目●",AE52="5日線押し目○")),"○逆張り候補",IF(W52&lt;=30,IF(Z52&gt;0,"◎反発確認",IF(Z52&lt;-5,"△要注意・様子見","△売られ過ぎ注目")),"相場下落・見送り"))),IF(AND(T52&gt;=12,AD52="パーフェクト▲"),"★強い買い",IF(AND(T52&gt;=12,AD52="上昇トレンド▲"),"★強い買い",IF(AND(T52&gt;=8,OR(AE52="25日線押し目●",AE52="5日線押し目○")),"◎押し目買い",IF(T52&gt;=10,"○買い候補",IF(T52&gt;=6,"△注目",IF(T52&gt;=3,"様子見","見送り"))))))))</f>
        <v/>
      </c>
      <c r="Z52" s="616">
        <f>IF(AND(E52&lt;&gt;"",G52&lt;&gt;"",G52&lt;&gt;0),(E52-G52)/G52*100,"")</f>
        <v/>
      </c>
      <c r="AA52" s="176">
        <f>IF(OR(C52="",E52="",E52=0),"",IF(E52&gt;G52,"上昇▲",IF(E52&lt;G52,"下落▼","横ばい→")))</f>
        <v/>
      </c>
      <c r="AB52" s="438">
        <f>IF(C52="","",IFERROR(((終値!E54*0.333)+(終値!F54*0.222)+(終値!G54*0.148)+(終値!H54*0.099)+(終値!I54*0.066)+(終値!J54*0.044)+(終値!K54*0.029)+(終値!L54*0.019)+(終値!M54*0.013)+(終値!N54*0.009))/(0.333+0.222+0.148+0.099+0.066+0.044+0.029+0.019+0.013+0.009),""))</f>
        <v/>
      </c>
      <c r="AC52" s="438">
        <f>IF(C52="","",IFERROR(SUMPRODUCT((終値!E54:AC54)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2" s="439">
        <f>IF(OR(C52="",AB52="",AC52=""),"",IF(AND(E52&gt;AB52,AB52&gt;AC52),"パーフェクト▲",IF(E52&gt;AC52,"上昇トレンド▲",IF(AND(E52&lt;AB52,AB52&lt;AC52),"下降トレンド▼","もみ合い→"))))</f>
        <v/>
      </c>
      <c r="AE52" s="439">
        <f>IF(OR(C52="",AB52="",AC52=""),"",IF(AND(ABS(E52-AC52)/AC52&lt;=0.02,E52&gt;AC52),"25日押し目★",IF(AND(ABS(E52-AB52)/AB52&lt;=0.01,E52&gt;AB52),"5日押し目○","なし")))</f>
        <v/>
      </c>
      <c r="AF52" s="617">
        <f t="array" ref="AF52">IF(C52="","",IFERROR((INDEX(終値!$E:$E,MATCH(TEXT(C52,"0"),終値!$A:$A,0))-INDEX(終値!$E:$BL,MATCH(TEXT(C52,"0"),終値!$A:$A,0),$AL$2))/INDEX(終値!$E:$BL,MATCH(TEXT(C52,"0"),終値!$A:$A,0),$AL$2)*100,""))</f>
        <v/>
      </c>
      <c r="AG52" s="617">
        <f t="array" ref="AG52">IFERROR((終値!$E$5-INDEX(終値!$E$5:$BL$5,1,$AL$2))/INDEX(終値!$E$5:$BL$5,1,$AL$2)*100,"")</f>
        <v/>
      </c>
      <c r="AH52" s="618">
        <f>IF(OR(AF52="",AG52=""),"",AF52-AG52)</f>
        <v/>
      </c>
      <c r="AI52" s="385">
        <f>IF(AH52="","",IF(AH52&gt;5,3,IF(AH52&gt;0,1,IF(AH52&gt;-3,-1,-2))))</f>
        <v/>
      </c>
    </row>
    <row r="53" ht="18" customFormat="1" customHeight="1" s="187">
      <c r="A53" s="176">
        <f>IF(銘柄管理!B45&lt;&gt;"",HYPERLINK("https://kabutan.jp/stock/?code="&amp;銘柄管理!B45,"株探"),"")</f>
        <v/>
      </c>
      <c r="B53" s="177" t="n"/>
      <c r="C53" s="178">
        <f>IF(銘柄管理!B45="","",銘柄管理!B45)</f>
        <v/>
      </c>
      <c r="D53" s="106">
        <f>IF(銘柄管理!C45="","",銘柄管理!C45)</f>
        <v/>
      </c>
      <c r="E53" s="179">
        <f>IF(C53&lt;&gt;"",_xll.RssMarket(C53,"現在値"),"")</f>
        <v/>
      </c>
      <c r="F53" s="179">
        <f>IF(C53&lt;&gt;"",_xll.RssMarket(C53,"始値"),"")</f>
        <v/>
      </c>
      <c r="G53" s="178">
        <f>IF(C53&lt;&gt;"",終値!F45,"")</f>
        <v/>
      </c>
      <c r="H53" s="179">
        <f>IF(C53&lt;&gt;"",_xll.RssMarket(C53,"高値"),"")</f>
        <v/>
      </c>
      <c r="I53" s="179">
        <f>IF(C53&lt;&gt;"",_xll.RssMarket(C53,"安値"),"")</f>
        <v/>
      </c>
      <c r="J53" s="179">
        <f>IF(C53&lt;&gt;"",_xll.RssMarket(C53,"出来高"),"")</f>
        <v/>
      </c>
      <c r="K53" s="179">
        <f>IF(C53&lt;&gt;"",_xll.RssMarket(C53,"年初来高値"),"")</f>
        <v/>
      </c>
      <c r="L53" s="613">
        <f>IF(AND(E53&lt;&gt;"",K53&lt;&gt;"",K53&lt;&gt;0),(E53-K53)/K53*100,"")</f>
        <v/>
      </c>
      <c r="M53" s="179">
        <f>IF(C53&lt;&gt;"",IFERROR(AVERAGE(出来高!E45:I45),""),"")</f>
        <v/>
      </c>
      <c r="N53" s="179">
        <f>IF(C53&lt;&gt;"",IFERROR(AVERAGE(出来高!E45:AC45),""),"")</f>
        <v/>
      </c>
      <c r="O53" s="614">
        <f>IF(AND(J53&lt;&gt;"",M53&lt;&gt;"",M53&lt;&gt;0),J53/M53,"")</f>
        <v/>
      </c>
      <c r="P53" s="176">
        <f>IF(O53="","",IF(O53&gt;=2,"急増↑↑",IF(O53&gt;=1.5,"増加↑",IF(O53&gt;=1,"普通→","減少↓"))))</f>
        <v/>
      </c>
      <c r="Q53" s="176">
        <f>IF(E53="","",IF(AND(E53&gt;G53,O53&gt;=1.5),"買い▲",IF(E53&lt;G53,"様子見▼","中立→")))</f>
        <v/>
      </c>
      <c r="R53" s="179">
        <f>IF(E53&lt;&gt;"",ROUND(E53*1.08,0),"")</f>
        <v/>
      </c>
      <c r="S53" s="179">
        <f>IF(E53&lt;&gt;"",ROUND(E53*0.96,0),"")</f>
        <v/>
      </c>
      <c r="T53" s="176">
        <f>IF(C53="","",IFERROR(IF(O53&gt;=2,3,IF(O53&gt;=1.5,2,IF(O53&gt;=1,1,0)))+IF(E53&gt;G53,1,0)+IF(L53&gt;=-5,1,0)+IF(Q53="買い▲",2,0)+IF(W53&lt;=30,3,IF(W53&lt;=40,2,IF(AND(W53&gt;=40,W53&lt;=60),1,0)))+IF(X53&gt;0,1,0)+IF(V53="年初来高値更新●",3,IF(V53="高値圏",2,0))+IF(AD53="パーフェクト▲",3,IF(AD53="上昇トレンド▲",2,0))+IF(AE53="25日線押し目●",2,IF(AE53="5日線押し目○",1,0))+IF(P53="急増↑↑",2,IF(P53="増加↑",1,0))+N(AI53),0))</f>
        <v/>
      </c>
      <c r="U53" s="176">
        <f>IF(T53="","",IF(AND(T53&gt;=3,O53&gt;=1.5),"有効",IF(T53&gt;=3,"要確認","除外")))</f>
        <v/>
      </c>
      <c r="V53" s="176">
        <f>IF(AND(H53&lt;&gt;"",K53&lt;&gt;""),IF(H53&gt;=K53,"年初来高値更新●",IF(H53&gt;=K53*0.95,"高値圏","通常")),"")</f>
        <v/>
      </c>
      <c r="W53" s="615">
        <f t="array" ref="W53">IF(C53&lt;&gt;"",IFERROR(100-100/(1+SUMPRODUCT((終値!F45:R45&gt;終値!G45:S45)*( 終値!F45:R45-終値!G45:S45))/SUMPRODUCT((終値!F45:R45&lt;終値!G45:S45)*(終値!G45:S45-終値!F45:R45))),50),"")</f>
        <v/>
      </c>
      <c r="X53" s="183">
        <f>IF(C53&lt;&gt;"",IFERROR(SUMPRODUCT(終値!E45:P45,{0.154,0.132,0.113,0.097,0.083,0.071,0.061,0.052,0.045,0.038,0.033,0.028})/SUMPRODUCT({0.154,0.132,0.113,0.097,0.083,0.071,0.061,0.052,0.045,0.038,0.033,0.028})-SUMPRODUCT(終値!E45:AD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3" s="570">
        <f>IF(T53="","",IF(銘柄管理!$F$5="下落▼",IF(AND(AD53="パーフェクト▲",OR(AE53="25日線押し目●",AE53="5日線押し目○")),"★逆張り候補",IF(AND(AD53="上昇トレンド▲",OR(AE53="25日線押し目●",AE53="5日線押し目○")),"○逆張り候補",IF(W53&lt;=30,IF(Z53&gt;0,"◎反発確認",IF(Z53&lt;-5,"△要注意・様子見","△売られ過ぎ注目")),"相場下落・見送り"))),IF(AND(T53&gt;=12,AD53="パーフェクト▲"),"★強い買い",IF(AND(T53&gt;=12,AD53="上昇トレンド▲"),"★強い買い",IF(AND(T53&gt;=8,OR(AE53="25日線押し目●",AE53="5日線押し目○")),"◎押し目買い",IF(T53&gt;=10,"○買い候補",IF(T53&gt;=6,"△注目",IF(T53&gt;=3,"様子見","見送り"))))))))</f>
        <v/>
      </c>
      <c r="Z53" s="616">
        <f>IF(AND(E53&lt;&gt;"",G53&lt;&gt;"",G53&lt;&gt;0),(E53-G53)/G53*100,"")</f>
        <v/>
      </c>
      <c r="AA53" s="176">
        <f>IF(OR(C53="",E53="",E53=0),"",IF(E53&gt;G53,"上昇▲",IF(E53&lt;G53,"下落▼","横ばい→")))</f>
        <v/>
      </c>
      <c r="AB53" s="440">
        <f>IF(C53="","",IFERROR(((終値!E55*0.333)+(終値!F55*0.222)+(終値!G55*0.148)+(終値!H55*0.099)+(終値!I55*0.066)+(終値!J55*0.044)+(終値!K55*0.029)+(終値!L55*0.019)+(終値!M55*0.013)+(終値!N55*0.009))/(0.333+0.222+0.148+0.099+0.066+0.044+0.029+0.019+0.013+0.009),""))</f>
        <v/>
      </c>
      <c r="AC53" s="440">
        <f>IF(C53="","",IFERROR(SUMPRODUCT((終値!E55:AC55)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3" s="441">
        <f>IF(OR(C53="",AB53="",AC53=""),"",IF(AND(E53&gt;AB53,AB53&gt;AC53),"パーフェクト▲",IF(E53&gt;AC53,"上昇トレンド▲",IF(AND(E53&lt;AB53,AB53&lt;AC53),"下降トレンド▼","もみ合い→"))))</f>
        <v/>
      </c>
      <c r="AE53" s="441">
        <f>IF(OR(C53="",AB53="",AC53=""),"",IF(AND(ABS(E53-AC53)/AC53&lt;=0.02,E53&gt;AC53),"25日押し目★",IF(AND(ABS(E53-AB53)/AB53&lt;=0.01,E53&gt;AB53),"5日押し目○","なし")))</f>
        <v/>
      </c>
      <c r="AF53" s="617">
        <f t="array" ref="AF53">IF(C53="","",IFERROR((INDEX(終値!$E:$E,MATCH(TEXT(C53,"0"),終値!$A:$A,0))-INDEX(終値!$E:$BL,MATCH(TEXT(C53,"0"),終値!$A:$A,0),$AL$2))/INDEX(終値!$E:$BL,MATCH(TEXT(C53,"0"),終値!$A:$A,0),$AL$2)*100,""))</f>
        <v/>
      </c>
      <c r="AG53" s="617">
        <f t="array" ref="AG53">IFERROR((終値!$E$5-INDEX(終値!$E$5:$BL$5,1,$AL$2))/INDEX(終値!$E$5:$BL$5,1,$AL$2)*100,"")</f>
        <v/>
      </c>
      <c r="AH53" s="618">
        <f>IF(OR(AF53="",AG53=""),"",AF53-AG53)</f>
        <v/>
      </c>
      <c r="AI53" s="385">
        <f>IF(AH53="","",IF(AH53&gt;5,3,IF(AH53&gt;0,1,IF(AH53&gt;-3,-1,-2))))</f>
        <v/>
      </c>
    </row>
    <row r="54" ht="18" customFormat="1" customHeight="1" s="187">
      <c r="A54" s="176">
        <f>IF(銘柄管理!B172&lt;&gt;"",HYPERLINK("https://kabutan.jp/stock/?code="&amp;銘柄管理!B172,"株探"),"")</f>
        <v/>
      </c>
      <c r="B54" s="177" t="n"/>
      <c r="C54" s="178">
        <f>IF(銘柄管理!B172="","",銘柄管理!B172)</f>
        <v/>
      </c>
      <c r="D54" s="106">
        <f>IF(銘柄管理!C172="","",銘柄管理!C172)</f>
        <v/>
      </c>
      <c r="E54" s="179">
        <f>IF(C54&lt;&gt;"",_xll.RssMarket(C54,"現在値"),"")</f>
        <v/>
      </c>
      <c r="F54" s="179">
        <f>IF(C54&lt;&gt;"",_xll.RssMarket(C54,"始値"),"")</f>
        <v/>
      </c>
      <c r="G54" s="178">
        <f>IF(C54&lt;&gt;"",終値!F172,"")</f>
        <v/>
      </c>
      <c r="H54" s="179">
        <f>IF(C54&lt;&gt;"",_xll.RssMarket(C54,"高値"),"")</f>
        <v/>
      </c>
      <c r="I54" s="179">
        <f>IF(C54&lt;&gt;"",_xll.RssMarket(C54,"安値"),"")</f>
        <v/>
      </c>
      <c r="J54" s="179">
        <f>IF(C54&lt;&gt;"",_xll.RssMarket(C54,"出来高"),"")</f>
        <v/>
      </c>
      <c r="K54" s="179">
        <f>IF(C54&lt;&gt;"",_xll.RssMarket(C54,"年初来高値"),"")</f>
        <v/>
      </c>
      <c r="L54" s="613">
        <f>IF(AND(E54&lt;&gt;"",K54&lt;&gt;"",K54&lt;&gt;0),(E54-K54)/K54*100,"")</f>
        <v/>
      </c>
      <c r="M54" s="179">
        <f>IF(C54&lt;&gt;"",IFERROR(AVERAGE(出来高!E172:I172),""),"")</f>
        <v/>
      </c>
      <c r="N54" s="179">
        <f>IF(C54&lt;&gt;"",IFERROR(AVERAGE(出来高!E172:AC172),""),"")</f>
        <v/>
      </c>
      <c r="O54" s="614">
        <f>IF(AND(J54&lt;&gt;"",M54&lt;&gt;"",M54&lt;&gt;0),J54/M54,"")</f>
        <v/>
      </c>
      <c r="P54" s="176">
        <f>IF(O54="","",IF(O54&gt;=2,"急増↑↑",IF(O54&gt;=1.5,"増加↑",IF(O54&gt;=1,"普通→","減少↓"))))</f>
        <v/>
      </c>
      <c r="Q54" s="176">
        <f>IF(E54="","",IF(AND(E54&gt;G54,O54&gt;=1.5),"買い▲",IF(E54&lt;G54,"様子見▼","中立→")))</f>
        <v/>
      </c>
      <c r="R54" s="179">
        <f>IF(E54&lt;&gt;"",ROUND(E54*1.08,0),"")</f>
        <v/>
      </c>
      <c r="S54" s="179">
        <f>IF(E54&lt;&gt;"",ROUND(E54*0.96,0),"")</f>
        <v/>
      </c>
      <c r="T54" s="176">
        <f>IF(C54="","",IFERROR(IF(O54&gt;=2,3,IF(O54&gt;=1.5,2,IF(O54&gt;=1,1,0)))+IF(E54&gt;G54,1,0)+IF(L54&gt;=-5,1,0)+IF(Q54="買い▲",2,0)+IF(W54&lt;=30,3,IF(W54&lt;=40,2,IF(AND(W54&gt;=40,W54&lt;=60),1,0)))+IF(X54&gt;0,1,0)+IF(V54="年初来高値更新●",3,IF(V54="高値圏",2,0))+IF(AD54="パーフェクト▲",3,IF(AD54="上昇トレンド▲",2,0))+IF(AE54="25日線押し目●",2,IF(AE54="5日線押し目○",1,0))+IF(P54="急増↑↑",2,IF(P54="増加↑",1,0))+N(AI54),0))</f>
        <v/>
      </c>
      <c r="U54" s="176">
        <f>IF(T54="","",IF(AND(T54&gt;=3,O54&gt;=1.5),"有効",IF(T54&gt;=3,"要確認","除外")))</f>
        <v/>
      </c>
      <c r="V54" s="176">
        <f>IF(AND(H54&lt;&gt;"",K54&lt;&gt;""),IF(H54&gt;=K54,"年初来高値更新●",IF(H54&gt;=K54*0.95,"高値圏","通常")),"")</f>
        <v/>
      </c>
      <c r="W54" s="615">
        <f t="array" ref="W54">IF(C54&lt;&gt;"",IFERROR(100-100/(1+SUMPRODUCT((終値!F172:R172&gt;終値!G172:S172)*( 終値!F172:R172-終値!G172:S172))/SUMPRODUCT((終値!F172:R172&lt;終値!G172:S172)*(終値!G172:S172-終値!F172:R172))),50),"")</f>
        <v/>
      </c>
      <c r="X54" s="183">
        <f>IF(C54&lt;&gt;"",IFERROR(SUMPRODUCT(終値!E172:P172,{0.154,0.132,0.113,0.097,0.083,0.071,0.061,0.052,0.045,0.038,0.033,0.028})/SUMPRODUCT({0.154,0.132,0.113,0.097,0.083,0.071,0.061,0.052,0.045,0.038,0.033,0.028})-SUMPRODUCT(終値!E172:AD172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4" s="570">
        <f>IF(T54="","",IF(銘柄管理!$F$5="下落▼",IF(AND(AD54="パーフェクト▲",OR(AE54="25日線押し目●",AE54="5日線押し目○")),"★逆張り候補",IF(AND(AD54="上昇トレンド▲",OR(AE54="25日線押し目●",AE54="5日線押し目○")),"○逆張り候補",IF(W54&lt;=30,IF(Z54&gt;0,"◎反発確認",IF(Z54&lt;-5,"△要注意・様子見","△売られ過ぎ注目")),"相場下落・見送り"))),IF(AND(T54&gt;=12,AD54="パーフェクト▲"),"★強い買い",IF(AND(T54&gt;=12,AD54="上昇トレンド▲"),"★強い買い",IF(AND(T54&gt;=8,OR(AE54="25日線押し目●",AE54="5日線押し目○")),"◎押し目買い",IF(T54&gt;=10,"○買い候補",IF(T54&gt;=6,"△注目",IF(T54&gt;=3,"様子見","見送り"))))))))</f>
        <v/>
      </c>
      <c r="Z54" s="616">
        <f>IF(AND(E54&lt;&gt;"",G54&lt;&gt;"",G54&lt;&gt;0),(E54-G54)/G54*100,"")</f>
        <v/>
      </c>
      <c r="AA54" s="176">
        <f>IF(OR(C54="",E54="",E54=0),"",IF(E54&gt;G54,"上昇▲",IF(E54&lt;G54,"下落▼","横ばい→")))</f>
        <v/>
      </c>
      <c r="AB54" s="438">
        <f>IF(C54="","",IFERROR(((終値!E56*0.333)+(終値!F56*0.222)+(終値!G56*0.148)+(終値!H56*0.099)+(終値!I56*0.066)+(終値!J56*0.044)+(終値!K56*0.029)+(終値!L56*0.019)+(終値!M56*0.013)+(終値!N56*0.009))/(0.333+0.222+0.148+0.099+0.066+0.044+0.029+0.019+0.013+0.009),""))</f>
        <v/>
      </c>
      <c r="AC54" s="438">
        <f>IF(C54="","",IFERROR(SUMPRODUCT((終値!E56:AC56)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4" s="439">
        <f>IF(OR(C54="",AB54="",AC54=""),"",IF(AND(E54&gt;AB54,AB54&gt;AC54),"パーフェクト▲",IF(E54&gt;AC54,"上昇トレンド▲",IF(AND(E54&lt;AB54,AB54&lt;AC54),"下降トレンド▼","もみ合い→"))))</f>
        <v/>
      </c>
      <c r="AE54" s="439">
        <f>IF(OR(C54="",AB54="",AC54=""),"",IF(AND(ABS(E54-AC54)/AC54&lt;=0.02,E54&gt;AC54),"25日押し目★",IF(AND(ABS(E54-AB54)/AB54&lt;=0.01,E54&gt;AB54),"5日押し目○","なし")))</f>
        <v/>
      </c>
      <c r="AF54" s="617">
        <f t="array" ref="AF54">IF(C54="","",IFERROR((INDEX(終値!$E:$E,MATCH(TEXT(C54,"0"),終値!$A:$A,0))-INDEX(終値!$E:$BL,MATCH(TEXT(C54,"0"),終値!$A:$A,0),$AL$2))/INDEX(終値!$E:$BL,MATCH(TEXT(C54,"0"),終値!$A:$A,0),$AL$2)*100,""))</f>
        <v/>
      </c>
      <c r="AG54" s="617">
        <f t="array" ref="AG54">IFERROR((終値!$E$5-INDEX(終値!$E$5:$BL$5,1,$AL$2))/INDEX(終値!$E$5:$BL$5,1,$AL$2)*100,"")</f>
        <v/>
      </c>
      <c r="AH54" s="618">
        <f>IF(OR(AF54="",AG54=""),"",AF54-AG54)</f>
        <v/>
      </c>
      <c r="AI54" s="385">
        <f>IF(AH54="","",IF(AH54&gt;5,3,IF(AH54&gt;0,1,IF(AH54&gt;-3,-1,-2))))</f>
        <v/>
      </c>
    </row>
    <row r="55" ht="18" customFormat="1" customHeight="1" s="187">
      <c r="A55" s="176">
        <f>IF(銘柄管理!B63&lt;&gt;"",HYPERLINK("https://kabutan.jp/stock/?code="&amp;銘柄管理!B63,"株探"),"")</f>
        <v/>
      </c>
      <c r="B55" s="177" t="n"/>
      <c r="C55" s="178">
        <f>IF(銘柄管理!B63="","",銘柄管理!B63)</f>
        <v/>
      </c>
      <c r="D55" s="106">
        <f>IF(銘柄管理!C63="","",銘柄管理!C63)</f>
        <v/>
      </c>
      <c r="E55" s="179">
        <f>IF(C55&lt;&gt;"",_xll.RssMarket(C55,"現在値"),"")</f>
        <v/>
      </c>
      <c r="F55" s="179">
        <f>IF(C55&lt;&gt;"",_xll.RssMarket(C55,"始値"),"")</f>
        <v/>
      </c>
      <c r="G55" s="178">
        <f>IF(C55&lt;&gt;"",終値!F63,"")</f>
        <v/>
      </c>
      <c r="H55" s="179">
        <f>IF(C55&lt;&gt;"",_xll.RssMarket(C55,"高値"),"")</f>
        <v/>
      </c>
      <c r="I55" s="179">
        <f>IF(C55&lt;&gt;"",_xll.RssMarket(C55,"安値"),"")</f>
        <v/>
      </c>
      <c r="J55" s="179">
        <f>IF(C55&lt;&gt;"",_xll.RssMarket(C55,"出来高"),"")</f>
        <v/>
      </c>
      <c r="K55" s="179">
        <f>IF(C55&lt;&gt;"",_xll.RssMarket(C55,"年初来高値"),"")</f>
        <v/>
      </c>
      <c r="L55" s="613">
        <f>IF(AND(E55&lt;&gt;"",K55&lt;&gt;"",K55&lt;&gt;0),(E55-K55)/K55*100,"")</f>
        <v/>
      </c>
      <c r="M55" s="179">
        <f>IF(C55&lt;&gt;"",IFERROR(AVERAGE(出来高!E63:I63),""),"")</f>
        <v/>
      </c>
      <c r="N55" s="179">
        <f>IF(C55&lt;&gt;"",IFERROR(AVERAGE(出来高!E63:AC63),""),"")</f>
        <v/>
      </c>
      <c r="O55" s="614">
        <f>IF(AND(J55&lt;&gt;"",M55&lt;&gt;"",M55&lt;&gt;0),J55/M55,"")</f>
        <v/>
      </c>
      <c r="P55" s="176">
        <f>IF(O55="","",IF(O55&gt;=2,"急増↑↑",IF(O55&gt;=1.5,"増加↑",IF(O55&gt;=1,"普通→","減少↓"))))</f>
        <v/>
      </c>
      <c r="Q55" s="176">
        <f>IF(E55="","",IF(AND(E55&gt;G55,O55&gt;=1.5),"買い▲",IF(E55&lt;G55,"様子見▼","中立→")))</f>
        <v/>
      </c>
      <c r="R55" s="179">
        <f>IF(E55&lt;&gt;"",ROUND(E55*1.08,0),"")</f>
        <v/>
      </c>
      <c r="S55" s="179">
        <f>IF(E55&lt;&gt;"",ROUND(E55*0.96,0),"")</f>
        <v/>
      </c>
      <c r="T55" s="176">
        <f>IF(C55="","",IFERROR(IF(O55&gt;=2,3,IF(O55&gt;=1.5,2,IF(O55&gt;=1,1,0)))+IF(E55&gt;G55,1,0)+IF(L55&gt;=-5,1,0)+IF(Q55="買い▲",2,0)+IF(W55&lt;=30,3,IF(W55&lt;=40,2,IF(AND(W55&gt;=40,W55&lt;=60),1,0)))+IF(X55&gt;0,1,0)+IF(V55="年初来高値更新●",3,IF(V55="高値圏",2,0))+IF(AD55="パーフェクト▲",3,IF(AD55="上昇トレンド▲",2,0))+IF(AE55="25日線押し目●",2,IF(AE55="5日線押し目○",1,0))+IF(P55="急増↑↑",2,IF(P55="増加↑",1,0))+N(AI55),0))</f>
        <v/>
      </c>
      <c r="U55" s="176">
        <f>IF(T55="","",IF(AND(T55&gt;=3,O55&gt;=1.5),"有効",IF(T55&gt;=3,"要確認","除外")))</f>
        <v/>
      </c>
      <c r="V55" s="176">
        <f>IF(AND(H55&lt;&gt;"",K55&lt;&gt;""),IF(H55&gt;=K55,"年初来高値更新●",IF(H55&gt;=K55*0.95,"高値圏","通常")),"")</f>
        <v/>
      </c>
      <c r="W55" s="615">
        <f t="array" ref="W55">IF(C55&lt;&gt;"",IFERROR(100-100/(1+SUMPRODUCT((終値!F63:R63&gt;終値!G63:S63)*( 終値!F63:R63-終値!G63:S63))/SUMPRODUCT((終値!F63:R63&lt;終値!G63:S63)*(終値!G63:S63-終値!F63:R63))),50),"")</f>
        <v/>
      </c>
      <c r="X55" s="183">
        <f>IF(C55&lt;&gt;"",IFERROR(SUMPRODUCT(終値!E63:P63,{0.154,0.132,0.113,0.097,0.083,0.071,0.061,0.052,0.045,0.038,0.033,0.028})/SUMPRODUCT({0.154,0.132,0.113,0.097,0.083,0.071,0.061,0.052,0.045,0.038,0.033,0.028})-SUMPRODUCT(終値!E63:AD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5" s="570">
        <f>IF(T55="","",IF(銘柄管理!$F$5="下落▼",IF(AND(AD55="パーフェクト▲",OR(AE55="25日線押し目●",AE55="5日線押し目○")),"★逆張り候補",IF(AND(AD55="上昇トレンド▲",OR(AE55="25日線押し目●",AE55="5日線押し目○")),"○逆張り候補",IF(W55&lt;=30,IF(Z55&gt;0,"◎反発確認",IF(Z55&lt;-5,"△要注意・様子見","△売られ過ぎ注目")),"相場下落・見送り"))),IF(AND(T55&gt;=12,AD55="パーフェクト▲"),"★強い買い",IF(AND(T55&gt;=12,AD55="上昇トレンド▲"),"★強い買い",IF(AND(T55&gt;=8,OR(AE55="25日線押し目●",AE55="5日線押し目○")),"◎押し目買い",IF(T55&gt;=10,"○買い候補",IF(T55&gt;=6,"△注目",IF(T55&gt;=3,"様子見","見送り"))))))))</f>
        <v/>
      </c>
      <c r="Z55" s="616">
        <f>IF(AND(E55&lt;&gt;"",G55&lt;&gt;"",G55&lt;&gt;0),(E55-G55)/G55*100,"")</f>
        <v/>
      </c>
      <c r="AA55" s="176">
        <f>IF(OR(C55="",E55="",E55=0),"",IF(E55&gt;G55,"上昇▲",IF(E55&lt;G55,"下落▼","横ばい→")))</f>
        <v/>
      </c>
      <c r="AB55" s="440">
        <f>IF(C55="","",IFERROR(((終値!E57*0.333)+(終値!F57*0.222)+(終値!G57*0.148)+(終値!H57*0.099)+(終値!I57*0.066)+(終値!J57*0.044)+(終値!K57*0.029)+(終値!L57*0.019)+(終値!M57*0.013)+(終値!N57*0.009))/(0.333+0.222+0.148+0.099+0.066+0.044+0.029+0.019+0.013+0.009),""))</f>
        <v/>
      </c>
      <c r="AC55" s="440">
        <f>IF(C55="","",IFERROR(SUMPRODUCT((終値!E57:AC57)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5" s="441">
        <f>IF(OR(C55="",AB55="",AC55=""),"",IF(AND(E55&gt;AB55,AB55&gt;AC55),"パーフェクト▲",IF(E55&gt;AC55,"上昇トレンド▲",IF(AND(E55&lt;AB55,AB55&lt;AC55),"下降トレンド▼","もみ合い→"))))</f>
        <v/>
      </c>
      <c r="AE55" s="441">
        <f>IF(OR(C55="",AB55="",AC55=""),"",IF(AND(ABS(E55-AC55)/AC55&lt;=0.02,E55&gt;AC55),"25日押し目★",IF(AND(ABS(E55-AB55)/AB55&lt;=0.01,E55&gt;AB55),"5日押し目○","なし")))</f>
        <v/>
      </c>
      <c r="AF55" s="617">
        <f t="array" ref="AF55">IF(C55="","",IFERROR((INDEX(終値!$E:$E,MATCH(TEXT(C55,"0"),終値!$A:$A,0))-INDEX(終値!$E:$BL,MATCH(TEXT(C55,"0"),終値!$A:$A,0),$AL$2))/INDEX(終値!$E:$BL,MATCH(TEXT(C55,"0"),終値!$A:$A,0),$AL$2)*100,""))</f>
        <v/>
      </c>
      <c r="AG55" s="617">
        <f t="array" ref="AG55">IFERROR((終値!$E$5-INDEX(終値!$E$5:$BL$5,1,$AL$2))/INDEX(終値!$E$5:$BL$5,1,$AL$2)*100,"")</f>
        <v/>
      </c>
      <c r="AH55" s="618">
        <f>IF(OR(AF55="",AG55=""),"",AF55-AG55)</f>
        <v/>
      </c>
      <c r="AI55" s="385">
        <f>IF(AH55="","",IF(AH55&gt;5,3,IF(AH55&gt;0,1,IF(AH55&gt;-3,-1,-2))))</f>
        <v/>
      </c>
    </row>
    <row r="56" ht="18" customFormat="1" customHeight="1" s="187">
      <c r="A56" s="176">
        <f>IF(銘柄管理!B169&lt;&gt;"",HYPERLINK("https://kabutan.jp/stock/?code="&amp;銘柄管理!B169,"株探"),"")</f>
        <v/>
      </c>
      <c r="B56" s="177" t="n"/>
      <c r="C56" s="178">
        <f>IF(銘柄管理!B169="","",銘柄管理!B169)</f>
        <v/>
      </c>
      <c r="D56" s="106">
        <f>IF(銘柄管理!C169="","",銘柄管理!C169)</f>
        <v/>
      </c>
      <c r="E56" s="179">
        <f>IF(C56&lt;&gt;"",_xll.RssMarket(C56,"現在値"),"")</f>
        <v/>
      </c>
      <c r="F56" s="179">
        <f>IF(C56&lt;&gt;"",_xll.RssMarket(C56,"始値"),"")</f>
        <v/>
      </c>
      <c r="G56" s="178">
        <f>IF(C56&lt;&gt;"",終値!F169,"")</f>
        <v/>
      </c>
      <c r="H56" s="179">
        <f>IF(C56&lt;&gt;"",_xll.RssMarket(C56,"高値"),"")</f>
        <v/>
      </c>
      <c r="I56" s="179">
        <f>IF(C56&lt;&gt;"",_xll.RssMarket(C56,"安値"),"")</f>
        <v/>
      </c>
      <c r="J56" s="179">
        <f>IF(C56&lt;&gt;"",_xll.RssMarket(C56,"出来高"),"")</f>
        <v/>
      </c>
      <c r="K56" s="179">
        <f>IF(C56&lt;&gt;"",_xll.RssMarket(C56,"年初来高値"),"")</f>
        <v/>
      </c>
      <c r="L56" s="613">
        <f>IF(AND(E56&lt;&gt;"",K56&lt;&gt;"",K56&lt;&gt;0),(E56-K56)/K56*100,"")</f>
        <v/>
      </c>
      <c r="M56" s="179">
        <f>IF(C56&lt;&gt;"",IFERROR(AVERAGE(出来高!E169:I169),""),"")</f>
        <v/>
      </c>
      <c r="N56" s="179">
        <f>IF(C56&lt;&gt;"",IFERROR(AVERAGE(出来高!E169:AC169),""),"")</f>
        <v/>
      </c>
      <c r="O56" s="614">
        <f>IF(AND(J56&lt;&gt;"",M56&lt;&gt;"",M56&lt;&gt;0),J56/M56,"")</f>
        <v/>
      </c>
      <c r="P56" s="176">
        <f>IF(O56="","",IF(O56&gt;=2,"急増↑↑",IF(O56&gt;=1.5,"増加↑",IF(O56&gt;=1,"普通→","減少↓"))))</f>
        <v/>
      </c>
      <c r="Q56" s="176">
        <f>IF(E56="","",IF(AND(E56&gt;G56,O56&gt;=1.5),"買い▲",IF(E56&lt;G56,"様子見▼","中立→")))</f>
        <v/>
      </c>
      <c r="R56" s="179">
        <f>IF(E56&lt;&gt;"",ROUND(E56*1.08,0),"")</f>
        <v/>
      </c>
      <c r="S56" s="179">
        <f>IF(E56&lt;&gt;"",ROUND(E56*0.96,0),"")</f>
        <v/>
      </c>
      <c r="T56" s="176">
        <f>IF(C56="","",IFERROR(IF(O56&gt;=2,3,IF(O56&gt;=1.5,2,IF(O56&gt;=1,1,0)))+IF(E56&gt;G56,1,0)+IF(L56&gt;=-5,1,0)+IF(Q56="買い▲",2,0)+IF(W56&lt;=30,3,IF(W56&lt;=40,2,IF(AND(W56&gt;=40,W56&lt;=60),1,0)))+IF(X56&gt;0,1,0)+IF(V56="年初来高値更新●",3,IF(V56="高値圏",2,0))+IF(AD56="パーフェクト▲",3,IF(AD56="上昇トレンド▲",2,0))+IF(AE56="25日線押し目●",2,IF(AE56="5日線押し目○",1,0))+IF(P56="急増↑↑",2,IF(P56="増加↑",1,0))+N(AI56),0))</f>
        <v/>
      </c>
      <c r="U56" s="176">
        <f>IF(T56="","",IF(AND(T56&gt;=3,O56&gt;=1.5),"有効",IF(T56&gt;=3,"要確認","除外")))</f>
        <v/>
      </c>
      <c r="V56" s="176">
        <f>IF(AND(H56&lt;&gt;"",K56&lt;&gt;""),IF(H56&gt;=K56,"年初来高値更新●",IF(H56&gt;=K56*0.95,"高値圏","通常")),"")</f>
        <v/>
      </c>
      <c r="W56" s="615">
        <f t="array" ref="W56">IF(C56&lt;&gt;"",IFERROR(100-100/(1+SUMPRODUCT((終値!F169:R169&gt;終値!G169:S169)*( 終値!F169:R169-終値!G169:S169))/SUMPRODUCT((終値!F169:R169&lt;終値!G169:S169)*(終値!G169:S169-終値!F169:R169))),50),"")</f>
        <v/>
      </c>
      <c r="X56" s="183">
        <f>IF(C56&lt;&gt;"",IFERROR(SUMPRODUCT(終値!E169:P169,{0.154,0.132,0.113,0.097,0.083,0.071,0.061,0.052,0.045,0.038,0.033,0.028})/SUMPRODUCT({0.154,0.132,0.113,0.097,0.083,0.071,0.061,0.052,0.045,0.038,0.033,0.028})-SUMPRODUCT(終値!E169:AD169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6" s="570">
        <f>IF(T56="","",IF(銘柄管理!$F$5="下落▼",IF(AND(AD56="パーフェクト▲",OR(AE56="25日線押し目●",AE56="5日線押し目○")),"★逆張り候補",IF(AND(AD56="上昇トレンド▲",OR(AE56="25日線押し目●",AE56="5日線押し目○")),"○逆張り候補",IF(W56&lt;=30,IF(Z56&gt;0,"◎反発確認",IF(Z56&lt;-5,"△要注意・様子見","△売られ過ぎ注目")),"相場下落・見送り"))),IF(AND(T56&gt;=12,AD56="パーフェクト▲"),"★強い買い",IF(AND(T56&gt;=12,AD56="上昇トレンド▲"),"★強い買い",IF(AND(T56&gt;=8,OR(AE56="25日線押し目●",AE56="5日線押し目○")),"◎押し目買い",IF(T56&gt;=10,"○買い候補",IF(T56&gt;=6,"△注目",IF(T56&gt;=3,"様子見","見送り"))))))))</f>
        <v/>
      </c>
      <c r="Z56" s="616">
        <f>IF(AND(E56&lt;&gt;"",G56&lt;&gt;"",G56&lt;&gt;0),(E56-G56)/G56*100,"")</f>
        <v/>
      </c>
      <c r="AA56" s="176">
        <f>IF(OR(C56="",E56="",E56=0),"",IF(E56&gt;G56,"上昇▲",IF(E56&lt;G56,"下落▼","横ばい→")))</f>
        <v/>
      </c>
      <c r="AB56" s="438">
        <f>IF(C56="","",IFERROR(((終値!E58*0.333)+(終値!F58*0.222)+(終値!G58*0.148)+(終値!H58*0.099)+(終値!I58*0.066)+(終値!J58*0.044)+(終値!K58*0.029)+(終値!L58*0.019)+(終値!M58*0.013)+(終値!N58*0.009))/(0.333+0.222+0.148+0.099+0.066+0.044+0.029+0.019+0.013+0.009),""))</f>
        <v/>
      </c>
      <c r="AC56" s="438">
        <f>IF(C56="","",IFERROR(SUMPRODUCT((終値!E58:AC58)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6" s="439">
        <f>IF(OR(C56="",AB56="",AC56=""),"",IF(AND(E56&gt;AB56,AB56&gt;AC56),"パーフェクト▲",IF(E56&gt;AC56,"上昇トレンド▲",IF(AND(E56&lt;AB56,AB56&lt;AC56),"下降トレンド▼","もみ合い→"))))</f>
        <v/>
      </c>
      <c r="AE56" s="439">
        <f>IF(OR(C56="",AB56="",AC56=""),"",IF(AND(ABS(E56-AC56)/AC56&lt;=0.02,E56&gt;AC56),"25日押し目★",IF(AND(ABS(E56-AB56)/AB56&lt;=0.01,E56&gt;AB56),"5日押し目○","なし")))</f>
        <v/>
      </c>
      <c r="AF56" s="617">
        <f t="array" ref="AF56">IF(C56="","",IFERROR((INDEX(終値!$E:$E,MATCH(TEXT(C56,"0"),終値!$A:$A,0))-INDEX(終値!$E:$BL,MATCH(TEXT(C56,"0"),終値!$A:$A,0),$AL$2))/INDEX(終値!$E:$BL,MATCH(TEXT(C56,"0"),終値!$A:$A,0),$AL$2)*100,""))</f>
        <v/>
      </c>
      <c r="AG56" s="617">
        <f t="array" ref="AG56">IFERROR((終値!$E$5-INDEX(終値!$E$5:$BL$5,1,$AL$2))/INDEX(終値!$E$5:$BL$5,1,$AL$2)*100,"")</f>
        <v/>
      </c>
      <c r="AH56" s="618">
        <f>IF(OR(AF56="",AG56=""),"",AF56-AG56)</f>
        <v/>
      </c>
      <c r="AI56" s="385">
        <f>IF(AH56="","",IF(AH56&gt;5,3,IF(AH56&gt;0,1,IF(AH56&gt;-3,-1,-2))))</f>
        <v/>
      </c>
    </row>
    <row r="57" ht="18" customFormat="1" customHeight="1" s="187">
      <c r="A57" s="176">
        <f>IF(銘柄管理!B182&lt;&gt;"",HYPERLINK("https://kabutan.jp/stock/?code="&amp;銘柄管理!B182,"株探"),"")</f>
        <v/>
      </c>
      <c r="B57" s="177" t="n"/>
      <c r="C57" s="178">
        <f>IF(銘柄管理!B182="","",銘柄管理!B182)</f>
        <v/>
      </c>
      <c r="D57" s="106">
        <f>IF(銘柄管理!C182="","",銘柄管理!C182)</f>
        <v/>
      </c>
      <c r="E57" s="179">
        <f>IF(C57&lt;&gt;"",_xll.RssMarket(C57,"現在値"),"")</f>
        <v/>
      </c>
      <c r="F57" s="179">
        <f>IF(C57&lt;&gt;"",_xll.RssMarket(C57,"始値"),"")</f>
        <v/>
      </c>
      <c r="G57" s="178">
        <f>IF(C57&lt;&gt;"",終値!F182,"")</f>
        <v/>
      </c>
      <c r="H57" s="179">
        <f>IF(C57&lt;&gt;"",_xll.RssMarket(C57,"高値"),"")</f>
        <v/>
      </c>
      <c r="I57" s="179">
        <f>IF(C57&lt;&gt;"",_xll.RssMarket(C57,"安値"),"")</f>
        <v/>
      </c>
      <c r="J57" s="179">
        <f>IF(C57&lt;&gt;"",_xll.RssMarket(C57,"出来高"),"")</f>
        <v/>
      </c>
      <c r="K57" s="179">
        <f>IF(C57&lt;&gt;"",_xll.RssMarket(C57,"年初来高値"),"")</f>
        <v/>
      </c>
      <c r="L57" s="613">
        <f>IF(AND(E57&lt;&gt;"",K57&lt;&gt;"",K57&lt;&gt;0),(E57-K57)/K57*100,"")</f>
        <v/>
      </c>
      <c r="M57" s="179">
        <f>IF(C57&lt;&gt;"",IFERROR(AVERAGE(出来高!E182:I182),""),"")</f>
        <v/>
      </c>
      <c r="N57" s="179">
        <f>IF(C57&lt;&gt;"",IFERROR(AVERAGE(出来高!E182:AC182),""),"")</f>
        <v/>
      </c>
      <c r="O57" s="614">
        <f>IF(AND(J57&lt;&gt;"",M57&lt;&gt;"",M57&lt;&gt;0),J57/M57,"")</f>
        <v/>
      </c>
      <c r="P57" s="176">
        <f>IF(O57="","",IF(O57&gt;=2,"急増↑↑",IF(O57&gt;=1.5,"増加↑",IF(O57&gt;=1,"普通→","減少↓"))))</f>
        <v/>
      </c>
      <c r="Q57" s="176">
        <f>IF(E57="","",IF(AND(E57&gt;G57,O57&gt;=1.5),"買い▲",IF(E57&lt;G57,"様子見▼","中立→")))</f>
        <v/>
      </c>
      <c r="R57" s="179">
        <f>IF(E57&lt;&gt;"",ROUND(E57*1.08,0),"")</f>
        <v/>
      </c>
      <c r="S57" s="179">
        <f>IF(E57&lt;&gt;"",ROUND(E57*0.96,0),"")</f>
        <v/>
      </c>
      <c r="T57" s="176">
        <f>IF(C57="","",IFERROR(IF(O57&gt;=2,3,IF(O57&gt;=1.5,2,IF(O57&gt;=1,1,0)))+IF(E57&gt;G57,1,0)+IF(L57&gt;=-5,1,0)+IF(Q57="買い▲",2,0)+IF(W57&lt;=30,3,IF(W57&lt;=40,2,IF(AND(W57&gt;=40,W57&lt;=60),1,0)))+IF(X57&gt;0,1,0)+IF(V57="年初来高値更新●",3,IF(V57="高値圏",2,0))+IF(AD57="パーフェクト▲",3,IF(AD57="上昇トレンド▲",2,0))+IF(AE57="25日線押し目●",2,IF(AE57="5日線押し目○",1,0))+IF(P57="急増↑↑",2,IF(P57="増加↑",1,0))+N(AI57),0))</f>
        <v/>
      </c>
      <c r="U57" s="176">
        <f>IF(T57="","",IF(AND(T57&gt;=3,O57&gt;=1.5),"有効",IF(T57&gt;=3,"要確認","除外")))</f>
        <v/>
      </c>
      <c r="V57" s="176">
        <f>IF(AND(H57&lt;&gt;"",K57&lt;&gt;""),IF(H57&gt;=K57,"年初来高値更新●",IF(H57&gt;=K57*0.95,"高値圏","通常")),"")</f>
        <v/>
      </c>
      <c r="W57" s="615">
        <f t="array" ref="W57">IF(C57&lt;&gt;"",IFERROR(100-100/(1+SUMPRODUCT((終値!F182:R182&gt;終値!G182:S182)*( 終値!F182:R182-終値!G182:S182))/SUMPRODUCT((終値!F182:R182&lt;終値!G182:S182)*(終値!G182:S182-終値!F182:R182))),50),"")</f>
        <v/>
      </c>
      <c r="X57" s="183">
        <f>IF(C57&lt;&gt;"",IFERROR(SUMPRODUCT(終値!E182:P182,{0.154,0.132,0.113,0.097,0.083,0.071,0.061,0.052,0.045,0.038,0.033,0.028})/SUMPRODUCT({0.154,0.132,0.113,0.097,0.083,0.071,0.061,0.052,0.045,0.038,0.033,0.028})-SUMPRODUCT(終値!E182:AD182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7" s="570">
        <f>IF(T57="","",IF(銘柄管理!$F$5="下落▼",IF(AND(AD57="パーフェクト▲",OR(AE57="25日線押し目●",AE57="5日線押し目○")),"★逆張り候補",IF(AND(AD57="上昇トレンド▲",OR(AE57="25日線押し目●",AE57="5日線押し目○")),"○逆張り候補",IF(W57&lt;=30,IF(Z57&gt;0,"◎反発確認",IF(Z57&lt;-5,"△要注意・様子見","△売られ過ぎ注目")),"相場下落・見送り"))),IF(AND(T57&gt;=12,AD57="パーフェクト▲"),"★強い買い",IF(AND(T57&gt;=12,AD57="上昇トレンド▲"),"★強い買い",IF(AND(T57&gt;=8,OR(AE57="25日線押し目●",AE57="5日線押し目○")),"◎押し目買い",IF(T57&gt;=10,"○買い候補",IF(T57&gt;=6,"△注目",IF(T57&gt;=3,"様子見","見送り"))))))))</f>
        <v/>
      </c>
      <c r="Z57" s="616">
        <f>IF(AND(E57&lt;&gt;"",G57&lt;&gt;"",G57&lt;&gt;0),(E57-G57)/G57*100,"")</f>
        <v/>
      </c>
      <c r="AA57" s="176">
        <f>IF(OR(C57="",E57="",E57=0),"",IF(E57&gt;G57,"上昇▲",IF(E57&lt;G57,"下落▼","横ばい→")))</f>
        <v/>
      </c>
      <c r="AB57" s="440">
        <f>IF(C57="","",IFERROR(((終値!E59*0.333)+(終値!F59*0.222)+(終値!G59*0.148)+(終値!H59*0.099)+(終値!I59*0.066)+(終値!J59*0.044)+(終値!K59*0.029)+(終値!L59*0.019)+(終値!M59*0.013)+(終値!N59*0.009))/(0.333+0.222+0.148+0.099+0.066+0.044+0.029+0.019+0.013+0.009),""))</f>
        <v/>
      </c>
      <c r="AC57" s="440">
        <f>IF(C57="","",IFERROR(SUMPRODUCT((終値!E59:AC59)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7" s="441">
        <f>IF(OR(C57="",AB57="",AC57=""),"",IF(AND(E57&gt;AB57,AB57&gt;AC57),"パーフェクト▲",IF(E57&gt;AC57,"上昇トレンド▲",IF(AND(E57&lt;AB57,AB57&lt;AC57),"下降トレンド▼","もみ合い→"))))</f>
        <v/>
      </c>
      <c r="AE57" s="441">
        <f>IF(OR(C57="",AB57="",AC57=""),"",IF(AND(ABS(E57-AC57)/AC57&lt;=0.02,E57&gt;AC57),"25日押し目★",IF(AND(ABS(E57-AB57)/AB57&lt;=0.01,E57&gt;AB57),"5日押し目○","なし")))</f>
        <v/>
      </c>
      <c r="AF57" s="617">
        <f t="array" ref="AF57">IF(C57="","",IFERROR((INDEX(終値!$E:$E,MATCH(TEXT(C57,"0"),終値!$A:$A,0))-INDEX(終値!$E:$BL,MATCH(TEXT(C57,"0"),終値!$A:$A,0),$AL$2))/INDEX(終値!$E:$BL,MATCH(TEXT(C57,"0"),終値!$A:$A,0),$AL$2)*100,""))</f>
        <v/>
      </c>
      <c r="AG57" s="617">
        <f t="array" ref="AG57">IFERROR((終値!$E$5-INDEX(終値!$E$5:$BL$5,1,$AL$2))/INDEX(終値!$E$5:$BL$5,1,$AL$2)*100,"")</f>
        <v/>
      </c>
      <c r="AH57" s="618">
        <f>IF(OR(AF57="",AG57=""),"",AF57-AG57)</f>
        <v/>
      </c>
      <c r="AI57" s="385">
        <f>IF(AH57="","",IF(AH57&gt;5,3,IF(AH57&gt;0,1,IF(AH57&gt;-3,-1,-2))))</f>
        <v/>
      </c>
    </row>
    <row r="58" ht="18" customFormat="1" customHeight="1" s="187">
      <c r="A58" s="176">
        <f>IF(銘柄管理!B16&lt;&gt;"",HYPERLINK("https://kabutan.jp/stock/?code="&amp;銘柄管理!B16,"株探"),"")</f>
        <v/>
      </c>
      <c r="B58" s="177" t="n"/>
      <c r="C58" s="178">
        <f>IF(銘柄管理!B16="","",銘柄管理!B16)</f>
        <v/>
      </c>
      <c r="D58" s="106">
        <f>IF(銘柄管理!C16="","",銘柄管理!C16)</f>
        <v/>
      </c>
      <c r="E58" s="179">
        <f>IF(C58&lt;&gt;"",_xll.RssMarket(C58,"現在値"),"")</f>
        <v/>
      </c>
      <c r="F58" s="179">
        <f>IF(C58&lt;&gt;"",_xll.RssMarket(C58,"始値"),"")</f>
        <v/>
      </c>
      <c r="G58" s="178">
        <f>IF(C58&lt;&gt;"",終値!F16,"")</f>
        <v/>
      </c>
      <c r="H58" s="179">
        <f>IF(C58&lt;&gt;"",_xll.RssMarket(C58,"高値"),"")</f>
        <v/>
      </c>
      <c r="I58" s="179">
        <f>IF(C58&lt;&gt;"",_xll.RssMarket(C58,"安値"),"")</f>
        <v/>
      </c>
      <c r="J58" s="179">
        <f>IF(C58&lt;&gt;"",_xll.RssMarket(C58,"出来高"),"")</f>
        <v/>
      </c>
      <c r="K58" s="179">
        <f>IF(C58&lt;&gt;"",_xll.RssMarket(C58,"年初来高値"),"")</f>
        <v/>
      </c>
      <c r="L58" s="613">
        <f>IF(AND(E58&lt;&gt;"",K58&lt;&gt;"",K58&lt;&gt;0),(E58-K58)/K58*100,"")</f>
        <v/>
      </c>
      <c r="M58" s="179">
        <f>IF(C58&lt;&gt;"",IFERROR(AVERAGE(出来高!E16:I16),""),"")</f>
        <v/>
      </c>
      <c r="N58" s="179">
        <f>IF(C58&lt;&gt;"",IFERROR(AVERAGE(出来高!E16:AC16),""),"")</f>
        <v/>
      </c>
      <c r="O58" s="614">
        <f>IF(AND(J58&lt;&gt;"",M58&lt;&gt;"",M58&lt;&gt;0),J58/M58,"")</f>
        <v/>
      </c>
      <c r="P58" s="176">
        <f>IF(O58="","",IF(O58&gt;=2,"急増↑↑",IF(O58&gt;=1.5,"増加↑",IF(O58&gt;=1,"普通→","減少↓"))))</f>
        <v/>
      </c>
      <c r="Q58" s="176">
        <f>IF(E58="","",IF(AND(E58&gt;G58,O58&gt;=1.5),"買い▲",IF(E58&lt;G58,"様子見▼","中立→")))</f>
        <v/>
      </c>
      <c r="R58" s="179">
        <f>IF(E58&lt;&gt;"",ROUND(E58*1.08,0),"")</f>
        <v/>
      </c>
      <c r="S58" s="179">
        <f>IF(E58&lt;&gt;"",ROUND(E58*0.96,0),"")</f>
        <v/>
      </c>
      <c r="T58" s="176">
        <f>IF(C58="","",IFERROR(IF(O58&gt;=2,3,IF(O58&gt;=1.5,2,IF(O58&gt;=1,1,0)))+IF(E58&gt;G58,1,0)+IF(L58&gt;=-5,1,0)+IF(Q58="買い▲",2,0)+IF(W58&lt;=30,3,IF(W58&lt;=40,2,IF(AND(W58&gt;=40,W58&lt;=60),1,0)))+IF(X58&gt;0,1,0)+IF(V58="年初来高値更新●",3,IF(V58="高値圏",2,0))+IF(AD58="パーフェクト▲",3,IF(AD58="上昇トレンド▲",2,0))+IF(AE58="25日線押し目●",2,IF(AE58="5日線押し目○",1,0))+IF(P58="急増↑↑",2,IF(P58="増加↑",1,0))+N(AI58),0))</f>
        <v/>
      </c>
      <c r="U58" s="176">
        <f>IF(T58="","",IF(AND(T58&gt;=3,O58&gt;=1.5),"有効",IF(T58&gt;=3,"要確認","除外")))</f>
        <v/>
      </c>
      <c r="V58" s="176">
        <f>IF(AND(H58&lt;&gt;"",K58&lt;&gt;""),IF(H58&gt;=K58,"年初来高値更新●",IF(H58&gt;=K58*0.95,"高値圏","通常")),"")</f>
        <v/>
      </c>
      <c r="W58" s="615">
        <f t="array" ref="W58">IF(C58&lt;&gt;"",IFERROR(100-100/(1+SUMPRODUCT((終値!F16:R16&gt;終値!G16:S16)*( 終値!F16:R16-終値!G16:S16))/SUMPRODUCT((終値!F16:R16&lt;終値!G16:S16)*(終値!G16:S16-終値!F16:R16))),50),"")</f>
        <v/>
      </c>
      <c r="X58" s="183">
        <f>IF(C58&lt;&gt;"",IFERROR(SUMPRODUCT(終値!E16:P16,{0.154,0.132,0.113,0.097,0.083,0.071,0.061,0.052,0.045,0.038,0.033,0.028})/SUMPRODUCT({0.154,0.132,0.113,0.097,0.083,0.071,0.061,0.052,0.045,0.038,0.033,0.028})-SUMPRODUCT(終値!E16:AD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8" s="570">
        <f>IF(T58="","",IF(銘柄管理!$F$5="下落▼",IF(AND(AD58="パーフェクト▲",OR(AE58="25日線押し目●",AE58="5日線押し目○")),"★逆張り候補",IF(AND(AD58="上昇トレンド▲",OR(AE58="25日線押し目●",AE58="5日線押し目○")),"○逆張り候補",IF(W58&lt;=30,IF(Z58&gt;0,"◎反発確認",IF(Z58&lt;-5,"△要注意・様子見","△売られ過ぎ注目")),"相場下落・見送り"))),IF(AND(T58&gt;=12,AD58="パーフェクト▲"),"★強い買い",IF(AND(T58&gt;=12,AD58="上昇トレンド▲"),"★強い買い",IF(AND(T58&gt;=8,OR(AE58="25日線押し目●",AE58="5日線押し目○")),"◎押し目買い",IF(T58&gt;=10,"○買い候補",IF(T58&gt;=6,"△注目",IF(T58&gt;=3,"様子見","見送り"))))))))</f>
        <v/>
      </c>
      <c r="Z58" s="616">
        <f>IF(AND(E58&lt;&gt;"",G58&lt;&gt;"",G58&lt;&gt;0),(E58-G58)/G58*100,"")</f>
        <v/>
      </c>
      <c r="AA58" s="176">
        <f>IF(OR(C58="",E58="",E58=0),"",IF(E58&gt;G58,"上昇▲",IF(E58&lt;G58,"下落▼","横ばい→")))</f>
        <v/>
      </c>
      <c r="AB58" s="438">
        <f>IF(C58="","",IFERROR(((終値!E60*0.333)+(終値!F60*0.222)+(終値!G60*0.148)+(終値!H60*0.099)+(終値!I60*0.066)+(終値!J60*0.044)+(終値!K60*0.029)+(終値!L60*0.019)+(終値!M60*0.013)+(終値!N60*0.009))/(0.333+0.222+0.148+0.099+0.066+0.044+0.029+0.019+0.013+0.009),""))</f>
        <v/>
      </c>
      <c r="AC58" s="438">
        <f>IF(C58="","",IFERROR(SUMPRODUCT((終値!E60:AC60)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8" s="439">
        <f>IF(OR(C58="",AB58="",AC58=""),"",IF(AND(E58&gt;AB58,AB58&gt;AC58),"パーフェクト▲",IF(E58&gt;AC58,"上昇トレンド▲",IF(AND(E58&lt;AB58,AB58&lt;AC58),"下降トレンド▼","もみ合い→"))))</f>
        <v/>
      </c>
      <c r="AE58" s="439">
        <f>IF(OR(C58="",AB58="",AC58=""),"",IF(AND(ABS(E58-AC58)/AC58&lt;=0.02,E58&gt;AC58),"25日押し目★",IF(AND(ABS(E58-AB58)/AB58&lt;=0.01,E58&gt;AB58),"5日押し目○","なし")))</f>
        <v/>
      </c>
      <c r="AF58" s="617">
        <f t="array" ref="AF58">IF(C58="","",IFERROR((INDEX(終値!$E:$E,MATCH(TEXT(C58,"0"),終値!$A:$A,0))-INDEX(終値!$E:$BL,MATCH(TEXT(C58,"0"),終値!$A:$A,0),$AL$2))/INDEX(終値!$E:$BL,MATCH(TEXT(C58,"0"),終値!$A:$A,0),$AL$2)*100,""))</f>
        <v/>
      </c>
      <c r="AG58" s="617">
        <f t="array" ref="AG58">IFERROR((終値!$E$5-INDEX(終値!$E$5:$BL$5,1,$AL$2))/INDEX(終値!$E$5:$BL$5,1,$AL$2)*100,"")</f>
        <v/>
      </c>
      <c r="AH58" s="618">
        <f>IF(OR(AF58="",AG58=""),"",AF58-AG58)</f>
        <v/>
      </c>
      <c r="AI58" s="385">
        <f>IF(AH58="","",IF(AH58&gt;5,3,IF(AH58&gt;0,1,IF(AH58&gt;-3,-1,-2))))</f>
        <v/>
      </c>
    </row>
    <row r="59" ht="18" customFormat="1" customHeight="1" s="187">
      <c r="A59" s="176">
        <f>IF(銘柄管理!B25&lt;&gt;"",HYPERLINK("https://kabutan.jp/stock/?code="&amp;銘柄管理!B25,"株探"),"")</f>
        <v/>
      </c>
      <c r="B59" s="177" t="n"/>
      <c r="C59" s="178">
        <f>IF(銘柄管理!B25="","",銘柄管理!B25)</f>
        <v/>
      </c>
      <c r="D59" s="106">
        <f>IF(銘柄管理!C25="","",銘柄管理!C25)</f>
        <v/>
      </c>
      <c r="E59" s="179">
        <f>IF(C59&lt;&gt;"",_xll.RssMarket(C59,"現在値"),"")</f>
        <v/>
      </c>
      <c r="F59" s="179">
        <f>IF(C59&lt;&gt;"",_xll.RssMarket(C59,"始値"),"")</f>
        <v/>
      </c>
      <c r="G59" s="178">
        <f>IF(C59&lt;&gt;"",終値!F25,"")</f>
        <v/>
      </c>
      <c r="H59" s="179">
        <f>IF(C59&lt;&gt;"",_xll.RssMarket(C59,"高値"),"")</f>
        <v/>
      </c>
      <c r="I59" s="179">
        <f>IF(C59&lt;&gt;"",_xll.RssMarket(C59,"安値"),"")</f>
        <v/>
      </c>
      <c r="J59" s="179">
        <f>IF(C59&lt;&gt;"",_xll.RssMarket(C59,"出来高"),"")</f>
        <v/>
      </c>
      <c r="K59" s="179">
        <f>IF(C59&lt;&gt;"",_xll.RssMarket(C59,"年初来高値"),"")</f>
        <v/>
      </c>
      <c r="L59" s="613">
        <f>IF(AND(E59&lt;&gt;"",K59&lt;&gt;"",K59&lt;&gt;0),(E59-K59)/K59*100,"")</f>
        <v/>
      </c>
      <c r="M59" s="179">
        <f>IF(C59&lt;&gt;"",IFERROR(AVERAGE(出来高!E25:I25),""),"")</f>
        <v/>
      </c>
      <c r="N59" s="179">
        <f>IF(C59&lt;&gt;"",IFERROR(AVERAGE(出来高!E25:AC25),""),"")</f>
        <v/>
      </c>
      <c r="O59" s="614">
        <f>IF(AND(J59&lt;&gt;"",M59&lt;&gt;"",M59&lt;&gt;0),J59/M59,"")</f>
        <v/>
      </c>
      <c r="P59" s="176">
        <f>IF(O59="","",IF(O59&gt;=2,"急増↑↑",IF(O59&gt;=1.5,"増加↑",IF(O59&gt;=1,"普通→","減少↓"))))</f>
        <v/>
      </c>
      <c r="Q59" s="176">
        <f>IF(E59="","",IF(AND(E59&gt;G59,O59&gt;=1.5),"買い▲",IF(E59&lt;G59,"様子見▼","中立→")))</f>
        <v/>
      </c>
      <c r="R59" s="179">
        <f>IF(E59&lt;&gt;"",ROUND(E59*1.08,0),"")</f>
        <v/>
      </c>
      <c r="S59" s="179">
        <f>IF(E59&lt;&gt;"",ROUND(E59*0.96,0),"")</f>
        <v/>
      </c>
      <c r="T59" s="176">
        <f>IF(C59="","",IFERROR(IF(O59&gt;=2,3,IF(O59&gt;=1.5,2,IF(O59&gt;=1,1,0)))+IF(E59&gt;G59,1,0)+IF(L59&gt;=-5,1,0)+IF(Q59="買い▲",2,0)+IF(W59&lt;=30,3,IF(W59&lt;=40,2,IF(AND(W59&gt;=40,W59&lt;=60),1,0)))+IF(X59&gt;0,1,0)+IF(V59="年初来高値更新●",3,IF(V59="高値圏",2,0))+IF(AD59="パーフェクト▲",3,IF(AD59="上昇トレンド▲",2,0))+IF(AE59="25日線押し目●",2,IF(AE59="5日線押し目○",1,0))+IF(P59="急増↑↑",2,IF(P59="増加↑",1,0))+N(AI59),0))</f>
        <v/>
      </c>
      <c r="U59" s="176">
        <f>IF(T59="","",IF(AND(T59&gt;=3,O59&gt;=1.5),"有効",IF(T59&gt;=3,"要確認","除外")))</f>
        <v/>
      </c>
      <c r="V59" s="176">
        <f>IF(AND(H59&lt;&gt;"",K59&lt;&gt;""),IF(H59&gt;=K59,"年初来高値更新●",IF(H59&gt;=K59*0.95,"高値圏","通常")),"")</f>
        <v/>
      </c>
      <c r="W59" s="615">
        <f t="array" ref="W59">IF(C59&lt;&gt;"",IFERROR(100-100/(1+SUMPRODUCT((終値!F25:R25&gt;終値!G25:S25)*( 終値!F25:R25-終値!G25:S25))/SUMPRODUCT((終値!F25:R25&lt;終値!G25:S25)*(終値!G25:S25-終値!F25:R25))),50),"")</f>
        <v/>
      </c>
      <c r="X59" s="183">
        <f>IF(C59&lt;&gt;"",IFERROR(SUMPRODUCT(終値!E25:P25,{0.154,0.132,0.113,0.097,0.083,0.071,0.061,0.052,0.045,0.038,0.033,0.028})/SUMPRODUCT({0.154,0.132,0.113,0.097,0.083,0.071,0.061,0.052,0.045,0.038,0.033,0.028})-SUMPRODUCT(終値!E25:AD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9" s="570">
        <f>IF(T59="","",IF(銘柄管理!$F$5="下落▼",IF(AND(AD59="パーフェクト▲",OR(AE59="25日線押し目●",AE59="5日線押し目○")),"★逆張り候補",IF(AND(AD59="上昇トレンド▲",OR(AE59="25日線押し目●",AE59="5日線押し目○")),"○逆張り候補",IF(W59&lt;=30,IF(Z59&gt;0,"◎反発確認",IF(Z59&lt;-5,"△要注意・様子見","△売られ過ぎ注目")),"相場下落・見送り"))),IF(AND(T59&gt;=12,AD59="パーフェクト▲"),"★強い買い",IF(AND(T59&gt;=12,AD59="上昇トレンド▲"),"★強い買い",IF(AND(T59&gt;=8,OR(AE59="25日線押し目●",AE59="5日線押し目○")),"◎押し目買い",IF(T59&gt;=10,"○買い候補",IF(T59&gt;=6,"△注目",IF(T59&gt;=3,"様子見","見送り"))))))))</f>
        <v/>
      </c>
      <c r="Z59" s="616">
        <f>IF(AND(E59&lt;&gt;"",G59&lt;&gt;"",G59&lt;&gt;0),(E59-G59)/G59*100,"")</f>
        <v/>
      </c>
      <c r="AA59" s="176">
        <f>IF(OR(C59="",E59="",E59=0),"",IF(E59&gt;G59,"上昇▲",IF(E59&lt;G59,"下落▼","横ばい→")))</f>
        <v/>
      </c>
      <c r="AB59" s="440">
        <f>IF(C59="","",IFERROR(((終値!E61*0.333)+(終値!F61*0.222)+(終値!G61*0.148)+(終値!H61*0.099)+(終値!I61*0.066)+(終値!J61*0.044)+(終値!K61*0.029)+(終値!L61*0.019)+(終値!M61*0.013)+(終値!N61*0.009))/(0.333+0.222+0.148+0.099+0.066+0.044+0.029+0.019+0.013+0.009),""))</f>
        <v/>
      </c>
      <c r="AC59" s="440">
        <f>IF(C59="","",IFERROR(SUMPRODUCT((終値!E61:AC61)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9" s="441">
        <f>IF(OR(C59="",AB59="",AC59=""),"",IF(AND(E59&gt;AB59,AB59&gt;AC59),"パーフェクト▲",IF(E59&gt;AC59,"上昇トレンド▲",IF(AND(E59&lt;AB59,AB59&lt;AC59),"下降トレンド▼","もみ合い→"))))</f>
        <v/>
      </c>
      <c r="AE59" s="441">
        <f>IF(OR(C59="",AB59="",AC59=""),"",IF(AND(ABS(E59-AC59)/AC59&lt;=0.02,E59&gt;AC59),"25日押し目★",IF(AND(ABS(E59-AB59)/AB59&lt;=0.01,E59&gt;AB59),"5日押し目○","なし")))</f>
        <v/>
      </c>
      <c r="AF59" s="617">
        <f t="array" ref="AF59">IF(C59="","",IFERROR((INDEX(終値!$E:$E,MATCH(TEXT(C59,"0"),終値!$A:$A,0))-INDEX(終値!$E:$BL,MATCH(TEXT(C59,"0"),終値!$A:$A,0),$AL$2))/INDEX(終値!$E:$BL,MATCH(TEXT(C59,"0"),終値!$A:$A,0),$AL$2)*100,""))</f>
        <v/>
      </c>
      <c r="AG59" s="617">
        <f t="array" ref="AG59">IFERROR((終値!$E$5-INDEX(終値!$E$5:$BL$5,1,$AL$2))/INDEX(終値!$E$5:$BL$5,1,$AL$2)*100,"")</f>
        <v/>
      </c>
      <c r="AH59" s="618">
        <f>IF(OR(AF59="",AG59=""),"",AF59-AG59)</f>
        <v/>
      </c>
      <c r="AI59" s="385">
        <f>IF(AH59="","",IF(AH59&gt;5,3,IF(AH59&gt;0,1,IF(AH59&gt;-3,-1,-2))))</f>
        <v/>
      </c>
    </row>
    <row r="60" ht="18" customFormat="1" customHeight="1" s="187">
      <c r="A60" s="176">
        <f>IF(銘柄管理!B198&lt;&gt;"",HYPERLINK("https://kabutan.jp/stock/?code="&amp;銘柄管理!B198,"株探"),"")</f>
        <v/>
      </c>
      <c r="B60" s="177" t="n"/>
      <c r="C60" s="178">
        <f>IF(銘柄管理!B198="","",銘柄管理!B198)</f>
        <v/>
      </c>
      <c r="D60" s="106">
        <f>IF(銘柄管理!C198="","",銘柄管理!C198)</f>
        <v/>
      </c>
      <c r="E60" s="179">
        <f>IF(C60&lt;&gt;"",_xll.RssMarket(C60,"現在値"),"")</f>
        <v/>
      </c>
      <c r="F60" s="179">
        <f>IF(C60&lt;&gt;"",_xll.RssMarket(C60,"始値"),"")</f>
        <v/>
      </c>
      <c r="G60" s="178">
        <f>IF(C60&lt;&gt;"",終値!F198,"")</f>
        <v/>
      </c>
      <c r="H60" s="179">
        <f>IF(C60&lt;&gt;"",_xll.RssMarket(C60,"高値"),"")</f>
        <v/>
      </c>
      <c r="I60" s="179">
        <f>IF(C60&lt;&gt;"",_xll.RssMarket(C60,"安値"),"")</f>
        <v/>
      </c>
      <c r="J60" s="179">
        <f>IF(C60&lt;&gt;"",_xll.RssMarket(C60,"出来高"),"")</f>
        <v/>
      </c>
      <c r="K60" s="179">
        <f>IF(C60&lt;&gt;"",_xll.RssMarket(C60,"年初来高値"),"")</f>
        <v/>
      </c>
      <c r="L60" s="613">
        <f>IF(AND(E60&lt;&gt;"",K60&lt;&gt;"",K60&lt;&gt;0),(E60-K60)/K60*100,"")</f>
        <v/>
      </c>
      <c r="M60" s="179">
        <f>IF(C60&lt;&gt;"",IFERROR(AVERAGE(出来高!E198:I198),""),"")</f>
        <v/>
      </c>
      <c r="N60" s="179">
        <f>IF(C60&lt;&gt;"",IFERROR(AVERAGE(出来高!E198:AC198),""),"")</f>
        <v/>
      </c>
      <c r="O60" s="614">
        <f>IF(AND(J60&lt;&gt;"",M60&lt;&gt;"",M60&lt;&gt;0),J60/M60,"")</f>
        <v/>
      </c>
      <c r="P60" s="176">
        <f>IF(O60="","",IF(O60&gt;=2,"急増↑↑",IF(O60&gt;=1.5,"増加↑",IF(O60&gt;=1,"普通→","減少↓"))))</f>
        <v/>
      </c>
      <c r="Q60" s="176">
        <f>IF(E60="","",IF(AND(E60&gt;G60,O60&gt;=1.5),"買い▲",IF(E60&lt;G60,"様子見▼","中立→")))</f>
        <v/>
      </c>
      <c r="R60" s="179">
        <f>IF(E60&lt;&gt;"",ROUND(E60*1.08,0),"")</f>
        <v/>
      </c>
      <c r="S60" s="179">
        <f>IF(E60&lt;&gt;"",ROUND(E60*0.96,0),"")</f>
        <v/>
      </c>
      <c r="T60" s="176">
        <f>IF(C60="","",IFERROR(IF(O60&gt;=2,3,IF(O60&gt;=1.5,2,IF(O60&gt;=1,1,0)))+IF(E60&gt;G60,1,0)+IF(L60&gt;=-5,1,0)+IF(Q60="買い▲",2,0)+IF(W60&lt;=30,3,IF(W60&lt;=40,2,IF(AND(W60&gt;=40,W60&lt;=60),1,0)))+IF(X60&gt;0,1,0)+IF(V60="年初来高値更新●",3,IF(V60="高値圏",2,0))+IF(AD60="パーフェクト▲",3,IF(AD60="上昇トレンド▲",2,0))+IF(AE60="25日線押し目●",2,IF(AE60="5日線押し目○",1,0))+IF(P60="急増↑↑",2,IF(P60="増加↑",1,0))+N(AI60),0))</f>
        <v/>
      </c>
      <c r="U60" s="176">
        <f>IF(T60="","",IF(AND(T60&gt;=3,O60&gt;=1.5),"有効",IF(T60&gt;=3,"要確認","除外")))</f>
        <v/>
      </c>
      <c r="V60" s="176">
        <f>IF(AND(H60&lt;&gt;"",K60&lt;&gt;""),IF(H60&gt;=K60,"年初来高値更新●",IF(H60&gt;=K60*0.95,"高値圏","通常")),"")</f>
        <v/>
      </c>
      <c r="W60" s="615">
        <f t="array" ref="W60">IF(C60&lt;&gt;"",IFERROR(100-100/(1+SUMPRODUCT((終値!F198:R198&gt;終値!G198:S198)*( 終値!F198:R198-終値!G198:S198))/SUMPRODUCT((終値!F198:R198&lt;終値!G198:S198)*(終値!G198:S198-終値!F198:R198))),50),"")</f>
        <v/>
      </c>
      <c r="X60" s="183">
        <f>IF(C60&lt;&gt;"",IFERROR(SUMPRODUCT(終値!E198:P198,{0.154,0.132,0.113,0.097,0.083,0.071,0.061,0.052,0.045,0.038,0.033,0.028})/SUMPRODUCT({0.154,0.132,0.113,0.097,0.083,0.071,0.061,0.052,0.045,0.038,0.033,0.028})-SUMPRODUCT(終値!E198:AD198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0" s="570">
        <f>IF(T60="","",IF(銘柄管理!$F$5="下落▼",IF(AND(AD60="パーフェクト▲",OR(AE60="25日線押し目●",AE60="5日線押し目○")),"★逆張り候補",IF(AND(AD60="上昇トレンド▲",OR(AE60="25日線押し目●",AE60="5日線押し目○")),"○逆張り候補",IF(W60&lt;=30,IF(Z60&gt;0,"◎反発確認",IF(Z60&lt;-5,"△要注意・様子見","△売られ過ぎ注目")),"相場下落・見送り"))),IF(AND(T60&gt;=12,AD60="パーフェクト▲"),"★強い買い",IF(AND(T60&gt;=12,AD60="上昇トレンド▲"),"★強い買い",IF(AND(T60&gt;=8,OR(AE60="25日線押し目●",AE60="5日線押し目○")),"◎押し目買い",IF(T60&gt;=10,"○買い候補",IF(T60&gt;=6,"△注目",IF(T60&gt;=3,"様子見","見送り"))))))))</f>
        <v/>
      </c>
      <c r="Z60" s="616">
        <f>IF(AND(E60&lt;&gt;"",G60&lt;&gt;"",G60&lt;&gt;0),(E60-G60)/G60*100,"")</f>
        <v/>
      </c>
      <c r="AA60" s="176">
        <f>IF(OR(C60="",E60="",E60=0),"",IF(E60&gt;G60,"上昇▲",IF(E60&lt;G60,"下落▼","横ばい→")))</f>
        <v/>
      </c>
      <c r="AB60" s="438">
        <f>IF(C60="","",IFERROR(((終値!E62*0.333)+(終値!F62*0.222)+(終値!G62*0.148)+(終値!H62*0.099)+(終値!I62*0.066)+(終値!J62*0.044)+(終値!K62*0.029)+(終値!L62*0.019)+(終値!M62*0.013)+(終値!N62*0.009))/(0.333+0.222+0.148+0.099+0.066+0.044+0.029+0.019+0.013+0.009),""))</f>
        <v/>
      </c>
      <c r="AC60" s="438">
        <f>IF(C60="","",IFERROR(SUMPRODUCT((終値!E62:AC62)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0" s="439">
        <f>IF(OR(C60="",AB60="",AC60=""),"",IF(AND(E60&gt;AB60,AB60&gt;AC60),"パーフェクト▲",IF(E60&gt;AC60,"上昇トレンド▲",IF(AND(E60&lt;AB60,AB60&lt;AC60),"下降トレンド▼","もみ合い→"))))</f>
        <v/>
      </c>
      <c r="AE60" s="439">
        <f>IF(OR(C60="",AB60="",AC60=""),"",IF(AND(ABS(E60-AC60)/AC60&lt;=0.02,E60&gt;AC60),"25日押し目★",IF(AND(ABS(E60-AB60)/AB60&lt;=0.01,E60&gt;AB60),"5日押し目○","なし")))</f>
        <v/>
      </c>
      <c r="AF60" s="617">
        <f t="array" ref="AF60">IF(C60="","",IFERROR((INDEX(終値!$E:$E,MATCH(TEXT(C60,"0"),終値!$A:$A,0))-INDEX(終値!$E:$BL,MATCH(TEXT(C60,"0"),終値!$A:$A,0),$AL$2))/INDEX(終値!$E:$BL,MATCH(TEXT(C60,"0"),終値!$A:$A,0),$AL$2)*100,""))</f>
        <v/>
      </c>
      <c r="AG60" s="617">
        <f t="array" ref="AG60">IFERROR((終値!$E$5-INDEX(終値!$E$5:$BL$5,1,$AL$2))/INDEX(終値!$E$5:$BL$5,1,$AL$2)*100,"")</f>
        <v/>
      </c>
      <c r="AH60" s="618">
        <f>IF(OR(AF60="",AG60=""),"",AF60-AG60)</f>
        <v/>
      </c>
      <c r="AI60" s="385">
        <f>IF(AH60="","",IF(AH60&gt;5,3,IF(AH60&gt;0,1,IF(AH60&gt;-3,-1,-2))))</f>
        <v/>
      </c>
    </row>
    <row r="61" ht="18" customFormat="1" customHeight="1" s="187">
      <c r="A61" s="176">
        <f>IF(銘柄管理!B204&lt;&gt;"",HYPERLINK("https://kabutan.jp/stock/?code="&amp;銘柄管理!B204,"株探"),"")</f>
        <v/>
      </c>
      <c r="B61" s="177" t="n"/>
      <c r="C61" s="178">
        <f>IF(銘柄管理!B204="","",銘柄管理!B204)</f>
        <v/>
      </c>
      <c r="D61" s="106">
        <f>IF(銘柄管理!C204="","",銘柄管理!C204)</f>
        <v/>
      </c>
      <c r="E61" s="179">
        <f>IF(C61&lt;&gt;"",_xll.RssMarket(C61,"現在値"),"")</f>
        <v/>
      </c>
      <c r="F61" s="179">
        <f>IF(C61&lt;&gt;"",_xll.RssMarket(C61,"始値"),"")</f>
        <v/>
      </c>
      <c r="G61" s="178">
        <f>IF(C61&lt;&gt;"",終値!F204,"")</f>
        <v/>
      </c>
      <c r="H61" s="179">
        <f>IF(C61&lt;&gt;"",_xll.RssMarket(C61,"高値"),"")</f>
        <v/>
      </c>
      <c r="I61" s="179">
        <f>IF(C61&lt;&gt;"",_xll.RssMarket(C61,"安値"),"")</f>
        <v/>
      </c>
      <c r="J61" s="179">
        <f>IF(C61&lt;&gt;"",_xll.RssMarket(C61,"出来高"),"")</f>
        <v/>
      </c>
      <c r="K61" s="179">
        <f>IF(C61&lt;&gt;"",_xll.RssMarket(C61,"年初来高値"),"")</f>
        <v/>
      </c>
      <c r="L61" s="613">
        <f>IF(AND(E61&lt;&gt;"",K61&lt;&gt;"",K61&lt;&gt;0),(E61-K61)/K61*100,"")</f>
        <v/>
      </c>
      <c r="M61" s="179">
        <f>IF(C61&lt;&gt;"",IFERROR(AVERAGE(出来高!E204:I204),""),"")</f>
        <v/>
      </c>
      <c r="N61" s="179">
        <f>IF(C61&lt;&gt;"",IFERROR(AVERAGE(出来高!E204:AC204),""),"")</f>
        <v/>
      </c>
      <c r="O61" s="614">
        <f>IF(AND(J61&lt;&gt;"",M61&lt;&gt;"",M61&lt;&gt;0),J61/M61,"")</f>
        <v/>
      </c>
      <c r="P61" s="176">
        <f>IF(O61="","",IF(O61&gt;=2,"急増↑↑",IF(O61&gt;=1.5,"増加↑",IF(O61&gt;=1,"普通→","減少↓"))))</f>
        <v/>
      </c>
      <c r="Q61" s="176">
        <f>IF(E61="","",IF(AND(E61&gt;G61,O61&gt;=1.5),"買い▲",IF(E61&lt;G61,"様子見▼","中立→")))</f>
        <v/>
      </c>
      <c r="R61" s="179">
        <f>IF(E61&lt;&gt;"",ROUND(E61*1.08,0),"")</f>
        <v/>
      </c>
      <c r="S61" s="179">
        <f>IF(E61&lt;&gt;"",ROUND(E61*0.96,0),"")</f>
        <v/>
      </c>
      <c r="T61" s="176">
        <f>IF(C61="","",IFERROR(IF(O61&gt;=2,3,IF(O61&gt;=1.5,2,IF(O61&gt;=1,1,0)))+IF(E61&gt;G61,1,0)+IF(L61&gt;=-5,1,0)+IF(Q61="買い▲",2,0)+IF(W61&lt;=30,3,IF(W61&lt;=40,2,IF(AND(W61&gt;=40,W61&lt;=60),1,0)))+IF(X61&gt;0,1,0)+IF(V61="年初来高値更新●",3,IF(V61="高値圏",2,0))+IF(AD61="パーフェクト▲",3,IF(AD61="上昇トレンド▲",2,0))+IF(AE61="25日線押し目●",2,IF(AE61="5日線押し目○",1,0))+IF(P61="急増↑↑",2,IF(P61="増加↑",1,0))+N(AI61),0))</f>
        <v/>
      </c>
      <c r="U61" s="176">
        <f>IF(T61="","",IF(AND(T61&gt;=3,O61&gt;=1.5),"有効",IF(T61&gt;=3,"要確認","除外")))</f>
        <v/>
      </c>
      <c r="V61" s="176">
        <f>IF(AND(H61&lt;&gt;"",K61&lt;&gt;""),IF(H61&gt;=K61,"年初来高値更新●",IF(H61&gt;=K61*0.95,"高値圏","通常")),"")</f>
        <v/>
      </c>
      <c r="W61" s="615">
        <f t="array" ref="W61">IF(C61&lt;&gt;"",IFERROR(100-100/(1+SUMPRODUCT((終値!F204:R204&gt;終値!G204:S204)*( 終値!F204:R204-終値!G204:S204))/SUMPRODUCT((終値!F204:R204&lt;終値!G204:S204)*(終値!G204:S204-終値!F204:R204))),50),"")</f>
        <v/>
      </c>
      <c r="X61" s="183">
        <f>IF(C61&lt;&gt;"",IFERROR(SUMPRODUCT(終値!E204:P204,{0.154,0.132,0.113,0.097,0.083,0.071,0.061,0.052,0.045,0.038,0.033,0.028})/SUMPRODUCT({0.154,0.132,0.113,0.097,0.083,0.071,0.061,0.052,0.045,0.038,0.033,0.028})-SUMPRODUCT(終値!E204:AD204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1" s="570">
        <f>IF(T61="","",IF(銘柄管理!$F$5="下落▼",IF(AND(AD61="パーフェクト▲",OR(AE61="25日線押し目●",AE61="5日線押し目○")),"★逆張り候補",IF(AND(AD61="上昇トレンド▲",OR(AE61="25日線押し目●",AE61="5日線押し目○")),"○逆張り候補",IF(W61&lt;=30,IF(Z61&gt;0,"◎反発確認",IF(Z61&lt;-5,"△要注意・様子見","△売られ過ぎ注目")),"相場下落・見送り"))),IF(AND(T61&gt;=12,AD61="パーフェクト▲"),"★強い買い",IF(AND(T61&gt;=12,AD61="上昇トレンド▲"),"★強い買い",IF(AND(T61&gt;=8,OR(AE61="25日線押し目●",AE61="5日線押し目○")),"◎押し目買い",IF(T61&gt;=10,"○買い候補",IF(T61&gt;=6,"△注目",IF(T61&gt;=3,"様子見","見送り"))))))))</f>
        <v/>
      </c>
      <c r="Z61" s="616">
        <f>IF(AND(E61&lt;&gt;"",G61&lt;&gt;"",G61&lt;&gt;0),(E61-G61)/G61*100,"")</f>
        <v/>
      </c>
      <c r="AA61" s="176">
        <f>IF(OR(C61="",E61="",E61=0),"",IF(E61&gt;G61,"上昇▲",IF(E61&lt;G61,"下落▼","横ばい→")))</f>
        <v/>
      </c>
      <c r="AB61" s="440">
        <f>IF(C61="","",IFERROR(((終値!E63*0.333)+(終値!F63*0.222)+(終値!G63*0.148)+(終値!H63*0.099)+(終値!I63*0.066)+(終値!J63*0.044)+(終値!K63*0.029)+(終値!L63*0.019)+(終値!M63*0.013)+(終値!N63*0.009))/(0.333+0.222+0.148+0.099+0.066+0.044+0.029+0.019+0.013+0.009),""))</f>
        <v/>
      </c>
      <c r="AC61" s="440">
        <f>IF(C61="","",IFERROR(SUMPRODUCT((終値!E63:AC63)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1" s="441">
        <f>IF(OR(C61="",AB61="",AC61=""),"",IF(AND(E61&gt;AB61,AB61&gt;AC61),"パーフェクト▲",IF(E61&gt;AC61,"上昇トレンド▲",IF(AND(E61&lt;AB61,AB61&lt;AC61),"下降トレンド▼","もみ合い→"))))</f>
        <v/>
      </c>
      <c r="AE61" s="441">
        <f>IF(OR(C61="",AB61="",AC61=""),"",IF(AND(ABS(E61-AC61)/AC61&lt;=0.02,E61&gt;AC61),"25日押し目★",IF(AND(ABS(E61-AB61)/AB61&lt;=0.01,E61&gt;AB61),"5日押し目○","なし")))</f>
        <v/>
      </c>
      <c r="AF61" s="617">
        <f t="array" ref="AF61">IF(C61="","",IFERROR((INDEX(終値!$E:$E,MATCH(TEXT(C61,"0"),終値!$A:$A,0))-INDEX(終値!$E:$BL,MATCH(TEXT(C61,"0"),終値!$A:$A,0),$AL$2))/INDEX(終値!$E:$BL,MATCH(TEXT(C61,"0"),終値!$A:$A,0),$AL$2)*100,""))</f>
        <v/>
      </c>
      <c r="AG61" s="617">
        <f t="array" ref="AG61">IFERROR((終値!$E$5-INDEX(終値!$E$5:$BL$5,1,$AL$2))/INDEX(終値!$E$5:$BL$5,1,$AL$2)*100,"")</f>
        <v/>
      </c>
      <c r="AH61" s="618">
        <f>IF(OR(AF61="",AG61=""),"",AF61-AG61)</f>
        <v/>
      </c>
      <c r="AI61" s="385">
        <f>IF(AH61="","",IF(AH61&gt;5,3,IF(AH61&gt;0,1,IF(AH61&gt;-3,-1,-2))))</f>
        <v/>
      </c>
    </row>
    <row r="62" ht="18" customFormat="1" customHeight="1" s="187">
      <c r="A62" s="176">
        <f>IF(銘柄管理!B14&lt;&gt;"",HYPERLINK("https://kabutan.jp/stock/?code="&amp;銘柄管理!B14,"株探"),"")</f>
        <v/>
      </c>
      <c r="B62" s="177" t="n"/>
      <c r="C62" s="178">
        <f>IF(銘柄管理!B14="","",銘柄管理!B14)</f>
        <v/>
      </c>
      <c r="D62" s="106">
        <f>IF(銘柄管理!C14="","",銘柄管理!C14)</f>
        <v/>
      </c>
      <c r="E62" s="179">
        <f>IF(C62&lt;&gt;"",_xll.RssMarket(C62,"現在値"),"")</f>
        <v/>
      </c>
      <c r="F62" s="179">
        <f>IF(C62&lt;&gt;"",_xll.RssMarket(C62,"始値"),"")</f>
        <v/>
      </c>
      <c r="G62" s="178">
        <f>IF(C62&lt;&gt;"",終値!F14,"")</f>
        <v/>
      </c>
      <c r="H62" s="179">
        <f>IF(C62&lt;&gt;"",_xll.RssMarket(C62,"高値"),"")</f>
        <v/>
      </c>
      <c r="I62" s="179">
        <f>IF(C62&lt;&gt;"",_xll.RssMarket(C62,"安値"),"")</f>
        <v/>
      </c>
      <c r="J62" s="179">
        <f>IF(C62&lt;&gt;"",_xll.RssMarket(C62,"出来高"),"")</f>
        <v/>
      </c>
      <c r="K62" s="179">
        <f>IF(C62&lt;&gt;"",_xll.RssMarket(C62,"年初来高値"),"")</f>
        <v/>
      </c>
      <c r="L62" s="613">
        <f>IF(AND(E62&lt;&gt;"",K62&lt;&gt;"",K62&lt;&gt;0),(E62-K62)/K62*100,"")</f>
        <v/>
      </c>
      <c r="M62" s="179">
        <f>IF(C62&lt;&gt;"",IFERROR(AVERAGE(出来高!E14:I14),""),"")</f>
        <v/>
      </c>
      <c r="N62" s="179">
        <f>IF(C62&lt;&gt;"",IFERROR(AVERAGE(出来高!E14:AC14),""),"")</f>
        <v/>
      </c>
      <c r="O62" s="614">
        <f>IF(AND(J62&lt;&gt;"",M62&lt;&gt;"",M62&lt;&gt;0),J62/M62,"")</f>
        <v/>
      </c>
      <c r="P62" s="176">
        <f>IF(O62="","",IF(O62&gt;=2,"急増↑↑",IF(O62&gt;=1.5,"増加↑",IF(O62&gt;=1,"普通→","減少↓"))))</f>
        <v/>
      </c>
      <c r="Q62" s="176">
        <f>IF(E62="","",IF(AND(E62&gt;G62,O62&gt;=1.5),"買い▲",IF(E62&lt;G62,"様子見▼","中立→")))</f>
        <v/>
      </c>
      <c r="R62" s="179">
        <f>IF(E62&lt;&gt;"",ROUND(E62*1.08,0),"")</f>
        <v/>
      </c>
      <c r="S62" s="179">
        <f>IF(E62&lt;&gt;"",ROUND(E62*0.96,0),"")</f>
        <v/>
      </c>
      <c r="T62" s="176">
        <f>IF(C62="","",IFERROR(IF(O62&gt;=2,3,IF(O62&gt;=1.5,2,IF(O62&gt;=1,1,0)))+IF(E62&gt;G62,1,0)+IF(L62&gt;=-5,1,0)+IF(Q62="買い▲",2,0)+IF(W62&lt;=30,3,IF(W62&lt;=40,2,IF(AND(W62&gt;=40,W62&lt;=60),1,0)))+IF(X62&gt;0,1,0)+IF(V62="年初来高値更新●",3,IF(V62="高値圏",2,0))+IF(AD62="パーフェクト▲",3,IF(AD62="上昇トレンド▲",2,0))+IF(AE62="25日線押し目●",2,IF(AE62="5日線押し目○",1,0))+IF(P62="急増↑↑",2,IF(P62="増加↑",1,0))+N(AI62),0))</f>
        <v/>
      </c>
      <c r="U62" s="176">
        <f>IF(T62="","",IF(AND(T62&gt;=3,O62&gt;=1.5),"有効",IF(T62&gt;=3,"要確認","除外")))</f>
        <v/>
      </c>
      <c r="V62" s="176">
        <f>IF(AND(H62&lt;&gt;"",K62&lt;&gt;""),IF(H62&gt;=K62,"年初来高値更新●",IF(H62&gt;=K62*0.95,"高値圏","通常")),"")</f>
        <v/>
      </c>
      <c r="W62" s="615">
        <f t="array" ref="W62">IF(C62&lt;&gt;"",IFERROR(100-100/(1+SUMPRODUCT((終値!F14:R14&gt;終値!G14:S14)*( 終値!F14:R14-終値!G14:S14))/SUMPRODUCT((終値!F14:R14&lt;終値!G14:S14)*(終値!G14:S14-終値!F14:R14))),50),"")</f>
        <v/>
      </c>
      <c r="X62" s="183">
        <f>IF(C62&lt;&gt;"",IFERROR(SUMPRODUCT(終値!E14:P14,{0.154,0.132,0.113,0.097,0.083,0.071,0.061,0.052,0.045,0.038,0.033,0.028})/SUMPRODUCT({0.154,0.132,0.113,0.097,0.083,0.071,0.061,0.052,0.045,0.038,0.033,0.028})-SUMPRODUCT(終値!E14:AD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2" s="570">
        <f>IF(T62="","",IF(銘柄管理!$F$5="下落▼",IF(AND(AD62="パーフェクト▲",OR(AE62="25日線押し目●",AE62="5日線押し目○")),"★逆張り候補",IF(AND(AD62="上昇トレンド▲",OR(AE62="25日線押し目●",AE62="5日線押し目○")),"○逆張り候補",IF(W62&lt;=30,IF(Z62&gt;0,"◎反発確認",IF(Z62&lt;-5,"△要注意・様子見","△売られ過ぎ注目")),"相場下落・見送り"))),IF(AND(T62&gt;=12,AD62="パーフェクト▲"),"★強い買い",IF(AND(T62&gt;=12,AD62="上昇トレンド▲"),"★強い買い",IF(AND(T62&gt;=8,OR(AE62="25日線押し目●",AE62="5日線押し目○")),"◎押し目買い",IF(T62&gt;=10,"○買い候補",IF(T62&gt;=6,"△注目",IF(T62&gt;=3,"様子見","見送り"))))))))</f>
        <v/>
      </c>
      <c r="Z62" s="616">
        <f>IF(AND(E62&lt;&gt;"",G62&lt;&gt;"",G62&lt;&gt;0),(E62-G62)/G62*100,"")</f>
        <v/>
      </c>
      <c r="AA62" s="176">
        <f>IF(OR(C62="",E62="",E62=0),"",IF(E62&gt;G62,"上昇▲",IF(E62&lt;G62,"下落▼","横ばい→")))</f>
        <v/>
      </c>
      <c r="AB62" s="438">
        <f>IF(C62="","",IFERROR(((終値!E64*0.333)+(終値!F64*0.222)+(終値!G64*0.148)+(終値!H64*0.099)+(終値!I64*0.066)+(終値!J64*0.044)+(終値!K64*0.029)+(終値!L64*0.019)+(終値!M64*0.013)+(終値!N64*0.009))/(0.333+0.222+0.148+0.099+0.066+0.044+0.029+0.019+0.013+0.009),""))</f>
        <v/>
      </c>
      <c r="AC62" s="438">
        <f>IF(C62="","",IFERROR(SUMPRODUCT((終値!E64:AC64)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2" s="439">
        <f>IF(OR(C62="",AB62="",AC62=""),"",IF(AND(E62&gt;AB62,AB62&gt;AC62),"パーフェクト▲",IF(E62&gt;AC62,"上昇トレンド▲",IF(AND(E62&lt;AB62,AB62&lt;AC62),"下降トレンド▼","もみ合い→"))))</f>
        <v/>
      </c>
      <c r="AE62" s="439">
        <f>IF(OR(C62="",AB62="",AC62=""),"",IF(AND(ABS(E62-AC62)/AC62&lt;=0.02,E62&gt;AC62),"25日押し目★",IF(AND(ABS(E62-AB62)/AB62&lt;=0.01,E62&gt;AB62),"5日押し目○","なし")))</f>
        <v/>
      </c>
      <c r="AF62" s="617">
        <f t="array" ref="AF62">IF(C62="","",IFERROR((INDEX(終値!$E:$E,MATCH(TEXT(C62,"0"),終値!$A:$A,0))-INDEX(終値!$E:$BL,MATCH(TEXT(C62,"0"),終値!$A:$A,0),$AL$2))/INDEX(終値!$E:$BL,MATCH(TEXT(C62,"0"),終値!$A:$A,0),$AL$2)*100,""))</f>
        <v/>
      </c>
      <c r="AG62" s="617">
        <f t="array" ref="AG62">IFERROR((終値!$E$5-INDEX(終値!$E$5:$BL$5,1,$AL$2))/INDEX(終値!$E$5:$BL$5,1,$AL$2)*100,"")</f>
        <v/>
      </c>
      <c r="AH62" s="618">
        <f>IF(OR(AF62="",AG62=""),"",AF62-AG62)</f>
        <v/>
      </c>
      <c r="AI62" s="385">
        <f>IF(AH62="","",IF(AH62&gt;5,3,IF(AH62&gt;0,1,IF(AH62&gt;-3,-1,-2))))</f>
        <v/>
      </c>
    </row>
    <row r="63" ht="18" customFormat="1" customHeight="1" s="187">
      <c r="A63" s="176">
        <f>IF(銘柄管理!B171&lt;&gt;"",HYPERLINK("https://kabutan.jp/stock/?code="&amp;銘柄管理!B171,"株探"),"")</f>
        <v/>
      </c>
      <c r="B63" s="177" t="n"/>
      <c r="C63" s="178">
        <f>IF(銘柄管理!B171="","",銘柄管理!B171)</f>
        <v/>
      </c>
      <c r="D63" s="106">
        <f>IF(銘柄管理!C171="","",銘柄管理!C171)</f>
        <v/>
      </c>
      <c r="E63" s="179">
        <f>IF(C63&lt;&gt;"",_xll.RssMarket(C63,"現在値"),"")</f>
        <v/>
      </c>
      <c r="F63" s="179">
        <f>IF(C63&lt;&gt;"",_xll.RssMarket(C63,"始値"),"")</f>
        <v/>
      </c>
      <c r="G63" s="178">
        <f>IF(C63&lt;&gt;"",終値!F171,"")</f>
        <v/>
      </c>
      <c r="H63" s="179">
        <f>IF(C63&lt;&gt;"",_xll.RssMarket(C63,"高値"),"")</f>
        <v/>
      </c>
      <c r="I63" s="179">
        <f>IF(C63&lt;&gt;"",_xll.RssMarket(C63,"安値"),"")</f>
        <v/>
      </c>
      <c r="J63" s="179">
        <f>IF(C63&lt;&gt;"",_xll.RssMarket(C63,"出来高"),"")</f>
        <v/>
      </c>
      <c r="K63" s="179">
        <f>IF(C63&lt;&gt;"",_xll.RssMarket(C63,"年初来高値"),"")</f>
        <v/>
      </c>
      <c r="L63" s="613">
        <f>IF(AND(E63&lt;&gt;"",K63&lt;&gt;"",K63&lt;&gt;0),(E63-K63)/K63*100,"")</f>
        <v/>
      </c>
      <c r="M63" s="179">
        <f>IF(C63&lt;&gt;"",IFERROR(AVERAGE(出来高!E171:I171),""),"")</f>
        <v/>
      </c>
      <c r="N63" s="179">
        <f>IF(C63&lt;&gt;"",IFERROR(AVERAGE(出来高!E171:AC171),""),"")</f>
        <v/>
      </c>
      <c r="O63" s="614">
        <f>IF(AND(J63&lt;&gt;"",M63&lt;&gt;"",M63&lt;&gt;0),J63/M63,"")</f>
        <v/>
      </c>
      <c r="P63" s="176">
        <f>IF(O63="","",IF(O63&gt;=2,"急増↑↑",IF(O63&gt;=1.5,"増加↑",IF(O63&gt;=1,"普通→","減少↓"))))</f>
        <v/>
      </c>
      <c r="Q63" s="176">
        <f>IF(E63="","",IF(AND(E63&gt;G63,O63&gt;=1.5),"買い▲",IF(E63&lt;G63,"様子見▼","中立→")))</f>
        <v/>
      </c>
      <c r="R63" s="179">
        <f>IF(E63&lt;&gt;"",ROUND(E63*1.08,0),"")</f>
        <v/>
      </c>
      <c r="S63" s="179">
        <f>IF(E63&lt;&gt;"",ROUND(E63*0.96,0),"")</f>
        <v/>
      </c>
      <c r="T63" s="176">
        <f>IF(C63="","",IFERROR(IF(O63&gt;=2,3,IF(O63&gt;=1.5,2,IF(O63&gt;=1,1,0)))+IF(E63&gt;G63,1,0)+IF(L63&gt;=-5,1,0)+IF(Q63="買い▲",2,0)+IF(W63&lt;=30,3,IF(W63&lt;=40,2,IF(AND(W63&gt;=40,W63&lt;=60),1,0)))+IF(X63&gt;0,1,0)+IF(V63="年初来高値更新●",3,IF(V63="高値圏",2,0))+IF(AD63="パーフェクト▲",3,IF(AD63="上昇トレンド▲",2,0))+IF(AE63="25日線押し目●",2,IF(AE63="5日線押し目○",1,0))+IF(P63="急増↑↑",2,IF(P63="増加↑",1,0))+N(AI63),0))</f>
        <v/>
      </c>
      <c r="U63" s="176">
        <f>IF(T63="","",IF(AND(T63&gt;=3,O63&gt;=1.5),"有効",IF(T63&gt;=3,"要確認","除外")))</f>
        <v/>
      </c>
      <c r="V63" s="176">
        <f>IF(AND(H63&lt;&gt;"",K63&lt;&gt;""),IF(H63&gt;=K63,"年初来高値更新●",IF(H63&gt;=K63*0.95,"高値圏","通常")),"")</f>
        <v/>
      </c>
      <c r="W63" s="615">
        <f t="array" ref="W63">IF(C63&lt;&gt;"",IFERROR(100-100/(1+SUMPRODUCT((終値!F171:R171&gt;終値!G171:S171)*( 終値!F171:R171-終値!G171:S171))/SUMPRODUCT((終値!F171:R171&lt;終値!G171:S171)*(終値!G171:S171-終値!F171:R171))),50),"")</f>
        <v/>
      </c>
      <c r="X63" s="183">
        <f>IF(C63&lt;&gt;"",IFERROR(SUMPRODUCT(終値!E171:P171,{0.154,0.132,0.113,0.097,0.083,0.071,0.061,0.052,0.045,0.038,0.033,0.028})/SUMPRODUCT({0.154,0.132,0.113,0.097,0.083,0.071,0.061,0.052,0.045,0.038,0.033,0.028})-SUMPRODUCT(終値!E171:AD171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3" s="570">
        <f>IF(T63="","",IF(銘柄管理!$F$5="下落▼",IF(AND(AD63="パーフェクト▲",OR(AE63="25日線押し目●",AE63="5日線押し目○")),"★逆張り候補",IF(AND(AD63="上昇トレンド▲",OR(AE63="25日線押し目●",AE63="5日線押し目○")),"○逆張り候補",IF(W63&lt;=30,IF(Z63&gt;0,"◎反発確認",IF(Z63&lt;-5,"△要注意・様子見","△売られ過ぎ注目")),"相場下落・見送り"))),IF(AND(T63&gt;=12,AD63="パーフェクト▲"),"★強い買い",IF(AND(T63&gt;=12,AD63="上昇トレンド▲"),"★強い買い",IF(AND(T63&gt;=8,OR(AE63="25日線押し目●",AE63="5日線押し目○")),"◎押し目買い",IF(T63&gt;=10,"○買い候補",IF(T63&gt;=6,"△注目",IF(T63&gt;=3,"様子見","見送り"))))))))</f>
        <v/>
      </c>
      <c r="Z63" s="616">
        <f>IF(AND(E63&lt;&gt;"",G63&lt;&gt;"",G63&lt;&gt;0),(E63-G63)/G63*100,"")</f>
        <v/>
      </c>
      <c r="AA63" s="176">
        <f>IF(OR(C63="",E63="",E63=0),"",IF(E63&gt;G63,"上昇▲",IF(E63&lt;G63,"下落▼","横ばい→")))</f>
        <v/>
      </c>
      <c r="AB63" s="440">
        <f>IF(C63="","",IFERROR(((終値!E65*0.333)+(終値!F65*0.222)+(終値!G65*0.148)+(終値!H65*0.099)+(終値!I65*0.066)+(終値!J65*0.044)+(終値!K65*0.029)+(終値!L65*0.019)+(終値!M65*0.013)+(終値!N65*0.009))/(0.333+0.222+0.148+0.099+0.066+0.044+0.029+0.019+0.013+0.009),""))</f>
        <v/>
      </c>
      <c r="AC63" s="440">
        <f>IF(C63="","",IFERROR(SUMPRODUCT((終値!E65:AC65)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3" s="441">
        <f>IF(OR(C63="",AB63="",AC63=""),"",IF(AND(E63&gt;AB63,AB63&gt;AC63),"パーフェクト▲",IF(E63&gt;AC63,"上昇トレンド▲",IF(AND(E63&lt;AB63,AB63&lt;AC63),"下降トレンド▼","もみ合い→"))))</f>
        <v/>
      </c>
      <c r="AE63" s="441">
        <f>IF(OR(C63="",AB63="",AC63=""),"",IF(AND(ABS(E63-AC63)/AC63&lt;=0.02,E63&gt;AC63),"25日押し目★",IF(AND(ABS(E63-AB63)/AB63&lt;=0.01,E63&gt;AB63),"5日押し目○","なし")))</f>
        <v/>
      </c>
      <c r="AF63" s="617">
        <f t="array" ref="AF63">IF(C63="","",IFERROR((INDEX(終値!$E:$E,MATCH(TEXT(C63,"0"),終値!$A:$A,0))-INDEX(終値!$E:$BL,MATCH(TEXT(C63,"0"),終値!$A:$A,0),$AL$2))/INDEX(終値!$E:$BL,MATCH(TEXT(C63,"0"),終値!$A:$A,0),$AL$2)*100,""))</f>
        <v/>
      </c>
      <c r="AG63" s="617">
        <f t="array" ref="AG63">IFERROR((終値!$E$5-INDEX(終値!$E$5:$BL$5,1,$AL$2))/INDEX(終値!$E$5:$BL$5,1,$AL$2)*100,"")</f>
        <v/>
      </c>
      <c r="AH63" s="618">
        <f>IF(OR(AF63="",AG63=""),"",AF63-AG63)</f>
        <v/>
      </c>
      <c r="AI63" s="385">
        <f>IF(AH63="","",IF(AH63&gt;5,3,IF(AH63&gt;0,1,IF(AH63&gt;-3,-1,-2))))</f>
        <v/>
      </c>
    </row>
    <row r="64" ht="18" customFormat="1" customHeight="1" s="187">
      <c r="A64" s="176">
        <f>IF(銘柄管理!B75&lt;&gt;"",HYPERLINK("https://kabutan.jp/stock/?code="&amp;銘柄管理!B75,"株探"),"")</f>
        <v/>
      </c>
      <c r="B64" s="177" t="n"/>
      <c r="C64" s="178">
        <f>IF(銘柄管理!B75="","",銘柄管理!B75)</f>
        <v/>
      </c>
      <c r="D64" s="106">
        <f>IF(銘柄管理!C75="","",銘柄管理!C75)</f>
        <v/>
      </c>
      <c r="E64" s="179">
        <f>IF(C64&lt;&gt;"",_xll.RssMarket(C64,"現在値"),"")</f>
        <v/>
      </c>
      <c r="F64" s="179">
        <f>IF(C64&lt;&gt;"",_xll.RssMarket(C64,"始値"),"")</f>
        <v/>
      </c>
      <c r="G64" s="178">
        <f>IF(C64&lt;&gt;"",終値!F75,"")</f>
        <v/>
      </c>
      <c r="H64" s="179">
        <f>IF(C64&lt;&gt;"",_xll.RssMarket(C64,"高値"),"")</f>
        <v/>
      </c>
      <c r="I64" s="179">
        <f>IF(C64&lt;&gt;"",_xll.RssMarket(C64,"安値"),"")</f>
        <v/>
      </c>
      <c r="J64" s="179">
        <f>IF(C64&lt;&gt;"",_xll.RssMarket(C64,"出来高"),"")</f>
        <v/>
      </c>
      <c r="K64" s="179">
        <f>IF(C64&lt;&gt;"",_xll.RssMarket(C64,"年初来高値"),"")</f>
        <v/>
      </c>
      <c r="L64" s="613">
        <f>IF(AND(E64&lt;&gt;"",K64&lt;&gt;"",K64&lt;&gt;0),(E64-K64)/K64*100,"")</f>
        <v/>
      </c>
      <c r="M64" s="179">
        <f>IF(C64&lt;&gt;"",IFERROR(AVERAGE(出来高!E75:I75),""),"")</f>
        <v/>
      </c>
      <c r="N64" s="179">
        <f>IF(C64&lt;&gt;"",IFERROR(AVERAGE(出来高!E75:AC75),""),"")</f>
        <v/>
      </c>
      <c r="O64" s="614">
        <f>IF(AND(J64&lt;&gt;"",M64&lt;&gt;"",M64&lt;&gt;0),J64/M64,"")</f>
        <v/>
      </c>
      <c r="P64" s="176">
        <f>IF(O64="","",IF(O64&gt;=2,"急増↑↑",IF(O64&gt;=1.5,"増加↑",IF(O64&gt;=1,"普通→","減少↓"))))</f>
        <v/>
      </c>
      <c r="Q64" s="176">
        <f>IF(E64="","",IF(AND(E64&gt;G64,O64&gt;=1.5),"買い▲",IF(E64&lt;G64,"様子見▼","中立→")))</f>
        <v/>
      </c>
      <c r="R64" s="179">
        <f>IF(E64&lt;&gt;"",ROUND(E64*1.08,0),"")</f>
        <v/>
      </c>
      <c r="S64" s="179">
        <f>IF(E64&lt;&gt;"",ROUND(E64*0.96,0),"")</f>
        <v/>
      </c>
      <c r="T64" s="176">
        <f>IF(C64="","",IFERROR(IF(O64&gt;=2,3,IF(O64&gt;=1.5,2,IF(O64&gt;=1,1,0)))+IF(E64&gt;G64,1,0)+IF(L64&gt;=-5,1,0)+IF(Q64="買い▲",2,0)+IF(W64&lt;=30,3,IF(W64&lt;=40,2,IF(AND(W64&gt;=40,W64&lt;=60),1,0)))+IF(X64&gt;0,1,0)+IF(V64="年初来高値更新●",3,IF(V64="高値圏",2,0))+IF(AD64="パーフェクト▲",3,IF(AD64="上昇トレンド▲",2,0))+IF(AE64="25日線押し目●",2,IF(AE64="5日線押し目○",1,0))+IF(P64="急増↑↑",2,IF(P64="増加↑",1,0))+N(AI64),0))</f>
        <v/>
      </c>
      <c r="U64" s="176">
        <f>IF(T64="","",IF(AND(T64&gt;=3,O64&gt;=1.5),"有効",IF(T64&gt;=3,"要確認","除外")))</f>
        <v/>
      </c>
      <c r="V64" s="176">
        <f>IF(AND(H64&lt;&gt;"",K64&lt;&gt;""),IF(H64&gt;=K64,"年初来高値更新●",IF(H64&gt;=K64*0.95,"高値圏","通常")),"")</f>
        <v/>
      </c>
      <c r="W64" s="615">
        <f t="array" ref="W64">IF(C64&lt;&gt;"",IFERROR(100-100/(1+SUMPRODUCT((終値!F75:R75&gt;終値!G75:S75)*( 終値!F75:R75-終値!G75:S75))/SUMPRODUCT((終値!F75:R75&lt;終値!G75:S75)*(終値!G75:S75-終値!F75:R75))),50),"")</f>
        <v/>
      </c>
      <c r="X64" s="183">
        <f>IF(C64&lt;&gt;"",IFERROR(SUMPRODUCT(終値!E75:P75,{0.154,0.132,0.113,0.097,0.083,0.071,0.061,0.052,0.045,0.038,0.033,0.028})/SUMPRODUCT({0.154,0.132,0.113,0.097,0.083,0.071,0.061,0.052,0.045,0.038,0.033,0.028})-SUMPRODUCT(終値!E75:AD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4" s="570">
        <f>IF(T64="","",IF(銘柄管理!$F$5="下落▼",IF(AND(AD64="パーフェクト▲",OR(AE64="25日線押し目●",AE64="5日線押し目○")),"★逆張り候補",IF(AND(AD64="上昇トレンド▲",OR(AE64="25日線押し目●",AE64="5日線押し目○")),"○逆張り候補",IF(W64&lt;=30,IF(Z64&gt;0,"◎反発確認",IF(Z64&lt;-5,"△要注意・様子見","△売られ過ぎ注目")),"相場下落・見送り"))),IF(AND(T64&gt;=12,AD64="パーフェクト▲"),"★強い買い",IF(AND(T64&gt;=12,AD64="上昇トレンド▲"),"★強い買い",IF(AND(T64&gt;=8,OR(AE64="25日線押し目●",AE64="5日線押し目○")),"◎押し目買い",IF(T64&gt;=10,"○買い候補",IF(T64&gt;=6,"△注目",IF(T64&gt;=3,"様子見","見送り"))))))))</f>
        <v/>
      </c>
      <c r="Z64" s="616">
        <f>IF(AND(E64&lt;&gt;"",G64&lt;&gt;"",G64&lt;&gt;0),(E64-G64)/G64*100,"")</f>
        <v/>
      </c>
      <c r="AA64" s="176">
        <f>IF(OR(C64="",E64="",E64=0),"",IF(E64&gt;G64,"上昇▲",IF(E64&lt;G64,"下落▼","横ばい→")))</f>
        <v/>
      </c>
      <c r="AB64" s="438">
        <f>IF(C64="","",IFERROR(((終値!E66*0.333)+(終値!F66*0.222)+(終値!G66*0.148)+(終値!H66*0.099)+(終値!I66*0.066)+(終値!J66*0.044)+(終値!K66*0.029)+(終値!L66*0.019)+(終値!M66*0.013)+(終値!N66*0.009))/(0.333+0.222+0.148+0.099+0.066+0.044+0.029+0.019+0.013+0.009),""))</f>
        <v/>
      </c>
      <c r="AC64" s="438">
        <f>IF(C64="","",IFERROR(SUMPRODUCT((終値!E66:AC66)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4" s="439">
        <f>IF(OR(C64="",AB64="",AC64=""),"",IF(AND(E64&gt;AB64,AB64&gt;AC64),"パーフェクト▲",IF(E64&gt;AC64,"上昇トレンド▲",IF(AND(E64&lt;AB64,AB64&lt;AC64),"下降トレンド▼","もみ合い→"))))</f>
        <v/>
      </c>
      <c r="AE64" s="439">
        <f>IF(OR(C64="",AB64="",AC64=""),"",IF(AND(ABS(E64-AC64)/AC64&lt;=0.02,E64&gt;AC64),"25日押し目★",IF(AND(ABS(E64-AB64)/AB64&lt;=0.01,E64&gt;AB64),"5日押し目○","なし")))</f>
        <v/>
      </c>
      <c r="AF64" s="617">
        <f t="array" ref="AF64">IF(C64="","",IFERROR((INDEX(終値!$E:$E,MATCH(TEXT(C64,"0"),終値!$A:$A,0))-INDEX(終値!$E:$BL,MATCH(TEXT(C64,"0"),終値!$A:$A,0),$AL$2))/INDEX(終値!$E:$BL,MATCH(TEXT(C64,"0"),終値!$A:$A,0),$AL$2)*100,""))</f>
        <v/>
      </c>
      <c r="AG64" s="617">
        <f t="array" ref="AG64">IFERROR((終値!$E$5-INDEX(終値!$E$5:$BL$5,1,$AL$2))/INDEX(終値!$E$5:$BL$5,1,$AL$2)*100,"")</f>
        <v/>
      </c>
      <c r="AH64" s="618">
        <f>IF(OR(AF64="",AG64=""),"",AF64-AG64)</f>
        <v/>
      </c>
      <c r="AI64" s="385">
        <f>IF(AH64="","",IF(AH64&gt;5,3,IF(AH64&gt;0,1,IF(AH64&gt;-3,-1,-2))))</f>
        <v/>
      </c>
    </row>
    <row r="65" ht="18" customFormat="1" customHeight="1" s="187">
      <c r="A65" s="176">
        <f>IF(銘柄管理!B73&lt;&gt;"",HYPERLINK("https://kabutan.jp/stock/?code="&amp;銘柄管理!B73,"株探"),"")</f>
        <v/>
      </c>
      <c r="B65" s="177" t="n"/>
      <c r="C65" s="178">
        <f>IF(銘柄管理!B73="","",銘柄管理!B73)</f>
        <v/>
      </c>
      <c r="D65" s="106">
        <f>IF(銘柄管理!C73="","",銘柄管理!C73)</f>
        <v/>
      </c>
      <c r="E65" s="179">
        <f>IF(C65&lt;&gt;"",_xll.RssMarket(C65,"現在値"),"")</f>
        <v/>
      </c>
      <c r="F65" s="179">
        <f>IF(C65&lt;&gt;"",_xll.RssMarket(C65,"始値"),"")</f>
        <v/>
      </c>
      <c r="G65" s="178">
        <f>IF(C65&lt;&gt;"",終値!F73,"")</f>
        <v/>
      </c>
      <c r="H65" s="179">
        <f>IF(C65&lt;&gt;"",_xll.RssMarket(C65,"高値"),"")</f>
        <v/>
      </c>
      <c r="I65" s="179">
        <f>IF(C65&lt;&gt;"",_xll.RssMarket(C65,"安値"),"")</f>
        <v/>
      </c>
      <c r="J65" s="179">
        <f>IF(C65&lt;&gt;"",_xll.RssMarket(C65,"出来高"),"")</f>
        <v/>
      </c>
      <c r="K65" s="179">
        <f>IF(C65&lt;&gt;"",_xll.RssMarket(C65,"年初来高値"),"")</f>
        <v/>
      </c>
      <c r="L65" s="613">
        <f>IF(AND(E65&lt;&gt;"",K65&lt;&gt;"",K65&lt;&gt;0),(E65-K65)/K65*100,"")</f>
        <v/>
      </c>
      <c r="M65" s="179">
        <f>IF(C65&lt;&gt;"",IFERROR(AVERAGE(出来高!E73:I73),""),"")</f>
        <v/>
      </c>
      <c r="N65" s="179">
        <f>IF(C65&lt;&gt;"",IFERROR(AVERAGE(出来高!E73:AC73),""),"")</f>
        <v/>
      </c>
      <c r="O65" s="614">
        <f>IF(AND(J65&lt;&gt;"",M65&lt;&gt;"",M65&lt;&gt;0),J65/M65,"")</f>
        <v/>
      </c>
      <c r="P65" s="176">
        <f>IF(O65="","",IF(O65&gt;=2,"急増↑↑",IF(O65&gt;=1.5,"増加↑",IF(O65&gt;=1,"普通→","減少↓"))))</f>
        <v/>
      </c>
      <c r="Q65" s="176">
        <f>IF(E65="","",IF(AND(E65&gt;G65,O65&gt;=1.5),"買い▲",IF(E65&lt;G65,"様子見▼","中立→")))</f>
        <v/>
      </c>
      <c r="R65" s="179">
        <f>IF(E65&lt;&gt;"",ROUND(E65*1.08,0),"")</f>
        <v/>
      </c>
      <c r="S65" s="179">
        <f>IF(E65&lt;&gt;"",ROUND(E65*0.96,0),"")</f>
        <v/>
      </c>
      <c r="T65" s="176">
        <f>IF(C65="","",IFERROR(IF(O65&gt;=2,3,IF(O65&gt;=1.5,2,IF(O65&gt;=1,1,0)))+IF(E65&gt;G65,1,0)+IF(L65&gt;=-5,1,0)+IF(Q65="買い▲",2,0)+IF(W65&lt;=30,3,IF(W65&lt;=40,2,IF(AND(W65&gt;=40,W65&lt;=60),1,0)))+IF(X65&gt;0,1,0)+IF(V65="年初来高値更新●",3,IF(V65="高値圏",2,0))+IF(AD65="パーフェクト▲",3,IF(AD65="上昇トレンド▲",2,0))+IF(AE65="25日線押し目●",2,IF(AE65="5日線押し目○",1,0))+IF(P65="急増↑↑",2,IF(P65="増加↑",1,0))+N(AI65),0))</f>
        <v/>
      </c>
      <c r="U65" s="176">
        <f>IF(T65="","",IF(AND(T65&gt;=3,O65&gt;=1.5),"有効",IF(T65&gt;=3,"要確認","除外")))</f>
        <v/>
      </c>
      <c r="V65" s="176">
        <f>IF(AND(H65&lt;&gt;"",K65&lt;&gt;""),IF(H65&gt;=K65,"年初来高値更新●",IF(H65&gt;=K65*0.95,"高値圏","通常")),"")</f>
        <v/>
      </c>
      <c r="W65" s="615">
        <f t="array" ref="W65">IF(C65&lt;&gt;"",IFERROR(100-100/(1+SUMPRODUCT((終値!F73:R73&gt;終値!G73:S73)*( 終値!F73:R73-終値!G73:S73))/SUMPRODUCT((終値!F73:R73&lt;終値!G73:S73)*(終値!G73:S73-終値!F73:R73))),50),"")</f>
        <v/>
      </c>
      <c r="X65" s="183">
        <f>IF(C65&lt;&gt;"",IFERROR(SUMPRODUCT(終値!E73:P73,{0.154,0.132,0.113,0.097,0.083,0.071,0.061,0.052,0.045,0.038,0.033,0.028})/SUMPRODUCT({0.154,0.132,0.113,0.097,0.083,0.071,0.061,0.052,0.045,0.038,0.033,0.028})-SUMPRODUCT(終値!E73:AD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5" s="570">
        <f>IF(T65="","",IF(銘柄管理!$F$5="下落▼",IF(AND(AD65="パーフェクト▲",OR(AE65="25日線押し目●",AE65="5日線押し目○")),"★逆張り候補",IF(AND(AD65="上昇トレンド▲",OR(AE65="25日線押し目●",AE65="5日線押し目○")),"○逆張り候補",IF(W65&lt;=30,IF(Z65&gt;0,"◎反発確認",IF(Z65&lt;-5,"△要注意・様子見","△売られ過ぎ注目")),"相場下落・見送り"))),IF(AND(T65&gt;=12,AD65="パーフェクト▲"),"★強い買い",IF(AND(T65&gt;=12,AD65="上昇トレンド▲"),"★強い買い",IF(AND(T65&gt;=8,OR(AE65="25日線押し目●",AE65="5日線押し目○")),"◎押し目買い",IF(T65&gt;=10,"○買い候補",IF(T65&gt;=6,"△注目",IF(T65&gt;=3,"様子見","見送り"))))))))</f>
        <v/>
      </c>
      <c r="Z65" s="616">
        <f>IF(AND(E65&lt;&gt;"",G65&lt;&gt;"",G65&lt;&gt;0),(E65-G65)/G65*100,"")</f>
        <v/>
      </c>
      <c r="AA65" s="176">
        <f>IF(OR(C65="",E65="",E65=0),"",IF(E65&gt;G65,"上昇▲",IF(E65&lt;G65,"下落▼","横ばい→")))</f>
        <v/>
      </c>
      <c r="AB65" s="440">
        <f>IF(C65="","",IFERROR(((終値!E67*0.333)+(終値!F67*0.222)+(終値!G67*0.148)+(終値!H67*0.099)+(終値!I67*0.066)+(終値!J67*0.044)+(終値!K67*0.029)+(終値!L67*0.019)+(終値!M67*0.013)+(終値!N67*0.009))/(0.333+0.222+0.148+0.099+0.066+0.044+0.029+0.019+0.013+0.009),""))</f>
        <v/>
      </c>
      <c r="AC65" s="440">
        <f>IF(C65="","",IFERROR(SUMPRODUCT((終値!E67:AC67)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5" s="441">
        <f>IF(OR(C65="",AB65="",AC65=""),"",IF(AND(E65&gt;AB65,AB65&gt;AC65),"パーフェクト▲",IF(E65&gt;AC65,"上昇トレンド▲",IF(AND(E65&lt;AB65,AB65&lt;AC65),"下降トレンド▼","もみ合い→"))))</f>
        <v/>
      </c>
      <c r="AE65" s="441">
        <f>IF(OR(C65="",AB65="",AC65=""),"",IF(AND(ABS(E65-AC65)/AC65&lt;=0.02,E65&gt;AC65),"25日押し目★",IF(AND(ABS(E65-AB65)/AB65&lt;=0.01,E65&gt;AB65),"5日押し目○","なし")))</f>
        <v/>
      </c>
      <c r="AF65" s="617">
        <f t="array" ref="AF65">IF(C65="","",IFERROR((INDEX(終値!$E:$E,MATCH(TEXT(C65,"0"),終値!$A:$A,0))-INDEX(終値!$E:$BL,MATCH(TEXT(C65,"0"),終値!$A:$A,0),$AL$2))/INDEX(終値!$E:$BL,MATCH(TEXT(C65,"0"),終値!$A:$A,0),$AL$2)*100,""))</f>
        <v/>
      </c>
      <c r="AG65" s="617">
        <f t="array" ref="AG65">IFERROR((終値!$E$5-INDEX(終値!$E$5:$BL$5,1,$AL$2))/INDEX(終値!$E$5:$BL$5,1,$AL$2)*100,"")</f>
        <v/>
      </c>
      <c r="AH65" s="618">
        <f>IF(OR(AF65="",AG65=""),"",AF65-AG65)</f>
        <v/>
      </c>
      <c r="AI65" s="385">
        <f>IF(AH65="","",IF(AH65&gt;5,3,IF(AH65&gt;0,1,IF(AH65&gt;-3,-1,-2))))</f>
        <v/>
      </c>
    </row>
    <row r="66" ht="18" customFormat="1" customHeight="1" s="187">
      <c r="A66" s="176">
        <f>IF(銘柄管理!B136&lt;&gt;"",HYPERLINK("https://kabutan.jp/stock/?code="&amp;銘柄管理!B136,"株探"),"")</f>
        <v/>
      </c>
      <c r="B66" s="177" t="n"/>
      <c r="C66" s="178">
        <f>IF(銘柄管理!B136="","",銘柄管理!B136)</f>
        <v/>
      </c>
      <c r="D66" s="106">
        <f>IF(銘柄管理!C136="","",銘柄管理!C136)</f>
        <v/>
      </c>
      <c r="E66" s="179">
        <f>IF(C66&lt;&gt;"",_xll.RssMarket(C66,"現在値"),"")</f>
        <v/>
      </c>
      <c r="F66" s="179">
        <f>IF(C66&lt;&gt;"",_xll.RssMarket(C66,"始値"),"")</f>
        <v/>
      </c>
      <c r="G66" s="178">
        <f>IF(C66&lt;&gt;"",終値!F136,"")</f>
        <v/>
      </c>
      <c r="H66" s="179">
        <f>IF(C66&lt;&gt;"",_xll.RssMarket(C66,"高値"),"")</f>
        <v/>
      </c>
      <c r="I66" s="179">
        <f>IF(C66&lt;&gt;"",_xll.RssMarket(C66,"安値"),"")</f>
        <v/>
      </c>
      <c r="J66" s="179">
        <f>IF(C66&lt;&gt;"",_xll.RssMarket(C66,"出来高"),"")</f>
        <v/>
      </c>
      <c r="K66" s="179">
        <f>IF(C66&lt;&gt;"",_xll.RssMarket(C66,"年初来高値"),"")</f>
        <v/>
      </c>
      <c r="L66" s="613">
        <f>IF(AND(E66&lt;&gt;"",K66&lt;&gt;"",K66&lt;&gt;0),(E66-K66)/K66*100,"")</f>
        <v/>
      </c>
      <c r="M66" s="179">
        <f>IF(C66&lt;&gt;"",IFERROR(AVERAGE(出来高!E136:I136),""),"")</f>
        <v/>
      </c>
      <c r="N66" s="179">
        <f>IF(C66&lt;&gt;"",IFERROR(AVERAGE(出来高!E136:AC136),""),"")</f>
        <v/>
      </c>
      <c r="O66" s="614">
        <f>IF(AND(J66&lt;&gt;"",M66&lt;&gt;"",M66&lt;&gt;0),J66/M66,"")</f>
        <v/>
      </c>
      <c r="P66" s="176">
        <f>IF(O66="","",IF(O66&gt;=2,"急増↑↑",IF(O66&gt;=1.5,"増加↑",IF(O66&gt;=1,"普通→","減少↓"))))</f>
        <v/>
      </c>
      <c r="Q66" s="176">
        <f>IF(E66="","",IF(AND(E66&gt;G66,O66&gt;=1.5),"買い▲",IF(E66&lt;G66,"様子見▼","中立→")))</f>
        <v/>
      </c>
      <c r="R66" s="179">
        <f>IF(E66&lt;&gt;"",ROUND(E66*1.08,0),"")</f>
        <v/>
      </c>
      <c r="S66" s="179">
        <f>IF(E66&lt;&gt;"",ROUND(E66*0.96,0),"")</f>
        <v/>
      </c>
      <c r="T66" s="176">
        <f>IF(C66="","",IFERROR(IF(O66&gt;=2,3,IF(O66&gt;=1.5,2,IF(O66&gt;=1,1,0)))+IF(E66&gt;G66,1,0)+IF(L66&gt;=-5,1,0)+IF(Q66="買い▲",2,0)+IF(W66&lt;=30,3,IF(W66&lt;=40,2,IF(AND(W66&gt;=40,W66&lt;=60),1,0)))+IF(X66&gt;0,1,0)+IF(V66="年初来高値更新●",3,IF(V66="高値圏",2,0))+IF(AD66="パーフェクト▲",3,IF(AD66="上昇トレンド▲",2,0))+IF(AE66="25日線押し目●",2,IF(AE66="5日線押し目○",1,0))+IF(P66="急増↑↑",2,IF(P66="増加↑",1,0))+N(AI66),0))</f>
        <v/>
      </c>
      <c r="U66" s="176">
        <f>IF(T66="","",IF(AND(T66&gt;=3,O66&gt;=1.5),"有効",IF(T66&gt;=3,"要確認","除外")))</f>
        <v/>
      </c>
      <c r="V66" s="176">
        <f>IF(AND(H66&lt;&gt;"",K66&lt;&gt;""),IF(H66&gt;=K66,"年初来高値更新●",IF(H66&gt;=K66*0.95,"高値圏","通常")),"")</f>
        <v/>
      </c>
      <c r="W66" s="615">
        <f t="array" ref="W66">IF(C66&lt;&gt;"",IFERROR(100-100/(1+SUMPRODUCT((終値!F136:R136&gt;終値!G136:S136)*( 終値!F136:R136-終値!G136:S136))/SUMPRODUCT((終値!F136:R136&lt;終値!G136:S136)*(終値!G136:S136-終値!F136:R136))),50),"")</f>
        <v/>
      </c>
      <c r="X66" s="183">
        <f>IF(C66&lt;&gt;"",IFERROR(SUMPRODUCT(終値!E136:P136,{0.154,0.132,0.113,0.097,0.083,0.071,0.061,0.052,0.045,0.038,0.033,0.028})/SUMPRODUCT({0.154,0.132,0.113,0.097,0.083,0.071,0.061,0.052,0.045,0.038,0.033,0.028})-SUMPRODUCT(終値!E136:AD136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6" s="570">
        <f>IF(T66="","",IF(銘柄管理!$F$5="下落▼",IF(AND(AD66="パーフェクト▲",OR(AE66="25日線押し目●",AE66="5日線押し目○")),"★逆張り候補",IF(AND(AD66="上昇トレンド▲",OR(AE66="25日線押し目●",AE66="5日線押し目○")),"○逆張り候補",IF(W66&lt;=30,IF(Z66&gt;0,"◎反発確認",IF(Z66&lt;-5,"△要注意・様子見","△売られ過ぎ注目")),"相場下落・見送り"))),IF(AND(T66&gt;=12,AD66="パーフェクト▲"),"★強い買い",IF(AND(T66&gt;=12,AD66="上昇トレンド▲"),"★強い買い",IF(AND(T66&gt;=8,OR(AE66="25日線押し目●",AE66="5日線押し目○")),"◎押し目買い",IF(T66&gt;=10,"○買い候補",IF(T66&gt;=6,"△注目",IF(T66&gt;=3,"様子見","見送り"))))))))</f>
        <v/>
      </c>
      <c r="Z66" s="616">
        <f>IF(AND(E66&lt;&gt;"",G66&lt;&gt;"",G66&lt;&gt;0),(E66-G66)/G66*100,"")</f>
        <v/>
      </c>
      <c r="AA66" s="176">
        <f>IF(OR(C66="",E66="",E66=0),"",IF(E66&gt;G66,"上昇▲",IF(E66&lt;G66,"下落▼","横ばい→")))</f>
        <v/>
      </c>
      <c r="AB66" s="438">
        <f>IF(C66="","",IFERROR(((終値!E68*0.333)+(終値!F68*0.222)+(終値!G68*0.148)+(終値!H68*0.099)+(終値!I68*0.066)+(終値!J68*0.044)+(終値!K68*0.029)+(終値!L68*0.019)+(終値!M68*0.013)+(終値!N68*0.009))/(0.333+0.222+0.148+0.099+0.066+0.044+0.029+0.019+0.013+0.009),""))</f>
        <v/>
      </c>
      <c r="AC66" s="438">
        <f>IF(C66="","",IFERROR(SUMPRODUCT((終値!E68:AC68)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6" s="439">
        <f>IF(OR(C66="",AB66="",AC66=""),"",IF(AND(E66&gt;AB66,AB66&gt;AC66),"パーフェクト▲",IF(E66&gt;AC66,"上昇トレンド▲",IF(AND(E66&lt;AB66,AB66&lt;AC66),"下降トレンド▼","もみ合い→"))))</f>
        <v/>
      </c>
      <c r="AE66" s="439">
        <f>IF(OR(C66="",AB66="",AC66=""),"",IF(AND(ABS(E66-AC66)/AC66&lt;=0.02,E66&gt;AC66),"25日押し目★",IF(AND(ABS(E66-AB66)/AB66&lt;=0.01,E66&gt;AB66),"5日押し目○","なし")))</f>
        <v/>
      </c>
      <c r="AF66" s="617">
        <f t="array" ref="AF66">IF(C66="","",IFERROR((INDEX(終値!$E:$E,MATCH(TEXT(C66,"0"),終値!$A:$A,0))-INDEX(終値!$E:$BL,MATCH(TEXT(C66,"0"),終値!$A:$A,0),$AL$2))/INDEX(終値!$E:$BL,MATCH(TEXT(C66,"0"),終値!$A:$A,0),$AL$2)*100,""))</f>
        <v/>
      </c>
      <c r="AG66" s="617">
        <f t="array" ref="AG66">IFERROR((終値!$E$5-INDEX(終値!$E$5:$BL$5,1,$AL$2))/INDEX(終値!$E$5:$BL$5,1,$AL$2)*100,"")</f>
        <v/>
      </c>
      <c r="AH66" s="618">
        <f>IF(OR(AF66="",AG66=""),"",AF66-AG66)</f>
        <v/>
      </c>
      <c r="AI66" s="385">
        <f>IF(AH66="","",IF(AH66&gt;5,3,IF(AH66&gt;0,1,IF(AH66&gt;-3,-1,-2))))</f>
        <v/>
      </c>
    </row>
    <row r="67" ht="18" customFormat="1" customHeight="1" s="187">
      <c r="A67" s="176">
        <f>IF(銘柄管理!B93&lt;&gt;"",HYPERLINK("https://kabutan.jp/stock/?code="&amp;銘柄管理!B93,"株探"),"")</f>
        <v/>
      </c>
      <c r="B67" s="177" t="n"/>
      <c r="C67" s="178">
        <f>IF(銘柄管理!B93="","",銘柄管理!B93)</f>
        <v/>
      </c>
      <c r="D67" s="106">
        <f>IF(銘柄管理!C93="","",銘柄管理!C93)</f>
        <v/>
      </c>
      <c r="E67" s="179">
        <f>IF(C67&lt;&gt;"",_xll.RssMarket(C67,"現在値"),"")</f>
        <v/>
      </c>
      <c r="F67" s="179">
        <f>IF(C67&lt;&gt;"",_xll.RssMarket(C67,"始値"),"")</f>
        <v/>
      </c>
      <c r="G67" s="178">
        <f>IF(C67&lt;&gt;"",終値!F93,"")</f>
        <v/>
      </c>
      <c r="H67" s="179">
        <f>IF(C67&lt;&gt;"",_xll.RssMarket(C67,"高値"),"")</f>
        <v/>
      </c>
      <c r="I67" s="179">
        <f>IF(C67&lt;&gt;"",_xll.RssMarket(C67,"安値"),"")</f>
        <v/>
      </c>
      <c r="J67" s="179">
        <f>IF(C67&lt;&gt;"",_xll.RssMarket(C67,"出来高"),"")</f>
        <v/>
      </c>
      <c r="K67" s="179">
        <f>IF(C67&lt;&gt;"",_xll.RssMarket(C67,"年初来高値"),"")</f>
        <v/>
      </c>
      <c r="L67" s="613">
        <f>IF(AND(E67&lt;&gt;"",K67&lt;&gt;"",K67&lt;&gt;0),(E67-K67)/K67*100,"")</f>
        <v/>
      </c>
      <c r="M67" s="179">
        <f>IF(C67&lt;&gt;"",IFERROR(AVERAGE(出来高!E93:I93),""),"")</f>
        <v/>
      </c>
      <c r="N67" s="179">
        <f>IF(C67&lt;&gt;"",IFERROR(AVERAGE(出来高!E93:AC93),""),"")</f>
        <v/>
      </c>
      <c r="O67" s="614">
        <f>IF(AND(J67&lt;&gt;"",M67&lt;&gt;"",M67&lt;&gt;0),J67/M67,"")</f>
        <v/>
      </c>
      <c r="P67" s="176">
        <f>IF(O67="","",IF(O67&gt;=2,"急増↑↑",IF(O67&gt;=1.5,"増加↑",IF(O67&gt;=1,"普通→","減少↓"))))</f>
        <v/>
      </c>
      <c r="Q67" s="176">
        <f>IF(E67="","",IF(AND(E67&gt;G67,O67&gt;=1.5),"買い▲",IF(E67&lt;G67,"様子見▼","中立→")))</f>
        <v/>
      </c>
      <c r="R67" s="179">
        <f>IF(E67&lt;&gt;"",ROUND(E67*1.08,0),"")</f>
        <v/>
      </c>
      <c r="S67" s="179">
        <f>IF(E67&lt;&gt;"",ROUND(E67*0.96,0),"")</f>
        <v/>
      </c>
      <c r="T67" s="176">
        <f>IF(C67="","",IFERROR(IF(O67&gt;=2,3,IF(O67&gt;=1.5,2,IF(O67&gt;=1,1,0)))+IF(E67&gt;G67,1,0)+IF(L67&gt;=-5,1,0)+IF(Q67="買い▲",2,0)+IF(W67&lt;=30,3,IF(W67&lt;=40,2,IF(AND(W67&gt;=40,W67&lt;=60),1,0)))+IF(X67&gt;0,1,0)+IF(V67="年初来高値更新●",3,IF(V67="高値圏",2,0))+IF(AD67="パーフェクト▲",3,IF(AD67="上昇トレンド▲",2,0))+IF(AE67="25日線押し目●",2,IF(AE67="5日線押し目○",1,0))+IF(P67="急増↑↑",2,IF(P67="増加↑",1,0))+N(AI67),0))</f>
        <v/>
      </c>
      <c r="U67" s="176">
        <f>IF(T67="","",IF(AND(T67&gt;=3,O67&gt;=1.5),"有効",IF(T67&gt;=3,"要確認","除外")))</f>
        <v/>
      </c>
      <c r="V67" s="176">
        <f>IF(AND(H67&lt;&gt;"",K67&lt;&gt;""),IF(H67&gt;=K67,"年初来高値更新●",IF(H67&gt;=K67*0.95,"高値圏","通常")),"")</f>
        <v/>
      </c>
      <c r="W67" s="615">
        <f t="array" ref="W67">IF(C67&lt;&gt;"",IFERROR(100-100/(1+SUMPRODUCT((終値!F93:R93&gt;終値!G93:S93)*( 終値!F93:R93-終値!G93:S93))/SUMPRODUCT((終値!F93:R93&lt;終値!G93:S93)*(終値!G93:S93-終値!F93:R93))),50),"")</f>
        <v/>
      </c>
      <c r="X67" s="183">
        <f>IF(C67&lt;&gt;"",IFERROR(SUMPRODUCT(終値!E93:P93,{0.154,0.132,0.113,0.097,0.083,0.071,0.061,0.052,0.045,0.038,0.033,0.028})/SUMPRODUCT({0.154,0.132,0.113,0.097,0.083,0.071,0.061,0.052,0.045,0.038,0.033,0.028})-SUMPRODUCT(終値!E93:AD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7" s="570">
        <f>IF(T67="","",IF(銘柄管理!$F$5="下落▼",IF(AND(AD67="パーフェクト▲",OR(AE67="25日線押し目●",AE67="5日線押し目○")),"★逆張り候補",IF(AND(AD67="上昇トレンド▲",OR(AE67="25日線押し目●",AE67="5日線押し目○")),"○逆張り候補",IF(W67&lt;=30,IF(Z67&gt;0,"◎反発確認",IF(Z67&lt;-5,"△要注意・様子見","△売られ過ぎ注目")),"相場下落・見送り"))),IF(AND(T67&gt;=12,AD67="パーフェクト▲"),"★強い買い",IF(AND(T67&gt;=12,AD67="上昇トレンド▲"),"★強い買い",IF(AND(T67&gt;=8,OR(AE67="25日線押し目●",AE67="5日線押し目○")),"◎押し目買い",IF(T67&gt;=10,"○買い候補",IF(T67&gt;=6,"△注目",IF(T67&gt;=3,"様子見","見送り"))))))))</f>
        <v/>
      </c>
      <c r="Z67" s="616">
        <f>IF(AND(E67&lt;&gt;"",G67&lt;&gt;"",G67&lt;&gt;0),(E67-G67)/G67*100,"")</f>
        <v/>
      </c>
      <c r="AA67" s="176">
        <f>IF(OR(C67="",E67="",E67=0),"",IF(E67&gt;G67,"上昇▲",IF(E67&lt;G67,"下落▼","横ばい→")))</f>
        <v/>
      </c>
      <c r="AB67" s="440">
        <f>IF(C67="","",IFERROR(((終値!E69*0.333)+(終値!F69*0.222)+(終値!G69*0.148)+(終値!H69*0.099)+(終値!I69*0.066)+(終値!J69*0.044)+(終値!K69*0.029)+(終値!L69*0.019)+(終値!M69*0.013)+(終値!N69*0.009))/(0.333+0.222+0.148+0.099+0.066+0.044+0.029+0.019+0.013+0.009),""))</f>
        <v/>
      </c>
      <c r="AC67" s="440">
        <f>IF(C67="","",IFERROR(SUMPRODUCT((終値!E69:AC69)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7" s="441">
        <f>IF(OR(C67="",AB67="",AC67=""),"",IF(AND(E67&gt;AB67,AB67&gt;AC67),"パーフェクト▲",IF(E67&gt;AC67,"上昇トレンド▲",IF(AND(E67&lt;AB67,AB67&lt;AC67),"下降トレンド▼","もみ合い→"))))</f>
        <v/>
      </c>
      <c r="AE67" s="441">
        <f>IF(OR(C67="",AB67="",AC67=""),"",IF(AND(ABS(E67-AC67)/AC67&lt;=0.02,E67&gt;AC67),"25日押し目★",IF(AND(ABS(E67-AB67)/AB67&lt;=0.01,E67&gt;AB67),"5日押し目○","なし")))</f>
        <v/>
      </c>
      <c r="AF67" s="617">
        <f t="array" ref="AF67">IF(C67="","",IFERROR((INDEX(終値!$E:$E,MATCH(TEXT(C67,"0"),終値!$A:$A,0))-INDEX(終値!$E:$BL,MATCH(TEXT(C67,"0"),終値!$A:$A,0),$AL$2))/INDEX(終値!$E:$BL,MATCH(TEXT(C67,"0"),終値!$A:$A,0),$AL$2)*100,""))</f>
        <v/>
      </c>
      <c r="AG67" s="617">
        <f t="array" ref="AG67">IFERROR((終値!$E$5-INDEX(終値!$E$5:$BL$5,1,$AL$2))/INDEX(終値!$E$5:$BL$5,1,$AL$2)*100,"")</f>
        <v/>
      </c>
      <c r="AH67" s="618">
        <f>IF(OR(AF67="",AG67=""),"",AF67-AG67)</f>
        <v/>
      </c>
      <c r="AI67" s="385">
        <f>IF(AH67="","",IF(AH67&gt;5,3,IF(AH67&gt;0,1,IF(AH67&gt;-3,-1,-2))))</f>
        <v/>
      </c>
    </row>
    <row r="68" ht="18" customFormat="1" customHeight="1" s="187">
      <c r="A68" s="176">
        <f>IF(銘柄管理!B107&lt;&gt;"",HYPERLINK("https://kabutan.jp/stock/?code="&amp;銘柄管理!B107,"株探"),"")</f>
        <v/>
      </c>
      <c r="B68" s="177" t="n"/>
      <c r="C68" s="178">
        <f>IF(銘柄管理!B107="","",銘柄管理!B107)</f>
        <v/>
      </c>
      <c r="D68" s="106">
        <f>IF(銘柄管理!C107="","",銘柄管理!C107)</f>
        <v/>
      </c>
      <c r="E68" s="179">
        <f>IF(C68&lt;&gt;"",_xll.RssMarket(C68,"現在値"),"")</f>
        <v/>
      </c>
      <c r="F68" s="179">
        <f>IF(C68&lt;&gt;"",_xll.RssMarket(C68,"始値"),"")</f>
        <v/>
      </c>
      <c r="G68" s="178">
        <f>IF(C68&lt;&gt;"",終値!F107,"")</f>
        <v/>
      </c>
      <c r="H68" s="179">
        <f>IF(C68&lt;&gt;"",_xll.RssMarket(C68,"高値"),"")</f>
        <v/>
      </c>
      <c r="I68" s="179">
        <f>IF(C68&lt;&gt;"",_xll.RssMarket(C68,"安値"),"")</f>
        <v/>
      </c>
      <c r="J68" s="179">
        <f>IF(C68&lt;&gt;"",_xll.RssMarket(C68,"出来高"),"")</f>
        <v/>
      </c>
      <c r="K68" s="179">
        <f>IF(C68&lt;&gt;"",_xll.RssMarket(C68,"年初来高値"),"")</f>
        <v/>
      </c>
      <c r="L68" s="613">
        <f>IF(AND(E68&lt;&gt;"",K68&lt;&gt;"",K68&lt;&gt;0),(E68-K68)/K68*100,"")</f>
        <v/>
      </c>
      <c r="M68" s="179">
        <f>IF(C68&lt;&gt;"",IFERROR(AVERAGE(出来高!E107:I107),""),"")</f>
        <v/>
      </c>
      <c r="N68" s="179">
        <f>IF(C68&lt;&gt;"",IFERROR(AVERAGE(出来高!E107:AC107),""),"")</f>
        <v/>
      </c>
      <c r="O68" s="614">
        <f>IF(AND(J68&lt;&gt;"",M68&lt;&gt;"",M68&lt;&gt;0),J68/M68,"")</f>
        <v/>
      </c>
      <c r="P68" s="176">
        <f>IF(O68="","",IF(O68&gt;=2,"急増↑↑",IF(O68&gt;=1.5,"増加↑",IF(O68&gt;=1,"普通→","減少↓"))))</f>
        <v/>
      </c>
      <c r="Q68" s="176">
        <f>IF(E68="","",IF(AND(E68&gt;G68,O68&gt;=1.5),"買い▲",IF(E68&lt;G68,"様子見▼","中立→")))</f>
        <v/>
      </c>
      <c r="R68" s="179">
        <f>IF(E68&lt;&gt;"",ROUND(E68*1.08,0),"")</f>
        <v/>
      </c>
      <c r="S68" s="179">
        <f>IF(E68&lt;&gt;"",ROUND(E68*0.96,0),"")</f>
        <v/>
      </c>
      <c r="T68" s="176">
        <f>IF(C68="","",IFERROR(IF(O68&gt;=2,3,IF(O68&gt;=1.5,2,IF(O68&gt;=1,1,0)))+IF(E68&gt;G68,1,0)+IF(L68&gt;=-5,1,0)+IF(Q68="買い▲",2,0)+IF(W68&lt;=30,3,IF(W68&lt;=40,2,IF(AND(W68&gt;=40,W68&lt;=60),1,0)))+IF(X68&gt;0,1,0)+IF(V68="年初来高値更新●",3,IF(V68="高値圏",2,0))+IF(AD68="パーフェクト▲",3,IF(AD68="上昇トレンド▲",2,0))+IF(AE68="25日線押し目●",2,IF(AE68="5日線押し目○",1,0))+IF(P68="急増↑↑",2,IF(P68="増加↑",1,0))+N(AI68),0))</f>
        <v/>
      </c>
      <c r="U68" s="176">
        <f>IF(T68="","",IF(AND(T68&gt;=3,O68&gt;=1.5),"有効",IF(T68&gt;=3,"要確認","除外")))</f>
        <v/>
      </c>
      <c r="V68" s="176">
        <f>IF(AND(H68&lt;&gt;"",K68&lt;&gt;""),IF(H68&gt;=K68,"年初来高値更新●",IF(H68&gt;=K68*0.95,"高値圏","通常")),"")</f>
        <v/>
      </c>
      <c r="W68" s="615">
        <f t="array" ref="W68">IF(C68&lt;&gt;"",IFERROR(100-100/(1+SUMPRODUCT((終値!F107:R107&gt;終値!G107:S107)*( 終値!F107:R107-終値!G107:S107))/SUMPRODUCT((終値!F107:R107&lt;終値!G107:S107)*(終値!G107:S107-終値!F107:R107))),50),"")</f>
        <v/>
      </c>
      <c r="X68" s="183">
        <f>IF(C68&lt;&gt;"",IFERROR(SUMPRODUCT(終値!E107:P107,{0.154,0.132,0.113,0.097,0.083,0.071,0.061,0.052,0.045,0.038,0.033,0.028})/SUMPRODUCT({0.154,0.132,0.113,0.097,0.083,0.071,0.061,0.052,0.045,0.038,0.033,0.028})-SUMPRODUCT(終値!E107:AD107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8" s="570">
        <f>IF(T68="","",IF(銘柄管理!$F$5="下落▼",IF(AND(AD68="パーフェクト▲",OR(AE68="25日線押し目●",AE68="5日線押し目○")),"★逆張り候補",IF(AND(AD68="上昇トレンド▲",OR(AE68="25日線押し目●",AE68="5日線押し目○")),"○逆張り候補",IF(W68&lt;=30,IF(Z68&gt;0,"◎反発確認",IF(Z68&lt;-5,"△要注意・様子見","△売られ過ぎ注目")),"相場下落・見送り"))),IF(AND(T68&gt;=12,AD68="パーフェクト▲"),"★強い買い",IF(AND(T68&gt;=12,AD68="上昇トレンド▲"),"★強い買い",IF(AND(T68&gt;=8,OR(AE68="25日線押し目●",AE68="5日線押し目○")),"◎押し目買い",IF(T68&gt;=10,"○買い候補",IF(T68&gt;=6,"△注目",IF(T68&gt;=3,"様子見","見送り"))))))))</f>
        <v/>
      </c>
      <c r="Z68" s="616">
        <f>IF(AND(E68&lt;&gt;"",G68&lt;&gt;"",G68&lt;&gt;0),(E68-G68)/G68*100,"")</f>
        <v/>
      </c>
      <c r="AA68" s="176">
        <f>IF(OR(C68="",E68="",E68=0),"",IF(E68&gt;G68,"上昇▲",IF(E68&lt;G68,"下落▼","横ばい→")))</f>
        <v/>
      </c>
      <c r="AB68" s="438">
        <f>IF(C68="","",IFERROR(((終値!E70*0.333)+(終値!F70*0.222)+(終値!G70*0.148)+(終値!H70*0.099)+(終値!I70*0.066)+(終値!J70*0.044)+(終値!K70*0.029)+(終値!L70*0.019)+(終値!M70*0.013)+(終値!N70*0.009))/(0.333+0.222+0.148+0.099+0.066+0.044+0.029+0.019+0.013+0.009),""))</f>
        <v/>
      </c>
      <c r="AC68" s="438">
        <f>IF(C68="","",IFERROR(SUMPRODUCT((終値!E70:AC70)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8" s="439">
        <f>IF(OR(C68="",AB68="",AC68=""),"",IF(AND(E68&gt;AB68,AB68&gt;AC68),"パーフェクト▲",IF(E68&gt;AC68,"上昇トレンド▲",IF(AND(E68&lt;AB68,AB68&lt;AC68),"下降トレンド▼","もみ合い→"))))</f>
        <v/>
      </c>
      <c r="AE68" s="439">
        <f>IF(OR(C68="",AB68="",AC68=""),"",IF(AND(ABS(E68-AC68)/AC68&lt;=0.02,E68&gt;AC68),"25日押し目★",IF(AND(ABS(E68-AB68)/AB68&lt;=0.01,E68&gt;AB68),"5日押し目○","なし")))</f>
        <v/>
      </c>
      <c r="AF68" s="617">
        <f t="array" ref="AF68">IF(C68="","",IFERROR((INDEX(終値!$E:$E,MATCH(TEXT(C68,"0"),終値!$A:$A,0))-INDEX(終値!$E:$BL,MATCH(TEXT(C68,"0"),終値!$A:$A,0),$AL$2))/INDEX(終値!$E:$BL,MATCH(TEXT(C68,"0"),終値!$A:$A,0),$AL$2)*100,""))</f>
        <v/>
      </c>
      <c r="AG68" s="617">
        <f t="array" ref="AG68">IFERROR((終値!$E$5-INDEX(終値!$E$5:$BL$5,1,$AL$2))/INDEX(終値!$E$5:$BL$5,1,$AL$2)*100,"")</f>
        <v/>
      </c>
      <c r="AH68" s="618">
        <f>IF(OR(AF68="",AG68=""),"",AF68-AG68)</f>
        <v/>
      </c>
      <c r="AI68" s="385">
        <f>IF(AH68="","",IF(AH68&gt;5,3,IF(AH68&gt;0,1,IF(AH68&gt;-3,-1,-2))))</f>
        <v/>
      </c>
    </row>
    <row r="69" ht="18" customFormat="1" customHeight="1" s="187">
      <c r="A69" s="176">
        <f>IF(銘柄管理!B121&lt;&gt;"",HYPERLINK("https://kabutan.jp/stock/?code="&amp;銘柄管理!B121,"株探"),"")</f>
        <v/>
      </c>
      <c r="B69" s="177" t="n"/>
      <c r="C69" s="178">
        <f>IF(銘柄管理!B121="","",銘柄管理!B121)</f>
        <v/>
      </c>
      <c r="D69" s="106">
        <f>IF(銘柄管理!C121="","",銘柄管理!C121)</f>
        <v/>
      </c>
      <c r="E69" s="179">
        <f>IF(C69&lt;&gt;"",_xll.RssMarket(C69,"現在値"),"")</f>
        <v/>
      </c>
      <c r="F69" s="179">
        <f>IF(C69&lt;&gt;"",_xll.RssMarket(C69,"始値"),"")</f>
        <v/>
      </c>
      <c r="G69" s="178">
        <f>IF(C69&lt;&gt;"",終値!F121,"")</f>
        <v/>
      </c>
      <c r="H69" s="179">
        <f>IF(C69&lt;&gt;"",_xll.RssMarket(C69,"高値"),"")</f>
        <v/>
      </c>
      <c r="I69" s="179">
        <f>IF(C69&lt;&gt;"",_xll.RssMarket(C69,"安値"),"")</f>
        <v/>
      </c>
      <c r="J69" s="179">
        <f>IF(C69&lt;&gt;"",_xll.RssMarket(C69,"出来高"),"")</f>
        <v/>
      </c>
      <c r="K69" s="179">
        <f>IF(C69&lt;&gt;"",_xll.RssMarket(C69,"年初来高値"),"")</f>
        <v/>
      </c>
      <c r="L69" s="613">
        <f>IF(AND(E69&lt;&gt;"",K69&lt;&gt;"",K69&lt;&gt;0),(E69-K69)/K69*100,"")</f>
        <v/>
      </c>
      <c r="M69" s="179">
        <f>IF(C69&lt;&gt;"",IFERROR(AVERAGE(出来高!E121:I121),""),"")</f>
        <v/>
      </c>
      <c r="N69" s="179">
        <f>IF(C69&lt;&gt;"",IFERROR(AVERAGE(出来高!E121:AC121),""),"")</f>
        <v/>
      </c>
      <c r="O69" s="614">
        <f>IF(AND(J69&lt;&gt;"",M69&lt;&gt;"",M69&lt;&gt;0),J69/M69,"")</f>
        <v/>
      </c>
      <c r="P69" s="176">
        <f>IF(O69="","",IF(O69&gt;=2,"急増↑↑",IF(O69&gt;=1.5,"増加↑",IF(O69&gt;=1,"普通→","減少↓"))))</f>
        <v/>
      </c>
      <c r="Q69" s="176">
        <f>IF(E69="","",IF(AND(E69&gt;G69,O69&gt;=1.5),"買い▲",IF(E69&lt;G69,"様子見▼","中立→")))</f>
        <v/>
      </c>
      <c r="R69" s="179">
        <f>IF(E69&lt;&gt;"",ROUND(E69*1.08,0),"")</f>
        <v/>
      </c>
      <c r="S69" s="179">
        <f>IF(E69&lt;&gt;"",ROUND(E69*0.96,0),"")</f>
        <v/>
      </c>
      <c r="T69" s="176">
        <f>IF(C69="","",IFERROR(IF(O69&gt;=2,3,IF(O69&gt;=1.5,2,IF(O69&gt;=1,1,0)))+IF(E69&gt;G69,1,0)+IF(L69&gt;=-5,1,0)+IF(Q69="買い▲",2,0)+IF(W69&lt;=30,3,IF(W69&lt;=40,2,IF(AND(W69&gt;=40,W69&lt;=60),1,0)))+IF(X69&gt;0,1,0)+IF(V69="年初来高値更新●",3,IF(V69="高値圏",2,0))+IF(AD69="パーフェクト▲",3,IF(AD69="上昇トレンド▲",2,0))+IF(AE69="25日線押し目●",2,IF(AE69="5日線押し目○",1,0))+IF(P69="急増↑↑",2,IF(P69="増加↑",1,0))+N(AI69),0))</f>
        <v/>
      </c>
      <c r="U69" s="176">
        <f>IF(T69="","",IF(AND(T69&gt;=3,O69&gt;=1.5),"有効",IF(T69&gt;=3,"要確認","除外")))</f>
        <v/>
      </c>
      <c r="V69" s="176">
        <f>IF(AND(H69&lt;&gt;"",K69&lt;&gt;""),IF(H69&gt;=K69,"年初来高値更新●",IF(H69&gt;=K69*0.95,"高値圏","通常")),"")</f>
        <v/>
      </c>
      <c r="W69" s="615">
        <f t="array" ref="W69">IF(C69&lt;&gt;"",IFERROR(100-100/(1+SUMPRODUCT((終値!F121:R121&gt;終値!G121:S121)*( 終値!F121:R121-終値!G121:S121))/SUMPRODUCT((終値!F121:R121&lt;終値!G121:S121)*(終値!G121:S121-終値!F121:R121))),50),"")</f>
        <v/>
      </c>
      <c r="X69" s="183">
        <f>IF(C69&lt;&gt;"",IFERROR(SUMPRODUCT(終値!E121:P121,{0.154,0.132,0.113,0.097,0.083,0.071,0.061,0.052,0.045,0.038,0.033,0.028})/SUMPRODUCT({0.154,0.132,0.113,0.097,0.083,0.071,0.061,0.052,0.045,0.038,0.033,0.028})-SUMPRODUCT(終値!E121:AD121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9" s="570">
        <f>IF(T69="","",IF(銘柄管理!$F$5="下落▼",IF(AND(AD69="パーフェクト▲",OR(AE69="25日線押し目●",AE69="5日線押し目○")),"★逆張り候補",IF(AND(AD69="上昇トレンド▲",OR(AE69="25日線押し目●",AE69="5日線押し目○")),"○逆張り候補",IF(W69&lt;=30,IF(Z69&gt;0,"◎反発確認",IF(Z69&lt;-5,"△要注意・様子見","△売られ過ぎ注目")),"相場下落・見送り"))),IF(AND(T69&gt;=12,AD69="パーフェクト▲"),"★強い買い",IF(AND(T69&gt;=12,AD69="上昇トレンド▲"),"★強い買い",IF(AND(T69&gt;=8,OR(AE69="25日線押し目●",AE69="5日線押し目○")),"◎押し目買い",IF(T69&gt;=10,"○買い候補",IF(T69&gt;=6,"△注目",IF(T69&gt;=3,"様子見","見送り"))))))))</f>
        <v/>
      </c>
      <c r="Z69" s="616">
        <f>IF(AND(E69&lt;&gt;"",G69&lt;&gt;"",G69&lt;&gt;0),(E69-G69)/G69*100,"")</f>
        <v/>
      </c>
      <c r="AA69" s="176">
        <f>IF(OR(C69="",E69="",E69=0),"",IF(E69&gt;G69,"上昇▲",IF(E69&lt;G69,"下落▼","横ばい→")))</f>
        <v/>
      </c>
      <c r="AB69" s="440">
        <f>IF(C69="","",IFERROR(((終値!E71*0.333)+(終値!F71*0.222)+(終値!G71*0.148)+(終値!H71*0.099)+(終値!I71*0.066)+(終値!J71*0.044)+(終値!K71*0.029)+(終値!L71*0.019)+(終値!M71*0.013)+(終値!N71*0.009))/(0.333+0.222+0.148+0.099+0.066+0.044+0.029+0.019+0.013+0.009),""))</f>
        <v/>
      </c>
      <c r="AC69" s="440">
        <f>IF(C69="","",IFERROR(SUMPRODUCT((終値!E71:AC71)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9" s="441">
        <f>IF(OR(C69="",AB69="",AC69=""),"",IF(AND(E69&gt;AB69,AB69&gt;AC69),"パーフェクト▲",IF(E69&gt;AC69,"上昇トレンド▲",IF(AND(E69&lt;AB69,AB69&lt;AC69),"下降トレンド▼","もみ合い→"))))</f>
        <v/>
      </c>
      <c r="AE69" s="441">
        <f>IF(OR(C69="",AB69="",AC69=""),"",IF(AND(ABS(E69-AC69)/AC69&lt;=0.02,E69&gt;AC69),"25日押し目★",IF(AND(ABS(E69-AB69)/AB69&lt;=0.01,E69&gt;AB69),"5日押し目○","なし")))</f>
        <v/>
      </c>
      <c r="AF69" s="617">
        <f t="array" ref="AF69">IF(C69="","",IFERROR((INDEX(終値!$E:$E,MATCH(TEXT(C69,"0"),終値!$A:$A,0))-INDEX(終値!$E:$BL,MATCH(TEXT(C69,"0"),終値!$A:$A,0),$AL$2))/INDEX(終値!$E:$BL,MATCH(TEXT(C69,"0"),終値!$A:$A,0),$AL$2)*100,""))</f>
        <v/>
      </c>
      <c r="AG69" s="617">
        <f t="array" ref="AG69">IFERROR((終値!$E$5-INDEX(終値!$E$5:$BL$5,1,$AL$2))/INDEX(終値!$E$5:$BL$5,1,$AL$2)*100,"")</f>
        <v/>
      </c>
      <c r="AH69" s="618">
        <f>IF(OR(AF69="",AG69=""),"",AF69-AG69)</f>
        <v/>
      </c>
      <c r="AI69" s="385">
        <f>IF(AH69="","",IF(AH69&gt;5,3,IF(AH69&gt;0,1,IF(AH69&gt;-3,-1,-2))))</f>
        <v/>
      </c>
    </row>
    <row r="70" ht="18" customFormat="1" customHeight="1" s="187">
      <c r="A70" s="176">
        <f>IF(銘柄管理!B152&lt;&gt;"",HYPERLINK("https://kabutan.jp/stock/?code="&amp;銘柄管理!B152,"株探"),"")</f>
        <v/>
      </c>
      <c r="B70" s="177" t="n"/>
      <c r="C70" s="178">
        <f>IF(銘柄管理!B152="","",銘柄管理!B152)</f>
        <v/>
      </c>
      <c r="D70" s="106">
        <f>IF(銘柄管理!C152="","",銘柄管理!C152)</f>
        <v/>
      </c>
      <c r="E70" s="179">
        <f>IF(C70&lt;&gt;"",_xll.RssMarket(C70,"現在値"),"")</f>
        <v/>
      </c>
      <c r="F70" s="179">
        <f>IF(C70&lt;&gt;"",_xll.RssMarket(C70,"始値"),"")</f>
        <v/>
      </c>
      <c r="G70" s="178">
        <f>IF(C70&lt;&gt;"",終値!F152,"")</f>
        <v/>
      </c>
      <c r="H70" s="179">
        <f>IF(C70&lt;&gt;"",_xll.RssMarket(C70,"高値"),"")</f>
        <v/>
      </c>
      <c r="I70" s="179">
        <f>IF(C70&lt;&gt;"",_xll.RssMarket(C70,"安値"),"")</f>
        <v/>
      </c>
      <c r="J70" s="179">
        <f>IF(C70&lt;&gt;"",_xll.RssMarket(C70,"出来高"),"")</f>
        <v/>
      </c>
      <c r="K70" s="179">
        <f>IF(C70&lt;&gt;"",_xll.RssMarket(C70,"年初来高値"),"")</f>
        <v/>
      </c>
      <c r="L70" s="613">
        <f>IF(AND(E70&lt;&gt;"",K70&lt;&gt;"",K70&lt;&gt;0),(E70-K70)/K70*100,"")</f>
        <v/>
      </c>
      <c r="M70" s="179">
        <f>IF(C70&lt;&gt;"",IFERROR(AVERAGE(出来高!E152:I152),""),"")</f>
        <v/>
      </c>
      <c r="N70" s="179">
        <f>IF(C70&lt;&gt;"",IFERROR(AVERAGE(出来高!E152:AC152),""),"")</f>
        <v/>
      </c>
      <c r="O70" s="614">
        <f>IF(AND(J70&lt;&gt;"",M70&lt;&gt;"",M70&lt;&gt;0),J70/M70,"")</f>
        <v/>
      </c>
      <c r="P70" s="176">
        <f>IF(O70="","",IF(O70&gt;=2,"急増↑↑",IF(O70&gt;=1.5,"増加↑",IF(O70&gt;=1,"普通→","減少↓"))))</f>
        <v/>
      </c>
      <c r="Q70" s="176">
        <f>IF(E70="","",IF(AND(E70&gt;G70,O70&gt;=1.5),"買い▲",IF(E70&lt;G70,"様子見▼","中立→")))</f>
        <v/>
      </c>
      <c r="R70" s="179">
        <f>IF(E70&lt;&gt;"",ROUND(E70*1.08,0),"")</f>
        <v/>
      </c>
      <c r="S70" s="179">
        <f>IF(E70&lt;&gt;"",ROUND(E70*0.96,0),"")</f>
        <v/>
      </c>
      <c r="T70" s="176">
        <f>IF(C70="","",IFERROR(IF(O70&gt;=2,3,IF(O70&gt;=1.5,2,IF(O70&gt;=1,1,0)))+IF(E70&gt;G70,1,0)+IF(L70&gt;=-5,1,0)+IF(Q70="買い▲",2,0)+IF(W70&lt;=30,3,IF(W70&lt;=40,2,IF(AND(W70&gt;=40,W70&lt;=60),1,0)))+IF(X70&gt;0,1,0)+IF(V70="年初来高値更新●",3,IF(V70="高値圏",2,0))+IF(AD70="パーフェクト▲",3,IF(AD70="上昇トレンド▲",2,0))+IF(AE70="25日線押し目●",2,IF(AE70="5日線押し目○",1,0))+IF(P70="急増↑↑",2,IF(P70="増加↑",1,0))+N(AI70),0))</f>
        <v/>
      </c>
      <c r="U70" s="176">
        <f>IF(T70="","",IF(AND(T70&gt;=3,O70&gt;=1.5),"有効",IF(T70&gt;=3,"要確認","除外")))</f>
        <v/>
      </c>
      <c r="V70" s="176">
        <f>IF(AND(H70&lt;&gt;"",K70&lt;&gt;""),IF(H70&gt;=K70,"年初来高値更新●",IF(H70&gt;=K70*0.95,"高値圏","通常")),"")</f>
        <v/>
      </c>
      <c r="W70" s="615">
        <f t="array" ref="W70">IF(C70&lt;&gt;"",IFERROR(100-100/(1+SUMPRODUCT((終値!F152:R152&gt;終値!G152:S152)*( 終値!F152:R152-終値!G152:S152))/SUMPRODUCT((終値!F152:R152&lt;終値!G152:S152)*(終値!G152:S152-終値!F152:R152))),50),"")</f>
        <v/>
      </c>
      <c r="X70" s="183">
        <f>IF(C70&lt;&gt;"",IFERROR(SUMPRODUCT(終値!E152:P152,{0.154,0.132,0.113,0.097,0.083,0.071,0.061,0.052,0.045,0.038,0.033,0.028})/SUMPRODUCT({0.154,0.132,0.113,0.097,0.083,0.071,0.061,0.052,0.045,0.038,0.033,0.028})-SUMPRODUCT(終値!E152:AD152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0" s="570">
        <f>IF(T70="","",IF(銘柄管理!$F$5="下落▼",IF(AND(AD70="パーフェクト▲",OR(AE70="25日線押し目●",AE70="5日線押し目○")),"★逆張り候補",IF(AND(AD70="上昇トレンド▲",OR(AE70="25日線押し目●",AE70="5日線押し目○")),"○逆張り候補",IF(W70&lt;=30,IF(Z70&gt;0,"◎反発確認",IF(Z70&lt;-5,"△要注意・様子見","△売られ過ぎ注目")),"相場下落・見送り"))),IF(AND(T70&gt;=12,AD70="パーフェクト▲"),"★強い買い",IF(AND(T70&gt;=12,AD70="上昇トレンド▲"),"★強い買い",IF(AND(T70&gt;=8,OR(AE70="25日線押し目●",AE70="5日線押し目○")),"◎押し目買い",IF(T70&gt;=10,"○買い候補",IF(T70&gt;=6,"△注目",IF(T70&gt;=3,"様子見","見送り"))))))))</f>
        <v/>
      </c>
      <c r="Z70" s="616">
        <f>IF(AND(E70&lt;&gt;"",G70&lt;&gt;"",G70&lt;&gt;0),(E70-G70)/G70*100,"")</f>
        <v/>
      </c>
      <c r="AA70" s="176">
        <f>IF(OR(C70="",E70="",E70=0),"",IF(E70&gt;G70,"上昇▲",IF(E70&lt;G70,"下落▼","横ばい→")))</f>
        <v/>
      </c>
      <c r="AB70" s="438">
        <f>IF(C70="","",IFERROR(((終値!E72*0.333)+(終値!F72*0.222)+(終値!G72*0.148)+(終値!H72*0.099)+(終値!I72*0.066)+(終値!J72*0.044)+(終値!K72*0.029)+(終値!L72*0.019)+(終値!M72*0.013)+(終値!N72*0.009))/(0.333+0.222+0.148+0.099+0.066+0.044+0.029+0.019+0.013+0.009),""))</f>
        <v/>
      </c>
      <c r="AC70" s="438">
        <f>IF(C70="","",IFERROR(SUMPRODUCT((終値!E72:AC72)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0" s="439">
        <f>IF(OR(C70="",AB70="",AC70=""),"",IF(AND(E70&gt;AB70,AB70&gt;AC70),"パーフェクト▲",IF(E70&gt;AC70,"上昇トレンド▲",IF(AND(E70&lt;AB70,AB70&lt;AC70),"下降トレンド▼","もみ合い→"))))</f>
        <v/>
      </c>
      <c r="AE70" s="439">
        <f>IF(OR(C70="",AB70="",AC70=""),"",IF(AND(ABS(E70-AC70)/AC70&lt;=0.02,E70&gt;AC70),"25日押し目★",IF(AND(ABS(E70-AB70)/AB70&lt;=0.01,E70&gt;AB70),"5日押し目○","なし")))</f>
        <v/>
      </c>
      <c r="AF70" s="617">
        <f t="array" ref="AF70">IF(C70="","",IFERROR((INDEX(終値!$E:$E,MATCH(TEXT(C70,"0"),終値!$A:$A,0))-INDEX(終値!$E:$BL,MATCH(TEXT(C70,"0"),終値!$A:$A,0),$AL$2))/INDEX(終値!$E:$BL,MATCH(TEXT(C70,"0"),終値!$A:$A,0),$AL$2)*100,""))</f>
        <v/>
      </c>
      <c r="AG70" s="617">
        <f t="array" ref="AG70">IFERROR((終値!$E$5-INDEX(終値!$E$5:$BL$5,1,$AL$2))/INDEX(終値!$E$5:$BL$5,1,$AL$2)*100,"")</f>
        <v/>
      </c>
      <c r="AH70" s="618">
        <f>IF(OR(AF70="",AG70=""),"",AF70-AG70)</f>
        <v/>
      </c>
      <c r="AI70" s="385">
        <f>IF(AH70="","",IF(AH70&gt;5,3,IF(AH70&gt;0,1,IF(AH70&gt;-3,-1,-2))))</f>
        <v/>
      </c>
    </row>
    <row r="71" ht="18" customFormat="1" customHeight="1" s="187">
      <c r="A71" s="176">
        <f>IF(銘柄管理!B149&lt;&gt;"",HYPERLINK("https://kabutan.jp/stock/?code="&amp;銘柄管理!B149,"株探"),"")</f>
        <v/>
      </c>
      <c r="B71" s="177" t="n"/>
      <c r="C71" s="178">
        <f>IF(銘柄管理!B149="","",銘柄管理!B149)</f>
        <v/>
      </c>
      <c r="D71" s="106">
        <f>IF(銘柄管理!C149="","",銘柄管理!C149)</f>
        <v/>
      </c>
      <c r="E71" s="179">
        <f>IF(C71&lt;&gt;"",_xll.RssMarket(C71,"現在値"),"")</f>
        <v/>
      </c>
      <c r="F71" s="179">
        <f>IF(C71&lt;&gt;"",_xll.RssMarket(C71,"始値"),"")</f>
        <v/>
      </c>
      <c r="G71" s="178">
        <f>IF(C71&lt;&gt;"",終値!F149,"")</f>
        <v/>
      </c>
      <c r="H71" s="179">
        <f>IF(C71&lt;&gt;"",_xll.RssMarket(C71,"高値"),"")</f>
        <v/>
      </c>
      <c r="I71" s="179">
        <f>IF(C71&lt;&gt;"",_xll.RssMarket(C71,"安値"),"")</f>
        <v/>
      </c>
      <c r="J71" s="179">
        <f>IF(C71&lt;&gt;"",_xll.RssMarket(C71,"出来高"),"")</f>
        <v/>
      </c>
      <c r="K71" s="179">
        <f>IF(C71&lt;&gt;"",_xll.RssMarket(C71,"年初来高値"),"")</f>
        <v/>
      </c>
      <c r="L71" s="613">
        <f>IF(AND(E71&lt;&gt;"",K71&lt;&gt;"",K71&lt;&gt;0),(E71-K71)/K71*100,"")</f>
        <v/>
      </c>
      <c r="M71" s="179">
        <f>IF(C71&lt;&gt;"",IFERROR(AVERAGE(出来高!E149:I149),""),"")</f>
        <v/>
      </c>
      <c r="N71" s="179">
        <f>IF(C71&lt;&gt;"",IFERROR(AVERAGE(出来高!E149:AC149),""),"")</f>
        <v/>
      </c>
      <c r="O71" s="614">
        <f>IF(AND(J71&lt;&gt;"",M71&lt;&gt;"",M71&lt;&gt;0),J71/M71,"")</f>
        <v/>
      </c>
      <c r="P71" s="176">
        <f>IF(O71="","",IF(O71&gt;=2,"急増↑↑",IF(O71&gt;=1.5,"増加↑",IF(O71&gt;=1,"普通→","減少↓"))))</f>
        <v/>
      </c>
      <c r="Q71" s="176">
        <f>IF(E71="","",IF(AND(E71&gt;G71,O71&gt;=1.5),"買い▲",IF(E71&lt;G71,"様子見▼","中立→")))</f>
        <v/>
      </c>
      <c r="R71" s="179">
        <f>IF(E71&lt;&gt;"",ROUND(E71*1.08,0),"")</f>
        <v/>
      </c>
      <c r="S71" s="179">
        <f>IF(E71&lt;&gt;"",ROUND(E71*0.96,0),"")</f>
        <v/>
      </c>
      <c r="T71" s="176">
        <f>IF(C71="","",IFERROR(IF(O71&gt;=2,3,IF(O71&gt;=1.5,2,IF(O71&gt;=1,1,0)))+IF(E71&gt;G71,1,0)+IF(L71&gt;=-5,1,0)+IF(Q71="買い▲",2,0)+IF(W71&lt;=30,3,IF(W71&lt;=40,2,IF(AND(W71&gt;=40,W71&lt;=60),1,0)))+IF(X71&gt;0,1,0)+IF(V71="年初来高値更新●",3,IF(V71="高値圏",2,0))+IF(AD71="パーフェクト▲",3,IF(AD71="上昇トレンド▲",2,0))+IF(AE71="25日線押し目●",2,IF(AE71="5日線押し目○",1,0))+IF(P71="急増↑↑",2,IF(P71="増加↑",1,0))+N(AI71),0))</f>
        <v/>
      </c>
      <c r="U71" s="176">
        <f>IF(T71="","",IF(AND(T71&gt;=3,O71&gt;=1.5),"有効",IF(T71&gt;=3,"要確認","除外")))</f>
        <v/>
      </c>
      <c r="V71" s="176">
        <f>IF(AND(H71&lt;&gt;"",K71&lt;&gt;""),IF(H71&gt;=K71,"年初来高値更新●",IF(H71&gt;=K71*0.95,"高値圏","通常")),"")</f>
        <v/>
      </c>
      <c r="W71" s="615">
        <f t="array" ref="W71">IF(C71&lt;&gt;"",IFERROR(100-100/(1+SUMPRODUCT((終値!F149:R149&gt;終値!G149:S149)*( 終値!F149:R149-終値!G149:S149))/SUMPRODUCT((終値!F149:R149&lt;終値!G149:S149)*(終値!G149:S149-終値!F149:R149))),50),"")</f>
        <v/>
      </c>
      <c r="X71" s="183">
        <f>IF(C71&lt;&gt;"",IFERROR(SUMPRODUCT(終値!E149:P149,{0.154,0.132,0.113,0.097,0.083,0.071,0.061,0.052,0.045,0.038,0.033,0.028})/SUMPRODUCT({0.154,0.132,0.113,0.097,0.083,0.071,0.061,0.052,0.045,0.038,0.033,0.028})-SUMPRODUCT(終値!E149:AD149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1" s="570">
        <f>IF(T71="","",IF(銘柄管理!$F$5="下落▼",IF(AND(AD71="パーフェクト▲",OR(AE71="25日線押し目●",AE71="5日線押し目○")),"★逆張り候補",IF(AND(AD71="上昇トレンド▲",OR(AE71="25日線押し目●",AE71="5日線押し目○")),"○逆張り候補",IF(W71&lt;=30,IF(Z71&gt;0,"◎反発確認",IF(Z71&lt;-5,"△要注意・様子見","△売られ過ぎ注目")),"相場下落・見送り"))),IF(AND(T71&gt;=12,AD71="パーフェクト▲"),"★強い買い",IF(AND(T71&gt;=12,AD71="上昇トレンド▲"),"★強い買い",IF(AND(T71&gt;=8,OR(AE71="25日線押し目●",AE71="5日線押し目○")),"◎押し目買い",IF(T71&gt;=10,"○買い候補",IF(T71&gt;=6,"△注目",IF(T71&gt;=3,"様子見","見送り"))))))))</f>
        <v/>
      </c>
      <c r="Z71" s="616">
        <f>IF(AND(E71&lt;&gt;"",G71&lt;&gt;"",G71&lt;&gt;0),(E71-G71)/G71*100,"")</f>
        <v/>
      </c>
      <c r="AA71" s="176">
        <f>IF(OR(C71="",E71="",E71=0),"",IF(E71&gt;G71,"上昇▲",IF(E71&lt;G71,"下落▼","横ばい→")))</f>
        <v/>
      </c>
      <c r="AB71" s="440">
        <f>IF(C71="","",IFERROR(((終値!E73*0.333)+(終値!F73*0.222)+(終値!G73*0.148)+(終値!H73*0.099)+(終値!I73*0.066)+(終値!J73*0.044)+(終値!K73*0.029)+(終値!L73*0.019)+(終値!M73*0.013)+(終値!N73*0.009))/(0.333+0.222+0.148+0.099+0.066+0.044+0.029+0.019+0.013+0.009),""))</f>
        <v/>
      </c>
      <c r="AC71" s="440">
        <f>IF(C71="","",IFERROR(SUMPRODUCT((終値!E73:AC73)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1" s="441">
        <f>IF(OR(C71="",AB71="",AC71=""),"",IF(AND(E71&gt;AB71,AB71&gt;AC71),"パーフェクト▲",IF(E71&gt;AC71,"上昇トレンド▲",IF(AND(E71&lt;AB71,AB71&lt;AC71),"下降トレンド▼","もみ合い→"))))</f>
        <v/>
      </c>
      <c r="AE71" s="441">
        <f>IF(OR(C71="",AB71="",AC71=""),"",IF(AND(ABS(E71-AC71)/AC71&lt;=0.02,E71&gt;AC71),"25日押し目★",IF(AND(ABS(E71-AB71)/AB71&lt;=0.01,E71&gt;AB71),"5日押し目○","なし")))</f>
        <v/>
      </c>
      <c r="AF71" s="617">
        <f t="array" ref="AF71">IF(C71="","",IFERROR((INDEX(終値!$E:$E,MATCH(TEXT(C71,"0"),終値!$A:$A,0))-INDEX(終値!$E:$BL,MATCH(TEXT(C71,"0"),終値!$A:$A,0),$AL$2))/INDEX(終値!$E:$BL,MATCH(TEXT(C71,"0"),終値!$A:$A,0),$AL$2)*100,""))</f>
        <v/>
      </c>
      <c r="AG71" s="617">
        <f t="array" ref="AG71">IFERROR((終値!$E$5-INDEX(終値!$E$5:$BL$5,1,$AL$2))/INDEX(終値!$E$5:$BL$5,1,$AL$2)*100,"")</f>
        <v/>
      </c>
      <c r="AH71" s="618">
        <f>IF(OR(AF71="",AG71=""),"",AF71-AG71)</f>
        <v/>
      </c>
      <c r="AI71" s="385">
        <f>IF(AH71="","",IF(AH71&gt;5,3,IF(AH71&gt;0,1,IF(AH71&gt;-3,-1,-2))))</f>
        <v/>
      </c>
    </row>
    <row r="72" ht="18" customFormat="1" customHeight="1" s="187">
      <c r="A72" s="176">
        <f>IF(銘柄管理!B177&lt;&gt;"",HYPERLINK("https://kabutan.jp/stock/?code="&amp;銘柄管理!B177,"株探"),"")</f>
        <v/>
      </c>
      <c r="B72" s="177" t="n"/>
      <c r="C72" s="178">
        <f>IF(銘柄管理!B177="","",銘柄管理!B177)</f>
        <v/>
      </c>
      <c r="D72" s="106">
        <f>IF(銘柄管理!C177="","",銘柄管理!C177)</f>
        <v/>
      </c>
      <c r="E72" s="179">
        <f>IF(C72&lt;&gt;"",_xll.RssMarket(C72,"現在値"),"")</f>
        <v/>
      </c>
      <c r="F72" s="179">
        <f>IF(C72&lt;&gt;"",_xll.RssMarket(C72,"始値"),"")</f>
        <v/>
      </c>
      <c r="G72" s="178">
        <f>IF(C72&lt;&gt;"",終値!F177,"")</f>
        <v/>
      </c>
      <c r="H72" s="179">
        <f>IF(C72&lt;&gt;"",_xll.RssMarket(C72,"高値"),"")</f>
        <v/>
      </c>
      <c r="I72" s="179">
        <f>IF(C72&lt;&gt;"",_xll.RssMarket(C72,"安値"),"")</f>
        <v/>
      </c>
      <c r="J72" s="179">
        <f>IF(C72&lt;&gt;"",_xll.RssMarket(C72,"出来高"),"")</f>
        <v/>
      </c>
      <c r="K72" s="179">
        <f>IF(C72&lt;&gt;"",_xll.RssMarket(C72,"年初来高値"),"")</f>
        <v/>
      </c>
      <c r="L72" s="613">
        <f>IF(AND(E72&lt;&gt;"",K72&lt;&gt;"",K72&lt;&gt;0),(E72-K72)/K72*100,"")</f>
        <v/>
      </c>
      <c r="M72" s="179">
        <f>IF(C72&lt;&gt;"",IFERROR(AVERAGE(出来高!E177:I177),""),"")</f>
        <v/>
      </c>
      <c r="N72" s="179">
        <f>IF(C72&lt;&gt;"",IFERROR(AVERAGE(出来高!E177:AC177),""),"")</f>
        <v/>
      </c>
      <c r="O72" s="614">
        <f>IF(AND(J72&lt;&gt;"",M72&lt;&gt;"",M72&lt;&gt;0),J72/M72,"")</f>
        <v/>
      </c>
      <c r="P72" s="176">
        <f>IF(O72="","",IF(O72&gt;=2,"急増↑↑",IF(O72&gt;=1.5,"増加↑",IF(O72&gt;=1,"普通→","減少↓"))))</f>
        <v/>
      </c>
      <c r="Q72" s="176">
        <f>IF(E72="","",IF(AND(E72&gt;G72,O72&gt;=1.5),"買い▲",IF(E72&lt;G72,"様子見▼","中立→")))</f>
        <v/>
      </c>
      <c r="R72" s="179">
        <f>IF(E72&lt;&gt;"",ROUND(E72*1.08,0),"")</f>
        <v/>
      </c>
      <c r="S72" s="179">
        <f>IF(E72&lt;&gt;"",ROUND(E72*0.96,0),"")</f>
        <v/>
      </c>
      <c r="T72" s="176">
        <f>IF(C72="","",IFERROR(IF(O72&gt;=2,3,IF(O72&gt;=1.5,2,IF(O72&gt;=1,1,0)))+IF(E72&gt;G72,1,0)+IF(L72&gt;=-5,1,0)+IF(Q72="買い▲",2,0)+IF(W72&lt;=30,3,IF(W72&lt;=40,2,IF(AND(W72&gt;=40,W72&lt;=60),1,0)))+IF(X72&gt;0,1,0)+IF(V72="年初来高値更新●",3,IF(V72="高値圏",2,0))+IF(AD72="パーフェクト▲",3,IF(AD72="上昇トレンド▲",2,0))+IF(AE72="25日線押し目●",2,IF(AE72="5日線押し目○",1,0))+IF(P72="急増↑↑",2,IF(P72="増加↑",1,0))+N(AI72),0))</f>
        <v/>
      </c>
      <c r="U72" s="176">
        <f>IF(T72="","",IF(AND(T72&gt;=3,O72&gt;=1.5),"有効",IF(T72&gt;=3,"要確認","除外")))</f>
        <v/>
      </c>
      <c r="V72" s="176">
        <f>IF(AND(H72&lt;&gt;"",K72&lt;&gt;""),IF(H72&gt;=K72,"年初来高値更新●",IF(H72&gt;=K72*0.95,"高値圏","通常")),"")</f>
        <v/>
      </c>
      <c r="W72" s="615">
        <f t="array" ref="W72">IF(C72&lt;&gt;"",IFERROR(100-100/(1+SUMPRODUCT((終値!F177:R177&gt;終値!G177:S177)*( 終値!F177:R177-終値!G177:S177))/SUMPRODUCT((終値!F177:R177&lt;終値!G177:S177)*(終値!G177:S177-終値!F177:R177))),50),"")</f>
        <v/>
      </c>
      <c r="X72" s="183">
        <f>IF(C72&lt;&gt;"",IFERROR(SUMPRODUCT(終値!E177:P177,{0.154,0.132,0.113,0.097,0.083,0.071,0.061,0.052,0.045,0.038,0.033,0.028})/SUMPRODUCT({0.154,0.132,0.113,0.097,0.083,0.071,0.061,0.052,0.045,0.038,0.033,0.028})-SUMPRODUCT(終値!E177:AD177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2" s="570">
        <f>IF(T72="","",IF(銘柄管理!$F$5="下落▼",IF(AND(AD72="パーフェクト▲",OR(AE72="25日線押し目●",AE72="5日線押し目○")),"★逆張り候補",IF(AND(AD72="上昇トレンド▲",OR(AE72="25日線押し目●",AE72="5日線押し目○")),"○逆張り候補",IF(W72&lt;=30,IF(Z72&gt;0,"◎反発確認",IF(Z72&lt;-5,"△要注意・様子見","△売られ過ぎ注目")),"相場下落・見送り"))),IF(AND(T72&gt;=12,AD72="パーフェクト▲"),"★強い買い",IF(AND(T72&gt;=12,AD72="上昇トレンド▲"),"★強い買い",IF(AND(T72&gt;=8,OR(AE72="25日線押し目●",AE72="5日線押し目○")),"◎押し目買い",IF(T72&gt;=10,"○買い候補",IF(T72&gt;=6,"△注目",IF(T72&gt;=3,"様子見","見送り"))))))))</f>
        <v/>
      </c>
      <c r="Z72" s="616">
        <f>IF(AND(E72&lt;&gt;"",G72&lt;&gt;"",G72&lt;&gt;0),(E72-G72)/G72*100,"")</f>
        <v/>
      </c>
      <c r="AA72" s="176">
        <f>IF(OR(C72="",E72="",E72=0),"",IF(E72&gt;G72,"上昇▲",IF(E72&lt;G72,"下落▼","横ばい→")))</f>
        <v/>
      </c>
      <c r="AB72" s="438">
        <f>IF(C72="","",IFERROR(((終値!E74*0.333)+(終値!F74*0.222)+(終値!G74*0.148)+(終値!H74*0.099)+(終値!I74*0.066)+(終値!J74*0.044)+(終値!K74*0.029)+(終値!L74*0.019)+(終値!M74*0.013)+(終値!N74*0.009))/(0.333+0.222+0.148+0.099+0.066+0.044+0.029+0.019+0.013+0.009),""))</f>
        <v/>
      </c>
      <c r="AC72" s="438">
        <f>IF(C72="","",IFERROR(SUMPRODUCT((終値!E74:AC74)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2" s="439">
        <f>IF(OR(C72="",AB72="",AC72=""),"",IF(AND(E72&gt;AB72,AB72&gt;AC72),"パーフェクト▲",IF(E72&gt;AC72,"上昇トレンド▲",IF(AND(E72&lt;AB72,AB72&lt;AC72),"下降トレンド▼","もみ合い→"))))</f>
        <v/>
      </c>
      <c r="AE72" s="439">
        <f>IF(OR(C72="",AB72="",AC72=""),"",IF(AND(ABS(E72-AC72)/AC72&lt;=0.02,E72&gt;AC72),"25日押し目★",IF(AND(ABS(E72-AB72)/AB72&lt;=0.01,E72&gt;AB72),"5日押し目○","なし")))</f>
        <v/>
      </c>
      <c r="AF72" s="617">
        <f t="array" ref="AF72">IF(C72="","",IFERROR((INDEX(終値!$E:$E,MATCH(TEXT(C72,"0"),終値!$A:$A,0))-INDEX(終値!$E:$BL,MATCH(TEXT(C72,"0"),終値!$A:$A,0),$AL$2))/INDEX(終値!$E:$BL,MATCH(TEXT(C72,"0"),終値!$A:$A,0),$AL$2)*100,""))</f>
        <v/>
      </c>
      <c r="AG72" s="617">
        <f t="array" ref="AG72">IFERROR((終値!$E$5-INDEX(終値!$E$5:$BL$5,1,$AL$2))/INDEX(終値!$E$5:$BL$5,1,$AL$2)*100,"")</f>
        <v/>
      </c>
      <c r="AH72" s="618">
        <f>IF(OR(AF72="",AG72=""),"",AF72-AG72)</f>
        <v/>
      </c>
      <c r="AI72" s="385">
        <f>IF(AH72="","",IF(AH72&gt;5,3,IF(AH72&gt;0,1,IF(AH72&gt;-3,-1,-2))))</f>
        <v/>
      </c>
    </row>
    <row r="73" ht="18" customFormat="1" customHeight="1" s="187">
      <c r="A73" s="176">
        <f>IF(銘柄管理!B77&lt;&gt;"",HYPERLINK("https://kabutan.jp/stock/?code="&amp;銘柄管理!B77,"株探"),"")</f>
        <v/>
      </c>
      <c r="B73" s="177" t="n"/>
      <c r="C73" s="178">
        <f>IF(銘柄管理!B77="","",銘柄管理!B77)</f>
        <v/>
      </c>
      <c r="D73" s="106">
        <f>IF(銘柄管理!C77="","",銘柄管理!C77)</f>
        <v/>
      </c>
      <c r="E73" s="179">
        <f>IF(C73&lt;&gt;"",_xll.RssMarket(C73,"現在値"),"")</f>
        <v/>
      </c>
      <c r="F73" s="179">
        <f>IF(C73&lt;&gt;"",_xll.RssMarket(C73,"始値"),"")</f>
        <v/>
      </c>
      <c r="G73" s="178">
        <f>IF(C73&lt;&gt;"",終値!F77,"")</f>
        <v/>
      </c>
      <c r="H73" s="179">
        <f>IF(C73&lt;&gt;"",_xll.RssMarket(C73,"高値"),"")</f>
        <v/>
      </c>
      <c r="I73" s="179">
        <f>IF(C73&lt;&gt;"",_xll.RssMarket(C73,"安値"),"")</f>
        <v/>
      </c>
      <c r="J73" s="179">
        <f>IF(C73&lt;&gt;"",_xll.RssMarket(C73,"出来高"),"")</f>
        <v/>
      </c>
      <c r="K73" s="179">
        <f>IF(C73&lt;&gt;"",_xll.RssMarket(C73,"年初来高値"),"")</f>
        <v/>
      </c>
      <c r="L73" s="613">
        <f>IF(AND(E73&lt;&gt;"",K73&lt;&gt;"",K73&lt;&gt;0),(E73-K73)/K73*100,"")</f>
        <v/>
      </c>
      <c r="M73" s="179">
        <f>IF(C73&lt;&gt;"",IFERROR(AVERAGE(出来高!E77:I77),""),"")</f>
        <v/>
      </c>
      <c r="N73" s="179">
        <f>IF(C73&lt;&gt;"",IFERROR(AVERAGE(出来高!E77:AC77),""),"")</f>
        <v/>
      </c>
      <c r="O73" s="614">
        <f>IF(AND(J73&lt;&gt;"",M73&lt;&gt;"",M73&lt;&gt;0),J73/M73,"")</f>
        <v/>
      </c>
      <c r="P73" s="176">
        <f>IF(O73="","",IF(O73&gt;=2,"急増↑↑",IF(O73&gt;=1.5,"増加↑",IF(O73&gt;=1,"普通→","減少↓"))))</f>
        <v/>
      </c>
      <c r="Q73" s="176">
        <f>IF(E73="","",IF(AND(E73&gt;G73,O73&gt;=1.5),"買い▲",IF(E73&lt;G73,"様子見▼","中立→")))</f>
        <v/>
      </c>
      <c r="R73" s="179">
        <f>IF(E73&lt;&gt;"",ROUND(E73*1.08,0),"")</f>
        <v/>
      </c>
      <c r="S73" s="179">
        <f>IF(E73&lt;&gt;"",ROUND(E73*0.96,0),"")</f>
        <v/>
      </c>
      <c r="T73" s="176">
        <f>IF(C73="","",IFERROR(IF(O73&gt;=2,3,IF(O73&gt;=1.5,2,IF(O73&gt;=1,1,0)))+IF(E73&gt;G73,1,0)+IF(L73&gt;=-5,1,0)+IF(Q73="買い▲",2,0)+IF(W73&lt;=30,3,IF(W73&lt;=40,2,IF(AND(W73&gt;=40,W73&lt;=60),1,0)))+IF(X73&gt;0,1,0)+IF(V73="年初来高値更新●",3,IF(V73="高値圏",2,0))+IF(AD73="パーフェクト▲",3,IF(AD73="上昇トレンド▲",2,0))+IF(AE73="25日線押し目●",2,IF(AE73="5日線押し目○",1,0))+IF(P73="急増↑↑",2,IF(P73="増加↑",1,0))+N(AI73),0))</f>
        <v/>
      </c>
      <c r="U73" s="176">
        <f>IF(T73="","",IF(AND(T73&gt;=3,O73&gt;=1.5),"有効",IF(T73&gt;=3,"要確認","除外")))</f>
        <v/>
      </c>
      <c r="V73" s="176">
        <f>IF(AND(H73&lt;&gt;"",K73&lt;&gt;""),IF(H73&gt;=K73,"年初来高値更新●",IF(H73&gt;=K73*0.95,"高値圏","通常")),"")</f>
        <v/>
      </c>
      <c r="W73" s="615">
        <f t="array" ref="W73">IF(C73&lt;&gt;"",IFERROR(100-100/(1+SUMPRODUCT((終値!F77:R77&gt;終値!G77:S77)*( 終値!F77:R77-終値!G77:S77))/SUMPRODUCT((終値!F77:R77&lt;終値!G77:S77)*(終値!G77:S77-終値!F77:R77))),50),"")</f>
        <v/>
      </c>
      <c r="X73" s="183">
        <f>IF(C73&lt;&gt;"",IFERROR(SUMPRODUCT(終値!E77:P77,{0.154,0.132,0.113,0.097,0.083,0.071,0.061,0.052,0.045,0.038,0.033,0.028})/SUMPRODUCT({0.154,0.132,0.113,0.097,0.083,0.071,0.061,0.052,0.045,0.038,0.033,0.028})-SUMPRODUCT(終値!E77:AD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3" s="570">
        <f>IF(T73="","",IF(銘柄管理!$F$5="下落▼",IF(AND(AD73="パーフェクト▲",OR(AE73="25日線押し目●",AE73="5日線押し目○")),"★逆張り候補",IF(AND(AD73="上昇トレンド▲",OR(AE73="25日線押し目●",AE73="5日線押し目○")),"○逆張り候補",IF(W73&lt;=30,IF(Z73&gt;0,"◎反発確認",IF(Z73&lt;-5,"△要注意・様子見","△売られ過ぎ注目")),"相場下落・見送り"))),IF(AND(T73&gt;=12,AD73="パーフェクト▲"),"★強い買い",IF(AND(T73&gt;=12,AD73="上昇トレンド▲"),"★強い買い",IF(AND(T73&gt;=8,OR(AE73="25日線押し目●",AE73="5日線押し目○")),"◎押し目買い",IF(T73&gt;=10,"○買い候補",IF(T73&gt;=6,"△注目",IF(T73&gt;=3,"様子見","見送り"))))))))</f>
        <v/>
      </c>
      <c r="Z73" s="616">
        <f>IF(AND(E73&lt;&gt;"",G73&lt;&gt;"",G73&lt;&gt;0),(E73-G73)/G73*100,"")</f>
        <v/>
      </c>
      <c r="AA73" s="176">
        <f>IF(OR(C73="",E73="",E73=0),"",IF(E73&gt;G73,"上昇▲",IF(E73&lt;G73,"下落▼","横ばい→")))</f>
        <v/>
      </c>
      <c r="AB73" s="440">
        <f>IF(C73="","",IFERROR(((終値!E75*0.333)+(終値!F75*0.222)+(終値!G75*0.148)+(終値!H75*0.099)+(終値!I75*0.066)+(終値!J75*0.044)+(終値!K75*0.029)+(終値!L75*0.019)+(終値!M75*0.013)+(終値!N75*0.009))/(0.333+0.222+0.148+0.099+0.066+0.044+0.029+0.019+0.013+0.009),""))</f>
        <v/>
      </c>
      <c r="AC73" s="440">
        <f>IF(C73="","",IFERROR(SUMPRODUCT((終値!E75:AC75)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3" s="441">
        <f>IF(OR(C73="",AB73="",AC73=""),"",IF(AND(E73&gt;AB73,AB73&gt;AC73),"パーフェクト▲",IF(E73&gt;AC73,"上昇トレンド▲",IF(AND(E73&lt;AB73,AB73&lt;AC73),"下降トレンド▼","もみ合い→"))))</f>
        <v/>
      </c>
      <c r="AE73" s="441">
        <f>IF(OR(C73="",AB73="",AC73=""),"",IF(AND(ABS(E73-AC73)/AC73&lt;=0.02,E73&gt;AC73),"25日押し目★",IF(AND(ABS(E73-AB73)/AB73&lt;=0.01,E73&gt;AB73),"5日押し目○","なし")))</f>
        <v/>
      </c>
      <c r="AF73" s="617">
        <f t="array" ref="AF73">IF(C73="","",IFERROR((INDEX(終値!$E:$E,MATCH(TEXT(C73,"0"),終値!$A:$A,0))-INDEX(終値!$E:$BL,MATCH(TEXT(C73,"0"),終値!$A:$A,0),$AL$2))/INDEX(終値!$E:$BL,MATCH(TEXT(C73,"0"),終値!$A:$A,0),$AL$2)*100,""))</f>
        <v/>
      </c>
      <c r="AG73" s="617">
        <f t="array" ref="AG73">IFERROR((終値!$E$5-INDEX(終値!$E$5:$BL$5,1,$AL$2))/INDEX(終値!$E$5:$BL$5,1,$AL$2)*100,"")</f>
        <v/>
      </c>
      <c r="AH73" s="618">
        <f>IF(OR(AF73="",AG73=""),"",AF73-AG73)</f>
        <v/>
      </c>
      <c r="AI73" s="385">
        <f>IF(AH73="","",IF(AH73&gt;5,3,IF(AH73&gt;0,1,IF(AH73&gt;-3,-1,-2))))</f>
        <v/>
      </c>
    </row>
    <row r="74" ht="18" customFormat="1" customHeight="1" s="187">
      <c r="A74" s="176">
        <f>IF(銘柄管理!B85&lt;&gt;"",HYPERLINK("https://kabutan.jp/stock/?code="&amp;銘柄管理!B85,"株探"),"")</f>
        <v/>
      </c>
      <c r="B74" s="177" t="n"/>
      <c r="C74" s="178">
        <f>IF(銘柄管理!B85="","",銘柄管理!B85)</f>
        <v/>
      </c>
      <c r="D74" s="106">
        <f>IF(銘柄管理!C85="","",銘柄管理!C85)</f>
        <v/>
      </c>
      <c r="E74" s="179">
        <f>IF(C74&lt;&gt;"",_xll.RssMarket(C74,"現在値"),"")</f>
        <v/>
      </c>
      <c r="F74" s="179">
        <f>IF(C74&lt;&gt;"",_xll.RssMarket(C74,"始値"),"")</f>
        <v/>
      </c>
      <c r="G74" s="178">
        <f>IF(C74&lt;&gt;"",終値!F85,"")</f>
        <v/>
      </c>
      <c r="H74" s="179">
        <f>IF(C74&lt;&gt;"",_xll.RssMarket(C74,"高値"),"")</f>
        <v/>
      </c>
      <c r="I74" s="179">
        <f>IF(C74&lt;&gt;"",_xll.RssMarket(C74,"安値"),"")</f>
        <v/>
      </c>
      <c r="J74" s="179">
        <f>IF(C74&lt;&gt;"",_xll.RssMarket(C74,"出来高"),"")</f>
        <v/>
      </c>
      <c r="K74" s="179">
        <f>IF(C74&lt;&gt;"",_xll.RssMarket(C74,"年初来高値"),"")</f>
        <v/>
      </c>
      <c r="L74" s="613">
        <f>IF(AND(E74&lt;&gt;"",K74&lt;&gt;"",K74&lt;&gt;0),(E74-K74)/K74*100,"")</f>
        <v/>
      </c>
      <c r="M74" s="179">
        <f>IF(C74&lt;&gt;"",IFERROR(AVERAGE(出来高!E85:I85),""),"")</f>
        <v/>
      </c>
      <c r="N74" s="179">
        <f>IF(C74&lt;&gt;"",IFERROR(AVERAGE(出来高!E85:AC85),""),"")</f>
        <v/>
      </c>
      <c r="O74" s="614">
        <f>IF(AND(J74&lt;&gt;"",M74&lt;&gt;"",M74&lt;&gt;0),J74/M74,"")</f>
        <v/>
      </c>
      <c r="P74" s="176">
        <f>IF(O74="","",IF(O74&gt;=2,"急増↑↑",IF(O74&gt;=1.5,"増加↑",IF(O74&gt;=1,"普通→","減少↓"))))</f>
        <v/>
      </c>
      <c r="Q74" s="176">
        <f>IF(E74="","",IF(AND(E74&gt;G74,O74&gt;=1.5),"買い▲",IF(E74&lt;G74,"様子見▼","中立→")))</f>
        <v/>
      </c>
      <c r="R74" s="179">
        <f>IF(E74&lt;&gt;"",ROUND(E74*1.08,0),"")</f>
        <v/>
      </c>
      <c r="S74" s="179">
        <f>IF(E74&lt;&gt;"",ROUND(E74*0.96,0),"")</f>
        <v/>
      </c>
      <c r="T74" s="176">
        <f>IF(C74="","",IFERROR(IF(O74&gt;=2,3,IF(O74&gt;=1.5,2,IF(O74&gt;=1,1,0)))+IF(E74&gt;G74,1,0)+IF(L74&gt;=-5,1,0)+IF(Q74="買い▲",2,0)+IF(W74&lt;=30,3,IF(W74&lt;=40,2,IF(AND(W74&gt;=40,W74&lt;=60),1,0)))+IF(X74&gt;0,1,0)+IF(V74="年初来高値更新●",3,IF(V74="高値圏",2,0))+IF(AD74="パーフェクト▲",3,IF(AD74="上昇トレンド▲",2,0))+IF(AE74="25日線押し目●",2,IF(AE74="5日線押し目○",1,0))+IF(P74="急増↑↑",2,IF(P74="増加↑",1,0))+N(AI74),0))</f>
        <v/>
      </c>
      <c r="U74" s="176">
        <f>IF(T74="","",IF(AND(T74&gt;=3,O74&gt;=1.5),"有効",IF(T74&gt;=3,"要確認","除外")))</f>
        <v/>
      </c>
      <c r="V74" s="176">
        <f>IF(AND(H74&lt;&gt;"",K74&lt;&gt;""),IF(H74&gt;=K74,"年初来高値更新●",IF(H74&gt;=K74*0.95,"高値圏","通常")),"")</f>
        <v/>
      </c>
      <c r="W74" s="615">
        <f t="array" ref="W74">IF(C74&lt;&gt;"",IFERROR(100-100/(1+SUMPRODUCT((終値!F85:R85&gt;終値!G85:S85)*( 終値!F85:R85-終値!G85:S85))/SUMPRODUCT((終値!F85:R85&lt;終値!G85:S85)*(終値!G85:S85-終値!F85:R85))),50),"")</f>
        <v/>
      </c>
      <c r="X74" s="183">
        <f>IF(C74&lt;&gt;"",IFERROR(SUMPRODUCT(終値!E85:P85,{0.154,0.132,0.113,0.097,0.083,0.071,0.061,0.052,0.045,0.038,0.033,0.028})/SUMPRODUCT({0.154,0.132,0.113,0.097,0.083,0.071,0.061,0.052,0.045,0.038,0.033,0.028})-SUMPRODUCT(終値!E85:AD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4" s="570">
        <f>IF(T74="","",IF(銘柄管理!$F$5="下落▼",IF(AND(AD74="パーフェクト▲",OR(AE74="25日線押し目●",AE74="5日線押し目○")),"★逆張り候補",IF(AND(AD74="上昇トレンド▲",OR(AE74="25日線押し目●",AE74="5日線押し目○")),"○逆張り候補",IF(W74&lt;=30,IF(Z74&gt;0,"◎反発確認",IF(Z74&lt;-5,"△要注意・様子見","△売られ過ぎ注目")),"相場下落・見送り"))),IF(AND(T74&gt;=12,AD74="パーフェクト▲"),"★強い買い",IF(AND(T74&gt;=12,AD74="上昇トレンド▲"),"★強い買い",IF(AND(T74&gt;=8,OR(AE74="25日線押し目●",AE74="5日線押し目○")),"◎押し目買い",IF(T74&gt;=10,"○買い候補",IF(T74&gt;=6,"△注目",IF(T74&gt;=3,"様子見","見送り"))))))))</f>
        <v/>
      </c>
      <c r="Z74" s="616">
        <f>IF(AND(E74&lt;&gt;"",G74&lt;&gt;"",G74&lt;&gt;0),(E74-G74)/G74*100,"")</f>
        <v/>
      </c>
      <c r="AA74" s="176">
        <f>IF(OR(C74="",E74="",E74=0),"",IF(E74&gt;G74,"上昇▲",IF(E74&lt;G74,"下落▼","横ばい→")))</f>
        <v/>
      </c>
      <c r="AB74" s="438">
        <f>IF(C74="","",IFERROR(((終値!E76*0.333)+(終値!F76*0.222)+(終値!G76*0.148)+(終値!H76*0.099)+(終値!I76*0.066)+(終値!J76*0.044)+(終値!K76*0.029)+(終値!L76*0.019)+(終値!M76*0.013)+(終値!N76*0.009))/(0.333+0.222+0.148+0.099+0.066+0.044+0.029+0.019+0.013+0.009),""))</f>
        <v/>
      </c>
      <c r="AC74" s="438">
        <f>IF(C74="","",IFERROR(SUMPRODUCT((終値!E76:AC76)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4" s="439">
        <f>IF(OR(C74="",AB74="",AC74=""),"",IF(AND(E74&gt;AB74,AB74&gt;AC74),"パーフェクト▲",IF(E74&gt;AC74,"上昇トレンド▲",IF(AND(E74&lt;AB74,AB74&lt;AC74),"下降トレンド▼","もみ合い→"))))</f>
        <v/>
      </c>
      <c r="AE74" s="439">
        <f>IF(OR(C74="",AB74="",AC74=""),"",IF(AND(ABS(E74-AC74)/AC74&lt;=0.02,E74&gt;AC74),"25日押し目★",IF(AND(ABS(E74-AB74)/AB74&lt;=0.01,E74&gt;AB74),"5日押し目○","なし")))</f>
        <v/>
      </c>
      <c r="AF74" s="617">
        <f t="array" ref="AF74">IF(C74="","",IFERROR((INDEX(終値!$E:$E,MATCH(TEXT(C74,"0"),終値!$A:$A,0))-INDEX(終値!$E:$BL,MATCH(TEXT(C74,"0"),終値!$A:$A,0),$AL$2))/INDEX(終値!$E:$BL,MATCH(TEXT(C74,"0"),終値!$A:$A,0),$AL$2)*100,""))</f>
        <v/>
      </c>
      <c r="AG74" s="617">
        <f t="array" ref="AG74">IFERROR((終値!$E$5-INDEX(終値!$E$5:$BL$5,1,$AL$2))/INDEX(終値!$E$5:$BL$5,1,$AL$2)*100,"")</f>
        <v/>
      </c>
      <c r="AH74" s="618">
        <f>IF(OR(AF74="",AG74=""),"",AF74-AG74)</f>
        <v/>
      </c>
      <c r="AI74" s="385">
        <f>IF(AH74="","",IF(AH74&gt;5,3,IF(AH74&gt;0,1,IF(AH74&gt;-3,-1,-2))))</f>
        <v/>
      </c>
    </row>
    <row r="75" ht="18" customFormat="1" customHeight="1" s="187">
      <c r="A75" s="176">
        <f>IF(銘柄管理!B82&lt;&gt;"",HYPERLINK("https://kabutan.jp/stock/?code="&amp;銘柄管理!B82,"株探"),"")</f>
        <v/>
      </c>
      <c r="B75" s="177" t="n"/>
      <c r="C75" s="178">
        <f>IF(銘柄管理!B82="","",銘柄管理!B82)</f>
        <v/>
      </c>
      <c r="D75" s="106">
        <f>IF(銘柄管理!C82="","",銘柄管理!C82)</f>
        <v/>
      </c>
      <c r="E75" s="179">
        <f>IF(C75&lt;&gt;"",_xll.RssMarket(C75,"現在値"),"")</f>
        <v/>
      </c>
      <c r="F75" s="179">
        <f>IF(C75&lt;&gt;"",_xll.RssMarket(C75,"始値"),"")</f>
        <v/>
      </c>
      <c r="G75" s="178">
        <f>IF(C75&lt;&gt;"",終値!F82,"")</f>
        <v/>
      </c>
      <c r="H75" s="179">
        <f>IF(C75&lt;&gt;"",_xll.RssMarket(C75,"高値"),"")</f>
        <v/>
      </c>
      <c r="I75" s="179">
        <f>IF(C75&lt;&gt;"",_xll.RssMarket(C75,"安値"),"")</f>
        <v/>
      </c>
      <c r="J75" s="179">
        <f>IF(C75&lt;&gt;"",_xll.RssMarket(C75,"出来高"),"")</f>
        <v/>
      </c>
      <c r="K75" s="179">
        <f>IF(C75&lt;&gt;"",_xll.RssMarket(C75,"年初来高値"),"")</f>
        <v/>
      </c>
      <c r="L75" s="613">
        <f>IF(AND(E75&lt;&gt;"",K75&lt;&gt;"",K75&lt;&gt;0),(E75-K75)/K75*100,"")</f>
        <v/>
      </c>
      <c r="M75" s="179">
        <f>IF(C75&lt;&gt;"",IFERROR(AVERAGE(出来高!E82:I82),""),"")</f>
        <v/>
      </c>
      <c r="N75" s="179">
        <f>IF(C75&lt;&gt;"",IFERROR(AVERAGE(出来高!E82:AC82),""),"")</f>
        <v/>
      </c>
      <c r="O75" s="614">
        <f>IF(AND(J75&lt;&gt;"",M75&lt;&gt;"",M75&lt;&gt;0),J75/M75,"")</f>
        <v/>
      </c>
      <c r="P75" s="176">
        <f>IF(O75="","",IF(O75&gt;=2,"急増↑↑",IF(O75&gt;=1.5,"増加↑",IF(O75&gt;=1,"普通→","減少↓"))))</f>
        <v/>
      </c>
      <c r="Q75" s="176">
        <f>IF(E75="","",IF(AND(E75&gt;G75,O75&gt;=1.5),"買い▲",IF(E75&lt;G75,"様子見▼","中立→")))</f>
        <v/>
      </c>
      <c r="R75" s="179">
        <f>IF(E75&lt;&gt;"",ROUND(E75*1.08,0),"")</f>
        <v/>
      </c>
      <c r="S75" s="179">
        <f>IF(E75&lt;&gt;"",ROUND(E75*0.96,0),"")</f>
        <v/>
      </c>
      <c r="T75" s="176">
        <f>IF(C75="","",IFERROR(IF(O75&gt;=2,3,IF(O75&gt;=1.5,2,IF(O75&gt;=1,1,0)))+IF(E75&gt;G75,1,0)+IF(L75&gt;=-5,1,0)+IF(Q75="買い▲",2,0)+IF(W75&lt;=30,3,IF(W75&lt;=40,2,IF(AND(W75&gt;=40,W75&lt;=60),1,0)))+IF(X75&gt;0,1,0)+IF(V75="年初来高値更新●",3,IF(V75="高値圏",2,0))+IF(AD75="パーフェクト▲",3,IF(AD75="上昇トレンド▲",2,0))+IF(AE75="25日線押し目●",2,IF(AE75="5日線押し目○",1,0))+IF(P75="急増↑↑",2,IF(P75="増加↑",1,0))+N(AI75),0))</f>
        <v/>
      </c>
      <c r="U75" s="176">
        <f>IF(T75="","",IF(AND(T75&gt;=3,O75&gt;=1.5),"有効",IF(T75&gt;=3,"要確認","除外")))</f>
        <v/>
      </c>
      <c r="V75" s="176">
        <f>IF(AND(H75&lt;&gt;"",K75&lt;&gt;""),IF(H75&gt;=K75,"年初来高値更新●",IF(H75&gt;=K75*0.95,"高値圏","通常")),"")</f>
        <v/>
      </c>
      <c r="W75" s="615">
        <f t="array" ref="W75">IF(C75&lt;&gt;"",IFERROR(100-100/(1+SUMPRODUCT((終値!F82:R82&gt;終値!G82:S82)*( 終値!F82:R82-終値!G82:S82))/SUMPRODUCT((終値!F82:R82&lt;終値!G82:S82)*(終値!G82:S82-終値!F82:R82))),50),"")</f>
        <v/>
      </c>
      <c r="X75" s="183">
        <f>IF(C75&lt;&gt;"",IFERROR(SUMPRODUCT(終値!E82:P82,{0.154,0.132,0.113,0.097,0.083,0.071,0.061,0.052,0.045,0.038,0.033,0.028})/SUMPRODUCT({0.154,0.132,0.113,0.097,0.083,0.071,0.061,0.052,0.045,0.038,0.033,0.028})-SUMPRODUCT(終値!E82:AD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5" s="570">
        <f>IF(T75="","",IF(銘柄管理!$F$5="下落▼",IF(AND(AD75="パーフェクト▲",OR(AE75="25日線押し目●",AE75="5日線押し目○")),"★逆張り候補",IF(AND(AD75="上昇トレンド▲",OR(AE75="25日線押し目●",AE75="5日線押し目○")),"○逆張り候補",IF(W75&lt;=30,IF(Z75&gt;0,"◎反発確認",IF(Z75&lt;-5,"△要注意・様子見","△売られ過ぎ注目")),"相場下落・見送り"))),IF(AND(T75&gt;=12,AD75="パーフェクト▲"),"★強い買い",IF(AND(T75&gt;=12,AD75="上昇トレンド▲"),"★強い買い",IF(AND(T75&gt;=8,OR(AE75="25日線押し目●",AE75="5日線押し目○")),"◎押し目買い",IF(T75&gt;=10,"○買い候補",IF(T75&gt;=6,"△注目",IF(T75&gt;=3,"様子見","見送り"))))))))</f>
        <v/>
      </c>
      <c r="Z75" s="616">
        <f>IF(AND(E75&lt;&gt;"",G75&lt;&gt;"",G75&lt;&gt;0),(E75-G75)/G75*100,"")</f>
        <v/>
      </c>
      <c r="AA75" s="176">
        <f>IF(OR(C75="",E75="",E75=0),"",IF(E75&gt;G75,"上昇▲",IF(E75&lt;G75,"下落▼","横ばい→")))</f>
        <v/>
      </c>
      <c r="AB75" s="440">
        <f>IF(C75="","",IFERROR(((終値!E77*0.333)+(終値!F77*0.222)+(終値!G77*0.148)+(終値!H77*0.099)+(終値!I77*0.066)+(終値!J77*0.044)+(終値!K77*0.029)+(終値!L77*0.019)+(終値!M77*0.013)+(終値!N77*0.009))/(0.333+0.222+0.148+0.099+0.066+0.044+0.029+0.019+0.013+0.009),""))</f>
        <v/>
      </c>
      <c r="AC75" s="440">
        <f>IF(C75="","",IFERROR(SUMPRODUCT((終値!E77:AC77)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5" s="441">
        <f>IF(OR(C75="",AB75="",AC75=""),"",IF(AND(E75&gt;AB75,AB75&gt;AC75),"パーフェクト▲",IF(E75&gt;AC75,"上昇トレンド▲",IF(AND(E75&lt;AB75,AB75&lt;AC75),"下降トレンド▼","もみ合い→"))))</f>
        <v/>
      </c>
      <c r="AE75" s="441">
        <f>IF(OR(C75="",AB75="",AC75=""),"",IF(AND(ABS(E75-AC75)/AC75&lt;=0.02,E75&gt;AC75),"25日押し目★",IF(AND(ABS(E75-AB75)/AB75&lt;=0.01,E75&gt;AB75),"5日押し目○","なし")))</f>
        <v/>
      </c>
      <c r="AF75" s="617">
        <f t="array" ref="AF75">IF(C75="","",IFERROR((INDEX(終値!$E:$E,MATCH(TEXT(C75,"0"),終値!$A:$A,0))-INDEX(終値!$E:$BL,MATCH(TEXT(C75,"0"),終値!$A:$A,0),$AL$2))/INDEX(終値!$E:$BL,MATCH(TEXT(C75,"0"),終値!$A:$A,0),$AL$2)*100,""))</f>
        <v/>
      </c>
      <c r="AG75" s="617">
        <f t="array" ref="AG75">IFERROR((終値!$E$5-INDEX(終値!$E$5:$BL$5,1,$AL$2))/INDEX(終値!$E$5:$BL$5,1,$AL$2)*100,"")</f>
        <v/>
      </c>
      <c r="AH75" s="618">
        <f>IF(OR(AF75="",AG75=""),"",AF75-AG75)</f>
        <v/>
      </c>
      <c r="AI75" s="385">
        <f>IF(AH75="","",IF(AH75&gt;5,3,IF(AH75&gt;0,1,IF(AH75&gt;-3,-1,-2))))</f>
        <v/>
      </c>
    </row>
    <row r="76" ht="18" customFormat="1" customHeight="1" s="187">
      <c r="A76" s="176">
        <f>IF(銘柄管理!B106&lt;&gt;"",HYPERLINK("https://kabutan.jp/stock/?code="&amp;銘柄管理!B106,"株探"),"")</f>
        <v/>
      </c>
      <c r="B76" s="177" t="n"/>
      <c r="C76" s="178">
        <f>IF(銘柄管理!B106="","",銘柄管理!B106)</f>
        <v/>
      </c>
      <c r="D76" s="106">
        <f>IF(銘柄管理!C106="","",銘柄管理!C106)</f>
        <v/>
      </c>
      <c r="E76" s="179">
        <f>IF(C76&lt;&gt;"",_xll.RssMarket(C76,"現在値"),"")</f>
        <v/>
      </c>
      <c r="F76" s="179">
        <f>IF(C76&lt;&gt;"",_xll.RssMarket(C76,"始値"),"")</f>
        <v/>
      </c>
      <c r="G76" s="178">
        <f>IF(C76&lt;&gt;"",終値!F106,"")</f>
        <v/>
      </c>
      <c r="H76" s="179">
        <f>IF(C76&lt;&gt;"",_xll.RssMarket(C76,"高値"),"")</f>
        <v/>
      </c>
      <c r="I76" s="179">
        <f>IF(C76&lt;&gt;"",_xll.RssMarket(C76,"安値"),"")</f>
        <v/>
      </c>
      <c r="J76" s="179">
        <f>IF(C76&lt;&gt;"",_xll.RssMarket(C76,"出来高"),"")</f>
        <v/>
      </c>
      <c r="K76" s="179">
        <f>IF(C76&lt;&gt;"",_xll.RssMarket(C76,"年初来高値"),"")</f>
        <v/>
      </c>
      <c r="L76" s="613">
        <f>IF(AND(E76&lt;&gt;"",K76&lt;&gt;"",K76&lt;&gt;0),(E76-K76)/K76*100,"")</f>
        <v/>
      </c>
      <c r="M76" s="179">
        <f>IF(C76&lt;&gt;"",IFERROR(AVERAGE(出来高!E106:I106),""),"")</f>
        <v/>
      </c>
      <c r="N76" s="179">
        <f>IF(C76&lt;&gt;"",IFERROR(AVERAGE(出来高!E106:AC106),""),"")</f>
        <v/>
      </c>
      <c r="O76" s="614">
        <f>IF(AND(J76&lt;&gt;"",M76&lt;&gt;"",M76&lt;&gt;0),J76/M76,"")</f>
        <v/>
      </c>
      <c r="P76" s="176">
        <f>IF(O76="","",IF(O76&gt;=2,"急増↑↑",IF(O76&gt;=1.5,"増加↑",IF(O76&gt;=1,"普通→","減少↓"))))</f>
        <v/>
      </c>
      <c r="Q76" s="176">
        <f>IF(E76="","",IF(AND(E76&gt;G76,O76&gt;=1.5),"買い▲",IF(E76&lt;G76,"様子見▼","中立→")))</f>
        <v/>
      </c>
      <c r="R76" s="179">
        <f>IF(E76&lt;&gt;"",ROUND(E76*1.08,0),"")</f>
        <v/>
      </c>
      <c r="S76" s="179">
        <f>IF(E76&lt;&gt;"",ROUND(E76*0.96,0),"")</f>
        <v/>
      </c>
      <c r="T76" s="176">
        <f>IF(C76="","",IFERROR(IF(O76&gt;=2,3,IF(O76&gt;=1.5,2,IF(O76&gt;=1,1,0)))+IF(E76&gt;G76,1,0)+IF(L76&gt;=-5,1,0)+IF(Q76="買い▲",2,0)+IF(W76&lt;=30,3,IF(W76&lt;=40,2,IF(AND(W76&gt;=40,W76&lt;=60),1,0)))+IF(X76&gt;0,1,0)+IF(V76="年初来高値更新●",3,IF(V76="高値圏",2,0))+IF(AD76="パーフェクト▲",3,IF(AD76="上昇トレンド▲",2,0))+IF(AE76="25日線押し目●",2,IF(AE76="5日線押し目○",1,0))+IF(P76="急増↑↑",2,IF(P76="増加↑",1,0))+N(AI76),0))</f>
        <v/>
      </c>
      <c r="U76" s="176">
        <f>IF(T76="","",IF(AND(T76&gt;=3,O76&gt;=1.5),"有効",IF(T76&gt;=3,"要確認","除外")))</f>
        <v/>
      </c>
      <c r="V76" s="176">
        <f>IF(AND(H76&lt;&gt;"",K76&lt;&gt;""),IF(H76&gt;=K76,"年初来高値更新●",IF(H76&gt;=K76*0.95,"高値圏","通常")),"")</f>
        <v/>
      </c>
      <c r="W76" s="615">
        <f t="array" ref="W76">IF(C76&lt;&gt;"",IFERROR(100-100/(1+SUMPRODUCT((終値!F106:R106&gt;終値!G106:S106)*( 終値!F106:R106-終値!G106:S106))/SUMPRODUCT((終値!F106:R106&lt;終値!G106:S106)*(終値!G106:S106-終値!F106:R106))),50),"")</f>
        <v/>
      </c>
      <c r="X76" s="183">
        <f>IF(C76&lt;&gt;"",IFERROR(SUMPRODUCT(終値!E106:P106,{0.154,0.132,0.113,0.097,0.083,0.071,0.061,0.052,0.045,0.038,0.033,0.028})/SUMPRODUCT({0.154,0.132,0.113,0.097,0.083,0.071,0.061,0.052,0.045,0.038,0.033,0.028})-SUMPRODUCT(終値!E106:AD106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6" s="570">
        <f>IF(T76="","",IF(銘柄管理!$F$5="下落▼",IF(AND(AD76="パーフェクト▲",OR(AE76="25日線押し目●",AE76="5日線押し目○")),"★逆張り候補",IF(AND(AD76="上昇トレンド▲",OR(AE76="25日線押し目●",AE76="5日線押し目○")),"○逆張り候補",IF(W76&lt;=30,IF(Z76&gt;0,"◎反発確認",IF(Z76&lt;-5,"△要注意・様子見","△売られ過ぎ注目")),"相場下落・見送り"))),IF(AND(T76&gt;=12,AD76="パーフェクト▲"),"★強い買い",IF(AND(T76&gt;=12,AD76="上昇トレンド▲"),"★強い買い",IF(AND(T76&gt;=8,OR(AE76="25日線押し目●",AE76="5日線押し目○")),"◎押し目買い",IF(T76&gt;=10,"○買い候補",IF(T76&gt;=6,"△注目",IF(T76&gt;=3,"様子見","見送り"))))))))</f>
        <v/>
      </c>
      <c r="Z76" s="616">
        <f>IF(AND(E76&lt;&gt;"",G76&lt;&gt;"",G76&lt;&gt;0),(E76-G76)/G76*100,"")</f>
        <v/>
      </c>
      <c r="AA76" s="176">
        <f>IF(OR(C76="",E76="",E76=0),"",IF(E76&gt;G76,"上昇▲",IF(E76&lt;G76,"下落▼","横ばい→")))</f>
        <v/>
      </c>
      <c r="AB76" s="438">
        <f>IF(C76="","",IFERROR(((終値!E78*0.333)+(終値!F78*0.222)+(終値!G78*0.148)+(終値!H78*0.099)+(終値!I78*0.066)+(終値!J78*0.044)+(終値!K78*0.029)+(終値!L78*0.019)+(終値!M78*0.013)+(終値!N78*0.009))/(0.333+0.222+0.148+0.099+0.066+0.044+0.029+0.019+0.013+0.009),""))</f>
        <v/>
      </c>
      <c r="AC76" s="438">
        <f>IF(C76="","",IFERROR(SUMPRODUCT((終値!E78:AC78)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6" s="439">
        <f>IF(OR(C76="",AB76="",AC76=""),"",IF(AND(E76&gt;AB76,AB76&gt;AC76),"パーフェクト▲",IF(E76&gt;AC76,"上昇トレンド▲",IF(AND(E76&lt;AB76,AB76&lt;AC76),"下降トレンド▼","もみ合い→"))))</f>
        <v/>
      </c>
      <c r="AE76" s="439">
        <f>IF(OR(C76="",AB76="",AC76=""),"",IF(AND(ABS(E76-AC76)/AC76&lt;=0.02,E76&gt;AC76),"25日押し目★",IF(AND(ABS(E76-AB76)/AB76&lt;=0.01,E76&gt;AB76),"5日押し目○","なし")))</f>
        <v/>
      </c>
      <c r="AF76" s="617">
        <f t="array" ref="AF76">IF(C76="","",IFERROR((INDEX(終値!$E:$E,MATCH(TEXT(C76,"0"),終値!$A:$A,0))-INDEX(終値!$E:$BL,MATCH(TEXT(C76,"0"),終値!$A:$A,0),$AL$2))/INDEX(終値!$E:$BL,MATCH(TEXT(C76,"0"),終値!$A:$A,0),$AL$2)*100,""))</f>
        <v/>
      </c>
      <c r="AG76" s="617">
        <f t="array" ref="AG76">IFERROR((終値!$E$5-INDEX(終値!$E$5:$BL$5,1,$AL$2))/INDEX(終値!$E$5:$BL$5,1,$AL$2)*100,"")</f>
        <v/>
      </c>
      <c r="AH76" s="618">
        <f>IF(OR(AF76="",AG76=""),"",AF76-AG76)</f>
        <v/>
      </c>
      <c r="AI76" s="385">
        <f>IF(AH76="","",IF(AH76&gt;5,3,IF(AH76&gt;0,1,IF(AH76&gt;-3,-1,-2))))</f>
        <v/>
      </c>
    </row>
    <row r="77" ht="18" customFormat="1" customHeight="1" s="187">
      <c r="A77" s="176">
        <f>IF(銘柄管理!B207&lt;&gt;"",HYPERLINK("https://kabutan.jp/stock/?code="&amp;銘柄管理!B207,"株探"),"")</f>
        <v/>
      </c>
      <c r="B77" s="177" t="n"/>
      <c r="C77" s="178">
        <f>IF(銘柄管理!B207="","",銘柄管理!B207)</f>
        <v/>
      </c>
      <c r="D77" s="106">
        <f>IF(銘柄管理!C207="","",銘柄管理!C207)</f>
        <v/>
      </c>
      <c r="E77" s="179">
        <f>IF(C77&lt;&gt;"",_xll.RssMarket(C77,"現在値"),"")</f>
        <v/>
      </c>
      <c r="F77" s="179">
        <f>IF(C77&lt;&gt;"",_xll.RssMarket(C77,"始値"),"")</f>
        <v/>
      </c>
      <c r="G77" s="178">
        <f>IF(C77&lt;&gt;"",終値!F207,"")</f>
        <v/>
      </c>
      <c r="H77" s="179">
        <f>IF(C77&lt;&gt;"",_xll.RssMarket(C77,"高値"),"")</f>
        <v/>
      </c>
      <c r="I77" s="179">
        <f>IF(C77&lt;&gt;"",_xll.RssMarket(C77,"安値"),"")</f>
        <v/>
      </c>
      <c r="J77" s="179">
        <f>IF(C77&lt;&gt;"",_xll.RssMarket(C77,"出来高"),"")</f>
        <v/>
      </c>
      <c r="K77" s="179">
        <f>IF(C77&lt;&gt;"",_xll.RssMarket(C77,"年初来高値"),"")</f>
        <v/>
      </c>
      <c r="L77" s="613">
        <f>IF(AND(E77&lt;&gt;"",K77&lt;&gt;"",K77&lt;&gt;0),(E77-K77)/K77*100,"")</f>
        <v/>
      </c>
      <c r="M77" s="179">
        <f>IF(C77&lt;&gt;"",IFERROR(AVERAGE(出来高!E207:I207),""),"")</f>
        <v/>
      </c>
      <c r="N77" s="179">
        <f>IF(C77&lt;&gt;"",IFERROR(AVERAGE(出来高!E207:AC207),""),"")</f>
        <v/>
      </c>
      <c r="O77" s="614">
        <f>IF(AND(J77&lt;&gt;"",M77&lt;&gt;"",M77&lt;&gt;0),J77/M77,"")</f>
        <v/>
      </c>
      <c r="P77" s="176">
        <f>IF(O77="","",IF(O77&gt;=2,"急増↑↑",IF(O77&gt;=1.5,"増加↑",IF(O77&gt;=1,"普通→","減少↓"))))</f>
        <v/>
      </c>
      <c r="Q77" s="176">
        <f>IF(E77="","",IF(AND(E77&gt;G77,O77&gt;=1.5),"買い▲",IF(E77&lt;G77,"様子見▼","中立→")))</f>
        <v/>
      </c>
      <c r="R77" s="179">
        <f>IF(E77&lt;&gt;"",ROUND(E77*1.08,0),"")</f>
        <v/>
      </c>
      <c r="S77" s="179">
        <f>IF(E77&lt;&gt;"",ROUND(E77*0.96,0),"")</f>
        <v/>
      </c>
      <c r="T77" s="176">
        <f>IF(C77="","",IFERROR(IF(O77&gt;=2,3,IF(O77&gt;=1.5,2,IF(O77&gt;=1,1,0)))+IF(E77&gt;G77,1,0)+IF(L77&gt;=-5,1,0)+IF(Q77="買い▲",2,0)+IF(W77&lt;=30,3,IF(W77&lt;=40,2,IF(AND(W77&gt;=40,W77&lt;=60),1,0)))+IF(X77&gt;0,1,0)+IF(V77="年初来高値更新●",3,IF(V77="高値圏",2,0))+IF(AD77="パーフェクト▲",3,IF(AD77="上昇トレンド▲",2,0))+IF(AE77="25日線押し目●",2,IF(AE77="5日線押し目○",1,0))+IF(P77="急増↑↑",2,IF(P77="増加↑",1,0))+N(AI77),0))</f>
        <v/>
      </c>
      <c r="U77" s="176">
        <f>IF(T77="","",IF(AND(T77&gt;=3,O77&gt;=1.5),"有効",IF(T77&gt;=3,"要確認","除外")))</f>
        <v/>
      </c>
      <c r="V77" s="176">
        <f>IF(AND(H77&lt;&gt;"",K77&lt;&gt;""),IF(H77&gt;=K77,"年初来高値更新●",IF(H77&gt;=K77*0.95,"高値圏","通常")),"")</f>
        <v/>
      </c>
      <c r="W77" s="615">
        <f t="array" ref="W77">IF(C77&lt;&gt;"",IFERROR(100-100/(1+SUMPRODUCT((終値!F207:R207&gt;終値!G207:S207)*( 終値!F207:R207-終値!G207:S207))/SUMPRODUCT((終値!F207:R207&lt;終値!G207:S207)*(終値!G207:S207-終値!F207:R207))),50),"")</f>
        <v/>
      </c>
      <c r="X77" s="183">
        <f>IF(C77&lt;&gt;"",IFERROR(SUMPRODUCT(終値!E207:P207,{0.154,0.132,0.113,0.097,0.083,0.071,0.061,0.052,0.045,0.038,0.033,0.028})/SUMPRODUCT({0.154,0.132,0.113,0.097,0.083,0.071,0.061,0.052,0.045,0.038,0.033,0.028})-SUMPRODUCT(終値!E207:AD207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7" s="570">
        <f>IF(T77="","",IF(銘柄管理!$F$5="下落▼",IF(AND(AD77="パーフェクト▲",OR(AE77="25日線押し目●",AE77="5日線押し目○")),"★逆張り候補",IF(AND(AD77="上昇トレンド▲",OR(AE77="25日線押し目●",AE77="5日線押し目○")),"○逆張り候補",IF(W77&lt;=30,IF(Z77&gt;0,"◎反発確認",IF(Z77&lt;-5,"△要注意・様子見","△売られ過ぎ注目")),"相場下落・見送り"))),IF(AND(T77&gt;=12,AD77="パーフェクト▲"),"★強い買い",IF(AND(T77&gt;=12,AD77="上昇トレンド▲"),"★強い買い",IF(AND(T77&gt;=8,OR(AE77="25日線押し目●",AE77="5日線押し目○")),"◎押し目買い",IF(T77&gt;=10,"○買い候補",IF(T77&gt;=6,"△注目",IF(T77&gt;=3,"様子見","見送り"))))))))</f>
        <v/>
      </c>
      <c r="Z77" s="616">
        <f>IF(AND(E77&lt;&gt;"",G77&lt;&gt;"",G77&lt;&gt;0),(E77-G77)/G77*100,"")</f>
        <v/>
      </c>
      <c r="AA77" s="176">
        <f>IF(OR(C77="",E77="",E77=0),"",IF(E77&gt;G77,"上昇▲",IF(E77&lt;G77,"下落▼","横ばい→")))</f>
        <v/>
      </c>
      <c r="AB77" s="440">
        <f>IF(C77="","",IFERROR(((終値!E79*0.333)+(終値!F79*0.222)+(終値!G79*0.148)+(終値!H79*0.099)+(終値!I79*0.066)+(終値!J79*0.044)+(終値!K79*0.029)+(終値!L79*0.019)+(終値!M79*0.013)+(終値!N79*0.009))/(0.333+0.222+0.148+0.099+0.066+0.044+0.029+0.019+0.013+0.009),""))</f>
        <v/>
      </c>
      <c r="AC77" s="440">
        <f>IF(C77="","",IFERROR(SUMPRODUCT((終値!E79:AC79)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7" s="441">
        <f>IF(OR(C77="",AB77="",AC77=""),"",IF(AND(E77&gt;AB77,AB77&gt;AC77),"パーフェクト▲",IF(E77&gt;AC77,"上昇トレンド▲",IF(AND(E77&lt;AB77,AB77&lt;AC77),"下降トレンド▼","もみ合い→"))))</f>
        <v/>
      </c>
      <c r="AE77" s="441">
        <f>IF(OR(C77="",AB77="",AC77=""),"",IF(AND(ABS(E77-AC77)/AC77&lt;=0.02,E77&gt;AC77),"25日押し目★",IF(AND(ABS(E77-AB77)/AB77&lt;=0.01,E77&gt;AB77),"5日押し目○","なし")))</f>
        <v/>
      </c>
      <c r="AF77" s="617">
        <f t="array" ref="AF77">IF(C77="","",IFERROR((INDEX(終値!$E:$E,MATCH(TEXT(C77,"0"),終値!$A:$A,0))-INDEX(終値!$E:$BL,MATCH(TEXT(C77,"0"),終値!$A:$A,0),$AL$2))/INDEX(終値!$E:$BL,MATCH(TEXT(C77,"0"),終値!$A:$A,0),$AL$2)*100,""))</f>
        <v/>
      </c>
      <c r="AG77" s="617">
        <f t="array" ref="AG77">IFERROR((終値!$E$5-INDEX(終値!$E$5:$BL$5,1,$AL$2))/INDEX(終値!$E$5:$BL$5,1,$AL$2)*100,"")</f>
        <v/>
      </c>
      <c r="AH77" s="618">
        <f>IF(OR(AF77="",AG77=""),"",AF77-AG77)</f>
        <v/>
      </c>
      <c r="AI77" s="385">
        <f>IF(AH77="","",IF(AH77&gt;5,3,IF(AH77&gt;0,1,IF(AH77&gt;-3,-1,-2))))</f>
        <v/>
      </c>
    </row>
    <row r="78" ht="18" customFormat="1" customHeight="1" s="187">
      <c r="A78" s="176">
        <f>IF(銘柄管理!B154&lt;&gt;"",HYPERLINK("https://kabutan.jp/stock/?code="&amp;銘柄管理!B154,"株探"),"")</f>
        <v/>
      </c>
      <c r="B78" s="177" t="n"/>
      <c r="C78" s="178">
        <f>IF(銘柄管理!B154="","",銘柄管理!B154)</f>
        <v/>
      </c>
      <c r="D78" s="106">
        <f>IF(銘柄管理!C154="","",銘柄管理!C154)</f>
        <v/>
      </c>
      <c r="E78" s="179">
        <f>IF(C78&lt;&gt;"",_xll.RssMarket(C78,"現在値"),"")</f>
        <v/>
      </c>
      <c r="F78" s="179">
        <f>IF(C78&lt;&gt;"",_xll.RssMarket(C78,"始値"),"")</f>
        <v/>
      </c>
      <c r="G78" s="178">
        <f>IF(C78&lt;&gt;"",終値!F154,"")</f>
        <v/>
      </c>
      <c r="H78" s="179">
        <f>IF(C78&lt;&gt;"",_xll.RssMarket(C78,"高値"),"")</f>
        <v/>
      </c>
      <c r="I78" s="179">
        <f>IF(C78&lt;&gt;"",_xll.RssMarket(C78,"安値"),"")</f>
        <v/>
      </c>
      <c r="J78" s="179">
        <f>IF(C78&lt;&gt;"",_xll.RssMarket(C78,"出来高"),"")</f>
        <v/>
      </c>
      <c r="K78" s="179">
        <f>IF(C78&lt;&gt;"",_xll.RssMarket(C78,"年初来高値"),"")</f>
        <v/>
      </c>
      <c r="L78" s="613">
        <f>IF(AND(E78&lt;&gt;"",K78&lt;&gt;"",K78&lt;&gt;0),(E78-K78)/K78*100,"")</f>
        <v/>
      </c>
      <c r="M78" s="179">
        <f>IF(C78&lt;&gt;"",IFERROR(AVERAGE(出来高!E154:I154),""),"")</f>
        <v/>
      </c>
      <c r="N78" s="179">
        <f>IF(C78&lt;&gt;"",IFERROR(AVERAGE(出来高!E154:AC154),""),"")</f>
        <v/>
      </c>
      <c r="O78" s="614">
        <f>IF(AND(J78&lt;&gt;"",M78&lt;&gt;"",M78&lt;&gt;0),J78/M78,"")</f>
        <v/>
      </c>
      <c r="P78" s="176">
        <f>IF(O78="","",IF(O78&gt;=2,"急増↑↑",IF(O78&gt;=1.5,"増加↑",IF(O78&gt;=1,"普通→","減少↓"))))</f>
        <v/>
      </c>
      <c r="Q78" s="176">
        <f>IF(E78="","",IF(AND(E78&gt;G78,O78&gt;=1.5),"買い▲",IF(E78&lt;G78,"様子見▼","中立→")))</f>
        <v/>
      </c>
      <c r="R78" s="179">
        <f>IF(E78&lt;&gt;"",ROUND(E78*1.08,0),"")</f>
        <v/>
      </c>
      <c r="S78" s="179">
        <f>IF(E78&lt;&gt;"",ROUND(E78*0.96,0),"")</f>
        <v/>
      </c>
      <c r="T78" s="176">
        <f>IF(C78="","",IFERROR(IF(O78&gt;=2,3,IF(O78&gt;=1.5,2,IF(O78&gt;=1,1,0)))+IF(E78&gt;G78,1,0)+IF(L78&gt;=-5,1,0)+IF(Q78="買い▲",2,0)+IF(W78&lt;=30,3,IF(W78&lt;=40,2,IF(AND(W78&gt;=40,W78&lt;=60),1,0)))+IF(X78&gt;0,1,0)+IF(V78="年初来高値更新●",3,IF(V78="高値圏",2,0))+IF(AD78="パーフェクト▲",3,IF(AD78="上昇トレンド▲",2,0))+IF(AE78="25日線押し目●",2,IF(AE78="5日線押し目○",1,0))+IF(P78="急増↑↑",2,IF(P78="増加↑",1,0))+N(AI78),0))</f>
        <v/>
      </c>
      <c r="U78" s="176">
        <f>IF(T78="","",IF(AND(T78&gt;=3,O78&gt;=1.5),"有効",IF(T78&gt;=3,"要確認","除外")))</f>
        <v/>
      </c>
      <c r="V78" s="176">
        <f>IF(AND(H78&lt;&gt;"",K78&lt;&gt;""),IF(H78&gt;=K78,"年初来高値更新●",IF(H78&gt;=K78*0.95,"高値圏","通常")),"")</f>
        <v/>
      </c>
      <c r="W78" s="615">
        <f t="array" ref="W78">IF(C78&lt;&gt;"",IFERROR(100-100/(1+SUMPRODUCT((終値!F154:R154&gt;終値!G154:S154)*( 終値!F154:R154-終値!G154:S154))/SUMPRODUCT((終値!F154:R154&lt;終値!G154:S154)*(終値!G154:S154-終値!F154:R154))),50),"")</f>
        <v/>
      </c>
      <c r="X78" s="183">
        <f>IF(C78&lt;&gt;"",IFERROR(SUMPRODUCT(終値!E154:P154,{0.154,0.132,0.113,0.097,0.083,0.071,0.061,0.052,0.045,0.038,0.033,0.028})/SUMPRODUCT({0.154,0.132,0.113,0.097,0.083,0.071,0.061,0.052,0.045,0.038,0.033,0.028})-SUMPRODUCT(終値!E154:AD154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8" s="570">
        <f>IF(T78="","",IF(銘柄管理!$F$5="下落▼",IF(AND(AD78="パーフェクト▲",OR(AE78="25日線押し目●",AE78="5日線押し目○")),"★逆張り候補",IF(AND(AD78="上昇トレンド▲",OR(AE78="25日線押し目●",AE78="5日線押し目○")),"○逆張り候補",IF(W78&lt;=30,IF(Z78&gt;0,"◎反発確認",IF(Z78&lt;-5,"△要注意・様子見","△売られ過ぎ注目")),"相場下落・見送り"))),IF(AND(T78&gt;=12,AD78="パーフェクト▲"),"★強い買い",IF(AND(T78&gt;=12,AD78="上昇トレンド▲"),"★強い買い",IF(AND(T78&gt;=8,OR(AE78="25日線押し目●",AE78="5日線押し目○")),"◎押し目買い",IF(T78&gt;=10,"○買い候補",IF(T78&gt;=6,"△注目",IF(T78&gt;=3,"様子見","見送り"))))))))</f>
        <v/>
      </c>
      <c r="Z78" s="616">
        <f>IF(AND(E78&lt;&gt;"",G78&lt;&gt;"",G78&lt;&gt;0),(E78-G78)/G78*100,"")</f>
        <v/>
      </c>
      <c r="AA78" s="176">
        <f>IF(OR(C78="",E78="",E78=0),"",IF(E78&gt;G78,"上昇▲",IF(E78&lt;G78,"下落▼","横ばい→")))</f>
        <v/>
      </c>
      <c r="AB78" s="438">
        <f>IF(C78="","",IFERROR(((終値!E80*0.333)+(終値!F80*0.222)+(終値!G80*0.148)+(終値!H80*0.099)+(終値!I80*0.066)+(終値!J80*0.044)+(終値!K80*0.029)+(終値!L80*0.019)+(終値!M80*0.013)+(終値!N80*0.009))/(0.333+0.222+0.148+0.099+0.066+0.044+0.029+0.019+0.013+0.009),""))</f>
        <v/>
      </c>
      <c r="AC78" s="438">
        <f>IF(C78="","",IFERROR(SUMPRODUCT((終値!E80:AC80)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8" s="439">
        <f>IF(OR(C78="",AB78="",AC78=""),"",IF(AND(E78&gt;AB78,AB78&gt;AC78),"パーフェクト▲",IF(E78&gt;AC78,"上昇トレンド▲",IF(AND(E78&lt;AB78,AB78&lt;AC78),"下降トレンド▼","もみ合い→"))))</f>
        <v/>
      </c>
      <c r="AE78" s="439">
        <f>IF(OR(C78="",AB78="",AC78=""),"",IF(AND(ABS(E78-AC78)/AC78&lt;=0.02,E78&gt;AC78),"25日押し目★",IF(AND(ABS(E78-AB78)/AB78&lt;=0.01,E78&gt;AB78),"5日押し目○","なし")))</f>
        <v/>
      </c>
      <c r="AF78" s="617">
        <f t="array" ref="AF78">IF(C78="","",IFERROR((INDEX(終値!$E:$E,MATCH(TEXT(C78,"0"),終値!$A:$A,0))-INDEX(終値!$E:$BL,MATCH(TEXT(C78,"0"),終値!$A:$A,0),$AL$2))/INDEX(終値!$E:$BL,MATCH(TEXT(C78,"0"),終値!$A:$A,0),$AL$2)*100,""))</f>
        <v/>
      </c>
      <c r="AG78" s="617">
        <f t="array" ref="AG78">IFERROR((終値!$E$5-INDEX(終値!$E$5:$BL$5,1,$AL$2))/INDEX(終値!$E$5:$BL$5,1,$AL$2)*100,"")</f>
        <v/>
      </c>
      <c r="AH78" s="618">
        <f>IF(OR(AF78="",AG78=""),"",AF78-AG78)</f>
        <v/>
      </c>
      <c r="AI78" s="385">
        <f>IF(AH78="","",IF(AH78&gt;5,3,IF(AH78&gt;0,1,IF(AH78&gt;-3,-1,-2))))</f>
        <v/>
      </c>
    </row>
    <row r="79" ht="18" customFormat="1" customHeight="1" s="187">
      <c r="A79" s="176">
        <f>IF(銘柄管理!B78&lt;&gt;"",HYPERLINK("https://kabutan.jp/stock/?code="&amp;銘柄管理!B78,"株探"),"")</f>
        <v/>
      </c>
      <c r="B79" s="177" t="n"/>
      <c r="C79" s="178">
        <f>IF(銘柄管理!B78="","",銘柄管理!B78)</f>
        <v/>
      </c>
      <c r="D79" s="106">
        <f>IF(銘柄管理!C78="","",銘柄管理!C78)</f>
        <v/>
      </c>
      <c r="E79" s="179">
        <f>IF(C79&lt;&gt;"",_xll.RssMarket(C79,"現在値"),"")</f>
        <v/>
      </c>
      <c r="F79" s="179">
        <f>IF(C79&lt;&gt;"",_xll.RssMarket(C79,"始値"),"")</f>
        <v/>
      </c>
      <c r="G79" s="178">
        <f>IF(C79&lt;&gt;"",終値!F78,"")</f>
        <v/>
      </c>
      <c r="H79" s="179">
        <f>IF(C79&lt;&gt;"",_xll.RssMarket(C79,"高値"),"")</f>
        <v/>
      </c>
      <c r="I79" s="179">
        <f>IF(C79&lt;&gt;"",_xll.RssMarket(C79,"安値"),"")</f>
        <v/>
      </c>
      <c r="J79" s="179">
        <f>IF(C79&lt;&gt;"",_xll.RssMarket(C79,"出来高"),"")</f>
        <v/>
      </c>
      <c r="K79" s="179">
        <f>IF(C79&lt;&gt;"",_xll.RssMarket(C79,"年初来高値"),"")</f>
        <v/>
      </c>
      <c r="L79" s="613">
        <f>IF(AND(E79&lt;&gt;"",K79&lt;&gt;"",K79&lt;&gt;0),(E79-K79)/K79*100,"")</f>
        <v/>
      </c>
      <c r="M79" s="179">
        <f>IF(C79&lt;&gt;"",IFERROR(AVERAGE(出来高!E78:I78),""),"")</f>
        <v/>
      </c>
      <c r="N79" s="179">
        <f>IF(C79&lt;&gt;"",IFERROR(AVERAGE(出来高!E78:AC78),""),"")</f>
        <v/>
      </c>
      <c r="O79" s="614">
        <f>IF(AND(J79&lt;&gt;"",M79&lt;&gt;"",M79&lt;&gt;0),J79/M79,"")</f>
        <v/>
      </c>
      <c r="P79" s="176">
        <f>IF(O79="","",IF(O79&gt;=2,"急増↑↑",IF(O79&gt;=1.5,"増加↑",IF(O79&gt;=1,"普通→","減少↓"))))</f>
        <v/>
      </c>
      <c r="Q79" s="176">
        <f>IF(E79="","",IF(AND(E79&gt;G79,O79&gt;=1.5),"買い▲",IF(E79&lt;G79,"様子見▼","中立→")))</f>
        <v/>
      </c>
      <c r="R79" s="179">
        <f>IF(E79&lt;&gt;"",ROUND(E79*1.08,0),"")</f>
        <v/>
      </c>
      <c r="S79" s="179">
        <f>IF(E79&lt;&gt;"",ROUND(E79*0.96,0),"")</f>
        <v/>
      </c>
      <c r="T79" s="176">
        <f>IF(C79="","",IFERROR(IF(O79&gt;=2,3,IF(O79&gt;=1.5,2,IF(O79&gt;=1,1,0)))+IF(E79&gt;G79,1,0)+IF(L79&gt;=-5,1,0)+IF(Q79="買い▲",2,0)+IF(W79&lt;=30,3,IF(W79&lt;=40,2,IF(AND(W79&gt;=40,W79&lt;=60),1,0)))+IF(X79&gt;0,1,0)+IF(V79="年初来高値更新●",3,IF(V79="高値圏",2,0))+IF(AD79="パーフェクト▲",3,IF(AD79="上昇トレンド▲",2,0))+IF(AE79="25日線押し目●",2,IF(AE79="5日線押し目○",1,0))+IF(P79="急増↑↑",2,IF(P79="増加↑",1,0))+N(AI79),0))</f>
        <v/>
      </c>
      <c r="U79" s="176">
        <f>IF(T79="","",IF(AND(T79&gt;=3,O79&gt;=1.5),"有効",IF(T79&gt;=3,"要確認","除外")))</f>
        <v/>
      </c>
      <c r="V79" s="176">
        <f>IF(AND(H79&lt;&gt;"",K79&lt;&gt;""),IF(H79&gt;=K79,"年初来高値更新●",IF(H79&gt;=K79*0.95,"高値圏","通常")),"")</f>
        <v/>
      </c>
      <c r="W79" s="615">
        <f t="array" ref="W79">IF(C79&lt;&gt;"",IFERROR(100-100/(1+SUMPRODUCT((終値!F78:R78&gt;終値!G78:S78)*( 終値!F78:R78-終値!G78:S78))/SUMPRODUCT((終値!F78:R78&lt;終値!G78:S78)*(終値!G78:S78-終値!F78:R78))),50),"")</f>
        <v/>
      </c>
      <c r="X79" s="183">
        <f>IF(C79&lt;&gt;"",IFERROR(SUMPRODUCT(終値!E78:P78,{0.154,0.132,0.113,0.097,0.083,0.071,0.061,0.052,0.045,0.038,0.033,0.028})/SUMPRODUCT({0.154,0.132,0.113,0.097,0.083,0.071,0.061,0.052,0.045,0.038,0.033,0.028})-SUMPRODUCT(終値!E78:AD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9" s="570">
        <f>IF(T79="","",IF(銘柄管理!$F$5="下落▼",IF(AND(AD79="パーフェクト▲",OR(AE79="25日線押し目●",AE79="5日線押し目○")),"★逆張り候補",IF(AND(AD79="上昇トレンド▲",OR(AE79="25日線押し目●",AE79="5日線押し目○")),"○逆張り候補",IF(W79&lt;=30,IF(Z79&gt;0,"◎反発確認",IF(Z79&lt;-5,"△要注意・様子見","△売られ過ぎ注目")),"相場下落・見送り"))),IF(AND(T79&gt;=12,AD79="パーフェクト▲"),"★強い買い",IF(AND(T79&gt;=12,AD79="上昇トレンド▲"),"★強い買い",IF(AND(T79&gt;=8,OR(AE79="25日線押し目●",AE79="5日線押し目○")),"◎押し目買い",IF(T79&gt;=10,"○買い候補",IF(T79&gt;=6,"△注目",IF(T79&gt;=3,"様子見","見送り"))))))))</f>
        <v/>
      </c>
      <c r="Z79" s="616">
        <f>IF(AND(E79&lt;&gt;"",G79&lt;&gt;"",G79&lt;&gt;0),(E79-G79)/G79*100,"")</f>
        <v/>
      </c>
      <c r="AA79" s="176">
        <f>IF(OR(C79="",E79="",E79=0),"",IF(E79&gt;G79,"上昇▲",IF(E79&lt;G79,"下落▼","横ばい→")))</f>
        <v/>
      </c>
      <c r="AB79" s="440">
        <f>IF(C79="","",IFERROR(((終値!E81*0.333)+(終値!F81*0.222)+(終値!G81*0.148)+(終値!H81*0.099)+(終値!I81*0.066)+(終値!J81*0.044)+(終値!K81*0.029)+(終値!L81*0.019)+(終値!M81*0.013)+(終値!N81*0.009))/(0.333+0.222+0.148+0.099+0.066+0.044+0.029+0.019+0.013+0.009),""))</f>
        <v/>
      </c>
      <c r="AC79" s="440">
        <f>IF(C79="","",IFERROR(SUMPRODUCT((終値!E81:AC81)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9" s="441">
        <f>IF(OR(C79="",AB79="",AC79=""),"",IF(AND(E79&gt;AB79,AB79&gt;AC79),"パーフェクト▲",IF(E79&gt;AC79,"上昇トレンド▲",IF(AND(E79&lt;AB79,AB79&lt;AC79),"下降トレンド▼","もみ合い→"))))</f>
        <v/>
      </c>
      <c r="AE79" s="441">
        <f>IF(OR(C79="",AB79="",AC79=""),"",IF(AND(ABS(E79-AC79)/AC79&lt;=0.02,E79&gt;AC79),"25日押し目★",IF(AND(ABS(E79-AB79)/AB79&lt;=0.01,E79&gt;AB79),"5日押し目○","なし")))</f>
        <v/>
      </c>
      <c r="AF79" s="617">
        <f t="array" ref="AF79">IF(C79="","",IFERROR((INDEX(終値!$E:$E,MATCH(TEXT(C79,"0"),終値!$A:$A,0))-INDEX(終値!$E:$BL,MATCH(TEXT(C79,"0"),終値!$A:$A,0),$AL$2))/INDEX(終値!$E:$BL,MATCH(TEXT(C79,"0"),終値!$A:$A,0),$AL$2)*100,""))</f>
        <v/>
      </c>
      <c r="AG79" s="617">
        <f t="array" ref="AG79">IFERROR((終値!$E$5-INDEX(終値!$E$5:$BL$5,1,$AL$2))/INDEX(終値!$E$5:$BL$5,1,$AL$2)*100,"")</f>
        <v/>
      </c>
      <c r="AH79" s="618">
        <f>IF(OR(AF79="",AG79=""),"",AF79-AG79)</f>
        <v/>
      </c>
      <c r="AI79" s="385">
        <f>IF(AH79="","",IF(AH79&gt;5,3,IF(AH79&gt;0,1,IF(AH79&gt;-3,-1,-2))))</f>
        <v/>
      </c>
    </row>
    <row r="80" ht="18" customFormat="1" customHeight="1" s="187">
      <c r="A80" s="176">
        <f>IF(銘柄管理!B105&lt;&gt;"",HYPERLINK("https://kabutan.jp/stock/?code="&amp;銘柄管理!B105,"株探"),"")</f>
        <v/>
      </c>
      <c r="B80" s="177" t="n"/>
      <c r="C80" s="178">
        <f>IF(銘柄管理!B105="","",銘柄管理!B105)</f>
        <v/>
      </c>
      <c r="D80" s="106">
        <f>IF(銘柄管理!C105="","",銘柄管理!C105)</f>
        <v/>
      </c>
      <c r="E80" s="179">
        <f>IF(C80&lt;&gt;"",_xll.RssMarket(C80,"現在値"),"")</f>
        <v/>
      </c>
      <c r="F80" s="179">
        <f>IF(C80&lt;&gt;"",_xll.RssMarket(C80,"始値"),"")</f>
        <v/>
      </c>
      <c r="G80" s="178">
        <f>IF(C80&lt;&gt;"",終値!F105,"")</f>
        <v/>
      </c>
      <c r="H80" s="179">
        <f>IF(C80&lt;&gt;"",_xll.RssMarket(C80,"高値"),"")</f>
        <v/>
      </c>
      <c r="I80" s="179">
        <f>IF(C80&lt;&gt;"",_xll.RssMarket(C80,"安値"),"")</f>
        <v/>
      </c>
      <c r="J80" s="179">
        <f>IF(C80&lt;&gt;"",_xll.RssMarket(C80,"出来高"),"")</f>
        <v/>
      </c>
      <c r="K80" s="179">
        <f>IF(C80&lt;&gt;"",_xll.RssMarket(C80,"年初来高値"),"")</f>
        <v/>
      </c>
      <c r="L80" s="613">
        <f>IF(AND(E80&lt;&gt;"",K80&lt;&gt;"",K80&lt;&gt;0),(E80-K80)/K80*100,"")</f>
        <v/>
      </c>
      <c r="M80" s="179">
        <f>IF(C80&lt;&gt;"",IFERROR(AVERAGE(出来高!E105:I105),""),"")</f>
        <v/>
      </c>
      <c r="N80" s="179">
        <f>IF(C80&lt;&gt;"",IFERROR(AVERAGE(出来高!E105:AC105),""),"")</f>
        <v/>
      </c>
      <c r="O80" s="614">
        <f>IF(AND(J80&lt;&gt;"",M80&lt;&gt;"",M80&lt;&gt;0),J80/M80,"")</f>
        <v/>
      </c>
      <c r="P80" s="176">
        <f>IF(O80="","",IF(O80&gt;=2,"急増↑↑",IF(O80&gt;=1.5,"増加↑",IF(O80&gt;=1,"普通→","減少↓"))))</f>
        <v/>
      </c>
      <c r="Q80" s="176">
        <f>IF(E80="","",IF(AND(E80&gt;G80,O80&gt;=1.5),"買い▲",IF(E80&lt;G80,"様子見▼","中立→")))</f>
        <v/>
      </c>
      <c r="R80" s="179">
        <f>IF(E80&lt;&gt;"",ROUND(E80*1.08,0),"")</f>
        <v/>
      </c>
      <c r="S80" s="179">
        <f>IF(E80&lt;&gt;"",ROUND(E80*0.96,0),"")</f>
        <v/>
      </c>
      <c r="T80" s="176">
        <f>IF(C80="","",IFERROR(IF(O80&gt;=2,3,IF(O80&gt;=1.5,2,IF(O80&gt;=1,1,0)))+IF(E80&gt;G80,1,0)+IF(L80&gt;=-5,1,0)+IF(Q80="買い▲",2,0)+IF(W80&lt;=30,3,IF(W80&lt;=40,2,IF(AND(W80&gt;=40,W80&lt;=60),1,0)))+IF(X80&gt;0,1,0)+IF(V80="年初来高値更新●",3,IF(V80="高値圏",2,0))+IF(AD80="パーフェクト▲",3,IF(AD80="上昇トレンド▲",2,0))+IF(AE80="25日線押し目●",2,IF(AE80="5日線押し目○",1,0))+IF(P80="急増↑↑",2,IF(P80="増加↑",1,0))+N(AI80),0))</f>
        <v/>
      </c>
      <c r="U80" s="176">
        <f>IF(T80="","",IF(AND(T80&gt;=3,O80&gt;=1.5),"有効",IF(T80&gt;=3,"要確認","除外")))</f>
        <v/>
      </c>
      <c r="V80" s="176">
        <f>IF(AND(H80&lt;&gt;"",K80&lt;&gt;""),IF(H80&gt;=K80,"年初来高値更新●",IF(H80&gt;=K80*0.95,"高値圏","通常")),"")</f>
        <v/>
      </c>
      <c r="W80" s="615">
        <f t="array" ref="W80">IF(C80&lt;&gt;"",IFERROR(100-100/(1+SUMPRODUCT((終値!F105:R105&gt;終値!G105:S105)*( 終値!F105:R105-終値!G105:S105))/SUMPRODUCT((終値!F105:R105&lt;終値!G105:S105)*(終値!G105:S105-終値!F105:R105))),50),"")</f>
        <v/>
      </c>
      <c r="X80" s="183">
        <f>IF(C80&lt;&gt;"",IFERROR(SUMPRODUCT(終値!E105:P105,{0.154,0.132,0.113,0.097,0.083,0.071,0.061,0.052,0.045,0.038,0.033,0.028})/SUMPRODUCT({0.154,0.132,0.113,0.097,0.083,0.071,0.061,0.052,0.045,0.038,0.033,0.028})-SUMPRODUCT(終値!E105:AD105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0" s="570">
        <f>IF(T80="","",IF(銘柄管理!$F$5="下落▼",IF(AND(AD80="パーフェクト▲",OR(AE80="25日線押し目●",AE80="5日線押し目○")),"★逆張り候補",IF(AND(AD80="上昇トレンド▲",OR(AE80="25日線押し目●",AE80="5日線押し目○")),"○逆張り候補",IF(W80&lt;=30,IF(Z80&gt;0,"◎反発確認",IF(Z80&lt;-5,"△要注意・様子見","△売られ過ぎ注目")),"相場下落・見送り"))),IF(AND(T80&gt;=12,AD80="パーフェクト▲"),"★強い買い",IF(AND(T80&gt;=12,AD80="上昇トレンド▲"),"★強い買い",IF(AND(T80&gt;=8,OR(AE80="25日線押し目●",AE80="5日線押し目○")),"◎押し目買い",IF(T80&gt;=10,"○買い候補",IF(T80&gt;=6,"△注目",IF(T80&gt;=3,"様子見","見送り"))))))))</f>
        <v/>
      </c>
      <c r="Z80" s="616">
        <f>IF(AND(E80&lt;&gt;"",G80&lt;&gt;"",G80&lt;&gt;0),(E80-G80)/G80*100,"")</f>
        <v/>
      </c>
      <c r="AA80" s="176">
        <f>IF(OR(C80="",E80="",E80=0),"",IF(E80&gt;G80,"上昇▲",IF(E80&lt;G80,"下落▼","横ばい→")))</f>
        <v/>
      </c>
      <c r="AB80" s="438">
        <f>IF(C80="","",IFERROR(((終値!E82*0.333)+(終値!F82*0.222)+(終値!G82*0.148)+(終値!H82*0.099)+(終値!I82*0.066)+(終値!J82*0.044)+(終値!K82*0.029)+(終値!L82*0.019)+(終値!M82*0.013)+(終値!N82*0.009))/(0.333+0.222+0.148+0.099+0.066+0.044+0.029+0.019+0.013+0.009),""))</f>
        <v/>
      </c>
      <c r="AC80" s="438">
        <f>IF(C80="","",IFERROR(SUMPRODUCT((終値!E82:AC82)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0" s="439">
        <f>IF(OR(C80="",AB80="",AC80=""),"",IF(AND(E80&gt;AB80,AB80&gt;AC80),"パーフェクト▲",IF(E80&gt;AC80,"上昇トレンド▲",IF(AND(E80&lt;AB80,AB80&lt;AC80),"下降トレンド▼","もみ合い→"))))</f>
        <v/>
      </c>
      <c r="AE80" s="439">
        <f>IF(OR(C80="",AB80="",AC80=""),"",IF(AND(ABS(E80-AC80)/AC80&lt;=0.02,E80&gt;AC80),"25日押し目★",IF(AND(ABS(E80-AB80)/AB80&lt;=0.01,E80&gt;AB80),"5日押し目○","なし")))</f>
        <v/>
      </c>
      <c r="AF80" s="617">
        <f t="array" ref="AF80">IF(C80="","",IFERROR((INDEX(終値!$E:$E,MATCH(TEXT(C80,"0"),終値!$A:$A,0))-INDEX(終値!$E:$BL,MATCH(TEXT(C80,"0"),終値!$A:$A,0),$AL$2))/INDEX(終値!$E:$BL,MATCH(TEXT(C80,"0"),終値!$A:$A,0),$AL$2)*100,""))</f>
        <v/>
      </c>
      <c r="AG80" s="617">
        <f t="array" ref="AG80">IFERROR((終値!$E$5-INDEX(終値!$E$5:$BL$5,1,$AL$2))/INDEX(終値!$E$5:$BL$5,1,$AL$2)*100,"")</f>
        <v/>
      </c>
      <c r="AH80" s="618">
        <f>IF(OR(AF80="",AG80=""),"",AF80-AG80)</f>
        <v/>
      </c>
      <c r="AI80" s="385">
        <f>IF(AH80="","",IF(AH80&gt;5,3,IF(AH80&gt;0,1,IF(AH80&gt;-3,-1,-2))))</f>
        <v/>
      </c>
    </row>
    <row r="81" ht="18" customFormat="1" customHeight="1" s="187">
      <c r="A81" s="176">
        <f>IF(銘柄管理!B199&lt;&gt;"",HYPERLINK("https://kabutan.jp/stock/?code="&amp;銘柄管理!B199,"株探"),"")</f>
        <v/>
      </c>
      <c r="B81" s="177" t="n"/>
      <c r="C81" s="178">
        <f>IF(銘柄管理!B199="","",銘柄管理!B199)</f>
        <v/>
      </c>
      <c r="D81" s="106">
        <f>IF(銘柄管理!C199="","",銘柄管理!C199)</f>
        <v/>
      </c>
      <c r="E81" s="179">
        <f>IF(C81&lt;&gt;"",_xll.RssMarket(C81,"現在値"),"")</f>
        <v/>
      </c>
      <c r="F81" s="179">
        <f>IF(C81&lt;&gt;"",_xll.RssMarket(C81,"始値"),"")</f>
        <v/>
      </c>
      <c r="G81" s="178">
        <f>IF(C81&lt;&gt;"",終値!F199,"")</f>
        <v/>
      </c>
      <c r="H81" s="179">
        <f>IF(C81&lt;&gt;"",_xll.RssMarket(C81,"高値"),"")</f>
        <v/>
      </c>
      <c r="I81" s="179">
        <f>IF(C81&lt;&gt;"",_xll.RssMarket(C81,"安値"),"")</f>
        <v/>
      </c>
      <c r="J81" s="179">
        <f>IF(C81&lt;&gt;"",_xll.RssMarket(C81,"出来高"),"")</f>
        <v/>
      </c>
      <c r="K81" s="179">
        <f>IF(C81&lt;&gt;"",_xll.RssMarket(C81,"年初来高値"),"")</f>
        <v/>
      </c>
      <c r="L81" s="613">
        <f>IF(AND(E81&lt;&gt;"",K81&lt;&gt;"",K81&lt;&gt;0),(E81-K81)/K81*100,"")</f>
        <v/>
      </c>
      <c r="M81" s="179">
        <f>IF(C81&lt;&gt;"",IFERROR(AVERAGE(出来高!E199:I199),""),"")</f>
        <v/>
      </c>
      <c r="N81" s="179">
        <f>IF(C81&lt;&gt;"",IFERROR(AVERAGE(出来高!E199:AC199),""),"")</f>
        <v/>
      </c>
      <c r="O81" s="614">
        <f>IF(AND(J81&lt;&gt;"",M81&lt;&gt;"",M81&lt;&gt;0),J81/M81,"")</f>
        <v/>
      </c>
      <c r="P81" s="176">
        <f>IF(O81="","",IF(O81&gt;=2,"急増↑↑",IF(O81&gt;=1.5,"増加↑",IF(O81&gt;=1,"普通→","減少↓"))))</f>
        <v/>
      </c>
      <c r="Q81" s="176">
        <f>IF(E81="","",IF(AND(E81&gt;G81,O81&gt;=1.5),"買い▲",IF(E81&lt;G81,"様子見▼","中立→")))</f>
        <v/>
      </c>
      <c r="R81" s="179">
        <f>IF(E81&lt;&gt;"",ROUND(E81*1.08,0),"")</f>
        <v/>
      </c>
      <c r="S81" s="179">
        <f>IF(E81&lt;&gt;"",ROUND(E81*0.96,0),"")</f>
        <v/>
      </c>
      <c r="T81" s="176">
        <f>IF(C81="","",IFERROR(IF(O81&gt;=2,3,IF(O81&gt;=1.5,2,IF(O81&gt;=1,1,0)))+IF(E81&gt;G81,1,0)+IF(L81&gt;=-5,1,0)+IF(Q81="買い▲",2,0)+IF(W81&lt;=30,3,IF(W81&lt;=40,2,IF(AND(W81&gt;=40,W81&lt;=60),1,0)))+IF(X81&gt;0,1,0)+IF(V81="年初来高値更新●",3,IF(V81="高値圏",2,0))+IF(AD81="パーフェクト▲",3,IF(AD81="上昇トレンド▲",2,0))+IF(AE81="25日線押し目●",2,IF(AE81="5日線押し目○",1,0))+IF(P81="急増↑↑",2,IF(P81="増加↑",1,0))+N(AI81),0))</f>
        <v/>
      </c>
      <c r="U81" s="176">
        <f>IF(T81="","",IF(AND(T81&gt;=3,O81&gt;=1.5),"有効",IF(T81&gt;=3,"要確認","除外")))</f>
        <v/>
      </c>
      <c r="V81" s="176">
        <f>IF(AND(H81&lt;&gt;"",K81&lt;&gt;""),IF(H81&gt;=K81,"年初来高値更新●",IF(H81&gt;=K81*0.95,"高値圏","通常")),"")</f>
        <v/>
      </c>
      <c r="W81" s="615">
        <f t="array" ref="W81">IF(C81&lt;&gt;"",IFERROR(100-100/(1+SUMPRODUCT((終値!F199:R199&gt;終値!G199:S199)*( 終値!F199:R199-終値!G199:S199))/SUMPRODUCT((終値!F199:R199&lt;終値!G199:S199)*(終値!G199:S199-終値!F199:R199))),50),"")</f>
        <v/>
      </c>
      <c r="X81" s="183">
        <f>IF(C81&lt;&gt;"",IFERROR(SUMPRODUCT(終値!E199:P199,{0.154,0.132,0.113,0.097,0.083,0.071,0.061,0.052,0.045,0.038,0.033,0.028})/SUMPRODUCT({0.154,0.132,0.113,0.097,0.083,0.071,0.061,0.052,0.045,0.038,0.033,0.028})-SUMPRODUCT(終値!E199:AD199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1" s="570">
        <f>IF(T81="","",IF(銘柄管理!$F$5="下落▼",IF(AND(AD81="パーフェクト▲",OR(AE81="25日線押し目●",AE81="5日線押し目○")),"★逆張り候補",IF(AND(AD81="上昇トレンド▲",OR(AE81="25日線押し目●",AE81="5日線押し目○")),"○逆張り候補",IF(W81&lt;=30,IF(Z81&gt;0,"◎反発確認",IF(Z81&lt;-5,"△要注意・様子見","△売られ過ぎ注目")),"相場下落・見送り"))),IF(AND(T81&gt;=12,AD81="パーフェクト▲"),"★強い買い",IF(AND(T81&gt;=12,AD81="上昇トレンド▲"),"★強い買い",IF(AND(T81&gt;=8,OR(AE81="25日線押し目●",AE81="5日線押し目○")),"◎押し目買い",IF(T81&gt;=10,"○買い候補",IF(T81&gt;=6,"△注目",IF(T81&gt;=3,"様子見","見送り"))))))))</f>
        <v/>
      </c>
      <c r="Z81" s="616">
        <f>IF(AND(E81&lt;&gt;"",G81&lt;&gt;"",G81&lt;&gt;0),(E81-G81)/G81*100,"")</f>
        <v/>
      </c>
      <c r="AA81" s="176">
        <f>IF(OR(C81="",E81="",E81=0),"",IF(E81&gt;G81,"上昇▲",IF(E81&lt;G81,"下落▼","横ばい→")))</f>
        <v/>
      </c>
      <c r="AB81" s="440">
        <f>IF(C81="","",IFERROR(((終値!E83*0.333)+(終値!F83*0.222)+(終値!G83*0.148)+(終値!H83*0.099)+(終値!I83*0.066)+(終値!J83*0.044)+(終値!K83*0.029)+(終値!L83*0.019)+(終値!M83*0.013)+(終値!N83*0.009))/(0.333+0.222+0.148+0.099+0.066+0.044+0.029+0.019+0.013+0.009),""))</f>
        <v/>
      </c>
      <c r="AC81" s="440">
        <f>IF(C81="","",IFERROR(SUMPRODUCT((終値!E83:AC83)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1" s="441">
        <f>IF(OR(C81="",AB81="",AC81=""),"",IF(AND(E81&gt;AB81,AB81&gt;AC81),"パーフェクト▲",IF(E81&gt;AC81,"上昇トレンド▲",IF(AND(E81&lt;AB81,AB81&lt;AC81),"下降トレンド▼","もみ合い→"))))</f>
        <v/>
      </c>
      <c r="AE81" s="441">
        <f>IF(OR(C81="",AB81="",AC81=""),"",IF(AND(ABS(E81-AC81)/AC81&lt;=0.02,E81&gt;AC81),"25日押し目★",IF(AND(ABS(E81-AB81)/AB81&lt;=0.01,E81&gt;AB81),"5日押し目○","なし")))</f>
        <v/>
      </c>
      <c r="AF81" s="617">
        <f t="array" ref="AF81">IF(C81="","",IFERROR((INDEX(終値!$E:$E,MATCH(TEXT(C81,"0"),終値!$A:$A,0))-INDEX(終値!$E:$BL,MATCH(TEXT(C81,"0"),終値!$A:$A,0),$AL$2))/INDEX(終値!$E:$BL,MATCH(TEXT(C81,"0"),終値!$A:$A,0),$AL$2)*100,""))</f>
        <v/>
      </c>
      <c r="AG81" s="617">
        <f t="array" ref="AG81">IFERROR((終値!$E$5-INDEX(終値!$E$5:$BL$5,1,$AL$2))/INDEX(終値!$E$5:$BL$5,1,$AL$2)*100,"")</f>
        <v/>
      </c>
      <c r="AH81" s="618">
        <f>IF(OR(AF81="",AG81=""),"",AF81-AG81)</f>
        <v/>
      </c>
      <c r="AI81" s="385">
        <f>IF(AH81="","",IF(AH81&gt;5,3,IF(AH81&gt;0,1,IF(AH81&gt;-3,-1,-2))))</f>
        <v/>
      </c>
    </row>
    <row r="82" ht="18" customFormat="1" customHeight="1" s="187">
      <c r="A82" s="176">
        <f>IF(銘柄管理!B195&lt;&gt;"",HYPERLINK("https://kabutan.jp/stock/?code="&amp;銘柄管理!B195,"株探"),"")</f>
        <v/>
      </c>
      <c r="B82" s="177" t="n"/>
      <c r="C82" s="178">
        <f>IF(銘柄管理!B195="","",銘柄管理!B195)</f>
        <v/>
      </c>
      <c r="D82" s="106">
        <f>IF(銘柄管理!C195="","",銘柄管理!C195)</f>
        <v/>
      </c>
      <c r="E82" s="179">
        <f>IF(C82&lt;&gt;"",_xll.RssMarket(C82,"現在値"),"")</f>
        <v/>
      </c>
      <c r="F82" s="179">
        <f>IF(C82&lt;&gt;"",_xll.RssMarket(C82,"始値"),"")</f>
        <v/>
      </c>
      <c r="G82" s="178">
        <f>IF(C82&lt;&gt;"",終値!F195,"")</f>
        <v/>
      </c>
      <c r="H82" s="179">
        <f>IF(C82&lt;&gt;"",_xll.RssMarket(C82,"高値"),"")</f>
        <v/>
      </c>
      <c r="I82" s="179">
        <f>IF(C82&lt;&gt;"",_xll.RssMarket(C82,"安値"),"")</f>
        <v/>
      </c>
      <c r="J82" s="179">
        <f>IF(C82&lt;&gt;"",_xll.RssMarket(C82,"出来高"),"")</f>
        <v/>
      </c>
      <c r="K82" s="179">
        <f>IF(C82&lt;&gt;"",_xll.RssMarket(C82,"年初来高値"),"")</f>
        <v/>
      </c>
      <c r="L82" s="613">
        <f>IF(AND(E82&lt;&gt;"",K82&lt;&gt;"",K82&lt;&gt;0),(E82-K82)/K82*100,"")</f>
        <v/>
      </c>
      <c r="M82" s="179">
        <f>IF(C82&lt;&gt;"",IFERROR(AVERAGE(出来高!E195:I195),""),"")</f>
        <v/>
      </c>
      <c r="N82" s="179">
        <f>IF(C82&lt;&gt;"",IFERROR(AVERAGE(出来高!E195:AC195),""),"")</f>
        <v/>
      </c>
      <c r="O82" s="614">
        <f>IF(AND(J82&lt;&gt;"",M82&lt;&gt;"",M82&lt;&gt;0),J82/M82,"")</f>
        <v/>
      </c>
      <c r="P82" s="176">
        <f>IF(O82="","",IF(O82&gt;=2,"急増↑↑",IF(O82&gt;=1.5,"増加↑",IF(O82&gt;=1,"普通→","減少↓"))))</f>
        <v/>
      </c>
      <c r="Q82" s="176">
        <f>IF(E82="","",IF(AND(E82&gt;G82,O82&gt;=1.5),"買い▲",IF(E82&lt;G82,"様子見▼","中立→")))</f>
        <v/>
      </c>
      <c r="R82" s="179">
        <f>IF(E82&lt;&gt;"",ROUND(E82*1.08,0),"")</f>
        <v/>
      </c>
      <c r="S82" s="179">
        <f>IF(E82&lt;&gt;"",ROUND(E82*0.96,0),"")</f>
        <v/>
      </c>
      <c r="T82" s="176">
        <f>IF(C82="","",IFERROR(IF(O82&gt;=2,3,IF(O82&gt;=1.5,2,IF(O82&gt;=1,1,0)))+IF(E82&gt;G82,1,0)+IF(L82&gt;=-5,1,0)+IF(Q82="買い▲",2,0)+IF(W82&lt;=30,3,IF(W82&lt;=40,2,IF(AND(W82&gt;=40,W82&lt;=60),1,0)))+IF(X82&gt;0,1,0)+IF(V82="年初来高値更新●",3,IF(V82="高値圏",2,0))+IF(AD82="パーフェクト▲",3,IF(AD82="上昇トレンド▲",2,0))+IF(AE82="25日線押し目●",2,IF(AE82="5日線押し目○",1,0))+IF(P82="急増↑↑",2,IF(P82="増加↑",1,0))+N(AI82),0))</f>
        <v/>
      </c>
      <c r="U82" s="176">
        <f>IF(T82="","",IF(AND(T82&gt;=3,O82&gt;=1.5),"有効",IF(T82&gt;=3,"要確認","除外")))</f>
        <v/>
      </c>
      <c r="V82" s="176">
        <f>IF(AND(H82&lt;&gt;"",K82&lt;&gt;""),IF(H82&gt;=K82,"年初来高値更新●",IF(H82&gt;=K82*0.95,"高値圏","通常")),"")</f>
        <v/>
      </c>
      <c r="W82" s="615">
        <f t="array" ref="W82">IF(C82&lt;&gt;"",IFERROR(100-100/(1+SUMPRODUCT((終値!F195:R195&gt;終値!G195:S195)*( 終値!F195:R195-終値!G195:S195))/SUMPRODUCT((終値!F195:R195&lt;終値!G195:S195)*(終値!G195:S195-終値!F195:R195))),50),"")</f>
        <v/>
      </c>
      <c r="X82" s="183">
        <f>IF(C82&lt;&gt;"",IFERROR(SUMPRODUCT(終値!E195:P195,{0.154,0.132,0.113,0.097,0.083,0.071,0.061,0.052,0.045,0.038,0.033,0.028})/SUMPRODUCT({0.154,0.132,0.113,0.097,0.083,0.071,0.061,0.052,0.045,0.038,0.033,0.028})-SUMPRODUCT(終値!E195:AD195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2" s="570">
        <f>IF(T82="","",IF(銘柄管理!$F$5="下落▼",IF(AND(AD82="パーフェクト▲",OR(AE82="25日線押し目●",AE82="5日線押し目○")),"★逆張り候補",IF(AND(AD82="上昇トレンド▲",OR(AE82="25日線押し目●",AE82="5日線押し目○")),"○逆張り候補",IF(W82&lt;=30,IF(Z82&gt;0,"◎反発確認",IF(Z82&lt;-5,"△要注意・様子見","△売られ過ぎ注目")),"相場下落・見送り"))),IF(AND(T82&gt;=12,AD82="パーフェクト▲"),"★強い買い",IF(AND(T82&gt;=12,AD82="上昇トレンド▲"),"★強い買い",IF(AND(T82&gt;=8,OR(AE82="25日線押し目●",AE82="5日線押し目○")),"◎押し目買い",IF(T82&gt;=10,"○買い候補",IF(T82&gt;=6,"△注目",IF(T82&gt;=3,"様子見","見送り"))))))))</f>
        <v/>
      </c>
      <c r="Z82" s="616">
        <f>IF(AND(E82&lt;&gt;"",G82&lt;&gt;"",G82&lt;&gt;0),(E82-G82)/G82*100,"")</f>
        <v/>
      </c>
      <c r="AA82" s="176">
        <f>IF(OR(C82="",E82="",E82=0),"",IF(E82&gt;G82,"上昇▲",IF(E82&lt;G82,"下落▼","横ばい→")))</f>
        <v/>
      </c>
      <c r="AB82" s="438">
        <f>IF(C82="","",IFERROR(((終値!E84*0.333)+(終値!F84*0.222)+(終値!G84*0.148)+(終値!H84*0.099)+(終値!I84*0.066)+(終値!J84*0.044)+(終値!K84*0.029)+(終値!L84*0.019)+(終値!M84*0.013)+(終値!N84*0.009))/(0.333+0.222+0.148+0.099+0.066+0.044+0.029+0.019+0.013+0.009),""))</f>
        <v/>
      </c>
      <c r="AC82" s="438">
        <f>IF(C82="","",IFERROR(SUMPRODUCT((終値!E84:AC84)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2" s="439">
        <f>IF(OR(C82="",AB82="",AC82=""),"",IF(AND(E82&gt;AB82,AB82&gt;AC82),"パーフェクト▲",IF(E82&gt;AC82,"上昇トレンド▲",IF(AND(E82&lt;AB82,AB82&lt;AC82),"下降トレンド▼","もみ合い→"))))</f>
        <v/>
      </c>
      <c r="AE82" s="439">
        <f>IF(OR(C82="",AB82="",AC82=""),"",IF(AND(ABS(E82-AC82)/AC82&lt;=0.02,E82&gt;AC82),"25日押し目★",IF(AND(ABS(E82-AB82)/AB82&lt;=0.01,E82&gt;AB82),"5日押し目○","なし")))</f>
        <v/>
      </c>
      <c r="AF82" s="617">
        <f t="array" ref="AF82">IF(C82="","",IFERROR((INDEX(終値!$E:$E,MATCH(TEXT(C82,"0"),終値!$A:$A,0))-INDEX(終値!$E:$BL,MATCH(TEXT(C82,"0"),終値!$A:$A,0),$AL$2))/INDEX(終値!$E:$BL,MATCH(TEXT(C82,"0"),終値!$A:$A,0),$AL$2)*100,""))</f>
        <v/>
      </c>
      <c r="AG82" s="617">
        <f t="array" ref="AG82">IFERROR((終値!$E$5-INDEX(終値!$E$5:$BL$5,1,$AL$2))/INDEX(終値!$E$5:$BL$5,1,$AL$2)*100,"")</f>
        <v/>
      </c>
      <c r="AH82" s="618">
        <f>IF(OR(AF82="",AG82=""),"",AF82-AG82)</f>
        <v/>
      </c>
      <c r="AI82" s="385">
        <f>IF(AH82="","",IF(AH82&gt;5,3,IF(AH82&gt;0,1,IF(AH82&gt;-3,-1,-2))))</f>
        <v/>
      </c>
    </row>
    <row r="83" ht="18" customFormat="1" customHeight="1" s="187">
      <c r="A83" s="176">
        <f>IF(銘柄管理!B158&lt;&gt;"",HYPERLINK("https://kabutan.jp/stock/?code="&amp;銘柄管理!B158,"株探"),"")</f>
        <v/>
      </c>
      <c r="B83" s="177" t="n"/>
      <c r="C83" s="178">
        <f>IF(銘柄管理!B158="","",銘柄管理!B158)</f>
        <v/>
      </c>
      <c r="D83" s="106">
        <f>IF(銘柄管理!C158="","",銘柄管理!C158)</f>
        <v/>
      </c>
      <c r="E83" s="179">
        <f>IF(C83&lt;&gt;"",_xll.RssMarket(C83,"現在値"),"")</f>
        <v/>
      </c>
      <c r="F83" s="179">
        <f>IF(C83&lt;&gt;"",_xll.RssMarket(C83,"始値"),"")</f>
        <v/>
      </c>
      <c r="G83" s="178">
        <f>IF(C83&lt;&gt;"",終値!F158,"")</f>
        <v/>
      </c>
      <c r="H83" s="179">
        <f>IF(C83&lt;&gt;"",_xll.RssMarket(C83,"高値"),"")</f>
        <v/>
      </c>
      <c r="I83" s="179">
        <f>IF(C83&lt;&gt;"",_xll.RssMarket(C83,"安値"),"")</f>
        <v/>
      </c>
      <c r="J83" s="179">
        <f>IF(C83&lt;&gt;"",_xll.RssMarket(C83,"出来高"),"")</f>
        <v/>
      </c>
      <c r="K83" s="179">
        <f>IF(C83&lt;&gt;"",_xll.RssMarket(C83,"年初来高値"),"")</f>
        <v/>
      </c>
      <c r="L83" s="613">
        <f>IF(AND(E83&lt;&gt;"",K83&lt;&gt;"",K83&lt;&gt;0),(E83-K83)/K83*100,"")</f>
        <v/>
      </c>
      <c r="M83" s="179">
        <f>IF(C83&lt;&gt;"",IFERROR(AVERAGE(出来高!E158:I158),""),"")</f>
        <v/>
      </c>
      <c r="N83" s="179">
        <f>IF(C83&lt;&gt;"",IFERROR(AVERAGE(出来高!E158:AC158),""),"")</f>
        <v/>
      </c>
      <c r="O83" s="614">
        <f>IF(AND(J83&lt;&gt;"",M83&lt;&gt;"",M83&lt;&gt;0),J83/M83,"")</f>
        <v/>
      </c>
      <c r="P83" s="176">
        <f>IF(O83="","",IF(O83&gt;=2,"急増↑↑",IF(O83&gt;=1.5,"増加↑",IF(O83&gt;=1,"普通→","減少↓"))))</f>
        <v/>
      </c>
      <c r="Q83" s="176">
        <f>IF(E83="","",IF(AND(E83&gt;G83,O83&gt;=1.5),"買い▲",IF(E83&lt;G83,"様子見▼","中立→")))</f>
        <v/>
      </c>
      <c r="R83" s="179">
        <f>IF(E83&lt;&gt;"",ROUND(E83*1.08,0),"")</f>
        <v/>
      </c>
      <c r="S83" s="179">
        <f>IF(E83&lt;&gt;"",ROUND(E83*0.96,0),"")</f>
        <v/>
      </c>
      <c r="T83" s="176">
        <f>IF(C83="","",IFERROR(IF(O83&gt;=2,3,IF(O83&gt;=1.5,2,IF(O83&gt;=1,1,0)))+IF(E83&gt;G83,1,0)+IF(L83&gt;=-5,1,0)+IF(Q83="買い▲",2,0)+IF(W83&lt;=30,3,IF(W83&lt;=40,2,IF(AND(W83&gt;=40,W83&lt;=60),1,0)))+IF(X83&gt;0,1,0)+IF(V83="年初来高値更新●",3,IF(V83="高値圏",2,0))+IF(AD83="パーフェクト▲",3,IF(AD83="上昇トレンド▲",2,0))+IF(AE83="25日線押し目●",2,IF(AE83="5日線押し目○",1,0))+IF(P83="急増↑↑",2,IF(P83="増加↑",1,0))+N(AI83),0))</f>
        <v/>
      </c>
      <c r="U83" s="176">
        <f>IF(T83="","",IF(AND(T83&gt;=3,O83&gt;=1.5),"有効",IF(T83&gt;=3,"要確認","除外")))</f>
        <v/>
      </c>
      <c r="V83" s="176">
        <f>IF(AND(H83&lt;&gt;"",K83&lt;&gt;""),IF(H83&gt;=K83,"年初来高値更新●",IF(H83&gt;=K83*0.95,"高値圏","通常")),"")</f>
        <v/>
      </c>
      <c r="W83" s="615">
        <f t="array" ref="W83">IF(C83&lt;&gt;"",IFERROR(100-100/(1+SUMPRODUCT((終値!F158:R158&gt;終値!G158:S158)*( 終値!F158:R158-終値!G158:S158))/SUMPRODUCT((終値!F158:R158&lt;終値!G158:S158)*(終値!G158:S158-終値!F158:R158))),50),"")</f>
        <v/>
      </c>
      <c r="X83" s="183">
        <f>IF(C83&lt;&gt;"",IFERROR(SUMPRODUCT(終値!E158:P158,{0.154,0.132,0.113,0.097,0.083,0.071,0.061,0.052,0.045,0.038,0.033,0.028})/SUMPRODUCT({0.154,0.132,0.113,0.097,0.083,0.071,0.061,0.052,0.045,0.038,0.033,0.028})-SUMPRODUCT(終値!E158:AD158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3" s="570">
        <f>IF(T83="","",IF(銘柄管理!$F$5="下落▼",IF(AND(AD83="パーフェクト▲",OR(AE83="25日線押し目●",AE83="5日線押し目○")),"★逆張り候補",IF(AND(AD83="上昇トレンド▲",OR(AE83="25日線押し目●",AE83="5日線押し目○")),"○逆張り候補",IF(W83&lt;=30,IF(Z83&gt;0,"◎反発確認",IF(Z83&lt;-5,"△要注意・様子見","△売られ過ぎ注目")),"相場下落・見送り"))),IF(AND(T83&gt;=12,AD83="パーフェクト▲"),"★強い買い",IF(AND(T83&gt;=12,AD83="上昇トレンド▲"),"★強い買い",IF(AND(T83&gt;=8,OR(AE83="25日線押し目●",AE83="5日線押し目○")),"◎押し目買い",IF(T83&gt;=10,"○買い候補",IF(T83&gt;=6,"△注目",IF(T83&gt;=3,"様子見","見送り"))))))))</f>
        <v/>
      </c>
      <c r="Z83" s="616">
        <f>IF(AND(E83&lt;&gt;"",G83&lt;&gt;"",G83&lt;&gt;0),(E83-G83)/G83*100,"")</f>
        <v/>
      </c>
      <c r="AA83" s="176">
        <f>IF(OR(C83="",E83="",E83=0),"",IF(E83&gt;G83,"上昇▲",IF(E83&lt;G83,"下落▼","横ばい→")))</f>
        <v/>
      </c>
      <c r="AB83" s="440">
        <f>IF(C83="","",IFERROR(((終値!E85*0.333)+(終値!F85*0.222)+(終値!G85*0.148)+(終値!H85*0.099)+(終値!I85*0.066)+(終値!J85*0.044)+(終値!K85*0.029)+(終値!L85*0.019)+(終値!M85*0.013)+(終値!N85*0.009))/(0.333+0.222+0.148+0.099+0.066+0.044+0.029+0.019+0.013+0.009),""))</f>
        <v/>
      </c>
      <c r="AC83" s="440">
        <f>IF(C83="","",IFERROR(SUMPRODUCT((終値!E85:AC85)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3" s="441">
        <f>IF(OR(C83="",AB83="",AC83=""),"",IF(AND(E83&gt;AB83,AB83&gt;AC83),"パーフェクト▲",IF(E83&gt;AC83,"上昇トレンド▲",IF(AND(E83&lt;AB83,AB83&lt;AC83),"下降トレンド▼","もみ合い→"))))</f>
        <v/>
      </c>
      <c r="AE83" s="441">
        <f>IF(OR(C83="",AB83="",AC83=""),"",IF(AND(ABS(E83-AC83)/AC83&lt;=0.02,E83&gt;AC83),"25日押し目★",IF(AND(ABS(E83-AB83)/AB83&lt;=0.01,E83&gt;AB83),"5日押し目○","なし")))</f>
        <v/>
      </c>
      <c r="AF83" s="617">
        <f t="array" ref="AF83">IF(C83="","",IFERROR((INDEX(終値!$E:$E,MATCH(TEXT(C83,"0"),終値!$A:$A,0))-INDEX(終値!$E:$BL,MATCH(TEXT(C83,"0"),終値!$A:$A,0),$AL$2))/INDEX(終値!$E:$BL,MATCH(TEXT(C83,"0"),終値!$A:$A,0),$AL$2)*100,""))</f>
        <v/>
      </c>
      <c r="AG83" s="617">
        <f t="array" ref="AG83">IFERROR((終値!$E$5-INDEX(終値!$E$5:$BL$5,1,$AL$2))/INDEX(終値!$E$5:$BL$5,1,$AL$2)*100,"")</f>
        <v/>
      </c>
      <c r="AH83" s="618">
        <f>IF(OR(AF83="",AG83=""),"",AF83-AG83)</f>
        <v/>
      </c>
      <c r="AI83" s="385">
        <f>IF(AH83="","",IF(AH83&gt;5,3,IF(AH83&gt;0,1,IF(AH83&gt;-3,-1,-2))))</f>
        <v/>
      </c>
    </row>
    <row r="84" ht="18" customFormat="1" customHeight="1" s="187">
      <c r="A84" s="176">
        <f>IF(銘柄管理!B81&lt;&gt;"",HYPERLINK("https://kabutan.jp/stock/?code="&amp;銘柄管理!B81,"株探"),"")</f>
        <v/>
      </c>
      <c r="B84" s="177" t="n"/>
      <c r="C84" s="178">
        <f>IF(銘柄管理!B81="","",銘柄管理!B81)</f>
        <v/>
      </c>
      <c r="D84" s="106">
        <f>IF(銘柄管理!C81="","",銘柄管理!C81)</f>
        <v/>
      </c>
      <c r="E84" s="179">
        <f>IF(C84&lt;&gt;"",_xll.RssMarket(C84,"現在値"),"")</f>
        <v/>
      </c>
      <c r="F84" s="179">
        <f>IF(C84&lt;&gt;"",_xll.RssMarket(C84,"始値"),"")</f>
        <v/>
      </c>
      <c r="G84" s="178">
        <f>IF(C84&lt;&gt;"",終値!F81,"")</f>
        <v/>
      </c>
      <c r="H84" s="179">
        <f>IF(C84&lt;&gt;"",_xll.RssMarket(C84,"高値"),"")</f>
        <v/>
      </c>
      <c r="I84" s="179">
        <f>IF(C84&lt;&gt;"",_xll.RssMarket(C84,"安値"),"")</f>
        <v/>
      </c>
      <c r="J84" s="179">
        <f>IF(C84&lt;&gt;"",_xll.RssMarket(C84,"出来高"),"")</f>
        <v/>
      </c>
      <c r="K84" s="179">
        <f>IF(C84&lt;&gt;"",_xll.RssMarket(C84,"年初来高値"),"")</f>
        <v/>
      </c>
      <c r="L84" s="613">
        <f>IF(AND(E84&lt;&gt;"",K84&lt;&gt;"",K84&lt;&gt;0),(E84-K84)/K84*100,"")</f>
        <v/>
      </c>
      <c r="M84" s="179">
        <f>IF(C84&lt;&gt;"",IFERROR(AVERAGE(出来高!E81:I81),""),"")</f>
        <v/>
      </c>
      <c r="N84" s="179">
        <f>IF(C84&lt;&gt;"",IFERROR(AVERAGE(出来高!E81:AC81),""),"")</f>
        <v/>
      </c>
      <c r="O84" s="614">
        <f>IF(AND(J84&lt;&gt;"",M84&lt;&gt;"",M84&lt;&gt;0),J84/M84,"")</f>
        <v/>
      </c>
      <c r="P84" s="176">
        <f>IF(O84="","",IF(O84&gt;=2,"急増↑↑",IF(O84&gt;=1.5,"増加↑",IF(O84&gt;=1,"普通→","減少↓"))))</f>
        <v/>
      </c>
      <c r="Q84" s="176">
        <f>IF(E84="","",IF(AND(E84&gt;G84,O84&gt;=1.5),"買い▲",IF(E84&lt;G84,"様子見▼","中立→")))</f>
        <v/>
      </c>
      <c r="R84" s="179">
        <f>IF(E84&lt;&gt;"",ROUND(E84*1.08,0),"")</f>
        <v/>
      </c>
      <c r="S84" s="179">
        <f>IF(E84&lt;&gt;"",ROUND(E84*0.96,0),"")</f>
        <v/>
      </c>
      <c r="T84" s="176">
        <f>IF(C84="","",IFERROR(IF(O84&gt;=2,3,IF(O84&gt;=1.5,2,IF(O84&gt;=1,1,0)))+IF(E84&gt;G84,1,0)+IF(L84&gt;=-5,1,0)+IF(Q84="買い▲",2,0)+IF(W84&lt;=30,3,IF(W84&lt;=40,2,IF(AND(W84&gt;=40,W84&lt;=60),1,0)))+IF(X84&gt;0,1,0)+IF(V84="年初来高値更新●",3,IF(V84="高値圏",2,0))+IF(AD84="パーフェクト▲",3,IF(AD84="上昇トレンド▲",2,0))+IF(AE84="25日線押し目●",2,IF(AE84="5日線押し目○",1,0))+IF(P84="急増↑↑",2,IF(P84="増加↑",1,0))+N(AI84),0))</f>
        <v/>
      </c>
      <c r="U84" s="176">
        <f>IF(T84="","",IF(AND(T84&gt;=3,O84&gt;=1.5),"有効",IF(T84&gt;=3,"要確認","除外")))</f>
        <v/>
      </c>
      <c r="V84" s="176">
        <f>IF(AND(H84&lt;&gt;"",K84&lt;&gt;""),IF(H84&gt;=K84,"年初来高値更新●",IF(H84&gt;=K84*0.95,"高値圏","通常")),"")</f>
        <v/>
      </c>
      <c r="W84" s="615">
        <f t="array" ref="W84">IF(C84&lt;&gt;"",IFERROR(100-100/(1+SUMPRODUCT((終値!F81:R81&gt;終値!G81:S81)*( 終値!F81:R81-終値!G81:S81))/SUMPRODUCT((終値!F81:R81&lt;終値!G81:S81)*(終値!G81:S81-終値!F81:R81))),50),"")</f>
        <v/>
      </c>
      <c r="X84" s="183">
        <f>IF(C84&lt;&gt;"",IFERROR(SUMPRODUCT(終値!E81:P81,{0.154,0.132,0.113,0.097,0.083,0.071,0.061,0.052,0.045,0.038,0.033,0.028})/SUMPRODUCT({0.154,0.132,0.113,0.097,0.083,0.071,0.061,0.052,0.045,0.038,0.033,0.028})-SUMPRODUCT(終値!E81:AD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4" s="570">
        <f>IF(T84="","",IF(銘柄管理!$F$5="下落▼",IF(AND(AD84="パーフェクト▲",OR(AE84="25日線押し目●",AE84="5日線押し目○")),"★逆張り候補",IF(AND(AD84="上昇トレンド▲",OR(AE84="25日線押し目●",AE84="5日線押し目○")),"○逆張り候補",IF(W84&lt;=30,IF(Z84&gt;0,"◎反発確認",IF(Z84&lt;-5,"△要注意・様子見","△売られ過ぎ注目")),"相場下落・見送り"))),IF(AND(T84&gt;=12,AD84="パーフェクト▲"),"★強い買い",IF(AND(T84&gt;=12,AD84="上昇トレンド▲"),"★強い買い",IF(AND(T84&gt;=8,OR(AE84="25日線押し目●",AE84="5日線押し目○")),"◎押し目買い",IF(T84&gt;=10,"○買い候補",IF(T84&gt;=6,"△注目",IF(T84&gt;=3,"様子見","見送り"))))))))</f>
        <v/>
      </c>
      <c r="Z84" s="616">
        <f>IF(AND(E84&lt;&gt;"",G84&lt;&gt;"",G84&lt;&gt;0),(E84-G84)/G84*100,"")</f>
        <v/>
      </c>
      <c r="AA84" s="176">
        <f>IF(OR(C84="",E84="",E84=0),"",IF(E84&gt;G84,"上昇▲",IF(E84&lt;G84,"下落▼","横ばい→")))</f>
        <v/>
      </c>
      <c r="AB84" s="438">
        <f>IF(C84="","",IFERROR(((終値!E86*0.333)+(終値!F86*0.222)+(終値!G86*0.148)+(終値!H86*0.099)+(終値!I86*0.066)+(終値!J86*0.044)+(終値!K86*0.029)+(終値!L86*0.019)+(終値!M86*0.013)+(終値!N86*0.009))/(0.333+0.222+0.148+0.099+0.066+0.044+0.029+0.019+0.013+0.009),""))</f>
        <v/>
      </c>
      <c r="AC84" s="438">
        <f>IF(C84="","",IFERROR(SUMPRODUCT((終値!E86:AC86)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4" s="439">
        <f>IF(OR(C84="",AB84="",AC84=""),"",IF(AND(E84&gt;AB84,AB84&gt;AC84),"パーフェクト▲",IF(E84&gt;AC84,"上昇トレンド▲",IF(AND(E84&lt;AB84,AB84&lt;AC84),"下降トレンド▼","もみ合い→"))))</f>
        <v/>
      </c>
      <c r="AE84" s="439">
        <f>IF(OR(C84="",AB84="",AC84=""),"",IF(AND(ABS(E84-AC84)/AC84&lt;=0.02,E84&gt;AC84),"25日押し目★",IF(AND(ABS(E84-AB84)/AB84&lt;=0.01,E84&gt;AB84),"5日押し目○","なし")))</f>
        <v/>
      </c>
      <c r="AF84" s="617">
        <f t="array" ref="AF84">IF(C84="","",IFERROR((INDEX(終値!$E:$E,MATCH(TEXT(C84,"0"),終値!$A:$A,0))-INDEX(終値!$E:$BL,MATCH(TEXT(C84,"0"),終値!$A:$A,0),$AL$2))/INDEX(終値!$E:$BL,MATCH(TEXT(C84,"0"),終値!$A:$A,0),$AL$2)*100,""))</f>
        <v/>
      </c>
      <c r="AG84" s="617">
        <f t="array" ref="AG84">IFERROR((終値!$E$5-INDEX(終値!$E$5:$BL$5,1,$AL$2))/INDEX(終値!$E$5:$BL$5,1,$AL$2)*100,"")</f>
        <v/>
      </c>
      <c r="AH84" s="618">
        <f>IF(OR(AF84="",AG84=""),"",AF84-AG84)</f>
        <v/>
      </c>
      <c r="AI84" s="385">
        <f>IF(AH84="","",IF(AH84&gt;5,3,IF(AH84&gt;0,1,IF(AH84&gt;-3,-1,-2))))</f>
        <v/>
      </c>
    </row>
    <row r="85" ht="18" customFormat="1" customHeight="1" s="187">
      <c r="A85" s="176">
        <f>IF(銘柄管理!B148&lt;&gt;"",HYPERLINK("https://kabutan.jp/stock/?code="&amp;銘柄管理!B148,"株探"),"")</f>
        <v/>
      </c>
      <c r="B85" s="177" t="n"/>
      <c r="C85" s="178">
        <f>IF(銘柄管理!B148="","",銘柄管理!B148)</f>
        <v/>
      </c>
      <c r="D85" s="106">
        <f>IF(銘柄管理!C148="","",銘柄管理!C148)</f>
        <v/>
      </c>
      <c r="E85" s="179">
        <f>IF(C85&lt;&gt;"",_xll.RssMarket(C85,"現在値"),"")</f>
        <v/>
      </c>
      <c r="F85" s="179">
        <f>IF(C85&lt;&gt;"",_xll.RssMarket(C85,"始値"),"")</f>
        <v/>
      </c>
      <c r="G85" s="178">
        <f>IF(C85&lt;&gt;"",終値!F148,"")</f>
        <v/>
      </c>
      <c r="H85" s="179">
        <f>IF(C85&lt;&gt;"",_xll.RssMarket(C85,"高値"),"")</f>
        <v/>
      </c>
      <c r="I85" s="179">
        <f>IF(C85&lt;&gt;"",_xll.RssMarket(C85,"安値"),"")</f>
        <v/>
      </c>
      <c r="J85" s="179">
        <f>IF(C85&lt;&gt;"",_xll.RssMarket(C85,"出来高"),"")</f>
        <v/>
      </c>
      <c r="K85" s="179">
        <f>IF(C85&lt;&gt;"",_xll.RssMarket(C85,"年初来高値"),"")</f>
        <v/>
      </c>
      <c r="L85" s="613">
        <f>IF(AND(E85&lt;&gt;"",K85&lt;&gt;"",K85&lt;&gt;0),(E85-K85)/K85*100,"")</f>
        <v/>
      </c>
      <c r="M85" s="179">
        <f>IF(C85&lt;&gt;"",IFERROR(AVERAGE(出来高!E148:I148),""),"")</f>
        <v/>
      </c>
      <c r="N85" s="179">
        <f>IF(C85&lt;&gt;"",IFERROR(AVERAGE(出来高!E148:AC148),""),"")</f>
        <v/>
      </c>
      <c r="O85" s="614">
        <f>IF(AND(J85&lt;&gt;"",M85&lt;&gt;"",M85&lt;&gt;0),J85/M85,"")</f>
        <v/>
      </c>
      <c r="P85" s="176">
        <f>IF(O85="","",IF(O85&gt;=2,"急増↑↑",IF(O85&gt;=1.5,"増加↑",IF(O85&gt;=1,"普通→","減少↓"))))</f>
        <v/>
      </c>
      <c r="Q85" s="176">
        <f>IF(E85="","",IF(AND(E85&gt;G85,O85&gt;=1.5),"買い▲",IF(E85&lt;G85,"様子見▼","中立→")))</f>
        <v/>
      </c>
      <c r="R85" s="179">
        <f>IF(E85&lt;&gt;"",ROUND(E85*1.08,0),"")</f>
        <v/>
      </c>
      <c r="S85" s="179">
        <f>IF(E85&lt;&gt;"",ROUND(E85*0.96,0),"")</f>
        <v/>
      </c>
      <c r="T85" s="176">
        <f>IF(C85="","",IFERROR(IF(O85&gt;=2,3,IF(O85&gt;=1.5,2,IF(O85&gt;=1,1,0)))+IF(E85&gt;G85,1,0)+IF(L85&gt;=-5,1,0)+IF(Q85="買い▲",2,0)+IF(W85&lt;=30,3,IF(W85&lt;=40,2,IF(AND(W85&gt;=40,W85&lt;=60),1,0)))+IF(X85&gt;0,1,0)+IF(V85="年初来高値更新●",3,IF(V85="高値圏",2,0))+IF(AD85="パーフェクト▲",3,IF(AD85="上昇トレンド▲",2,0))+IF(AE85="25日線押し目●",2,IF(AE85="5日線押し目○",1,0))+IF(P85="急増↑↑",2,IF(P85="増加↑",1,0))+N(AI85),0))</f>
        <v/>
      </c>
      <c r="U85" s="176">
        <f>IF(T85="","",IF(AND(T85&gt;=3,O85&gt;=1.5),"有効",IF(T85&gt;=3,"要確認","除外")))</f>
        <v/>
      </c>
      <c r="V85" s="176">
        <f>IF(AND(H85&lt;&gt;"",K85&lt;&gt;""),IF(H85&gt;=K85,"年初来高値更新●",IF(H85&gt;=K85*0.95,"高値圏","通常")),"")</f>
        <v/>
      </c>
      <c r="W85" s="615">
        <f t="array" ref="W85">IF(C85&lt;&gt;"",IFERROR(100-100/(1+SUMPRODUCT((終値!F148:R148&gt;終値!G148:S148)*( 終値!F148:R148-終値!G148:S148))/SUMPRODUCT((終値!F148:R148&lt;終値!G148:S148)*(終値!G148:S148-終値!F148:R148))),50),"")</f>
        <v/>
      </c>
      <c r="X85" s="183">
        <f>IF(C85&lt;&gt;"",IFERROR(SUMPRODUCT(終値!E148:P148,{0.154,0.132,0.113,0.097,0.083,0.071,0.061,0.052,0.045,0.038,0.033,0.028})/SUMPRODUCT({0.154,0.132,0.113,0.097,0.083,0.071,0.061,0.052,0.045,0.038,0.033,0.028})-SUMPRODUCT(終値!E148:AD148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5" s="570">
        <f>IF(T85="","",IF(銘柄管理!$F$5="下落▼",IF(AND(AD85="パーフェクト▲",OR(AE85="25日線押し目●",AE85="5日線押し目○")),"★逆張り候補",IF(AND(AD85="上昇トレンド▲",OR(AE85="25日線押し目●",AE85="5日線押し目○")),"○逆張り候補",IF(W85&lt;=30,IF(Z85&gt;0,"◎反発確認",IF(Z85&lt;-5,"△要注意・様子見","△売られ過ぎ注目")),"相場下落・見送り"))),IF(AND(T85&gt;=12,AD85="パーフェクト▲"),"★強い買い",IF(AND(T85&gt;=12,AD85="上昇トレンド▲"),"★強い買い",IF(AND(T85&gt;=8,OR(AE85="25日線押し目●",AE85="5日線押し目○")),"◎押し目買い",IF(T85&gt;=10,"○買い候補",IF(T85&gt;=6,"△注目",IF(T85&gt;=3,"様子見","見送り"))))))))</f>
        <v/>
      </c>
      <c r="Z85" s="616">
        <f>IF(AND(E85&lt;&gt;"",G85&lt;&gt;"",G85&lt;&gt;0),(E85-G85)/G85*100,"")</f>
        <v/>
      </c>
      <c r="AA85" s="176">
        <f>IF(OR(C85="",E85="",E85=0),"",IF(E85&gt;G85,"上昇▲",IF(E85&lt;G85,"下落▼","横ばい→")))</f>
        <v/>
      </c>
      <c r="AB85" s="440">
        <f>IF(C85="","",IFERROR(((終値!E87*0.333)+(終値!F87*0.222)+(終値!G87*0.148)+(終値!H87*0.099)+(終値!I87*0.066)+(終値!J87*0.044)+(終値!K87*0.029)+(終値!L87*0.019)+(終値!M87*0.013)+(終値!N87*0.009))/(0.333+0.222+0.148+0.099+0.066+0.044+0.029+0.019+0.013+0.009),""))</f>
        <v/>
      </c>
      <c r="AC85" s="440">
        <f>IF(C85="","",IFERROR(SUMPRODUCT((終値!E87:AC87)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5" s="441">
        <f>IF(OR(C85="",AB85="",AC85=""),"",IF(AND(E85&gt;AB85,AB85&gt;AC85),"パーフェクト▲",IF(E85&gt;AC85,"上昇トレンド▲",IF(AND(E85&lt;AB85,AB85&lt;AC85),"下降トレンド▼","もみ合い→"))))</f>
        <v/>
      </c>
      <c r="AE85" s="441">
        <f>IF(OR(C85="",AB85="",AC85=""),"",IF(AND(ABS(E85-AC85)/AC85&lt;=0.02,E85&gt;AC85),"25日押し目★",IF(AND(ABS(E85-AB85)/AB85&lt;=0.01,E85&gt;AB85),"5日押し目○","なし")))</f>
        <v/>
      </c>
      <c r="AF85" s="617">
        <f t="array" ref="AF85">IF(C85="","",IFERROR((INDEX(終値!$E:$E,MATCH(TEXT(C85,"0"),終値!$A:$A,0))-INDEX(終値!$E:$BL,MATCH(TEXT(C85,"0"),終値!$A:$A,0),$AL$2))/INDEX(終値!$E:$BL,MATCH(TEXT(C85,"0"),終値!$A:$A,0),$AL$2)*100,""))</f>
        <v/>
      </c>
      <c r="AG85" s="617">
        <f t="array" ref="AG85">IFERROR((終値!$E$5-INDEX(終値!$E$5:$BL$5,1,$AL$2))/INDEX(終値!$E$5:$BL$5,1,$AL$2)*100,"")</f>
        <v/>
      </c>
      <c r="AH85" s="618">
        <f>IF(OR(AF85="",AG85=""),"",AF85-AG85)</f>
        <v/>
      </c>
      <c r="AI85" s="385">
        <f>IF(AH85="","",IF(AH85&gt;5,3,IF(AH85&gt;0,1,IF(AH85&gt;-3,-1,-2))))</f>
        <v/>
      </c>
    </row>
    <row r="86" ht="18" customFormat="1" customHeight="1" s="187">
      <c r="A86" s="176">
        <f>IF(銘柄管理!B145&lt;&gt;"",HYPERLINK("https://kabutan.jp/stock/?code="&amp;銘柄管理!B145,"株探"),"")</f>
        <v/>
      </c>
      <c r="B86" s="177" t="n"/>
      <c r="C86" s="178">
        <f>IF(銘柄管理!B145="","",銘柄管理!B145)</f>
        <v/>
      </c>
      <c r="D86" s="106">
        <f>IF(銘柄管理!C145="","",銘柄管理!C145)</f>
        <v/>
      </c>
      <c r="E86" s="179">
        <f>IF(C86&lt;&gt;"",_xll.RssMarket(C86,"現在値"),"")</f>
        <v/>
      </c>
      <c r="F86" s="179">
        <f>IF(C86&lt;&gt;"",_xll.RssMarket(C86,"始値"),"")</f>
        <v/>
      </c>
      <c r="G86" s="178">
        <f>IF(C86&lt;&gt;"",終値!F145,"")</f>
        <v/>
      </c>
      <c r="H86" s="179">
        <f>IF(C86&lt;&gt;"",_xll.RssMarket(C86,"高値"),"")</f>
        <v/>
      </c>
      <c r="I86" s="179">
        <f>IF(C86&lt;&gt;"",_xll.RssMarket(C86,"安値"),"")</f>
        <v/>
      </c>
      <c r="J86" s="179">
        <f>IF(C86&lt;&gt;"",_xll.RssMarket(C86,"出来高"),"")</f>
        <v/>
      </c>
      <c r="K86" s="179">
        <f>IF(C86&lt;&gt;"",_xll.RssMarket(C86,"年初来高値"),"")</f>
        <v/>
      </c>
      <c r="L86" s="613">
        <f>IF(AND(E86&lt;&gt;"",K86&lt;&gt;"",K86&lt;&gt;0),(E86-K86)/K86*100,"")</f>
        <v/>
      </c>
      <c r="M86" s="179">
        <f>IF(C86&lt;&gt;"",IFERROR(AVERAGE(出来高!E145:I145),""),"")</f>
        <v/>
      </c>
      <c r="N86" s="179">
        <f>IF(C86&lt;&gt;"",IFERROR(AVERAGE(出来高!E145:AC145),""),"")</f>
        <v/>
      </c>
      <c r="O86" s="614">
        <f>IF(AND(J86&lt;&gt;"",M86&lt;&gt;"",M86&lt;&gt;0),J86/M86,"")</f>
        <v/>
      </c>
      <c r="P86" s="176">
        <f>IF(O86="","",IF(O86&gt;=2,"急増↑↑",IF(O86&gt;=1.5,"増加↑",IF(O86&gt;=1,"普通→","減少↓"))))</f>
        <v/>
      </c>
      <c r="Q86" s="176">
        <f>IF(E86="","",IF(AND(E86&gt;G86,O86&gt;=1.5),"買い▲",IF(E86&lt;G86,"様子見▼","中立→")))</f>
        <v/>
      </c>
      <c r="R86" s="179">
        <f>IF(E86&lt;&gt;"",ROUND(E86*1.08,0),"")</f>
        <v/>
      </c>
      <c r="S86" s="179">
        <f>IF(E86&lt;&gt;"",ROUND(E86*0.96,0),"")</f>
        <v/>
      </c>
      <c r="T86" s="176">
        <f>IF(C86="","",IFERROR(IF(O86&gt;=2,3,IF(O86&gt;=1.5,2,IF(O86&gt;=1,1,0)))+IF(E86&gt;G86,1,0)+IF(L86&gt;=-5,1,0)+IF(Q86="買い▲",2,0)+IF(W86&lt;=30,3,IF(W86&lt;=40,2,IF(AND(W86&gt;=40,W86&lt;=60),1,0)))+IF(X86&gt;0,1,0)+IF(V86="年初来高値更新●",3,IF(V86="高値圏",2,0))+IF(AD86="パーフェクト▲",3,IF(AD86="上昇トレンド▲",2,0))+IF(AE86="25日線押し目●",2,IF(AE86="5日線押し目○",1,0))+IF(P86="急増↑↑",2,IF(P86="増加↑",1,0))+N(AI86),0))</f>
        <v/>
      </c>
      <c r="U86" s="176">
        <f>IF(T86="","",IF(AND(T86&gt;=3,O86&gt;=1.5),"有効",IF(T86&gt;=3,"要確認","除外")))</f>
        <v/>
      </c>
      <c r="V86" s="176">
        <f>IF(AND(H86&lt;&gt;"",K86&lt;&gt;""),IF(H86&gt;=K86,"年初来高値更新●",IF(H86&gt;=K86*0.95,"高値圏","通常")),"")</f>
        <v/>
      </c>
      <c r="W86" s="615">
        <f t="array" ref="W86">IF(C86&lt;&gt;"",IFERROR(100-100/(1+SUMPRODUCT((終値!F145:R145&gt;終値!G145:S145)*( 終値!F145:R145-終値!G145:S145))/SUMPRODUCT((終値!F145:R145&lt;終値!G145:S145)*(終値!G145:S145-終値!F145:R145))),50),"")</f>
        <v/>
      </c>
      <c r="X86" s="183">
        <f>IF(C86&lt;&gt;"",IFERROR(SUMPRODUCT(終値!E145:P145,{0.154,0.132,0.113,0.097,0.083,0.071,0.061,0.052,0.045,0.038,0.033,0.028})/SUMPRODUCT({0.154,0.132,0.113,0.097,0.083,0.071,0.061,0.052,0.045,0.038,0.033,0.028})-SUMPRODUCT(終値!E145:AD145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6" s="570">
        <f>IF(T86="","",IF(銘柄管理!$F$5="下落▼",IF(AND(AD86="パーフェクト▲",OR(AE86="25日線押し目●",AE86="5日線押し目○")),"★逆張り候補",IF(AND(AD86="上昇トレンド▲",OR(AE86="25日線押し目●",AE86="5日線押し目○")),"○逆張り候補",IF(W86&lt;=30,IF(Z86&gt;0,"◎反発確認",IF(Z86&lt;-5,"△要注意・様子見","△売られ過ぎ注目")),"相場下落・見送り"))),IF(AND(T86&gt;=12,AD86="パーフェクト▲"),"★強い買い",IF(AND(T86&gt;=12,AD86="上昇トレンド▲"),"★強い買い",IF(AND(T86&gt;=8,OR(AE86="25日線押し目●",AE86="5日線押し目○")),"◎押し目買い",IF(T86&gt;=10,"○買い候補",IF(T86&gt;=6,"△注目",IF(T86&gt;=3,"様子見","見送り"))))))))</f>
        <v/>
      </c>
      <c r="Z86" s="616">
        <f>IF(AND(E86&lt;&gt;"",G86&lt;&gt;"",G86&lt;&gt;0),(E86-G86)/G86*100,"")</f>
        <v/>
      </c>
      <c r="AA86" s="176">
        <f>IF(OR(C86="",E86="",E86=0),"",IF(E86&gt;G86,"上昇▲",IF(E86&lt;G86,"下落▼","横ばい→")))</f>
        <v/>
      </c>
      <c r="AB86" s="438">
        <f>IF(C86="","",IFERROR(((終値!E88*0.333)+(終値!F88*0.222)+(終値!G88*0.148)+(終値!H88*0.099)+(終値!I88*0.066)+(終値!J88*0.044)+(終値!K88*0.029)+(終値!L88*0.019)+(終値!M88*0.013)+(終値!N88*0.009))/(0.333+0.222+0.148+0.099+0.066+0.044+0.029+0.019+0.013+0.009),""))</f>
        <v/>
      </c>
      <c r="AC86" s="438">
        <f>IF(C86="","",IFERROR(SUMPRODUCT((終値!E88:AC88)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6" s="439">
        <f>IF(OR(C86="",AB86="",AC86=""),"",IF(AND(E86&gt;AB86,AB86&gt;AC86),"パーフェクト▲",IF(E86&gt;AC86,"上昇トレンド▲",IF(AND(E86&lt;AB86,AB86&lt;AC86),"下降トレンド▼","もみ合い→"))))</f>
        <v/>
      </c>
      <c r="AE86" s="439">
        <f>IF(OR(C86="",AB86="",AC86=""),"",IF(AND(ABS(E86-AC86)/AC86&lt;=0.02,E86&gt;AC86),"25日押し目★",IF(AND(ABS(E86-AB86)/AB86&lt;=0.01,E86&gt;AB86),"5日押し目○","なし")))</f>
        <v/>
      </c>
      <c r="AF86" s="617">
        <f t="array" ref="AF86">IF(C86="","",IFERROR((INDEX(終値!$E:$E,MATCH(TEXT(C86,"0"),終値!$A:$A,0))-INDEX(終値!$E:$BL,MATCH(TEXT(C86,"0"),終値!$A:$A,0),$AL$2))/INDEX(終値!$E:$BL,MATCH(TEXT(C86,"0"),終値!$A:$A,0),$AL$2)*100,""))</f>
        <v/>
      </c>
      <c r="AG86" s="617">
        <f t="array" ref="AG86">IFERROR((終値!$E$5-INDEX(終値!$E$5:$BL$5,1,$AL$2))/INDEX(終値!$E$5:$BL$5,1,$AL$2)*100,"")</f>
        <v/>
      </c>
      <c r="AH86" s="618">
        <f>IF(OR(AF86="",AG86=""),"",AF86-AG86)</f>
        <v/>
      </c>
      <c r="AI86" s="385">
        <f>IF(AH86="","",IF(AH86&gt;5,3,IF(AH86&gt;0,1,IF(AH86&gt;-3,-1,-2))))</f>
        <v/>
      </c>
    </row>
    <row r="87" ht="18" customFormat="1" customHeight="1" s="187">
      <c r="A87" s="176">
        <f>IF(銘柄管理!B144&lt;&gt;"",HYPERLINK("https://kabutan.jp/stock/?code="&amp;銘柄管理!B144,"株探"),"")</f>
        <v/>
      </c>
      <c r="B87" s="177" t="n"/>
      <c r="C87" s="178">
        <f>IF(銘柄管理!B144="","",銘柄管理!B144)</f>
        <v/>
      </c>
      <c r="D87" s="106">
        <f>IF(銘柄管理!C144="","",銘柄管理!C144)</f>
        <v/>
      </c>
      <c r="E87" s="179">
        <f>IF(C87&lt;&gt;"",_xll.RssMarket(C87,"現在値"),"")</f>
        <v/>
      </c>
      <c r="F87" s="179">
        <f>IF(C87&lt;&gt;"",_xll.RssMarket(C87,"始値"),"")</f>
        <v/>
      </c>
      <c r="G87" s="178">
        <f>IF(C87&lt;&gt;"",終値!F144,"")</f>
        <v/>
      </c>
      <c r="H87" s="179">
        <f>IF(C87&lt;&gt;"",_xll.RssMarket(C87,"高値"),"")</f>
        <v/>
      </c>
      <c r="I87" s="179">
        <f>IF(C87&lt;&gt;"",_xll.RssMarket(C87,"安値"),"")</f>
        <v/>
      </c>
      <c r="J87" s="179">
        <f>IF(C87&lt;&gt;"",_xll.RssMarket(C87,"出来高"),"")</f>
        <v/>
      </c>
      <c r="K87" s="179">
        <f>IF(C87&lt;&gt;"",_xll.RssMarket(C87,"年初来高値"),"")</f>
        <v/>
      </c>
      <c r="L87" s="613">
        <f>IF(AND(E87&lt;&gt;"",K87&lt;&gt;"",K87&lt;&gt;0),(E87-K87)/K87*100,"")</f>
        <v/>
      </c>
      <c r="M87" s="179">
        <f>IF(C87&lt;&gt;"",IFERROR(AVERAGE(出来高!E144:I144),""),"")</f>
        <v/>
      </c>
      <c r="N87" s="179">
        <f>IF(C87&lt;&gt;"",IFERROR(AVERAGE(出来高!E144:AC144),""),"")</f>
        <v/>
      </c>
      <c r="O87" s="614">
        <f>IF(AND(J87&lt;&gt;"",M87&lt;&gt;"",M87&lt;&gt;0),J87/M87,"")</f>
        <v/>
      </c>
      <c r="P87" s="176">
        <f>IF(O87="","",IF(O87&gt;=2,"急増↑↑",IF(O87&gt;=1.5,"増加↑",IF(O87&gt;=1,"普通→","減少↓"))))</f>
        <v/>
      </c>
      <c r="Q87" s="176">
        <f>IF(E87="","",IF(AND(E87&gt;G87,O87&gt;=1.5),"買い▲",IF(E87&lt;G87,"様子見▼","中立→")))</f>
        <v/>
      </c>
      <c r="R87" s="179">
        <f>IF(E87&lt;&gt;"",ROUND(E87*1.08,0),"")</f>
        <v/>
      </c>
      <c r="S87" s="179">
        <f>IF(E87&lt;&gt;"",ROUND(E87*0.96,0),"")</f>
        <v/>
      </c>
      <c r="T87" s="176">
        <f>IF(C87="","",IFERROR(IF(O87&gt;=2,3,IF(O87&gt;=1.5,2,IF(O87&gt;=1,1,0)))+IF(E87&gt;G87,1,0)+IF(L87&gt;=-5,1,0)+IF(Q87="買い▲",2,0)+IF(W87&lt;=30,3,IF(W87&lt;=40,2,IF(AND(W87&gt;=40,W87&lt;=60),1,0)))+IF(X87&gt;0,1,0)+IF(V87="年初来高値更新●",3,IF(V87="高値圏",2,0))+IF(AD87="パーフェクト▲",3,IF(AD87="上昇トレンド▲",2,0))+IF(AE87="25日線押し目●",2,IF(AE87="5日線押し目○",1,0))+IF(P87="急増↑↑",2,IF(P87="増加↑",1,0))+N(AI87),0))</f>
        <v/>
      </c>
      <c r="U87" s="176">
        <f>IF(T87="","",IF(AND(T87&gt;=3,O87&gt;=1.5),"有効",IF(T87&gt;=3,"要確認","除外")))</f>
        <v/>
      </c>
      <c r="V87" s="176">
        <f>IF(AND(H87&lt;&gt;"",K87&lt;&gt;""),IF(H87&gt;=K87,"年初来高値更新●",IF(H87&gt;=K87*0.95,"高値圏","通常")),"")</f>
        <v/>
      </c>
      <c r="W87" s="615">
        <f t="array" ref="W87">IF(C87&lt;&gt;"",IFERROR(100-100/(1+SUMPRODUCT((終値!F144:R144&gt;終値!G144:S144)*( 終値!F144:R144-終値!G144:S144))/SUMPRODUCT((終値!F144:R144&lt;終値!G144:S144)*(終値!G144:S144-終値!F144:R144))),50),"")</f>
        <v/>
      </c>
      <c r="X87" s="183">
        <f>IF(C87&lt;&gt;"",IFERROR(SUMPRODUCT(終値!E144:P144,{0.154,0.132,0.113,0.097,0.083,0.071,0.061,0.052,0.045,0.038,0.033,0.028})/SUMPRODUCT({0.154,0.132,0.113,0.097,0.083,0.071,0.061,0.052,0.045,0.038,0.033,0.028})-SUMPRODUCT(終値!E144:AD144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7" s="570">
        <f>IF(T87="","",IF(銘柄管理!$F$5="下落▼",IF(AND(AD87="パーフェクト▲",OR(AE87="25日線押し目●",AE87="5日線押し目○")),"★逆張り候補",IF(AND(AD87="上昇トレンド▲",OR(AE87="25日線押し目●",AE87="5日線押し目○")),"○逆張り候補",IF(W87&lt;=30,IF(Z87&gt;0,"◎反発確認",IF(Z87&lt;-5,"△要注意・様子見","△売られ過ぎ注目")),"相場下落・見送り"))),IF(AND(T87&gt;=12,AD87="パーフェクト▲"),"★強い買い",IF(AND(T87&gt;=12,AD87="上昇トレンド▲"),"★強い買い",IF(AND(T87&gt;=8,OR(AE87="25日線押し目●",AE87="5日線押し目○")),"◎押し目買い",IF(T87&gt;=10,"○買い候補",IF(T87&gt;=6,"△注目",IF(T87&gt;=3,"様子見","見送り"))))))))</f>
        <v/>
      </c>
      <c r="Z87" s="616">
        <f>IF(AND(E87&lt;&gt;"",G87&lt;&gt;"",G87&lt;&gt;0),(E87-G87)/G87*100,"")</f>
        <v/>
      </c>
      <c r="AA87" s="176">
        <f>IF(OR(C87="",E87="",E87=0),"",IF(E87&gt;G87,"上昇▲",IF(E87&lt;G87,"下落▼","横ばい→")))</f>
        <v/>
      </c>
      <c r="AB87" s="440">
        <f>IF(C87="","",IFERROR(((終値!E89*0.333)+(終値!F89*0.222)+(終値!G89*0.148)+(終値!H89*0.099)+(終値!I89*0.066)+(終値!J89*0.044)+(終値!K89*0.029)+(終値!L89*0.019)+(終値!M89*0.013)+(終値!N89*0.009))/(0.333+0.222+0.148+0.099+0.066+0.044+0.029+0.019+0.013+0.009),""))</f>
        <v/>
      </c>
      <c r="AC87" s="440">
        <f>IF(C87="","",IFERROR(SUMPRODUCT((終値!E89:AC89)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7" s="441">
        <f>IF(OR(C87="",AB87="",AC87=""),"",IF(AND(E87&gt;AB87,AB87&gt;AC87),"パーフェクト▲",IF(E87&gt;AC87,"上昇トレンド▲",IF(AND(E87&lt;AB87,AB87&lt;AC87),"下降トレンド▼","もみ合い→"))))</f>
        <v/>
      </c>
      <c r="AE87" s="441">
        <f>IF(OR(C87="",AB87="",AC87=""),"",IF(AND(ABS(E87-AC87)/AC87&lt;=0.02,E87&gt;AC87),"25日押し目★",IF(AND(ABS(E87-AB87)/AB87&lt;=0.01,E87&gt;AB87),"5日押し目○","なし")))</f>
        <v/>
      </c>
      <c r="AF87" s="617">
        <f t="array" ref="AF87">IF(C87="","",IFERROR((INDEX(終値!$E:$E,MATCH(TEXT(C87,"0"),終値!$A:$A,0))-INDEX(終値!$E:$BL,MATCH(TEXT(C87,"0"),終値!$A:$A,0),$AL$2))/INDEX(終値!$E:$BL,MATCH(TEXT(C87,"0"),終値!$A:$A,0),$AL$2)*100,""))</f>
        <v/>
      </c>
      <c r="AG87" s="617">
        <f t="array" ref="AG87">IFERROR((終値!$E$5-INDEX(終値!$E$5:$BL$5,1,$AL$2))/INDEX(終値!$E$5:$BL$5,1,$AL$2)*100,"")</f>
        <v/>
      </c>
      <c r="AH87" s="618">
        <f>IF(OR(AF87="",AG87=""),"",AF87-AG87)</f>
        <v/>
      </c>
      <c r="AI87" s="385">
        <f>IF(AH87="","",IF(AH87&gt;5,3,IF(AH87&gt;0,1,IF(AH87&gt;-3,-1,-2))))</f>
        <v/>
      </c>
    </row>
    <row r="88" ht="18" customFormat="1" customHeight="1" s="187">
      <c r="A88" s="176">
        <f>IF(銘柄管理!B205&lt;&gt;"",HYPERLINK("https://kabutan.jp/stock/?code="&amp;銘柄管理!B205,"株探"),"")</f>
        <v/>
      </c>
      <c r="B88" s="177" t="n"/>
      <c r="C88" s="178">
        <f>IF(銘柄管理!B205="","",銘柄管理!B205)</f>
        <v/>
      </c>
      <c r="D88" s="106">
        <f>IF(銘柄管理!C205="","",銘柄管理!C205)</f>
        <v/>
      </c>
      <c r="E88" s="179">
        <f>IF(C88&lt;&gt;"",_xll.RssMarket(C88,"現在値"),"")</f>
        <v/>
      </c>
      <c r="F88" s="179">
        <f>IF(C88&lt;&gt;"",_xll.RssMarket(C88,"始値"),"")</f>
        <v/>
      </c>
      <c r="G88" s="178">
        <f>IF(C88&lt;&gt;"",終値!F205,"")</f>
        <v/>
      </c>
      <c r="H88" s="179">
        <f>IF(C88&lt;&gt;"",_xll.RssMarket(C88,"高値"),"")</f>
        <v/>
      </c>
      <c r="I88" s="179">
        <f>IF(C88&lt;&gt;"",_xll.RssMarket(C88,"安値"),"")</f>
        <v/>
      </c>
      <c r="J88" s="179">
        <f>IF(C88&lt;&gt;"",_xll.RssMarket(C88,"出来高"),"")</f>
        <v/>
      </c>
      <c r="K88" s="179">
        <f>IF(C88&lt;&gt;"",_xll.RssMarket(C88,"年初来高値"),"")</f>
        <v/>
      </c>
      <c r="L88" s="613">
        <f>IF(AND(E88&lt;&gt;"",K88&lt;&gt;"",K88&lt;&gt;0),(E88-K88)/K88*100,"")</f>
        <v/>
      </c>
      <c r="M88" s="179">
        <f>IF(C88&lt;&gt;"",IFERROR(AVERAGE(出来高!E205:I205),""),"")</f>
        <v/>
      </c>
      <c r="N88" s="179">
        <f>IF(C88&lt;&gt;"",IFERROR(AVERAGE(出来高!E205:AC205),""),"")</f>
        <v/>
      </c>
      <c r="O88" s="614">
        <f>IF(AND(J88&lt;&gt;"",M88&lt;&gt;"",M88&lt;&gt;0),J88/M88,"")</f>
        <v/>
      </c>
      <c r="P88" s="176">
        <f>IF(O88="","",IF(O88&gt;=2,"急増↑↑",IF(O88&gt;=1.5,"増加↑",IF(O88&gt;=1,"普通→","減少↓"))))</f>
        <v/>
      </c>
      <c r="Q88" s="176">
        <f>IF(E88="","",IF(AND(E88&gt;G88,O88&gt;=1.5),"買い▲",IF(E88&lt;G88,"様子見▼","中立→")))</f>
        <v/>
      </c>
      <c r="R88" s="179">
        <f>IF(E88&lt;&gt;"",ROUND(E88*1.08,0),"")</f>
        <v/>
      </c>
      <c r="S88" s="179">
        <f>IF(E88&lt;&gt;"",ROUND(E88*0.96,0),"")</f>
        <v/>
      </c>
      <c r="T88" s="176">
        <f>IF(C88="","",IFERROR(IF(O88&gt;=2,3,IF(O88&gt;=1.5,2,IF(O88&gt;=1,1,0)))+IF(E88&gt;G88,1,0)+IF(L88&gt;=-5,1,0)+IF(Q88="買い▲",2,0)+IF(W88&lt;=30,3,IF(W88&lt;=40,2,IF(AND(W88&gt;=40,W88&lt;=60),1,0)))+IF(X88&gt;0,1,0)+IF(V88="年初来高値更新●",3,IF(V88="高値圏",2,0))+IF(AD88="パーフェクト▲",3,IF(AD88="上昇トレンド▲",2,0))+IF(AE88="25日線押し目●",2,IF(AE88="5日線押し目○",1,0))+IF(P88="急増↑↑",2,IF(P88="増加↑",1,0))+N(AI88),0))</f>
        <v/>
      </c>
      <c r="U88" s="176">
        <f>IF(T88="","",IF(AND(T88&gt;=3,O88&gt;=1.5),"有効",IF(T88&gt;=3,"要確認","除外")))</f>
        <v/>
      </c>
      <c r="V88" s="176">
        <f>IF(AND(H88&lt;&gt;"",K88&lt;&gt;""),IF(H88&gt;=K88,"年初来高値更新●",IF(H88&gt;=K88*0.95,"高値圏","通常")),"")</f>
        <v/>
      </c>
      <c r="W88" s="615">
        <f t="array" ref="W88">IF(C88&lt;&gt;"",IFERROR(100-100/(1+SUMPRODUCT((終値!F205:R205&gt;終値!G205:S205)*( 終値!F205:R205-終値!G205:S205))/SUMPRODUCT((終値!F205:R205&lt;終値!G205:S205)*(終値!G205:S205-終値!F205:R205))),50),"")</f>
        <v/>
      </c>
      <c r="X88" s="183">
        <f>IF(C88&lt;&gt;"",IFERROR(SUMPRODUCT(終値!E205:P205,{0.154,0.132,0.113,0.097,0.083,0.071,0.061,0.052,0.045,0.038,0.033,0.028})/SUMPRODUCT({0.154,0.132,0.113,0.097,0.083,0.071,0.061,0.052,0.045,0.038,0.033,0.028})-SUMPRODUCT(終値!E205:AD205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8" s="570">
        <f>IF(T88="","",IF(銘柄管理!$F$5="下落▼",IF(AND(AD88="パーフェクト▲",OR(AE88="25日線押し目●",AE88="5日線押し目○")),"★逆張り候補",IF(AND(AD88="上昇トレンド▲",OR(AE88="25日線押し目●",AE88="5日線押し目○")),"○逆張り候補",IF(W88&lt;=30,IF(Z88&gt;0,"◎反発確認",IF(Z88&lt;-5,"△要注意・様子見","△売られ過ぎ注目")),"相場下落・見送り"))),IF(AND(T88&gt;=12,AD88="パーフェクト▲"),"★強い買い",IF(AND(T88&gt;=12,AD88="上昇トレンド▲"),"★強い買い",IF(AND(T88&gt;=8,OR(AE88="25日線押し目●",AE88="5日線押し目○")),"◎押し目買い",IF(T88&gt;=10,"○買い候補",IF(T88&gt;=6,"△注目",IF(T88&gt;=3,"様子見","見送り"))))))))</f>
        <v/>
      </c>
      <c r="Z88" s="616">
        <f>IF(AND(E88&lt;&gt;"",G88&lt;&gt;"",G88&lt;&gt;0),(E88-G88)/G88*100,"")</f>
        <v/>
      </c>
      <c r="AA88" s="176">
        <f>IF(OR(C88="",E88="",E88=0),"",IF(E88&gt;G88,"上昇▲",IF(E88&lt;G88,"下落▼","横ばい→")))</f>
        <v/>
      </c>
      <c r="AB88" s="438">
        <f>IF(C88="","",IFERROR(((終値!E90*0.333)+(終値!F90*0.222)+(終値!G90*0.148)+(終値!H90*0.099)+(終値!I90*0.066)+(終値!J90*0.044)+(終値!K90*0.029)+(終値!L90*0.019)+(終値!M90*0.013)+(終値!N90*0.009))/(0.333+0.222+0.148+0.099+0.066+0.044+0.029+0.019+0.013+0.009),""))</f>
        <v/>
      </c>
      <c r="AC88" s="438">
        <f>IF(C88="","",IFERROR(SUMPRODUCT((終値!E90:AC90)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8" s="439">
        <f>IF(OR(C88="",AB88="",AC88=""),"",IF(AND(E88&gt;AB88,AB88&gt;AC88),"パーフェクト▲",IF(E88&gt;AC88,"上昇トレンド▲",IF(AND(E88&lt;AB88,AB88&lt;AC88),"下降トレンド▼","もみ合い→"))))</f>
        <v/>
      </c>
      <c r="AE88" s="439">
        <f>IF(OR(C88="",AB88="",AC88=""),"",IF(AND(ABS(E88-AC88)/AC88&lt;=0.02,E88&gt;AC88),"25日押し目★",IF(AND(ABS(E88-AB88)/AB88&lt;=0.01,E88&gt;AB88),"5日押し目○","なし")))</f>
        <v/>
      </c>
      <c r="AF88" s="617">
        <f t="array" ref="AF88">IF(C88="","",IFERROR((INDEX(終値!$E:$E,MATCH(TEXT(C88,"0"),終値!$A:$A,0))-INDEX(終値!$E:$BL,MATCH(TEXT(C88,"0"),終値!$A:$A,0),$AL$2))/INDEX(終値!$E:$BL,MATCH(TEXT(C88,"0"),終値!$A:$A,0),$AL$2)*100,""))</f>
        <v/>
      </c>
      <c r="AG88" s="617">
        <f t="array" ref="AG88">IFERROR((終値!$E$5-INDEX(終値!$E$5:$BL$5,1,$AL$2))/INDEX(終値!$E$5:$BL$5,1,$AL$2)*100,"")</f>
        <v/>
      </c>
      <c r="AH88" s="618">
        <f>IF(OR(AF88="",AG88=""),"",AF88-AG88)</f>
        <v/>
      </c>
      <c r="AI88" s="385">
        <f>IF(AH88="","",IF(AH88&gt;5,3,IF(AH88&gt;0,1,IF(AH88&gt;-3,-1,-2))))</f>
        <v/>
      </c>
    </row>
    <row r="89" ht="18" customFormat="1" customHeight="1" s="187">
      <c r="A89" s="176">
        <f>IF(銘柄管理!B155&lt;&gt;"",HYPERLINK("https://kabutan.jp/stock/?code="&amp;銘柄管理!B155,"株探"),"")</f>
        <v/>
      </c>
      <c r="B89" s="177" t="n"/>
      <c r="C89" s="178">
        <f>IF(銘柄管理!B155="","",銘柄管理!B155)</f>
        <v/>
      </c>
      <c r="D89" s="106">
        <f>IF(銘柄管理!C155="","",銘柄管理!C155)</f>
        <v/>
      </c>
      <c r="E89" s="179">
        <f>IF(C89&lt;&gt;"",_xll.RssMarket(C89,"現在値"),"")</f>
        <v/>
      </c>
      <c r="F89" s="179">
        <f>IF(C89&lt;&gt;"",_xll.RssMarket(C89,"始値"),"")</f>
        <v/>
      </c>
      <c r="G89" s="178">
        <f>IF(C89&lt;&gt;"",終値!F155,"")</f>
        <v/>
      </c>
      <c r="H89" s="179">
        <f>IF(C89&lt;&gt;"",_xll.RssMarket(C89,"高値"),"")</f>
        <v/>
      </c>
      <c r="I89" s="179">
        <f>IF(C89&lt;&gt;"",_xll.RssMarket(C89,"安値"),"")</f>
        <v/>
      </c>
      <c r="J89" s="179">
        <f>IF(C89&lt;&gt;"",_xll.RssMarket(C89,"出来高"),"")</f>
        <v/>
      </c>
      <c r="K89" s="179">
        <f>IF(C89&lt;&gt;"",_xll.RssMarket(C89,"年初来高値"),"")</f>
        <v/>
      </c>
      <c r="L89" s="613">
        <f>IF(AND(E89&lt;&gt;"",K89&lt;&gt;"",K89&lt;&gt;0),(E89-K89)/K89*100,"")</f>
        <v/>
      </c>
      <c r="M89" s="179">
        <f>IF(C89&lt;&gt;"",IFERROR(AVERAGE(出来高!E155:I155),""),"")</f>
        <v/>
      </c>
      <c r="N89" s="179">
        <f>IF(C89&lt;&gt;"",IFERROR(AVERAGE(出来高!E155:AC155),""),"")</f>
        <v/>
      </c>
      <c r="O89" s="614">
        <f>IF(AND(J89&lt;&gt;"",M89&lt;&gt;"",M89&lt;&gt;0),J89/M89,"")</f>
        <v/>
      </c>
      <c r="P89" s="176">
        <f>IF(O89="","",IF(O89&gt;=2,"急増↑↑",IF(O89&gt;=1.5,"増加↑",IF(O89&gt;=1,"普通→","減少↓"))))</f>
        <v/>
      </c>
      <c r="Q89" s="176">
        <f>IF(E89="","",IF(AND(E89&gt;G89,O89&gt;=1.5),"買い▲",IF(E89&lt;G89,"様子見▼","中立→")))</f>
        <v/>
      </c>
      <c r="R89" s="179">
        <f>IF(E89&lt;&gt;"",ROUND(E89*1.08,0),"")</f>
        <v/>
      </c>
      <c r="S89" s="179">
        <f>IF(E89&lt;&gt;"",ROUND(E89*0.96,0),"")</f>
        <v/>
      </c>
      <c r="T89" s="176">
        <f>IF(C89="","",IFERROR(IF(O89&gt;=2,3,IF(O89&gt;=1.5,2,IF(O89&gt;=1,1,0)))+IF(E89&gt;G89,1,0)+IF(L89&gt;=-5,1,0)+IF(Q89="買い▲",2,0)+IF(W89&lt;=30,3,IF(W89&lt;=40,2,IF(AND(W89&gt;=40,W89&lt;=60),1,0)))+IF(X89&gt;0,1,0)+IF(V89="年初来高値更新●",3,IF(V89="高値圏",2,0))+IF(AD89="パーフェクト▲",3,IF(AD89="上昇トレンド▲",2,0))+IF(AE89="25日線押し目●",2,IF(AE89="5日線押し目○",1,0))+IF(P89="急増↑↑",2,IF(P89="増加↑",1,0))+N(AI89),0))</f>
        <v/>
      </c>
      <c r="U89" s="176">
        <f>IF(T89="","",IF(AND(T89&gt;=3,O89&gt;=1.5),"有効",IF(T89&gt;=3,"要確認","除外")))</f>
        <v/>
      </c>
      <c r="V89" s="176">
        <f>IF(AND(H89&lt;&gt;"",K89&lt;&gt;""),IF(H89&gt;=K89,"年初来高値更新●",IF(H89&gt;=K89*0.95,"高値圏","通常")),"")</f>
        <v/>
      </c>
      <c r="W89" s="615">
        <f t="array" ref="W89">IF(C89&lt;&gt;"",IFERROR(100-100/(1+SUMPRODUCT((終値!F155:R155&gt;終値!G155:S155)*( 終値!F155:R155-終値!G155:S155))/SUMPRODUCT((終値!F155:R155&lt;終値!G155:S155)*(終値!G155:S155-終値!F155:R155))),50),"")</f>
        <v/>
      </c>
      <c r="X89" s="183">
        <f>IF(C89&lt;&gt;"",IFERROR(SUMPRODUCT(終値!E155:P155,{0.154,0.132,0.113,0.097,0.083,0.071,0.061,0.052,0.045,0.038,0.033,0.028})/SUMPRODUCT({0.154,0.132,0.113,0.097,0.083,0.071,0.061,0.052,0.045,0.038,0.033,0.028})-SUMPRODUCT(終値!E155:AD155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9" s="570">
        <f>IF(T89="","",IF(銘柄管理!$F$5="下落▼",IF(AND(AD89="パーフェクト▲",OR(AE89="25日線押し目●",AE89="5日線押し目○")),"★逆張り候補",IF(AND(AD89="上昇トレンド▲",OR(AE89="25日線押し目●",AE89="5日線押し目○")),"○逆張り候補",IF(W89&lt;=30,IF(Z89&gt;0,"◎反発確認",IF(Z89&lt;-5,"△要注意・様子見","△売られ過ぎ注目")),"相場下落・見送り"))),IF(AND(T89&gt;=12,AD89="パーフェクト▲"),"★強い買い",IF(AND(T89&gt;=12,AD89="上昇トレンド▲"),"★強い買い",IF(AND(T89&gt;=8,OR(AE89="25日線押し目●",AE89="5日線押し目○")),"◎押し目買い",IF(T89&gt;=10,"○買い候補",IF(T89&gt;=6,"△注目",IF(T89&gt;=3,"様子見","見送り"))))))))</f>
        <v/>
      </c>
      <c r="Z89" s="616">
        <f>IF(AND(E89&lt;&gt;"",G89&lt;&gt;"",G89&lt;&gt;0),(E89-G89)/G89*100,"")</f>
        <v/>
      </c>
      <c r="AA89" s="176">
        <f>IF(OR(C89="",E89="",E89=0),"",IF(E89&gt;G89,"上昇▲",IF(E89&lt;G89,"下落▼","横ばい→")))</f>
        <v/>
      </c>
      <c r="AB89" s="440">
        <f>IF(C89="","",IFERROR(((終値!E91*0.333)+(終値!F91*0.222)+(終値!G91*0.148)+(終値!H91*0.099)+(終値!I91*0.066)+(終値!J91*0.044)+(終値!K91*0.029)+(終値!L91*0.019)+(終値!M91*0.013)+(終値!N91*0.009))/(0.333+0.222+0.148+0.099+0.066+0.044+0.029+0.019+0.013+0.009),""))</f>
        <v/>
      </c>
      <c r="AC89" s="440">
        <f>IF(C89="","",IFERROR(SUMPRODUCT((終値!E91:AC91)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9" s="441">
        <f>IF(OR(C89="",AB89="",AC89=""),"",IF(AND(E89&gt;AB89,AB89&gt;AC89),"パーフェクト▲",IF(E89&gt;AC89,"上昇トレンド▲",IF(AND(E89&lt;AB89,AB89&lt;AC89),"下降トレンド▼","もみ合い→"))))</f>
        <v/>
      </c>
      <c r="AE89" s="441">
        <f>IF(OR(C89="",AB89="",AC89=""),"",IF(AND(ABS(E89-AC89)/AC89&lt;=0.02,E89&gt;AC89),"25日押し目★",IF(AND(ABS(E89-AB89)/AB89&lt;=0.01,E89&gt;AB89),"5日押し目○","なし")))</f>
        <v/>
      </c>
      <c r="AF89" s="617">
        <f t="array" ref="AF89">IF(C89="","",IFERROR((INDEX(終値!$E:$E,MATCH(TEXT(C89,"0"),終値!$A:$A,0))-INDEX(終値!$E:$BL,MATCH(TEXT(C89,"0"),終値!$A:$A,0),$AL$2))/INDEX(終値!$E:$BL,MATCH(TEXT(C89,"0"),終値!$A:$A,0),$AL$2)*100,""))</f>
        <v/>
      </c>
      <c r="AG89" s="617">
        <f t="array" ref="AG89">IFERROR((終値!$E$5-INDEX(終値!$E$5:$BL$5,1,$AL$2))/INDEX(終値!$E$5:$BL$5,1,$AL$2)*100,"")</f>
        <v/>
      </c>
      <c r="AH89" s="618">
        <f>IF(OR(AF89="",AG89=""),"",AF89-AG89)</f>
        <v/>
      </c>
      <c r="AI89" s="385">
        <f>IF(AH89="","",IF(AH89&gt;5,3,IF(AH89&gt;0,1,IF(AH89&gt;-3,-1,-2))))</f>
        <v/>
      </c>
    </row>
    <row r="90" ht="18" customFormat="1" customHeight="1" s="187">
      <c r="A90" s="176">
        <f>IF(銘柄管理!B188&lt;&gt;"",HYPERLINK("https://kabutan.jp/stock/?code="&amp;銘柄管理!B188,"株探"),"")</f>
        <v/>
      </c>
      <c r="B90" s="177" t="n"/>
      <c r="C90" s="178">
        <f>IF(銘柄管理!B188="","",銘柄管理!B188)</f>
        <v/>
      </c>
      <c r="D90" s="106">
        <f>IF(銘柄管理!C188="","",銘柄管理!C188)</f>
        <v/>
      </c>
      <c r="E90" s="179">
        <f>IF(C90&lt;&gt;"",_xll.RssMarket(C90,"現在値"),"")</f>
        <v/>
      </c>
      <c r="F90" s="179">
        <f>IF(C90&lt;&gt;"",_xll.RssMarket(C90,"始値"),"")</f>
        <v/>
      </c>
      <c r="G90" s="178">
        <f>IF(C90&lt;&gt;"",終値!F188,"")</f>
        <v/>
      </c>
      <c r="H90" s="179">
        <f>IF(C90&lt;&gt;"",_xll.RssMarket(C90,"高値"),"")</f>
        <v/>
      </c>
      <c r="I90" s="179">
        <f>IF(C90&lt;&gt;"",_xll.RssMarket(C90,"安値"),"")</f>
        <v/>
      </c>
      <c r="J90" s="179">
        <f>IF(C90&lt;&gt;"",_xll.RssMarket(C90,"出来高"),"")</f>
        <v/>
      </c>
      <c r="K90" s="179">
        <f>IF(C90&lt;&gt;"",_xll.RssMarket(C90,"年初来高値"),"")</f>
        <v/>
      </c>
      <c r="L90" s="613">
        <f>IF(AND(E90&lt;&gt;"",K90&lt;&gt;"",K90&lt;&gt;0),(E90-K90)/K90*100,"")</f>
        <v/>
      </c>
      <c r="M90" s="179">
        <f>IF(C90&lt;&gt;"",IFERROR(AVERAGE(出来高!E188:I188),""),"")</f>
        <v/>
      </c>
      <c r="N90" s="179">
        <f>IF(C90&lt;&gt;"",IFERROR(AVERAGE(出来高!E188:AC188),""),"")</f>
        <v/>
      </c>
      <c r="O90" s="614">
        <f>IF(AND(J90&lt;&gt;"",M90&lt;&gt;"",M90&lt;&gt;0),J90/M90,"")</f>
        <v/>
      </c>
      <c r="P90" s="176">
        <f>IF(O90="","",IF(O90&gt;=2,"急増↑↑",IF(O90&gt;=1.5,"増加↑",IF(O90&gt;=1,"普通→","減少↓"))))</f>
        <v/>
      </c>
      <c r="Q90" s="176">
        <f>IF(E90="","",IF(AND(E90&gt;G90,O90&gt;=1.5),"買い▲",IF(E90&lt;G90,"様子見▼","中立→")))</f>
        <v/>
      </c>
      <c r="R90" s="179">
        <f>IF(E90&lt;&gt;"",ROUND(E90*1.08,0),"")</f>
        <v/>
      </c>
      <c r="S90" s="179">
        <f>IF(E90&lt;&gt;"",ROUND(E90*0.96,0),"")</f>
        <v/>
      </c>
      <c r="T90" s="176">
        <f>IF(C90="","",IFERROR(IF(O90&gt;=2,3,IF(O90&gt;=1.5,2,IF(O90&gt;=1,1,0)))+IF(E90&gt;G90,1,0)+IF(L90&gt;=-5,1,0)+IF(Q90="買い▲",2,0)+IF(W90&lt;=30,3,IF(W90&lt;=40,2,IF(AND(W90&gt;=40,W90&lt;=60),1,0)))+IF(X90&gt;0,1,0)+IF(V90="年初来高値更新●",3,IF(V90="高値圏",2,0))+IF(AD90="パーフェクト▲",3,IF(AD90="上昇トレンド▲",2,0))+IF(AE90="25日線押し目●",2,IF(AE90="5日線押し目○",1,0))+IF(P90="急増↑↑",2,IF(P90="増加↑",1,0))+N(AI90),0))</f>
        <v/>
      </c>
      <c r="U90" s="176">
        <f>IF(T90="","",IF(AND(T90&gt;=3,O90&gt;=1.5),"有効",IF(T90&gt;=3,"要確認","除外")))</f>
        <v/>
      </c>
      <c r="V90" s="176">
        <f>IF(AND(H90&lt;&gt;"",K90&lt;&gt;""),IF(H90&gt;=K90,"年初来高値更新●",IF(H90&gt;=K90*0.95,"高値圏","通常")),"")</f>
        <v/>
      </c>
      <c r="W90" s="615">
        <f t="array" ref="W90">IF(C90&lt;&gt;"",IFERROR(100-100/(1+SUMPRODUCT((終値!F188:R188&gt;終値!G188:S188)*( 終値!F188:R188-終値!G188:S188))/SUMPRODUCT((終値!F188:R188&lt;終値!G188:S188)*(終値!G188:S188-終値!F188:R188))),50),"")</f>
        <v/>
      </c>
      <c r="X90" s="183">
        <f>IF(C90&lt;&gt;"",IFERROR(SUMPRODUCT(終値!E188:P188,{0.154,0.132,0.113,0.097,0.083,0.071,0.061,0.052,0.045,0.038,0.033,0.028})/SUMPRODUCT({0.154,0.132,0.113,0.097,0.083,0.071,0.061,0.052,0.045,0.038,0.033,0.028})-SUMPRODUCT(終値!E188:AD188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0" s="570">
        <f>IF(T90="","",IF(銘柄管理!$F$5="下落▼",IF(AND(AD90="パーフェクト▲",OR(AE90="25日線押し目●",AE90="5日線押し目○")),"★逆張り候補",IF(AND(AD90="上昇トレンド▲",OR(AE90="25日線押し目●",AE90="5日線押し目○")),"○逆張り候補",IF(W90&lt;=30,IF(Z90&gt;0,"◎反発確認",IF(Z90&lt;-5,"△要注意・様子見","△売られ過ぎ注目")),"相場下落・見送り"))),IF(AND(T90&gt;=12,AD90="パーフェクト▲"),"★強い買い",IF(AND(T90&gt;=12,AD90="上昇トレンド▲"),"★強い買い",IF(AND(T90&gt;=8,OR(AE90="25日線押し目●",AE90="5日線押し目○")),"◎押し目買い",IF(T90&gt;=10,"○買い候補",IF(T90&gt;=6,"△注目",IF(T90&gt;=3,"様子見","見送り"))))))))</f>
        <v/>
      </c>
      <c r="Z90" s="616">
        <f>IF(AND(E90&lt;&gt;"",G90&lt;&gt;"",G90&lt;&gt;0),(E90-G90)/G90*100,"")</f>
        <v/>
      </c>
      <c r="AA90" s="176">
        <f>IF(OR(C90="",E90="",E90=0),"",IF(E90&gt;G90,"上昇▲",IF(E90&lt;G90,"下落▼","横ばい→")))</f>
        <v/>
      </c>
      <c r="AB90" s="438">
        <f>IF(C90="","",IFERROR(((終値!E92*0.333)+(終値!F92*0.222)+(終値!G92*0.148)+(終値!H92*0.099)+(終値!I92*0.066)+(終値!J92*0.044)+(終値!K92*0.029)+(終値!L92*0.019)+(終値!M92*0.013)+(終値!N92*0.009))/(0.333+0.222+0.148+0.099+0.066+0.044+0.029+0.019+0.013+0.009),""))</f>
        <v/>
      </c>
      <c r="AC90" s="438">
        <f>IF(C90="","",IFERROR(SUMPRODUCT((終値!E92:AC92)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0" s="439">
        <f>IF(OR(C90="",AB90="",AC90=""),"",IF(AND(E90&gt;AB90,AB90&gt;AC90),"パーフェクト▲",IF(E90&gt;AC90,"上昇トレンド▲",IF(AND(E90&lt;AB90,AB90&lt;AC90),"下降トレンド▼","もみ合い→"))))</f>
        <v/>
      </c>
      <c r="AE90" s="439">
        <f>IF(OR(C90="",AB90="",AC90=""),"",IF(AND(ABS(E90-AC90)/AC90&lt;=0.02,E90&gt;AC90),"25日押し目★",IF(AND(ABS(E90-AB90)/AB90&lt;=0.01,E90&gt;AB90),"5日押し目○","なし")))</f>
        <v/>
      </c>
      <c r="AF90" s="617">
        <f t="array" ref="AF90">IF(C90="","",IFERROR((INDEX(終値!$E:$E,MATCH(TEXT(C90,"0"),終値!$A:$A,0))-INDEX(終値!$E:$BL,MATCH(TEXT(C90,"0"),終値!$A:$A,0),$AL$2))/INDEX(終値!$E:$BL,MATCH(TEXT(C90,"0"),終値!$A:$A,0),$AL$2)*100,""))</f>
        <v/>
      </c>
      <c r="AG90" s="617">
        <f t="array" ref="AG90">IFERROR((終値!$E$5-INDEX(終値!$E$5:$BL$5,1,$AL$2))/INDEX(終値!$E$5:$BL$5,1,$AL$2)*100,"")</f>
        <v/>
      </c>
      <c r="AH90" s="618">
        <f>IF(OR(AF90="",AG90=""),"",AF90-AG90)</f>
        <v/>
      </c>
      <c r="AI90" s="385">
        <f>IF(AH90="","",IF(AH90&gt;5,3,IF(AH90&gt;0,1,IF(AH90&gt;-3,-1,-2))))</f>
        <v/>
      </c>
    </row>
    <row r="91" ht="18" customFormat="1" customHeight="1" s="187">
      <c r="A91" s="176">
        <f>IF(銘柄管理!B120&lt;&gt;"",HYPERLINK("https://kabutan.jp/stock/?code="&amp;銘柄管理!B120,"株探"),"")</f>
        <v/>
      </c>
      <c r="B91" s="177" t="n"/>
      <c r="C91" s="178">
        <f>IF(銘柄管理!B120="","",銘柄管理!B120)</f>
        <v/>
      </c>
      <c r="D91" s="106">
        <f>IF(銘柄管理!C120="","",銘柄管理!C120)</f>
        <v/>
      </c>
      <c r="E91" s="179">
        <f>IF(C91&lt;&gt;"",_xll.RssMarket(C91,"現在値"),"")</f>
        <v/>
      </c>
      <c r="F91" s="179">
        <f>IF(C91&lt;&gt;"",_xll.RssMarket(C91,"始値"),"")</f>
        <v/>
      </c>
      <c r="G91" s="178">
        <f>IF(C91&lt;&gt;"",終値!F120,"")</f>
        <v/>
      </c>
      <c r="H91" s="179">
        <f>IF(C91&lt;&gt;"",_xll.RssMarket(C91,"高値"),"")</f>
        <v/>
      </c>
      <c r="I91" s="179">
        <f>IF(C91&lt;&gt;"",_xll.RssMarket(C91,"安値"),"")</f>
        <v/>
      </c>
      <c r="J91" s="179">
        <f>IF(C91&lt;&gt;"",_xll.RssMarket(C91,"出来高"),"")</f>
        <v/>
      </c>
      <c r="K91" s="179">
        <f>IF(C91&lt;&gt;"",_xll.RssMarket(C91,"年初来高値"),"")</f>
        <v/>
      </c>
      <c r="L91" s="613">
        <f>IF(AND(E91&lt;&gt;"",K91&lt;&gt;"",K91&lt;&gt;0),(E91-K91)/K91*100,"")</f>
        <v/>
      </c>
      <c r="M91" s="179">
        <f>IF(C91&lt;&gt;"",IFERROR(AVERAGE(出来高!E120:I120),""),"")</f>
        <v/>
      </c>
      <c r="N91" s="179">
        <f>IF(C91&lt;&gt;"",IFERROR(AVERAGE(出来高!E120:AC120),""),"")</f>
        <v/>
      </c>
      <c r="O91" s="614">
        <f>IF(AND(J91&lt;&gt;"",M91&lt;&gt;"",M91&lt;&gt;0),J91/M91,"")</f>
        <v/>
      </c>
      <c r="P91" s="176">
        <f>IF(O91="","",IF(O91&gt;=2,"急増↑↑",IF(O91&gt;=1.5,"増加↑",IF(O91&gt;=1,"普通→","減少↓"))))</f>
        <v/>
      </c>
      <c r="Q91" s="176">
        <f>IF(E91="","",IF(AND(E91&gt;G91,O91&gt;=1.5),"買い▲",IF(E91&lt;G91,"様子見▼","中立→")))</f>
        <v/>
      </c>
      <c r="R91" s="179">
        <f>IF(E91&lt;&gt;"",ROUND(E91*1.08,0),"")</f>
        <v/>
      </c>
      <c r="S91" s="179">
        <f>IF(E91&lt;&gt;"",ROUND(E91*0.96,0),"")</f>
        <v/>
      </c>
      <c r="T91" s="176">
        <f>IF(C91="","",IFERROR(IF(O91&gt;=2,3,IF(O91&gt;=1.5,2,IF(O91&gt;=1,1,0)))+IF(E91&gt;G91,1,0)+IF(L91&gt;=-5,1,0)+IF(Q91="買い▲",2,0)+IF(W91&lt;=30,3,IF(W91&lt;=40,2,IF(AND(W91&gt;=40,W91&lt;=60),1,0)))+IF(X91&gt;0,1,0)+IF(V91="年初来高値更新●",3,IF(V91="高値圏",2,0))+IF(AD91="パーフェクト▲",3,IF(AD91="上昇トレンド▲",2,0))+IF(AE91="25日線押し目●",2,IF(AE91="5日線押し目○",1,0))+IF(P91="急増↑↑",2,IF(P91="増加↑",1,0))+N(AI91),0))</f>
        <v/>
      </c>
      <c r="U91" s="176">
        <f>IF(T91="","",IF(AND(T91&gt;=3,O91&gt;=1.5),"有効",IF(T91&gt;=3,"要確認","除外")))</f>
        <v/>
      </c>
      <c r="V91" s="176">
        <f>IF(AND(H91&lt;&gt;"",K91&lt;&gt;""),IF(H91&gt;=K91,"年初来高値更新●",IF(H91&gt;=K91*0.95,"高値圏","通常")),"")</f>
        <v/>
      </c>
      <c r="W91" s="615">
        <f t="array" ref="W91">IF(C91&lt;&gt;"",IFERROR(100-100/(1+SUMPRODUCT((終値!F120:R120&gt;終値!G120:S120)*( 終値!F120:R120-終値!G120:S120))/SUMPRODUCT((終値!F120:R120&lt;終値!G120:S120)*(終値!G120:S120-終値!F120:R120))),50),"")</f>
        <v/>
      </c>
      <c r="X91" s="183">
        <f>IF(C91&lt;&gt;"",IFERROR(SUMPRODUCT(終値!E120:P120,{0.154,0.132,0.113,0.097,0.083,0.071,0.061,0.052,0.045,0.038,0.033,0.028})/SUMPRODUCT({0.154,0.132,0.113,0.097,0.083,0.071,0.061,0.052,0.045,0.038,0.033,0.028})-SUMPRODUCT(終値!E120:AD120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1" s="570">
        <f>IF(T91="","",IF(銘柄管理!$F$5="下落▼",IF(AND(AD91="パーフェクト▲",OR(AE91="25日線押し目●",AE91="5日線押し目○")),"★逆張り候補",IF(AND(AD91="上昇トレンド▲",OR(AE91="25日線押し目●",AE91="5日線押し目○")),"○逆張り候補",IF(W91&lt;=30,IF(Z91&gt;0,"◎反発確認",IF(Z91&lt;-5,"△要注意・様子見","△売られ過ぎ注目")),"相場下落・見送り"))),IF(AND(T91&gt;=12,AD91="パーフェクト▲"),"★強い買い",IF(AND(T91&gt;=12,AD91="上昇トレンド▲"),"★強い買い",IF(AND(T91&gt;=8,OR(AE91="25日線押し目●",AE91="5日線押し目○")),"◎押し目買い",IF(T91&gt;=10,"○買い候補",IF(T91&gt;=6,"△注目",IF(T91&gt;=3,"様子見","見送り"))))))))</f>
        <v/>
      </c>
      <c r="Z91" s="616">
        <f>IF(AND(E91&lt;&gt;"",G91&lt;&gt;"",G91&lt;&gt;0),(E91-G91)/G91*100,"")</f>
        <v/>
      </c>
      <c r="AA91" s="176">
        <f>IF(OR(C91="",E91="",E91=0),"",IF(E91&gt;G91,"上昇▲",IF(E91&lt;G91,"下落▼","横ばい→")))</f>
        <v/>
      </c>
      <c r="AB91" s="440">
        <f>IF(C91="","",IFERROR(((終値!E93*0.333)+(終値!F93*0.222)+(終値!G93*0.148)+(終値!H93*0.099)+(終値!I93*0.066)+(終値!J93*0.044)+(終値!K93*0.029)+(終値!L93*0.019)+(終値!M93*0.013)+(終値!N93*0.009))/(0.333+0.222+0.148+0.099+0.066+0.044+0.029+0.019+0.013+0.009),""))</f>
        <v/>
      </c>
      <c r="AC91" s="440">
        <f>IF(C91="","",IFERROR(SUMPRODUCT((終値!E93:AC93)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1" s="441">
        <f>IF(OR(C91="",AB91="",AC91=""),"",IF(AND(E91&gt;AB91,AB91&gt;AC91),"パーフェクト▲",IF(E91&gt;AC91,"上昇トレンド▲",IF(AND(E91&lt;AB91,AB91&lt;AC91),"下降トレンド▼","もみ合い→"))))</f>
        <v/>
      </c>
      <c r="AE91" s="441">
        <f>IF(OR(C91="",AB91="",AC91=""),"",IF(AND(ABS(E91-AC91)/AC91&lt;=0.02,E91&gt;AC91),"25日押し目★",IF(AND(ABS(E91-AB91)/AB91&lt;=0.01,E91&gt;AB91),"5日押し目○","なし")))</f>
        <v/>
      </c>
      <c r="AF91" s="617">
        <f t="array" ref="AF91">IF(C91="","",IFERROR((INDEX(終値!$E:$E,MATCH(TEXT(C91,"0"),終値!$A:$A,0))-INDEX(終値!$E:$BL,MATCH(TEXT(C91,"0"),終値!$A:$A,0),$AL$2))/INDEX(終値!$E:$BL,MATCH(TEXT(C91,"0"),終値!$A:$A,0),$AL$2)*100,""))</f>
        <v/>
      </c>
      <c r="AG91" s="617">
        <f t="array" ref="AG91">IFERROR((終値!$E$5-INDEX(終値!$E$5:$BL$5,1,$AL$2))/INDEX(終値!$E$5:$BL$5,1,$AL$2)*100,"")</f>
        <v/>
      </c>
      <c r="AH91" s="618">
        <f>IF(OR(AF91="",AG91=""),"",AF91-AG91)</f>
        <v/>
      </c>
      <c r="AI91" s="385">
        <f>IF(AH91="","",IF(AH91&gt;5,3,IF(AH91&gt;0,1,IF(AH91&gt;-3,-1,-2))))</f>
        <v/>
      </c>
    </row>
    <row r="92" ht="18" customFormat="1" customHeight="1" s="187">
      <c r="A92" s="176">
        <f>IF(銘柄管理!B140&lt;&gt;"",HYPERLINK("https://kabutan.jp/stock/?code="&amp;銘柄管理!B140,"株探"),"")</f>
        <v/>
      </c>
      <c r="B92" s="177" t="n"/>
      <c r="C92" s="178">
        <f>IF(銘柄管理!B140="","",銘柄管理!B140)</f>
        <v/>
      </c>
      <c r="D92" s="106">
        <f>IF(銘柄管理!C140="","",銘柄管理!C140)</f>
        <v/>
      </c>
      <c r="E92" s="179">
        <f>IF(C92&lt;&gt;"",_xll.RssMarket(C92,"現在値"),"")</f>
        <v/>
      </c>
      <c r="F92" s="179">
        <f>IF(C92&lt;&gt;"",_xll.RssMarket(C92,"始値"),"")</f>
        <v/>
      </c>
      <c r="G92" s="178">
        <f>IF(C92&lt;&gt;"",終値!F140,"")</f>
        <v/>
      </c>
      <c r="H92" s="179">
        <f>IF(C92&lt;&gt;"",_xll.RssMarket(C92,"高値"),"")</f>
        <v/>
      </c>
      <c r="I92" s="179">
        <f>IF(C92&lt;&gt;"",_xll.RssMarket(C92,"安値"),"")</f>
        <v/>
      </c>
      <c r="J92" s="179">
        <f>IF(C92&lt;&gt;"",_xll.RssMarket(C92,"出来高"),"")</f>
        <v/>
      </c>
      <c r="K92" s="179">
        <f>IF(C92&lt;&gt;"",_xll.RssMarket(C92,"年初来高値"),"")</f>
        <v/>
      </c>
      <c r="L92" s="613">
        <f>IF(AND(E92&lt;&gt;"",K92&lt;&gt;"",K92&lt;&gt;0),(E92-K92)/K92*100,"")</f>
        <v/>
      </c>
      <c r="M92" s="179">
        <f>IF(C92&lt;&gt;"",IFERROR(AVERAGE(出来高!E140:I140),""),"")</f>
        <v/>
      </c>
      <c r="N92" s="179">
        <f>IF(C92&lt;&gt;"",IFERROR(AVERAGE(出来高!E140:AC140),""),"")</f>
        <v/>
      </c>
      <c r="O92" s="614">
        <f>IF(AND(J92&lt;&gt;"",M92&lt;&gt;"",M92&lt;&gt;0),J92/M92,"")</f>
        <v/>
      </c>
      <c r="P92" s="176">
        <f>IF(O92="","",IF(O92&gt;=2,"急増↑↑",IF(O92&gt;=1.5,"増加↑",IF(O92&gt;=1,"普通→","減少↓"))))</f>
        <v/>
      </c>
      <c r="Q92" s="176">
        <f>IF(E92="","",IF(AND(E92&gt;G92,O92&gt;=1.5),"買い▲",IF(E92&lt;G92,"様子見▼","中立→")))</f>
        <v/>
      </c>
      <c r="R92" s="179">
        <f>IF(E92&lt;&gt;"",ROUND(E92*1.08,0),"")</f>
        <v/>
      </c>
      <c r="S92" s="179">
        <f>IF(E92&lt;&gt;"",ROUND(E92*0.96,0),"")</f>
        <v/>
      </c>
      <c r="T92" s="176">
        <f>IF(C92="","",IFERROR(IF(O92&gt;=2,3,IF(O92&gt;=1.5,2,IF(O92&gt;=1,1,0)))+IF(E92&gt;G92,1,0)+IF(L92&gt;=-5,1,0)+IF(Q92="買い▲",2,0)+IF(W92&lt;=30,3,IF(W92&lt;=40,2,IF(AND(W92&gt;=40,W92&lt;=60),1,0)))+IF(X92&gt;0,1,0)+IF(V92="年初来高値更新●",3,IF(V92="高値圏",2,0))+IF(AD92="パーフェクト▲",3,IF(AD92="上昇トレンド▲",2,0))+IF(AE92="25日線押し目●",2,IF(AE92="5日線押し目○",1,0))+IF(P92="急増↑↑",2,IF(P92="増加↑",1,0))+N(AI92),0))</f>
        <v/>
      </c>
      <c r="U92" s="176">
        <f>IF(T92="","",IF(AND(T92&gt;=3,O92&gt;=1.5),"有効",IF(T92&gt;=3,"要確認","除外")))</f>
        <v/>
      </c>
      <c r="V92" s="176">
        <f>IF(AND(H92&lt;&gt;"",K92&lt;&gt;""),IF(H92&gt;=K92,"年初来高値更新●",IF(H92&gt;=K92*0.95,"高値圏","通常")),"")</f>
        <v/>
      </c>
      <c r="W92" s="615">
        <f t="array" ref="W92">IF(C92&lt;&gt;"",IFERROR(100-100/(1+SUMPRODUCT((終値!F140:R140&gt;終値!G140:S140)*( 終値!F140:R140-終値!G140:S140))/SUMPRODUCT((終値!F140:R140&lt;終値!G140:S140)*(終値!G140:S140-終値!F140:R140))),50),"")</f>
        <v/>
      </c>
      <c r="X92" s="183">
        <f>IF(C92&lt;&gt;"",IFERROR(SUMPRODUCT(終値!E140:P140,{0.154,0.132,0.113,0.097,0.083,0.071,0.061,0.052,0.045,0.038,0.033,0.028})/SUMPRODUCT({0.154,0.132,0.113,0.097,0.083,0.071,0.061,0.052,0.045,0.038,0.033,0.028})-SUMPRODUCT(終値!E140:AD140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2" s="570">
        <f>IF(T92="","",IF(銘柄管理!$F$5="下落▼",IF(AND(AD92="パーフェクト▲",OR(AE92="25日線押し目●",AE92="5日線押し目○")),"★逆張り候補",IF(AND(AD92="上昇トレンド▲",OR(AE92="25日線押し目●",AE92="5日線押し目○")),"○逆張り候補",IF(W92&lt;=30,IF(Z92&gt;0,"◎反発確認",IF(Z92&lt;-5,"△要注意・様子見","△売られ過ぎ注目")),"相場下落・見送り"))),IF(AND(T92&gt;=12,AD92="パーフェクト▲"),"★強い買い",IF(AND(T92&gt;=12,AD92="上昇トレンド▲"),"★強い買い",IF(AND(T92&gt;=8,OR(AE92="25日線押し目●",AE92="5日線押し目○")),"◎押し目買い",IF(T92&gt;=10,"○買い候補",IF(T92&gt;=6,"△注目",IF(T92&gt;=3,"様子見","見送り"))))))))</f>
        <v/>
      </c>
      <c r="Z92" s="616">
        <f>IF(AND(E92&lt;&gt;"",G92&lt;&gt;"",G92&lt;&gt;0),(E92-G92)/G92*100,"")</f>
        <v/>
      </c>
      <c r="AA92" s="176">
        <f>IF(OR(C92="",E92="",E92=0),"",IF(E92&gt;G92,"上昇▲",IF(E92&lt;G92,"下落▼","横ばい→")))</f>
        <v/>
      </c>
      <c r="AB92" s="438">
        <f>IF(C92="","",IFERROR(((終値!E94*0.333)+(終値!F94*0.222)+(終値!G94*0.148)+(終値!H94*0.099)+(終値!I94*0.066)+(終値!J94*0.044)+(終値!K94*0.029)+(終値!L94*0.019)+(終値!M94*0.013)+(終値!N94*0.009))/(0.333+0.222+0.148+0.099+0.066+0.044+0.029+0.019+0.013+0.009),""))</f>
        <v/>
      </c>
      <c r="AC92" s="438">
        <f>IF(C92="","",IFERROR(SUMPRODUCT((終値!E94:AC94)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2" s="439">
        <f>IF(OR(C92="",AB92="",AC92=""),"",IF(AND(E92&gt;AB92,AB92&gt;AC92),"パーフェクト▲",IF(E92&gt;AC92,"上昇トレンド▲",IF(AND(E92&lt;AB92,AB92&lt;AC92),"下降トレンド▼","もみ合い→"))))</f>
        <v/>
      </c>
      <c r="AE92" s="439">
        <f>IF(OR(C92="",AB92="",AC92=""),"",IF(AND(ABS(E92-AC92)/AC92&lt;=0.02,E92&gt;AC92),"25日押し目★",IF(AND(ABS(E92-AB92)/AB92&lt;=0.01,E92&gt;AB92),"5日押し目○","なし")))</f>
        <v/>
      </c>
      <c r="AF92" s="617">
        <f t="array" ref="AF92">IF(C92="","",IFERROR((INDEX(終値!$E:$E,MATCH(TEXT(C92,"0"),終値!$A:$A,0))-INDEX(終値!$E:$BL,MATCH(TEXT(C92,"0"),終値!$A:$A,0),$AL$2))/INDEX(終値!$E:$BL,MATCH(TEXT(C92,"0"),終値!$A:$A,0),$AL$2)*100,""))</f>
        <v/>
      </c>
      <c r="AG92" s="617">
        <f t="array" ref="AG92">IFERROR((終値!$E$5-INDEX(終値!$E$5:$BL$5,1,$AL$2))/INDEX(終値!$E$5:$BL$5,1,$AL$2)*100,"")</f>
        <v/>
      </c>
      <c r="AH92" s="618">
        <f>IF(OR(AF92="",AG92=""),"",AF92-AG92)</f>
        <v/>
      </c>
      <c r="AI92" s="385">
        <f>IF(AH92="","",IF(AH92&gt;5,3,IF(AH92&gt;0,1,IF(AH92&gt;-3,-1,-2))))</f>
        <v/>
      </c>
    </row>
    <row r="93" ht="18" customFormat="1" customHeight="1" s="187">
      <c r="A93" s="176">
        <f>IF(銘柄管理!B11&lt;&gt;"",HYPERLINK("https://kabutan.jp/stock/?code="&amp;銘柄管理!B11,"株探"),"")</f>
        <v/>
      </c>
      <c r="B93" s="177" t="n"/>
      <c r="C93" s="178">
        <f>IF(銘柄管理!B11="","",銘柄管理!B11)</f>
        <v/>
      </c>
      <c r="D93" s="106">
        <f>IF(銘柄管理!C11="","",銘柄管理!C11)</f>
        <v/>
      </c>
      <c r="E93" s="179">
        <f>IF(C93&lt;&gt;"",_xll.RssMarket(C93,"現在値"),"")</f>
        <v/>
      </c>
      <c r="F93" s="179">
        <f>IF(C93&lt;&gt;"",_xll.RssMarket(C93,"始値"),"")</f>
        <v/>
      </c>
      <c r="G93" s="178">
        <f>IF(C93&lt;&gt;"",終値!F11,"")</f>
        <v/>
      </c>
      <c r="H93" s="179">
        <f>IF(C93&lt;&gt;"",_xll.RssMarket(C93,"高値"),"")</f>
        <v/>
      </c>
      <c r="I93" s="179">
        <f>IF(C93&lt;&gt;"",_xll.RssMarket(C93,"安値"),"")</f>
        <v/>
      </c>
      <c r="J93" s="179">
        <f>IF(C93&lt;&gt;"",_xll.RssMarket(C93,"出来高"),"")</f>
        <v/>
      </c>
      <c r="K93" s="179">
        <f>IF(C93&lt;&gt;"",_xll.RssMarket(C93,"年初来高値"),"")</f>
        <v/>
      </c>
      <c r="L93" s="613">
        <f>IF(AND(E93&lt;&gt;"",K93&lt;&gt;"",K93&lt;&gt;0),(E93-K93)/K93*100,"")</f>
        <v/>
      </c>
      <c r="M93" s="179">
        <f>IF(C93&lt;&gt;"",IFERROR(AVERAGE(出来高!E11:I11),""),"")</f>
        <v/>
      </c>
      <c r="N93" s="179">
        <f>IF(C93&lt;&gt;"",IFERROR(AVERAGE(出来高!E11:AC11),""),"")</f>
        <v/>
      </c>
      <c r="O93" s="614">
        <f>IF(AND(J93&lt;&gt;"",M93&lt;&gt;"",M93&lt;&gt;0),J93/M93,"")</f>
        <v/>
      </c>
      <c r="P93" s="176">
        <f>IF(O93="","",IF(O93&gt;=2,"急増↑↑",IF(O93&gt;=1.5,"増加↑",IF(O93&gt;=1,"普通→","減少↓"))))</f>
        <v/>
      </c>
      <c r="Q93" s="176">
        <f>IF(E93="","",IF(AND(E93&gt;G93,O93&gt;=1.5),"買い▲",IF(E93&lt;G93,"様子見▼","中立→")))</f>
        <v/>
      </c>
      <c r="R93" s="179">
        <f>IF(E93&lt;&gt;"",ROUND(E93*1.08,0),"")</f>
        <v/>
      </c>
      <c r="S93" s="179">
        <f>IF(E93&lt;&gt;"",ROUND(E93*0.96,0),"")</f>
        <v/>
      </c>
      <c r="T93" s="176">
        <f>IF(C93="","",IFERROR(IF(O93&gt;=2,3,IF(O93&gt;=1.5,2,IF(O93&gt;=1,1,0)))+IF(E93&gt;G93,1,0)+IF(L93&gt;=-5,1,0)+IF(Q93="買い▲",2,0)+IF(W93&lt;=30,3,IF(W93&lt;=40,2,IF(AND(W93&gt;=40,W93&lt;=60),1,0)))+IF(X93&gt;0,1,0)+IF(V93="年初来高値更新●",3,IF(V93="高値圏",2,0))+IF(AD93="パーフェクト▲",3,IF(AD93="上昇トレンド▲",2,0))+IF(AE93="25日線押し目●",2,IF(AE93="5日線押し目○",1,0))+IF(P93="急増↑↑",2,IF(P93="増加↑",1,0))+N(AI93),0))</f>
        <v/>
      </c>
      <c r="U93" s="176">
        <f>IF(T93="","",IF(AND(T93&gt;=3,O93&gt;=1.5),"有効",IF(T93&gt;=3,"要確認","除外")))</f>
        <v/>
      </c>
      <c r="V93" s="176">
        <f>IF(AND(H93&lt;&gt;"",K93&lt;&gt;""),IF(H93&gt;=K93,"年初来高値更新●",IF(H93&gt;=K93*0.95,"高値圏","通常")),"")</f>
        <v/>
      </c>
      <c r="W93" s="615">
        <f t="array" ref="W93">IF(C93&lt;&gt;"",IFERROR(100-100/(1+SUMPRODUCT((終値!F11:R11&gt;終値!G11:S11)*( 終値!F11:R11-終値!G11:S11))/SUMPRODUCT((終値!F11:R11&lt;終値!G11:S11)*(終値!G11:S11-終値!F11:R11))),50),"")</f>
        <v/>
      </c>
      <c r="X93" s="183">
        <f>IF(C93&lt;&gt;"",IFERROR(SUMPRODUCT(終値!E11:P11,{0.154,0.132,0.113,0.097,0.083,0.071,0.061,0.052,0.045,0.038,0.033,0.028})/SUMPRODUCT({0.154,0.132,0.113,0.097,0.083,0.071,0.061,0.052,0.045,0.038,0.033,0.028})-SUMPRODUCT(終値!E11:AD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3" s="570">
        <f>IF(T93="","",IF(銘柄管理!$F$5="下落▼",IF(AND(AD93="パーフェクト▲",OR(AE93="25日線押し目●",AE93="5日線押し目○")),"★逆張り候補",IF(AND(AD93="上昇トレンド▲",OR(AE93="25日線押し目●",AE93="5日線押し目○")),"○逆張り候補",IF(W93&lt;=30,IF(Z93&gt;0,"◎反発確認",IF(Z93&lt;-5,"△要注意・様子見","△売られ過ぎ注目")),"相場下落・見送り"))),IF(AND(T93&gt;=12,AD93="パーフェクト▲"),"★強い買い",IF(AND(T93&gt;=12,AD93="上昇トレンド▲"),"★強い買い",IF(AND(T93&gt;=8,OR(AE93="25日線押し目●",AE93="5日線押し目○")),"◎押し目買い",IF(T93&gt;=10,"○買い候補",IF(T93&gt;=6,"△注目",IF(T93&gt;=3,"様子見","見送り"))))))))</f>
        <v/>
      </c>
      <c r="Z93" s="616">
        <f>IF(AND(E93&lt;&gt;"",G93&lt;&gt;"",G93&lt;&gt;0),(E93-G93)/G93*100,"")</f>
        <v/>
      </c>
      <c r="AA93" s="176">
        <f>IF(OR(C93="",E93="",E93=0),"",IF(E93&gt;G93,"上昇▲",IF(E93&lt;G93,"下落▼","横ばい→")))</f>
        <v/>
      </c>
      <c r="AB93" s="440">
        <f>IF(C93="","",IFERROR(((終値!E95*0.333)+(終値!F95*0.222)+(終値!G95*0.148)+(終値!H95*0.099)+(終値!I95*0.066)+(終値!J95*0.044)+(終値!K95*0.029)+(終値!L95*0.019)+(終値!M95*0.013)+(終値!N95*0.009))/(0.333+0.222+0.148+0.099+0.066+0.044+0.029+0.019+0.013+0.009),""))</f>
        <v/>
      </c>
      <c r="AC93" s="440">
        <f>IF(C93="","",IFERROR(SUMPRODUCT((終値!E95:AC95)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3" s="441">
        <f>IF(OR(C93="",AB93="",AC93=""),"",IF(AND(E93&gt;AB93,AB93&gt;AC93),"パーフェクト▲",IF(E93&gt;AC93,"上昇トレンド▲",IF(AND(E93&lt;AB93,AB93&lt;AC93),"下降トレンド▼","もみ合い→"))))</f>
        <v/>
      </c>
      <c r="AE93" s="441">
        <f>IF(OR(C93="",AB93="",AC93=""),"",IF(AND(ABS(E93-AC93)/AC93&lt;=0.02,E93&gt;AC93),"25日押し目★",IF(AND(ABS(E93-AB93)/AB93&lt;=0.01,E93&gt;AB93),"5日押し目○","なし")))</f>
        <v/>
      </c>
      <c r="AF93" s="617">
        <f t="array" ref="AF93">IF(C93="","",IFERROR((INDEX(終値!$E:$E,MATCH(TEXT(C93,"0"),終値!$A:$A,0))-INDEX(終値!$E:$BL,MATCH(TEXT(C93,"0"),終値!$A:$A,0),$AL$2))/INDEX(終値!$E:$BL,MATCH(TEXT(C93,"0"),終値!$A:$A,0),$AL$2)*100,""))</f>
        <v/>
      </c>
      <c r="AG93" s="617">
        <f t="array" ref="AG93">IFERROR((終値!$E$5-INDEX(終値!$E$5:$BL$5,1,$AL$2))/INDEX(終値!$E$5:$BL$5,1,$AL$2)*100,"")</f>
        <v/>
      </c>
      <c r="AH93" s="618">
        <f>IF(OR(AF93="",AG93=""),"",AF93-AG93)</f>
        <v/>
      </c>
      <c r="AI93" s="385">
        <f>IF(AH93="","",IF(AH93&gt;5,3,IF(AH93&gt;0,1,IF(AH93&gt;-3,-1,-2))))</f>
        <v/>
      </c>
    </row>
    <row r="94" ht="18" customFormat="1" customHeight="1" s="187">
      <c r="A94" s="176">
        <f>IF(銘柄管理!B141&lt;&gt;"",HYPERLINK("https://kabutan.jp/stock/?code="&amp;銘柄管理!B141,"株探"),"")</f>
        <v/>
      </c>
      <c r="B94" s="177" t="n"/>
      <c r="C94" s="178">
        <f>IF(銘柄管理!B141="","",銘柄管理!B141)</f>
        <v/>
      </c>
      <c r="D94" s="106">
        <f>IF(銘柄管理!C141="","",銘柄管理!C141)</f>
        <v/>
      </c>
      <c r="E94" s="179">
        <f>IF(C94&lt;&gt;"",_xll.RssMarket(C94,"現在値"),"")</f>
        <v/>
      </c>
      <c r="F94" s="179">
        <f>IF(C94&lt;&gt;"",_xll.RssMarket(C94,"始値"),"")</f>
        <v/>
      </c>
      <c r="G94" s="178">
        <f>IF(C94&lt;&gt;"",終値!F141,"")</f>
        <v/>
      </c>
      <c r="H94" s="179">
        <f>IF(C94&lt;&gt;"",_xll.RssMarket(C94,"高値"),"")</f>
        <v/>
      </c>
      <c r="I94" s="179">
        <f>IF(C94&lt;&gt;"",_xll.RssMarket(C94,"安値"),"")</f>
        <v/>
      </c>
      <c r="J94" s="179">
        <f>IF(C94&lt;&gt;"",_xll.RssMarket(C94,"出来高"),"")</f>
        <v/>
      </c>
      <c r="K94" s="179">
        <f>IF(C94&lt;&gt;"",_xll.RssMarket(C94,"年初来高値"),"")</f>
        <v/>
      </c>
      <c r="L94" s="613">
        <f>IF(AND(E94&lt;&gt;"",K94&lt;&gt;"",K94&lt;&gt;0),(E94-K94)/K94*100,"")</f>
        <v/>
      </c>
      <c r="M94" s="179">
        <f>IF(C94&lt;&gt;"",IFERROR(AVERAGE(出来高!E141:I141),""),"")</f>
        <v/>
      </c>
      <c r="N94" s="179">
        <f>IF(C94&lt;&gt;"",IFERROR(AVERAGE(出来高!E141:AC141),""),"")</f>
        <v/>
      </c>
      <c r="O94" s="614">
        <f>IF(AND(J94&lt;&gt;"",M94&lt;&gt;"",M94&lt;&gt;0),J94/M94,"")</f>
        <v/>
      </c>
      <c r="P94" s="176">
        <f>IF(O94="","",IF(O94&gt;=2,"急増↑↑",IF(O94&gt;=1.5,"増加↑",IF(O94&gt;=1,"普通→","減少↓"))))</f>
        <v/>
      </c>
      <c r="Q94" s="176">
        <f>IF(E94="","",IF(AND(E94&gt;G94,O94&gt;=1.5),"買い▲",IF(E94&lt;G94,"様子見▼","中立→")))</f>
        <v/>
      </c>
      <c r="R94" s="179">
        <f>IF(E94&lt;&gt;"",ROUND(E94*1.08,0),"")</f>
        <v/>
      </c>
      <c r="S94" s="179">
        <f>IF(E94&lt;&gt;"",ROUND(E94*0.96,0),"")</f>
        <v/>
      </c>
      <c r="T94" s="176">
        <f>IF(C94="","",IFERROR(IF(O94&gt;=2,3,IF(O94&gt;=1.5,2,IF(O94&gt;=1,1,0)))+IF(E94&gt;G94,1,0)+IF(L94&gt;=-5,1,0)+IF(Q94="買い▲",2,0)+IF(W94&lt;=30,3,IF(W94&lt;=40,2,IF(AND(W94&gt;=40,W94&lt;=60),1,0)))+IF(X94&gt;0,1,0)+IF(V94="年初来高値更新●",3,IF(V94="高値圏",2,0))+IF(AD94="パーフェクト▲",3,IF(AD94="上昇トレンド▲",2,0))+IF(AE94="25日線押し目●",2,IF(AE94="5日線押し目○",1,0))+IF(P94="急増↑↑",2,IF(P94="増加↑",1,0))+N(AI94),0))</f>
        <v/>
      </c>
      <c r="U94" s="176">
        <f>IF(T94="","",IF(AND(T94&gt;=3,O94&gt;=1.5),"有効",IF(T94&gt;=3,"要確認","除外")))</f>
        <v/>
      </c>
      <c r="V94" s="176">
        <f>IF(AND(H94&lt;&gt;"",K94&lt;&gt;""),IF(H94&gt;=K94,"年初来高値更新●",IF(H94&gt;=K94*0.95,"高値圏","通常")),"")</f>
        <v/>
      </c>
      <c r="W94" s="615">
        <f t="array" ref="W94">IF(C94&lt;&gt;"",IFERROR(100-100/(1+SUMPRODUCT((終値!F141:R141&gt;終値!G141:S141)*( 終値!F141:R141-終値!G141:S141))/SUMPRODUCT((終値!F141:R141&lt;終値!G141:S141)*(終値!G141:S141-終値!F141:R141))),50),"")</f>
        <v/>
      </c>
      <c r="X94" s="183">
        <f>IF(C94&lt;&gt;"",IFERROR(SUMPRODUCT(終値!E141:P141,{0.154,0.132,0.113,0.097,0.083,0.071,0.061,0.052,0.045,0.038,0.033,0.028})/SUMPRODUCT({0.154,0.132,0.113,0.097,0.083,0.071,0.061,0.052,0.045,0.038,0.033,0.028})-SUMPRODUCT(終値!E141:AD141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4" s="570">
        <f>IF(T94="","",IF(銘柄管理!$F$5="下落▼",IF(AND(AD94="パーフェクト▲",OR(AE94="25日線押し目●",AE94="5日線押し目○")),"★逆張り候補",IF(AND(AD94="上昇トレンド▲",OR(AE94="25日線押し目●",AE94="5日線押し目○")),"○逆張り候補",IF(W94&lt;=30,IF(Z94&gt;0,"◎反発確認",IF(Z94&lt;-5,"△要注意・様子見","△売られ過ぎ注目")),"相場下落・見送り"))),IF(AND(T94&gt;=12,AD94="パーフェクト▲"),"★強い買い",IF(AND(T94&gt;=12,AD94="上昇トレンド▲"),"★強い買い",IF(AND(T94&gt;=8,OR(AE94="25日線押し目●",AE94="5日線押し目○")),"◎押し目買い",IF(T94&gt;=10,"○買い候補",IF(T94&gt;=6,"△注目",IF(T94&gt;=3,"様子見","見送り"))))))))</f>
        <v/>
      </c>
      <c r="Z94" s="616">
        <f>IF(AND(E94&lt;&gt;"",G94&lt;&gt;"",G94&lt;&gt;0),(E94-G94)/G94*100,"")</f>
        <v/>
      </c>
      <c r="AA94" s="176">
        <f>IF(OR(C94="",E94="",E94=0),"",IF(E94&gt;G94,"上昇▲",IF(E94&lt;G94,"下落▼","横ばい→")))</f>
        <v/>
      </c>
      <c r="AB94" s="438">
        <f>IF(C94="","",IFERROR(((終値!E96*0.333)+(終値!F96*0.222)+(終値!G96*0.148)+(終値!H96*0.099)+(終値!I96*0.066)+(終値!J96*0.044)+(終値!K96*0.029)+(終値!L96*0.019)+(終値!M96*0.013)+(終値!N96*0.009))/(0.333+0.222+0.148+0.099+0.066+0.044+0.029+0.019+0.013+0.009),""))</f>
        <v/>
      </c>
      <c r="AC94" s="438">
        <f>IF(C94="","",IFERROR(SUMPRODUCT((終値!E96:AC96)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4" s="439">
        <f>IF(OR(C94="",AB94="",AC94=""),"",IF(AND(E94&gt;AB94,AB94&gt;AC94),"パーフェクト▲",IF(E94&gt;AC94,"上昇トレンド▲",IF(AND(E94&lt;AB94,AB94&lt;AC94),"下降トレンド▼","もみ合い→"))))</f>
        <v/>
      </c>
      <c r="AE94" s="439">
        <f>IF(OR(C94="",AB94="",AC94=""),"",IF(AND(ABS(E94-AC94)/AC94&lt;=0.02,E94&gt;AC94),"25日押し目★",IF(AND(ABS(E94-AB94)/AB94&lt;=0.01,E94&gt;AB94),"5日押し目○","なし")))</f>
        <v/>
      </c>
      <c r="AF94" s="617">
        <f t="array" ref="AF94">IF(C94="","",IFERROR((INDEX(終値!$E:$E,MATCH(TEXT(C94,"0"),終値!$A:$A,0))-INDEX(終値!$E:$BL,MATCH(TEXT(C94,"0"),終値!$A:$A,0),$AL$2))/INDEX(終値!$E:$BL,MATCH(TEXT(C94,"0"),終値!$A:$A,0),$AL$2)*100,""))</f>
        <v/>
      </c>
      <c r="AG94" s="617">
        <f t="array" ref="AG94">IFERROR((終値!$E$5-INDEX(終値!$E$5:$BL$5,1,$AL$2))/INDEX(終値!$E$5:$BL$5,1,$AL$2)*100,"")</f>
        <v/>
      </c>
      <c r="AH94" s="618">
        <f>IF(OR(AF94="",AG94=""),"",AF94-AG94)</f>
        <v/>
      </c>
      <c r="AI94" s="385">
        <f>IF(AH94="","",IF(AH94&gt;5,3,IF(AH94&gt;0,1,IF(AH94&gt;-3,-1,-2))))</f>
        <v/>
      </c>
    </row>
    <row r="95" ht="18" customFormat="1" customHeight="1" s="187">
      <c r="A95" s="176">
        <f>IF(銘柄管理!B143&lt;&gt;"",HYPERLINK("https://kabutan.jp/stock/?code="&amp;銘柄管理!B143,"株探"),"")</f>
        <v/>
      </c>
      <c r="B95" s="177" t="n"/>
      <c r="C95" s="178">
        <f>IF(銘柄管理!B143="","",銘柄管理!B143)</f>
        <v/>
      </c>
      <c r="D95" s="106">
        <f>IF(銘柄管理!C143="","",銘柄管理!C143)</f>
        <v/>
      </c>
      <c r="E95" s="179">
        <f>IF(C95&lt;&gt;"",_xll.RssMarket(C95,"現在値"),"")</f>
        <v/>
      </c>
      <c r="F95" s="179">
        <f>IF(C95&lt;&gt;"",_xll.RssMarket(C95,"始値"),"")</f>
        <v/>
      </c>
      <c r="G95" s="178">
        <f>IF(C95&lt;&gt;"",終値!F143,"")</f>
        <v/>
      </c>
      <c r="H95" s="179">
        <f>IF(C95&lt;&gt;"",_xll.RssMarket(C95,"高値"),"")</f>
        <v/>
      </c>
      <c r="I95" s="179">
        <f>IF(C95&lt;&gt;"",_xll.RssMarket(C95,"安値"),"")</f>
        <v/>
      </c>
      <c r="J95" s="179">
        <f>IF(C95&lt;&gt;"",_xll.RssMarket(C95,"出来高"),"")</f>
        <v/>
      </c>
      <c r="K95" s="179">
        <f>IF(C95&lt;&gt;"",_xll.RssMarket(C95,"年初来高値"),"")</f>
        <v/>
      </c>
      <c r="L95" s="613">
        <f>IF(AND(E95&lt;&gt;"",K95&lt;&gt;"",K95&lt;&gt;0),(E95-K95)/K95*100,"")</f>
        <v/>
      </c>
      <c r="M95" s="179">
        <f>IF(C95&lt;&gt;"",IFERROR(AVERAGE(出来高!E143:I143),""),"")</f>
        <v/>
      </c>
      <c r="N95" s="179">
        <f>IF(C95&lt;&gt;"",IFERROR(AVERAGE(出来高!E143:AC143),""),"")</f>
        <v/>
      </c>
      <c r="O95" s="614">
        <f>IF(AND(J95&lt;&gt;"",M95&lt;&gt;"",M95&lt;&gt;0),J95/M95,"")</f>
        <v/>
      </c>
      <c r="P95" s="176">
        <f>IF(O95="","",IF(O95&gt;=2,"急増↑↑",IF(O95&gt;=1.5,"増加↑",IF(O95&gt;=1,"普通→","減少↓"))))</f>
        <v/>
      </c>
      <c r="Q95" s="176">
        <f>IF(E95="","",IF(AND(E95&gt;G95,O95&gt;=1.5),"買い▲",IF(E95&lt;G95,"様子見▼","中立→")))</f>
        <v/>
      </c>
      <c r="R95" s="179">
        <f>IF(E95&lt;&gt;"",ROUND(E95*1.08,0),"")</f>
        <v/>
      </c>
      <c r="S95" s="179">
        <f>IF(E95&lt;&gt;"",ROUND(E95*0.96,0),"")</f>
        <v/>
      </c>
      <c r="T95" s="176">
        <f>IF(C95="","",IFERROR(IF(O95&gt;=2,3,IF(O95&gt;=1.5,2,IF(O95&gt;=1,1,0)))+IF(E95&gt;G95,1,0)+IF(L95&gt;=-5,1,0)+IF(Q95="買い▲",2,0)+IF(W95&lt;=30,3,IF(W95&lt;=40,2,IF(AND(W95&gt;=40,W95&lt;=60),1,0)))+IF(X95&gt;0,1,0)+IF(V95="年初来高値更新●",3,IF(V95="高値圏",2,0))+IF(AD95="パーフェクト▲",3,IF(AD95="上昇トレンド▲",2,0))+IF(AE95="25日線押し目●",2,IF(AE95="5日線押し目○",1,0))+IF(P95="急増↑↑",2,IF(P95="増加↑",1,0))+N(AI95),0))</f>
        <v/>
      </c>
      <c r="U95" s="176">
        <f>IF(T95="","",IF(AND(T95&gt;=3,O95&gt;=1.5),"有効",IF(T95&gt;=3,"要確認","除外")))</f>
        <v/>
      </c>
      <c r="V95" s="176">
        <f>IF(AND(H95&lt;&gt;"",K95&lt;&gt;""),IF(H95&gt;=K95,"年初来高値更新●",IF(H95&gt;=K95*0.95,"高値圏","通常")),"")</f>
        <v/>
      </c>
      <c r="W95" s="615">
        <f t="array" ref="W95">IF(C95&lt;&gt;"",IFERROR(100-100/(1+SUMPRODUCT((終値!F143:R143&gt;終値!G143:S143)*( 終値!F143:R143-終値!G143:S143))/SUMPRODUCT((終値!F143:R143&lt;終値!G143:S143)*(終値!G143:S143-終値!F143:R143))),50),"")</f>
        <v/>
      </c>
      <c r="X95" s="183">
        <f>IF(C95&lt;&gt;"",IFERROR(SUMPRODUCT(終値!E143:P143,{0.154,0.132,0.113,0.097,0.083,0.071,0.061,0.052,0.045,0.038,0.033,0.028})/SUMPRODUCT({0.154,0.132,0.113,0.097,0.083,0.071,0.061,0.052,0.045,0.038,0.033,0.028})-SUMPRODUCT(終値!E143:AD143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5" s="570">
        <f>IF(T95="","",IF(銘柄管理!$F$5="下落▼",IF(AND(AD95="パーフェクト▲",OR(AE95="25日線押し目●",AE95="5日線押し目○")),"★逆張り候補",IF(AND(AD95="上昇トレンド▲",OR(AE95="25日線押し目●",AE95="5日線押し目○")),"○逆張り候補",IF(W95&lt;=30,IF(Z95&gt;0,"◎反発確認",IF(Z95&lt;-5,"△要注意・様子見","△売られ過ぎ注目")),"相場下落・見送り"))),IF(AND(T95&gt;=12,AD95="パーフェクト▲"),"★強い買い",IF(AND(T95&gt;=12,AD95="上昇トレンド▲"),"★強い買い",IF(AND(T95&gt;=8,OR(AE95="25日線押し目●",AE95="5日線押し目○")),"◎押し目買い",IF(T95&gt;=10,"○買い候補",IF(T95&gt;=6,"△注目",IF(T95&gt;=3,"様子見","見送り"))))))))</f>
        <v/>
      </c>
      <c r="Z95" s="616">
        <f>IF(AND(E95&lt;&gt;"",G95&lt;&gt;"",G95&lt;&gt;0),(E95-G95)/G95*100,"")</f>
        <v/>
      </c>
      <c r="AA95" s="176">
        <f>IF(OR(C95="",E95="",E95=0),"",IF(E95&gt;G95,"上昇▲",IF(E95&lt;G95,"下落▼","横ばい→")))</f>
        <v/>
      </c>
      <c r="AB95" s="440">
        <f>IF(C95="","",IFERROR(((終値!E97*0.333)+(終値!F97*0.222)+(終値!G97*0.148)+(終値!H97*0.099)+(終値!I97*0.066)+(終値!J97*0.044)+(終値!K97*0.029)+(終値!L97*0.019)+(終値!M97*0.013)+(終値!N97*0.009))/(0.333+0.222+0.148+0.099+0.066+0.044+0.029+0.019+0.013+0.009),""))</f>
        <v/>
      </c>
      <c r="AC95" s="440">
        <f>IF(C95="","",IFERROR(SUMPRODUCT((終値!E97:AC97)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5" s="441">
        <f>IF(OR(C95="",AB95="",AC95=""),"",IF(AND(E95&gt;AB95,AB95&gt;AC95),"パーフェクト▲",IF(E95&gt;AC95,"上昇トレンド▲",IF(AND(E95&lt;AB95,AB95&lt;AC95),"下降トレンド▼","もみ合い→"))))</f>
        <v/>
      </c>
      <c r="AE95" s="441">
        <f>IF(OR(C95="",AB95="",AC95=""),"",IF(AND(ABS(E95-AC95)/AC95&lt;=0.02,E95&gt;AC95),"25日押し目★",IF(AND(ABS(E95-AB95)/AB95&lt;=0.01,E95&gt;AB95),"5日押し目○","なし")))</f>
        <v/>
      </c>
      <c r="AF95" s="617">
        <f t="array" ref="AF95">IF(C95="","",IFERROR((INDEX(終値!$E:$E,MATCH(TEXT(C95,"0"),終値!$A:$A,0))-INDEX(終値!$E:$BL,MATCH(TEXT(C95,"0"),終値!$A:$A,0),$AL$2))/INDEX(終値!$E:$BL,MATCH(TEXT(C95,"0"),終値!$A:$A,0),$AL$2)*100,""))</f>
        <v/>
      </c>
      <c r="AG95" s="617">
        <f t="array" ref="AG95">IFERROR((終値!$E$5-INDEX(終値!$E$5:$BL$5,1,$AL$2))/INDEX(終値!$E$5:$BL$5,1,$AL$2)*100,"")</f>
        <v/>
      </c>
      <c r="AH95" s="618">
        <f>IF(OR(AF95="",AG95=""),"",AF95-AG95)</f>
        <v/>
      </c>
      <c r="AI95" s="385">
        <f>IF(AH95="","",IF(AH95&gt;5,3,IF(AH95&gt;0,1,IF(AH95&gt;-3,-1,-2))))</f>
        <v/>
      </c>
    </row>
    <row r="96" ht="18" customFormat="1" customHeight="1" s="187">
      <c r="A96" s="176">
        <f>IF(銘柄管理!B151&lt;&gt;"",HYPERLINK("https://kabutan.jp/stock/?code="&amp;銘柄管理!B151,"株探"),"")</f>
        <v/>
      </c>
      <c r="B96" s="177" t="n"/>
      <c r="C96" s="178">
        <f>IF(銘柄管理!B151="","",銘柄管理!B151)</f>
        <v/>
      </c>
      <c r="D96" s="106">
        <f>IF(銘柄管理!C151="","",銘柄管理!C151)</f>
        <v/>
      </c>
      <c r="E96" s="179">
        <f>IF(C96&lt;&gt;"",_xll.RssMarket(C96,"現在値"),"")</f>
        <v/>
      </c>
      <c r="F96" s="179">
        <f>IF(C96&lt;&gt;"",_xll.RssMarket(C96,"始値"),"")</f>
        <v/>
      </c>
      <c r="G96" s="178">
        <f>IF(C96&lt;&gt;"",終値!F151,"")</f>
        <v/>
      </c>
      <c r="H96" s="179">
        <f>IF(C96&lt;&gt;"",_xll.RssMarket(C96,"高値"),"")</f>
        <v/>
      </c>
      <c r="I96" s="179">
        <f>IF(C96&lt;&gt;"",_xll.RssMarket(C96,"安値"),"")</f>
        <v/>
      </c>
      <c r="J96" s="179">
        <f>IF(C96&lt;&gt;"",_xll.RssMarket(C96,"出来高"),"")</f>
        <v/>
      </c>
      <c r="K96" s="179">
        <f>IF(C96&lt;&gt;"",_xll.RssMarket(C96,"年初来高値"),"")</f>
        <v/>
      </c>
      <c r="L96" s="613">
        <f>IF(AND(E96&lt;&gt;"",K96&lt;&gt;"",K96&lt;&gt;0),(E96-K96)/K96*100,"")</f>
        <v/>
      </c>
      <c r="M96" s="179">
        <f>IF(C96&lt;&gt;"",IFERROR(AVERAGE(出来高!E151:I151),""),"")</f>
        <v/>
      </c>
      <c r="N96" s="179">
        <f>IF(C96&lt;&gt;"",IFERROR(AVERAGE(出来高!E151:AC151),""),"")</f>
        <v/>
      </c>
      <c r="O96" s="614">
        <f>IF(AND(J96&lt;&gt;"",M96&lt;&gt;"",M96&lt;&gt;0),J96/M96,"")</f>
        <v/>
      </c>
      <c r="P96" s="176">
        <f>IF(O96="","",IF(O96&gt;=2,"急増↑↑",IF(O96&gt;=1.5,"増加↑",IF(O96&gt;=1,"普通→","減少↓"))))</f>
        <v/>
      </c>
      <c r="Q96" s="176">
        <f>IF(E96="","",IF(AND(E96&gt;G96,O96&gt;=1.5),"買い▲",IF(E96&lt;G96,"様子見▼","中立→")))</f>
        <v/>
      </c>
      <c r="R96" s="179">
        <f>IF(E96&lt;&gt;"",ROUND(E96*1.08,0),"")</f>
        <v/>
      </c>
      <c r="S96" s="179">
        <f>IF(E96&lt;&gt;"",ROUND(E96*0.96,0),"")</f>
        <v/>
      </c>
      <c r="T96" s="176">
        <f>IF(C96="","",IFERROR(IF(O96&gt;=2,3,IF(O96&gt;=1.5,2,IF(O96&gt;=1,1,0)))+IF(E96&gt;G96,1,0)+IF(L96&gt;=-5,1,0)+IF(Q96="買い▲",2,0)+IF(W96&lt;=30,3,IF(W96&lt;=40,2,IF(AND(W96&gt;=40,W96&lt;=60),1,0)))+IF(X96&gt;0,1,0)+IF(V96="年初来高値更新●",3,IF(V96="高値圏",2,0))+IF(AD96="パーフェクト▲",3,IF(AD96="上昇トレンド▲",2,0))+IF(AE96="25日線押し目●",2,IF(AE96="5日線押し目○",1,0))+IF(P96="急増↑↑",2,IF(P96="増加↑",1,0))+N(AI96),0))</f>
        <v/>
      </c>
      <c r="U96" s="176">
        <f>IF(T96="","",IF(AND(T96&gt;=3,O96&gt;=1.5),"有効",IF(T96&gt;=3,"要確認","除外")))</f>
        <v/>
      </c>
      <c r="V96" s="176">
        <f>IF(AND(H96&lt;&gt;"",K96&lt;&gt;""),IF(H96&gt;=K96,"年初来高値更新●",IF(H96&gt;=K96*0.95,"高値圏","通常")),"")</f>
        <v/>
      </c>
      <c r="W96" s="615">
        <f t="array" ref="W96">IF(C96&lt;&gt;"",IFERROR(100-100/(1+SUMPRODUCT((終値!F151:R151&gt;終値!G151:S151)*( 終値!F151:R151-終値!G151:S151))/SUMPRODUCT((終値!F151:R151&lt;終値!G151:S151)*(終値!G151:S151-終値!F151:R151))),50),"")</f>
        <v/>
      </c>
      <c r="X96" s="183">
        <f>IF(C96&lt;&gt;"",IFERROR(SUMPRODUCT(終値!E151:P151,{0.154,0.132,0.113,0.097,0.083,0.071,0.061,0.052,0.045,0.038,0.033,0.028})/SUMPRODUCT({0.154,0.132,0.113,0.097,0.083,0.071,0.061,0.052,0.045,0.038,0.033,0.028})-SUMPRODUCT(終値!E151:AD151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6" s="570">
        <f>IF(T96="","",IF(銘柄管理!$F$5="下落▼",IF(AND(AD96="パーフェクト▲",OR(AE96="25日線押し目●",AE96="5日線押し目○")),"★逆張り候補",IF(AND(AD96="上昇トレンド▲",OR(AE96="25日線押し目●",AE96="5日線押し目○")),"○逆張り候補",IF(W96&lt;=30,IF(Z96&gt;0,"◎反発確認",IF(Z96&lt;-5,"△要注意・様子見","△売られ過ぎ注目")),"相場下落・見送り"))),IF(AND(T96&gt;=12,AD96="パーフェクト▲"),"★強い買い",IF(AND(T96&gt;=12,AD96="上昇トレンド▲"),"★強い買い",IF(AND(T96&gt;=8,OR(AE96="25日線押し目●",AE96="5日線押し目○")),"◎押し目買い",IF(T96&gt;=10,"○買い候補",IF(T96&gt;=6,"△注目",IF(T96&gt;=3,"様子見","見送り"))))))))</f>
        <v/>
      </c>
      <c r="Z96" s="616">
        <f>IF(AND(E96&lt;&gt;"",G96&lt;&gt;"",G96&lt;&gt;0),(E96-G96)/G96*100,"")</f>
        <v/>
      </c>
      <c r="AA96" s="176">
        <f>IF(OR(C96="",E96="",E96=0),"",IF(E96&gt;G96,"上昇▲",IF(E96&lt;G96,"下落▼","横ばい→")))</f>
        <v/>
      </c>
      <c r="AB96" s="438">
        <f>IF(C96="","",IFERROR(((終値!E98*0.333)+(終値!F98*0.222)+(終値!G98*0.148)+(終値!H98*0.099)+(終値!I98*0.066)+(終値!J98*0.044)+(終値!K98*0.029)+(終値!L98*0.019)+(終値!M98*0.013)+(終値!N98*0.009))/(0.333+0.222+0.148+0.099+0.066+0.044+0.029+0.019+0.013+0.009),""))</f>
        <v/>
      </c>
      <c r="AC96" s="438">
        <f>IF(C96="","",IFERROR(SUMPRODUCT((終値!E98:AC98)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6" s="439">
        <f>IF(OR(C96="",AB96="",AC96=""),"",IF(AND(E96&gt;AB96,AB96&gt;AC96),"パーフェクト▲",IF(E96&gt;AC96,"上昇トレンド▲",IF(AND(E96&lt;AB96,AB96&lt;AC96),"下降トレンド▼","もみ合い→"))))</f>
        <v/>
      </c>
      <c r="AE96" s="439">
        <f>IF(OR(C96="",AB96="",AC96=""),"",IF(AND(ABS(E96-AC96)/AC96&lt;=0.02,E96&gt;AC96),"25日押し目★",IF(AND(ABS(E96-AB96)/AB96&lt;=0.01,E96&gt;AB96),"5日押し目○","なし")))</f>
        <v/>
      </c>
      <c r="AF96" s="617">
        <f t="array" ref="AF96">IF(C96="","",IFERROR((INDEX(終値!$E:$E,MATCH(TEXT(C96,"0"),終値!$A:$A,0))-INDEX(終値!$E:$BL,MATCH(TEXT(C96,"0"),終値!$A:$A,0),$AL$2))/INDEX(終値!$E:$BL,MATCH(TEXT(C96,"0"),終値!$A:$A,0),$AL$2)*100,""))</f>
        <v/>
      </c>
      <c r="AG96" s="617">
        <f t="array" ref="AG96">IFERROR((終値!$E$5-INDEX(終値!$E$5:$BL$5,1,$AL$2))/INDEX(終値!$E$5:$BL$5,1,$AL$2)*100,"")</f>
        <v/>
      </c>
      <c r="AH96" s="618">
        <f>IF(OR(AF96="",AG96=""),"",AF96-AG96)</f>
        <v/>
      </c>
      <c r="AI96" s="385">
        <f>IF(AH96="","",IF(AH96&gt;5,3,IF(AH96&gt;0,1,IF(AH96&gt;-3,-1,-2))))</f>
        <v/>
      </c>
    </row>
    <row r="97" ht="18" customFormat="1" customHeight="1" s="187">
      <c r="A97" s="176">
        <f>IF(銘柄管理!B183&lt;&gt;"",HYPERLINK("https://kabutan.jp/stock/?code="&amp;銘柄管理!B183,"株探"),"")</f>
        <v/>
      </c>
      <c r="B97" s="177" t="n"/>
      <c r="C97" s="178">
        <f>IF(銘柄管理!B183="","",銘柄管理!B183)</f>
        <v/>
      </c>
      <c r="D97" s="106">
        <f>IF(銘柄管理!C183="","",銘柄管理!C183)</f>
        <v/>
      </c>
      <c r="E97" s="179">
        <f>IF(C97&lt;&gt;"",_xll.RssMarket(C97,"現在値"),"")</f>
        <v/>
      </c>
      <c r="F97" s="179">
        <f>IF(C97&lt;&gt;"",_xll.RssMarket(C97,"始値"),"")</f>
        <v/>
      </c>
      <c r="G97" s="178">
        <f>IF(C97&lt;&gt;"",終値!F183,"")</f>
        <v/>
      </c>
      <c r="H97" s="179">
        <f>IF(C97&lt;&gt;"",_xll.RssMarket(C97,"高値"),"")</f>
        <v/>
      </c>
      <c r="I97" s="179">
        <f>IF(C97&lt;&gt;"",_xll.RssMarket(C97,"安値"),"")</f>
        <v/>
      </c>
      <c r="J97" s="179">
        <f>IF(C97&lt;&gt;"",_xll.RssMarket(C97,"出来高"),"")</f>
        <v/>
      </c>
      <c r="K97" s="179">
        <f>IF(C97&lt;&gt;"",_xll.RssMarket(C97,"年初来高値"),"")</f>
        <v/>
      </c>
      <c r="L97" s="613">
        <f>IF(AND(E97&lt;&gt;"",K97&lt;&gt;"",K97&lt;&gt;0),(E97-K97)/K97*100,"")</f>
        <v/>
      </c>
      <c r="M97" s="179">
        <f>IF(C97&lt;&gt;"",IFERROR(AVERAGE(出来高!E183:I183),""),"")</f>
        <v/>
      </c>
      <c r="N97" s="179">
        <f>IF(C97&lt;&gt;"",IFERROR(AVERAGE(出来高!E183:AC183),""),"")</f>
        <v/>
      </c>
      <c r="O97" s="614">
        <f>IF(AND(J97&lt;&gt;"",M97&lt;&gt;"",M97&lt;&gt;0),J97/M97,"")</f>
        <v/>
      </c>
      <c r="P97" s="176">
        <f>IF(O97="","",IF(O97&gt;=2,"急増↑↑",IF(O97&gt;=1.5,"増加↑",IF(O97&gt;=1,"普通→","減少↓"))))</f>
        <v/>
      </c>
      <c r="Q97" s="176">
        <f>IF(E97="","",IF(AND(E97&gt;G97,O97&gt;=1.5),"買い▲",IF(E97&lt;G97,"様子見▼","中立→")))</f>
        <v/>
      </c>
      <c r="R97" s="179">
        <f>IF(E97&lt;&gt;"",ROUND(E97*1.08,0),"")</f>
        <v/>
      </c>
      <c r="S97" s="179">
        <f>IF(E97&lt;&gt;"",ROUND(E97*0.96,0),"")</f>
        <v/>
      </c>
      <c r="T97" s="176">
        <f>IF(C97="","",IFERROR(IF(O97&gt;=2,3,IF(O97&gt;=1.5,2,IF(O97&gt;=1,1,0)))+IF(E97&gt;G97,1,0)+IF(L97&gt;=-5,1,0)+IF(Q97="買い▲",2,0)+IF(W97&lt;=30,3,IF(W97&lt;=40,2,IF(AND(W97&gt;=40,W97&lt;=60),1,0)))+IF(X97&gt;0,1,0)+IF(V97="年初来高値更新●",3,IF(V97="高値圏",2,0))+IF(AD97="パーフェクト▲",3,IF(AD97="上昇トレンド▲",2,0))+IF(AE97="25日線押し目●",2,IF(AE97="5日線押し目○",1,0))+IF(P97="急増↑↑",2,IF(P97="増加↑",1,0))+N(AI97),0))</f>
        <v/>
      </c>
      <c r="U97" s="176">
        <f>IF(T97="","",IF(AND(T97&gt;=3,O97&gt;=1.5),"有効",IF(T97&gt;=3,"要確認","除外")))</f>
        <v/>
      </c>
      <c r="V97" s="176">
        <f>IF(AND(H97&lt;&gt;"",K97&lt;&gt;""),IF(H97&gt;=K97,"年初来高値更新●",IF(H97&gt;=K97*0.95,"高値圏","通常")),"")</f>
        <v/>
      </c>
      <c r="W97" s="615">
        <f t="array" ref="W97">IF(C97&lt;&gt;"",IFERROR(100-100/(1+SUMPRODUCT((終値!F183:R183&gt;終値!G183:S183)*( 終値!F183:R183-終値!G183:S183))/SUMPRODUCT((終値!F183:R183&lt;終値!G183:S183)*(終値!G183:S183-終値!F183:R183))),50),"")</f>
        <v/>
      </c>
      <c r="X97" s="183">
        <f>IF(C97&lt;&gt;"",IFERROR(SUMPRODUCT(終値!E183:P183,{0.154,0.132,0.113,0.097,0.083,0.071,0.061,0.052,0.045,0.038,0.033,0.028})/SUMPRODUCT({0.154,0.132,0.113,0.097,0.083,0.071,0.061,0.052,0.045,0.038,0.033,0.028})-SUMPRODUCT(終値!E183:AD183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7" s="570">
        <f>IF(T97="","",IF(銘柄管理!$F$5="下落▼",IF(AND(AD97="パーフェクト▲",OR(AE97="25日線押し目●",AE97="5日線押し目○")),"★逆張り候補",IF(AND(AD97="上昇トレンド▲",OR(AE97="25日線押し目●",AE97="5日線押し目○")),"○逆張り候補",IF(W97&lt;=30,IF(Z97&gt;0,"◎反発確認",IF(Z97&lt;-5,"△要注意・様子見","△売られ過ぎ注目")),"相場下落・見送り"))),IF(AND(T97&gt;=12,AD97="パーフェクト▲"),"★強い買い",IF(AND(T97&gt;=12,AD97="上昇トレンド▲"),"★強い買い",IF(AND(T97&gt;=8,OR(AE97="25日線押し目●",AE97="5日線押し目○")),"◎押し目買い",IF(T97&gt;=10,"○買い候補",IF(T97&gt;=6,"△注目",IF(T97&gt;=3,"様子見","見送り"))))))))</f>
        <v/>
      </c>
      <c r="Z97" s="616">
        <f>IF(AND(E97&lt;&gt;"",G97&lt;&gt;"",G97&lt;&gt;0),(E97-G97)/G97*100,"")</f>
        <v/>
      </c>
      <c r="AA97" s="176">
        <f>IF(OR(C97="",E97="",E97=0),"",IF(E97&gt;G97,"上昇▲",IF(E97&lt;G97,"下落▼","横ばい→")))</f>
        <v/>
      </c>
      <c r="AB97" s="440">
        <f>IF(C97="","",IFERROR(((終値!E99*0.333)+(終値!F99*0.222)+(終値!G99*0.148)+(終値!H99*0.099)+(終値!I99*0.066)+(終値!J99*0.044)+(終値!K99*0.029)+(終値!L99*0.019)+(終値!M99*0.013)+(終値!N99*0.009))/(0.333+0.222+0.148+0.099+0.066+0.044+0.029+0.019+0.013+0.009),""))</f>
        <v/>
      </c>
      <c r="AC97" s="440">
        <f>IF(C97="","",IFERROR(SUMPRODUCT((終値!E99:AC99)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7" s="441">
        <f>IF(OR(C97="",AB97="",AC97=""),"",IF(AND(E97&gt;AB97,AB97&gt;AC97),"パーフェクト▲",IF(E97&gt;AC97,"上昇トレンド▲",IF(AND(E97&lt;AB97,AB97&lt;AC97),"下降トレンド▼","もみ合い→"))))</f>
        <v/>
      </c>
      <c r="AE97" s="441">
        <f>IF(OR(C97="",AB97="",AC97=""),"",IF(AND(ABS(E97-AC97)/AC97&lt;=0.02,E97&gt;AC97),"25日押し目★",IF(AND(ABS(E97-AB97)/AB97&lt;=0.01,E97&gt;AB97),"5日押し目○","なし")))</f>
        <v/>
      </c>
      <c r="AF97" s="617">
        <f t="array" ref="AF97">IF(C97="","",IFERROR((INDEX(終値!$E:$E,MATCH(TEXT(C97,"0"),終値!$A:$A,0))-INDEX(終値!$E:$BL,MATCH(TEXT(C97,"0"),終値!$A:$A,0),$AL$2))/INDEX(終値!$E:$BL,MATCH(TEXT(C97,"0"),終値!$A:$A,0),$AL$2)*100,""))</f>
        <v/>
      </c>
      <c r="AG97" s="617">
        <f t="array" ref="AG97">IFERROR((終値!$E$5-INDEX(終値!$E$5:$BL$5,1,$AL$2))/INDEX(終値!$E$5:$BL$5,1,$AL$2)*100,"")</f>
        <v/>
      </c>
      <c r="AH97" s="618">
        <f>IF(OR(AF97="",AG97=""),"",AF97-AG97)</f>
        <v/>
      </c>
      <c r="AI97" s="385">
        <f>IF(AH97="","",IF(AH97&gt;5,3,IF(AH97&gt;0,1,IF(AH97&gt;-3,-1,-2))))</f>
        <v/>
      </c>
    </row>
    <row r="98" ht="18" customFormat="1" customHeight="1" s="187">
      <c r="A98" s="176">
        <f>IF(銘柄管理!B201&lt;&gt;"",HYPERLINK("https://kabutan.jp/stock/?code="&amp;銘柄管理!B201,"株探"),"")</f>
        <v/>
      </c>
      <c r="B98" s="177" t="n"/>
      <c r="C98" s="178">
        <f>IF(銘柄管理!B201="","",銘柄管理!B201)</f>
        <v/>
      </c>
      <c r="D98" s="106">
        <f>IF(銘柄管理!C201="","",銘柄管理!C201)</f>
        <v/>
      </c>
      <c r="E98" s="179">
        <f>IF(C98&lt;&gt;"",_xll.RssMarket(C98,"現在値"),"")</f>
        <v/>
      </c>
      <c r="F98" s="179">
        <f>IF(C98&lt;&gt;"",_xll.RssMarket(C98,"始値"),"")</f>
        <v/>
      </c>
      <c r="G98" s="178">
        <f>IF(C98&lt;&gt;"",終値!F201,"")</f>
        <v/>
      </c>
      <c r="H98" s="179">
        <f>IF(C98&lt;&gt;"",_xll.RssMarket(C98,"高値"),"")</f>
        <v/>
      </c>
      <c r="I98" s="179">
        <f>IF(C98&lt;&gt;"",_xll.RssMarket(C98,"安値"),"")</f>
        <v/>
      </c>
      <c r="J98" s="179">
        <f>IF(C98&lt;&gt;"",_xll.RssMarket(C98,"出来高"),"")</f>
        <v/>
      </c>
      <c r="K98" s="179">
        <f>IF(C98&lt;&gt;"",_xll.RssMarket(C98,"年初来高値"),"")</f>
        <v/>
      </c>
      <c r="L98" s="613">
        <f>IF(AND(E98&lt;&gt;"",K98&lt;&gt;"",K98&lt;&gt;0),(E98-K98)/K98*100,"")</f>
        <v/>
      </c>
      <c r="M98" s="179">
        <f>IF(C98&lt;&gt;"",IFERROR(AVERAGE(出来高!E201:I201),""),"")</f>
        <v/>
      </c>
      <c r="N98" s="179">
        <f>IF(C98&lt;&gt;"",IFERROR(AVERAGE(出来高!E201:AC201),""),"")</f>
        <v/>
      </c>
      <c r="O98" s="614">
        <f>IF(AND(J98&lt;&gt;"",M98&lt;&gt;"",M98&lt;&gt;0),J98/M98,"")</f>
        <v/>
      </c>
      <c r="P98" s="176">
        <f>IF(O98="","",IF(O98&gt;=2,"急増↑↑",IF(O98&gt;=1.5,"増加↑",IF(O98&gt;=1,"普通→","減少↓"))))</f>
        <v/>
      </c>
      <c r="Q98" s="176">
        <f>IF(E98="","",IF(AND(E98&gt;G98,O98&gt;=1.5),"買い▲",IF(E98&lt;G98,"様子見▼","中立→")))</f>
        <v/>
      </c>
      <c r="R98" s="179">
        <f>IF(E98&lt;&gt;"",ROUND(E98*1.08,0),"")</f>
        <v/>
      </c>
      <c r="S98" s="179">
        <f>IF(E98&lt;&gt;"",ROUND(E98*0.96,0),"")</f>
        <v/>
      </c>
      <c r="T98" s="176">
        <f>IF(C98="","",IFERROR(IF(O98&gt;=2,3,IF(O98&gt;=1.5,2,IF(O98&gt;=1,1,0)))+IF(E98&gt;G98,1,0)+IF(L98&gt;=-5,1,0)+IF(Q98="買い▲",2,0)+IF(W98&lt;=30,3,IF(W98&lt;=40,2,IF(AND(W98&gt;=40,W98&lt;=60),1,0)))+IF(X98&gt;0,1,0)+IF(V98="年初来高値更新●",3,IF(V98="高値圏",2,0))+IF(AD98="パーフェクト▲",3,IF(AD98="上昇トレンド▲",2,0))+IF(AE98="25日線押し目●",2,IF(AE98="5日線押し目○",1,0))+IF(P98="急増↑↑",2,IF(P98="増加↑",1,0))+N(AI98),0))</f>
        <v/>
      </c>
      <c r="U98" s="176">
        <f>IF(T98="","",IF(AND(T98&gt;=3,O98&gt;=1.5),"有効",IF(T98&gt;=3,"要確認","除外")))</f>
        <v/>
      </c>
      <c r="V98" s="176">
        <f>IF(AND(H98&lt;&gt;"",K98&lt;&gt;""),IF(H98&gt;=K98,"年初来高値更新●",IF(H98&gt;=K98*0.95,"高値圏","通常")),"")</f>
        <v/>
      </c>
      <c r="W98" s="615">
        <f t="array" ref="W98">IF(C98&lt;&gt;"",IFERROR(100-100/(1+SUMPRODUCT((終値!F201:R201&gt;終値!G201:S201)*( 終値!F201:R201-終値!G201:S201))/SUMPRODUCT((終値!F201:R201&lt;終値!G201:S201)*(終値!G201:S201-終値!F201:R201))),50),"")</f>
        <v/>
      </c>
      <c r="X98" s="183">
        <f>IF(C98&lt;&gt;"",IFERROR(SUMPRODUCT(終値!E201:P201,{0.154,0.132,0.113,0.097,0.083,0.071,0.061,0.052,0.045,0.038,0.033,0.028})/SUMPRODUCT({0.154,0.132,0.113,0.097,0.083,0.071,0.061,0.052,0.045,0.038,0.033,0.028})-SUMPRODUCT(終値!E201:AD201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8" s="570">
        <f>IF(T98="","",IF(銘柄管理!$F$5="下落▼",IF(AND(AD98="パーフェクト▲",OR(AE98="25日線押し目●",AE98="5日線押し目○")),"★逆張り候補",IF(AND(AD98="上昇トレンド▲",OR(AE98="25日線押し目●",AE98="5日線押し目○")),"○逆張り候補",IF(W98&lt;=30,IF(Z98&gt;0,"◎反発確認",IF(Z98&lt;-5,"△要注意・様子見","△売られ過ぎ注目")),"相場下落・見送り"))),IF(AND(T98&gt;=12,AD98="パーフェクト▲"),"★強い買い",IF(AND(T98&gt;=12,AD98="上昇トレンド▲"),"★強い買い",IF(AND(T98&gt;=8,OR(AE98="25日線押し目●",AE98="5日線押し目○")),"◎押し目買い",IF(T98&gt;=10,"○買い候補",IF(T98&gt;=6,"△注目",IF(T98&gt;=3,"様子見","見送り"))))))))</f>
        <v/>
      </c>
      <c r="Z98" s="616">
        <f>IF(AND(E98&lt;&gt;"",G98&lt;&gt;"",G98&lt;&gt;0),(E98-G98)/G98*100,"")</f>
        <v/>
      </c>
      <c r="AA98" s="176">
        <f>IF(OR(C98="",E98="",E98=0),"",IF(E98&gt;G98,"上昇▲",IF(E98&lt;G98,"下落▼","横ばい→")))</f>
        <v/>
      </c>
      <c r="AB98" s="438">
        <f>IF(C98="","",IFERROR(((終値!E100*0.333)+(終値!F100*0.222)+(終値!G100*0.148)+(終値!H100*0.099)+(終値!I100*0.066)+(終値!J100*0.044)+(終値!K100*0.029)+(終値!L100*0.019)+(終値!M100*0.013)+(終値!N100*0.009))/(0.333+0.222+0.148+0.099+0.066+0.044+0.029+0.019+0.013+0.009),""))</f>
        <v/>
      </c>
      <c r="AC98" s="438">
        <f>IF(C98="","",IFERROR(SUMPRODUCT((終値!E100:AC100)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8" s="439">
        <f>IF(OR(C98="",AB98="",AC98=""),"",IF(AND(E98&gt;AB98,AB98&gt;AC98),"パーフェクト▲",IF(E98&gt;AC98,"上昇トレンド▲",IF(AND(E98&lt;AB98,AB98&lt;AC98),"下降トレンド▼","もみ合い→"))))</f>
        <v/>
      </c>
      <c r="AE98" s="439">
        <f>IF(OR(C98="",AB98="",AC98=""),"",IF(AND(ABS(E98-AC98)/AC98&lt;=0.02,E98&gt;AC98),"25日押し目★",IF(AND(ABS(E98-AB98)/AB98&lt;=0.01,E98&gt;AB98),"5日押し目○","なし")))</f>
        <v/>
      </c>
      <c r="AF98" s="617">
        <f t="array" ref="AF98">IF(C98="","",IFERROR((INDEX(終値!$E:$E,MATCH(TEXT(C98,"0"),終値!$A:$A,0))-INDEX(終値!$E:$BL,MATCH(TEXT(C98,"0"),終値!$A:$A,0),$AL$2))/INDEX(終値!$E:$BL,MATCH(TEXT(C98,"0"),終値!$A:$A,0),$AL$2)*100,""))</f>
        <v/>
      </c>
      <c r="AG98" s="617">
        <f t="array" ref="AG98">IFERROR((終値!$E$5-INDEX(終値!$E$5:$BL$5,1,$AL$2))/INDEX(終値!$E$5:$BL$5,1,$AL$2)*100,"")</f>
        <v/>
      </c>
      <c r="AH98" s="618">
        <f>IF(OR(AF98="",AG98=""),"",AF98-AG98)</f>
        <v/>
      </c>
      <c r="AI98" s="385">
        <f>IF(AH98="","",IF(AH98&gt;5,3,IF(AH98&gt;0,1,IF(AH98&gt;-3,-1,-2))))</f>
        <v/>
      </c>
    </row>
    <row r="99" ht="18" customFormat="1" customHeight="1" s="187">
      <c r="A99" s="176">
        <f>IF(銘柄管理!B68&lt;&gt;"",HYPERLINK("https://kabutan.jp/stock/?code="&amp;銘柄管理!B68,"株探"),"")</f>
        <v/>
      </c>
      <c r="B99" s="177" t="n"/>
      <c r="C99" s="178">
        <f>IF(銘柄管理!B68="","",銘柄管理!B68)</f>
        <v/>
      </c>
      <c r="D99" s="106">
        <f>IF(銘柄管理!C68="","",銘柄管理!C68)</f>
        <v/>
      </c>
      <c r="E99" s="179">
        <f>IF(C99&lt;&gt;"",_xll.RssMarket(C99,"現在値"),"")</f>
        <v/>
      </c>
      <c r="F99" s="179">
        <f>IF(C99&lt;&gt;"",_xll.RssMarket(C99,"始値"),"")</f>
        <v/>
      </c>
      <c r="G99" s="178">
        <f>IF(C99&lt;&gt;"",終値!F68,"")</f>
        <v/>
      </c>
      <c r="H99" s="179">
        <f>IF(C99&lt;&gt;"",_xll.RssMarket(C99,"高値"),"")</f>
        <v/>
      </c>
      <c r="I99" s="179">
        <f>IF(C99&lt;&gt;"",_xll.RssMarket(C99,"安値"),"")</f>
        <v/>
      </c>
      <c r="J99" s="179">
        <f>IF(C99&lt;&gt;"",_xll.RssMarket(C99,"出来高"),"")</f>
        <v/>
      </c>
      <c r="K99" s="179">
        <f>IF(C99&lt;&gt;"",_xll.RssMarket(C99,"年初来高値"),"")</f>
        <v/>
      </c>
      <c r="L99" s="613">
        <f>IF(AND(E99&lt;&gt;"",K99&lt;&gt;"",K99&lt;&gt;0),(E99-K99)/K99*100,"")</f>
        <v/>
      </c>
      <c r="M99" s="179">
        <f>IF(C99&lt;&gt;"",IFERROR(AVERAGE(出来高!E68:I68),""),"")</f>
        <v/>
      </c>
      <c r="N99" s="179">
        <f>IF(C99&lt;&gt;"",IFERROR(AVERAGE(出来高!E68:AC68),""),"")</f>
        <v/>
      </c>
      <c r="O99" s="614">
        <f>IF(AND(J99&lt;&gt;"",M99&lt;&gt;"",M99&lt;&gt;0),J99/M99,"")</f>
        <v/>
      </c>
      <c r="P99" s="176">
        <f>IF(O99="","",IF(O99&gt;=2,"急増↑↑",IF(O99&gt;=1.5,"増加↑",IF(O99&gt;=1,"普通→","減少↓"))))</f>
        <v/>
      </c>
      <c r="Q99" s="176">
        <f>IF(E99="","",IF(AND(E99&gt;G99,O99&gt;=1.5),"買い▲",IF(E99&lt;G99,"様子見▼","中立→")))</f>
        <v/>
      </c>
      <c r="R99" s="179">
        <f>IF(E99&lt;&gt;"",ROUND(E99*1.08,0),"")</f>
        <v/>
      </c>
      <c r="S99" s="179">
        <f>IF(E99&lt;&gt;"",ROUND(E99*0.96,0),"")</f>
        <v/>
      </c>
      <c r="T99" s="176">
        <f>IF(C99="","",IFERROR(IF(O99&gt;=2,3,IF(O99&gt;=1.5,2,IF(O99&gt;=1,1,0)))+IF(E99&gt;G99,1,0)+IF(L99&gt;=-5,1,0)+IF(Q99="買い▲",2,0)+IF(W99&lt;=30,3,IF(W99&lt;=40,2,IF(AND(W99&gt;=40,W99&lt;=60),1,0)))+IF(X99&gt;0,1,0)+IF(V99="年初来高値更新●",3,IF(V99="高値圏",2,0))+IF(AD99="パーフェクト▲",3,IF(AD99="上昇トレンド▲",2,0))+IF(AE99="25日線押し目●",2,IF(AE99="5日線押し目○",1,0))+IF(P99="急増↑↑",2,IF(P99="増加↑",1,0))+N(AI99),0))</f>
        <v/>
      </c>
      <c r="U99" s="176">
        <f>IF(T99="","",IF(AND(T99&gt;=3,O99&gt;=1.5),"有効",IF(T99&gt;=3,"要確認","除外")))</f>
        <v/>
      </c>
      <c r="V99" s="176">
        <f>IF(AND(H99&lt;&gt;"",K99&lt;&gt;""),IF(H99&gt;=K99,"年初来高値更新●",IF(H99&gt;=K99*0.95,"高値圏","通常")),"")</f>
        <v/>
      </c>
      <c r="W99" s="615">
        <f t="array" ref="W99">IF(C99&lt;&gt;"",IFERROR(100-100/(1+SUMPRODUCT((終値!F68:R68&gt;終値!G68:S68)*( 終値!F68:R68-終値!G68:S68))/SUMPRODUCT((終値!F68:R68&lt;終値!G68:S68)*(終値!G68:S68-終値!F68:R68))),50),"")</f>
        <v/>
      </c>
      <c r="X99" s="183">
        <f>IF(C99&lt;&gt;"",IFERROR(SUMPRODUCT(終値!E68:P68,{0.154,0.132,0.113,0.097,0.083,0.071,0.061,0.052,0.045,0.038,0.033,0.028})/SUMPRODUCT({0.154,0.132,0.113,0.097,0.083,0.071,0.061,0.052,0.045,0.038,0.033,0.028})-SUMPRODUCT(終値!E68:AD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9" s="570">
        <f>IF(T99="","",IF(銘柄管理!$F$5="下落▼",IF(AND(AD99="パーフェクト▲",OR(AE99="25日線押し目●",AE99="5日線押し目○")),"★逆張り候補",IF(AND(AD99="上昇トレンド▲",OR(AE99="25日線押し目●",AE99="5日線押し目○")),"○逆張り候補",IF(W99&lt;=30,IF(Z99&gt;0,"◎反発確認",IF(Z99&lt;-5,"△要注意・様子見","△売られ過ぎ注目")),"相場下落・見送り"))),IF(AND(T99&gt;=12,AD99="パーフェクト▲"),"★強い買い",IF(AND(T99&gt;=12,AD99="上昇トレンド▲"),"★強い買い",IF(AND(T99&gt;=8,OR(AE99="25日線押し目●",AE99="5日線押し目○")),"◎押し目買い",IF(T99&gt;=10,"○買い候補",IF(T99&gt;=6,"△注目",IF(T99&gt;=3,"様子見","見送り"))))))))</f>
        <v/>
      </c>
      <c r="Z99" s="616">
        <f>IF(AND(E99&lt;&gt;"",G99&lt;&gt;"",G99&lt;&gt;0),(E99-G99)/G99*100,"")</f>
        <v/>
      </c>
      <c r="AA99" s="176">
        <f>IF(OR(C99="",E99="",E99=0),"",IF(E99&gt;G99,"上昇▲",IF(E99&lt;G99,"下落▼","横ばい→")))</f>
        <v/>
      </c>
      <c r="AB99" s="440">
        <f>IF(C99="","",IFERROR(((終値!E101*0.333)+(終値!F101*0.222)+(終値!G101*0.148)+(終値!H101*0.099)+(終値!I101*0.066)+(終値!J101*0.044)+(終値!K101*0.029)+(終値!L101*0.019)+(終値!M101*0.013)+(終値!N101*0.009))/(0.333+0.222+0.148+0.099+0.066+0.044+0.029+0.019+0.013+0.009),""))</f>
        <v/>
      </c>
      <c r="AC99" s="440">
        <f>IF(C99="","",IFERROR(SUMPRODUCT((終値!E101:AC101)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9" s="441">
        <f>IF(OR(C99="",AB99="",AC99=""),"",IF(AND(E99&gt;AB99,AB99&gt;AC99),"パーフェクト▲",IF(E99&gt;AC99,"上昇トレンド▲",IF(AND(E99&lt;AB99,AB99&lt;AC99),"下降トレンド▼","もみ合い→"))))</f>
        <v/>
      </c>
      <c r="AE99" s="441">
        <f>IF(OR(C99="",AB99="",AC99=""),"",IF(AND(ABS(E99-AC99)/AC99&lt;=0.02,E99&gt;AC99),"25日押し目★",IF(AND(ABS(E99-AB99)/AB99&lt;=0.01,E99&gt;AB99),"5日押し目○","なし")))</f>
        <v/>
      </c>
      <c r="AF99" s="617">
        <f t="array" ref="AF99">IF(C99="","",IFERROR((INDEX(終値!$E:$E,MATCH(TEXT(C99,"0"),終値!$A:$A,0))-INDEX(終値!$E:$BL,MATCH(TEXT(C99,"0"),終値!$A:$A,0),$AL$2))/INDEX(終値!$E:$BL,MATCH(TEXT(C99,"0"),終値!$A:$A,0),$AL$2)*100,""))</f>
        <v/>
      </c>
      <c r="AG99" s="617">
        <f t="array" ref="AG99">IFERROR((終値!$E$5-INDEX(終値!$E$5:$BL$5,1,$AL$2))/INDEX(終値!$E$5:$BL$5,1,$AL$2)*100,"")</f>
        <v/>
      </c>
      <c r="AH99" s="618">
        <f>IF(OR(AF99="",AG99=""),"",AF99-AG99)</f>
        <v/>
      </c>
      <c r="AI99" s="385">
        <f>IF(AH99="","",IF(AH99&gt;5,3,IF(AH99&gt;0,1,IF(AH99&gt;-3,-1,-2))))</f>
        <v/>
      </c>
    </row>
    <row r="100" ht="18" customFormat="1" customHeight="1" s="187">
      <c r="A100" s="176">
        <f>IF(銘柄管理!B91&lt;&gt;"",HYPERLINK("https://kabutan.jp/stock/?code="&amp;銘柄管理!B91,"株探"),"")</f>
        <v/>
      </c>
      <c r="B100" s="177" t="n"/>
      <c r="C100" s="178">
        <f>IF(銘柄管理!B91="","",銘柄管理!B91)</f>
        <v/>
      </c>
      <c r="D100" s="106">
        <f>IF(銘柄管理!C91="","",銘柄管理!C91)</f>
        <v/>
      </c>
      <c r="E100" s="179">
        <f>IF(C100&lt;&gt;"",_xll.RssMarket(C100,"現在値"),"")</f>
        <v/>
      </c>
      <c r="F100" s="179">
        <f>IF(C100&lt;&gt;"",_xll.RssMarket(C100,"始値"),"")</f>
        <v/>
      </c>
      <c r="G100" s="178">
        <f>IF(C100&lt;&gt;"",終値!F91,"")</f>
        <v/>
      </c>
      <c r="H100" s="179">
        <f>IF(C100&lt;&gt;"",_xll.RssMarket(C100,"高値"),"")</f>
        <v/>
      </c>
      <c r="I100" s="179">
        <f>IF(C100&lt;&gt;"",_xll.RssMarket(C100,"安値"),"")</f>
        <v/>
      </c>
      <c r="J100" s="179">
        <f>IF(C100&lt;&gt;"",_xll.RssMarket(C100,"出来高"),"")</f>
        <v/>
      </c>
      <c r="K100" s="179">
        <f>IF(C100&lt;&gt;"",_xll.RssMarket(C100,"年初来高値"),"")</f>
        <v/>
      </c>
      <c r="L100" s="613">
        <f>IF(AND(E100&lt;&gt;"",K100&lt;&gt;"",K100&lt;&gt;0),(E100-K100)/K100*100,"")</f>
        <v/>
      </c>
      <c r="M100" s="179">
        <f>IF(C100&lt;&gt;"",IFERROR(AVERAGE(出来高!E91:I91),""),"")</f>
        <v/>
      </c>
      <c r="N100" s="179">
        <f>IF(C100&lt;&gt;"",IFERROR(AVERAGE(出来高!E91:AC91),""),"")</f>
        <v/>
      </c>
      <c r="O100" s="614">
        <f>IF(AND(J100&lt;&gt;"",M100&lt;&gt;"",M100&lt;&gt;0),J100/M100,"")</f>
        <v/>
      </c>
      <c r="P100" s="176">
        <f>IF(O100="","",IF(O100&gt;=2,"急増↑↑",IF(O100&gt;=1.5,"増加↑",IF(O100&gt;=1,"普通→","減少↓"))))</f>
        <v/>
      </c>
      <c r="Q100" s="176">
        <f>IF(E100="","",IF(AND(E100&gt;G100,O100&gt;=1.5),"買い▲",IF(E100&lt;G100,"様子見▼","中立→")))</f>
        <v/>
      </c>
      <c r="R100" s="179">
        <f>IF(E100&lt;&gt;"",ROUND(E100*1.08,0),"")</f>
        <v/>
      </c>
      <c r="S100" s="179">
        <f>IF(E100&lt;&gt;"",ROUND(E100*0.96,0),"")</f>
        <v/>
      </c>
      <c r="T100" s="176">
        <f>IF(C100="","",IFERROR(IF(O100&gt;=2,3,IF(O100&gt;=1.5,2,IF(O100&gt;=1,1,0)))+IF(E100&gt;G100,1,0)+IF(L100&gt;=-5,1,0)+IF(Q100="買い▲",2,0)+IF(W100&lt;=30,3,IF(W100&lt;=40,2,IF(AND(W100&gt;=40,W100&lt;=60),1,0)))+IF(X100&gt;0,1,0)+IF(V100="年初来高値更新●",3,IF(V100="高値圏",2,0))+IF(AD100="パーフェクト▲",3,IF(AD100="上昇トレンド▲",2,0))+IF(AE100="25日線押し目●",2,IF(AE100="5日線押し目○",1,0))+IF(P100="急増↑↑",2,IF(P100="増加↑",1,0))+N(AI100),0))</f>
        <v/>
      </c>
      <c r="U100" s="176">
        <f>IF(T100="","",IF(AND(T100&gt;=3,O100&gt;=1.5),"有効",IF(T100&gt;=3,"要確認","除外")))</f>
        <v/>
      </c>
      <c r="V100" s="176">
        <f>IF(AND(H100&lt;&gt;"",K100&lt;&gt;""),IF(H100&gt;=K100,"年初来高値更新●",IF(H100&gt;=K100*0.95,"高値圏","通常")),"")</f>
        <v/>
      </c>
      <c r="W100" s="615">
        <f t="array" ref="W100">IF(C100&lt;&gt;"",IFERROR(100-100/(1+SUMPRODUCT((終値!F91:R91&gt;終値!G91:S91)*( 終値!F91:R91-終値!G91:S91))/SUMPRODUCT((終値!F91:R91&lt;終値!G91:S91)*(終値!G91:S91-終値!F91:R91))),50),"")</f>
        <v/>
      </c>
      <c r="X100" s="183">
        <f>IF(C100&lt;&gt;"",IFERROR(SUMPRODUCT(終値!E91:P91,{0.154,0.132,0.113,0.097,0.083,0.071,0.061,0.052,0.045,0.038,0.033,0.028})/SUMPRODUCT({0.154,0.132,0.113,0.097,0.083,0.071,0.061,0.052,0.045,0.038,0.033,0.028})-SUMPRODUCT(終値!E91:AD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0" s="570">
        <f>IF(T100="","",IF(銘柄管理!$F$5="下落▼",IF(AND(AD100="パーフェクト▲",OR(AE100="25日線押し目●",AE100="5日線押し目○")),"★逆張り候補",IF(AND(AD100="上昇トレンド▲",OR(AE100="25日線押し目●",AE100="5日線押し目○")),"○逆張り候補",IF(W100&lt;=30,IF(Z100&gt;0,"◎反発確認",IF(Z100&lt;-5,"△要注意・様子見","△売られ過ぎ注目")),"相場下落・見送り"))),IF(AND(T100&gt;=12,AD100="パーフェクト▲"),"★強い買い",IF(AND(T100&gt;=12,AD100="上昇トレンド▲"),"★強い買い",IF(AND(T100&gt;=8,OR(AE100="25日線押し目●",AE100="5日線押し目○")),"◎押し目買い",IF(T100&gt;=10,"○買い候補",IF(T100&gt;=6,"△注目",IF(T100&gt;=3,"様子見","見送り"))))))))</f>
        <v/>
      </c>
      <c r="Z100" s="616">
        <f>IF(AND(E100&lt;&gt;"",G100&lt;&gt;"",G100&lt;&gt;0),(E100-G100)/G100*100,"")</f>
        <v/>
      </c>
      <c r="AA100" s="176">
        <f>IF(OR(C100="",E100="",E100=0),"",IF(E100&gt;G100,"上昇▲",IF(E100&lt;G100,"下落▼","横ばい→")))</f>
        <v/>
      </c>
      <c r="AB100" s="438">
        <f>IF(C100="","",IFERROR(((終値!E102*0.333)+(終値!F102*0.222)+(終値!G102*0.148)+(終値!H102*0.099)+(終値!I102*0.066)+(終値!J102*0.044)+(終値!K102*0.029)+(終値!L102*0.019)+(終値!M102*0.013)+(終値!N102*0.009))/(0.333+0.222+0.148+0.099+0.066+0.044+0.029+0.019+0.013+0.009),""))</f>
        <v/>
      </c>
      <c r="AC100" s="438">
        <f>IF(C100="","",IFERROR(SUMPRODUCT((終値!E102:AC102)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0" s="439">
        <f>IF(OR(C100="",AB100="",AC100=""),"",IF(AND(E100&gt;AB100,AB100&gt;AC100),"パーフェクト▲",IF(E100&gt;AC100,"上昇トレンド▲",IF(AND(E100&lt;AB100,AB100&lt;AC100),"下降トレンド▼","もみ合い→"))))</f>
        <v/>
      </c>
      <c r="AE100" s="439">
        <f>IF(OR(C100="",AB100="",AC100=""),"",IF(AND(ABS(E100-AC100)/AC100&lt;=0.02,E100&gt;AC100),"25日押し目★",IF(AND(ABS(E100-AB100)/AB100&lt;=0.01,E100&gt;AB100),"5日押し目○","なし")))</f>
        <v/>
      </c>
      <c r="AF100" s="617">
        <f t="array" ref="AF100">IF(C100="","",IFERROR((INDEX(終値!$E:$E,MATCH(TEXT(C100,"0"),終値!$A:$A,0))-INDEX(終値!$E:$BL,MATCH(TEXT(C100,"0"),終値!$A:$A,0),$AL$2))/INDEX(終値!$E:$BL,MATCH(TEXT(C100,"0"),終値!$A:$A,0),$AL$2)*100,""))</f>
        <v/>
      </c>
      <c r="AG100" s="617">
        <f t="array" ref="AG100">IFERROR((終値!$E$5-INDEX(終値!$E$5:$BL$5,1,$AL$2))/INDEX(終値!$E$5:$BL$5,1,$AL$2)*100,"")</f>
        <v/>
      </c>
      <c r="AH100" s="618">
        <f>IF(OR(AF100="",AG100=""),"",AF100-AG100)</f>
        <v/>
      </c>
      <c r="AI100" s="385">
        <f>IF(AH100="","",IF(AH100&gt;5,3,IF(AH100&gt;0,1,IF(AH100&gt;-3,-1,-2))))</f>
        <v/>
      </c>
    </row>
    <row r="101" ht="18" customFormat="1" customHeight="1" s="187">
      <c r="A101" s="176">
        <f>IF(銘柄管理!B79&lt;&gt;"",HYPERLINK("https://kabutan.jp/stock/?code="&amp;銘柄管理!B79,"株探"),"")</f>
        <v/>
      </c>
      <c r="B101" s="177" t="n"/>
      <c r="C101" s="178">
        <f>IF(銘柄管理!B79="","",銘柄管理!B79)</f>
        <v/>
      </c>
      <c r="D101" s="106">
        <f>IF(銘柄管理!C79="","",銘柄管理!C79)</f>
        <v/>
      </c>
      <c r="E101" s="179">
        <f>IF(C101&lt;&gt;"",_xll.RssMarket(C101,"現在値"),"")</f>
        <v/>
      </c>
      <c r="F101" s="179">
        <f>IF(C101&lt;&gt;"",_xll.RssMarket(C101,"始値"),"")</f>
        <v/>
      </c>
      <c r="G101" s="178">
        <f>IF(C101&lt;&gt;"",終値!F79,"")</f>
        <v/>
      </c>
      <c r="H101" s="179">
        <f>IF(C101&lt;&gt;"",_xll.RssMarket(C101,"高値"),"")</f>
        <v/>
      </c>
      <c r="I101" s="179">
        <f>IF(C101&lt;&gt;"",_xll.RssMarket(C101,"安値"),"")</f>
        <v/>
      </c>
      <c r="J101" s="179">
        <f>IF(C101&lt;&gt;"",_xll.RssMarket(C101,"出来高"),"")</f>
        <v/>
      </c>
      <c r="K101" s="179">
        <f>IF(C101&lt;&gt;"",_xll.RssMarket(C101,"年初来高値"),"")</f>
        <v/>
      </c>
      <c r="L101" s="613">
        <f>IF(AND(E101&lt;&gt;"",K101&lt;&gt;"",K101&lt;&gt;0),(E101-K101)/K101*100,"")</f>
        <v/>
      </c>
      <c r="M101" s="179">
        <f>IF(C101&lt;&gt;"",IFERROR(AVERAGE(出来高!E79:I79),""),"")</f>
        <v/>
      </c>
      <c r="N101" s="179">
        <f>IF(C101&lt;&gt;"",IFERROR(AVERAGE(出来高!E79:AC79),""),"")</f>
        <v/>
      </c>
      <c r="O101" s="614">
        <f>IF(AND(J101&lt;&gt;"",M101&lt;&gt;"",M101&lt;&gt;0),J101/M101,"")</f>
        <v/>
      </c>
      <c r="P101" s="176">
        <f>IF(O101="","",IF(O101&gt;=2,"急増↑↑",IF(O101&gt;=1.5,"増加↑",IF(O101&gt;=1,"普通→","減少↓"))))</f>
        <v/>
      </c>
      <c r="Q101" s="176">
        <f>IF(E101="","",IF(AND(E101&gt;G101,O101&gt;=1.5),"買い▲",IF(E101&lt;G101,"様子見▼","中立→")))</f>
        <v/>
      </c>
      <c r="R101" s="179">
        <f>IF(E101&lt;&gt;"",ROUND(E101*1.08,0),"")</f>
        <v/>
      </c>
      <c r="S101" s="179">
        <f>IF(E101&lt;&gt;"",ROUND(E101*0.96,0),"")</f>
        <v/>
      </c>
      <c r="T101" s="176">
        <f>IF(C101="","",IFERROR(IF(O101&gt;=2,3,IF(O101&gt;=1.5,2,IF(O101&gt;=1,1,0)))+IF(E101&gt;G101,1,0)+IF(L101&gt;=-5,1,0)+IF(Q101="買い▲",2,0)+IF(W101&lt;=30,3,IF(W101&lt;=40,2,IF(AND(W101&gt;=40,W101&lt;=60),1,0)))+IF(X101&gt;0,1,0)+IF(V101="年初来高値更新●",3,IF(V101="高値圏",2,0))+IF(AD101="パーフェクト▲",3,IF(AD101="上昇トレンド▲",2,0))+IF(AE101="25日線押し目●",2,IF(AE101="5日線押し目○",1,0))+IF(P101="急増↑↑",2,IF(P101="増加↑",1,0))+N(AI101),0))</f>
        <v/>
      </c>
      <c r="U101" s="176">
        <f>IF(T101="","",IF(AND(T101&gt;=3,O101&gt;=1.5),"有効",IF(T101&gt;=3,"要確認","除外")))</f>
        <v/>
      </c>
      <c r="V101" s="176">
        <f>IF(AND(H101&lt;&gt;"",K101&lt;&gt;""),IF(H101&gt;=K101,"年初来高値更新●",IF(H101&gt;=K101*0.95,"高値圏","通常")),"")</f>
        <v/>
      </c>
      <c r="W101" s="615">
        <f t="array" ref="W101">IF(C101&lt;&gt;"",IFERROR(100-100/(1+SUMPRODUCT((終値!F79:R79&gt;終値!G79:S79)*( 終値!F79:R79-終値!G79:S79))/SUMPRODUCT((終値!F79:R79&lt;終値!G79:S79)*(終値!G79:S79-終値!F79:R79))),50),"")</f>
        <v/>
      </c>
      <c r="X101" s="183">
        <f>IF(C101&lt;&gt;"",IFERROR(SUMPRODUCT(終値!E79:P79,{0.154,0.132,0.113,0.097,0.083,0.071,0.061,0.052,0.045,0.038,0.033,0.028})/SUMPRODUCT({0.154,0.132,0.113,0.097,0.083,0.071,0.061,0.052,0.045,0.038,0.033,0.028})-SUMPRODUCT(終値!E79:AD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1" s="570">
        <f>IF(T101="","",IF(銘柄管理!$F$5="下落▼",IF(AND(AD101="パーフェクト▲",OR(AE101="25日線押し目●",AE101="5日線押し目○")),"★逆張り候補",IF(AND(AD101="上昇トレンド▲",OR(AE101="25日線押し目●",AE101="5日線押し目○")),"○逆張り候補",IF(W101&lt;=30,IF(Z101&gt;0,"◎反発確認",IF(Z101&lt;-5,"△要注意・様子見","△売られ過ぎ注目")),"相場下落・見送り"))),IF(AND(T101&gt;=12,AD101="パーフェクト▲"),"★強い買い",IF(AND(T101&gt;=12,AD101="上昇トレンド▲"),"★強い買い",IF(AND(T101&gt;=8,OR(AE101="25日線押し目●",AE101="5日線押し目○")),"◎押し目買い",IF(T101&gt;=10,"○買い候補",IF(T101&gt;=6,"△注目",IF(T101&gt;=3,"様子見","見送り"))))))))</f>
        <v/>
      </c>
      <c r="Z101" s="616">
        <f>IF(AND(E101&lt;&gt;"",G101&lt;&gt;"",G101&lt;&gt;0),(E101-G101)/G101*100,"")</f>
        <v/>
      </c>
      <c r="AA101" s="176">
        <f>IF(OR(C101="",E101="",E101=0),"",IF(E101&gt;G101,"上昇▲",IF(E101&lt;G101,"下落▼","横ばい→")))</f>
        <v/>
      </c>
      <c r="AB101" s="440">
        <f>IF(C101="","",IFERROR(((終値!E103*0.333)+(終値!F103*0.222)+(終値!G103*0.148)+(終値!H103*0.099)+(終値!I103*0.066)+(終値!J103*0.044)+(終値!K103*0.029)+(終値!L103*0.019)+(終値!M103*0.013)+(終値!N103*0.009))/(0.333+0.222+0.148+0.099+0.066+0.044+0.029+0.019+0.013+0.009),""))</f>
        <v/>
      </c>
      <c r="AC101" s="440">
        <f>IF(C101="","",IFERROR(SUMPRODUCT((終値!E103:AC103)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1" s="441">
        <f>IF(OR(C101="",AB101="",AC101=""),"",IF(AND(E101&gt;AB101,AB101&gt;AC101),"パーフェクト▲",IF(E101&gt;AC101,"上昇トレンド▲",IF(AND(E101&lt;AB101,AB101&lt;AC101),"下降トレンド▼","もみ合い→"))))</f>
        <v/>
      </c>
      <c r="AE101" s="441">
        <f>IF(OR(C101="",AB101="",AC101=""),"",IF(AND(ABS(E101-AC101)/AC101&lt;=0.02,E101&gt;AC101),"25日押し目★",IF(AND(ABS(E101-AB101)/AB101&lt;=0.01,E101&gt;AB101),"5日押し目○","なし")))</f>
        <v/>
      </c>
      <c r="AF101" s="617">
        <f t="array" ref="AF101">IF(C101="","",IFERROR((INDEX(終値!$E:$E,MATCH(TEXT(C101,"0"),終値!$A:$A,0))-INDEX(終値!$E:$BL,MATCH(TEXT(C101,"0"),終値!$A:$A,0),$AL$2))/INDEX(終値!$E:$BL,MATCH(TEXT(C101,"0"),終値!$A:$A,0),$AL$2)*100,""))</f>
        <v/>
      </c>
      <c r="AG101" s="617">
        <f t="array" ref="AG101">IFERROR((終値!$E$5-INDEX(終値!$E$5:$BL$5,1,$AL$2))/INDEX(終値!$E$5:$BL$5,1,$AL$2)*100,"")</f>
        <v/>
      </c>
      <c r="AH101" s="618">
        <f>IF(OR(AF101="",AG101=""),"",AF101-AG101)</f>
        <v/>
      </c>
      <c r="AI101" s="385">
        <f>IF(AH101="","",IF(AH101&gt;5,3,IF(AH101&gt;0,1,IF(AH101&gt;-3,-1,-2))))</f>
        <v/>
      </c>
    </row>
    <row r="102" ht="18" customFormat="1" customHeight="1" s="187">
      <c r="A102" s="176">
        <f>IF(銘柄管理!B178&lt;&gt;"",HYPERLINK("https://kabutan.jp/stock/?code="&amp;銘柄管理!B178,"株探"),"")</f>
        <v/>
      </c>
      <c r="B102" s="177" t="n"/>
      <c r="C102" s="178">
        <f>IF(銘柄管理!B178="","",銘柄管理!B178)</f>
        <v/>
      </c>
      <c r="D102" s="106">
        <f>IF(銘柄管理!C178="","",銘柄管理!C178)</f>
        <v/>
      </c>
      <c r="E102" s="179">
        <f>IF(C102&lt;&gt;"",_xll.RssMarket(C102,"現在値"),"")</f>
        <v/>
      </c>
      <c r="F102" s="179">
        <f>IF(C102&lt;&gt;"",_xll.RssMarket(C102,"始値"),"")</f>
        <v/>
      </c>
      <c r="G102" s="178">
        <f>IF(C102&lt;&gt;"",終値!F178,"")</f>
        <v/>
      </c>
      <c r="H102" s="179">
        <f>IF(C102&lt;&gt;"",_xll.RssMarket(C102,"高値"),"")</f>
        <v/>
      </c>
      <c r="I102" s="179">
        <f>IF(C102&lt;&gt;"",_xll.RssMarket(C102,"安値"),"")</f>
        <v/>
      </c>
      <c r="J102" s="179">
        <f>IF(C102&lt;&gt;"",_xll.RssMarket(C102,"出来高"),"")</f>
        <v/>
      </c>
      <c r="K102" s="179">
        <f>IF(C102&lt;&gt;"",_xll.RssMarket(C102,"年初来高値"),"")</f>
        <v/>
      </c>
      <c r="L102" s="613">
        <f>IF(AND(E102&lt;&gt;"",K102&lt;&gt;"",K102&lt;&gt;0),(E102-K102)/K102*100,"")</f>
        <v/>
      </c>
      <c r="M102" s="179">
        <f>IF(C102&lt;&gt;"",IFERROR(AVERAGE(出来高!E178:I178),""),"")</f>
        <v/>
      </c>
      <c r="N102" s="179">
        <f>IF(C102&lt;&gt;"",IFERROR(AVERAGE(出来高!E178:AC178),""),"")</f>
        <v/>
      </c>
      <c r="O102" s="614">
        <f>IF(AND(J102&lt;&gt;"",M102&lt;&gt;"",M102&lt;&gt;0),J102/M102,"")</f>
        <v/>
      </c>
      <c r="P102" s="176">
        <f>IF(O102="","",IF(O102&gt;=2,"急増↑↑",IF(O102&gt;=1.5,"増加↑",IF(O102&gt;=1,"普通→","減少↓"))))</f>
        <v/>
      </c>
      <c r="Q102" s="176">
        <f>IF(E102="","",IF(AND(E102&gt;G102,O102&gt;=1.5),"買い▲",IF(E102&lt;G102,"様子見▼","中立→")))</f>
        <v/>
      </c>
      <c r="R102" s="179">
        <f>IF(E102&lt;&gt;"",ROUND(E102*1.08,0),"")</f>
        <v/>
      </c>
      <c r="S102" s="179">
        <f>IF(E102&lt;&gt;"",ROUND(E102*0.96,0),"")</f>
        <v/>
      </c>
      <c r="T102" s="176">
        <f>IF(C102="","",IFERROR(IF(O102&gt;=2,3,IF(O102&gt;=1.5,2,IF(O102&gt;=1,1,0)))+IF(E102&gt;G102,1,0)+IF(L102&gt;=-5,1,0)+IF(Q102="買い▲",2,0)+IF(W102&lt;=30,3,IF(W102&lt;=40,2,IF(AND(W102&gt;=40,W102&lt;=60),1,0)))+IF(X102&gt;0,1,0)+IF(V102="年初来高値更新●",3,IF(V102="高値圏",2,0))+IF(AD102="パーフェクト▲",3,IF(AD102="上昇トレンド▲",2,0))+IF(AE102="25日線押し目●",2,IF(AE102="5日線押し目○",1,0))+IF(P102="急増↑↑",2,IF(P102="増加↑",1,0))+N(AI102),0))</f>
        <v/>
      </c>
      <c r="U102" s="176">
        <f>IF(T102="","",IF(AND(T102&gt;=3,O102&gt;=1.5),"有効",IF(T102&gt;=3,"要確認","除外")))</f>
        <v/>
      </c>
      <c r="V102" s="176">
        <f>IF(AND(H102&lt;&gt;"",K102&lt;&gt;""),IF(H102&gt;=K102,"年初来高値更新●",IF(H102&gt;=K102*0.95,"高値圏","通常")),"")</f>
        <v/>
      </c>
      <c r="W102" s="615">
        <f t="array" ref="W102">IF(C102&lt;&gt;"",IFERROR(100-100/(1+SUMPRODUCT((終値!F178:R178&gt;終値!G178:S178)*( 終値!F178:R178-終値!G178:S178))/SUMPRODUCT((終値!F178:R178&lt;終値!G178:S178)*(終値!G178:S178-終値!F178:R178))),50),"")</f>
        <v/>
      </c>
      <c r="X102" s="183">
        <f>IF(C102&lt;&gt;"",IFERROR(SUMPRODUCT(終値!E178:P178,{0.154,0.132,0.113,0.097,0.083,0.071,0.061,0.052,0.045,0.038,0.033,0.028})/SUMPRODUCT({0.154,0.132,0.113,0.097,0.083,0.071,0.061,0.052,0.045,0.038,0.033,0.028})-SUMPRODUCT(終値!E178:AD178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2" s="570">
        <f>IF(T102="","",IF(銘柄管理!$F$5="下落▼",IF(AND(AD102="パーフェクト▲",OR(AE102="25日線押し目●",AE102="5日線押し目○")),"★逆張り候補",IF(AND(AD102="上昇トレンド▲",OR(AE102="25日線押し目●",AE102="5日線押し目○")),"○逆張り候補",IF(W102&lt;=30,IF(Z102&gt;0,"◎反発確認",IF(Z102&lt;-5,"△要注意・様子見","△売られ過ぎ注目")),"相場下落・見送り"))),IF(AND(T102&gt;=12,AD102="パーフェクト▲"),"★強い買い",IF(AND(T102&gt;=12,AD102="上昇トレンド▲"),"★強い買い",IF(AND(T102&gt;=8,OR(AE102="25日線押し目●",AE102="5日線押し目○")),"◎押し目買い",IF(T102&gt;=10,"○買い候補",IF(T102&gt;=6,"△注目",IF(T102&gt;=3,"様子見","見送り"))))))))</f>
        <v/>
      </c>
      <c r="Z102" s="616">
        <f>IF(AND(E102&lt;&gt;"",G102&lt;&gt;"",G102&lt;&gt;0),(E102-G102)/G102*100,"")</f>
        <v/>
      </c>
      <c r="AA102" s="176">
        <f>IF(OR(C102="",E102="",E102=0),"",IF(E102&gt;G102,"上昇▲",IF(E102&lt;G102,"下落▼","横ばい→")))</f>
        <v/>
      </c>
      <c r="AB102" s="438">
        <f>IF(C102="","",IFERROR(((終値!E104*0.333)+(終値!F104*0.222)+(終値!G104*0.148)+(終値!H104*0.099)+(終値!I104*0.066)+(終値!J104*0.044)+(終値!K104*0.029)+(終値!L104*0.019)+(終値!M104*0.013)+(終値!N104*0.009))/(0.333+0.222+0.148+0.099+0.066+0.044+0.029+0.019+0.013+0.009),""))</f>
        <v/>
      </c>
      <c r="AC102" s="438">
        <f>IF(C102="","",IFERROR(SUMPRODUCT((終値!E104:AC104)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2" s="439">
        <f>IF(OR(C102="",AB102="",AC102=""),"",IF(AND(E102&gt;AB102,AB102&gt;AC102),"パーフェクト▲",IF(E102&gt;AC102,"上昇トレンド▲",IF(AND(E102&lt;AB102,AB102&lt;AC102),"下降トレンド▼","もみ合い→"))))</f>
        <v/>
      </c>
      <c r="AE102" s="439">
        <f>IF(OR(C102="",AB102="",AC102=""),"",IF(AND(ABS(E102-AC102)/AC102&lt;=0.02,E102&gt;AC102),"25日押し目★",IF(AND(ABS(E102-AB102)/AB102&lt;=0.01,E102&gt;AB102),"5日押し目○","なし")))</f>
        <v/>
      </c>
      <c r="AF102" s="617">
        <f t="array" ref="AF102">IF(C102="","",IFERROR((INDEX(終値!$E:$E,MATCH(TEXT(C102,"0"),終値!$A:$A,0))-INDEX(終値!$E:$BL,MATCH(TEXT(C102,"0"),終値!$A:$A,0),$AL$2))/INDEX(終値!$E:$BL,MATCH(TEXT(C102,"0"),終値!$A:$A,0),$AL$2)*100,""))</f>
        <v/>
      </c>
      <c r="AG102" s="617">
        <f t="array" ref="AG102">IFERROR((終値!$E$5-INDEX(終値!$E$5:$BL$5,1,$AL$2))/INDEX(終値!$E$5:$BL$5,1,$AL$2)*100,"")</f>
        <v/>
      </c>
      <c r="AH102" s="618">
        <f>IF(OR(AF102="",AG102=""),"",AF102-AG102)</f>
        <v/>
      </c>
      <c r="AI102" s="385">
        <f>IF(AH102="","",IF(AH102&gt;5,3,IF(AH102&gt;0,1,IF(AH102&gt;-3,-1,-2))))</f>
        <v/>
      </c>
    </row>
    <row r="103" ht="18" customFormat="1" customHeight="1" s="187">
      <c r="A103" s="176">
        <f>IF(銘柄管理!B147&lt;&gt;"",HYPERLINK("https://kabutan.jp/stock/?code="&amp;銘柄管理!B147,"株探"),"")</f>
        <v/>
      </c>
      <c r="B103" s="177" t="n"/>
      <c r="C103" s="178">
        <f>IF(銘柄管理!B147="","",銘柄管理!B147)</f>
        <v/>
      </c>
      <c r="D103" s="106">
        <f>IF(銘柄管理!C147="","",銘柄管理!C147)</f>
        <v/>
      </c>
      <c r="E103" s="179">
        <f>IF(C103&lt;&gt;"",_xll.RssMarket(C103,"現在値"),"")</f>
        <v/>
      </c>
      <c r="F103" s="179">
        <f>IF(C103&lt;&gt;"",_xll.RssMarket(C103,"始値"),"")</f>
        <v/>
      </c>
      <c r="G103" s="178">
        <f>IF(C103&lt;&gt;"",終値!F147,"")</f>
        <v/>
      </c>
      <c r="H103" s="179">
        <f>IF(C103&lt;&gt;"",_xll.RssMarket(C103,"高値"),"")</f>
        <v/>
      </c>
      <c r="I103" s="179">
        <f>IF(C103&lt;&gt;"",_xll.RssMarket(C103,"安値"),"")</f>
        <v/>
      </c>
      <c r="J103" s="179">
        <f>IF(C103&lt;&gt;"",_xll.RssMarket(C103,"出来高"),"")</f>
        <v/>
      </c>
      <c r="K103" s="179">
        <f>IF(C103&lt;&gt;"",_xll.RssMarket(C103,"年初来高値"),"")</f>
        <v/>
      </c>
      <c r="L103" s="613">
        <f>IF(AND(E103&lt;&gt;"",K103&lt;&gt;"",K103&lt;&gt;0),(E103-K103)/K103*100,"")</f>
        <v/>
      </c>
      <c r="M103" s="179">
        <f>IF(C103&lt;&gt;"",IFERROR(AVERAGE(出来高!E147:I147),""),"")</f>
        <v/>
      </c>
      <c r="N103" s="179">
        <f>IF(C103&lt;&gt;"",IFERROR(AVERAGE(出来高!E147:AC147),""),"")</f>
        <v/>
      </c>
      <c r="O103" s="614">
        <f>IF(AND(J103&lt;&gt;"",M103&lt;&gt;"",M103&lt;&gt;0),J103/M103,"")</f>
        <v/>
      </c>
      <c r="P103" s="176">
        <f>IF(O103="","",IF(O103&gt;=2,"急増↑↑",IF(O103&gt;=1.5,"増加↑",IF(O103&gt;=1,"普通→","減少↓"))))</f>
        <v/>
      </c>
      <c r="Q103" s="176">
        <f>IF(E103="","",IF(AND(E103&gt;G103,O103&gt;=1.5),"買い▲",IF(E103&lt;G103,"様子見▼","中立→")))</f>
        <v/>
      </c>
      <c r="R103" s="179">
        <f>IF(E103&lt;&gt;"",ROUND(E103*1.08,0),"")</f>
        <v/>
      </c>
      <c r="S103" s="179">
        <f>IF(E103&lt;&gt;"",ROUND(E103*0.96,0),"")</f>
        <v/>
      </c>
      <c r="T103" s="176">
        <f>IF(C103="","",IFERROR(IF(O103&gt;=2,3,IF(O103&gt;=1.5,2,IF(O103&gt;=1,1,0)))+IF(E103&gt;G103,1,0)+IF(L103&gt;=-5,1,0)+IF(Q103="買い▲",2,0)+IF(W103&lt;=30,3,IF(W103&lt;=40,2,IF(AND(W103&gt;=40,W103&lt;=60),1,0)))+IF(X103&gt;0,1,0)+IF(V103="年初来高値更新●",3,IF(V103="高値圏",2,0))+IF(AD103="パーフェクト▲",3,IF(AD103="上昇トレンド▲",2,0))+IF(AE103="25日線押し目●",2,IF(AE103="5日線押し目○",1,0))+IF(P103="急増↑↑",2,IF(P103="増加↑",1,0))+N(AI103),0))</f>
        <v/>
      </c>
      <c r="U103" s="176">
        <f>IF(T103="","",IF(AND(T103&gt;=3,O103&gt;=1.5),"有効",IF(T103&gt;=3,"要確認","除外")))</f>
        <v/>
      </c>
      <c r="V103" s="176">
        <f>IF(AND(H103&lt;&gt;"",K103&lt;&gt;""),IF(H103&gt;=K103,"年初来高値更新●",IF(H103&gt;=K103*0.95,"高値圏","通常")),"")</f>
        <v/>
      </c>
      <c r="W103" s="615">
        <f t="array" ref="W103">IF(C103&lt;&gt;"",IFERROR(100-100/(1+SUMPRODUCT((終値!F147:R147&gt;終値!G147:S147)*( 終値!F147:R147-終値!G147:S147))/SUMPRODUCT((終値!F147:R147&lt;終値!G147:S147)*(終値!G147:S147-終値!F147:R147))),50),"")</f>
        <v/>
      </c>
      <c r="X103" s="183">
        <f>IF(C103&lt;&gt;"",IFERROR(SUMPRODUCT(終値!E147:P147,{0.154,0.132,0.113,0.097,0.083,0.071,0.061,0.052,0.045,0.038,0.033,0.028})/SUMPRODUCT({0.154,0.132,0.113,0.097,0.083,0.071,0.061,0.052,0.045,0.038,0.033,0.028})-SUMPRODUCT(終値!E147:AD147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3" s="570">
        <f>IF(T103="","",IF(銘柄管理!$F$5="下落▼",IF(AND(AD103="パーフェクト▲",OR(AE103="25日線押し目●",AE103="5日線押し目○")),"★逆張り候補",IF(AND(AD103="上昇トレンド▲",OR(AE103="25日線押し目●",AE103="5日線押し目○")),"○逆張り候補",IF(W103&lt;=30,IF(Z103&gt;0,"◎反発確認",IF(Z103&lt;-5,"△要注意・様子見","△売られ過ぎ注目")),"相場下落・見送り"))),IF(AND(T103&gt;=12,AD103="パーフェクト▲"),"★強い買い",IF(AND(T103&gt;=12,AD103="上昇トレンド▲"),"★強い買い",IF(AND(T103&gt;=8,OR(AE103="25日線押し目●",AE103="5日線押し目○")),"◎押し目買い",IF(T103&gt;=10,"○買い候補",IF(T103&gt;=6,"△注目",IF(T103&gt;=3,"様子見","見送り"))))))))</f>
        <v/>
      </c>
      <c r="Z103" s="616">
        <f>IF(AND(E103&lt;&gt;"",G103&lt;&gt;"",G103&lt;&gt;0),(E103-G103)/G103*100,"")</f>
        <v/>
      </c>
      <c r="AA103" s="176">
        <f>IF(OR(C103="",E103="",E103=0),"",IF(E103&gt;G103,"上昇▲",IF(E103&lt;G103,"下落▼","横ばい→")))</f>
        <v/>
      </c>
      <c r="AB103" s="440">
        <f>IF(C103="","",IFERROR(((終値!E105*0.333)+(終値!F105*0.222)+(終値!G105*0.148)+(終値!H105*0.099)+(終値!I105*0.066)+(終値!J105*0.044)+(終値!K105*0.029)+(終値!L105*0.019)+(終値!M105*0.013)+(終値!N105*0.009))/(0.333+0.222+0.148+0.099+0.066+0.044+0.029+0.019+0.013+0.009),""))</f>
        <v/>
      </c>
      <c r="AC103" s="440">
        <f>IF(C103="","",IFERROR(SUMPRODUCT((終値!E105:AC105)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3" s="441">
        <f>IF(OR(C103="",AB103="",AC103=""),"",IF(AND(E103&gt;AB103,AB103&gt;AC103),"パーフェクト▲",IF(E103&gt;AC103,"上昇トレンド▲",IF(AND(E103&lt;AB103,AB103&lt;AC103),"下降トレンド▼","もみ合い→"))))</f>
        <v/>
      </c>
      <c r="AE103" s="441">
        <f>IF(OR(C103="",AB103="",AC103=""),"",IF(AND(ABS(E103-AC103)/AC103&lt;=0.02,E103&gt;AC103),"25日押し目★",IF(AND(ABS(E103-AB103)/AB103&lt;=0.01,E103&gt;AB103),"5日押し目○","なし")))</f>
        <v/>
      </c>
      <c r="AF103" s="617">
        <f t="array" ref="AF103">IF(C103="","",IFERROR((INDEX(終値!$E:$E,MATCH(TEXT(C103,"0"),終値!$A:$A,0))-INDEX(終値!$E:$BL,MATCH(TEXT(C103,"0"),終値!$A:$A,0),$AL$2))/INDEX(終値!$E:$BL,MATCH(TEXT(C103,"0"),終値!$A:$A,0),$AL$2)*100,""))</f>
        <v/>
      </c>
      <c r="AG103" s="617">
        <f t="array" ref="AG103">IFERROR((終値!$E$5-INDEX(終値!$E$5:$BL$5,1,$AL$2))/INDEX(終値!$E$5:$BL$5,1,$AL$2)*100,"")</f>
        <v/>
      </c>
      <c r="AH103" s="618">
        <f>IF(OR(AF103="",AG103=""),"",AF103-AG103)</f>
        <v/>
      </c>
      <c r="AI103" s="385">
        <f>IF(AH103="","",IF(AH103&gt;5,3,IF(AH103&gt;0,1,IF(AH103&gt;-3,-1,-2))))</f>
        <v/>
      </c>
    </row>
    <row r="104" ht="18" customFormat="1" customHeight="1" s="187">
      <c r="A104" s="176">
        <f>IF(銘柄管理!B128&lt;&gt;"",HYPERLINK("https://kabutan.jp/stock/?code="&amp;銘柄管理!B128,"株探"),"")</f>
        <v/>
      </c>
      <c r="B104" s="177" t="n"/>
      <c r="C104" s="178">
        <f>IF(銘柄管理!B128="","",銘柄管理!B128)</f>
        <v/>
      </c>
      <c r="D104" s="106">
        <f>IF(銘柄管理!C128="","",銘柄管理!C128)</f>
        <v/>
      </c>
      <c r="E104" s="179">
        <f>IF(C104&lt;&gt;"",_xll.RssMarket(C104,"現在値"),"")</f>
        <v/>
      </c>
      <c r="F104" s="179">
        <f>IF(C104&lt;&gt;"",_xll.RssMarket(C104,"始値"),"")</f>
        <v/>
      </c>
      <c r="G104" s="178">
        <f>IF(C104&lt;&gt;"",終値!F128,"")</f>
        <v/>
      </c>
      <c r="H104" s="179">
        <f>IF(C104&lt;&gt;"",_xll.RssMarket(C104,"高値"),"")</f>
        <v/>
      </c>
      <c r="I104" s="179">
        <f>IF(C104&lt;&gt;"",_xll.RssMarket(C104,"安値"),"")</f>
        <v/>
      </c>
      <c r="J104" s="179">
        <f>IF(C104&lt;&gt;"",_xll.RssMarket(C104,"出来高"),"")</f>
        <v/>
      </c>
      <c r="K104" s="179">
        <f>IF(C104&lt;&gt;"",_xll.RssMarket(C104,"年初来高値"),"")</f>
        <v/>
      </c>
      <c r="L104" s="613">
        <f>IF(AND(E104&lt;&gt;"",K104&lt;&gt;"",K104&lt;&gt;0),(E104-K104)/K104*100,"")</f>
        <v/>
      </c>
      <c r="M104" s="179">
        <f>IF(C104&lt;&gt;"",IFERROR(AVERAGE(出来高!E128:I128),""),"")</f>
        <v/>
      </c>
      <c r="N104" s="179">
        <f>IF(C104&lt;&gt;"",IFERROR(AVERAGE(出来高!E128:AC128),""),"")</f>
        <v/>
      </c>
      <c r="O104" s="614">
        <f>IF(AND(J104&lt;&gt;"",M104&lt;&gt;"",M104&lt;&gt;0),J104/M104,"")</f>
        <v/>
      </c>
      <c r="P104" s="176">
        <f>IF(O104="","",IF(O104&gt;=2,"急増↑↑",IF(O104&gt;=1.5,"増加↑",IF(O104&gt;=1,"普通→","減少↓"))))</f>
        <v/>
      </c>
      <c r="Q104" s="176">
        <f>IF(E104="","",IF(AND(E104&gt;G104,O104&gt;=1.5),"買い▲",IF(E104&lt;G104,"様子見▼","中立→")))</f>
        <v/>
      </c>
      <c r="R104" s="179">
        <f>IF(E104&lt;&gt;"",ROUND(E104*1.08,0),"")</f>
        <v/>
      </c>
      <c r="S104" s="179">
        <f>IF(E104&lt;&gt;"",ROUND(E104*0.96,0),"")</f>
        <v/>
      </c>
      <c r="T104" s="176">
        <f>IF(C104="","",IFERROR(IF(O104&gt;=2,3,IF(O104&gt;=1.5,2,IF(O104&gt;=1,1,0)))+IF(E104&gt;G104,1,0)+IF(L104&gt;=-5,1,0)+IF(Q104="買い▲",2,0)+IF(W104&lt;=30,3,IF(W104&lt;=40,2,IF(AND(W104&gt;=40,W104&lt;=60),1,0)))+IF(X104&gt;0,1,0)+IF(V104="年初来高値更新●",3,IF(V104="高値圏",2,0))+IF(AD104="パーフェクト▲",3,IF(AD104="上昇トレンド▲",2,0))+IF(AE104="25日線押し目●",2,IF(AE104="5日線押し目○",1,0))+IF(P104="急増↑↑",2,IF(P104="増加↑",1,0))+N(AI104),0))</f>
        <v/>
      </c>
      <c r="U104" s="176">
        <f>IF(T104="","",IF(AND(T104&gt;=3,O104&gt;=1.5),"有効",IF(T104&gt;=3,"要確認","除外")))</f>
        <v/>
      </c>
      <c r="V104" s="176">
        <f>IF(AND(H104&lt;&gt;"",K104&lt;&gt;""),IF(H104&gt;=K104,"年初来高値更新●",IF(H104&gt;=K104*0.95,"高値圏","通常")),"")</f>
        <v/>
      </c>
      <c r="W104" s="615">
        <f t="array" ref="W104">IF(C104&lt;&gt;"",IFERROR(100-100/(1+SUMPRODUCT((終値!F128:R128&gt;終値!G128:S128)*( 終値!F128:R128-終値!G128:S128))/SUMPRODUCT((終値!F128:R128&lt;終値!G128:S128)*(終値!G128:S128-終値!F128:R128))),50),"")</f>
        <v/>
      </c>
      <c r="X104" s="183">
        <f>IF(C104&lt;&gt;"",IFERROR(SUMPRODUCT(終値!E128:P128,{0.154,0.132,0.113,0.097,0.083,0.071,0.061,0.052,0.045,0.038,0.033,0.028})/SUMPRODUCT({0.154,0.132,0.113,0.097,0.083,0.071,0.061,0.052,0.045,0.038,0.033,0.028})-SUMPRODUCT(終値!E128:AD128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4" s="570">
        <f>IF(T104="","",IF(銘柄管理!$F$5="下落▼",IF(AND(AD104="パーフェクト▲",OR(AE104="25日線押し目●",AE104="5日線押し目○")),"★逆張り候補",IF(AND(AD104="上昇トレンド▲",OR(AE104="25日線押し目●",AE104="5日線押し目○")),"○逆張り候補",IF(W104&lt;=30,IF(Z104&gt;0,"◎反発確認",IF(Z104&lt;-5,"△要注意・様子見","△売られ過ぎ注目")),"相場下落・見送り"))),IF(AND(T104&gt;=12,AD104="パーフェクト▲"),"★強い買い",IF(AND(T104&gt;=12,AD104="上昇トレンド▲"),"★強い買い",IF(AND(T104&gt;=8,OR(AE104="25日線押し目●",AE104="5日線押し目○")),"◎押し目買い",IF(T104&gt;=10,"○買い候補",IF(T104&gt;=6,"△注目",IF(T104&gt;=3,"様子見","見送り"))))))))</f>
        <v/>
      </c>
      <c r="Z104" s="616">
        <f>IF(AND(E104&lt;&gt;"",G104&lt;&gt;"",G104&lt;&gt;0),(E104-G104)/G104*100,"")</f>
        <v/>
      </c>
      <c r="AA104" s="176">
        <f>IF(OR(C104="",E104="",E104=0),"",IF(E104&gt;G104,"上昇▲",IF(E104&lt;G104,"下落▼","横ばい→")))</f>
        <v/>
      </c>
      <c r="AB104" s="438">
        <f>IF(C104="","",IFERROR(((終値!E106*0.333)+(終値!F106*0.222)+(終値!G106*0.148)+(終値!H106*0.099)+(終値!I106*0.066)+(終値!J106*0.044)+(終値!K106*0.029)+(終値!L106*0.019)+(終値!M106*0.013)+(終値!N106*0.009))/(0.333+0.222+0.148+0.099+0.066+0.044+0.029+0.019+0.013+0.009),""))</f>
        <v/>
      </c>
      <c r="AC104" s="438">
        <f>IF(C104="","",IFERROR(SUMPRODUCT((終値!E106:AC106)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4" s="439">
        <f>IF(OR(C104="",AB104="",AC104=""),"",IF(AND(E104&gt;AB104,AB104&gt;AC104),"パーフェクト▲",IF(E104&gt;AC104,"上昇トレンド▲",IF(AND(E104&lt;AB104,AB104&lt;AC104),"下降トレンド▼","もみ合い→"))))</f>
        <v/>
      </c>
      <c r="AE104" s="439">
        <f>IF(OR(C104="",AB104="",AC104=""),"",IF(AND(ABS(E104-AC104)/AC104&lt;=0.02,E104&gt;AC104),"25日押し目★",IF(AND(ABS(E104-AB104)/AB104&lt;=0.01,E104&gt;AB104),"5日押し目○","なし")))</f>
        <v/>
      </c>
      <c r="AF104" s="617">
        <f t="array" ref="AF104">IF(C104="","",IFERROR((INDEX(終値!$E:$E,MATCH(TEXT(C104,"0"),終値!$A:$A,0))-INDEX(終値!$E:$BL,MATCH(TEXT(C104,"0"),終値!$A:$A,0),$AL$2))/INDEX(終値!$E:$BL,MATCH(TEXT(C104,"0"),終値!$A:$A,0),$AL$2)*100,""))</f>
        <v/>
      </c>
      <c r="AG104" s="617">
        <f t="array" ref="AG104">IFERROR((終値!$E$5-INDEX(終値!$E$5:$BL$5,1,$AL$2))/INDEX(終値!$E$5:$BL$5,1,$AL$2)*100,"")</f>
        <v/>
      </c>
      <c r="AH104" s="618">
        <f>IF(OR(AF104="",AG104=""),"",AF104-AG104)</f>
        <v/>
      </c>
      <c r="AI104" s="385">
        <f>IF(AH104="","",IF(AH104&gt;5,3,IF(AH104&gt;0,1,IF(AH104&gt;-3,-1,-2))))</f>
        <v/>
      </c>
    </row>
    <row r="105" ht="18" customFormat="1" customHeight="1" s="187">
      <c r="A105" s="176">
        <f>IF(銘柄管理!B133&lt;&gt;"",HYPERLINK("https://kabutan.jp/stock/?code="&amp;銘柄管理!B133,"株探"),"")</f>
        <v/>
      </c>
      <c r="B105" s="177" t="n"/>
      <c r="C105" s="178">
        <f>IF(銘柄管理!B133="","",銘柄管理!B133)</f>
        <v/>
      </c>
      <c r="D105" s="106">
        <f>IF(銘柄管理!C133="","",銘柄管理!C133)</f>
        <v/>
      </c>
      <c r="E105" s="179">
        <f>IF(C105&lt;&gt;"",_xll.RssMarket(C105,"現在値"),"")</f>
        <v/>
      </c>
      <c r="F105" s="179">
        <f>IF(C105&lt;&gt;"",_xll.RssMarket(C105,"始値"),"")</f>
        <v/>
      </c>
      <c r="G105" s="178">
        <f>IF(C105&lt;&gt;"",終値!F133,"")</f>
        <v/>
      </c>
      <c r="H105" s="179">
        <f>IF(C105&lt;&gt;"",_xll.RssMarket(C105,"高値"),"")</f>
        <v/>
      </c>
      <c r="I105" s="179">
        <f>IF(C105&lt;&gt;"",_xll.RssMarket(C105,"安値"),"")</f>
        <v/>
      </c>
      <c r="J105" s="179">
        <f>IF(C105&lt;&gt;"",_xll.RssMarket(C105,"出来高"),"")</f>
        <v/>
      </c>
      <c r="K105" s="179">
        <f>IF(C105&lt;&gt;"",_xll.RssMarket(C105,"年初来高値"),"")</f>
        <v/>
      </c>
      <c r="L105" s="613">
        <f>IF(AND(E105&lt;&gt;"",K105&lt;&gt;"",K105&lt;&gt;0),(E105-K105)/K105*100,"")</f>
        <v/>
      </c>
      <c r="M105" s="179">
        <f>IF(C105&lt;&gt;"",IFERROR(AVERAGE(出来高!E133:I133),""),"")</f>
        <v/>
      </c>
      <c r="N105" s="179">
        <f>IF(C105&lt;&gt;"",IFERROR(AVERAGE(出来高!E133:AC133),""),"")</f>
        <v/>
      </c>
      <c r="O105" s="614">
        <f>IF(AND(J105&lt;&gt;"",M105&lt;&gt;"",M105&lt;&gt;0),J105/M105,"")</f>
        <v/>
      </c>
      <c r="P105" s="176">
        <f>IF(O105="","",IF(O105&gt;=2,"急増↑↑",IF(O105&gt;=1.5,"増加↑",IF(O105&gt;=1,"普通→","減少↓"))))</f>
        <v/>
      </c>
      <c r="Q105" s="176">
        <f>IF(E105="","",IF(AND(E105&gt;G105,O105&gt;=1.5),"買い▲",IF(E105&lt;G105,"様子見▼","中立→")))</f>
        <v/>
      </c>
      <c r="R105" s="179">
        <f>IF(E105&lt;&gt;"",ROUND(E105*1.08,0),"")</f>
        <v/>
      </c>
      <c r="S105" s="179">
        <f>IF(E105&lt;&gt;"",ROUND(E105*0.96,0),"")</f>
        <v/>
      </c>
      <c r="T105" s="176">
        <f>IF(C105="","",IFERROR(IF(O105&gt;=2,3,IF(O105&gt;=1.5,2,IF(O105&gt;=1,1,0)))+IF(E105&gt;G105,1,0)+IF(L105&gt;=-5,1,0)+IF(Q105="買い▲",2,0)+IF(W105&lt;=30,3,IF(W105&lt;=40,2,IF(AND(W105&gt;=40,W105&lt;=60),1,0)))+IF(X105&gt;0,1,0)+IF(V105="年初来高値更新●",3,IF(V105="高値圏",2,0))+IF(AD105="パーフェクト▲",3,IF(AD105="上昇トレンド▲",2,0))+IF(AE105="25日線押し目●",2,IF(AE105="5日線押し目○",1,0))+IF(P105="急増↑↑",2,IF(P105="増加↑",1,0))+N(AI105),0))</f>
        <v/>
      </c>
      <c r="U105" s="176">
        <f>IF(T105="","",IF(AND(T105&gt;=3,O105&gt;=1.5),"有効",IF(T105&gt;=3,"要確認","除外")))</f>
        <v/>
      </c>
      <c r="V105" s="176">
        <f>IF(AND(H105&lt;&gt;"",K105&lt;&gt;""),IF(H105&gt;=K105,"年初来高値更新●",IF(H105&gt;=K105*0.95,"高値圏","通常")),"")</f>
        <v/>
      </c>
      <c r="W105" s="615">
        <f t="array" ref="W105">IF(C105&lt;&gt;"",IFERROR(100-100/(1+SUMPRODUCT((終値!F133:R133&gt;終値!G133:S133)*( 終値!F133:R133-終値!G133:S133))/SUMPRODUCT((終値!F133:R133&lt;終値!G133:S133)*(終値!G133:S133-終値!F133:R133))),50),"")</f>
        <v/>
      </c>
      <c r="X105" s="183">
        <f>IF(C105&lt;&gt;"",IFERROR(SUMPRODUCT(終値!E133:P133,{0.154,0.132,0.113,0.097,0.083,0.071,0.061,0.052,0.045,0.038,0.033,0.028})/SUMPRODUCT({0.154,0.132,0.113,0.097,0.083,0.071,0.061,0.052,0.045,0.038,0.033,0.028})-SUMPRODUCT(終値!E133:AD133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5" s="570">
        <f>IF(T105="","",IF(銘柄管理!$F$5="下落▼",IF(AND(AD105="パーフェクト▲",OR(AE105="25日線押し目●",AE105="5日線押し目○")),"★逆張り候補",IF(AND(AD105="上昇トレンド▲",OR(AE105="25日線押し目●",AE105="5日線押し目○")),"○逆張り候補",IF(W105&lt;=30,IF(Z105&gt;0,"◎反発確認",IF(Z105&lt;-5,"△要注意・様子見","△売られ過ぎ注目")),"相場下落・見送り"))),IF(AND(T105&gt;=12,AD105="パーフェクト▲"),"★強い買い",IF(AND(T105&gt;=12,AD105="上昇トレンド▲"),"★強い買い",IF(AND(T105&gt;=8,OR(AE105="25日線押し目●",AE105="5日線押し目○")),"◎押し目買い",IF(T105&gt;=10,"○買い候補",IF(T105&gt;=6,"△注目",IF(T105&gt;=3,"様子見","見送り"))))))))</f>
        <v/>
      </c>
      <c r="Z105" s="616">
        <f>IF(AND(E105&lt;&gt;"",G105&lt;&gt;"",G105&lt;&gt;0),(E105-G105)/G105*100,"")</f>
        <v/>
      </c>
      <c r="AA105" s="176">
        <f>IF(OR(C105="",E105="",E105=0),"",IF(E105&gt;G105,"上昇▲",IF(E105&lt;G105,"下落▼","横ばい→")))</f>
        <v/>
      </c>
      <c r="AB105" s="440">
        <f>IF(C105="","",IFERROR(((終値!E107*0.333)+(終値!F107*0.222)+(終値!G107*0.148)+(終値!H107*0.099)+(終値!I107*0.066)+(終値!J107*0.044)+(終値!K107*0.029)+(終値!L107*0.019)+(終値!M107*0.013)+(終値!N107*0.009))/(0.333+0.222+0.148+0.099+0.066+0.044+0.029+0.019+0.013+0.009),""))</f>
        <v/>
      </c>
      <c r="AC105" s="440">
        <f>IF(C105="","",IFERROR(SUMPRODUCT((終値!E107:AC107)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5" s="441">
        <f>IF(OR(C105="",AB105="",AC105=""),"",IF(AND(E105&gt;AB105,AB105&gt;AC105),"パーフェクト▲",IF(E105&gt;AC105,"上昇トレンド▲",IF(AND(E105&lt;AB105,AB105&lt;AC105),"下降トレンド▼","もみ合い→"))))</f>
        <v/>
      </c>
      <c r="AE105" s="441">
        <f>IF(OR(C105="",AB105="",AC105=""),"",IF(AND(ABS(E105-AC105)/AC105&lt;=0.02,E105&gt;AC105),"25日押し目★",IF(AND(ABS(E105-AB105)/AB105&lt;=0.01,E105&gt;AB105),"5日押し目○","なし")))</f>
        <v/>
      </c>
      <c r="AF105" s="617">
        <f t="array" ref="AF105">IF(C105="","",IFERROR((INDEX(終値!$E:$E,MATCH(TEXT(C105,"0"),終値!$A:$A,0))-INDEX(終値!$E:$BL,MATCH(TEXT(C105,"0"),終値!$A:$A,0),$AL$2))/INDEX(終値!$E:$BL,MATCH(TEXT(C105,"0"),終値!$A:$A,0),$AL$2)*100,""))</f>
        <v/>
      </c>
      <c r="AG105" s="617">
        <f t="array" ref="AG105">IFERROR((終値!$E$5-INDEX(終値!$E$5:$BL$5,1,$AL$2))/INDEX(終値!$E$5:$BL$5,1,$AL$2)*100,"")</f>
        <v/>
      </c>
      <c r="AH105" s="618">
        <f>IF(OR(AF105="",AG105=""),"",AF105-AG105)</f>
        <v/>
      </c>
      <c r="AI105" s="385">
        <f>IF(AH105="","",IF(AH105&gt;5,3,IF(AH105&gt;0,1,IF(AH105&gt;-3,-1,-2))))</f>
        <v/>
      </c>
    </row>
    <row r="106" ht="18" customFormat="1" customHeight="1" s="187">
      <c r="A106" s="176">
        <f>IF(銘柄管理!B90&lt;&gt;"",HYPERLINK("https://kabutan.jp/stock/?code="&amp;銘柄管理!B90,"株探"),"")</f>
        <v/>
      </c>
      <c r="B106" s="177" t="n"/>
      <c r="C106" s="178">
        <f>IF(銘柄管理!B90="","",銘柄管理!B90)</f>
        <v/>
      </c>
      <c r="D106" s="106">
        <f>IF(銘柄管理!C90="","",銘柄管理!C90)</f>
        <v/>
      </c>
      <c r="E106" s="179">
        <f>IF(C106&lt;&gt;"",_xll.RssMarket(C106,"現在値"),"")</f>
        <v/>
      </c>
      <c r="F106" s="179">
        <f>IF(C106&lt;&gt;"",_xll.RssMarket(C106,"始値"),"")</f>
        <v/>
      </c>
      <c r="G106" s="178">
        <f>IF(C106&lt;&gt;"",終値!F90,"")</f>
        <v/>
      </c>
      <c r="H106" s="179">
        <f>IF(C106&lt;&gt;"",_xll.RssMarket(C106,"高値"),"")</f>
        <v/>
      </c>
      <c r="I106" s="179">
        <f>IF(C106&lt;&gt;"",_xll.RssMarket(C106,"安値"),"")</f>
        <v/>
      </c>
      <c r="J106" s="179">
        <f>IF(C106&lt;&gt;"",_xll.RssMarket(C106,"出来高"),"")</f>
        <v/>
      </c>
      <c r="K106" s="179">
        <f>IF(C106&lt;&gt;"",_xll.RssMarket(C106,"年初来高値"),"")</f>
        <v/>
      </c>
      <c r="L106" s="613">
        <f>IF(AND(E106&lt;&gt;"",K106&lt;&gt;"",K106&lt;&gt;0),(E106-K106)/K106*100,"")</f>
        <v/>
      </c>
      <c r="M106" s="179">
        <f>IF(C106&lt;&gt;"",IFERROR(AVERAGE(出来高!E90:I90),""),"")</f>
        <v/>
      </c>
      <c r="N106" s="179">
        <f>IF(C106&lt;&gt;"",IFERROR(AVERAGE(出来高!E90:AC90),""),"")</f>
        <v/>
      </c>
      <c r="O106" s="614">
        <f>IF(AND(J106&lt;&gt;"",M106&lt;&gt;"",M106&lt;&gt;0),J106/M106,"")</f>
        <v/>
      </c>
      <c r="P106" s="176">
        <f>IF(O106="","",IF(O106&gt;=2,"急増↑↑",IF(O106&gt;=1.5,"増加↑",IF(O106&gt;=1,"普通→","減少↓"))))</f>
        <v/>
      </c>
      <c r="Q106" s="176">
        <f>IF(E106="","",IF(AND(E106&gt;G106,O106&gt;=1.5),"買い▲",IF(E106&lt;G106,"様子見▼","中立→")))</f>
        <v/>
      </c>
      <c r="R106" s="179">
        <f>IF(E106&lt;&gt;"",ROUND(E106*1.08,0),"")</f>
        <v/>
      </c>
      <c r="S106" s="179">
        <f>IF(E106&lt;&gt;"",ROUND(E106*0.96,0),"")</f>
        <v/>
      </c>
      <c r="T106" s="176">
        <f>IF(C106="","",IFERROR(IF(O106&gt;=2,3,IF(O106&gt;=1.5,2,IF(O106&gt;=1,1,0)))+IF(E106&gt;G106,1,0)+IF(L106&gt;=-5,1,0)+IF(Q106="買い▲",2,0)+IF(W106&lt;=30,3,IF(W106&lt;=40,2,IF(AND(W106&gt;=40,W106&lt;=60),1,0)))+IF(X106&gt;0,1,0)+IF(V106="年初来高値更新●",3,IF(V106="高値圏",2,0))+IF(AD106="パーフェクト▲",3,IF(AD106="上昇トレンド▲",2,0))+IF(AE106="25日線押し目●",2,IF(AE106="5日線押し目○",1,0))+IF(P106="急増↑↑",2,IF(P106="増加↑",1,0))+N(AI106),0))</f>
        <v/>
      </c>
      <c r="U106" s="176">
        <f>IF(T106="","",IF(AND(T106&gt;=3,O106&gt;=1.5),"有効",IF(T106&gt;=3,"要確認","除外")))</f>
        <v/>
      </c>
      <c r="V106" s="176">
        <f>IF(AND(H106&lt;&gt;"",K106&lt;&gt;""),IF(H106&gt;=K106,"年初来高値更新●",IF(H106&gt;=K106*0.95,"高値圏","通常")),"")</f>
        <v/>
      </c>
      <c r="W106" s="615">
        <f t="array" ref="W106">IF(C106&lt;&gt;"",IFERROR(100-100/(1+SUMPRODUCT((終値!F90:R90&gt;終値!G90:S90)*( 終値!F90:R90-終値!G90:S90))/SUMPRODUCT((終値!F90:R90&lt;終値!G90:S90)*(終値!G90:S90-終値!F90:R90))),50),"")</f>
        <v/>
      </c>
      <c r="X106" s="183">
        <f>IF(C106&lt;&gt;"",IFERROR(SUMPRODUCT(終値!E90:P90,{0.154,0.132,0.113,0.097,0.083,0.071,0.061,0.052,0.045,0.038,0.033,0.028})/SUMPRODUCT({0.154,0.132,0.113,0.097,0.083,0.071,0.061,0.052,0.045,0.038,0.033,0.028})-SUMPRODUCT(終値!E90:AD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6" s="570">
        <f>IF(T106="","",IF(銘柄管理!$F$5="下落▼",IF(AND(AD106="パーフェクト▲",OR(AE106="25日線押し目●",AE106="5日線押し目○")),"★逆張り候補",IF(AND(AD106="上昇トレンド▲",OR(AE106="25日線押し目●",AE106="5日線押し目○")),"○逆張り候補",IF(W106&lt;=30,IF(Z106&gt;0,"◎反発確認",IF(Z106&lt;-5,"△要注意・様子見","△売られ過ぎ注目")),"相場下落・見送り"))),IF(AND(T106&gt;=12,AD106="パーフェクト▲"),"★強い買い",IF(AND(T106&gt;=12,AD106="上昇トレンド▲"),"★強い買い",IF(AND(T106&gt;=8,OR(AE106="25日線押し目●",AE106="5日線押し目○")),"◎押し目買い",IF(T106&gt;=10,"○買い候補",IF(T106&gt;=6,"△注目",IF(T106&gt;=3,"様子見","見送り"))))))))</f>
        <v/>
      </c>
      <c r="Z106" s="616">
        <f>IF(AND(E106&lt;&gt;"",G106&lt;&gt;"",G106&lt;&gt;0),(E106-G106)/G106*100,"")</f>
        <v/>
      </c>
      <c r="AA106" s="176">
        <f>IF(OR(C106="",E106="",E106=0),"",IF(E106&gt;G106,"上昇▲",IF(E106&lt;G106,"下落▼","横ばい→")))</f>
        <v/>
      </c>
      <c r="AB106" s="438">
        <f>IF(C106="","",IFERROR(((終値!E108*0.333)+(終値!F108*0.222)+(終値!G108*0.148)+(終値!H108*0.099)+(終値!I108*0.066)+(終値!J108*0.044)+(終値!K108*0.029)+(終値!L108*0.019)+(終値!M108*0.013)+(終値!N108*0.009))/(0.333+0.222+0.148+0.099+0.066+0.044+0.029+0.019+0.013+0.009),""))</f>
        <v/>
      </c>
      <c r="AC106" s="438">
        <f>IF(C106="","",IFERROR(SUMPRODUCT((終値!E108:AC108)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6" s="439">
        <f>IF(OR(C106="",AB106="",AC106=""),"",IF(AND(E106&gt;AB106,AB106&gt;AC106),"パーフェクト▲",IF(E106&gt;AC106,"上昇トレンド▲",IF(AND(E106&lt;AB106,AB106&lt;AC106),"下降トレンド▼","もみ合い→"))))</f>
        <v/>
      </c>
      <c r="AE106" s="439">
        <f>IF(OR(C106="",AB106="",AC106=""),"",IF(AND(ABS(E106-AC106)/AC106&lt;=0.02,E106&gt;AC106),"25日押し目★",IF(AND(ABS(E106-AB106)/AB106&lt;=0.01,E106&gt;AB106),"5日押し目○","なし")))</f>
        <v/>
      </c>
      <c r="AF106" s="617">
        <f t="array" ref="AF106">IF(C106="","",IFERROR((INDEX(終値!$E:$E,MATCH(TEXT(C106,"0"),終値!$A:$A,0))-INDEX(終値!$E:$BL,MATCH(TEXT(C106,"0"),終値!$A:$A,0),$AL$2))/INDEX(終値!$E:$BL,MATCH(TEXT(C106,"0"),終値!$A:$A,0),$AL$2)*100,""))</f>
        <v/>
      </c>
      <c r="AG106" s="617">
        <f t="array" ref="AG106">IFERROR((終値!$E$5-INDEX(終値!$E$5:$BL$5,1,$AL$2))/INDEX(終値!$E$5:$BL$5,1,$AL$2)*100,"")</f>
        <v/>
      </c>
      <c r="AH106" s="618">
        <f>IF(OR(AF106="",AG106=""),"",AF106-AG106)</f>
        <v/>
      </c>
      <c r="AI106" s="385">
        <f>IF(AH106="","",IF(AH106&gt;5,3,IF(AH106&gt;0,1,IF(AH106&gt;-3,-1,-2))))</f>
        <v/>
      </c>
    </row>
    <row r="107" ht="18" customFormat="1" customHeight="1" s="187">
      <c r="A107" s="176">
        <f>IF(銘柄管理!B203&lt;&gt;"",HYPERLINK("https://kabutan.jp/stock/?code="&amp;銘柄管理!B203,"株探"),"")</f>
        <v/>
      </c>
      <c r="B107" s="177" t="n"/>
      <c r="C107" s="178">
        <f>IF(銘柄管理!B203="","",銘柄管理!B203)</f>
        <v/>
      </c>
      <c r="D107" s="106">
        <f>IF(銘柄管理!C203="","",銘柄管理!C203)</f>
        <v/>
      </c>
      <c r="E107" s="179">
        <f>IF(C107&lt;&gt;"",_xll.RssMarket(C107,"現在値"),"")</f>
        <v/>
      </c>
      <c r="F107" s="179">
        <f>IF(C107&lt;&gt;"",_xll.RssMarket(C107,"始値"),"")</f>
        <v/>
      </c>
      <c r="G107" s="178">
        <f>IF(C107&lt;&gt;"",終値!F203,"")</f>
        <v/>
      </c>
      <c r="H107" s="179">
        <f>IF(C107&lt;&gt;"",_xll.RssMarket(C107,"高値"),"")</f>
        <v/>
      </c>
      <c r="I107" s="179">
        <f>IF(C107&lt;&gt;"",_xll.RssMarket(C107,"安値"),"")</f>
        <v/>
      </c>
      <c r="J107" s="179">
        <f>IF(C107&lt;&gt;"",_xll.RssMarket(C107,"出来高"),"")</f>
        <v/>
      </c>
      <c r="K107" s="179">
        <f>IF(C107&lt;&gt;"",_xll.RssMarket(C107,"年初来高値"),"")</f>
        <v/>
      </c>
      <c r="L107" s="613">
        <f>IF(AND(E107&lt;&gt;"",K107&lt;&gt;"",K107&lt;&gt;0),(E107-K107)/K107*100,"")</f>
        <v/>
      </c>
      <c r="M107" s="179">
        <f>IF(C107&lt;&gt;"",IFERROR(AVERAGE(出来高!E203:I203),""),"")</f>
        <v/>
      </c>
      <c r="N107" s="179">
        <f>IF(C107&lt;&gt;"",IFERROR(AVERAGE(出来高!E203:AC203),""),"")</f>
        <v/>
      </c>
      <c r="O107" s="614">
        <f>IF(AND(J107&lt;&gt;"",M107&lt;&gt;"",M107&lt;&gt;0),J107/M107,"")</f>
        <v/>
      </c>
      <c r="P107" s="176">
        <f>IF(O107="","",IF(O107&gt;=2,"急増↑↑",IF(O107&gt;=1.5,"増加↑",IF(O107&gt;=1,"普通→","減少↓"))))</f>
        <v/>
      </c>
      <c r="Q107" s="176">
        <f>IF(E107="","",IF(AND(E107&gt;G107,O107&gt;=1.5),"買い▲",IF(E107&lt;G107,"様子見▼","中立→")))</f>
        <v/>
      </c>
      <c r="R107" s="179">
        <f>IF(E107&lt;&gt;"",ROUND(E107*1.08,0),"")</f>
        <v/>
      </c>
      <c r="S107" s="179">
        <f>IF(E107&lt;&gt;"",ROUND(E107*0.96,0),"")</f>
        <v/>
      </c>
      <c r="T107" s="176">
        <f>IF(C107="","",IFERROR(IF(O107&gt;=2,3,IF(O107&gt;=1.5,2,IF(O107&gt;=1,1,0)))+IF(E107&gt;G107,1,0)+IF(L107&gt;=-5,1,0)+IF(Q107="買い▲",2,0)+IF(W107&lt;=30,3,IF(W107&lt;=40,2,IF(AND(W107&gt;=40,W107&lt;=60),1,0)))+IF(X107&gt;0,1,0)+IF(V107="年初来高値更新●",3,IF(V107="高値圏",2,0))+IF(AD107="パーフェクト▲",3,IF(AD107="上昇トレンド▲",2,0))+IF(AE107="25日線押し目●",2,IF(AE107="5日線押し目○",1,0))+IF(P107="急増↑↑",2,IF(P107="増加↑",1,0))+N(AI107),0))</f>
        <v/>
      </c>
      <c r="U107" s="176">
        <f>IF(T107="","",IF(AND(T107&gt;=3,O107&gt;=1.5),"有効",IF(T107&gt;=3,"要確認","除外")))</f>
        <v/>
      </c>
      <c r="V107" s="176">
        <f>IF(AND(H107&lt;&gt;"",K107&lt;&gt;""),IF(H107&gt;=K107,"年初来高値更新●",IF(H107&gt;=K107*0.95,"高値圏","通常")),"")</f>
        <v/>
      </c>
      <c r="W107" s="615">
        <f t="array" ref="W107">IF(C107&lt;&gt;"",IFERROR(100-100/(1+SUMPRODUCT((終値!F203:R203&gt;終値!G203:S203)*( 終値!F203:R203-終値!G203:S203))/SUMPRODUCT((終値!F203:R203&lt;終値!G203:S203)*(終値!G203:S203-終値!F203:R203))),50),"")</f>
        <v/>
      </c>
      <c r="X107" s="183">
        <f>IF(C107&lt;&gt;"",IFERROR(SUMPRODUCT(終値!E203:P203,{0.154,0.132,0.113,0.097,0.083,0.071,0.061,0.052,0.045,0.038,0.033,0.028})/SUMPRODUCT({0.154,0.132,0.113,0.097,0.083,0.071,0.061,0.052,0.045,0.038,0.033,0.028})-SUMPRODUCT(終値!E203:AD203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7" s="570">
        <f>IF(T107="","",IF(銘柄管理!$F$5="下落▼",IF(AND(AD107="パーフェクト▲",OR(AE107="25日線押し目●",AE107="5日線押し目○")),"★逆張り候補",IF(AND(AD107="上昇トレンド▲",OR(AE107="25日線押し目●",AE107="5日線押し目○")),"○逆張り候補",IF(W107&lt;=30,IF(Z107&gt;0,"◎反発確認",IF(Z107&lt;-5,"△要注意・様子見","△売られ過ぎ注目")),"相場下落・見送り"))),IF(AND(T107&gt;=12,AD107="パーフェクト▲"),"★強い買い",IF(AND(T107&gt;=12,AD107="上昇トレンド▲"),"★強い買い",IF(AND(T107&gt;=8,OR(AE107="25日線押し目●",AE107="5日線押し目○")),"◎押し目買い",IF(T107&gt;=10,"○買い候補",IF(T107&gt;=6,"△注目",IF(T107&gt;=3,"様子見","見送り"))))))))</f>
        <v/>
      </c>
      <c r="Z107" s="616">
        <f>IF(AND(E107&lt;&gt;"",G107&lt;&gt;"",G107&lt;&gt;0),(E107-G107)/G107*100,"")</f>
        <v/>
      </c>
      <c r="AA107" s="176">
        <f>IF(OR(C107="",E107="",E107=0),"",IF(E107&gt;G107,"上昇▲",IF(E107&lt;G107,"下落▼","横ばい→")))</f>
        <v/>
      </c>
      <c r="AB107" s="440">
        <f>IF(C107="","",IFERROR(((終値!E109*0.333)+(終値!F109*0.222)+(終値!G109*0.148)+(終値!H109*0.099)+(終値!I109*0.066)+(終値!J109*0.044)+(終値!K109*0.029)+(終値!L109*0.019)+(終値!M109*0.013)+(終値!N109*0.009))/(0.333+0.222+0.148+0.099+0.066+0.044+0.029+0.019+0.013+0.009),""))</f>
        <v/>
      </c>
      <c r="AC107" s="440">
        <f>IF(C107="","",IFERROR(SUMPRODUCT((終値!E109:AC109)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7" s="441">
        <f>IF(OR(C107="",AB107="",AC107=""),"",IF(AND(E107&gt;AB107,AB107&gt;AC107),"パーフェクト▲",IF(E107&gt;AC107,"上昇トレンド▲",IF(AND(E107&lt;AB107,AB107&lt;AC107),"下降トレンド▼","もみ合い→"))))</f>
        <v/>
      </c>
      <c r="AE107" s="441">
        <f>IF(OR(C107="",AB107="",AC107=""),"",IF(AND(ABS(E107-AC107)/AC107&lt;=0.02,E107&gt;AC107),"25日押し目★",IF(AND(ABS(E107-AB107)/AB107&lt;=0.01,E107&gt;AB107),"5日押し目○","なし")))</f>
        <v/>
      </c>
      <c r="AF107" s="617">
        <f t="array" ref="AF107">IF(C107="","",IFERROR((INDEX(終値!$E:$E,MATCH(TEXT(C107,"0"),終値!$A:$A,0))-INDEX(終値!$E:$BL,MATCH(TEXT(C107,"0"),終値!$A:$A,0),$AL$2))/INDEX(終値!$E:$BL,MATCH(TEXT(C107,"0"),終値!$A:$A,0),$AL$2)*100,""))</f>
        <v/>
      </c>
      <c r="AG107" s="617">
        <f t="array" ref="AG107">IFERROR((終値!$E$5-INDEX(終値!$E$5:$BL$5,1,$AL$2))/INDEX(終値!$E$5:$BL$5,1,$AL$2)*100,"")</f>
        <v/>
      </c>
      <c r="AH107" s="618">
        <f>IF(OR(AF107="",AG107=""),"",AF107-AG107)</f>
        <v/>
      </c>
      <c r="AI107" s="385">
        <f>IF(AH107="","",IF(AH107&gt;5,3,IF(AH107&gt;0,1,IF(AH107&gt;-3,-1,-2))))</f>
        <v/>
      </c>
    </row>
    <row r="108" ht="18" customFormat="1" customHeight="1" s="187">
      <c r="A108" s="176">
        <f>IF(銘柄管理!B30&lt;&gt;"",HYPERLINK("https://kabutan.jp/stock/?code="&amp;銘柄管理!B30,"株探"),"")</f>
        <v/>
      </c>
      <c r="B108" s="177" t="n"/>
      <c r="C108" s="178">
        <f>IF(銘柄管理!B30="","",銘柄管理!B30)</f>
        <v/>
      </c>
      <c r="D108" s="106">
        <f>IF(銘柄管理!C30="","",銘柄管理!C30)</f>
        <v/>
      </c>
      <c r="E108" s="179">
        <f>IF(C108&lt;&gt;"",_xll.RssMarket(C108,"現在値"),"")</f>
        <v/>
      </c>
      <c r="F108" s="179">
        <f>IF(C108&lt;&gt;"",_xll.RssMarket(C108,"始値"),"")</f>
        <v/>
      </c>
      <c r="G108" s="178">
        <f>IF(C108&lt;&gt;"",終値!F30,"")</f>
        <v/>
      </c>
      <c r="H108" s="179">
        <f>IF(C108&lt;&gt;"",_xll.RssMarket(C108,"高値"),"")</f>
        <v/>
      </c>
      <c r="I108" s="179">
        <f>IF(C108&lt;&gt;"",_xll.RssMarket(C108,"安値"),"")</f>
        <v/>
      </c>
      <c r="J108" s="179">
        <f>IF(C108&lt;&gt;"",_xll.RssMarket(C108,"出来高"),"")</f>
        <v/>
      </c>
      <c r="K108" s="179">
        <f>IF(C108&lt;&gt;"",_xll.RssMarket(C108,"年初来高値"),"")</f>
        <v/>
      </c>
      <c r="L108" s="613">
        <f>IF(AND(E108&lt;&gt;"",K108&lt;&gt;"",K108&lt;&gt;0),(E108-K108)/K108*100,"")</f>
        <v/>
      </c>
      <c r="M108" s="179">
        <f>IF(C108&lt;&gt;"",IFERROR(AVERAGE(出来高!E30:I30),""),"")</f>
        <v/>
      </c>
      <c r="N108" s="179">
        <f>IF(C108&lt;&gt;"",IFERROR(AVERAGE(出来高!E30:AC30),""),"")</f>
        <v/>
      </c>
      <c r="O108" s="614">
        <f>IF(AND(J108&lt;&gt;"",M108&lt;&gt;"",M108&lt;&gt;0),J108/M108,"")</f>
        <v/>
      </c>
      <c r="P108" s="176">
        <f>IF(O108="","",IF(O108&gt;=2,"急増↑↑",IF(O108&gt;=1.5,"増加↑",IF(O108&gt;=1,"普通→","減少↓"))))</f>
        <v/>
      </c>
      <c r="Q108" s="176">
        <f>IF(E108="","",IF(AND(E108&gt;G108,O108&gt;=1.5),"買い▲",IF(E108&lt;G108,"様子見▼","中立→")))</f>
        <v/>
      </c>
      <c r="R108" s="179">
        <f>IF(E108&lt;&gt;"",ROUND(E108*1.08,0),"")</f>
        <v/>
      </c>
      <c r="S108" s="179">
        <f>IF(E108&lt;&gt;"",ROUND(E108*0.96,0),"")</f>
        <v/>
      </c>
      <c r="T108" s="176">
        <f>IF(C108="","",IFERROR(IF(O108&gt;=2,3,IF(O108&gt;=1.5,2,IF(O108&gt;=1,1,0)))+IF(E108&gt;G108,1,0)+IF(L108&gt;=-5,1,0)+IF(Q108="買い▲",2,0)+IF(W108&lt;=30,3,IF(W108&lt;=40,2,IF(AND(W108&gt;=40,W108&lt;=60),1,0)))+IF(X108&gt;0,1,0)+IF(V108="年初来高値更新●",3,IF(V108="高値圏",2,0))+IF(AD108="パーフェクト▲",3,IF(AD108="上昇トレンド▲",2,0))+IF(AE108="25日線押し目●",2,IF(AE108="5日線押し目○",1,0))+IF(P108="急増↑↑",2,IF(P108="増加↑",1,0))+N(AI108),0))</f>
        <v/>
      </c>
      <c r="U108" s="176">
        <f>IF(T108="","",IF(AND(T108&gt;=3,O108&gt;=1.5),"有効",IF(T108&gt;=3,"要確認","除外")))</f>
        <v/>
      </c>
      <c r="V108" s="176">
        <f>IF(AND(H108&lt;&gt;"",K108&lt;&gt;""),IF(H108&gt;=K108,"年初来高値更新●",IF(H108&gt;=K108*0.95,"高値圏","通常")),"")</f>
        <v/>
      </c>
      <c r="W108" s="615">
        <f t="array" ref="W108">IF(C108&lt;&gt;"",IFERROR(100-100/(1+SUMPRODUCT((終値!F30:R30&gt;終値!G30:S30)*( 終値!F30:R30-終値!G30:S30))/SUMPRODUCT((終値!F30:R30&lt;終値!G30:S30)*(終値!G30:S30-終値!F30:R30))),50),"")</f>
        <v/>
      </c>
      <c r="X108" s="183">
        <f>IF(C108&lt;&gt;"",IFERROR(SUMPRODUCT(終値!E30:P30,{0.154,0.132,0.113,0.097,0.083,0.071,0.061,0.052,0.045,0.038,0.033,0.028})/SUMPRODUCT({0.154,0.132,0.113,0.097,0.083,0.071,0.061,0.052,0.045,0.038,0.033,0.028})-SUMPRODUCT(終値!E30:AD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8" s="570">
        <f>IF(T108="","",IF(銘柄管理!$F$5="下落▼",IF(AND(AD108="パーフェクト▲",OR(AE108="25日線押し目●",AE108="5日線押し目○")),"★逆張り候補",IF(AND(AD108="上昇トレンド▲",OR(AE108="25日線押し目●",AE108="5日線押し目○")),"○逆張り候補",IF(W108&lt;=30,IF(Z108&gt;0,"◎反発確認",IF(Z108&lt;-5,"△要注意・様子見","△売られ過ぎ注目")),"相場下落・見送り"))),IF(AND(T108&gt;=12,AD108="パーフェクト▲"),"★強い買い",IF(AND(T108&gt;=12,AD108="上昇トレンド▲"),"★強い買い",IF(AND(T108&gt;=8,OR(AE108="25日線押し目●",AE108="5日線押し目○")),"◎押し目買い",IF(T108&gt;=10,"○買い候補",IF(T108&gt;=6,"△注目",IF(T108&gt;=3,"様子見","見送り"))))))))</f>
        <v/>
      </c>
      <c r="Z108" s="616">
        <f>IF(AND(E108&lt;&gt;"",G108&lt;&gt;"",G108&lt;&gt;0),(E108-G108)/G108*100,"")</f>
        <v/>
      </c>
      <c r="AA108" s="176">
        <f>IF(OR(C108="",E108="",E108=0),"",IF(E108&gt;G108,"上昇▲",IF(E108&lt;G108,"下落▼","横ばい→")))</f>
        <v/>
      </c>
      <c r="AB108" s="438">
        <f>IF(C108="","",IFERROR(((終値!E110*0.333)+(終値!F110*0.222)+(終値!G110*0.148)+(終値!H110*0.099)+(終値!I110*0.066)+(終値!J110*0.044)+(終値!K110*0.029)+(終値!L110*0.019)+(終値!M110*0.013)+(終値!N110*0.009))/(0.333+0.222+0.148+0.099+0.066+0.044+0.029+0.019+0.013+0.009),""))</f>
        <v/>
      </c>
      <c r="AC108" s="438">
        <f>IF(C108="","",IFERROR(SUMPRODUCT((終値!E110:AC110)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8" s="439">
        <f>IF(OR(C108="",AB108="",AC108=""),"",IF(AND(E108&gt;AB108,AB108&gt;AC108),"パーフェクト▲",IF(E108&gt;AC108,"上昇トレンド▲",IF(AND(E108&lt;AB108,AB108&lt;AC108),"下降トレンド▼","もみ合い→"))))</f>
        <v/>
      </c>
      <c r="AE108" s="439">
        <f>IF(OR(C108="",AB108="",AC108=""),"",IF(AND(ABS(E108-AC108)/AC108&lt;=0.02,E108&gt;AC108),"25日押し目★",IF(AND(ABS(E108-AB108)/AB108&lt;=0.01,E108&gt;AB108),"5日押し目○","なし")))</f>
        <v/>
      </c>
      <c r="AF108" s="617">
        <f t="array" ref="AF108">IF(C108="","",IFERROR((INDEX(終値!$E:$E,MATCH(TEXT(C108,"0"),終値!$A:$A,0))-INDEX(終値!$E:$BL,MATCH(TEXT(C108,"0"),終値!$A:$A,0),$AL$2))/INDEX(終値!$E:$BL,MATCH(TEXT(C108,"0"),終値!$A:$A,0),$AL$2)*100,""))</f>
        <v/>
      </c>
      <c r="AG108" s="617">
        <f t="array" ref="AG108">IFERROR((終値!$E$5-INDEX(終値!$E$5:$BL$5,1,$AL$2))/INDEX(終値!$E$5:$BL$5,1,$AL$2)*100,"")</f>
        <v/>
      </c>
      <c r="AH108" s="618">
        <f>IF(OR(AF108="",AG108=""),"",AF108-AG108)</f>
        <v/>
      </c>
      <c r="AI108" s="385">
        <f>IF(AH108="","",IF(AH108&gt;5,3,IF(AH108&gt;0,1,IF(AH108&gt;-3,-1,-2))))</f>
        <v/>
      </c>
    </row>
    <row r="109" ht="18" customFormat="1" customHeight="1" s="187">
      <c r="A109" s="176">
        <f>IF(銘柄管理!B135&lt;&gt;"",HYPERLINK("https://kabutan.jp/stock/?code="&amp;銘柄管理!B135,"株探"),"")</f>
        <v/>
      </c>
      <c r="B109" s="177" t="n"/>
      <c r="C109" s="178">
        <f>IF(銘柄管理!B135="","",銘柄管理!B135)</f>
        <v/>
      </c>
      <c r="D109" s="106">
        <f>IF(銘柄管理!C135="","",銘柄管理!C135)</f>
        <v/>
      </c>
      <c r="E109" s="179">
        <f>IF(C109&lt;&gt;"",_xll.RssMarket(C109,"現在値"),"")</f>
        <v/>
      </c>
      <c r="F109" s="179">
        <f>IF(C109&lt;&gt;"",_xll.RssMarket(C109,"始値"),"")</f>
        <v/>
      </c>
      <c r="G109" s="178">
        <f>IF(C109&lt;&gt;"",終値!F135,"")</f>
        <v/>
      </c>
      <c r="H109" s="179">
        <f>IF(C109&lt;&gt;"",_xll.RssMarket(C109,"高値"),"")</f>
        <v/>
      </c>
      <c r="I109" s="179">
        <f>IF(C109&lt;&gt;"",_xll.RssMarket(C109,"安値"),"")</f>
        <v/>
      </c>
      <c r="J109" s="179">
        <f>IF(C109&lt;&gt;"",_xll.RssMarket(C109,"出来高"),"")</f>
        <v/>
      </c>
      <c r="K109" s="179">
        <f>IF(C109&lt;&gt;"",_xll.RssMarket(C109,"年初来高値"),"")</f>
        <v/>
      </c>
      <c r="L109" s="613">
        <f>IF(AND(E109&lt;&gt;"",K109&lt;&gt;"",K109&lt;&gt;0),(E109-K109)/K109*100,"")</f>
        <v/>
      </c>
      <c r="M109" s="179">
        <f>IF(C109&lt;&gt;"",IFERROR(AVERAGE(出来高!E135:I135),""),"")</f>
        <v/>
      </c>
      <c r="N109" s="179">
        <f>IF(C109&lt;&gt;"",IFERROR(AVERAGE(出来高!E135:AC135),""),"")</f>
        <v/>
      </c>
      <c r="O109" s="614">
        <f>IF(AND(J109&lt;&gt;"",M109&lt;&gt;"",M109&lt;&gt;0),J109/M109,"")</f>
        <v/>
      </c>
      <c r="P109" s="176">
        <f>IF(O109="","",IF(O109&gt;=2,"急増↑↑",IF(O109&gt;=1.5,"増加↑",IF(O109&gt;=1,"普通→","減少↓"))))</f>
        <v/>
      </c>
      <c r="Q109" s="176">
        <f>IF(E109="","",IF(AND(E109&gt;G109,O109&gt;=1.5),"買い▲",IF(E109&lt;G109,"様子見▼","中立→")))</f>
        <v/>
      </c>
      <c r="R109" s="179">
        <f>IF(E109&lt;&gt;"",ROUND(E109*1.08,0),"")</f>
        <v/>
      </c>
      <c r="S109" s="179">
        <f>IF(E109&lt;&gt;"",ROUND(E109*0.96,0),"")</f>
        <v/>
      </c>
      <c r="T109" s="176">
        <f>IF(C109="","",IFERROR(IF(O109&gt;=2,3,IF(O109&gt;=1.5,2,IF(O109&gt;=1,1,0)))+IF(E109&gt;G109,1,0)+IF(L109&gt;=-5,1,0)+IF(Q109="買い▲",2,0)+IF(W109&lt;=30,3,IF(W109&lt;=40,2,IF(AND(W109&gt;=40,W109&lt;=60),1,0)))+IF(X109&gt;0,1,0)+IF(V109="年初来高値更新●",3,IF(V109="高値圏",2,0))+IF(AD109="パーフェクト▲",3,IF(AD109="上昇トレンド▲",2,0))+IF(AE109="25日線押し目●",2,IF(AE109="5日線押し目○",1,0))+IF(P109="急増↑↑",2,IF(P109="増加↑",1,0))+N(AI109),0))</f>
        <v/>
      </c>
      <c r="U109" s="176">
        <f>IF(T109="","",IF(AND(T109&gt;=3,O109&gt;=1.5),"有効",IF(T109&gt;=3,"要確認","除外")))</f>
        <v/>
      </c>
      <c r="V109" s="176">
        <f>IF(AND(H109&lt;&gt;"",K109&lt;&gt;""),IF(H109&gt;=K109,"年初来高値更新●",IF(H109&gt;=K109*0.95,"高値圏","通常")),"")</f>
        <v/>
      </c>
      <c r="W109" s="615">
        <f t="array" ref="W109">IF(C109&lt;&gt;"",IFERROR(100-100/(1+SUMPRODUCT((終値!F135:R135&gt;終値!G135:S135)*( 終値!F135:R135-終値!G135:S135))/SUMPRODUCT((終値!F135:R135&lt;終値!G135:S135)*(終値!G135:S135-終値!F135:R135))),50),"")</f>
        <v/>
      </c>
      <c r="X109" s="183">
        <f>IF(C109&lt;&gt;"",IFERROR(SUMPRODUCT(終値!E135:P135,{0.154,0.132,0.113,0.097,0.083,0.071,0.061,0.052,0.045,0.038,0.033,0.028})/SUMPRODUCT({0.154,0.132,0.113,0.097,0.083,0.071,0.061,0.052,0.045,0.038,0.033,0.028})-SUMPRODUCT(終値!E135:AD135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9" s="570">
        <f>IF(T109="","",IF(銘柄管理!$F$5="下落▼",IF(AND(AD109="パーフェクト▲",OR(AE109="25日線押し目●",AE109="5日線押し目○")),"★逆張り候補",IF(AND(AD109="上昇トレンド▲",OR(AE109="25日線押し目●",AE109="5日線押し目○")),"○逆張り候補",IF(W109&lt;=30,IF(Z109&gt;0,"◎反発確認",IF(Z109&lt;-5,"△要注意・様子見","△売られ過ぎ注目")),"相場下落・見送り"))),IF(AND(T109&gt;=12,AD109="パーフェクト▲"),"★強い買い",IF(AND(T109&gt;=12,AD109="上昇トレンド▲"),"★強い買い",IF(AND(T109&gt;=8,OR(AE109="25日線押し目●",AE109="5日線押し目○")),"◎押し目買い",IF(T109&gt;=10,"○買い候補",IF(T109&gt;=6,"△注目",IF(T109&gt;=3,"様子見","見送り"))))))))</f>
        <v/>
      </c>
      <c r="Z109" s="616">
        <f>IF(AND(E109&lt;&gt;"",G109&lt;&gt;"",G109&lt;&gt;0),(E109-G109)/G109*100,"")</f>
        <v/>
      </c>
      <c r="AA109" s="176">
        <f>IF(OR(C109="",E109="",E109=0),"",IF(E109&gt;G109,"上昇▲",IF(E109&lt;G109,"下落▼","横ばい→")))</f>
        <v/>
      </c>
      <c r="AB109" s="440">
        <f>IF(C109="","",IFERROR(((終値!E111*0.333)+(終値!F111*0.222)+(終値!G111*0.148)+(終値!H111*0.099)+(終値!I111*0.066)+(終値!J111*0.044)+(終値!K111*0.029)+(終値!L111*0.019)+(終値!M111*0.013)+(終値!N111*0.009))/(0.333+0.222+0.148+0.099+0.066+0.044+0.029+0.019+0.013+0.009),""))</f>
        <v/>
      </c>
      <c r="AC109" s="440">
        <f>IF(C109="","",IFERROR(SUMPRODUCT((終値!E111:AC111)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9" s="441">
        <f>IF(OR(C109="",AB109="",AC109=""),"",IF(AND(E109&gt;AB109,AB109&gt;AC109),"パーフェクト▲",IF(E109&gt;AC109,"上昇トレンド▲",IF(AND(E109&lt;AB109,AB109&lt;AC109),"下降トレンド▼","もみ合い→"))))</f>
        <v/>
      </c>
      <c r="AE109" s="441">
        <f>IF(OR(C109="",AB109="",AC109=""),"",IF(AND(ABS(E109-AC109)/AC109&lt;=0.02,E109&gt;AC109),"25日押し目★",IF(AND(ABS(E109-AB109)/AB109&lt;=0.01,E109&gt;AB109),"5日押し目○","なし")))</f>
        <v/>
      </c>
      <c r="AF109" s="617">
        <f t="array" ref="AF109">IF(C109="","",IFERROR((INDEX(終値!$E:$E,MATCH(TEXT(C109,"0"),終値!$A:$A,0))-INDEX(終値!$E:$BL,MATCH(TEXT(C109,"0"),終値!$A:$A,0),$AL$2))/INDEX(終値!$E:$BL,MATCH(TEXT(C109,"0"),終値!$A:$A,0),$AL$2)*100,""))</f>
        <v/>
      </c>
      <c r="AG109" s="617">
        <f t="array" ref="AG109">IFERROR((終値!$E$5-INDEX(終値!$E$5:$BL$5,1,$AL$2))/INDEX(終値!$E$5:$BL$5,1,$AL$2)*100,"")</f>
        <v/>
      </c>
      <c r="AH109" s="618">
        <f>IF(OR(AF109="",AG109=""),"",AF109-AG109)</f>
        <v/>
      </c>
      <c r="AI109" s="385">
        <f>IF(AH109="","",IF(AH109&gt;5,3,IF(AH109&gt;0,1,IF(AH109&gt;-3,-1,-2))))</f>
        <v/>
      </c>
    </row>
    <row r="110" ht="18" customFormat="1" customHeight="1" s="187">
      <c r="A110" s="176">
        <f>IF(銘柄管理!B132&lt;&gt;"",HYPERLINK("https://kabutan.jp/stock/?code="&amp;銘柄管理!B132,"株探"),"")</f>
        <v/>
      </c>
      <c r="B110" s="177" t="n"/>
      <c r="C110" s="178">
        <f>IF(銘柄管理!B132="","",銘柄管理!B132)</f>
        <v/>
      </c>
      <c r="D110" s="106">
        <f>IF(銘柄管理!C132="","",銘柄管理!C132)</f>
        <v/>
      </c>
      <c r="E110" s="179">
        <f>IF(C110&lt;&gt;"",_xll.RssMarket(C110,"現在値"),"")</f>
        <v/>
      </c>
      <c r="F110" s="179">
        <f>IF(C110&lt;&gt;"",_xll.RssMarket(C110,"始値"),"")</f>
        <v/>
      </c>
      <c r="G110" s="178">
        <f>IF(C110&lt;&gt;"",終値!F132,"")</f>
        <v/>
      </c>
      <c r="H110" s="179">
        <f>IF(C110&lt;&gt;"",_xll.RssMarket(C110,"高値"),"")</f>
        <v/>
      </c>
      <c r="I110" s="179">
        <f>IF(C110&lt;&gt;"",_xll.RssMarket(C110,"安値"),"")</f>
        <v/>
      </c>
      <c r="J110" s="179">
        <f>IF(C110&lt;&gt;"",_xll.RssMarket(C110,"出来高"),"")</f>
        <v/>
      </c>
      <c r="K110" s="179">
        <f>IF(C110&lt;&gt;"",_xll.RssMarket(C110,"年初来高値"),"")</f>
        <v/>
      </c>
      <c r="L110" s="613">
        <f>IF(AND(E110&lt;&gt;"",K110&lt;&gt;"",K110&lt;&gt;0),(E110-K110)/K110*100,"")</f>
        <v/>
      </c>
      <c r="M110" s="179">
        <f>IF(C110&lt;&gt;"",IFERROR(AVERAGE(出来高!E132:I132),""),"")</f>
        <v/>
      </c>
      <c r="N110" s="179">
        <f>IF(C110&lt;&gt;"",IFERROR(AVERAGE(出来高!E132:AC132),""),"")</f>
        <v/>
      </c>
      <c r="O110" s="614">
        <f>IF(AND(J110&lt;&gt;"",M110&lt;&gt;"",M110&lt;&gt;0),J110/M110,"")</f>
        <v/>
      </c>
      <c r="P110" s="176">
        <f>IF(O110="","",IF(O110&gt;=2,"急増↑↑",IF(O110&gt;=1.5,"増加↑",IF(O110&gt;=1,"普通→","減少↓"))))</f>
        <v/>
      </c>
      <c r="Q110" s="176">
        <f>IF(E110="","",IF(AND(E110&gt;G110,O110&gt;=1.5),"買い▲",IF(E110&lt;G110,"様子見▼","中立→")))</f>
        <v/>
      </c>
      <c r="R110" s="179">
        <f>IF(E110&lt;&gt;"",ROUND(E110*1.08,0),"")</f>
        <v/>
      </c>
      <c r="S110" s="179">
        <f>IF(E110&lt;&gt;"",ROUND(E110*0.96,0),"")</f>
        <v/>
      </c>
      <c r="T110" s="176">
        <f>IF(C110="","",IFERROR(IF(O110&gt;=2,3,IF(O110&gt;=1.5,2,IF(O110&gt;=1,1,0)))+IF(E110&gt;G110,1,0)+IF(L110&gt;=-5,1,0)+IF(Q110="買い▲",2,0)+IF(W110&lt;=30,3,IF(W110&lt;=40,2,IF(AND(W110&gt;=40,W110&lt;=60),1,0)))+IF(X110&gt;0,1,0)+IF(V110="年初来高値更新●",3,IF(V110="高値圏",2,0))+IF(AD110="パーフェクト▲",3,IF(AD110="上昇トレンド▲",2,0))+IF(AE110="25日線押し目●",2,IF(AE110="5日線押し目○",1,0))+IF(P110="急増↑↑",2,IF(P110="増加↑",1,0))+N(AI110),0))</f>
        <v/>
      </c>
      <c r="U110" s="176">
        <f>IF(T110="","",IF(AND(T110&gt;=3,O110&gt;=1.5),"有効",IF(T110&gt;=3,"要確認","除外")))</f>
        <v/>
      </c>
      <c r="V110" s="176">
        <f>IF(AND(H110&lt;&gt;"",K110&lt;&gt;""),IF(H110&gt;=K110,"年初来高値更新●",IF(H110&gt;=K110*0.95,"高値圏","通常")),"")</f>
        <v/>
      </c>
      <c r="W110" s="615">
        <f t="array" ref="W110">IF(C110&lt;&gt;"",IFERROR(100-100/(1+SUMPRODUCT((終値!F132:R132&gt;終値!G132:S132)*( 終値!F132:R132-終値!G132:S132))/SUMPRODUCT((終値!F132:R132&lt;終値!G132:S132)*(終値!G132:S132-終値!F132:R132))),50),"")</f>
        <v/>
      </c>
      <c r="X110" s="183">
        <f>IF(C110&lt;&gt;"",IFERROR(SUMPRODUCT(終値!E132:P132,{0.154,0.132,0.113,0.097,0.083,0.071,0.061,0.052,0.045,0.038,0.033,0.028})/SUMPRODUCT({0.154,0.132,0.113,0.097,0.083,0.071,0.061,0.052,0.045,0.038,0.033,0.028})-SUMPRODUCT(終値!E132:AD132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0" s="570">
        <f>IF(T110="","",IF(銘柄管理!$F$5="下落▼",IF(AND(AD110="パーフェクト▲",OR(AE110="25日線押し目●",AE110="5日線押し目○")),"★逆張り候補",IF(AND(AD110="上昇トレンド▲",OR(AE110="25日線押し目●",AE110="5日線押し目○")),"○逆張り候補",IF(W110&lt;=30,IF(Z110&gt;0,"◎反発確認",IF(Z110&lt;-5,"△要注意・様子見","△売られ過ぎ注目")),"相場下落・見送り"))),IF(AND(T110&gt;=12,AD110="パーフェクト▲"),"★強い買い",IF(AND(T110&gt;=12,AD110="上昇トレンド▲"),"★強い買い",IF(AND(T110&gt;=8,OR(AE110="25日線押し目●",AE110="5日線押し目○")),"◎押し目買い",IF(T110&gt;=10,"○買い候補",IF(T110&gt;=6,"△注目",IF(T110&gt;=3,"様子見","見送り"))))))))</f>
        <v/>
      </c>
      <c r="Z110" s="616">
        <f>IF(AND(E110&lt;&gt;"",G110&lt;&gt;"",G110&lt;&gt;0),(E110-G110)/G110*100,"")</f>
        <v/>
      </c>
      <c r="AA110" s="176">
        <f>IF(OR(C110="",E110="",E110=0),"",IF(E110&gt;G110,"上昇▲",IF(E110&lt;G110,"下落▼","横ばい→")))</f>
        <v/>
      </c>
      <c r="AB110" s="438">
        <f>IF(C110="","",IFERROR(((終値!E112*0.333)+(終値!F112*0.222)+(終値!G112*0.148)+(終値!H112*0.099)+(終値!I112*0.066)+(終値!J112*0.044)+(終値!K112*0.029)+(終値!L112*0.019)+(終値!M112*0.013)+(終値!N112*0.009))/(0.333+0.222+0.148+0.099+0.066+0.044+0.029+0.019+0.013+0.009),""))</f>
        <v/>
      </c>
      <c r="AC110" s="438">
        <f>IF(C110="","",IFERROR(SUMPRODUCT((終値!E112:AC112)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0" s="439">
        <f>IF(OR(C110="",AB110="",AC110=""),"",IF(AND(E110&gt;AB110,AB110&gt;AC110),"パーフェクト▲",IF(E110&gt;AC110,"上昇トレンド▲",IF(AND(E110&lt;AB110,AB110&lt;AC110),"下降トレンド▼","もみ合い→"))))</f>
        <v/>
      </c>
      <c r="AE110" s="439">
        <f>IF(OR(C110="",AB110="",AC110=""),"",IF(AND(ABS(E110-AC110)/AC110&lt;=0.02,E110&gt;AC110),"25日押し目★",IF(AND(ABS(E110-AB110)/AB110&lt;=0.01,E110&gt;AB110),"5日押し目○","なし")))</f>
        <v/>
      </c>
      <c r="AF110" s="617">
        <f t="array" ref="AF110">IF(C110="","",IFERROR((INDEX(終値!$E:$E,MATCH(TEXT(C110,"0"),終値!$A:$A,0))-INDEX(終値!$E:$BL,MATCH(TEXT(C110,"0"),終値!$A:$A,0),$AL$2))/INDEX(終値!$E:$BL,MATCH(TEXT(C110,"0"),終値!$A:$A,0),$AL$2)*100,""))</f>
        <v/>
      </c>
      <c r="AG110" s="617">
        <f t="array" ref="AG110">IFERROR((終値!$E$5-INDEX(終値!$E$5:$BL$5,1,$AL$2))/INDEX(終値!$E$5:$BL$5,1,$AL$2)*100,"")</f>
        <v/>
      </c>
      <c r="AH110" s="618">
        <f>IF(OR(AF110="",AG110=""),"",AF110-AG110)</f>
        <v/>
      </c>
      <c r="AI110" s="385">
        <f>IF(AH110="","",IF(AH110&gt;5,3,IF(AH110&gt;0,1,IF(AH110&gt;-3,-1,-2))))</f>
        <v/>
      </c>
    </row>
    <row r="111" ht="18" customFormat="1" customHeight="1" s="187">
      <c r="A111" s="176">
        <f>IF(銘柄管理!B57&lt;&gt;"",HYPERLINK("https://kabutan.jp/stock/?code="&amp;銘柄管理!B57,"株探"),"")</f>
        <v/>
      </c>
      <c r="B111" s="177" t="n"/>
      <c r="C111" s="178">
        <f>IF(銘柄管理!B57="","",銘柄管理!B57)</f>
        <v/>
      </c>
      <c r="D111" s="106">
        <f>IF(銘柄管理!C57="","",銘柄管理!C57)</f>
        <v/>
      </c>
      <c r="E111" s="179">
        <f>IF(C111&lt;&gt;"",_xll.RssMarket(C111,"現在値"),"")</f>
        <v/>
      </c>
      <c r="F111" s="179">
        <f>IF(C111&lt;&gt;"",_xll.RssMarket(C111,"始値"),"")</f>
        <v/>
      </c>
      <c r="G111" s="178">
        <f>IF(C111&lt;&gt;"",終値!F57,"")</f>
        <v/>
      </c>
      <c r="H111" s="179">
        <f>IF(C111&lt;&gt;"",_xll.RssMarket(C111,"高値"),"")</f>
        <v/>
      </c>
      <c r="I111" s="179">
        <f>IF(C111&lt;&gt;"",_xll.RssMarket(C111,"安値"),"")</f>
        <v/>
      </c>
      <c r="J111" s="179">
        <f>IF(C111&lt;&gt;"",_xll.RssMarket(C111,"出来高"),"")</f>
        <v/>
      </c>
      <c r="K111" s="179">
        <f>IF(C111&lt;&gt;"",_xll.RssMarket(C111,"年初来高値"),"")</f>
        <v/>
      </c>
      <c r="L111" s="613">
        <f>IF(AND(E111&lt;&gt;"",K111&lt;&gt;"",K111&lt;&gt;0),(E111-K111)/K111*100,"")</f>
        <v/>
      </c>
      <c r="M111" s="179">
        <f>IF(C111&lt;&gt;"",IFERROR(AVERAGE(出来高!E57:I57),""),"")</f>
        <v/>
      </c>
      <c r="N111" s="179">
        <f>IF(C111&lt;&gt;"",IFERROR(AVERAGE(出来高!E57:AC57),""),"")</f>
        <v/>
      </c>
      <c r="O111" s="614">
        <f>IF(AND(J111&lt;&gt;"",M111&lt;&gt;"",M111&lt;&gt;0),J111/M111,"")</f>
        <v/>
      </c>
      <c r="P111" s="176">
        <f>IF(O111="","",IF(O111&gt;=2,"急増↑↑",IF(O111&gt;=1.5,"増加↑",IF(O111&gt;=1,"普通→","減少↓"))))</f>
        <v/>
      </c>
      <c r="Q111" s="176">
        <f>IF(E111="","",IF(AND(E111&gt;G111,O111&gt;=1.5),"買い▲",IF(E111&lt;G111,"様子見▼","中立→")))</f>
        <v/>
      </c>
      <c r="R111" s="179">
        <f>IF(E111&lt;&gt;"",ROUND(E111*1.08,0),"")</f>
        <v/>
      </c>
      <c r="S111" s="179">
        <f>IF(E111&lt;&gt;"",ROUND(E111*0.96,0),"")</f>
        <v/>
      </c>
      <c r="T111" s="176">
        <f>IF(C111="","",IFERROR(IF(O111&gt;=2,3,IF(O111&gt;=1.5,2,IF(O111&gt;=1,1,0)))+IF(E111&gt;G111,1,0)+IF(L111&gt;=-5,1,0)+IF(Q111="買い▲",2,0)+IF(W111&lt;=30,3,IF(W111&lt;=40,2,IF(AND(W111&gt;=40,W111&lt;=60),1,0)))+IF(X111&gt;0,1,0)+IF(V111="年初来高値更新●",3,IF(V111="高値圏",2,0))+IF(AD111="パーフェクト▲",3,IF(AD111="上昇トレンド▲",2,0))+IF(AE111="25日線押し目●",2,IF(AE111="5日線押し目○",1,0))+IF(P111="急増↑↑",2,IF(P111="増加↑",1,0))+N(AI111),0))</f>
        <v/>
      </c>
      <c r="U111" s="176">
        <f>IF(T111="","",IF(AND(T111&gt;=3,O111&gt;=1.5),"有効",IF(T111&gt;=3,"要確認","除外")))</f>
        <v/>
      </c>
      <c r="V111" s="176">
        <f>IF(AND(H111&lt;&gt;"",K111&lt;&gt;""),IF(H111&gt;=K111,"年初来高値更新●",IF(H111&gt;=K111*0.95,"高値圏","通常")),"")</f>
        <v/>
      </c>
      <c r="W111" s="615">
        <f t="array" ref="W111">IF(C111&lt;&gt;"",IFERROR(100-100/(1+SUMPRODUCT((終値!F57:R57&gt;終値!G57:S57)*( 終値!F57:R57-終値!G57:S57))/SUMPRODUCT((終値!F57:R57&lt;終値!G57:S57)*(終値!G57:S57-終値!F57:R57))),50),"")</f>
        <v/>
      </c>
      <c r="X111" s="183">
        <f>IF(C111&lt;&gt;"",IFERROR(SUMPRODUCT(終値!E57:P57,{0.154,0.132,0.113,0.097,0.083,0.071,0.061,0.052,0.045,0.038,0.033,0.028})/SUMPRODUCT({0.154,0.132,0.113,0.097,0.083,0.071,0.061,0.052,0.045,0.038,0.033,0.028})-SUMPRODUCT(終値!E57:AD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1" s="570">
        <f>IF(T111="","",IF(銘柄管理!$F$5="下落▼",IF(AND(AD111="パーフェクト▲",OR(AE111="25日線押し目●",AE111="5日線押し目○")),"★逆張り候補",IF(AND(AD111="上昇トレンド▲",OR(AE111="25日線押し目●",AE111="5日線押し目○")),"○逆張り候補",IF(W111&lt;=30,IF(Z111&gt;0,"◎反発確認",IF(Z111&lt;-5,"△要注意・様子見","△売られ過ぎ注目")),"相場下落・見送り"))),IF(AND(T111&gt;=12,AD111="パーフェクト▲"),"★強い買い",IF(AND(T111&gt;=12,AD111="上昇トレンド▲"),"★強い買い",IF(AND(T111&gt;=8,OR(AE111="25日線押し目●",AE111="5日線押し目○")),"◎押し目買い",IF(T111&gt;=10,"○買い候補",IF(T111&gt;=6,"△注目",IF(T111&gt;=3,"様子見","見送り"))))))))</f>
        <v/>
      </c>
      <c r="Z111" s="616">
        <f>IF(AND(E111&lt;&gt;"",G111&lt;&gt;"",G111&lt;&gt;0),(E111-G111)/G111*100,"")</f>
        <v/>
      </c>
      <c r="AA111" s="176">
        <f>IF(OR(C111="",E111="",E111=0),"",IF(E111&gt;G111,"上昇▲",IF(E111&lt;G111,"下落▼","横ばい→")))</f>
        <v/>
      </c>
      <c r="AB111" s="440">
        <f>IF(C111="","",IFERROR(((終値!E113*0.333)+(終値!F113*0.222)+(終値!G113*0.148)+(終値!H113*0.099)+(終値!I113*0.066)+(終値!J113*0.044)+(終値!K113*0.029)+(終値!L113*0.019)+(終値!M113*0.013)+(終値!N113*0.009))/(0.333+0.222+0.148+0.099+0.066+0.044+0.029+0.019+0.013+0.009),""))</f>
        <v/>
      </c>
      <c r="AC111" s="440">
        <f>IF(C111="","",IFERROR(SUMPRODUCT((終値!E113:AC113)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1" s="441">
        <f>IF(OR(C111="",AB111="",AC111=""),"",IF(AND(E111&gt;AB111,AB111&gt;AC111),"パーフェクト▲",IF(E111&gt;AC111,"上昇トレンド▲",IF(AND(E111&lt;AB111,AB111&lt;AC111),"下降トレンド▼","もみ合い→"))))</f>
        <v/>
      </c>
      <c r="AE111" s="441">
        <f>IF(OR(C111="",AB111="",AC111=""),"",IF(AND(ABS(E111-AC111)/AC111&lt;=0.02,E111&gt;AC111),"25日押し目★",IF(AND(ABS(E111-AB111)/AB111&lt;=0.01,E111&gt;AB111),"5日押し目○","なし")))</f>
        <v/>
      </c>
      <c r="AF111" s="617">
        <f t="array" ref="AF111">IF(C111="","",IFERROR((INDEX(終値!$E:$E,MATCH(TEXT(C111,"0"),終値!$A:$A,0))-INDEX(終値!$E:$BL,MATCH(TEXT(C111,"0"),終値!$A:$A,0),$AL$2))/INDEX(終値!$E:$BL,MATCH(TEXT(C111,"0"),終値!$A:$A,0),$AL$2)*100,""))</f>
        <v/>
      </c>
      <c r="AG111" s="617">
        <f t="array" ref="AG111">IFERROR((終値!$E$5-INDEX(終値!$E$5:$BL$5,1,$AL$2))/INDEX(終値!$E$5:$BL$5,1,$AL$2)*100,"")</f>
        <v/>
      </c>
      <c r="AH111" s="618">
        <f>IF(OR(AF111="",AG111=""),"",AF111-AG111)</f>
        <v/>
      </c>
      <c r="AI111" s="385">
        <f>IF(AH111="","",IF(AH111&gt;5,3,IF(AH111&gt;0,1,IF(AH111&gt;-3,-1,-2))))</f>
        <v/>
      </c>
    </row>
    <row r="112" ht="18" customFormat="1" customHeight="1" s="187">
      <c r="A112" s="176">
        <f>IF(銘柄管理!B104&lt;&gt;"",HYPERLINK("https://kabutan.jp/stock/?code="&amp;銘柄管理!B104,"株探"),"")</f>
        <v/>
      </c>
      <c r="B112" s="177" t="n"/>
      <c r="C112" s="178">
        <f>IF(銘柄管理!B104="","",銘柄管理!B104)</f>
        <v/>
      </c>
      <c r="D112" s="106">
        <f>IF(銘柄管理!C104="","",銘柄管理!C104)</f>
        <v/>
      </c>
      <c r="E112" s="179">
        <f>IF(C112&lt;&gt;"",_xll.RssMarket(C112,"現在値"),"")</f>
        <v/>
      </c>
      <c r="F112" s="179">
        <f>IF(C112&lt;&gt;"",_xll.RssMarket(C112,"始値"),"")</f>
        <v/>
      </c>
      <c r="G112" s="178">
        <f>IF(C112&lt;&gt;"",終値!F104,"")</f>
        <v/>
      </c>
      <c r="H112" s="179">
        <f>IF(C112&lt;&gt;"",_xll.RssMarket(C112,"高値"),"")</f>
        <v/>
      </c>
      <c r="I112" s="179">
        <f>IF(C112&lt;&gt;"",_xll.RssMarket(C112,"安値"),"")</f>
        <v/>
      </c>
      <c r="J112" s="179">
        <f>IF(C112&lt;&gt;"",_xll.RssMarket(C112,"出来高"),"")</f>
        <v/>
      </c>
      <c r="K112" s="179">
        <f>IF(C112&lt;&gt;"",_xll.RssMarket(C112,"年初来高値"),"")</f>
        <v/>
      </c>
      <c r="L112" s="613">
        <f>IF(AND(E112&lt;&gt;"",K112&lt;&gt;"",K112&lt;&gt;0),(E112-K112)/K112*100,"")</f>
        <v/>
      </c>
      <c r="M112" s="179">
        <f>IF(C112&lt;&gt;"",IFERROR(AVERAGE(出来高!E104:I104),""),"")</f>
        <v/>
      </c>
      <c r="N112" s="179">
        <f>IF(C112&lt;&gt;"",IFERROR(AVERAGE(出来高!E104:AC104),""),"")</f>
        <v/>
      </c>
      <c r="O112" s="614">
        <f>IF(AND(J112&lt;&gt;"",M112&lt;&gt;"",M112&lt;&gt;0),J112/M112,"")</f>
        <v/>
      </c>
      <c r="P112" s="176">
        <f>IF(O112="","",IF(O112&gt;=2,"急増↑↑",IF(O112&gt;=1.5,"増加↑",IF(O112&gt;=1,"普通→","減少↓"))))</f>
        <v/>
      </c>
      <c r="Q112" s="176">
        <f>IF(E112="","",IF(AND(E112&gt;G112,O112&gt;=1.5),"買い▲",IF(E112&lt;G112,"様子見▼","中立→")))</f>
        <v/>
      </c>
      <c r="R112" s="179">
        <f>IF(E112&lt;&gt;"",ROUND(E112*1.08,0),"")</f>
        <v/>
      </c>
      <c r="S112" s="179">
        <f>IF(E112&lt;&gt;"",ROUND(E112*0.96,0),"")</f>
        <v/>
      </c>
      <c r="T112" s="176">
        <f>IF(C112="","",IFERROR(IF(O112&gt;=2,3,IF(O112&gt;=1.5,2,IF(O112&gt;=1,1,0)))+IF(E112&gt;G112,1,0)+IF(L112&gt;=-5,1,0)+IF(Q112="買い▲",2,0)+IF(W112&lt;=30,3,IF(W112&lt;=40,2,IF(AND(W112&gt;=40,W112&lt;=60),1,0)))+IF(X112&gt;0,1,0)+IF(V112="年初来高値更新●",3,IF(V112="高値圏",2,0))+IF(AD112="パーフェクト▲",3,IF(AD112="上昇トレンド▲",2,0))+IF(AE112="25日線押し目●",2,IF(AE112="5日線押し目○",1,0))+IF(P112="急増↑↑",2,IF(P112="増加↑",1,0))+N(AI112),0))</f>
        <v/>
      </c>
      <c r="U112" s="176">
        <f>IF(T112="","",IF(AND(T112&gt;=3,O112&gt;=1.5),"有効",IF(T112&gt;=3,"要確認","除外")))</f>
        <v/>
      </c>
      <c r="V112" s="176">
        <f>IF(AND(H112&lt;&gt;"",K112&lt;&gt;""),IF(H112&gt;=K112,"年初来高値更新●",IF(H112&gt;=K112*0.95,"高値圏","通常")),"")</f>
        <v/>
      </c>
      <c r="W112" s="615">
        <f t="array" ref="W112">IF(C112&lt;&gt;"",IFERROR(100-100/(1+SUMPRODUCT((終値!F104:R104&gt;終値!G104:S104)*( 終値!F104:R104-終値!G104:S104))/SUMPRODUCT((終値!F104:R104&lt;終値!G104:S104)*(終値!G104:S104-終値!F104:R104))),50),"")</f>
        <v/>
      </c>
      <c r="X112" s="183">
        <f>IF(C112&lt;&gt;"",IFERROR(SUMPRODUCT(終値!E104:P104,{0.154,0.132,0.113,0.097,0.083,0.071,0.061,0.052,0.045,0.038,0.033,0.028})/SUMPRODUCT({0.154,0.132,0.113,0.097,0.083,0.071,0.061,0.052,0.045,0.038,0.033,0.028})-SUMPRODUCT(終値!E104:AD104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2" s="570">
        <f>IF(T112="","",IF(銘柄管理!$F$5="下落▼",IF(AND(AD112="パーフェクト▲",OR(AE112="25日線押し目●",AE112="5日線押し目○")),"★逆張り候補",IF(AND(AD112="上昇トレンド▲",OR(AE112="25日線押し目●",AE112="5日線押し目○")),"○逆張り候補",IF(W112&lt;=30,IF(Z112&gt;0,"◎反発確認",IF(Z112&lt;-5,"△要注意・様子見","△売られ過ぎ注目")),"相場下落・見送り"))),IF(AND(T112&gt;=12,AD112="パーフェクト▲"),"★強い買い",IF(AND(T112&gt;=12,AD112="上昇トレンド▲"),"★強い買い",IF(AND(T112&gt;=8,OR(AE112="25日線押し目●",AE112="5日線押し目○")),"◎押し目買い",IF(T112&gt;=10,"○買い候補",IF(T112&gt;=6,"△注目",IF(T112&gt;=3,"様子見","見送り"))))))))</f>
        <v/>
      </c>
      <c r="Z112" s="616">
        <f>IF(AND(E112&lt;&gt;"",G112&lt;&gt;"",G112&lt;&gt;0),(E112-G112)/G112*100,"")</f>
        <v/>
      </c>
      <c r="AA112" s="176">
        <f>IF(OR(C112="",E112="",E112=0),"",IF(E112&gt;G112,"上昇▲",IF(E112&lt;G112,"下落▼","横ばい→")))</f>
        <v/>
      </c>
      <c r="AB112" s="438">
        <f>IF(C112="","",IFERROR(((終値!E114*0.333)+(終値!F114*0.222)+(終値!G114*0.148)+(終値!H114*0.099)+(終値!I114*0.066)+(終値!J114*0.044)+(終値!K114*0.029)+(終値!L114*0.019)+(終値!M114*0.013)+(終値!N114*0.009))/(0.333+0.222+0.148+0.099+0.066+0.044+0.029+0.019+0.013+0.009),""))</f>
        <v/>
      </c>
      <c r="AC112" s="438">
        <f>IF(C112="","",IFERROR(SUMPRODUCT((終値!E114:AC114)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2" s="439">
        <f>IF(OR(C112="",AB112="",AC112=""),"",IF(AND(E112&gt;AB112,AB112&gt;AC112),"パーフェクト▲",IF(E112&gt;AC112,"上昇トレンド▲",IF(AND(E112&lt;AB112,AB112&lt;AC112),"下降トレンド▼","もみ合い→"))))</f>
        <v/>
      </c>
      <c r="AE112" s="439">
        <f>IF(OR(C112="",AB112="",AC112=""),"",IF(AND(ABS(E112-AC112)/AC112&lt;=0.02,E112&gt;AC112),"25日押し目★",IF(AND(ABS(E112-AB112)/AB112&lt;=0.01,E112&gt;AB112),"5日押し目○","なし")))</f>
        <v/>
      </c>
      <c r="AF112" s="617">
        <f t="array" ref="AF112">IF(C112="","",IFERROR((INDEX(終値!$E:$E,MATCH(TEXT(C112,"0"),終値!$A:$A,0))-INDEX(終値!$E:$BL,MATCH(TEXT(C112,"0"),終値!$A:$A,0),$AL$2))/INDEX(終値!$E:$BL,MATCH(TEXT(C112,"0"),終値!$A:$A,0),$AL$2)*100,""))</f>
        <v/>
      </c>
      <c r="AG112" s="617">
        <f t="array" ref="AG112">IFERROR((終値!$E$5-INDEX(終値!$E$5:$BL$5,1,$AL$2))/INDEX(終値!$E$5:$BL$5,1,$AL$2)*100,"")</f>
        <v/>
      </c>
      <c r="AH112" s="618">
        <f>IF(OR(AF112="",AG112=""),"",AF112-AG112)</f>
        <v/>
      </c>
      <c r="AI112" s="385">
        <f>IF(AH112="","",IF(AH112&gt;5,3,IF(AH112&gt;0,1,IF(AH112&gt;-3,-1,-2))))</f>
        <v/>
      </c>
    </row>
    <row r="113" ht="18" customFormat="1" customHeight="1" s="187">
      <c r="A113" s="176">
        <f>IF(銘柄管理!B197&lt;&gt;"",HYPERLINK("https://kabutan.jp/stock/?code="&amp;銘柄管理!B197,"株探"),"")</f>
        <v/>
      </c>
      <c r="B113" s="177" t="n"/>
      <c r="C113" s="178">
        <f>IF(銘柄管理!B197="","",銘柄管理!B197)</f>
        <v/>
      </c>
      <c r="D113" s="106">
        <f>IF(銘柄管理!C197="","",銘柄管理!C197)</f>
        <v/>
      </c>
      <c r="E113" s="179">
        <f>IF(C113&lt;&gt;"",_xll.RssMarket(C113,"現在値"),"")</f>
        <v/>
      </c>
      <c r="F113" s="179">
        <f>IF(C113&lt;&gt;"",_xll.RssMarket(C113,"始値"),"")</f>
        <v/>
      </c>
      <c r="G113" s="178">
        <f>IF(C113&lt;&gt;"",終値!F197,"")</f>
        <v/>
      </c>
      <c r="H113" s="179">
        <f>IF(C113&lt;&gt;"",_xll.RssMarket(C113,"高値"),"")</f>
        <v/>
      </c>
      <c r="I113" s="179">
        <f>IF(C113&lt;&gt;"",_xll.RssMarket(C113,"安値"),"")</f>
        <v/>
      </c>
      <c r="J113" s="179">
        <f>IF(C113&lt;&gt;"",_xll.RssMarket(C113,"出来高"),"")</f>
        <v/>
      </c>
      <c r="K113" s="179">
        <f>IF(C113&lt;&gt;"",_xll.RssMarket(C113,"年初来高値"),"")</f>
        <v/>
      </c>
      <c r="L113" s="613">
        <f>IF(AND(E113&lt;&gt;"",K113&lt;&gt;"",K113&lt;&gt;0),(E113-K113)/K113*100,"")</f>
        <v/>
      </c>
      <c r="M113" s="179">
        <f>IF(C113&lt;&gt;"",IFERROR(AVERAGE(出来高!E197:I197),""),"")</f>
        <v/>
      </c>
      <c r="N113" s="179">
        <f>IF(C113&lt;&gt;"",IFERROR(AVERAGE(出来高!E197:AC197),""),"")</f>
        <v/>
      </c>
      <c r="O113" s="614">
        <f>IF(AND(J113&lt;&gt;"",M113&lt;&gt;"",M113&lt;&gt;0),J113/M113,"")</f>
        <v/>
      </c>
      <c r="P113" s="176">
        <f>IF(O113="","",IF(O113&gt;=2,"急増↑↑",IF(O113&gt;=1.5,"増加↑",IF(O113&gt;=1,"普通→","減少↓"))))</f>
        <v/>
      </c>
      <c r="Q113" s="176">
        <f>IF(E113="","",IF(AND(E113&gt;G113,O113&gt;=1.5),"買い▲",IF(E113&lt;G113,"様子見▼","中立→")))</f>
        <v/>
      </c>
      <c r="R113" s="179">
        <f>IF(E113&lt;&gt;"",ROUND(E113*1.08,0),"")</f>
        <v/>
      </c>
      <c r="S113" s="179">
        <f>IF(E113&lt;&gt;"",ROUND(E113*0.96,0),"")</f>
        <v/>
      </c>
      <c r="T113" s="176">
        <f>IF(C113="","",IFERROR(IF(O113&gt;=2,3,IF(O113&gt;=1.5,2,IF(O113&gt;=1,1,0)))+IF(E113&gt;G113,1,0)+IF(L113&gt;=-5,1,0)+IF(Q113="買い▲",2,0)+IF(W113&lt;=30,3,IF(W113&lt;=40,2,IF(AND(W113&gt;=40,W113&lt;=60),1,0)))+IF(X113&gt;0,1,0)+IF(V113="年初来高値更新●",3,IF(V113="高値圏",2,0))+IF(AD113="パーフェクト▲",3,IF(AD113="上昇トレンド▲",2,0))+IF(AE113="25日線押し目●",2,IF(AE113="5日線押し目○",1,0))+IF(P113="急増↑↑",2,IF(P113="増加↑",1,0))+N(AI113),0))</f>
        <v/>
      </c>
      <c r="U113" s="176">
        <f>IF(T113="","",IF(AND(T113&gt;=3,O113&gt;=1.5),"有効",IF(T113&gt;=3,"要確認","除外")))</f>
        <v/>
      </c>
      <c r="V113" s="176">
        <f>IF(AND(H113&lt;&gt;"",K113&lt;&gt;""),IF(H113&gt;=K113,"年初来高値更新●",IF(H113&gt;=K113*0.95,"高値圏","通常")),"")</f>
        <v/>
      </c>
      <c r="W113" s="615">
        <f t="array" ref="W113">IF(C113&lt;&gt;"",IFERROR(100-100/(1+SUMPRODUCT((終値!F197:R197&gt;終値!G197:S197)*( 終値!F197:R197-終値!G197:S197))/SUMPRODUCT((終値!F197:R197&lt;終値!G197:S197)*(終値!G197:S197-終値!F197:R197))),50),"")</f>
        <v/>
      </c>
      <c r="X113" s="183">
        <f>IF(C113&lt;&gt;"",IFERROR(SUMPRODUCT(終値!E197:P197,{0.154,0.132,0.113,0.097,0.083,0.071,0.061,0.052,0.045,0.038,0.033,0.028})/SUMPRODUCT({0.154,0.132,0.113,0.097,0.083,0.071,0.061,0.052,0.045,0.038,0.033,0.028})-SUMPRODUCT(終値!E197:AD197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3" s="570">
        <f>IF(T113="","",IF(銘柄管理!$F$5="下落▼",IF(AND(AD113="パーフェクト▲",OR(AE113="25日線押し目●",AE113="5日線押し目○")),"★逆張り候補",IF(AND(AD113="上昇トレンド▲",OR(AE113="25日線押し目●",AE113="5日線押し目○")),"○逆張り候補",IF(W113&lt;=30,IF(Z113&gt;0,"◎反発確認",IF(Z113&lt;-5,"△要注意・様子見","△売られ過ぎ注目")),"相場下落・見送り"))),IF(AND(T113&gt;=12,AD113="パーフェクト▲"),"★強い買い",IF(AND(T113&gt;=12,AD113="上昇トレンド▲"),"★強い買い",IF(AND(T113&gt;=8,OR(AE113="25日線押し目●",AE113="5日線押し目○")),"◎押し目買い",IF(T113&gt;=10,"○買い候補",IF(T113&gt;=6,"△注目",IF(T113&gt;=3,"様子見","見送り"))))))))</f>
        <v/>
      </c>
      <c r="Z113" s="616">
        <f>IF(AND(E113&lt;&gt;"",G113&lt;&gt;"",G113&lt;&gt;0),(E113-G113)/G113*100,"")</f>
        <v/>
      </c>
      <c r="AA113" s="176">
        <f>IF(OR(C113="",E113="",E113=0),"",IF(E113&gt;G113,"上昇▲",IF(E113&lt;G113,"下落▼","横ばい→")))</f>
        <v/>
      </c>
      <c r="AB113" s="440">
        <f>IF(C113="","",IFERROR(((終値!E115*0.333)+(終値!F115*0.222)+(終値!G115*0.148)+(終値!H115*0.099)+(終値!I115*0.066)+(終値!J115*0.044)+(終値!K115*0.029)+(終値!L115*0.019)+(終値!M115*0.013)+(終値!N115*0.009))/(0.333+0.222+0.148+0.099+0.066+0.044+0.029+0.019+0.013+0.009),""))</f>
        <v/>
      </c>
      <c r="AC113" s="440">
        <f>IF(C113="","",IFERROR(SUMPRODUCT((終値!E115:AC115)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3" s="441">
        <f>IF(OR(C113="",AB113="",AC113=""),"",IF(AND(E113&gt;AB113,AB113&gt;AC113),"パーフェクト▲",IF(E113&gt;AC113,"上昇トレンド▲",IF(AND(E113&lt;AB113,AB113&lt;AC113),"下降トレンド▼","もみ合い→"))))</f>
        <v/>
      </c>
      <c r="AE113" s="441">
        <f>IF(OR(C113="",AB113="",AC113=""),"",IF(AND(ABS(E113-AC113)/AC113&lt;=0.02,E113&gt;AC113),"25日押し目★",IF(AND(ABS(E113-AB113)/AB113&lt;=0.01,E113&gt;AB113),"5日押し目○","なし")))</f>
        <v/>
      </c>
      <c r="AF113" s="617">
        <f t="array" ref="AF113">IF(C113="","",IFERROR((INDEX(終値!$E:$E,MATCH(TEXT(C113,"0"),終値!$A:$A,0))-INDEX(終値!$E:$BL,MATCH(TEXT(C113,"0"),終値!$A:$A,0),$AL$2))/INDEX(終値!$E:$BL,MATCH(TEXT(C113,"0"),終値!$A:$A,0),$AL$2)*100,""))</f>
        <v/>
      </c>
      <c r="AG113" s="617">
        <f t="array" ref="AG113">IFERROR((終値!$E$5-INDEX(終値!$E$5:$BL$5,1,$AL$2))/INDEX(終値!$E$5:$BL$5,1,$AL$2)*100,"")</f>
        <v/>
      </c>
      <c r="AH113" s="618">
        <f>IF(OR(AF113="",AG113=""),"",AF113-AG113)</f>
        <v/>
      </c>
      <c r="AI113" s="385">
        <f>IF(AH113="","",IF(AH113&gt;5,3,IF(AH113&gt;0,1,IF(AH113&gt;-3,-1,-2))))</f>
        <v/>
      </c>
    </row>
    <row r="114" ht="18" customFormat="1" customHeight="1" s="187">
      <c r="A114" s="176">
        <f>IF(銘柄管理!B92&lt;&gt;"",HYPERLINK("https://kabutan.jp/stock/?code="&amp;銘柄管理!B92,"株探"),"")</f>
        <v/>
      </c>
      <c r="B114" s="177" t="n"/>
      <c r="C114" s="178">
        <f>IF(銘柄管理!B92="","",銘柄管理!B92)</f>
        <v/>
      </c>
      <c r="D114" s="106">
        <f>IF(銘柄管理!C92="","",銘柄管理!C92)</f>
        <v/>
      </c>
      <c r="E114" s="179">
        <f>IF(C114&lt;&gt;"",_xll.RssMarket(C114,"現在値"),"")</f>
        <v/>
      </c>
      <c r="F114" s="179">
        <f>IF(C114&lt;&gt;"",_xll.RssMarket(C114,"始値"),"")</f>
        <v/>
      </c>
      <c r="G114" s="178">
        <f>IF(C114&lt;&gt;"",終値!F92,"")</f>
        <v/>
      </c>
      <c r="H114" s="179">
        <f>IF(C114&lt;&gt;"",_xll.RssMarket(C114,"高値"),"")</f>
        <v/>
      </c>
      <c r="I114" s="179">
        <f>IF(C114&lt;&gt;"",_xll.RssMarket(C114,"安値"),"")</f>
        <v/>
      </c>
      <c r="J114" s="179">
        <f>IF(C114&lt;&gt;"",_xll.RssMarket(C114,"出来高"),"")</f>
        <v/>
      </c>
      <c r="K114" s="179">
        <f>IF(C114&lt;&gt;"",_xll.RssMarket(C114,"年初来高値"),"")</f>
        <v/>
      </c>
      <c r="L114" s="613">
        <f>IF(AND(E114&lt;&gt;"",K114&lt;&gt;"",K114&lt;&gt;0),(E114-K114)/K114*100,"")</f>
        <v/>
      </c>
      <c r="M114" s="179">
        <f>IF(C114&lt;&gt;"",IFERROR(AVERAGE(出来高!E92:I92),""),"")</f>
        <v/>
      </c>
      <c r="N114" s="179">
        <f>IF(C114&lt;&gt;"",IFERROR(AVERAGE(出来高!E92:AC92),""),"")</f>
        <v/>
      </c>
      <c r="O114" s="614">
        <f>IF(AND(J114&lt;&gt;"",M114&lt;&gt;"",M114&lt;&gt;0),J114/M114,"")</f>
        <v/>
      </c>
      <c r="P114" s="176">
        <f>IF(O114="","",IF(O114&gt;=2,"急増↑↑",IF(O114&gt;=1.5,"増加↑",IF(O114&gt;=1,"普通→","減少↓"))))</f>
        <v/>
      </c>
      <c r="Q114" s="176">
        <f>IF(E114="","",IF(AND(E114&gt;G114,O114&gt;=1.5),"買い▲",IF(E114&lt;G114,"様子見▼","中立→")))</f>
        <v/>
      </c>
      <c r="R114" s="179">
        <f>IF(E114&lt;&gt;"",ROUND(E114*1.08,0),"")</f>
        <v/>
      </c>
      <c r="S114" s="179">
        <f>IF(E114&lt;&gt;"",ROUND(E114*0.96,0),"")</f>
        <v/>
      </c>
      <c r="T114" s="176">
        <f>IF(C114="","",IFERROR(IF(O114&gt;=2,3,IF(O114&gt;=1.5,2,IF(O114&gt;=1,1,0)))+IF(E114&gt;G114,1,0)+IF(L114&gt;=-5,1,0)+IF(Q114="買い▲",2,0)+IF(W114&lt;=30,3,IF(W114&lt;=40,2,IF(AND(W114&gt;=40,W114&lt;=60),1,0)))+IF(X114&gt;0,1,0)+IF(V114="年初来高値更新●",3,IF(V114="高値圏",2,0))+IF(AD114="パーフェクト▲",3,IF(AD114="上昇トレンド▲",2,0))+IF(AE114="25日線押し目●",2,IF(AE114="5日線押し目○",1,0))+IF(P114="急増↑↑",2,IF(P114="増加↑",1,0))+N(AI114),0))</f>
        <v/>
      </c>
      <c r="U114" s="176">
        <f>IF(T114="","",IF(AND(T114&gt;=3,O114&gt;=1.5),"有効",IF(T114&gt;=3,"要確認","除外")))</f>
        <v/>
      </c>
      <c r="V114" s="176">
        <f>IF(AND(H114&lt;&gt;"",K114&lt;&gt;""),IF(H114&gt;=K114,"年初来高値更新●",IF(H114&gt;=K114*0.95,"高値圏","通常")),"")</f>
        <v/>
      </c>
      <c r="W114" s="615">
        <f t="array" ref="W114">IF(C114&lt;&gt;"",IFERROR(100-100/(1+SUMPRODUCT((終値!F92:R92&gt;終値!G92:S92)*( 終値!F92:R92-終値!G92:S92))/SUMPRODUCT((終値!F92:R92&lt;終値!G92:S92)*(終値!G92:S92-終値!F92:R92))),50),"")</f>
        <v/>
      </c>
      <c r="X114" s="183">
        <f>IF(C114&lt;&gt;"",IFERROR(SUMPRODUCT(終値!E92:P92,{0.154,0.132,0.113,0.097,0.083,0.071,0.061,0.052,0.045,0.038,0.033,0.028})/SUMPRODUCT({0.154,0.132,0.113,0.097,0.083,0.071,0.061,0.052,0.045,0.038,0.033,0.028})-SUMPRODUCT(終値!E92:AD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4" s="570">
        <f>IF(T114="","",IF(銘柄管理!$F$5="下落▼",IF(AND(AD114="パーフェクト▲",OR(AE114="25日線押し目●",AE114="5日線押し目○")),"★逆張り候補",IF(AND(AD114="上昇トレンド▲",OR(AE114="25日線押し目●",AE114="5日線押し目○")),"○逆張り候補",IF(W114&lt;=30,IF(Z114&gt;0,"◎反発確認",IF(Z114&lt;-5,"△要注意・様子見","△売られ過ぎ注目")),"相場下落・見送り"))),IF(AND(T114&gt;=12,AD114="パーフェクト▲"),"★強い買い",IF(AND(T114&gt;=12,AD114="上昇トレンド▲"),"★強い買い",IF(AND(T114&gt;=8,OR(AE114="25日線押し目●",AE114="5日線押し目○")),"◎押し目買い",IF(T114&gt;=10,"○買い候補",IF(T114&gt;=6,"△注目",IF(T114&gt;=3,"様子見","見送り"))))))))</f>
        <v/>
      </c>
      <c r="Z114" s="616">
        <f>IF(AND(E114&lt;&gt;"",G114&lt;&gt;"",G114&lt;&gt;0),(E114-G114)/G114*100,"")</f>
        <v/>
      </c>
      <c r="AA114" s="176">
        <f>IF(OR(C114="",E114="",E114=0),"",IF(E114&gt;G114,"上昇▲",IF(E114&lt;G114,"下落▼","横ばい→")))</f>
        <v/>
      </c>
      <c r="AB114" s="438">
        <f>IF(C114="","",IFERROR(((終値!E116*0.333)+(終値!F116*0.222)+(終値!G116*0.148)+(終値!H116*0.099)+(終値!I116*0.066)+(終値!J116*0.044)+(終値!K116*0.029)+(終値!L116*0.019)+(終値!M116*0.013)+(終値!N116*0.009))/(0.333+0.222+0.148+0.099+0.066+0.044+0.029+0.019+0.013+0.009),""))</f>
        <v/>
      </c>
      <c r="AC114" s="438">
        <f>IF(C114="","",IFERROR(SUMPRODUCT((終値!E116:AC116)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4" s="439">
        <f>IF(OR(C114="",AB114="",AC114=""),"",IF(AND(E114&gt;AB114,AB114&gt;AC114),"パーフェクト▲",IF(E114&gt;AC114,"上昇トレンド▲",IF(AND(E114&lt;AB114,AB114&lt;AC114),"下降トレンド▼","もみ合い→"))))</f>
        <v/>
      </c>
      <c r="AE114" s="439">
        <f>IF(OR(C114="",AB114="",AC114=""),"",IF(AND(ABS(E114-AC114)/AC114&lt;=0.02,E114&gt;AC114),"25日押し目★",IF(AND(ABS(E114-AB114)/AB114&lt;=0.01,E114&gt;AB114),"5日押し目○","なし")))</f>
        <v/>
      </c>
      <c r="AF114" s="617">
        <f t="array" ref="AF114">IF(C114="","",IFERROR((INDEX(終値!$E:$E,MATCH(TEXT(C114,"0"),終値!$A:$A,0))-INDEX(終値!$E:$BL,MATCH(TEXT(C114,"0"),終値!$A:$A,0),$AL$2))/INDEX(終値!$E:$BL,MATCH(TEXT(C114,"0"),終値!$A:$A,0),$AL$2)*100,""))</f>
        <v/>
      </c>
      <c r="AG114" s="617">
        <f t="array" ref="AG114">IFERROR((終値!$E$5-INDEX(終値!$E$5:$BL$5,1,$AL$2))/INDEX(終値!$E$5:$BL$5,1,$AL$2)*100,"")</f>
        <v/>
      </c>
      <c r="AH114" s="618">
        <f>IF(OR(AF114="",AG114=""),"",AF114-AG114)</f>
        <v/>
      </c>
      <c r="AI114" s="385">
        <f>IF(AH114="","",IF(AH114&gt;5,3,IF(AH114&gt;0,1,IF(AH114&gt;-3,-1,-2))))</f>
        <v/>
      </c>
    </row>
    <row r="115" ht="18" customFormat="1" customHeight="1" s="187">
      <c r="A115" s="176">
        <f>IF(銘柄管理!B137&lt;&gt;"",HYPERLINK("https://kabutan.jp/stock/?code="&amp;銘柄管理!B137,"株探"),"")</f>
        <v/>
      </c>
      <c r="B115" s="177" t="n"/>
      <c r="C115" s="178">
        <f>IF(銘柄管理!B137="","",銘柄管理!B137)</f>
        <v/>
      </c>
      <c r="D115" s="106">
        <f>IF(銘柄管理!C137="","",銘柄管理!C137)</f>
        <v/>
      </c>
      <c r="E115" s="179">
        <f>IF(C115&lt;&gt;"",_xll.RssMarket(C115,"現在値"),"")</f>
        <v/>
      </c>
      <c r="F115" s="179">
        <f>IF(C115&lt;&gt;"",_xll.RssMarket(C115,"始値"),"")</f>
        <v/>
      </c>
      <c r="G115" s="178">
        <f>IF(C115&lt;&gt;"",終値!F137,"")</f>
        <v/>
      </c>
      <c r="H115" s="179">
        <f>IF(C115&lt;&gt;"",_xll.RssMarket(C115,"高値"),"")</f>
        <v/>
      </c>
      <c r="I115" s="179">
        <f>IF(C115&lt;&gt;"",_xll.RssMarket(C115,"安値"),"")</f>
        <v/>
      </c>
      <c r="J115" s="179">
        <f>IF(C115&lt;&gt;"",_xll.RssMarket(C115,"出来高"),"")</f>
        <v/>
      </c>
      <c r="K115" s="179">
        <f>IF(C115&lt;&gt;"",_xll.RssMarket(C115,"年初来高値"),"")</f>
        <v/>
      </c>
      <c r="L115" s="613">
        <f>IF(AND(E115&lt;&gt;"",K115&lt;&gt;"",K115&lt;&gt;0),(E115-K115)/K115*100,"")</f>
        <v/>
      </c>
      <c r="M115" s="179">
        <f>IF(C115&lt;&gt;"",IFERROR(AVERAGE(出来高!E137:I137),""),"")</f>
        <v/>
      </c>
      <c r="N115" s="179">
        <f>IF(C115&lt;&gt;"",IFERROR(AVERAGE(出来高!E137:AC137),""),"")</f>
        <v/>
      </c>
      <c r="O115" s="614">
        <f>IF(AND(J115&lt;&gt;"",M115&lt;&gt;"",M115&lt;&gt;0),J115/M115,"")</f>
        <v/>
      </c>
      <c r="P115" s="176">
        <f>IF(O115="","",IF(O115&gt;=2,"急増↑↑",IF(O115&gt;=1.5,"増加↑",IF(O115&gt;=1,"普通→","減少↓"))))</f>
        <v/>
      </c>
      <c r="Q115" s="176">
        <f>IF(E115="","",IF(AND(E115&gt;G115,O115&gt;=1.5),"買い▲",IF(E115&lt;G115,"様子見▼","中立→")))</f>
        <v/>
      </c>
      <c r="R115" s="179">
        <f>IF(E115&lt;&gt;"",ROUND(E115*1.08,0),"")</f>
        <v/>
      </c>
      <c r="S115" s="179">
        <f>IF(E115&lt;&gt;"",ROUND(E115*0.96,0),"")</f>
        <v/>
      </c>
      <c r="T115" s="176">
        <f>IF(C115="","",IFERROR(IF(O115&gt;=2,3,IF(O115&gt;=1.5,2,IF(O115&gt;=1,1,0)))+IF(E115&gt;G115,1,0)+IF(L115&gt;=-5,1,0)+IF(Q115="買い▲",2,0)+IF(W115&lt;=30,3,IF(W115&lt;=40,2,IF(AND(W115&gt;=40,W115&lt;=60),1,0)))+IF(X115&gt;0,1,0)+IF(V115="年初来高値更新●",3,IF(V115="高値圏",2,0))+IF(AD115="パーフェクト▲",3,IF(AD115="上昇トレンド▲",2,0))+IF(AE115="25日線押し目●",2,IF(AE115="5日線押し目○",1,0))+IF(P115="急増↑↑",2,IF(P115="増加↑",1,0))+N(AI115),0))</f>
        <v/>
      </c>
      <c r="U115" s="176">
        <f>IF(T115="","",IF(AND(T115&gt;=3,O115&gt;=1.5),"有効",IF(T115&gt;=3,"要確認","除外")))</f>
        <v/>
      </c>
      <c r="V115" s="176">
        <f>IF(AND(H115&lt;&gt;"",K115&lt;&gt;""),IF(H115&gt;=K115,"年初来高値更新●",IF(H115&gt;=K115*0.95,"高値圏","通常")),"")</f>
        <v/>
      </c>
      <c r="W115" s="615">
        <f t="array" ref="W115">IF(C115&lt;&gt;"",IFERROR(100-100/(1+SUMPRODUCT((終値!F137:R137&gt;終値!G137:S137)*( 終値!F137:R137-終値!G137:S137))/SUMPRODUCT((終値!F137:R137&lt;終値!G137:S137)*(終値!G137:S137-終値!F137:R137))),50),"")</f>
        <v/>
      </c>
      <c r="X115" s="183">
        <f>IF(C115&lt;&gt;"",IFERROR(SUMPRODUCT(終値!E137:P137,{0.154,0.132,0.113,0.097,0.083,0.071,0.061,0.052,0.045,0.038,0.033,0.028})/SUMPRODUCT({0.154,0.132,0.113,0.097,0.083,0.071,0.061,0.052,0.045,0.038,0.033,0.028})-SUMPRODUCT(終値!E137:AD137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5" s="570">
        <f>IF(T115="","",IF(銘柄管理!$F$5="下落▼",IF(AND(AD115="パーフェクト▲",OR(AE115="25日線押し目●",AE115="5日線押し目○")),"★逆張り候補",IF(AND(AD115="上昇トレンド▲",OR(AE115="25日線押し目●",AE115="5日線押し目○")),"○逆張り候補",IF(W115&lt;=30,IF(Z115&gt;0,"◎反発確認",IF(Z115&lt;-5,"△要注意・様子見","△売られ過ぎ注目")),"相場下落・見送り"))),IF(AND(T115&gt;=12,AD115="パーフェクト▲"),"★強い買い",IF(AND(T115&gt;=12,AD115="上昇トレンド▲"),"★強い買い",IF(AND(T115&gt;=8,OR(AE115="25日線押し目●",AE115="5日線押し目○")),"◎押し目買い",IF(T115&gt;=10,"○買い候補",IF(T115&gt;=6,"△注目",IF(T115&gt;=3,"様子見","見送り"))))))))</f>
        <v/>
      </c>
      <c r="Z115" s="616">
        <f>IF(AND(E115&lt;&gt;"",G115&lt;&gt;"",G115&lt;&gt;0),(E115-G115)/G115*100,"")</f>
        <v/>
      </c>
      <c r="AA115" s="176">
        <f>IF(OR(C115="",E115="",E115=0),"",IF(E115&gt;G115,"上昇▲",IF(E115&lt;G115,"下落▼","横ばい→")))</f>
        <v/>
      </c>
      <c r="AB115" s="440">
        <f>IF(C115="","",IFERROR(((終値!E117*0.333)+(終値!F117*0.222)+(終値!G117*0.148)+(終値!H117*0.099)+(終値!I117*0.066)+(終値!J117*0.044)+(終値!K117*0.029)+(終値!L117*0.019)+(終値!M117*0.013)+(終値!N117*0.009))/(0.333+0.222+0.148+0.099+0.066+0.044+0.029+0.019+0.013+0.009),""))</f>
        <v/>
      </c>
      <c r="AC115" s="440">
        <f>IF(C115="","",IFERROR(SUMPRODUCT((終値!E117:AC117)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5" s="441">
        <f>IF(OR(C115="",AB115="",AC115=""),"",IF(AND(E115&gt;AB115,AB115&gt;AC115),"パーフェクト▲",IF(E115&gt;AC115,"上昇トレンド▲",IF(AND(E115&lt;AB115,AB115&lt;AC115),"下降トレンド▼","もみ合い→"))))</f>
        <v/>
      </c>
      <c r="AE115" s="441">
        <f>IF(OR(C115="",AB115="",AC115=""),"",IF(AND(ABS(E115-AC115)/AC115&lt;=0.02,E115&gt;AC115),"25日押し目★",IF(AND(ABS(E115-AB115)/AB115&lt;=0.01,E115&gt;AB115),"5日押し目○","なし")))</f>
        <v/>
      </c>
      <c r="AF115" s="617">
        <f t="array" ref="AF115">IF(C115="","",IFERROR((INDEX(終値!$E:$E,MATCH(TEXT(C115,"0"),終値!$A:$A,0))-INDEX(終値!$E:$BL,MATCH(TEXT(C115,"0"),終値!$A:$A,0),$AL$2))/INDEX(終値!$E:$BL,MATCH(TEXT(C115,"0"),終値!$A:$A,0),$AL$2)*100,""))</f>
        <v/>
      </c>
      <c r="AG115" s="617">
        <f t="array" ref="AG115">IFERROR((終値!$E$5-INDEX(終値!$E$5:$BL$5,1,$AL$2))/INDEX(終値!$E$5:$BL$5,1,$AL$2)*100,"")</f>
        <v/>
      </c>
      <c r="AH115" s="618">
        <f>IF(OR(AF115="",AG115=""),"",AF115-AG115)</f>
        <v/>
      </c>
      <c r="AI115" s="385">
        <f>IF(AH115="","",IF(AH115&gt;5,3,IF(AH115&gt;0,1,IF(AH115&gt;-3,-1,-2))))</f>
        <v/>
      </c>
    </row>
    <row r="116" ht="18" customFormat="1" customHeight="1" s="187">
      <c r="A116" s="176">
        <f>IF(銘柄管理!B72&lt;&gt;"",HYPERLINK("https://kabutan.jp/stock/?code="&amp;銘柄管理!B72,"株探"),"")</f>
        <v/>
      </c>
      <c r="B116" s="177" t="n"/>
      <c r="C116" s="178">
        <f>IF(銘柄管理!B72="","",銘柄管理!B72)</f>
        <v/>
      </c>
      <c r="D116" s="106">
        <f>IF(銘柄管理!C72="","",銘柄管理!C72)</f>
        <v/>
      </c>
      <c r="E116" s="179">
        <f>IF(C116&lt;&gt;"",_xll.RssMarket(C116,"現在値"),"")</f>
        <v/>
      </c>
      <c r="F116" s="179">
        <f>IF(C116&lt;&gt;"",_xll.RssMarket(C116,"始値"),"")</f>
        <v/>
      </c>
      <c r="G116" s="178">
        <f>IF(C116&lt;&gt;"",終値!F72,"")</f>
        <v/>
      </c>
      <c r="H116" s="179">
        <f>IF(C116&lt;&gt;"",_xll.RssMarket(C116,"高値"),"")</f>
        <v/>
      </c>
      <c r="I116" s="179">
        <f>IF(C116&lt;&gt;"",_xll.RssMarket(C116,"安値"),"")</f>
        <v/>
      </c>
      <c r="J116" s="179">
        <f>IF(C116&lt;&gt;"",_xll.RssMarket(C116,"出来高"),"")</f>
        <v/>
      </c>
      <c r="K116" s="179">
        <f>IF(C116&lt;&gt;"",_xll.RssMarket(C116,"年初来高値"),"")</f>
        <v/>
      </c>
      <c r="L116" s="613">
        <f>IF(AND(E116&lt;&gt;"",K116&lt;&gt;"",K116&lt;&gt;0),(E116-K116)/K116*100,"")</f>
        <v/>
      </c>
      <c r="M116" s="179">
        <f>IF(C116&lt;&gt;"",IFERROR(AVERAGE(出来高!E72:I72),""),"")</f>
        <v/>
      </c>
      <c r="N116" s="179">
        <f>IF(C116&lt;&gt;"",IFERROR(AVERAGE(出来高!E72:AC72),""),"")</f>
        <v/>
      </c>
      <c r="O116" s="614">
        <f>IF(AND(J116&lt;&gt;"",M116&lt;&gt;"",M116&lt;&gt;0),J116/M116,"")</f>
        <v/>
      </c>
      <c r="P116" s="176">
        <f>IF(O116="","",IF(O116&gt;=2,"急増↑↑",IF(O116&gt;=1.5,"増加↑",IF(O116&gt;=1,"普通→","減少↓"))))</f>
        <v/>
      </c>
      <c r="Q116" s="176">
        <f>IF(E116="","",IF(AND(E116&gt;G116,O116&gt;=1.5),"買い▲",IF(E116&lt;G116,"様子見▼","中立→")))</f>
        <v/>
      </c>
      <c r="R116" s="179">
        <f>IF(E116&lt;&gt;"",ROUND(E116*1.08,0),"")</f>
        <v/>
      </c>
      <c r="S116" s="179">
        <f>IF(E116&lt;&gt;"",ROUND(E116*0.96,0),"")</f>
        <v/>
      </c>
      <c r="T116" s="176">
        <f>IF(C116="","",IFERROR(IF(O116&gt;=2,3,IF(O116&gt;=1.5,2,IF(O116&gt;=1,1,0)))+IF(E116&gt;G116,1,0)+IF(L116&gt;=-5,1,0)+IF(Q116="買い▲",2,0)+IF(W116&lt;=30,3,IF(W116&lt;=40,2,IF(AND(W116&gt;=40,W116&lt;=60),1,0)))+IF(X116&gt;0,1,0)+IF(V116="年初来高値更新●",3,IF(V116="高値圏",2,0))+IF(AD116="パーフェクト▲",3,IF(AD116="上昇トレンド▲",2,0))+IF(AE116="25日線押し目●",2,IF(AE116="5日線押し目○",1,0))+IF(P116="急増↑↑",2,IF(P116="増加↑",1,0))+N(AI116),0))</f>
        <v/>
      </c>
      <c r="U116" s="176">
        <f>IF(T116="","",IF(AND(T116&gt;=3,O116&gt;=1.5),"有効",IF(T116&gt;=3,"要確認","除外")))</f>
        <v/>
      </c>
      <c r="V116" s="176">
        <f>IF(AND(H116&lt;&gt;"",K116&lt;&gt;""),IF(H116&gt;=K116,"年初来高値更新●",IF(H116&gt;=K116*0.95,"高値圏","通常")),"")</f>
        <v/>
      </c>
      <c r="W116" s="615">
        <f t="array" ref="W116">IF(C116&lt;&gt;"",IFERROR(100-100/(1+SUMPRODUCT((終値!F72:R72&gt;終値!G72:S72)*( 終値!F72:R72-終値!G72:S72))/SUMPRODUCT((終値!F72:R72&lt;終値!G72:S72)*(終値!G72:S72-終値!F72:R72))),50),"")</f>
        <v/>
      </c>
      <c r="X116" s="183">
        <f>IF(C116&lt;&gt;"",IFERROR(SUMPRODUCT(終値!E72:P72,{0.154,0.132,0.113,0.097,0.083,0.071,0.061,0.052,0.045,0.038,0.033,0.028})/SUMPRODUCT({0.154,0.132,0.113,0.097,0.083,0.071,0.061,0.052,0.045,0.038,0.033,0.028})-SUMPRODUCT(終値!E72:AD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6" s="570">
        <f>IF(T116="","",IF(銘柄管理!$F$5="下落▼",IF(AND(AD116="パーフェクト▲",OR(AE116="25日線押し目●",AE116="5日線押し目○")),"★逆張り候補",IF(AND(AD116="上昇トレンド▲",OR(AE116="25日線押し目●",AE116="5日線押し目○")),"○逆張り候補",IF(W116&lt;=30,IF(Z116&gt;0,"◎反発確認",IF(Z116&lt;-5,"△要注意・様子見","△売られ過ぎ注目")),"相場下落・見送り"))),IF(AND(T116&gt;=12,AD116="パーフェクト▲"),"★強い買い",IF(AND(T116&gt;=12,AD116="上昇トレンド▲"),"★強い買い",IF(AND(T116&gt;=8,OR(AE116="25日線押し目●",AE116="5日線押し目○")),"◎押し目買い",IF(T116&gt;=10,"○買い候補",IF(T116&gt;=6,"△注目",IF(T116&gt;=3,"様子見","見送り"))))))))</f>
        <v/>
      </c>
      <c r="Z116" s="616">
        <f>IF(AND(E116&lt;&gt;"",G116&lt;&gt;"",G116&lt;&gt;0),(E116-G116)/G116*100,"")</f>
        <v/>
      </c>
      <c r="AA116" s="176">
        <f>IF(OR(C116="",E116="",E116=0),"",IF(E116&gt;G116,"上昇▲",IF(E116&lt;G116,"下落▼","横ばい→")))</f>
        <v/>
      </c>
      <c r="AB116" s="438">
        <f>IF(C116="","",IFERROR(((終値!E118*0.333)+(終値!F118*0.222)+(終値!G118*0.148)+(終値!H118*0.099)+(終値!I118*0.066)+(終値!J118*0.044)+(終値!K118*0.029)+(終値!L118*0.019)+(終値!M118*0.013)+(終値!N118*0.009))/(0.333+0.222+0.148+0.099+0.066+0.044+0.029+0.019+0.013+0.009),""))</f>
        <v/>
      </c>
      <c r="AC116" s="438">
        <f>IF(C116="","",IFERROR(SUMPRODUCT((終値!E118:AC118)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6" s="439">
        <f>IF(OR(C116="",AB116="",AC116=""),"",IF(AND(E116&gt;AB116,AB116&gt;AC116),"パーフェクト▲",IF(E116&gt;AC116,"上昇トレンド▲",IF(AND(E116&lt;AB116,AB116&lt;AC116),"下降トレンド▼","もみ合い→"))))</f>
        <v/>
      </c>
      <c r="AE116" s="439">
        <f>IF(OR(C116="",AB116="",AC116=""),"",IF(AND(ABS(E116-AC116)/AC116&lt;=0.02,E116&gt;AC116),"25日押し目★",IF(AND(ABS(E116-AB116)/AB116&lt;=0.01,E116&gt;AB116),"5日押し目○","なし")))</f>
        <v/>
      </c>
      <c r="AF116" s="617">
        <f t="array" ref="AF116">IF(C116="","",IFERROR((INDEX(終値!$E:$E,MATCH(TEXT(C116,"0"),終値!$A:$A,0))-INDEX(終値!$E:$BL,MATCH(TEXT(C116,"0"),終値!$A:$A,0),$AL$2))/INDEX(終値!$E:$BL,MATCH(TEXT(C116,"0"),終値!$A:$A,0),$AL$2)*100,""))</f>
        <v/>
      </c>
      <c r="AG116" s="617">
        <f t="array" ref="AG116">IFERROR((終値!$E$5-INDEX(終値!$E$5:$BL$5,1,$AL$2))/INDEX(終値!$E$5:$BL$5,1,$AL$2)*100,"")</f>
        <v/>
      </c>
      <c r="AH116" s="618">
        <f>IF(OR(AF116="",AG116=""),"",AF116-AG116)</f>
        <v/>
      </c>
      <c r="AI116" s="385">
        <f>IF(AH116="","",IF(AH116&gt;5,3,IF(AH116&gt;0,1,IF(AH116&gt;-3,-1,-2))))</f>
        <v/>
      </c>
    </row>
    <row r="117" ht="18" customFormat="1" customHeight="1" s="187">
      <c r="A117" s="176">
        <f>IF(銘柄管理!B42&lt;&gt;"",HYPERLINK("https://kabutan.jp/stock/?code="&amp;銘柄管理!B42,"株探"),"")</f>
        <v/>
      </c>
      <c r="B117" s="177" t="n"/>
      <c r="C117" s="178">
        <f>IF(銘柄管理!B42="","",銘柄管理!B42)</f>
        <v/>
      </c>
      <c r="D117" s="106">
        <f>IF(銘柄管理!C42="","",銘柄管理!C42)</f>
        <v/>
      </c>
      <c r="E117" s="179">
        <f>IF(C117&lt;&gt;"",_xll.RssMarket(C117,"現在値"),"")</f>
        <v/>
      </c>
      <c r="F117" s="179">
        <f>IF(C117&lt;&gt;"",_xll.RssMarket(C117,"始値"),"")</f>
        <v/>
      </c>
      <c r="G117" s="178">
        <f>IF(C117&lt;&gt;"",終値!F42,"")</f>
        <v/>
      </c>
      <c r="H117" s="179">
        <f>IF(C117&lt;&gt;"",_xll.RssMarket(C117,"高値"),"")</f>
        <v/>
      </c>
      <c r="I117" s="179">
        <f>IF(C117&lt;&gt;"",_xll.RssMarket(C117,"安値"),"")</f>
        <v/>
      </c>
      <c r="J117" s="179">
        <f>IF(C117&lt;&gt;"",_xll.RssMarket(C117,"出来高"),"")</f>
        <v/>
      </c>
      <c r="K117" s="179">
        <f>IF(C117&lt;&gt;"",_xll.RssMarket(C117,"年初来高値"),"")</f>
        <v/>
      </c>
      <c r="L117" s="613">
        <f>IF(AND(E117&lt;&gt;"",K117&lt;&gt;"",K117&lt;&gt;0),(E117-K117)/K117*100,"")</f>
        <v/>
      </c>
      <c r="M117" s="179">
        <f>IF(C117&lt;&gt;"",IFERROR(AVERAGE(出来高!E42:I42),""),"")</f>
        <v/>
      </c>
      <c r="N117" s="179">
        <f>IF(C117&lt;&gt;"",IFERROR(AVERAGE(出来高!E42:AC42),""),"")</f>
        <v/>
      </c>
      <c r="O117" s="614">
        <f>IF(AND(J117&lt;&gt;"",M117&lt;&gt;"",M117&lt;&gt;0),J117/M117,"")</f>
        <v/>
      </c>
      <c r="P117" s="176">
        <f>IF(O117="","",IF(O117&gt;=2,"急増↑↑",IF(O117&gt;=1.5,"増加↑",IF(O117&gt;=1,"普通→","減少↓"))))</f>
        <v/>
      </c>
      <c r="Q117" s="176">
        <f>IF(E117="","",IF(AND(E117&gt;G117,O117&gt;=1.5),"買い▲",IF(E117&lt;G117,"様子見▼","中立→")))</f>
        <v/>
      </c>
      <c r="R117" s="179">
        <f>IF(E117&lt;&gt;"",ROUND(E117*1.08,0),"")</f>
        <v/>
      </c>
      <c r="S117" s="179">
        <f>IF(E117&lt;&gt;"",ROUND(E117*0.96,0),"")</f>
        <v/>
      </c>
      <c r="T117" s="176">
        <f>IF(C117="","",IFERROR(IF(O117&gt;=2,3,IF(O117&gt;=1.5,2,IF(O117&gt;=1,1,0)))+IF(E117&gt;G117,1,0)+IF(L117&gt;=-5,1,0)+IF(Q117="買い▲",2,0)+IF(W117&lt;=30,3,IF(W117&lt;=40,2,IF(AND(W117&gt;=40,W117&lt;=60),1,0)))+IF(X117&gt;0,1,0)+IF(V117="年初来高値更新●",3,IF(V117="高値圏",2,0))+IF(AD117="パーフェクト▲",3,IF(AD117="上昇トレンド▲",2,0))+IF(AE117="25日線押し目●",2,IF(AE117="5日線押し目○",1,0))+IF(P117="急増↑↑",2,IF(P117="増加↑",1,0))+N(AI117),0))</f>
        <v/>
      </c>
      <c r="U117" s="176">
        <f>IF(T117="","",IF(AND(T117&gt;=3,O117&gt;=1.5),"有効",IF(T117&gt;=3,"要確認","除外")))</f>
        <v/>
      </c>
      <c r="V117" s="176">
        <f>IF(AND(H117&lt;&gt;"",K117&lt;&gt;""),IF(H117&gt;=K117,"年初来高値更新●",IF(H117&gt;=K117*0.95,"高値圏","通常")),"")</f>
        <v/>
      </c>
      <c r="W117" s="615">
        <f t="array" ref="W117">IF(C117&lt;&gt;"",IFERROR(100-100/(1+SUMPRODUCT((終値!F42:R42&gt;終値!G42:S42)*( 終値!F42:R42-終値!G42:S42))/SUMPRODUCT((終値!F42:R42&lt;終値!G42:S42)*(終値!G42:S42-終値!F42:R42))),50),"")</f>
        <v/>
      </c>
      <c r="X117" s="183">
        <f>IF(C117&lt;&gt;"",IFERROR(SUMPRODUCT(終値!E42:P42,{0.154,0.132,0.113,0.097,0.083,0.071,0.061,0.052,0.045,0.038,0.033,0.028})/SUMPRODUCT({0.154,0.132,0.113,0.097,0.083,0.071,0.061,0.052,0.045,0.038,0.033,0.028})-SUMPRODUCT(終値!E42:AD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7" s="570">
        <f>IF(T117="","",IF(銘柄管理!$F$5="下落▼",IF(AND(AD117="パーフェクト▲",OR(AE117="25日線押し目●",AE117="5日線押し目○")),"★逆張り候補",IF(AND(AD117="上昇トレンド▲",OR(AE117="25日線押し目●",AE117="5日線押し目○")),"○逆張り候補",IF(W117&lt;=30,IF(Z117&gt;0,"◎反発確認",IF(Z117&lt;-5,"△要注意・様子見","△売られ過ぎ注目")),"相場下落・見送り"))),IF(AND(T117&gt;=12,AD117="パーフェクト▲"),"★強い買い",IF(AND(T117&gt;=12,AD117="上昇トレンド▲"),"★強い買い",IF(AND(T117&gt;=8,OR(AE117="25日線押し目●",AE117="5日線押し目○")),"◎押し目買い",IF(T117&gt;=10,"○買い候補",IF(T117&gt;=6,"△注目",IF(T117&gt;=3,"様子見","見送り"))))))))</f>
        <v/>
      </c>
      <c r="Z117" s="616">
        <f>IF(AND(E117&lt;&gt;"",G117&lt;&gt;"",G117&lt;&gt;0),(E117-G117)/G117*100,"")</f>
        <v/>
      </c>
      <c r="AA117" s="176">
        <f>IF(OR(C117="",E117="",E117=0),"",IF(E117&gt;G117,"上昇▲",IF(E117&lt;G117,"下落▼","横ばい→")))</f>
        <v/>
      </c>
      <c r="AB117" s="440">
        <f>IF(C117="","",IFERROR(((終値!E119*0.333)+(終値!F119*0.222)+(終値!G119*0.148)+(終値!H119*0.099)+(終値!I119*0.066)+(終値!J119*0.044)+(終値!K119*0.029)+(終値!L119*0.019)+(終値!M119*0.013)+(終値!N119*0.009))/(0.333+0.222+0.148+0.099+0.066+0.044+0.029+0.019+0.013+0.009),""))</f>
        <v/>
      </c>
      <c r="AC117" s="440">
        <f>IF(C117="","",IFERROR(SUMPRODUCT((終値!E119:AC119)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7" s="441">
        <f>IF(OR(C117="",AB117="",AC117=""),"",IF(AND(E117&gt;AB117,AB117&gt;AC117),"パーフェクト▲",IF(E117&gt;AC117,"上昇トレンド▲",IF(AND(E117&lt;AB117,AB117&lt;AC117),"下降トレンド▼","もみ合い→"))))</f>
        <v/>
      </c>
      <c r="AE117" s="441">
        <f>IF(OR(C117="",AB117="",AC117=""),"",IF(AND(ABS(E117-AC117)/AC117&lt;=0.02,E117&gt;AC117),"25日押し目★",IF(AND(ABS(E117-AB117)/AB117&lt;=0.01,E117&gt;AB117),"5日押し目○","なし")))</f>
        <v/>
      </c>
      <c r="AF117" s="617">
        <f t="array" ref="AF117">IF(C117="","",IFERROR((INDEX(終値!$E:$E,MATCH(TEXT(C117,"0"),終値!$A:$A,0))-INDEX(終値!$E:$BL,MATCH(TEXT(C117,"0"),終値!$A:$A,0),$AL$2))/INDEX(終値!$E:$BL,MATCH(TEXT(C117,"0"),終値!$A:$A,0),$AL$2)*100,""))</f>
        <v/>
      </c>
      <c r="AG117" s="617">
        <f t="array" ref="AG117">IFERROR((終値!$E$5-INDEX(終値!$E$5:$BL$5,1,$AL$2))/INDEX(終値!$E$5:$BL$5,1,$AL$2)*100,"")</f>
        <v/>
      </c>
      <c r="AH117" s="618">
        <f>IF(OR(AF117="",AG117=""),"",AF117-AG117)</f>
        <v/>
      </c>
      <c r="AI117" s="385">
        <f>IF(AH117="","",IF(AH117&gt;5,3,IF(AH117&gt;0,1,IF(AH117&gt;-3,-1,-2))))</f>
        <v/>
      </c>
    </row>
    <row r="118" ht="18" customFormat="1" customHeight="1" s="187">
      <c r="A118" s="176">
        <f>IF(銘柄管理!B36&lt;&gt;"",HYPERLINK("https://kabutan.jp/stock/?code="&amp;銘柄管理!B36,"株探"),"")</f>
        <v/>
      </c>
      <c r="B118" s="177" t="n"/>
      <c r="C118" s="178">
        <f>IF(銘柄管理!B36="","",銘柄管理!B36)</f>
        <v/>
      </c>
      <c r="D118" s="106">
        <f>IF(銘柄管理!C36="","",銘柄管理!C36)</f>
        <v/>
      </c>
      <c r="E118" s="179">
        <f>IF(C118&lt;&gt;"",_xll.RssMarket(C118,"現在値"),"")</f>
        <v/>
      </c>
      <c r="F118" s="179">
        <f>IF(C118&lt;&gt;"",_xll.RssMarket(C118,"始値"),"")</f>
        <v/>
      </c>
      <c r="G118" s="178">
        <f>IF(C118&lt;&gt;"",終値!F36,"")</f>
        <v/>
      </c>
      <c r="H118" s="179">
        <f>IF(C118&lt;&gt;"",_xll.RssMarket(C118,"高値"),"")</f>
        <v/>
      </c>
      <c r="I118" s="179">
        <f>IF(C118&lt;&gt;"",_xll.RssMarket(C118,"安値"),"")</f>
        <v/>
      </c>
      <c r="J118" s="179">
        <f>IF(C118&lt;&gt;"",_xll.RssMarket(C118,"出来高"),"")</f>
        <v/>
      </c>
      <c r="K118" s="179">
        <f>IF(C118&lt;&gt;"",_xll.RssMarket(C118,"年初来高値"),"")</f>
        <v/>
      </c>
      <c r="L118" s="613">
        <f>IF(AND(E118&lt;&gt;"",K118&lt;&gt;"",K118&lt;&gt;0),(E118-K118)/K118*100,"")</f>
        <v/>
      </c>
      <c r="M118" s="179">
        <f>IF(C118&lt;&gt;"",IFERROR(AVERAGE(出来高!E36:I36),""),"")</f>
        <v/>
      </c>
      <c r="N118" s="179">
        <f>IF(C118&lt;&gt;"",IFERROR(AVERAGE(出来高!E36:AC36),""),"")</f>
        <v/>
      </c>
      <c r="O118" s="614">
        <f>IF(AND(J118&lt;&gt;"",M118&lt;&gt;"",M118&lt;&gt;0),J118/M118,"")</f>
        <v/>
      </c>
      <c r="P118" s="176">
        <f>IF(O118="","",IF(O118&gt;=2,"急増↑↑",IF(O118&gt;=1.5,"増加↑",IF(O118&gt;=1,"普通→","減少↓"))))</f>
        <v/>
      </c>
      <c r="Q118" s="176">
        <f>IF(E118="","",IF(AND(E118&gt;G118,O118&gt;=1.5),"買い▲",IF(E118&lt;G118,"様子見▼","中立→")))</f>
        <v/>
      </c>
      <c r="R118" s="179">
        <f>IF(E118&lt;&gt;"",ROUND(E118*1.08,0),"")</f>
        <v/>
      </c>
      <c r="S118" s="179">
        <f>IF(E118&lt;&gt;"",ROUND(E118*0.96,0),"")</f>
        <v/>
      </c>
      <c r="T118" s="176">
        <f>IF(C118="","",IFERROR(IF(O118&gt;=2,3,IF(O118&gt;=1.5,2,IF(O118&gt;=1,1,0)))+IF(E118&gt;G118,1,0)+IF(L118&gt;=-5,1,0)+IF(Q118="買い▲",2,0)+IF(W118&lt;=30,3,IF(W118&lt;=40,2,IF(AND(W118&gt;=40,W118&lt;=60),1,0)))+IF(X118&gt;0,1,0)+IF(V118="年初来高値更新●",3,IF(V118="高値圏",2,0))+IF(AD118="パーフェクト▲",3,IF(AD118="上昇トレンド▲",2,0))+IF(AE118="25日線押し目●",2,IF(AE118="5日線押し目○",1,0))+IF(P118="急増↑↑",2,IF(P118="増加↑",1,0))+N(AI118),0))</f>
        <v/>
      </c>
      <c r="U118" s="176">
        <f>IF(T118="","",IF(AND(T118&gt;=3,O118&gt;=1.5),"有効",IF(T118&gt;=3,"要確認","除外")))</f>
        <v/>
      </c>
      <c r="V118" s="176">
        <f>IF(AND(H118&lt;&gt;"",K118&lt;&gt;""),IF(H118&gt;=K118,"年初来高値更新●",IF(H118&gt;=K118*0.95,"高値圏","通常")),"")</f>
        <v/>
      </c>
      <c r="W118" s="615">
        <f t="array" ref="W118">IF(C118&lt;&gt;"",IFERROR(100-100/(1+SUMPRODUCT((終値!F36:R36&gt;終値!G36:S36)*( 終値!F36:R36-終値!G36:S36))/SUMPRODUCT((終値!F36:R36&lt;終値!G36:S36)*(終値!G36:S36-終値!F36:R36))),50),"")</f>
        <v/>
      </c>
      <c r="X118" s="183">
        <f>IF(C118&lt;&gt;"",IFERROR(SUMPRODUCT(終値!E36:P36,{0.154,0.132,0.113,0.097,0.083,0.071,0.061,0.052,0.045,0.038,0.033,0.028})/SUMPRODUCT({0.154,0.132,0.113,0.097,0.083,0.071,0.061,0.052,0.045,0.038,0.033,0.028})-SUMPRODUCT(終値!E36:AD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8" s="570">
        <f>IF(T118="","",IF(銘柄管理!$F$5="下落▼",IF(AND(AD118="パーフェクト▲",OR(AE118="25日線押し目●",AE118="5日線押し目○")),"★逆張り候補",IF(AND(AD118="上昇トレンド▲",OR(AE118="25日線押し目●",AE118="5日線押し目○")),"○逆張り候補",IF(W118&lt;=30,IF(Z118&gt;0,"◎反発確認",IF(Z118&lt;-5,"△要注意・様子見","△売られ過ぎ注目")),"相場下落・見送り"))),IF(AND(T118&gt;=12,AD118="パーフェクト▲"),"★強い買い",IF(AND(T118&gt;=12,AD118="上昇トレンド▲"),"★強い買い",IF(AND(T118&gt;=8,OR(AE118="25日線押し目●",AE118="5日線押し目○")),"◎押し目買い",IF(T118&gt;=10,"○買い候補",IF(T118&gt;=6,"△注目",IF(T118&gt;=3,"様子見","見送り"))))))))</f>
        <v/>
      </c>
      <c r="Z118" s="616">
        <f>IF(AND(E118&lt;&gt;"",G118&lt;&gt;"",G118&lt;&gt;0),(E118-G118)/G118*100,"")</f>
        <v/>
      </c>
      <c r="AA118" s="176">
        <f>IF(OR(C118="",E118="",E118=0),"",IF(E118&gt;G118,"上昇▲",IF(E118&lt;G118,"下落▼","横ばい→")))</f>
        <v/>
      </c>
      <c r="AB118" s="438">
        <f>IF(C118="","",IFERROR(((終値!E120*0.333)+(終値!F120*0.222)+(終値!G120*0.148)+(終値!H120*0.099)+(終値!I120*0.066)+(終値!J120*0.044)+(終値!K120*0.029)+(終値!L120*0.019)+(終値!M120*0.013)+(終値!N120*0.009))/(0.333+0.222+0.148+0.099+0.066+0.044+0.029+0.019+0.013+0.009),""))</f>
        <v/>
      </c>
      <c r="AC118" s="438">
        <f>IF(C118="","",IFERROR(SUMPRODUCT((終値!E120:AC120)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8" s="439">
        <f>IF(OR(C118="",AB118="",AC118=""),"",IF(AND(E118&gt;AB118,AB118&gt;AC118),"パーフェクト▲",IF(E118&gt;AC118,"上昇トレンド▲",IF(AND(E118&lt;AB118,AB118&lt;AC118),"下降トレンド▼","もみ合い→"))))</f>
        <v/>
      </c>
      <c r="AE118" s="439">
        <f>IF(OR(C118="",AB118="",AC118=""),"",IF(AND(ABS(E118-AC118)/AC118&lt;=0.02,E118&gt;AC118),"25日押し目★",IF(AND(ABS(E118-AB118)/AB118&lt;=0.01,E118&gt;AB118),"5日押し目○","なし")))</f>
        <v/>
      </c>
      <c r="AF118" s="617">
        <f t="array" ref="AF118">IF(C118="","",IFERROR((INDEX(終値!$E:$E,MATCH(TEXT(C118,"0"),終値!$A:$A,0))-INDEX(終値!$E:$BL,MATCH(TEXT(C118,"0"),終値!$A:$A,0),$AL$2))/INDEX(終値!$E:$BL,MATCH(TEXT(C118,"0"),終値!$A:$A,0),$AL$2)*100,""))</f>
        <v/>
      </c>
      <c r="AG118" s="617">
        <f t="array" ref="AG118">IFERROR((終値!$E$5-INDEX(終値!$E$5:$BL$5,1,$AL$2))/INDEX(終値!$E$5:$BL$5,1,$AL$2)*100,"")</f>
        <v/>
      </c>
      <c r="AH118" s="618">
        <f>IF(OR(AF118="",AG118=""),"",AF118-AG118)</f>
        <v/>
      </c>
      <c r="AI118" s="385">
        <f>IF(AH118="","",IF(AH118&gt;5,3,IF(AH118&gt;0,1,IF(AH118&gt;-3,-1,-2))))</f>
        <v/>
      </c>
    </row>
    <row r="119" ht="18" customFormat="1" customHeight="1" s="187">
      <c r="A119" s="176">
        <f>IF(銘柄管理!B49&lt;&gt;"",HYPERLINK("https://kabutan.jp/stock/?code="&amp;銘柄管理!B49,"株探"),"")</f>
        <v/>
      </c>
      <c r="B119" s="177" t="n"/>
      <c r="C119" s="178">
        <f>IF(銘柄管理!B49="","",銘柄管理!B49)</f>
        <v/>
      </c>
      <c r="D119" s="106">
        <f>IF(銘柄管理!C49="","",銘柄管理!C49)</f>
        <v/>
      </c>
      <c r="E119" s="179">
        <f>IF(C119&lt;&gt;"",_xll.RssMarket(C119,"現在値"),"")</f>
        <v/>
      </c>
      <c r="F119" s="179">
        <f>IF(C119&lt;&gt;"",_xll.RssMarket(C119,"始値"),"")</f>
        <v/>
      </c>
      <c r="G119" s="178">
        <f>IF(C119&lt;&gt;"",終値!F49,"")</f>
        <v/>
      </c>
      <c r="H119" s="179">
        <f>IF(C119&lt;&gt;"",_xll.RssMarket(C119,"高値"),"")</f>
        <v/>
      </c>
      <c r="I119" s="179">
        <f>IF(C119&lt;&gt;"",_xll.RssMarket(C119,"安値"),"")</f>
        <v/>
      </c>
      <c r="J119" s="179">
        <f>IF(C119&lt;&gt;"",_xll.RssMarket(C119,"出来高"),"")</f>
        <v/>
      </c>
      <c r="K119" s="179">
        <f>IF(C119&lt;&gt;"",_xll.RssMarket(C119,"年初来高値"),"")</f>
        <v/>
      </c>
      <c r="L119" s="613">
        <f>IF(AND(E119&lt;&gt;"",K119&lt;&gt;"",K119&lt;&gt;0),(E119-K119)/K119*100,"")</f>
        <v/>
      </c>
      <c r="M119" s="179">
        <f>IF(C119&lt;&gt;"",IFERROR(AVERAGE(出来高!E49:I49),""),"")</f>
        <v/>
      </c>
      <c r="N119" s="179">
        <f>IF(C119&lt;&gt;"",IFERROR(AVERAGE(出来高!E49:AC49),""),"")</f>
        <v/>
      </c>
      <c r="O119" s="614">
        <f>IF(AND(J119&lt;&gt;"",M119&lt;&gt;"",M119&lt;&gt;0),J119/M119,"")</f>
        <v/>
      </c>
      <c r="P119" s="176">
        <f>IF(O119="","",IF(O119&gt;=2,"急増↑↑",IF(O119&gt;=1.5,"増加↑",IF(O119&gt;=1,"普通→","減少↓"))))</f>
        <v/>
      </c>
      <c r="Q119" s="176">
        <f>IF(E119="","",IF(AND(E119&gt;G119,O119&gt;=1.5),"買い▲",IF(E119&lt;G119,"様子見▼","中立→")))</f>
        <v/>
      </c>
      <c r="R119" s="179">
        <f>IF(E119&lt;&gt;"",ROUND(E119*1.08,0),"")</f>
        <v/>
      </c>
      <c r="S119" s="179">
        <f>IF(E119&lt;&gt;"",ROUND(E119*0.96,0),"")</f>
        <v/>
      </c>
      <c r="T119" s="176">
        <f>IF(C119="","",IFERROR(IF(O119&gt;=2,3,IF(O119&gt;=1.5,2,IF(O119&gt;=1,1,0)))+IF(E119&gt;G119,1,0)+IF(L119&gt;=-5,1,0)+IF(Q119="買い▲",2,0)+IF(W119&lt;=30,3,IF(W119&lt;=40,2,IF(AND(W119&gt;=40,W119&lt;=60),1,0)))+IF(X119&gt;0,1,0)+IF(V119="年初来高値更新●",3,IF(V119="高値圏",2,0))+IF(AD119="パーフェクト▲",3,IF(AD119="上昇トレンド▲",2,0))+IF(AE119="25日線押し目●",2,IF(AE119="5日線押し目○",1,0))+IF(P119="急増↑↑",2,IF(P119="増加↑",1,0))+N(AI119),0))</f>
        <v/>
      </c>
      <c r="U119" s="176">
        <f>IF(T119="","",IF(AND(T119&gt;=3,O119&gt;=1.5),"有効",IF(T119&gt;=3,"要確認","除外")))</f>
        <v/>
      </c>
      <c r="V119" s="176">
        <f>IF(AND(H119&lt;&gt;"",K119&lt;&gt;""),IF(H119&gt;=K119,"年初来高値更新●",IF(H119&gt;=K119*0.95,"高値圏","通常")),"")</f>
        <v/>
      </c>
      <c r="W119" s="615">
        <f t="array" ref="W119">IF(C119&lt;&gt;"",IFERROR(100-100/(1+SUMPRODUCT((終値!F49:R49&gt;終値!G49:S49)*( 終値!F49:R49-終値!G49:S49))/SUMPRODUCT((終値!F49:R49&lt;終値!G49:S49)*(終値!G49:S49-終値!F49:R49))),50),"")</f>
        <v/>
      </c>
      <c r="X119" s="183">
        <f>IF(C119&lt;&gt;"",IFERROR(SUMPRODUCT(終値!E49:P49,{0.154,0.132,0.113,0.097,0.083,0.071,0.061,0.052,0.045,0.038,0.033,0.028})/SUMPRODUCT({0.154,0.132,0.113,0.097,0.083,0.071,0.061,0.052,0.045,0.038,0.033,0.028})-SUMPRODUCT(終値!E49:AD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9" s="570">
        <f>IF(T119="","",IF(銘柄管理!$F$5="下落▼",IF(AND(AD119="パーフェクト▲",OR(AE119="25日線押し目●",AE119="5日線押し目○")),"★逆張り候補",IF(AND(AD119="上昇トレンド▲",OR(AE119="25日線押し目●",AE119="5日線押し目○")),"○逆張り候補",IF(W119&lt;=30,IF(Z119&gt;0,"◎反発確認",IF(Z119&lt;-5,"△要注意・様子見","△売られ過ぎ注目")),"相場下落・見送り"))),IF(AND(T119&gt;=12,AD119="パーフェクト▲"),"★強い買い",IF(AND(T119&gt;=12,AD119="上昇トレンド▲"),"★強い買い",IF(AND(T119&gt;=8,OR(AE119="25日線押し目●",AE119="5日線押し目○")),"◎押し目買い",IF(T119&gt;=10,"○買い候補",IF(T119&gt;=6,"△注目",IF(T119&gt;=3,"様子見","見送り"))))))))</f>
        <v/>
      </c>
      <c r="Z119" s="616">
        <f>IF(AND(E119&lt;&gt;"",G119&lt;&gt;"",G119&lt;&gt;0),(E119-G119)/G119*100,"")</f>
        <v/>
      </c>
      <c r="AA119" s="176">
        <f>IF(OR(C119="",E119="",E119=0),"",IF(E119&gt;G119,"上昇▲",IF(E119&lt;G119,"下落▼","横ばい→")))</f>
        <v/>
      </c>
      <c r="AB119" s="440">
        <f>IF(C119="","",IFERROR(((終値!E121*0.333)+(終値!F121*0.222)+(終値!G121*0.148)+(終値!H121*0.099)+(終値!I121*0.066)+(終値!J121*0.044)+(終値!K121*0.029)+(終値!L121*0.019)+(終値!M121*0.013)+(終値!N121*0.009))/(0.333+0.222+0.148+0.099+0.066+0.044+0.029+0.019+0.013+0.009),""))</f>
        <v/>
      </c>
      <c r="AC119" s="440">
        <f>IF(C119="","",IFERROR(SUMPRODUCT((終値!E121:AC121)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9" s="441">
        <f>IF(OR(C119="",AB119="",AC119=""),"",IF(AND(E119&gt;AB119,AB119&gt;AC119),"パーフェクト▲",IF(E119&gt;AC119,"上昇トレンド▲",IF(AND(E119&lt;AB119,AB119&lt;AC119),"下降トレンド▼","もみ合い→"))))</f>
        <v/>
      </c>
      <c r="AE119" s="441">
        <f>IF(OR(C119="",AB119="",AC119=""),"",IF(AND(ABS(E119-AC119)/AC119&lt;=0.02,E119&gt;AC119),"25日押し目★",IF(AND(ABS(E119-AB119)/AB119&lt;=0.01,E119&gt;AB119),"5日押し目○","なし")))</f>
        <v/>
      </c>
      <c r="AF119" s="617">
        <f t="array" ref="AF119">IF(C119="","",IFERROR((INDEX(終値!$E:$E,MATCH(TEXT(C119,"0"),終値!$A:$A,0))-INDEX(終値!$E:$BL,MATCH(TEXT(C119,"0"),終値!$A:$A,0),$AL$2))/INDEX(終値!$E:$BL,MATCH(TEXT(C119,"0"),終値!$A:$A,0),$AL$2)*100,""))</f>
        <v/>
      </c>
      <c r="AG119" s="617">
        <f t="array" ref="AG119">IFERROR((終値!$E$5-INDEX(終値!$E$5:$BL$5,1,$AL$2))/INDEX(終値!$E$5:$BL$5,1,$AL$2)*100,"")</f>
        <v/>
      </c>
      <c r="AH119" s="618">
        <f>IF(OR(AF119="",AG119=""),"",AF119-AG119)</f>
        <v/>
      </c>
      <c r="AI119" s="385">
        <f>IF(AH119="","",IF(AH119&gt;5,3,IF(AH119&gt;0,1,IF(AH119&gt;-3,-1,-2))))</f>
        <v/>
      </c>
    </row>
    <row r="120" ht="18" customFormat="1" customHeight="1" s="187">
      <c r="A120" s="176">
        <f>IF(銘柄管理!B55&lt;&gt;"",HYPERLINK("https://kabutan.jp/stock/?code="&amp;銘柄管理!B55,"株探"),"")</f>
        <v/>
      </c>
      <c r="B120" s="177" t="n"/>
      <c r="C120" s="178">
        <f>IF(銘柄管理!B55="","",銘柄管理!B55)</f>
        <v/>
      </c>
      <c r="D120" s="106">
        <f>IF(銘柄管理!C55="","",銘柄管理!C55)</f>
        <v/>
      </c>
      <c r="E120" s="179">
        <f>IF(C120&lt;&gt;"",_xll.RssMarket(C120,"現在値"),"")</f>
        <v/>
      </c>
      <c r="F120" s="179">
        <f>IF(C120&lt;&gt;"",_xll.RssMarket(C120,"始値"),"")</f>
        <v/>
      </c>
      <c r="G120" s="178">
        <f>IF(C120&lt;&gt;"",終値!F55,"")</f>
        <v/>
      </c>
      <c r="H120" s="179">
        <f>IF(C120&lt;&gt;"",_xll.RssMarket(C120,"高値"),"")</f>
        <v/>
      </c>
      <c r="I120" s="179">
        <f>IF(C120&lt;&gt;"",_xll.RssMarket(C120,"安値"),"")</f>
        <v/>
      </c>
      <c r="J120" s="179">
        <f>IF(C120&lt;&gt;"",_xll.RssMarket(C120,"出来高"),"")</f>
        <v/>
      </c>
      <c r="K120" s="179">
        <f>IF(C120&lt;&gt;"",_xll.RssMarket(C120,"年初来高値"),"")</f>
        <v/>
      </c>
      <c r="L120" s="613">
        <f>IF(AND(E120&lt;&gt;"",K120&lt;&gt;"",K120&lt;&gt;0),(E120-K120)/K120*100,"")</f>
        <v/>
      </c>
      <c r="M120" s="179">
        <f>IF(C120&lt;&gt;"",IFERROR(AVERAGE(出来高!E55:I55),""),"")</f>
        <v/>
      </c>
      <c r="N120" s="179">
        <f>IF(C120&lt;&gt;"",IFERROR(AVERAGE(出来高!E55:AC55),""),"")</f>
        <v/>
      </c>
      <c r="O120" s="614">
        <f>IF(AND(J120&lt;&gt;"",M120&lt;&gt;"",M120&lt;&gt;0),J120/M120,"")</f>
        <v/>
      </c>
      <c r="P120" s="176">
        <f>IF(O120="","",IF(O120&gt;=2,"急増↑↑",IF(O120&gt;=1.5,"増加↑",IF(O120&gt;=1,"普通→","減少↓"))))</f>
        <v/>
      </c>
      <c r="Q120" s="176">
        <f>IF(E120="","",IF(AND(E120&gt;G120,O120&gt;=1.5),"買い▲",IF(E120&lt;G120,"様子見▼","中立→")))</f>
        <v/>
      </c>
      <c r="R120" s="179">
        <f>IF(E120&lt;&gt;"",ROUND(E120*1.08,0),"")</f>
        <v/>
      </c>
      <c r="S120" s="179">
        <f>IF(E120&lt;&gt;"",ROUND(E120*0.96,0),"")</f>
        <v/>
      </c>
      <c r="T120" s="176">
        <f>IF(C120="","",IFERROR(IF(O120&gt;=2,3,IF(O120&gt;=1.5,2,IF(O120&gt;=1,1,0)))+IF(E120&gt;G120,1,0)+IF(L120&gt;=-5,1,0)+IF(Q120="買い▲",2,0)+IF(W120&lt;=30,3,IF(W120&lt;=40,2,IF(AND(W120&gt;=40,W120&lt;=60),1,0)))+IF(X120&gt;0,1,0)+IF(V120="年初来高値更新●",3,IF(V120="高値圏",2,0))+IF(AD120="パーフェクト▲",3,IF(AD120="上昇トレンド▲",2,0))+IF(AE120="25日線押し目●",2,IF(AE120="5日線押し目○",1,0))+IF(P120="急増↑↑",2,IF(P120="増加↑",1,0))+N(AI120),0))</f>
        <v/>
      </c>
      <c r="U120" s="176">
        <f>IF(T120="","",IF(AND(T120&gt;=3,O120&gt;=1.5),"有効",IF(T120&gt;=3,"要確認","除外")))</f>
        <v/>
      </c>
      <c r="V120" s="176">
        <f>IF(AND(H120&lt;&gt;"",K120&lt;&gt;""),IF(H120&gt;=K120,"年初来高値更新●",IF(H120&gt;=K120*0.95,"高値圏","通常")),"")</f>
        <v/>
      </c>
      <c r="W120" s="615">
        <f t="array" ref="W120">IF(C120&lt;&gt;"",IFERROR(100-100/(1+SUMPRODUCT((終値!F55:R55&gt;終値!G55:S55)*( 終値!F55:R55-終値!G55:S55))/SUMPRODUCT((終値!F55:R55&lt;終値!G55:S55)*(終値!G55:S55-終値!F55:R55))),50),"")</f>
        <v/>
      </c>
      <c r="X120" s="183">
        <f>IF(C120&lt;&gt;"",IFERROR(SUMPRODUCT(終値!E55:P55,{0.154,0.132,0.113,0.097,0.083,0.071,0.061,0.052,0.045,0.038,0.033,0.028})/SUMPRODUCT({0.154,0.132,0.113,0.097,0.083,0.071,0.061,0.052,0.045,0.038,0.033,0.028})-SUMPRODUCT(終値!E55:AD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0" s="570">
        <f>IF(T120="","",IF(銘柄管理!$F$5="下落▼",IF(AND(AD120="パーフェクト▲",OR(AE120="25日線押し目●",AE120="5日線押し目○")),"★逆張り候補",IF(AND(AD120="上昇トレンド▲",OR(AE120="25日線押し目●",AE120="5日線押し目○")),"○逆張り候補",IF(W120&lt;=30,IF(Z120&gt;0,"◎反発確認",IF(Z120&lt;-5,"△要注意・様子見","△売られ過ぎ注目")),"相場下落・見送り"))),IF(AND(T120&gt;=12,AD120="パーフェクト▲"),"★強い買い",IF(AND(T120&gt;=12,AD120="上昇トレンド▲"),"★強い買い",IF(AND(T120&gt;=8,OR(AE120="25日線押し目●",AE120="5日線押し目○")),"◎押し目買い",IF(T120&gt;=10,"○買い候補",IF(T120&gt;=6,"△注目",IF(T120&gt;=3,"様子見","見送り"))))))))</f>
        <v/>
      </c>
      <c r="Z120" s="616">
        <f>IF(AND(E120&lt;&gt;"",G120&lt;&gt;"",G120&lt;&gt;0),(E120-G120)/G120*100,"")</f>
        <v/>
      </c>
      <c r="AA120" s="176">
        <f>IF(OR(C120="",E120="",E120=0),"",IF(E120&gt;G120,"上昇▲",IF(E120&lt;G120,"下落▼","横ばい→")))</f>
        <v/>
      </c>
      <c r="AB120" s="438">
        <f>IF(C120="","",IFERROR(((終値!E122*0.333)+(終値!F122*0.222)+(終値!G122*0.148)+(終値!H122*0.099)+(終値!I122*0.066)+(終値!J122*0.044)+(終値!K122*0.029)+(終値!L122*0.019)+(終値!M122*0.013)+(終値!N122*0.009))/(0.333+0.222+0.148+0.099+0.066+0.044+0.029+0.019+0.013+0.009),""))</f>
        <v/>
      </c>
      <c r="AC120" s="438">
        <f>IF(C120="","",IFERROR(SUMPRODUCT((終値!E122:AC122)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0" s="439">
        <f>IF(OR(C120="",AB120="",AC120=""),"",IF(AND(E120&gt;AB120,AB120&gt;AC120),"パーフェクト▲",IF(E120&gt;AC120,"上昇トレンド▲",IF(AND(E120&lt;AB120,AB120&lt;AC120),"下降トレンド▼","もみ合い→"))))</f>
        <v/>
      </c>
      <c r="AE120" s="439">
        <f>IF(OR(C120="",AB120="",AC120=""),"",IF(AND(ABS(E120-AC120)/AC120&lt;=0.02,E120&gt;AC120),"25日押し目★",IF(AND(ABS(E120-AB120)/AB120&lt;=0.01,E120&gt;AB120),"5日押し目○","なし")))</f>
        <v/>
      </c>
      <c r="AF120" s="617">
        <f t="array" ref="AF120">IF(C120="","",IFERROR((INDEX(終値!$E:$E,MATCH(TEXT(C120,"0"),終値!$A:$A,0))-INDEX(終値!$E:$BL,MATCH(TEXT(C120,"0"),終値!$A:$A,0),$AL$2))/INDEX(終値!$E:$BL,MATCH(TEXT(C120,"0"),終値!$A:$A,0),$AL$2)*100,""))</f>
        <v/>
      </c>
      <c r="AG120" s="617">
        <f t="array" ref="AG120">IFERROR((終値!$E$5-INDEX(終値!$E$5:$BL$5,1,$AL$2))/INDEX(終値!$E$5:$BL$5,1,$AL$2)*100,"")</f>
        <v/>
      </c>
      <c r="AH120" s="618">
        <f>IF(OR(AF120="",AG120=""),"",AF120-AG120)</f>
        <v/>
      </c>
      <c r="AI120" s="385">
        <f>IF(AH120="","",IF(AH120&gt;5,3,IF(AH120&gt;0,1,IF(AH120&gt;-3,-1,-2))))</f>
        <v/>
      </c>
    </row>
    <row r="121" ht="18" customFormat="1" customHeight="1" s="187">
      <c r="A121" s="176">
        <f>IF(銘柄管理!B89&lt;&gt;"",HYPERLINK("https://kabutan.jp/stock/?code="&amp;銘柄管理!B89,"株探"),"")</f>
        <v/>
      </c>
      <c r="B121" s="177" t="n"/>
      <c r="C121" s="178">
        <f>IF(銘柄管理!B89="","",銘柄管理!B89)</f>
        <v/>
      </c>
      <c r="D121" s="106">
        <f>IF(銘柄管理!C89="","",銘柄管理!C89)</f>
        <v/>
      </c>
      <c r="E121" s="179">
        <f>IF(C121&lt;&gt;"",_xll.RssMarket(C121,"現在値"),"")</f>
        <v/>
      </c>
      <c r="F121" s="179">
        <f>IF(C121&lt;&gt;"",_xll.RssMarket(C121,"始値"),"")</f>
        <v/>
      </c>
      <c r="G121" s="178">
        <f>IF(C121&lt;&gt;"",終値!F89,"")</f>
        <v/>
      </c>
      <c r="H121" s="179">
        <f>IF(C121&lt;&gt;"",_xll.RssMarket(C121,"高値"),"")</f>
        <v/>
      </c>
      <c r="I121" s="179">
        <f>IF(C121&lt;&gt;"",_xll.RssMarket(C121,"安値"),"")</f>
        <v/>
      </c>
      <c r="J121" s="179">
        <f>IF(C121&lt;&gt;"",_xll.RssMarket(C121,"出来高"),"")</f>
        <v/>
      </c>
      <c r="K121" s="179">
        <f>IF(C121&lt;&gt;"",_xll.RssMarket(C121,"年初来高値"),"")</f>
        <v/>
      </c>
      <c r="L121" s="613">
        <f>IF(AND(E121&lt;&gt;"",K121&lt;&gt;"",K121&lt;&gt;0),(E121-K121)/K121*100,"")</f>
        <v/>
      </c>
      <c r="M121" s="179">
        <f>IF(C121&lt;&gt;"",IFERROR(AVERAGE(出来高!E89:I89),""),"")</f>
        <v/>
      </c>
      <c r="N121" s="179">
        <f>IF(C121&lt;&gt;"",IFERROR(AVERAGE(出来高!E89:AC89),""),"")</f>
        <v/>
      </c>
      <c r="O121" s="614">
        <f>IF(AND(J121&lt;&gt;"",M121&lt;&gt;"",M121&lt;&gt;0),J121/M121,"")</f>
        <v/>
      </c>
      <c r="P121" s="176">
        <f>IF(O121="","",IF(O121&gt;=2,"急増↑↑",IF(O121&gt;=1.5,"増加↑",IF(O121&gt;=1,"普通→","減少↓"))))</f>
        <v/>
      </c>
      <c r="Q121" s="176">
        <f>IF(E121="","",IF(AND(E121&gt;G121,O121&gt;=1.5),"買い▲",IF(E121&lt;G121,"様子見▼","中立→")))</f>
        <v/>
      </c>
      <c r="R121" s="179">
        <f>IF(E121&lt;&gt;"",ROUND(E121*1.08,0),"")</f>
        <v/>
      </c>
      <c r="S121" s="179">
        <f>IF(E121&lt;&gt;"",ROUND(E121*0.96,0),"")</f>
        <v/>
      </c>
      <c r="T121" s="176">
        <f>IF(C121="","",IFERROR(IF(O121&gt;=2,3,IF(O121&gt;=1.5,2,IF(O121&gt;=1,1,0)))+IF(E121&gt;G121,1,0)+IF(L121&gt;=-5,1,0)+IF(Q121="買い▲",2,0)+IF(W121&lt;=30,3,IF(W121&lt;=40,2,IF(AND(W121&gt;=40,W121&lt;=60),1,0)))+IF(X121&gt;0,1,0)+IF(V121="年初来高値更新●",3,IF(V121="高値圏",2,0))+IF(AD121="パーフェクト▲",3,IF(AD121="上昇トレンド▲",2,0))+IF(AE121="25日線押し目●",2,IF(AE121="5日線押し目○",1,0))+IF(P121="急増↑↑",2,IF(P121="増加↑",1,0))+N(AI121),0))</f>
        <v/>
      </c>
      <c r="U121" s="176">
        <f>IF(T121="","",IF(AND(T121&gt;=3,O121&gt;=1.5),"有効",IF(T121&gt;=3,"要確認","除外")))</f>
        <v/>
      </c>
      <c r="V121" s="176">
        <f>IF(AND(H121&lt;&gt;"",K121&lt;&gt;""),IF(H121&gt;=K121,"年初来高値更新●",IF(H121&gt;=K121*0.95,"高値圏","通常")),"")</f>
        <v/>
      </c>
      <c r="W121" s="615">
        <f t="array" ref="W121">IF(C121&lt;&gt;"",IFERROR(100-100/(1+SUMPRODUCT((終値!F89:R89&gt;終値!G89:S89)*( 終値!F89:R89-終値!G89:S89))/SUMPRODUCT((終値!F89:R89&lt;終値!G89:S89)*(終値!G89:S89-終値!F89:R89))),50),"")</f>
        <v/>
      </c>
      <c r="X121" s="183">
        <f>IF(C121&lt;&gt;"",IFERROR(SUMPRODUCT(終値!E89:P89,{0.154,0.132,0.113,0.097,0.083,0.071,0.061,0.052,0.045,0.038,0.033,0.028})/SUMPRODUCT({0.154,0.132,0.113,0.097,0.083,0.071,0.061,0.052,0.045,0.038,0.033,0.028})-SUMPRODUCT(終値!E89:AD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1" s="570">
        <f>IF(T121="","",IF(銘柄管理!$F$5="下落▼",IF(AND(AD121="パーフェクト▲",OR(AE121="25日線押し目●",AE121="5日線押し目○")),"★逆張り候補",IF(AND(AD121="上昇トレンド▲",OR(AE121="25日線押し目●",AE121="5日線押し目○")),"○逆張り候補",IF(W121&lt;=30,IF(Z121&gt;0,"◎反発確認",IF(Z121&lt;-5,"△要注意・様子見","△売られ過ぎ注目")),"相場下落・見送り"))),IF(AND(T121&gt;=12,AD121="パーフェクト▲"),"★強い買い",IF(AND(T121&gt;=12,AD121="上昇トレンド▲"),"★強い買い",IF(AND(T121&gt;=8,OR(AE121="25日線押し目●",AE121="5日線押し目○")),"◎押し目買い",IF(T121&gt;=10,"○買い候補",IF(T121&gt;=6,"△注目",IF(T121&gt;=3,"様子見","見送り"))))))))</f>
        <v/>
      </c>
      <c r="Z121" s="616">
        <f>IF(AND(E121&lt;&gt;"",G121&lt;&gt;"",G121&lt;&gt;0),(E121-G121)/G121*100,"")</f>
        <v/>
      </c>
      <c r="AA121" s="176">
        <f>IF(OR(C121="",E121="",E121=0),"",IF(E121&gt;G121,"上昇▲",IF(E121&lt;G121,"下落▼","横ばい→")))</f>
        <v/>
      </c>
      <c r="AB121" s="440">
        <f>IF(C121="","",IFERROR(((終値!E123*0.333)+(終値!F123*0.222)+(終値!G123*0.148)+(終値!H123*0.099)+(終値!I123*0.066)+(終値!J123*0.044)+(終値!K123*0.029)+(終値!L123*0.019)+(終値!M123*0.013)+(終値!N123*0.009))/(0.333+0.222+0.148+0.099+0.066+0.044+0.029+0.019+0.013+0.009),""))</f>
        <v/>
      </c>
      <c r="AC121" s="440">
        <f>IF(C121="","",IFERROR(SUMPRODUCT((終値!E123:AC123)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1" s="441">
        <f>IF(OR(C121="",AB121="",AC121=""),"",IF(AND(E121&gt;AB121,AB121&gt;AC121),"パーフェクト▲",IF(E121&gt;AC121,"上昇トレンド▲",IF(AND(E121&lt;AB121,AB121&lt;AC121),"下降トレンド▼","もみ合い→"))))</f>
        <v/>
      </c>
      <c r="AE121" s="441">
        <f>IF(OR(C121="",AB121="",AC121=""),"",IF(AND(ABS(E121-AC121)/AC121&lt;=0.02,E121&gt;AC121),"25日押し目★",IF(AND(ABS(E121-AB121)/AB121&lt;=0.01,E121&gt;AB121),"5日押し目○","なし")))</f>
        <v/>
      </c>
      <c r="AF121" s="617">
        <f t="array" ref="AF121">IF(C121="","",IFERROR((INDEX(終値!$E:$E,MATCH(TEXT(C121,"0"),終値!$A:$A,0))-INDEX(終値!$E:$BL,MATCH(TEXT(C121,"0"),終値!$A:$A,0),$AL$2))/INDEX(終値!$E:$BL,MATCH(TEXT(C121,"0"),終値!$A:$A,0),$AL$2)*100,""))</f>
        <v/>
      </c>
      <c r="AG121" s="617">
        <f t="array" ref="AG121">IFERROR((終値!$E$5-INDEX(終値!$E$5:$BL$5,1,$AL$2))/INDEX(終値!$E$5:$BL$5,1,$AL$2)*100,"")</f>
        <v/>
      </c>
      <c r="AH121" s="618">
        <f>IF(OR(AF121="",AG121=""),"",AF121-AG121)</f>
        <v/>
      </c>
      <c r="AI121" s="385">
        <f>IF(AH121="","",IF(AH121&gt;5,3,IF(AH121&gt;0,1,IF(AH121&gt;-3,-1,-2))))</f>
        <v/>
      </c>
    </row>
    <row r="122" ht="18" customFormat="1" customHeight="1" s="187">
      <c r="A122" s="176">
        <f>IF(銘柄管理!B62&lt;&gt;"",HYPERLINK("https://kabutan.jp/stock/?code="&amp;銘柄管理!B62,"株探"),"")</f>
        <v/>
      </c>
      <c r="B122" s="177" t="n"/>
      <c r="C122" s="178">
        <f>IF(銘柄管理!B62="","",銘柄管理!B62)</f>
        <v/>
      </c>
      <c r="D122" s="106">
        <f>IF(銘柄管理!C62="","",銘柄管理!C62)</f>
        <v/>
      </c>
      <c r="E122" s="179">
        <f>IF(C122&lt;&gt;"",_xll.RssMarket(C122,"現在値"),"")</f>
        <v/>
      </c>
      <c r="F122" s="179">
        <f>IF(C122&lt;&gt;"",_xll.RssMarket(C122,"始値"),"")</f>
        <v/>
      </c>
      <c r="G122" s="178">
        <f>IF(C122&lt;&gt;"",終値!F62,"")</f>
        <v/>
      </c>
      <c r="H122" s="179">
        <f>IF(C122&lt;&gt;"",_xll.RssMarket(C122,"高値"),"")</f>
        <v/>
      </c>
      <c r="I122" s="179">
        <f>IF(C122&lt;&gt;"",_xll.RssMarket(C122,"安値"),"")</f>
        <v/>
      </c>
      <c r="J122" s="179">
        <f>IF(C122&lt;&gt;"",_xll.RssMarket(C122,"出来高"),"")</f>
        <v/>
      </c>
      <c r="K122" s="179">
        <f>IF(C122&lt;&gt;"",_xll.RssMarket(C122,"年初来高値"),"")</f>
        <v/>
      </c>
      <c r="L122" s="613">
        <f>IF(AND(E122&lt;&gt;"",K122&lt;&gt;"",K122&lt;&gt;0),(E122-K122)/K122*100,"")</f>
        <v/>
      </c>
      <c r="M122" s="179">
        <f>IF(C122&lt;&gt;"",IFERROR(AVERAGE(出来高!E62:I62),""),"")</f>
        <v/>
      </c>
      <c r="N122" s="179">
        <f>IF(C122&lt;&gt;"",IFERROR(AVERAGE(出来高!E62:AC62),""),"")</f>
        <v/>
      </c>
      <c r="O122" s="614">
        <f>IF(AND(J122&lt;&gt;"",M122&lt;&gt;"",M122&lt;&gt;0),J122/M122,"")</f>
        <v/>
      </c>
      <c r="P122" s="176">
        <f>IF(O122="","",IF(O122&gt;=2,"急増↑↑",IF(O122&gt;=1.5,"増加↑",IF(O122&gt;=1,"普通→","減少↓"))))</f>
        <v/>
      </c>
      <c r="Q122" s="176">
        <f>IF(E122="","",IF(AND(E122&gt;G122,O122&gt;=1.5),"買い▲",IF(E122&lt;G122,"様子見▼","中立→")))</f>
        <v/>
      </c>
      <c r="R122" s="179">
        <f>IF(E122&lt;&gt;"",ROUND(E122*1.08,0),"")</f>
        <v/>
      </c>
      <c r="S122" s="179">
        <f>IF(E122&lt;&gt;"",ROUND(E122*0.96,0),"")</f>
        <v/>
      </c>
      <c r="T122" s="176">
        <f>IF(C122="","",IFERROR(IF(O122&gt;=2,3,IF(O122&gt;=1.5,2,IF(O122&gt;=1,1,0)))+IF(E122&gt;G122,1,0)+IF(L122&gt;=-5,1,0)+IF(Q122="買い▲",2,0)+IF(W122&lt;=30,3,IF(W122&lt;=40,2,IF(AND(W122&gt;=40,W122&lt;=60),1,0)))+IF(X122&gt;0,1,0)+IF(V122="年初来高値更新●",3,IF(V122="高値圏",2,0))+IF(AD122="パーフェクト▲",3,IF(AD122="上昇トレンド▲",2,0))+IF(AE122="25日線押し目●",2,IF(AE122="5日線押し目○",1,0))+IF(P122="急増↑↑",2,IF(P122="増加↑",1,0))+N(AI122),0))</f>
        <v/>
      </c>
      <c r="U122" s="176">
        <f>IF(T122="","",IF(AND(T122&gt;=3,O122&gt;=1.5),"有効",IF(T122&gt;=3,"要確認","除外")))</f>
        <v/>
      </c>
      <c r="V122" s="176">
        <f>IF(AND(H122&lt;&gt;"",K122&lt;&gt;""),IF(H122&gt;=K122,"年初来高値更新●",IF(H122&gt;=K122*0.95,"高値圏","通常")),"")</f>
        <v/>
      </c>
      <c r="W122" s="615">
        <f t="array" ref="W122">IF(C122&lt;&gt;"",IFERROR(100-100/(1+SUMPRODUCT((終値!F62:R62&gt;終値!G62:S62)*( 終値!F62:R62-終値!G62:S62))/SUMPRODUCT((終値!F62:R62&lt;終値!G62:S62)*(終値!G62:S62-終値!F62:R62))),50),"")</f>
        <v/>
      </c>
      <c r="X122" s="183">
        <f>IF(C122&lt;&gt;"",IFERROR(SUMPRODUCT(終値!E62:P62,{0.154,0.132,0.113,0.097,0.083,0.071,0.061,0.052,0.045,0.038,0.033,0.028})/SUMPRODUCT({0.154,0.132,0.113,0.097,0.083,0.071,0.061,0.052,0.045,0.038,0.033,0.028})-SUMPRODUCT(終値!E62:AD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2" s="570">
        <f>IF(T122="","",IF(銘柄管理!$F$5="下落▼",IF(AND(AD122="パーフェクト▲",OR(AE122="25日線押し目●",AE122="5日線押し目○")),"★逆張り候補",IF(AND(AD122="上昇トレンド▲",OR(AE122="25日線押し目●",AE122="5日線押し目○")),"○逆張り候補",IF(W122&lt;=30,IF(Z122&gt;0,"◎反発確認",IF(Z122&lt;-5,"△要注意・様子見","△売られ過ぎ注目")),"相場下落・見送り"))),IF(AND(T122&gt;=12,AD122="パーフェクト▲"),"★強い買い",IF(AND(T122&gt;=12,AD122="上昇トレンド▲"),"★強い買い",IF(AND(T122&gt;=8,OR(AE122="25日線押し目●",AE122="5日線押し目○")),"◎押し目買い",IF(T122&gt;=10,"○買い候補",IF(T122&gt;=6,"△注目",IF(T122&gt;=3,"様子見","見送り"))))))))</f>
        <v/>
      </c>
      <c r="Z122" s="616">
        <f>IF(AND(E122&lt;&gt;"",G122&lt;&gt;"",G122&lt;&gt;0),(E122-G122)/G122*100,"")</f>
        <v/>
      </c>
      <c r="AA122" s="176">
        <f>IF(OR(C122="",E122="",E122=0),"",IF(E122&gt;G122,"上昇▲",IF(E122&lt;G122,"下落▼","横ばい→")))</f>
        <v/>
      </c>
      <c r="AB122" s="438">
        <f>IF(C122="","",IFERROR(((終値!E124*0.333)+(終値!F124*0.222)+(終値!G124*0.148)+(終値!H124*0.099)+(終値!I124*0.066)+(終値!J124*0.044)+(終値!K124*0.029)+(終値!L124*0.019)+(終値!M124*0.013)+(終値!N124*0.009))/(0.333+0.222+0.148+0.099+0.066+0.044+0.029+0.019+0.013+0.009),""))</f>
        <v/>
      </c>
      <c r="AC122" s="438">
        <f>IF(C122="","",IFERROR(SUMPRODUCT((終値!E124:AC124)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2" s="439">
        <f>IF(OR(C122="",AB122="",AC122=""),"",IF(AND(E122&gt;AB122,AB122&gt;AC122),"パーフェクト▲",IF(E122&gt;AC122,"上昇トレンド▲",IF(AND(E122&lt;AB122,AB122&lt;AC122),"下降トレンド▼","もみ合い→"))))</f>
        <v/>
      </c>
      <c r="AE122" s="439">
        <f>IF(OR(C122="",AB122="",AC122=""),"",IF(AND(ABS(E122-AC122)/AC122&lt;=0.02,E122&gt;AC122),"25日押し目★",IF(AND(ABS(E122-AB122)/AB122&lt;=0.01,E122&gt;AB122),"5日押し目○","なし")))</f>
        <v/>
      </c>
      <c r="AF122" s="617">
        <f t="array" ref="AF122">IF(C122="","",IFERROR((INDEX(終値!$E:$E,MATCH(TEXT(C122,"0"),終値!$A:$A,0))-INDEX(終値!$E:$BL,MATCH(TEXT(C122,"0"),終値!$A:$A,0),$AL$2))/INDEX(終値!$E:$BL,MATCH(TEXT(C122,"0"),終値!$A:$A,0),$AL$2)*100,""))</f>
        <v/>
      </c>
      <c r="AG122" s="617">
        <f t="array" ref="AG122">IFERROR((終値!$E$5-INDEX(終値!$E$5:$BL$5,1,$AL$2))/INDEX(終値!$E$5:$BL$5,1,$AL$2)*100,"")</f>
        <v/>
      </c>
      <c r="AH122" s="618">
        <f>IF(OR(AF122="",AG122=""),"",AF122-AG122)</f>
        <v/>
      </c>
      <c r="AI122" s="385">
        <f>IF(AH122="","",IF(AH122&gt;5,3,IF(AH122&gt;0,1,IF(AH122&gt;-3,-1,-2))))</f>
        <v/>
      </c>
    </row>
    <row r="123" ht="18" customFormat="1" customHeight="1" s="187">
      <c r="A123" s="176">
        <f>IF(銘柄管理!B118&lt;&gt;"",HYPERLINK("https://kabutan.jp/stock/?code="&amp;銘柄管理!B118,"株探"),"")</f>
        <v/>
      </c>
      <c r="B123" s="177" t="n"/>
      <c r="C123" s="178">
        <f>IF(銘柄管理!B118="","",銘柄管理!B118)</f>
        <v/>
      </c>
      <c r="D123" s="106">
        <f>IF(銘柄管理!C118="","",銘柄管理!C118)</f>
        <v/>
      </c>
      <c r="E123" s="179">
        <f>IF(C123&lt;&gt;"",_xll.RssMarket(C123,"現在値"),"")</f>
        <v/>
      </c>
      <c r="F123" s="179">
        <f>IF(C123&lt;&gt;"",_xll.RssMarket(C123,"始値"),"")</f>
        <v/>
      </c>
      <c r="G123" s="178">
        <f>IF(C123&lt;&gt;"",終値!F118,"")</f>
        <v/>
      </c>
      <c r="H123" s="179">
        <f>IF(C123&lt;&gt;"",_xll.RssMarket(C123,"高値"),"")</f>
        <v/>
      </c>
      <c r="I123" s="179">
        <f>IF(C123&lt;&gt;"",_xll.RssMarket(C123,"安値"),"")</f>
        <v/>
      </c>
      <c r="J123" s="179">
        <f>IF(C123&lt;&gt;"",_xll.RssMarket(C123,"出来高"),"")</f>
        <v/>
      </c>
      <c r="K123" s="179">
        <f>IF(C123&lt;&gt;"",_xll.RssMarket(C123,"年初来高値"),"")</f>
        <v/>
      </c>
      <c r="L123" s="613">
        <f>IF(AND(E123&lt;&gt;"",K123&lt;&gt;"",K123&lt;&gt;0),(E123-K123)/K123*100,"")</f>
        <v/>
      </c>
      <c r="M123" s="179">
        <f>IF(C123&lt;&gt;"",IFERROR(AVERAGE(出来高!E118:I118),""),"")</f>
        <v/>
      </c>
      <c r="N123" s="179">
        <f>IF(C123&lt;&gt;"",IFERROR(AVERAGE(出来高!E118:AC118),""),"")</f>
        <v/>
      </c>
      <c r="O123" s="614">
        <f>IF(AND(J123&lt;&gt;"",M123&lt;&gt;"",M123&lt;&gt;0),J123/M123,"")</f>
        <v/>
      </c>
      <c r="P123" s="176">
        <f>IF(O123="","",IF(O123&gt;=2,"急増↑↑",IF(O123&gt;=1.5,"増加↑",IF(O123&gt;=1,"普通→","減少↓"))))</f>
        <v/>
      </c>
      <c r="Q123" s="176">
        <f>IF(E123="","",IF(AND(E123&gt;G123,O123&gt;=1.5),"買い▲",IF(E123&lt;G123,"様子見▼","中立→")))</f>
        <v/>
      </c>
      <c r="R123" s="179">
        <f>IF(E123&lt;&gt;"",ROUND(E123*1.08,0),"")</f>
        <v/>
      </c>
      <c r="S123" s="179">
        <f>IF(E123&lt;&gt;"",ROUND(E123*0.96,0),"")</f>
        <v/>
      </c>
      <c r="T123" s="176">
        <f>IF(C123="","",IFERROR(IF(O123&gt;=2,3,IF(O123&gt;=1.5,2,IF(O123&gt;=1,1,0)))+IF(E123&gt;G123,1,0)+IF(L123&gt;=-5,1,0)+IF(Q123="買い▲",2,0)+IF(W123&lt;=30,3,IF(W123&lt;=40,2,IF(AND(W123&gt;=40,W123&lt;=60),1,0)))+IF(X123&gt;0,1,0)+IF(V123="年初来高値更新●",3,IF(V123="高値圏",2,0))+IF(AD123="パーフェクト▲",3,IF(AD123="上昇トレンド▲",2,0))+IF(AE123="25日線押し目●",2,IF(AE123="5日線押し目○",1,0))+IF(P123="急増↑↑",2,IF(P123="増加↑",1,0))+N(AI123),0))</f>
        <v/>
      </c>
      <c r="U123" s="176">
        <f>IF(T123="","",IF(AND(T123&gt;=3,O123&gt;=1.5),"有効",IF(T123&gt;=3,"要確認","除外")))</f>
        <v/>
      </c>
      <c r="V123" s="176">
        <f>IF(AND(H123&lt;&gt;"",K123&lt;&gt;""),IF(H123&gt;=K123,"年初来高値更新●",IF(H123&gt;=K123*0.95,"高値圏","通常")),"")</f>
        <v/>
      </c>
      <c r="W123" s="615">
        <f t="array" ref="W123">IF(C123&lt;&gt;"",IFERROR(100-100/(1+SUMPRODUCT((終値!F118:R118&gt;終値!G118:S118)*( 終値!F118:R118-終値!G118:S118))/SUMPRODUCT((終値!F118:R118&lt;終値!G118:S118)*(終値!G118:S118-終値!F118:R118))),50),"")</f>
        <v/>
      </c>
      <c r="X123" s="183">
        <f>IF(C123&lt;&gt;"",IFERROR(SUMPRODUCT(終値!E118:P118,{0.154,0.132,0.113,0.097,0.083,0.071,0.061,0.052,0.045,0.038,0.033,0.028})/SUMPRODUCT({0.154,0.132,0.113,0.097,0.083,0.071,0.061,0.052,0.045,0.038,0.033,0.028})-SUMPRODUCT(終値!E118:AD118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3" s="570">
        <f>IF(T123="","",IF(銘柄管理!$F$5="下落▼",IF(AND(AD123="パーフェクト▲",OR(AE123="25日線押し目●",AE123="5日線押し目○")),"★逆張り候補",IF(AND(AD123="上昇トレンド▲",OR(AE123="25日線押し目●",AE123="5日線押し目○")),"○逆張り候補",IF(W123&lt;=30,IF(Z123&gt;0,"◎反発確認",IF(Z123&lt;-5,"△要注意・様子見","△売られ過ぎ注目")),"相場下落・見送り"))),IF(AND(T123&gt;=12,AD123="パーフェクト▲"),"★強い買い",IF(AND(T123&gt;=12,AD123="上昇トレンド▲"),"★強い買い",IF(AND(T123&gt;=8,OR(AE123="25日線押し目●",AE123="5日線押し目○")),"◎押し目買い",IF(T123&gt;=10,"○買い候補",IF(T123&gt;=6,"△注目",IF(T123&gt;=3,"様子見","見送り"))))))))</f>
        <v/>
      </c>
      <c r="Z123" s="616">
        <f>IF(AND(E123&lt;&gt;"",G123&lt;&gt;"",G123&lt;&gt;0),(E123-G123)/G123*100,"")</f>
        <v/>
      </c>
      <c r="AA123" s="176">
        <f>IF(OR(C123="",E123="",E123=0),"",IF(E123&gt;G123,"上昇▲",IF(E123&lt;G123,"下落▼","横ばい→")))</f>
        <v/>
      </c>
      <c r="AB123" s="440">
        <f>IF(C123="","",IFERROR(((終値!E125*0.333)+(終値!F125*0.222)+(終値!G125*0.148)+(終値!H125*0.099)+(終値!I125*0.066)+(終値!J125*0.044)+(終値!K125*0.029)+(終値!L125*0.019)+(終値!M125*0.013)+(終値!N125*0.009))/(0.333+0.222+0.148+0.099+0.066+0.044+0.029+0.019+0.013+0.009),""))</f>
        <v/>
      </c>
      <c r="AC123" s="440">
        <f>IF(C123="","",IFERROR(SUMPRODUCT((終値!E125:AC125)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3" s="441">
        <f>IF(OR(C123="",AB123="",AC123=""),"",IF(AND(E123&gt;AB123,AB123&gt;AC123),"パーフェクト▲",IF(E123&gt;AC123,"上昇トレンド▲",IF(AND(E123&lt;AB123,AB123&lt;AC123),"下降トレンド▼","もみ合い→"))))</f>
        <v/>
      </c>
      <c r="AE123" s="441">
        <f>IF(OR(C123="",AB123="",AC123=""),"",IF(AND(ABS(E123-AC123)/AC123&lt;=0.02,E123&gt;AC123),"25日押し目★",IF(AND(ABS(E123-AB123)/AB123&lt;=0.01,E123&gt;AB123),"5日押し目○","なし")))</f>
        <v/>
      </c>
      <c r="AF123" s="617">
        <f t="array" ref="AF123">IF(C123="","",IFERROR((INDEX(終値!$E:$E,MATCH(TEXT(C123,"0"),終値!$A:$A,0))-INDEX(終値!$E:$BL,MATCH(TEXT(C123,"0"),終値!$A:$A,0),$AL$2))/INDEX(終値!$E:$BL,MATCH(TEXT(C123,"0"),終値!$A:$A,0),$AL$2)*100,""))</f>
        <v/>
      </c>
      <c r="AG123" s="617">
        <f t="array" ref="AG123">IFERROR((終値!$E$5-INDEX(終値!$E$5:$BL$5,1,$AL$2))/INDEX(終値!$E$5:$BL$5,1,$AL$2)*100,"")</f>
        <v/>
      </c>
      <c r="AH123" s="618">
        <f>IF(OR(AF123="",AG123=""),"",AF123-AG123)</f>
        <v/>
      </c>
      <c r="AI123" s="385">
        <f>IF(AH123="","",IF(AH123&gt;5,3,IF(AH123&gt;0,1,IF(AH123&gt;-3,-1,-2))))</f>
        <v/>
      </c>
    </row>
    <row r="124" ht="18" customFormat="1" customHeight="1" s="187">
      <c r="A124" s="176">
        <f>IF(銘柄管理!B117&lt;&gt;"",HYPERLINK("https://kabutan.jp/stock/?code="&amp;銘柄管理!B117,"株探"),"")</f>
        <v/>
      </c>
      <c r="B124" s="177" t="n"/>
      <c r="C124" s="178">
        <f>IF(銘柄管理!B117="","",銘柄管理!B117)</f>
        <v/>
      </c>
      <c r="D124" s="106">
        <f>IF(銘柄管理!C117="","",銘柄管理!C117)</f>
        <v/>
      </c>
      <c r="E124" s="179">
        <f>IF(C124&lt;&gt;"",_xll.RssMarket(C124,"現在値"),"")</f>
        <v/>
      </c>
      <c r="F124" s="179">
        <f>IF(C124&lt;&gt;"",_xll.RssMarket(C124,"始値"),"")</f>
        <v/>
      </c>
      <c r="G124" s="178">
        <f>IF(C124&lt;&gt;"",終値!F117,"")</f>
        <v/>
      </c>
      <c r="H124" s="179">
        <f>IF(C124&lt;&gt;"",_xll.RssMarket(C124,"高値"),"")</f>
        <v/>
      </c>
      <c r="I124" s="179">
        <f>IF(C124&lt;&gt;"",_xll.RssMarket(C124,"安値"),"")</f>
        <v/>
      </c>
      <c r="J124" s="179">
        <f>IF(C124&lt;&gt;"",_xll.RssMarket(C124,"出来高"),"")</f>
        <v/>
      </c>
      <c r="K124" s="179">
        <f>IF(C124&lt;&gt;"",_xll.RssMarket(C124,"年初来高値"),"")</f>
        <v/>
      </c>
      <c r="L124" s="613">
        <f>IF(AND(E124&lt;&gt;"",K124&lt;&gt;"",K124&lt;&gt;0),(E124-K124)/K124*100,"")</f>
        <v/>
      </c>
      <c r="M124" s="179">
        <f>IF(C124&lt;&gt;"",IFERROR(AVERAGE(出来高!E117:I117),""),"")</f>
        <v/>
      </c>
      <c r="N124" s="179">
        <f>IF(C124&lt;&gt;"",IFERROR(AVERAGE(出来高!E117:AC117),""),"")</f>
        <v/>
      </c>
      <c r="O124" s="614">
        <f>IF(AND(J124&lt;&gt;"",M124&lt;&gt;"",M124&lt;&gt;0),J124/M124,"")</f>
        <v/>
      </c>
      <c r="P124" s="176">
        <f>IF(O124="","",IF(O124&gt;=2,"急増↑↑",IF(O124&gt;=1.5,"増加↑",IF(O124&gt;=1,"普通→","減少↓"))))</f>
        <v/>
      </c>
      <c r="Q124" s="176">
        <f>IF(E124="","",IF(AND(E124&gt;G124,O124&gt;=1.5),"買い▲",IF(E124&lt;G124,"様子見▼","中立→")))</f>
        <v/>
      </c>
      <c r="R124" s="179">
        <f>IF(E124&lt;&gt;"",ROUND(E124*1.08,0),"")</f>
        <v/>
      </c>
      <c r="S124" s="179">
        <f>IF(E124&lt;&gt;"",ROUND(E124*0.96,0),"")</f>
        <v/>
      </c>
      <c r="T124" s="176">
        <f>IF(C124="","",IFERROR(IF(O124&gt;=2,3,IF(O124&gt;=1.5,2,IF(O124&gt;=1,1,0)))+IF(E124&gt;G124,1,0)+IF(L124&gt;=-5,1,0)+IF(Q124="買い▲",2,0)+IF(W124&lt;=30,3,IF(W124&lt;=40,2,IF(AND(W124&gt;=40,W124&lt;=60),1,0)))+IF(X124&gt;0,1,0)+IF(V124="年初来高値更新●",3,IF(V124="高値圏",2,0))+IF(AD124="パーフェクト▲",3,IF(AD124="上昇トレンド▲",2,0))+IF(AE124="25日線押し目●",2,IF(AE124="5日線押し目○",1,0))+IF(P124="急増↑↑",2,IF(P124="増加↑",1,0))+N(AI124),0))</f>
        <v/>
      </c>
      <c r="U124" s="176">
        <f>IF(T124="","",IF(AND(T124&gt;=3,O124&gt;=1.5),"有効",IF(T124&gt;=3,"要確認","除外")))</f>
        <v/>
      </c>
      <c r="V124" s="176">
        <f>IF(AND(H124&lt;&gt;"",K124&lt;&gt;""),IF(H124&gt;=K124,"年初来高値更新●",IF(H124&gt;=K124*0.95,"高値圏","通常")),"")</f>
        <v/>
      </c>
      <c r="W124" s="615">
        <f t="array" ref="W124">IF(C124&lt;&gt;"",IFERROR(100-100/(1+SUMPRODUCT((終値!F117:R117&gt;終値!G117:S117)*( 終値!F117:R117-終値!G117:S117))/SUMPRODUCT((終値!F117:R117&lt;終値!G117:S117)*(終値!G117:S117-終値!F117:R117))),50),"")</f>
        <v/>
      </c>
      <c r="X124" s="183">
        <f>IF(C124&lt;&gt;"",IFERROR(SUMPRODUCT(終値!E117:P117,{0.154,0.132,0.113,0.097,0.083,0.071,0.061,0.052,0.045,0.038,0.033,0.028})/SUMPRODUCT({0.154,0.132,0.113,0.097,0.083,0.071,0.061,0.052,0.045,0.038,0.033,0.028})-SUMPRODUCT(終値!E117:AD117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4" s="570">
        <f>IF(T124="","",IF(銘柄管理!$F$5="下落▼",IF(AND(AD124="パーフェクト▲",OR(AE124="25日線押し目●",AE124="5日線押し目○")),"★逆張り候補",IF(AND(AD124="上昇トレンド▲",OR(AE124="25日線押し目●",AE124="5日線押し目○")),"○逆張り候補",IF(W124&lt;=30,IF(Z124&gt;0,"◎反発確認",IF(Z124&lt;-5,"△要注意・様子見","△売られ過ぎ注目")),"相場下落・見送り"))),IF(AND(T124&gt;=12,AD124="パーフェクト▲"),"★強い買い",IF(AND(T124&gt;=12,AD124="上昇トレンド▲"),"★強い買い",IF(AND(T124&gt;=8,OR(AE124="25日線押し目●",AE124="5日線押し目○")),"◎押し目買い",IF(T124&gt;=10,"○買い候補",IF(T124&gt;=6,"△注目",IF(T124&gt;=3,"様子見","見送り"))))))))</f>
        <v/>
      </c>
      <c r="Z124" s="616">
        <f>IF(AND(E124&lt;&gt;"",G124&lt;&gt;"",G124&lt;&gt;0),(E124-G124)/G124*100,"")</f>
        <v/>
      </c>
      <c r="AA124" s="176">
        <f>IF(OR(C124="",E124="",E124=0),"",IF(E124&gt;G124,"上昇▲",IF(E124&lt;G124,"下落▼","横ばい→")))</f>
        <v/>
      </c>
      <c r="AB124" s="438">
        <f>IF(C124="","",IFERROR(((終値!E126*0.333)+(終値!F126*0.222)+(終値!G126*0.148)+(終値!H126*0.099)+(終値!I126*0.066)+(終値!J126*0.044)+(終値!K126*0.029)+(終値!L126*0.019)+(終値!M126*0.013)+(終値!N126*0.009))/(0.333+0.222+0.148+0.099+0.066+0.044+0.029+0.019+0.013+0.009),""))</f>
        <v/>
      </c>
      <c r="AC124" s="438">
        <f>IF(C124="","",IFERROR(SUMPRODUCT((終値!E126:AC126)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4" s="439">
        <f>IF(OR(C124="",AB124="",AC124=""),"",IF(AND(E124&gt;AB124,AB124&gt;AC124),"パーフェクト▲",IF(E124&gt;AC124,"上昇トレンド▲",IF(AND(E124&lt;AB124,AB124&lt;AC124),"下降トレンド▼","もみ合い→"))))</f>
        <v/>
      </c>
      <c r="AE124" s="439">
        <f>IF(OR(C124="",AB124="",AC124=""),"",IF(AND(ABS(E124-AC124)/AC124&lt;=0.02,E124&gt;AC124),"25日押し目★",IF(AND(ABS(E124-AB124)/AB124&lt;=0.01,E124&gt;AB124),"5日押し目○","なし")))</f>
        <v/>
      </c>
      <c r="AF124" s="617">
        <f t="array" ref="AF124">IF(C124="","",IFERROR((INDEX(終値!$E:$E,MATCH(TEXT(C124,"0"),終値!$A:$A,0))-INDEX(終値!$E:$BL,MATCH(TEXT(C124,"0"),終値!$A:$A,0),$AL$2))/INDEX(終値!$E:$BL,MATCH(TEXT(C124,"0"),終値!$A:$A,0),$AL$2)*100,""))</f>
        <v/>
      </c>
      <c r="AG124" s="617">
        <f t="array" ref="AG124">IFERROR((終値!$E$5-INDEX(終値!$E$5:$BL$5,1,$AL$2))/INDEX(終値!$E$5:$BL$5,1,$AL$2)*100,"")</f>
        <v/>
      </c>
      <c r="AH124" s="618">
        <f>IF(OR(AF124="",AG124=""),"",AF124-AG124)</f>
        <v/>
      </c>
      <c r="AI124" s="385">
        <f>IF(AH124="","",IF(AH124&gt;5,3,IF(AH124&gt;0,1,IF(AH124&gt;-3,-1,-2))))</f>
        <v/>
      </c>
    </row>
    <row r="125" ht="18" customFormat="1" customHeight="1" s="187">
      <c r="A125" s="176">
        <f>IF(銘柄管理!B103&lt;&gt;"",HYPERLINK("https://kabutan.jp/stock/?code="&amp;銘柄管理!B103,"株探"),"")</f>
        <v/>
      </c>
      <c r="B125" s="177" t="n"/>
      <c r="C125" s="178">
        <f>IF(銘柄管理!B103="","",銘柄管理!B103)</f>
        <v/>
      </c>
      <c r="D125" s="106">
        <f>IF(銘柄管理!C103="","",銘柄管理!C103)</f>
        <v/>
      </c>
      <c r="E125" s="179">
        <f>IF(C125&lt;&gt;"",_xll.RssMarket(C125,"現在値"),"")</f>
        <v/>
      </c>
      <c r="F125" s="179">
        <f>IF(C125&lt;&gt;"",_xll.RssMarket(C125,"始値"),"")</f>
        <v/>
      </c>
      <c r="G125" s="178">
        <f>IF(C125&lt;&gt;"",終値!F103,"")</f>
        <v/>
      </c>
      <c r="H125" s="179">
        <f>IF(C125&lt;&gt;"",_xll.RssMarket(C125,"高値"),"")</f>
        <v/>
      </c>
      <c r="I125" s="179">
        <f>IF(C125&lt;&gt;"",_xll.RssMarket(C125,"安値"),"")</f>
        <v/>
      </c>
      <c r="J125" s="179">
        <f>IF(C125&lt;&gt;"",_xll.RssMarket(C125,"出来高"),"")</f>
        <v/>
      </c>
      <c r="K125" s="179">
        <f>IF(C125&lt;&gt;"",_xll.RssMarket(C125,"年初来高値"),"")</f>
        <v/>
      </c>
      <c r="L125" s="613">
        <f>IF(AND(E125&lt;&gt;"",K125&lt;&gt;"",K125&lt;&gt;0),(E125-K125)/K125*100,"")</f>
        <v/>
      </c>
      <c r="M125" s="179">
        <f>IF(C125&lt;&gt;"",IFERROR(AVERAGE(出来高!E103:I103),""),"")</f>
        <v/>
      </c>
      <c r="N125" s="179">
        <f>IF(C125&lt;&gt;"",IFERROR(AVERAGE(出来高!E103:AC103),""),"")</f>
        <v/>
      </c>
      <c r="O125" s="614">
        <f>IF(AND(J125&lt;&gt;"",M125&lt;&gt;"",M125&lt;&gt;0),J125/M125,"")</f>
        <v/>
      </c>
      <c r="P125" s="176">
        <f>IF(O125="","",IF(O125&gt;=2,"急増↑↑",IF(O125&gt;=1.5,"増加↑",IF(O125&gt;=1,"普通→","減少↓"))))</f>
        <v/>
      </c>
      <c r="Q125" s="176">
        <f>IF(E125="","",IF(AND(E125&gt;G125,O125&gt;=1.5),"買い▲",IF(E125&lt;G125,"様子見▼","中立→")))</f>
        <v/>
      </c>
      <c r="R125" s="179">
        <f>IF(E125&lt;&gt;"",ROUND(E125*1.08,0),"")</f>
        <v/>
      </c>
      <c r="S125" s="179">
        <f>IF(E125&lt;&gt;"",ROUND(E125*0.96,0),"")</f>
        <v/>
      </c>
      <c r="T125" s="176">
        <f>IF(C125="","",IFERROR(IF(O125&gt;=2,3,IF(O125&gt;=1.5,2,IF(O125&gt;=1,1,0)))+IF(E125&gt;G125,1,0)+IF(L125&gt;=-5,1,0)+IF(Q125="買い▲",2,0)+IF(W125&lt;=30,3,IF(W125&lt;=40,2,IF(AND(W125&gt;=40,W125&lt;=60),1,0)))+IF(X125&gt;0,1,0)+IF(V125="年初来高値更新●",3,IF(V125="高値圏",2,0))+IF(AD125="パーフェクト▲",3,IF(AD125="上昇トレンド▲",2,0))+IF(AE125="25日線押し目●",2,IF(AE125="5日線押し目○",1,0))+IF(P125="急増↑↑",2,IF(P125="増加↑",1,0))+N(AI125),0))</f>
        <v/>
      </c>
      <c r="U125" s="176">
        <f>IF(T125="","",IF(AND(T125&gt;=3,O125&gt;=1.5),"有効",IF(T125&gt;=3,"要確認","除外")))</f>
        <v/>
      </c>
      <c r="V125" s="176">
        <f>IF(AND(H125&lt;&gt;"",K125&lt;&gt;""),IF(H125&gt;=K125,"年初来高値更新●",IF(H125&gt;=K125*0.95,"高値圏","通常")),"")</f>
        <v/>
      </c>
      <c r="W125" s="615">
        <f t="array" ref="W125">IF(C125&lt;&gt;"",IFERROR(100-100/(1+SUMPRODUCT((終値!F103:R103&gt;終値!G103:S103)*( 終値!F103:R103-終値!G103:S103))/SUMPRODUCT((終値!F103:R103&lt;終値!G103:S103)*(終値!G103:S103-終値!F103:R103))),50),"")</f>
        <v/>
      </c>
      <c r="X125" s="183">
        <f>IF(C125&lt;&gt;"",IFERROR(SUMPRODUCT(終値!E103:P103,{0.154,0.132,0.113,0.097,0.083,0.071,0.061,0.052,0.045,0.038,0.033,0.028})/SUMPRODUCT({0.154,0.132,0.113,0.097,0.083,0.071,0.061,0.052,0.045,0.038,0.033,0.028})-SUMPRODUCT(終値!E103:AD103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5" s="570">
        <f>IF(T125="","",IF(銘柄管理!$F$5="下落▼",IF(AND(AD125="パーフェクト▲",OR(AE125="25日線押し目●",AE125="5日線押し目○")),"★逆張り候補",IF(AND(AD125="上昇トレンド▲",OR(AE125="25日線押し目●",AE125="5日線押し目○")),"○逆張り候補",IF(W125&lt;=30,IF(Z125&gt;0,"◎反発確認",IF(Z125&lt;-5,"△要注意・様子見","△売られ過ぎ注目")),"相場下落・見送り"))),IF(AND(T125&gt;=12,AD125="パーフェクト▲"),"★強い買い",IF(AND(T125&gt;=12,AD125="上昇トレンド▲"),"★強い買い",IF(AND(T125&gt;=8,OR(AE125="25日線押し目●",AE125="5日線押し目○")),"◎押し目買い",IF(T125&gt;=10,"○買い候補",IF(T125&gt;=6,"△注目",IF(T125&gt;=3,"様子見","見送り"))))))))</f>
        <v/>
      </c>
      <c r="Z125" s="616">
        <f>IF(AND(E125&lt;&gt;"",G125&lt;&gt;"",G125&lt;&gt;0),(E125-G125)/G125*100,"")</f>
        <v/>
      </c>
      <c r="AA125" s="176">
        <f>IF(OR(C125="",E125="",E125=0),"",IF(E125&gt;G125,"上昇▲",IF(E125&lt;G125,"下落▼","横ばい→")))</f>
        <v/>
      </c>
      <c r="AB125" s="440">
        <f>IF(C125="","",IFERROR(((終値!E127*0.333)+(終値!F127*0.222)+(終値!G127*0.148)+(終値!H127*0.099)+(終値!I127*0.066)+(終値!J127*0.044)+(終値!K127*0.029)+(終値!L127*0.019)+(終値!M127*0.013)+(終値!N127*0.009))/(0.333+0.222+0.148+0.099+0.066+0.044+0.029+0.019+0.013+0.009),""))</f>
        <v/>
      </c>
      <c r="AC125" s="440">
        <f>IF(C125="","",IFERROR(SUMPRODUCT((終値!E127:AC127)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5" s="441">
        <f>IF(OR(C125="",AB125="",AC125=""),"",IF(AND(E125&gt;AB125,AB125&gt;AC125),"パーフェクト▲",IF(E125&gt;AC125,"上昇トレンド▲",IF(AND(E125&lt;AB125,AB125&lt;AC125),"下降トレンド▼","もみ合い→"))))</f>
        <v/>
      </c>
      <c r="AE125" s="441">
        <f>IF(OR(C125="",AB125="",AC125=""),"",IF(AND(ABS(E125-AC125)/AC125&lt;=0.02,E125&gt;AC125),"25日押し目★",IF(AND(ABS(E125-AB125)/AB125&lt;=0.01,E125&gt;AB125),"5日押し目○","なし")))</f>
        <v/>
      </c>
      <c r="AF125" s="617">
        <f t="array" ref="AF125">IF(C125="","",IFERROR((INDEX(終値!$E:$E,MATCH(TEXT(C125,"0"),終値!$A:$A,0))-INDEX(終値!$E:$BL,MATCH(TEXT(C125,"0"),終値!$A:$A,0),$AL$2))/INDEX(終値!$E:$BL,MATCH(TEXT(C125,"0"),終値!$A:$A,0),$AL$2)*100,""))</f>
        <v/>
      </c>
      <c r="AG125" s="617">
        <f t="array" ref="AG125">IFERROR((終値!$E$5-INDEX(終値!$E$5:$BL$5,1,$AL$2))/INDEX(終値!$E$5:$BL$5,1,$AL$2)*100,"")</f>
        <v/>
      </c>
      <c r="AH125" s="618">
        <f>IF(OR(AF125="",AG125=""),"",AF125-AG125)</f>
        <v/>
      </c>
      <c r="AI125" s="385">
        <f>IF(AH125="","",IF(AH125&gt;5,3,IF(AH125&gt;0,1,IF(AH125&gt;-3,-1,-2))))</f>
        <v/>
      </c>
    </row>
    <row r="126" ht="18" customFormat="1" customHeight="1" s="187">
      <c r="A126" s="176">
        <f>IF(銘柄管理!B102&lt;&gt;"",HYPERLINK("https://kabutan.jp/stock/?code="&amp;銘柄管理!B102,"株探"),"")</f>
        <v/>
      </c>
      <c r="B126" s="177" t="n"/>
      <c r="C126" s="178">
        <f>IF(銘柄管理!B102="","",銘柄管理!B102)</f>
        <v/>
      </c>
      <c r="D126" s="106">
        <f>IF(銘柄管理!C102="","",銘柄管理!C102)</f>
        <v/>
      </c>
      <c r="E126" s="179">
        <f>IF(C126&lt;&gt;"",_xll.RssMarket(C126,"現在値"),"")</f>
        <v/>
      </c>
      <c r="F126" s="179">
        <f>IF(C126&lt;&gt;"",_xll.RssMarket(C126,"始値"),"")</f>
        <v/>
      </c>
      <c r="G126" s="178">
        <f>IF(C126&lt;&gt;"",終値!F102,"")</f>
        <v/>
      </c>
      <c r="H126" s="179">
        <f>IF(C126&lt;&gt;"",_xll.RssMarket(C126,"高値"),"")</f>
        <v/>
      </c>
      <c r="I126" s="179">
        <f>IF(C126&lt;&gt;"",_xll.RssMarket(C126,"安値"),"")</f>
        <v/>
      </c>
      <c r="J126" s="179">
        <f>IF(C126&lt;&gt;"",_xll.RssMarket(C126,"出来高"),"")</f>
        <v/>
      </c>
      <c r="K126" s="179">
        <f>IF(C126&lt;&gt;"",_xll.RssMarket(C126,"年初来高値"),"")</f>
        <v/>
      </c>
      <c r="L126" s="613">
        <f>IF(AND(E126&lt;&gt;"",K126&lt;&gt;"",K126&lt;&gt;0),(E126-K126)/K126*100,"")</f>
        <v/>
      </c>
      <c r="M126" s="179">
        <f>IF(C126&lt;&gt;"",IFERROR(AVERAGE(出来高!E102:I102),""),"")</f>
        <v/>
      </c>
      <c r="N126" s="179">
        <f>IF(C126&lt;&gt;"",IFERROR(AVERAGE(出来高!E102:AC102),""),"")</f>
        <v/>
      </c>
      <c r="O126" s="614">
        <f>IF(AND(J126&lt;&gt;"",M126&lt;&gt;"",M126&lt;&gt;0),J126/M126,"")</f>
        <v/>
      </c>
      <c r="P126" s="176">
        <f>IF(O126="","",IF(O126&gt;=2,"急増↑↑",IF(O126&gt;=1.5,"増加↑",IF(O126&gt;=1,"普通→","減少↓"))))</f>
        <v/>
      </c>
      <c r="Q126" s="176">
        <f>IF(E126="","",IF(AND(E126&gt;G126,O126&gt;=1.5),"買い▲",IF(E126&lt;G126,"様子見▼","中立→")))</f>
        <v/>
      </c>
      <c r="R126" s="179">
        <f>IF(E126&lt;&gt;"",ROUND(E126*1.08,0),"")</f>
        <v/>
      </c>
      <c r="S126" s="179">
        <f>IF(E126&lt;&gt;"",ROUND(E126*0.96,0),"")</f>
        <v/>
      </c>
      <c r="T126" s="176">
        <f>IF(C126="","",IFERROR(IF(O126&gt;=2,3,IF(O126&gt;=1.5,2,IF(O126&gt;=1,1,0)))+IF(E126&gt;G126,1,0)+IF(L126&gt;=-5,1,0)+IF(Q126="買い▲",2,0)+IF(W126&lt;=30,3,IF(W126&lt;=40,2,IF(AND(W126&gt;=40,W126&lt;=60),1,0)))+IF(X126&gt;0,1,0)+IF(V126="年初来高値更新●",3,IF(V126="高値圏",2,0))+IF(AD126="パーフェクト▲",3,IF(AD126="上昇トレンド▲",2,0))+IF(AE126="25日線押し目●",2,IF(AE126="5日線押し目○",1,0))+IF(P126="急増↑↑",2,IF(P126="増加↑",1,0))+N(AI126),0))</f>
        <v/>
      </c>
      <c r="U126" s="176">
        <f>IF(T126="","",IF(AND(T126&gt;=3,O126&gt;=1.5),"有効",IF(T126&gt;=3,"要確認","除外")))</f>
        <v/>
      </c>
      <c r="V126" s="176">
        <f>IF(AND(H126&lt;&gt;"",K126&lt;&gt;""),IF(H126&gt;=K126,"年初来高値更新●",IF(H126&gt;=K126*0.95,"高値圏","通常")),"")</f>
        <v/>
      </c>
      <c r="W126" s="615">
        <f t="array" ref="W126">IF(C126&lt;&gt;"",IFERROR(100-100/(1+SUMPRODUCT((終値!F102:R102&gt;終値!G102:S102)*( 終値!F102:R102-終値!G102:S102))/SUMPRODUCT((終値!F102:R102&lt;終値!G102:S102)*(終値!G102:S102-終値!F102:R102))),50),"")</f>
        <v/>
      </c>
      <c r="X126" s="183">
        <f>IF(C126&lt;&gt;"",IFERROR(SUMPRODUCT(終値!E102:P102,{0.154,0.132,0.113,0.097,0.083,0.071,0.061,0.052,0.045,0.038,0.033,0.028})/SUMPRODUCT({0.154,0.132,0.113,0.097,0.083,0.071,0.061,0.052,0.045,0.038,0.033,0.028})-SUMPRODUCT(終値!E102:AD102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6" s="570">
        <f>IF(T126="","",IF(銘柄管理!$F$5="下落▼",IF(AND(AD126="パーフェクト▲",OR(AE126="25日線押し目●",AE126="5日線押し目○")),"★逆張り候補",IF(AND(AD126="上昇トレンド▲",OR(AE126="25日線押し目●",AE126="5日線押し目○")),"○逆張り候補",IF(W126&lt;=30,IF(Z126&gt;0,"◎反発確認",IF(Z126&lt;-5,"△要注意・様子見","△売られ過ぎ注目")),"相場下落・見送り"))),IF(AND(T126&gt;=12,AD126="パーフェクト▲"),"★強い買い",IF(AND(T126&gt;=12,AD126="上昇トレンド▲"),"★強い買い",IF(AND(T126&gt;=8,OR(AE126="25日線押し目●",AE126="5日線押し目○")),"◎押し目買い",IF(T126&gt;=10,"○買い候補",IF(T126&gt;=6,"△注目",IF(T126&gt;=3,"様子見","見送り"))))))))</f>
        <v/>
      </c>
      <c r="Z126" s="616">
        <f>IF(AND(E126&lt;&gt;"",G126&lt;&gt;"",G126&lt;&gt;0),(E126-G126)/G126*100,"")</f>
        <v/>
      </c>
      <c r="AA126" s="176">
        <f>IF(OR(C126="",E126="",E126=0),"",IF(E126&gt;G126,"上昇▲",IF(E126&lt;G126,"下落▼","横ばい→")))</f>
        <v/>
      </c>
      <c r="AB126" s="438">
        <f>IF(C126="","",IFERROR(((終値!E128*0.333)+(終値!F128*0.222)+(終値!G128*0.148)+(終値!H128*0.099)+(終値!I128*0.066)+(終値!J128*0.044)+(終値!K128*0.029)+(終値!L128*0.019)+(終値!M128*0.013)+(終値!N128*0.009))/(0.333+0.222+0.148+0.099+0.066+0.044+0.029+0.019+0.013+0.009),""))</f>
        <v/>
      </c>
      <c r="AC126" s="438">
        <f>IF(C126="","",IFERROR(SUMPRODUCT((終値!E128:AC128)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6" s="439">
        <f>IF(OR(C126="",AB126="",AC126=""),"",IF(AND(E126&gt;AB126,AB126&gt;AC126),"パーフェクト▲",IF(E126&gt;AC126,"上昇トレンド▲",IF(AND(E126&lt;AB126,AB126&lt;AC126),"下降トレンド▼","もみ合い→"))))</f>
        <v/>
      </c>
      <c r="AE126" s="439">
        <f>IF(OR(C126="",AB126="",AC126=""),"",IF(AND(ABS(E126-AC126)/AC126&lt;=0.02,E126&gt;AC126),"25日押し目★",IF(AND(ABS(E126-AB126)/AB126&lt;=0.01,E126&gt;AB126),"5日押し目○","なし")))</f>
        <v/>
      </c>
      <c r="AF126" s="617">
        <f t="array" ref="AF126">IF(C126="","",IFERROR((INDEX(終値!$E:$E,MATCH(TEXT(C126,"0"),終値!$A:$A,0))-INDEX(終値!$E:$BL,MATCH(TEXT(C126,"0"),終値!$A:$A,0),$AL$2))/INDEX(終値!$E:$BL,MATCH(TEXT(C126,"0"),終値!$A:$A,0),$AL$2)*100,""))</f>
        <v/>
      </c>
      <c r="AG126" s="617">
        <f t="array" ref="AG126">IFERROR((終値!$E$5-INDEX(終値!$E$5:$BL$5,1,$AL$2))/INDEX(終値!$E$5:$BL$5,1,$AL$2)*100,"")</f>
        <v/>
      </c>
      <c r="AH126" s="618">
        <f>IF(OR(AF126="",AG126=""),"",AF126-AG126)</f>
        <v/>
      </c>
      <c r="AI126" s="385">
        <f>IF(AH126="","",IF(AH126&gt;5,3,IF(AH126&gt;0,1,IF(AH126&gt;-3,-1,-2))))</f>
        <v/>
      </c>
    </row>
    <row r="127" ht="18" customFormat="1" customHeight="1" s="187">
      <c r="A127" s="176">
        <f>IF(銘柄管理!B200&lt;&gt;"",HYPERLINK("https://kabutan.jp/stock/?code="&amp;銘柄管理!B200,"株探"),"")</f>
        <v/>
      </c>
      <c r="B127" s="177" t="n"/>
      <c r="C127" s="178">
        <f>IF(銘柄管理!B200="","",銘柄管理!B200)</f>
        <v/>
      </c>
      <c r="D127" s="106">
        <f>IF(銘柄管理!C200="","",銘柄管理!C200)</f>
        <v/>
      </c>
      <c r="E127" s="179">
        <f>IF(C127&lt;&gt;"",_xll.RssMarket(C127,"現在値"),"")</f>
        <v/>
      </c>
      <c r="F127" s="179">
        <f>IF(C127&lt;&gt;"",_xll.RssMarket(C127,"始値"),"")</f>
        <v/>
      </c>
      <c r="G127" s="178">
        <f>IF(C127&lt;&gt;"",終値!F200,"")</f>
        <v/>
      </c>
      <c r="H127" s="179">
        <f>IF(C127&lt;&gt;"",_xll.RssMarket(C127,"高値"),"")</f>
        <v/>
      </c>
      <c r="I127" s="179">
        <f>IF(C127&lt;&gt;"",_xll.RssMarket(C127,"安値"),"")</f>
        <v/>
      </c>
      <c r="J127" s="179">
        <f>IF(C127&lt;&gt;"",_xll.RssMarket(C127,"出来高"),"")</f>
        <v/>
      </c>
      <c r="K127" s="179">
        <f>IF(C127&lt;&gt;"",_xll.RssMarket(C127,"年初来高値"),"")</f>
        <v/>
      </c>
      <c r="L127" s="613">
        <f>IF(AND(E127&lt;&gt;"",K127&lt;&gt;"",K127&lt;&gt;0),(E127-K127)/K127*100,"")</f>
        <v/>
      </c>
      <c r="M127" s="179">
        <f>IF(C127&lt;&gt;"",IFERROR(AVERAGE(出来高!E200:I200),""),"")</f>
        <v/>
      </c>
      <c r="N127" s="179">
        <f>IF(C127&lt;&gt;"",IFERROR(AVERAGE(出来高!E200:AC200),""),"")</f>
        <v/>
      </c>
      <c r="O127" s="614">
        <f>IF(AND(J127&lt;&gt;"",M127&lt;&gt;"",M127&lt;&gt;0),J127/M127,"")</f>
        <v/>
      </c>
      <c r="P127" s="176">
        <f>IF(O127="","",IF(O127&gt;=2,"急増↑↑",IF(O127&gt;=1.5,"増加↑",IF(O127&gt;=1,"普通→","減少↓"))))</f>
        <v/>
      </c>
      <c r="Q127" s="176">
        <f>IF(E127="","",IF(AND(E127&gt;G127,O127&gt;=1.5),"買い▲",IF(E127&lt;G127,"様子見▼","中立→")))</f>
        <v/>
      </c>
      <c r="R127" s="179">
        <f>IF(E127&lt;&gt;"",ROUND(E127*1.08,0),"")</f>
        <v/>
      </c>
      <c r="S127" s="179">
        <f>IF(E127&lt;&gt;"",ROUND(E127*0.96,0),"")</f>
        <v/>
      </c>
      <c r="T127" s="176">
        <f>IF(C127="","",IFERROR(IF(O127&gt;=2,3,IF(O127&gt;=1.5,2,IF(O127&gt;=1,1,0)))+IF(E127&gt;G127,1,0)+IF(L127&gt;=-5,1,0)+IF(Q127="買い▲",2,0)+IF(W127&lt;=30,3,IF(W127&lt;=40,2,IF(AND(W127&gt;=40,W127&lt;=60),1,0)))+IF(X127&gt;0,1,0)+IF(V127="年初来高値更新●",3,IF(V127="高値圏",2,0))+IF(AD127="パーフェクト▲",3,IF(AD127="上昇トレンド▲",2,0))+IF(AE127="25日線押し目●",2,IF(AE127="5日線押し目○",1,0))+IF(P127="急増↑↑",2,IF(P127="増加↑",1,0))+N(AI127),0))</f>
        <v/>
      </c>
      <c r="U127" s="176">
        <f>IF(T127="","",IF(AND(T127&gt;=3,O127&gt;=1.5),"有効",IF(T127&gt;=3,"要確認","除外")))</f>
        <v/>
      </c>
      <c r="V127" s="176">
        <f>IF(AND(H127&lt;&gt;"",K127&lt;&gt;""),IF(H127&gt;=K127,"年初来高値更新●",IF(H127&gt;=K127*0.95,"高値圏","通常")),"")</f>
        <v/>
      </c>
      <c r="W127" s="615">
        <f t="array" ref="W127">IF(C127&lt;&gt;"",IFERROR(100-100/(1+SUMPRODUCT((終値!F200:R200&gt;終値!G200:S200)*( 終値!F200:R200-終値!G200:S200))/SUMPRODUCT((終値!F200:R200&lt;終値!G200:S200)*(終値!G200:S200-終値!F200:R200))),50),"")</f>
        <v/>
      </c>
      <c r="X127" s="183">
        <f>IF(C127&lt;&gt;"",IFERROR(SUMPRODUCT(終値!E200:P200,{0.154,0.132,0.113,0.097,0.083,0.071,0.061,0.052,0.045,0.038,0.033,0.028})/SUMPRODUCT({0.154,0.132,0.113,0.097,0.083,0.071,0.061,0.052,0.045,0.038,0.033,0.028})-SUMPRODUCT(終値!E200:AD200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7" s="570">
        <f>IF(T127="","",IF(銘柄管理!$F$5="下落▼",IF(AND(AD127="パーフェクト▲",OR(AE127="25日線押し目●",AE127="5日線押し目○")),"★逆張り候補",IF(AND(AD127="上昇トレンド▲",OR(AE127="25日線押し目●",AE127="5日線押し目○")),"○逆張り候補",IF(W127&lt;=30,IF(Z127&gt;0,"◎反発確認",IF(Z127&lt;-5,"△要注意・様子見","△売られ過ぎ注目")),"相場下落・見送り"))),IF(AND(T127&gt;=12,AD127="パーフェクト▲"),"★強い買い",IF(AND(T127&gt;=12,AD127="上昇トレンド▲"),"★強い買い",IF(AND(T127&gt;=8,OR(AE127="25日線押し目●",AE127="5日線押し目○")),"◎押し目買い",IF(T127&gt;=10,"○買い候補",IF(T127&gt;=6,"△注目",IF(T127&gt;=3,"様子見","見送り"))))))))</f>
        <v/>
      </c>
      <c r="Z127" s="616">
        <f>IF(AND(E127&lt;&gt;"",G127&lt;&gt;"",G127&lt;&gt;0),(E127-G127)/G127*100,"")</f>
        <v/>
      </c>
      <c r="AA127" s="176">
        <f>IF(OR(C127="",E127="",E127=0),"",IF(E127&gt;G127,"上昇▲",IF(E127&lt;G127,"下落▼","横ばい→")))</f>
        <v/>
      </c>
      <c r="AB127" s="440">
        <f>IF(C127="","",IFERROR(((終値!E129*0.333)+(終値!F129*0.222)+(終値!G129*0.148)+(終値!H129*0.099)+(終値!I129*0.066)+(終値!J129*0.044)+(終値!K129*0.029)+(終値!L129*0.019)+(終値!M129*0.013)+(終値!N129*0.009))/(0.333+0.222+0.148+0.099+0.066+0.044+0.029+0.019+0.013+0.009),""))</f>
        <v/>
      </c>
      <c r="AC127" s="440">
        <f>IF(C127="","",IFERROR(SUMPRODUCT((終値!E129:AC129)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7" s="441">
        <f>IF(OR(C127="",AB127="",AC127=""),"",IF(AND(E127&gt;AB127,AB127&gt;AC127),"パーフェクト▲",IF(E127&gt;AC127,"上昇トレンド▲",IF(AND(E127&lt;AB127,AB127&lt;AC127),"下降トレンド▼","もみ合い→"))))</f>
        <v/>
      </c>
      <c r="AE127" s="441">
        <f>IF(OR(C127="",AB127="",AC127=""),"",IF(AND(ABS(E127-AC127)/AC127&lt;=0.02,E127&gt;AC127),"25日押し目★",IF(AND(ABS(E127-AB127)/AB127&lt;=0.01,E127&gt;AB127),"5日押し目○","なし")))</f>
        <v/>
      </c>
      <c r="AF127" s="617">
        <f t="array" ref="AF127">IF(C127="","",IFERROR((INDEX(終値!$E:$E,MATCH(TEXT(C127,"0"),終値!$A:$A,0))-INDEX(終値!$E:$BL,MATCH(TEXT(C127,"0"),終値!$A:$A,0),$AL$2))/INDEX(終値!$E:$BL,MATCH(TEXT(C127,"0"),終値!$A:$A,0),$AL$2)*100,""))</f>
        <v/>
      </c>
      <c r="AG127" s="617">
        <f t="array" ref="AG127">IFERROR((終値!$E$5-INDEX(終値!$E$5:$BL$5,1,$AL$2))/INDEX(終値!$E$5:$BL$5,1,$AL$2)*100,"")</f>
        <v/>
      </c>
      <c r="AH127" s="618">
        <f>IF(OR(AF127="",AG127=""),"",AF127-AG127)</f>
        <v/>
      </c>
      <c r="AI127" s="385">
        <f>IF(AH127="","",IF(AH127&gt;5,3,IF(AH127&gt;0,1,IF(AH127&gt;-3,-1,-2))))</f>
        <v/>
      </c>
    </row>
    <row r="128" ht="18" customFormat="1" customHeight="1" s="187">
      <c r="A128" s="176">
        <f>IF(銘柄管理!B10&lt;&gt;"",HYPERLINK("https://kabutan.jp/stock/?code="&amp;銘柄管理!B10,"株探"),"")</f>
        <v/>
      </c>
      <c r="B128" s="177" t="n"/>
      <c r="C128" s="178">
        <f>IF(銘柄管理!B10="","",銘柄管理!B10)</f>
        <v/>
      </c>
      <c r="D128" s="106">
        <f>IF(銘柄管理!C10="","",銘柄管理!C10)</f>
        <v/>
      </c>
      <c r="E128" s="179">
        <f>IF(C128&lt;&gt;"",_xll.RssMarket(C128,"現在値"),"")</f>
        <v/>
      </c>
      <c r="F128" s="179">
        <f>IF(C128&lt;&gt;"",_xll.RssMarket(C128,"始値"),"")</f>
        <v/>
      </c>
      <c r="G128" s="178">
        <f>IF(C128&lt;&gt;"",終値!F10,"")</f>
        <v/>
      </c>
      <c r="H128" s="179">
        <f>IF(C128&lt;&gt;"",_xll.RssMarket(C128,"高値"),"")</f>
        <v/>
      </c>
      <c r="I128" s="179">
        <f>IF(C128&lt;&gt;"",_xll.RssMarket(C128,"安値"),"")</f>
        <v/>
      </c>
      <c r="J128" s="179">
        <f>IF(C128&lt;&gt;"",_xll.RssMarket(C128,"出来高"),"")</f>
        <v/>
      </c>
      <c r="K128" s="179">
        <f>IF(C128&lt;&gt;"",_xll.RssMarket(C128,"年初来高値"),"")</f>
        <v/>
      </c>
      <c r="L128" s="613">
        <f>IF(AND(E128&lt;&gt;"",K128&lt;&gt;"",K128&lt;&gt;0),(E128-K128)/K128*100,"")</f>
        <v/>
      </c>
      <c r="M128" s="179">
        <f>IF(C128&lt;&gt;"",IFERROR(AVERAGE(出来高!E10:I10),""),"")</f>
        <v/>
      </c>
      <c r="N128" s="179">
        <f>IF(C128&lt;&gt;"",IFERROR(AVERAGE(出来高!E10:AC10),""),"")</f>
        <v/>
      </c>
      <c r="O128" s="614">
        <f>IF(AND(J128&lt;&gt;"",M128&lt;&gt;"",M128&lt;&gt;0),J128/M128,"")</f>
        <v/>
      </c>
      <c r="P128" s="176">
        <f>IF(O128="","",IF(O128&gt;=2,"急増↑↑",IF(O128&gt;=1.5,"増加↑",IF(O128&gt;=1,"普通→","減少↓"))))</f>
        <v/>
      </c>
      <c r="Q128" s="176">
        <f>IF(E128="","",IF(AND(E128&gt;G128,O128&gt;=1.5),"買い▲",IF(E128&lt;G128,"様子見▼","中立→")))</f>
        <v/>
      </c>
      <c r="R128" s="179">
        <f>IF(E128&lt;&gt;"",ROUND(E128*1.08,0),"")</f>
        <v/>
      </c>
      <c r="S128" s="179">
        <f>IF(E128&lt;&gt;"",ROUND(E128*0.96,0),"")</f>
        <v/>
      </c>
      <c r="T128" s="176">
        <f>IF(C128="","",IFERROR(IF(O128&gt;=2,3,IF(O128&gt;=1.5,2,IF(O128&gt;=1,1,0)))+IF(E128&gt;G128,1,0)+IF(L128&gt;=-5,1,0)+IF(Q128="買い▲",2,0)+IF(W128&lt;=30,3,IF(W128&lt;=40,2,IF(AND(W128&gt;=40,W128&lt;=60),1,0)))+IF(X128&gt;0,1,0)+IF(V128="年初来高値更新●",3,IF(V128="高値圏",2,0))+IF(AD128="パーフェクト▲",3,IF(AD128="上昇トレンド▲",2,0))+IF(AE128="25日線押し目●",2,IF(AE128="5日線押し目○",1,0))+IF(P128="急増↑↑",2,IF(P128="増加↑",1,0))+N(AI128),0))</f>
        <v/>
      </c>
      <c r="U128" s="176">
        <f>IF(T128="","",IF(AND(T128&gt;=3,O128&gt;=1.5),"有効",IF(T128&gt;=3,"要確認","除外")))</f>
        <v/>
      </c>
      <c r="V128" s="176">
        <f>IF(AND(H128&lt;&gt;"",K128&lt;&gt;""),IF(H128&gt;=K128,"年初来高値更新●",IF(H128&gt;=K128*0.95,"高値圏","通常")),"")</f>
        <v/>
      </c>
      <c r="W128" s="615">
        <f t="array" ref="W128">IF(C128&lt;&gt;"",IFERROR(100-100/(1+SUMPRODUCT((終値!F10:R10&gt;終値!G10:S10)*( 終値!F10:R10-終値!G10:S10))/SUMPRODUCT((終値!F10:R10&lt;終値!G10:S10)*(終値!G10:S10-終値!F10:R10))),50),"")</f>
        <v/>
      </c>
      <c r="X128" s="183">
        <f>IF(C128&lt;&gt;"",IFERROR(SUMPRODUCT(終値!E10:P10,{0.154,0.132,0.113,0.097,0.083,0.071,0.061,0.052,0.045,0.038,0.033,0.028})/SUMPRODUCT({0.154,0.132,0.113,0.097,0.083,0.071,0.061,0.052,0.045,0.038,0.033,0.028})-SUMPRODUCT(終値!E10:AD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8" s="570">
        <f>IF(T128="","",IF(銘柄管理!$F$5="下落▼",IF(AND(AD128="パーフェクト▲",OR(AE128="25日線押し目●",AE128="5日線押し目○")),"★逆張り候補",IF(AND(AD128="上昇トレンド▲",OR(AE128="25日線押し目●",AE128="5日線押し目○")),"○逆張り候補",IF(W128&lt;=30,IF(Z128&gt;0,"◎反発確認",IF(Z128&lt;-5,"△要注意・様子見","△売られ過ぎ注目")),"相場下落・見送り"))),IF(AND(T128&gt;=12,AD128="パーフェクト▲"),"★強い買い",IF(AND(T128&gt;=12,AD128="上昇トレンド▲"),"★強い買い",IF(AND(T128&gt;=8,OR(AE128="25日線押し目●",AE128="5日線押し目○")),"◎押し目買い",IF(T128&gt;=10,"○買い候補",IF(T128&gt;=6,"△注目",IF(T128&gt;=3,"様子見","見送り"))))))))</f>
        <v/>
      </c>
      <c r="Z128" s="616">
        <f>IF(AND(E128&lt;&gt;"",G128&lt;&gt;"",G128&lt;&gt;0),(E128-G128)/G128*100,"")</f>
        <v/>
      </c>
      <c r="AA128" s="176">
        <f>IF(OR(C128="",E128="",E128=0),"",IF(E128&gt;G128,"上昇▲",IF(E128&lt;G128,"下落▼","横ばい→")))</f>
        <v/>
      </c>
      <c r="AB128" s="438">
        <f>IF(C128="","",IFERROR(((終値!E130*0.333)+(終値!F130*0.222)+(終値!G130*0.148)+(終値!H130*0.099)+(終値!I130*0.066)+(終値!J130*0.044)+(終値!K130*0.029)+(終値!L130*0.019)+(終値!M130*0.013)+(終値!N130*0.009))/(0.333+0.222+0.148+0.099+0.066+0.044+0.029+0.019+0.013+0.009),""))</f>
        <v/>
      </c>
      <c r="AC128" s="438">
        <f>IF(C128="","",IFERROR(SUMPRODUCT((終値!E130:AC130)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8" s="439">
        <f>IF(OR(C128="",AB128="",AC128=""),"",IF(AND(E128&gt;AB128,AB128&gt;AC128),"パーフェクト▲",IF(E128&gt;AC128,"上昇トレンド▲",IF(AND(E128&lt;AB128,AB128&lt;AC128),"下降トレンド▼","もみ合い→"))))</f>
        <v/>
      </c>
      <c r="AE128" s="439">
        <f>IF(OR(C128="",AB128="",AC128=""),"",IF(AND(ABS(E128-AC128)/AC128&lt;=0.02,E128&gt;AC128),"25日押し目★",IF(AND(ABS(E128-AB128)/AB128&lt;=0.01,E128&gt;AB128),"5日押し目○","なし")))</f>
        <v/>
      </c>
      <c r="AF128" s="617">
        <f t="array" ref="AF128">IF(C128="","",IFERROR((INDEX(終値!$E:$E,MATCH(TEXT(C128,"0"),終値!$A:$A,0))-INDEX(終値!$E:$BL,MATCH(TEXT(C128,"0"),終値!$A:$A,0),$AL$2))/INDEX(終値!$E:$BL,MATCH(TEXT(C128,"0"),終値!$A:$A,0),$AL$2)*100,""))</f>
        <v/>
      </c>
      <c r="AG128" s="617">
        <f t="array" ref="AG128">IFERROR((終値!$E$5-INDEX(終値!$E$5:$BL$5,1,$AL$2))/INDEX(終値!$E$5:$BL$5,1,$AL$2)*100,"")</f>
        <v/>
      </c>
      <c r="AH128" s="618">
        <f>IF(OR(AF128="",AG128=""),"",AF128-AG128)</f>
        <v/>
      </c>
      <c r="AI128" s="385">
        <f>IF(AH128="","",IF(AH128&gt;5,3,IF(AH128&gt;0,1,IF(AH128&gt;-3,-1,-2))))</f>
        <v/>
      </c>
    </row>
    <row r="129" ht="18" customFormat="1" customHeight="1" s="187">
      <c r="A129" s="176">
        <f>IF(銘柄管理!B8&lt;&gt;"",HYPERLINK("https://kabutan.jp/stock/?code="&amp;銘柄管理!B8,"株探"),"")</f>
        <v/>
      </c>
      <c r="B129" s="177" t="n"/>
      <c r="C129" s="178">
        <f>IF(銘柄管理!B8="","",銘柄管理!B8)</f>
        <v/>
      </c>
      <c r="D129" s="106">
        <f>IF(銘柄管理!C8="","",銘柄管理!C8)</f>
        <v/>
      </c>
      <c r="E129" s="179">
        <f>IF(C129&lt;&gt;"",_xll.RssMarket(C129,"現在値"),"")</f>
        <v/>
      </c>
      <c r="F129" s="179">
        <f>IF(C129&lt;&gt;"",_xll.RssMarket(C129,"始値"),"")</f>
        <v/>
      </c>
      <c r="G129" s="178">
        <f>IF(C129&lt;&gt;"",終値!F8,"")</f>
        <v/>
      </c>
      <c r="H129" s="179">
        <f>IF(C129&lt;&gt;"",_xll.RssMarket(C129,"高値"),"")</f>
        <v/>
      </c>
      <c r="I129" s="179">
        <f>IF(C129&lt;&gt;"",_xll.RssMarket(C129,"安値"),"")</f>
        <v/>
      </c>
      <c r="J129" s="179">
        <f>IF(C129&lt;&gt;"",_xll.RssMarket(C129,"出来高"),"")</f>
        <v/>
      </c>
      <c r="K129" s="179">
        <f>IF(C129&lt;&gt;"",_xll.RssMarket(C129,"年初来高値"),"")</f>
        <v/>
      </c>
      <c r="L129" s="613">
        <f>IF(AND(E129&lt;&gt;"",K129&lt;&gt;"",K129&lt;&gt;0),(E129-K129)/K129*100,"")</f>
        <v/>
      </c>
      <c r="M129" s="179">
        <f>IF(C129&lt;&gt;"",IFERROR(AVERAGE(出来高!F8:J8),""),"")</f>
        <v/>
      </c>
      <c r="N129" s="179">
        <f>IF(C129&lt;&gt;"",IFERROR(AVERAGE(出来高!F8:AD8),""),"")</f>
        <v/>
      </c>
      <c r="O129" s="614">
        <f>IF(AND(J129&lt;&gt;"",M129&lt;&gt;"",M129&lt;&gt;0),J129/M129,"")</f>
        <v/>
      </c>
      <c r="P129" s="176">
        <f>IF(O129="","",IF(O129&gt;=2,"急増↑↑",IF(O129&gt;=1.5,"増加↑",IF(O129&gt;=1,"普通→","減少↓"))))</f>
        <v/>
      </c>
      <c r="Q129" s="176">
        <f>IF(E129="","",IF(AND(E129&gt;G129,O129&gt;=1.5),"買い▲",IF(E129&lt;G129,"様子見▼","中立→")))</f>
        <v/>
      </c>
      <c r="R129" s="179">
        <f>IF(E129&lt;&gt;"",ROUND(E129*1.08,0),"")</f>
        <v/>
      </c>
      <c r="S129" s="179">
        <f>IF(E129&lt;&gt;"",ROUND(E129*0.96,0),"")</f>
        <v/>
      </c>
      <c r="T129" s="176">
        <f>IF(C129="","",IFERROR(IF(O129&gt;=2,3,IF(O129&gt;=1.5,2,IF(O129&gt;=1,1,0)))+IF(E129&gt;G129,1,0)+IF(L129&gt;=-5,1,0)+IF(Q129="買い▲",2,0)+IF(W129&lt;=30,3,IF(W129&lt;=40,2,IF(AND(W129&gt;=40,W129&lt;=60),1,0)))+IF(X129&gt;0,1,0)+IF(V129="年初来高値更新●",3,IF(V129="高値圏",2,0))+IF(AD129="パーフェクト▲",3,IF(AD129="上昇トレンド▲",2,0))+IF(AE129="25日線押し目●",2,IF(AE129="5日線押し目○",1,0))+IF(P129="急増↑↑",2,IF(P129="増加↑",1,0))+N(AI129),0))</f>
        <v/>
      </c>
      <c r="U129" s="176">
        <f>IF(T129="","",IF(AND(T129&gt;=3,O129&gt;=1.5),"有効",IF(T129&gt;=3,"要確認","除外")))</f>
        <v/>
      </c>
      <c r="V129" s="176">
        <f>IF(AND(H129&lt;&gt;"",K129&lt;&gt;""),IF(H129&gt;=K129,"年初来高値更新●",IF(H129&gt;=K129*0.95,"高値圏","通常")),"")</f>
        <v/>
      </c>
      <c r="W129" s="615">
        <f t="array" ref="W129">IF(C129&lt;&gt;"",IFERROR(100-100/(1+SUMPRODUCT((終値!F8:R8&gt;終値!G8:S8)*( 終値!F8:R8-終値!G8:S8))/SUMPRODUCT((終値!F8:R8&lt;終値!G8:S8)*(終値!G8:S8-終値!F8:R8))),50),"")</f>
        <v/>
      </c>
      <c r="X129" s="183">
        <f>IF(C129&lt;&gt;"",IFERROR(SUMPRODUCT(終値!E8:P8,{0.154,0.132,0.113,0.097,0.083,0.071,0.061,0.052,0.045,0.038,0.033,0.028})/SUMPRODUCT({0.154,0.132,0.113,0.097,0.083,0.071,0.061,0.052,0.045,0.038,0.033,0.028})-SUMPRODUCT(終値!E8:AD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9" s="570">
        <f>IF(T129="","",IF(銘柄管理!$F$5="下落▼",IF(AND(AD129="パーフェクト▲",OR(AE129="25日線押し目●",AE129="5日線押し目○")),"★逆張り候補",IF(AND(AD129="上昇トレンド▲",OR(AE129="25日線押し目●",AE129="5日線押し目○")),"○逆張り候補",IF(W129&lt;=30,IF(Z129&gt;0,"◎反発確認",IF(Z129&lt;-5,"△要注意・様子見","△売られ過ぎ注目")),"相場下落・見送り"))),IF(AND(T129&gt;=12,AD129="パーフェクト▲"),"★強い買い",IF(AND(T129&gt;=12,AD129="上昇トレンド▲"),"★強い買い",IF(AND(T129&gt;=8,OR(AE129="25日線押し目●",AE129="5日線押し目○")),"◎押し目買い",IF(T129&gt;=10,"○買い候補",IF(T129&gt;=6,"△注目",IF(T129&gt;=3,"様子見","見送り"))))))))</f>
        <v/>
      </c>
      <c r="Z129" s="616">
        <f>IF(AND(E129&lt;&gt;"",G129&lt;&gt;"",G129&lt;&gt;0),(E129-G129)/G129*100,"")</f>
        <v/>
      </c>
      <c r="AA129" s="176">
        <f>IF(OR(C129="",E129="",E129=0),"",IF(E129&gt;G129,"上昇▲",IF(E129&lt;G129,"下落▼","横ばい→")))</f>
        <v/>
      </c>
      <c r="AB129" s="440">
        <f>IF(C129="","",IFERROR(((終値!E131*0.333)+(終値!F131*0.222)+(終値!G131*0.148)+(終値!H131*0.099)+(終値!I131*0.066)+(終値!J131*0.044)+(終値!K131*0.029)+(終値!L131*0.019)+(終値!M131*0.013)+(終値!N131*0.009))/(0.333+0.222+0.148+0.099+0.066+0.044+0.029+0.019+0.013+0.009),""))</f>
        <v/>
      </c>
      <c r="AC129" s="440">
        <f>IF(C129="","",IFERROR(SUMPRODUCT((終値!E131:AC131)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9" s="441">
        <f>IF(OR(C129="",AB129="",AC129=""),"",IF(AND(E129&gt;AB129,AB129&gt;AC129),"パーフェクト▲",IF(E129&gt;AC129,"上昇トレンド▲",IF(AND(E129&lt;AB129,AB129&lt;AC129),"下降トレンド▼","もみ合い→"))))</f>
        <v/>
      </c>
      <c r="AE129" s="441">
        <f>IF(OR(C129="",AB129="",AC129=""),"",IF(AND(ABS(E129-AC129)/AC129&lt;=0.02,E129&gt;AC129),"25日押し目★",IF(AND(ABS(E129-AB129)/AB129&lt;=0.01,E129&gt;AB129),"5日押し目○","なし")))</f>
        <v/>
      </c>
      <c r="AF129" s="617">
        <f t="array" ref="AF129">IF(C129="","",IFERROR((INDEX(終値!$E:$E,MATCH(TEXT(C129,"0"),終値!$A:$A,0))-INDEX(終値!$E:$BL,MATCH(TEXT(C129,"0"),終値!$A:$A,0),$AL$2))/INDEX(終値!$E:$BL,MATCH(TEXT(C129,"0"),終値!$A:$A,0),$AL$2)*100,""))</f>
        <v/>
      </c>
      <c r="AG129" s="617">
        <f t="array" ref="AG129">IFERROR((終値!$E$5-INDEX(終値!$E$5:$BL$5,1,$AL$2))/INDEX(終値!$E$5:$BL$5,1,$AL$2)*100,"")</f>
        <v/>
      </c>
      <c r="AH129" s="618">
        <f>IF(OR(AF129="",AG129=""),"",AF129-AG129)</f>
        <v/>
      </c>
      <c r="AI129" s="385">
        <f>IF(AH129="","",IF(AH129&gt;5,3,IF(AH129&gt;0,1,IF(AH129&gt;-3,-1,-2))))</f>
        <v/>
      </c>
    </row>
    <row r="130" ht="18" customFormat="1" customHeight="1" s="187">
      <c r="A130" s="176">
        <f>IF(銘柄管理!B9&lt;&gt;"",HYPERLINK("https://kabutan.jp/stock/?code="&amp;銘柄管理!B9,"株探"),"")</f>
        <v/>
      </c>
      <c r="B130" s="177" t="n"/>
      <c r="C130" s="178">
        <f>IF(銘柄管理!B9="","",銘柄管理!B9)</f>
        <v/>
      </c>
      <c r="D130" s="106">
        <f>IF(銘柄管理!C9="","",銘柄管理!C9)</f>
        <v/>
      </c>
      <c r="E130" s="179">
        <f>IF(C130&lt;&gt;"",_xll.RssMarket(C130,"現在値"),"")</f>
        <v/>
      </c>
      <c r="F130" s="179">
        <f>IF(C130&lt;&gt;"",_xll.RssMarket(C130,"始値"),"")</f>
        <v/>
      </c>
      <c r="G130" s="178">
        <f>IF(C130&lt;&gt;"",終値!F9,"")</f>
        <v/>
      </c>
      <c r="H130" s="179">
        <f>IF(C130&lt;&gt;"",_xll.RssMarket(C130,"高値"),"")</f>
        <v/>
      </c>
      <c r="I130" s="179">
        <f>IF(C130&lt;&gt;"",_xll.RssMarket(C130,"安値"),"")</f>
        <v/>
      </c>
      <c r="J130" s="179">
        <f>IF(C130&lt;&gt;"",_xll.RssMarket(C130,"出来高"),"")</f>
        <v/>
      </c>
      <c r="K130" s="179">
        <f>IF(C130&lt;&gt;"",_xll.RssMarket(C130,"年初来高値"),"")</f>
        <v/>
      </c>
      <c r="L130" s="613">
        <f>IF(AND(E130&lt;&gt;"",K130&lt;&gt;"",K130&lt;&gt;0),(E130-K130)/K130*100,"")</f>
        <v/>
      </c>
      <c r="M130" s="179">
        <f>IF(C130&lt;&gt;"",IFERROR(AVERAGE(出来高!E9:I9),""),"")</f>
        <v/>
      </c>
      <c r="N130" s="179">
        <f>IF(C130&lt;&gt;"",IFERROR(AVERAGE(出来高!E9:AC9),""),"")</f>
        <v/>
      </c>
      <c r="O130" s="614">
        <f>IF(AND(J130&lt;&gt;"",M130&lt;&gt;"",M130&lt;&gt;0),J130/M130,"")</f>
        <v/>
      </c>
      <c r="P130" s="176">
        <f>IF(O130="","",IF(O130&gt;=2,"急増↑↑",IF(O130&gt;=1.5,"増加↑",IF(O130&gt;=1,"普通→","減少↓"))))</f>
        <v/>
      </c>
      <c r="Q130" s="176">
        <f>IF(E130="","",IF(AND(E130&gt;G130,O130&gt;=1.5),"買い▲",IF(E130&lt;G130,"様子見▼","中立→")))</f>
        <v/>
      </c>
      <c r="R130" s="179">
        <f>IF(E130&lt;&gt;"",ROUND(E130*1.08,0),"")</f>
        <v/>
      </c>
      <c r="S130" s="179">
        <f>IF(E130&lt;&gt;"",ROUND(E130*0.96,0),"")</f>
        <v/>
      </c>
      <c r="T130" s="176">
        <f>IF(C130="","",IFERROR(IF(O130&gt;=2,3,IF(O130&gt;=1.5,2,IF(O130&gt;=1,1,0)))+IF(E130&gt;G130,1,0)+IF(L130&gt;=-5,1,0)+IF(Q130="買い▲",2,0)+IF(W130&lt;=30,3,IF(W130&lt;=40,2,IF(AND(W130&gt;=40,W130&lt;=60),1,0)))+IF(X130&gt;0,1,0)+IF(V130="年初来高値更新●",3,IF(V130="高値圏",2,0))+IF(AD130="パーフェクト▲",3,IF(AD130="上昇トレンド▲",2,0))+IF(AE130="25日線押し目●",2,IF(AE130="5日線押し目○",1,0))+IF(P130="急増↑↑",2,IF(P130="増加↑",1,0))+N(AI130),0))</f>
        <v/>
      </c>
      <c r="U130" s="176">
        <f>IF(T130="","",IF(AND(T130&gt;=3,O130&gt;=1.5),"有効",IF(T130&gt;=3,"要確認","除外")))</f>
        <v/>
      </c>
      <c r="V130" s="176">
        <f>IF(AND(H130&lt;&gt;"",K130&lt;&gt;""),IF(H130&gt;=K130,"年初来高値更新●",IF(H130&gt;=K130*0.95,"高値圏","通常")),"")</f>
        <v/>
      </c>
      <c r="W130" s="615">
        <f t="array" ref="W130">IF(C130&lt;&gt;"",IFERROR(100-100/(1+SUMPRODUCT((終値!F9:R9&gt;終値!G9:S9)*( 終値!F9:R9-終値!G9:S9))/SUMPRODUCT((終値!F9:R9&lt;終値!G9:S9)*(終値!G9:S9-終値!F9:R9))),50),"")</f>
        <v/>
      </c>
      <c r="X130" s="183">
        <f>IF(C130&lt;&gt;"",IFERROR(SUMPRODUCT(終値!E9:P9,{0.154,0.132,0.113,0.097,0.083,0.071,0.061,0.052,0.045,0.038,0.033,0.028})/SUMPRODUCT({0.154,0.132,0.113,0.097,0.083,0.071,0.061,0.052,0.045,0.038,0.033,0.028})-SUMPRODUCT(終値!E9:AD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0" s="570">
        <f>IF(T130="","",IF(銘柄管理!$F$5="下落▼",IF(AND(AD130="パーフェクト▲",OR(AE130="25日線押し目●",AE130="5日線押し目○")),"★逆張り候補",IF(AND(AD130="上昇トレンド▲",OR(AE130="25日線押し目●",AE130="5日線押し目○")),"○逆張り候補",IF(W130&lt;=30,IF(Z130&gt;0,"◎反発確認",IF(Z130&lt;-5,"△要注意・様子見","△売られ過ぎ注目")),"相場下落・見送り"))),IF(AND(T130&gt;=12,AD130="パーフェクト▲"),"★強い買い",IF(AND(T130&gt;=12,AD130="上昇トレンド▲"),"★強い買い",IF(AND(T130&gt;=8,OR(AE130="25日線押し目●",AE130="5日線押し目○")),"◎押し目買い",IF(T130&gt;=10,"○買い候補",IF(T130&gt;=6,"△注目",IF(T130&gt;=3,"様子見","見送り"))))))))</f>
        <v/>
      </c>
      <c r="Z130" s="616">
        <f>IF(AND(E130&lt;&gt;"",G130&lt;&gt;"",G130&lt;&gt;0),(E130-G130)/G130*100,"")</f>
        <v/>
      </c>
      <c r="AA130" s="176">
        <f>IF(OR(C130="",E130="",E130=0),"",IF(E130&gt;G130,"上昇▲",IF(E130&lt;G130,"下落▼","横ばい→")))</f>
        <v/>
      </c>
      <c r="AB130" s="438">
        <f>IF(C130="","",IFERROR(((終値!E132*0.333)+(終値!F132*0.222)+(終値!G132*0.148)+(終値!H132*0.099)+(終値!I132*0.066)+(終値!J132*0.044)+(終値!K132*0.029)+(終値!L132*0.019)+(終値!M132*0.013)+(終値!N132*0.009))/(0.333+0.222+0.148+0.099+0.066+0.044+0.029+0.019+0.013+0.009),""))</f>
        <v/>
      </c>
      <c r="AC130" s="438">
        <f>IF(C130="","",IFERROR(SUMPRODUCT((終値!E132:AC132)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0" s="439">
        <f>IF(OR(C130="",AB130="",AC130=""),"",IF(AND(E130&gt;AB130,AB130&gt;AC130),"パーフェクト▲",IF(E130&gt;AC130,"上昇トレンド▲",IF(AND(E130&lt;AB130,AB130&lt;AC130),"下降トレンド▼","もみ合い→"))))</f>
        <v/>
      </c>
      <c r="AE130" s="439">
        <f>IF(OR(C130="",AB130="",AC130=""),"",IF(AND(ABS(E130-AC130)/AC130&lt;=0.02,E130&gt;AC130),"25日押し目★",IF(AND(ABS(E130-AB130)/AB130&lt;=0.01,E130&gt;AB130),"5日押し目○","なし")))</f>
        <v/>
      </c>
      <c r="AF130" s="617">
        <f t="array" ref="AF130">IF(C130="","",IFERROR((INDEX(終値!$E:$E,MATCH(TEXT(C130,"0"),終値!$A:$A,0))-INDEX(終値!$E:$BL,MATCH(TEXT(C130,"0"),終値!$A:$A,0),$AL$2))/INDEX(終値!$E:$BL,MATCH(TEXT(C130,"0"),終値!$A:$A,0),$AL$2)*100,""))</f>
        <v/>
      </c>
      <c r="AG130" s="617">
        <f t="array" ref="AG130">IFERROR((終値!$E$5-INDEX(終値!$E$5:$BL$5,1,$AL$2))/INDEX(終値!$E$5:$BL$5,1,$AL$2)*100,"")</f>
        <v/>
      </c>
      <c r="AH130" s="618">
        <f>IF(OR(AF130="",AG130=""),"",AF130-AG130)</f>
        <v/>
      </c>
      <c r="AI130" s="385">
        <f>IF(AH130="","",IF(AH130&gt;5,3,IF(AH130&gt;0,1,IF(AH130&gt;-3,-1,-2))))</f>
        <v/>
      </c>
    </row>
    <row r="131" ht="18" customFormat="1" customHeight="1" s="187">
      <c r="A131" s="176">
        <f>IF(銘柄管理!B6&lt;&gt;"",HYPERLINK("https://kabutan.jp/stock/?code="&amp;銘柄管理!B6,"株探"),"")</f>
        <v/>
      </c>
      <c r="B131" s="177" t="n"/>
      <c r="C131" s="178">
        <f>IF(銘柄管理!B6="","",銘柄管理!B6)</f>
        <v/>
      </c>
      <c r="D131" s="106">
        <f>IF(銘柄管理!C6="","",銘柄管理!C6)</f>
        <v/>
      </c>
      <c r="E131" s="179">
        <f>IF(C131&lt;&gt;"",_xll.RssMarket(C131,"現在値"),"")</f>
        <v/>
      </c>
      <c r="F131" s="179">
        <f>IF(C131&lt;&gt;"",_xll.RssMarket(C131,"始値"),"")</f>
        <v/>
      </c>
      <c r="G131" s="178">
        <f>IF(C131&lt;&gt;"",終値!F6,"")</f>
        <v/>
      </c>
      <c r="H131" s="179">
        <f>IF(C131&lt;&gt;"",_xll.RssMarket(C131,"高値"),"")</f>
        <v/>
      </c>
      <c r="I131" s="179">
        <f>IF(C131&lt;&gt;"",_xll.RssMarket(C131,"安値"),"")</f>
        <v/>
      </c>
      <c r="J131" s="179">
        <f>IF(C131&lt;&gt;"",_xll.RssMarket(C131,"出来高"),"")</f>
        <v/>
      </c>
      <c r="K131" s="179">
        <f>IF(C131&lt;&gt;"",_xll.RssMarket(C131,"年初来高値"),"")</f>
        <v/>
      </c>
      <c r="L131" s="613">
        <f>IF(AND(E131&lt;&gt;"",K131&lt;&gt;"",K131&lt;&gt;0),(E131-K131)/K131*100,"")</f>
        <v/>
      </c>
      <c r="M131" s="179">
        <f>IF(C131&lt;&gt;"",IFERROR(AVERAGE(出来高!F6:J6),""),"")</f>
        <v/>
      </c>
      <c r="N131" s="179">
        <f>IF(C131&lt;&gt;"",IFERROR(AVERAGE(出来高!F6:AD6),""),"")</f>
        <v/>
      </c>
      <c r="O131" s="614">
        <f>IF(AND(J131&lt;&gt;"",M131&lt;&gt;"",M131&lt;&gt;0),J131/M131,"")</f>
        <v/>
      </c>
      <c r="P131" s="176">
        <f>IF(O131="","",IF(O131&gt;=2,"急増↑↑",IF(O131&gt;=1.5,"増加↑",IF(O131&gt;=1,"普通→","減少↓"))))</f>
        <v/>
      </c>
      <c r="Q131" s="176">
        <f>IF(E131="","",IF(AND(E131&gt;G131,O131&gt;=1.5),"買い▲",IF(E131&lt;G131,"様子見▼","中立→")))</f>
        <v/>
      </c>
      <c r="R131" s="179">
        <f>IF(E131&lt;&gt;"",ROUND(E131*1.08,0),"")</f>
        <v/>
      </c>
      <c r="S131" s="179">
        <f>IF(E131&lt;&gt;"",ROUND(E131*0.96,0),"")</f>
        <v/>
      </c>
      <c r="T131" s="176">
        <f>IF(C131="","",IFERROR(IF(O131&gt;=2,3,IF(O131&gt;=1.5,2,IF(O131&gt;=1,1,0)))+IF(E131&gt;G131,1,0)+IF(L131&gt;=-5,1,0)+IF(Q131="買い▲",2,0)+IF(W131&lt;=30,3,IF(W131&lt;=40,2,IF(AND(W131&gt;=40,W131&lt;=60),1,0)))+IF(X131&gt;0,1,0)+IF(V131="年初来高値更新●",3,IF(V131="高値圏",2,0))+IF(AD131="パーフェクト▲",3,IF(AD131="上昇トレンド▲",2,0))+IF(AE131="25日線押し目●",2,IF(AE131="5日線押し目○",1,0))+IF(P131="急増↑↑",2,IF(P131="増加↑",1,0))+N(AI131),0))</f>
        <v/>
      </c>
      <c r="U131" s="176">
        <f>IF(T131="","",IF(AND(T131&gt;=3,O131&gt;=1.5),"有効",IF(T131&gt;=3,"要確認","除外")))</f>
        <v/>
      </c>
      <c r="V131" s="176">
        <f>IF(AND(H131&lt;&gt;"",K131&lt;&gt;""),IF(H131&gt;=K131,"年初来高値更新●",IF(H131&gt;=K131*0.95,"高値圏","通常")),"")</f>
        <v/>
      </c>
      <c r="W131" s="615">
        <f t="array" ref="W131">IF(C131&lt;&gt;"",IFERROR(100-100/(1+SUMPRODUCT((終値!F6:R6&gt;終値!G6:S6)*( 終値!F6:R6-終値!G6:S6))/SUMPRODUCT((終値!F6:R6&lt;終値!G6:S6)*(終値!G6:S6-終値!F6:R6))),50),"")</f>
        <v/>
      </c>
      <c r="X131" s="183">
        <f>IF(C131&lt;&gt;"",IFERROR(SUMPRODUCT(終値!E6:P6,{0.154,0.132,0.113,0.097,0.083,0.071,0.061,0.052,0.045,0.038,0.033,0.028})/SUMPRODUCT({0.154,0.132,0.113,0.097,0.083,0.071,0.061,0.052,0.045,0.038,0.033,0.028})-SUMPRODUCT(終値!E6:AD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1" s="570">
        <f>IF(T131="","",IF(銘柄管理!$F$5="下落▼",IF(AND(AD131="パーフェクト▲",OR(AE131="25日線押し目●",AE131="5日線押し目○")),"★逆張り候補",IF(AND(AD131="上昇トレンド▲",OR(AE131="25日線押し目●",AE131="5日線押し目○")),"○逆張り候補",IF(W131&lt;=30,IF(Z131&gt;0,"◎反発確認",IF(Z131&lt;-5,"△要注意・様子見","△売られ過ぎ注目")),"相場下落・見送り"))),IF(AND(T131&gt;=12,AD131="パーフェクト▲"),"★強い買い",IF(AND(T131&gt;=12,AD131="上昇トレンド▲"),"★強い買い",IF(AND(T131&gt;=8,OR(AE131="25日線押し目●",AE131="5日線押し目○")),"◎押し目買い",IF(T131&gt;=10,"○買い候補",IF(T131&gt;=6,"△注目",IF(T131&gt;=3,"様子見","見送り"))))))))</f>
        <v/>
      </c>
      <c r="Z131" s="616">
        <f>IF(AND(E131&lt;&gt;"",G131&lt;&gt;"",G131&lt;&gt;0),(E131-G131)/G131*100,"")</f>
        <v/>
      </c>
      <c r="AA131" s="176">
        <f>IF(OR(C131="",E131="",E131=0),"",IF(E131&gt;G131,"上昇▲",IF(E131&lt;G131,"下落▼","横ばい→")))</f>
        <v/>
      </c>
      <c r="AB131" s="440">
        <f>IF(C131="","",IFERROR(((終値!E133*0.333)+(終値!F133*0.222)+(終値!G133*0.148)+(終値!H133*0.099)+(終値!I133*0.066)+(終値!J133*0.044)+(終値!K133*0.029)+(終値!L133*0.019)+(終値!M133*0.013)+(終値!N133*0.009))/(0.333+0.222+0.148+0.099+0.066+0.044+0.029+0.019+0.013+0.009),""))</f>
        <v/>
      </c>
      <c r="AC131" s="440">
        <f>IF(C131="","",IFERROR(SUMPRODUCT((終値!E133:AC133)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1" s="441">
        <f>IF(OR(C131="",AB131="",AC131=""),"",IF(AND(E131&gt;AB131,AB131&gt;AC131),"パーフェクト▲",IF(E131&gt;AC131,"上昇トレンド▲",IF(AND(E131&lt;AB131,AB131&lt;AC131),"下降トレンド▼","もみ合い→"))))</f>
        <v/>
      </c>
      <c r="AE131" s="441">
        <f>IF(OR(C131="",AB131="",AC131=""),"",IF(AND(ABS(E131-AC131)/AC131&lt;=0.02,E131&gt;AC131),"25日押し目★",IF(AND(ABS(E131-AB131)/AB131&lt;=0.01,E131&gt;AB131),"5日押し目○","なし")))</f>
        <v/>
      </c>
      <c r="AF131" s="617">
        <f t="array" ref="AF131">IF(C131="","",IFERROR((INDEX(終値!$E:$E,MATCH(TEXT(C131,"0"),終値!$A:$A,0))-INDEX(終値!$E:$BL,MATCH(TEXT(C131,"0"),終値!$A:$A,0),$AL$2))/INDEX(終値!$E:$BL,MATCH(TEXT(C131,"0"),終値!$A:$A,0),$AL$2)*100,""))</f>
        <v/>
      </c>
      <c r="AG131" s="617">
        <f t="array" ref="AG131">IFERROR((終値!$E$5-INDEX(終値!$E$5:$BL$5,1,$AL$2))/INDEX(終値!$E$5:$BL$5,1,$AL$2)*100,"")</f>
        <v/>
      </c>
      <c r="AH131" s="618">
        <f>IF(OR(AF131="",AG131=""),"",AF131-AG131)</f>
        <v/>
      </c>
      <c r="AI131" s="385">
        <f>IF(AH131="","",IF(AH131&gt;5,3,IF(AH131&gt;0,1,IF(AH131&gt;-3,-1,-2))))</f>
        <v/>
      </c>
    </row>
    <row r="132" ht="18" customFormat="1" customHeight="1" s="187">
      <c r="A132" s="176">
        <f>IF(銘柄管理!B13&lt;&gt;"",HYPERLINK("https://kabutan.jp/stock/?code="&amp;銘柄管理!B13,"株探"),"")</f>
        <v/>
      </c>
      <c r="B132" s="177" t="n"/>
      <c r="C132" s="178">
        <f>IF(銘柄管理!B13="","",銘柄管理!B13)</f>
        <v/>
      </c>
      <c r="D132" s="106">
        <f>IF(銘柄管理!C13="","",銘柄管理!C13)</f>
        <v/>
      </c>
      <c r="E132" s="179">
        <f>IF(C132&lt;&gt;"",_xll.RssMarket(C132,"現在値"),"")</f>
        <v/>
      </c>
      <c r="F132" s="179">
        <f>IF(C132&lt;&gt;"",_xll.RssMarket(C132,"始値"),"")</f>
        <v/>
      </c>
      <c r="G132" s="178">
        <f>IF(C132&lt;&gt;"",終値!F13,"")</f>
        <v/>
      </c>
      <c r="H132" s="179">
        <f>IF(C132&lt;&gt;"",_xll.RssMarket(C132,"高値"),"")</f>
        <v/>
      </c>
      <c r="I132" s="179">
        <f>IF(C132&lt;&gt;"",_xll.RssMarket(C132,"安値"),"")</f>
        <v/>
      </c>
      <c r="J132" s="179">
        <f>IF(C132&lt;&gt;"",_xll.RssMarket(C132,"出来高"),"")</f>
        <v/>
      </c>
      <c r="K132" s="179">
        <f>IF(C132&lt;&gt;"",_xll.RssMarket(C132,"年初来高値"),"")</f>
        <v/>
      </c>
      <c r="L132" s="613">
        <f>IF(AND(E132&lt;&gt;"",K132&lt;&gt;"",K132&lt;&gt;0),(E132-K132)/K132*100,"")</f>
        <v/>
      </c>
      <c r="M132" s="179">
        <f>IF(C132&lt;&gt;"",IFERROR(AVERAGE(出来高!E13:I13),""),"")</f>
        <v/>
      </c>
      <c r="N132" s="179">
        <f>IF(C132&lt;&gt;"",IFERROR(AVERAGE(出来高!E13:AC13),""),"")</f>
        <v/>
      </c>
      <c r="O132" s="614">
        <f>IF(AND(J132&lt;&gt;"",M132&lt;&gt;"",M132&lt;&gt;0),J132/M132,"")</f>
        <v/>
      </c>
      <c r="P132" s="176">
        <f>IF(O132="","",IF(O132&gt;=2,"急増↑↑",IF(O132&gt;=1.5,"増加↑",IF(O132&gt;=1,"普通→","減少↓"))))</f>
        <v/>
      </c>
      <c r="Q132" s="176">
        <f>IF(E132="","",IF(AND(E132&gt;G132,O132&gt;=1.5),"買い▲",IF(E132&lt;G132,"様子見▼","中立→")))</f>
        <v/>
      </c>
      <c r="R132" s="179">
        <f>IF(E132&lt;&gt;"",ROUND(E132*1.08,0),"")</f>
        <v/>
      </c>
      <c r="S132" s="179">
        <f>IF(E132&lt;&gt;"",ROUND(E132*0.96,0),"")</f>
        <v/>
      </c>
      <c r="T132" s="176">
        <f>IF(C132="","",IFERROR(IF(O132&gt;=2,3,IF(O132&gt;=1.5,2,IF(O132&gt;=1,1,0)))+IF(E132&gt;G132,1,0)+IF(L132&gt;=-5,1,0)+IF(Q132="買い▲",2,0)+IF(W132&lt;=30,3,IF(W132&lt;=40,2,IF(AND(W132&gt;=40,W132&lt;=60),1,0)))+IF(X132&gt;0,1,0)+IF(V132="年初来高値更新●",3,IF(V132="高値圏",2,0))+IF(AD132="パーフェクト▲",3,IF(AD132="上昇トレンド▲",2,0))+IF(AE132="25日線押し目●",2,IF(AE132="5日線押し目○",1,0))+IF(P132="急増↑↑",2,IF(P132="増加↑",1,0))+N(AI132),0))</f>
        <v/>
      </c>
      <c r="U132" s="176">
        <f>IF(T132="","",IF(AND(T132&gt;=3,O132&gt;=1.5),"有効",IF(T132&gt;=3,"要確認","除外")))</f>
        <v/>
      </c>
      <c r="V132" s="176">
        <f>IF(AND(H132&lt;&gt;"",K132&lt;&gt;""),IF(H132&gt;=K132,"年初来高値更新●",IF(H132&gt;=K132*0.95,"高値圏","通常")),"")</f>
        <v/>
      </c>
      <c r="W132" s="615">
        <f t="array" ref="W132">IF(C132&lt;&gt;"",IFERROR(100-100/(1+SUMPRODUCT((終値!F13:R13&gt;終値!G13:S13)*( 終値!F13:R13-終値!G13:S13))/SUMPRODUCT((終値!F13:R13&lt;終値!G13:S13)*(終値!G13:S13-終値!F13:R13))),50),"")</f>
        <v/>
      </c>
      <c r="X132" s="183">
        <f>IF(C132&lt;&gt;"",IFERROR(SUMPRODUCT(終値!E13:P13,{0.154,0.132,0.113,0.097,0.083,0.071,0.061,0.052,0.045,0.038,0.033,0.028})/SUMPRODUCT({0.154,0.132,0.113,0.097,0.083,0.071,0.061,0.052,0.045,0.038,0.033,0.028})-SUMPRODUCT(終値!E13:AD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2" s="570">
        <f>IF(T132="","",IF(銘柄管理!$F$5="下落▼",IF(AND(AD132="パーフェクト▲",OR(AE132="25日線押し目●",AE132="5日線押し目○")),"★逆張り候補",IF(AND(AD132="上昇トレンド▲",OR(AE132="25日線押し目●",AE132="5日線押し目○")),"○逆張り候補",IF(W132&lt;=30,IF(Z132&gt;0,"◎反発確認",IF(Z132&lt;-5,"△要注意・様子見","△売られ過ぎ注目")),"相場下落・見送り"))),IF(AND(T132&gt;=12,AD132="パーフェクト▲"),"★強い買い",IF(AND(T132&gt;=12,AD132="上昇トレンド▲"),"★強い買い",IF(AND(T132&gt;=8,OR(AE132="25日線押し目●",AE132="5日線押し目○")),"◎押し目買い",IF(T132&gt;=10,"○買い候補",IF(T132&gt;=6,"△注目",IF(T132&gt;=3,"様子見","見送り"))))))))</f>
        <v/>
      </c>
      <c r="Z132" s="616">
        <f>IF(AND(E132&lt;&gt;"",G132&lt;&gt;"",G132&lt;&gt;0),(E132-G132)/G132*100,"")</f>
        <v/>
      </c>
      <c r="AA132" s="176">
        <f>IF(OR(C132="",E132="",E132=0),"",IF(E132&gt;G132,"上昇▲",IF(E132&lt;G132,"下落▼","横ばい→")))</f>
        <v/>
      </c>
      <c r="AB132" s="438">
        <f>IF(C132="","",IFERROR(((終値!E134*0.333)+(終値!F134*0.222)+(終値!G134*0.148)+(終値!H134*0.099)+(終値!I134*0.066)+(終値!J134*0.044)+(終値!K134*0.029)+(終値!L134*0.019)+(終値!M134*0.013)+(終値!N134*0.009))/(0.333+0.222+0.148+0.099+0.066+0.044+0.029+0.019+0.013+0.009),""))</f>
        <v/>
      </c>
      <c r="AC132" s="438">
        <f>IF(C132="","",IFERROR(SUMPRODUCT((終値!E134:AC134)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2" s="439">
        <f>IF(OR(C132="",AB132="",AC132=""),"",IF(AND(E132&gt;AB132,AB132&gt;AC132),"パーフェクト▲",IF(E132&gt;AC132,"上昇トレンド▲",IF(AND(E132&lt;AB132,AB132&lt;AC132),"下降トレンド▼","もみ合い→"))))</f>
        <v/>
      </c>
      <c r="AE132" s="439">
        <f>IF(OR(C132="",AB132="",AC132=""),"",IF(AND(ABS(E132-AC132)/AC132&lt;=0.02,E132&gt;AC132),"25日押し目★",IF(AND(ABS(E132-AB132)/AB132&lt;=0.01,E132&gt;AB132),"5日押し目○","なし")))</f>
        <v/>
      </c>
      <c r="AF132" s="617">
        <f t="array" ref="AF132">IF(C132="","",IFERROR((INDEX(終値!$E:$E,MATCH(TEXT(C132,"0"),終値!$A:$A,0))-INDEX(終値!$E:$BL,MATCH(TEXT(C132,"0"),終値!$A:$A,0),$AL$2))/INDEX(終値!$E:$BL,MATCH(TEXT(C132,"0"),終値!$A:$A,0),$AL$2)*100,""))</f>
        <v/>
      </c>
      <c r="AG132" s="617">
        <f t="array" ref="AG132">IFERROR((終値!$E$5-INDEX(終値!$E$5:$BL$5,1,$AL$2))/INDEX(終値!$E$5:$BL$5,1,$AL$2)*100,"")</f>
        <v/>
      </c>
      <c r="AH132" s="618">
        <f>IF(OR(AF132="",AG132=""),"",AF132-AG132)</f>
        <v/>
      </c>
      <c r="AI132" s="385">
        <f>IF(AH132="","",IF(AH132&gt;5,3,IF(AH132&gt;0,1,IF(AH132&gt;-3,-1,-2))))</f>
        <v/>
      </c>
    </row>
    <row r="133" ht="18" customFormat="1" customHeight="1" s="187">
      <c r="A133" s="176">
        <f>IF(銘柄管理!B20&lt;&gt;"",HYPERLINK("https://kabutan.jp/stock/?code="&amp;銘柄管理!B20,"株探"),"")</f>
        <v/>
      </c>
      <c r="B133" s="177" t="n"/>
      <c r="C133" s="178">
        <f>IF(銘柄管理!B20="","",銘柄管理!B20)</f>
        <v/>
      </c>
      <c r="D133" s="106">
        <f>IF(銘柄管理!C20="","",銘柄管理!C20)</f>
        <v/>
      </c>
      <c r="E133" s="179">
        <f>IF(C133&lt;&gt;"",_xll.RssMarket(C133,"現在値"),"")</f>
        <v/>
      </c>
      <c r="F133" s="179">
        <f>IF(C133&lt;&gt;"",_xll.RssMarket(C133,"始値"),"")</f>
        <v/>
      </c>
      <c r="G133" s="178">
        <f>IF(C133&lt;&gt;"",終値!F20,"")</f>
        <v/>
      </c>
      <c r="H133" s="179">
        <f>IF(C133&lt;&gt;"",_xll.RssMarket(C133,"高値"),"")</f>
        <v/>
      </c>
      <c r="I133" s="179">
        <f>IF(C133&lt;&gt;"",_xll.RssMarket(C133,"安値"),"")</f>
        <v/>
      </c>
      <c r="J133" s="179">
        <f>IF(C133&lt;&gt;"",_xll.RssMarket(C133,"出来高"),"")</f>
        <v/>
      </c>
      <c r="K133" s="179">
        <f>IF(C133&lt;&gt;"",_xll.RssMarket(C133,"年初来高値"),"")</f>
        <v/>
      </c>
      <c r="L133" s="613">
        <f>IF(AND(E133&lt;&gt;"",K133&lt;&gt;"",K133&lt;&gt;0),(E133-K133)/K133*100,"")</f>
        <v/>
      </c>
      <c r="M133" s="179">
        <f>IF(C133&lt;&gt;"",IFERROR(AVERAGE(出来高!E20:I20),""),"")</f>
        <v/>
      </c>
      <c r="N133" s="179">
        <f>IF(C133&lt;&gt;"",IFERROR(AVERAGE(出来高!E20:AC20),""),"")</f>
        <v/>
      </c>
      <c r="O133" s="614">
        <f>IF(AND(J133&lt;&gt;"",M133&lt;&gt;"",M133&lt;&gt;0),J133/M133,"")</f>
        <v/>
      </c>
      <c r="P133" s="176">
        <f>IF(O133="","",IF(O133&gt;=2,"急増↑↑",IF(O133&gt;=1.5,"増加↑",IF(O133&gt;=1,"普通→","減少↓"))))</f>
        <v/>
      </c>
      <c r="Q133" s="176">
        <f>IF(E133="","",IF(AND(E133&gt;G133,O133&gt;=1.5),"買い▲",IF(E133&lt;G133,"様子見▼","中立→")))</f>
        <v/>
      </c>
      <c r="R133" s="179">
        <f>IF(E133&lt;&gt;"",ROUND(E133*1.08,0),"")</f>
        <v/>
      </c>
      <c r="S133" s="179">
        <f>IF(E133&lt;&gt;"",ROUND(E133*0.96,0),"")</f>
        <v/>
      </c>
      <c r="T133" s="176">
        <f>IF(C133="","",IFERROR(IF(O133&gt;=2,3,IF(O133&gt;=1.5,2,IF(O133&gt;=1,1,0)))+IF(E133&gt;G133,1,0)+IF(L133&gt;=-5,1,0)+IF(Q133="買い▲",2,0)+IF(W133&lt;=30,3,IF(W133&lt;=40,2,IF(AND(W133&gt;=40,W133&lt;=60),1,0)))+IF(X133&gt;0,1,0)+IF(V133="年初来高値更新●",3,IF(V133="高値圏",2,0))+IF(AD133="パーフェクト▲",3,IF(AD133="上昇トレンド▲",2,0))+IF(AE133="25日線押し目●",2,IF(AE133="5日線押し目○",1,0))+IF(P133="急増↑↑",2,IF(P133="増加↑",1,0))+N(AI133),0))</f>
        <v/>
      </c>
      <c r="U133" s="176">
        <f>IF(T133="","",IF(AND(T133&gt;=3,O133&gt;=1.5),"有効",IF(T133&gt;=3,"要確認","除外")))</f>
        <v/>
      </c>
      <c r="V133" s="176">
        <f>IF(AND(H133&lt;&gt;"",K133&lt;&gt;""),IF(H133&gt;=K133,"年初来高値更新●",IF(H133&gt;=K133*0.95,"高値圏","通常")),"")</f>
        <v/>
      </c>
      <c r="W133" s="615">
        <f t="array" ref="W133">IF(C133&lt;&gt;"",IFERROR(100-100/(1+SUMPRODUCT((終値!F20:R20&gt;終値!G20:S20)*( 終値!F20:R20-終値!G20:S20))/SUMPRODUCT((終値!F20:R20&lt;終値!G20:S20)*(終値!G20:S20-終値!F20:R20))),50),"")</f>
        <v/>
      </c>
      <c r="X133" s="183">
        <f>IF(C133&lt;&gt;"",IFERROR(SUMPRODUCT(終値!E20:P20,{0.154,0.132,0.113,0.097,0.083,0.071,0.061,0.052,0.045,0.038,0.033,0.028})/SUMPRODUCT({0.154,0.132,0.113,0.097,0.083,0.071,0.061,0.052,0.045,0.038,0.033,0.028})-SUMPRODUCT(終値!E20:AD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3" s="570">
        <f>IF(T133="","",IF(銘柄管理!$F$5="下落▼",IF(AND(AD133="パーフェクト▲",OR(AE133="25日線押し目●",AE133="5日線押し目○")),"★逆張り候補",IF(AND(AD133="上昇トレンド▲",OR(AE133="25日線押し目●",AE133="5日線押し目○")),"○逆張り候補",IF(W133&lt;=30,IF(Z133&gt;0,"◎反発確認",IF(Z133&lt;-5,"△要注意・様子見","△売られ過ぎ注目")),"相場下落・見送り"))),IF(AND(T133&gt;=12,AD133="パーフェクト▲"),"★強い買い",IF(AND(T133&gt;=12,AD133="上昇トレンド▲"),"★強い買い",IF(AND(T133&gt;=8,OR(AE133="25日線押し目●",AE133="5日線押し目○")),"◎押し目買い",IF(T133&gt;=10,"○買い候補",IF(T133&gt;=6,"△注目",IF(T133&gt;=3,"様子見","見送り"))))))))</f>
        <v/>
      </c>
      <c r="Z133" s="616">
        <f>IF(AND(E133&lt;&gt;"",G133&lt;&gt;"",G133&lt;&gt;0),(E133-G133)/G133*100,"")</f>
        <v/>
      </c>
      <c r="AA133" s="176">
        <f>IF(OR(C133="",E133="",E133=0),"",IF(E133&gt;G133,"上昇▲",IF(E133&lt;G133,"下落▼","横ばい→")))</f>
        <v/>
      </c>
      <c r="AB133" s="440">
        <f>IF(C133="","",IFERROR(((終値!E135*0.333)+(終値!F135*0.222)+(終値!G135*0.148)+(終値!H135*0.099)+(終値!I135*0.066)+(終値!J135*0.044)+(終値!K135*0.029)+(終値!L135*0.019)+(終値!M135*0.013)+(終値!N135*0.009))/(0.333+0.222+0.148+0.099+0.066+0.044+0.029+0.019+0.013+0.009),""))</f>
        <v/>
      </c>
      <c r="AC133" s="440">
        <f>IF(C133="","",IFERROR(SUMPRODUCT((終値!E135:AC135)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3" s="441">
        <f>IF(OR(C133="",AB133="",AC133=""),"",IF(AND(E133&gt;AB133,AB133&gt;AC133),"パーフェクト▲",IF(E133&gt;AC133,"上昇トレンド▲",IF(AND(E133&lt;AB133,AB133&lt;AC133),"下降トレンド▼","もみ合い→"))))</f>
        <v/>
      </c>
      <c r="AE133" s="441">
        <f>IF(OR(C133="",AB133="",AC133=""),"",IF(AND(ABS(E133-AC133)/AC133&lt;=0.02,E133&gt;AC133),"25日押し目★",IF(AND(ABS(E133-AB133)/AB133&lt;=0.01,E133&gt;AB133),"5日押し目○","なし")))</f>
        <v/>
      </c>
      <c r="AF133" s="617">
        <f t="array" ref="AF133">IF(C133="","",IFERROR((INDEX(終値!$E:$E,MATCH(TEXT(C133,"0"),終値!$A:$A,0))-INDEX(終値!$E:$BL,MATCH(TEXT(C133,"0"),終値!$A:$A,0),$AL$2))/INDEX(終値!$E:$BL,MATCH(TEXT(C133,"0"),終値!$A:$A,0),$AL$2)*100,""))</f>
        <v/>
      </c>
      <c r="AG133" s="617">
        <f t="array" ref="AG133">IFERROR((終値!$E$5-INDEX(終値!$E$5:$BL$5,1,$AL$2))/INDEX(終値!$E$5:$BL$5,1,$AL$2)*100,"")</f>
        <v/>
      </c>
      <c r="AH133" s="618">
        <f>IF(OR(AF133="",AG133=""),"",AF133-AG133)</f>
        <v/>
      </c>
      <c r="AI133" s="385">
        <f>IF(AH133="","",IF(AH133&gt;5,3,IF(AH133&gt;0,1,IF(AH133&gt;-3,-1,-2))))</f>
        <v/>
      </c>
    </row>
    <row r="134" ht="18" customFormat="1" customHeight="1" s="187">
      <c r="A134" s="176">
        <f>IF(銘柄管理!B51&lt;&gt;"",HYPERLINK("https://kabutan.jp/stock/?code="&amp;銘柄管理!B51,"株探"),"")</f>
        <v/>
      </c>
      <c r="B134" s="177" t="n"/>
      <c r="C134" s="178">
        <f>IF(銘柄管理!B51="","",銘柄管理!B51)</f>
        <v/>
      </c>
      <c r="D134" s="106">
        <f>IF(銘柄管理!C51="","",銘柄管理!C51)</f>
        <v/>
      </c>
      <c r="E134" s="179">
        <f>IF(C134&lt;&gt;"",_xll.RssMarket(C134,"現在値"),"")</f>
        <v/>
      </c>
      <c r="F134" s="179">
        <f>IF(C134&lt;&gt;"",_xll.RssMarket(C134,"始値"),"")</f>
        <v/>
      </c>
      <c r="G134" s="178">
        <f>IF(C134&lt;&gt;"",終値!F51,"")</f>
        <v/>
      </c>
      <c r="H134" s="179">
        <f>IF(C134&lt;&gt;"",_xll.RssMarket(C134,"高値"),"")</f>
        <v/>
      </c>
      <c r="I134" s="179">
        <f>IF(C134&lt;&gt;"",_xll.RssMarket(C134,"安値"),"")</f>
        <v/>
      </c>
      <c r="J134" s="179">
        <f>IF(C134&lt;&gt;"",_xll.RssMarket(C134,"出来高"),"")</f>
        <v/>
      </c>
      <c r="K134" s="179">
        <f>IF(C134&lt;&gt;"",_xll.RssMarket(C134,"年初来高値"),"")</f>
        <v/>
      </c>
      <c r="L134" s="613">
        <f>IF(AND(E134&lt;&gt;"",K134&lt;&gt;"",K134&lt;&gt;0),(E134-K134)/K134*100,"")</f>
        <v/>
      </c>
      <c r="M134" s="179">
        <f>IF(C134&lt;&gt;"",IFERROR(AVERAGE(出来高!E51:I51),""),"")</f>
        <v/>
      </c>
      <c r="N134" s="179">
        <f>IF(C134&lt;&gt;"",IFERROR(AVERAGE(出来高!E51:AC51),""),"")</f>
        <v/>
      </c>
      <c r="O134" s="614">
        <f>IF(AND(J134&lt;&gt;"",M134&lt;&gt;"",M134&lt;&gt;0),J134/M134,"")</f>
        <v/>
      </c>
      <c r="P134" s="176">
        <f>IF(O134="","",IF(O134&gt;=2,"急増↑↑",IF(O134&gt;=1.5,"増加↑",IF(O134&gt;=1,"普通→","減少↓"))))</f>
        <v/>
      </c>
      <c r="Q134" s="176">
        <f>IF(E134="","",IF(AND(E134&gt;G134,O134&gt;=1.5),"買い▲",IF(E134&lt;G134,"様子見▼","中立→")))</f>
        <v/>
      </c>
      <c r="R134" s="179">
        <f>IF(E134&lt;&gt;"",ROUND(E134*1.08,0),"")</f>
        <v/>
      </c>
      <c r="S134" s="179">
        <f>IF(E134&lt;&gt;"",ROUND(E134*0.96,0),"")</f>
        <v/>
      </c>
      <c r="T134" s="176">
        <f>IF(C134="","",IFERROR(IF(O134&gt;=2,3,IF(O134&gt;=1.5,2,IF(O134&gt;=1,1,0)))+IF(E134&gt;G134,1,0)+IF(L134&gt;=-5,1,0)+IF(Q134="買い▲",2,0)+IF(W134&lt;=30,3,IF(W134&lt;=40,2,IF(AND(W134&gt;=40,W134&lt;=60),1,0)))+IF(X134&gt;0,1,0)+IF(V134="年初来高値更新●",3,IF(V134="高値圏",2,0))+IF(AD134="パーフェクト▲",3,IF(AD134="上昇トレンド▲",2,0))+IF(AE134="25日線押し目●",2,IF(AE134="5日線押し目○",1,0))+IF(P134="急増↑↑",2,IF(P134="増加↑",1,0))+N(AI134),0))</f>
        <v/>
      </c>
      <c r="U134" s="176">
        <f>IF(T134="","",IF(AND(T134&gt;=3,O134&gt;=1.5),"有効",IF(T134&gt;=3,"要確認","除外")))</f>
        <v/>
      </c>
      <c r="V134" s="176">
        <f>IF(AND(H134&lt;&gt;"",K134&lt;&gt;""),IF(H134&gt;=K134,"年初来高値更新●",IF(H134&gt;=K134*0.95,"高値圏","通常")),"")</f>
        <v/>
      </c>
      <c r="W134" s="615">
        <f t="array" ref="W134">IF(C134&lt;&gt;"",IFERROR(100-100/(1+SUMPRODUCT((終値!F51:R51&gt;終値!G51:S51)*( 終値!F51:R51-終値!G51:S51))/SUMPRODUCT((終値!F51:R51&lt;終値!G51:S51)*(終値!G51:S51-終値!F51:R51))),50),"")</f>
        <v/>
      </c>
      <c r="X134" s="183">
        <f>IF(C134&lt;&gt;"",IFERROR(SUMPRODUCT(終値!E51:P51,{0.154,0.132,0.113,0.097,0.083,0.071,0.061,0.052,0.045,0.038,0.033,0.028})/SUMPRODUCT({0.154,0.132,0.113,0.097,0.083,0.071,0.061,0.052,0.045,0.038,0.033,0.028})-SUMPRODUCT(終値!E51:AD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4" s="570">
        <f>IF(T134="","",IF(銘柄管理!$F$5="下落▼",IF(AND(AD134="パーフェクト▲",OR(AE134="25日線押し目●",AE134="5日線押し目○")),"★逆張り候補",IF(AND(AD134="上昇トレンド▲",OR(AE134="25日線押し目●",AE134="5日線押し目○")),"○逆張り候補",IF(W134&lt;=30,IF(Z134&gt;0,"◎反発確認",IF(Z134&lt;-5,"△要注意・様子見","△売られ過ぎ注目")),"相場下落・見送り"))),IF(AND(T134&gt;=12,AD134="パーフェクト▲"),"★強い買い",IF(AND(T134&gt;=12,AD134="上昇トレンド▲"),"★強い買い",IF(AND(T134&gt;=8,OR(AE134="25日線押し目●",AE134="5日線押し目○")),"◎押し目買い",IF(T134&gt;=10,"○買い候補",IF(T134&gt;=6,"△注目",IF(T134&gt;=3,"様子見","見送り"))))))))</f>
        <v/>
      </c>
      <c r="Z134" s="616">
        <f>IF(AND(E134&lt;&gt;"",G134&lt;&gt;"",G134&lt;&gt;0),(E134-G134)/G134*100,"")</f>
        <v/>
      </c>
      <c r="AA134" s="176">
        <f>IF(OR(C134="",E134="",E134=0),"",IF(E134&gt;G134,"上昇▲",IF(E134&lt;G134,"下落▼","横ばい→")))</f>
        <v/>
      </c>
      <c r="AB134" s="438">
        <f>IF(C134="","",IFERROR(((終値!E136*0.333)+(終値!F136*0.222)+(終値!G136*0.148)+(終値!H136*0.099)+(終値!I136*0.066)+(終値!J136*0.044)+(終値!K136*0.029)+(終値!L136*0.019)+(終値!M136*0.013)+(終値!N136*0.009))/(0.333+0.222+0.148+0.099+0.066+0.044+0.029+0.019+0.013+0.009),""))</f>
        <v/>
      </c>
      <c r="AC134" s="438">
        <f>IF(C134="","",IFERROR(SUMPRODUCT((終値!E136:AC136)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4" s="439">
        <f>IF(OR(C134="",AB134="",AC134=""),"",IF(AND(E134&gt;AB134,AB134&gt;AC134),"パーフェクト▲",IF(E134&gt;AC134,"上昇トレンド▲",IF(AND(E134&lt;AB134,AB134&lt;AC134),"下降トレンド▼","もみ合い→"))))</f>
        <v/>
      </c>
      <c r="AE134" s="439">
        <f>IF(OR(C134="",AB134="",AC134=""),"",IF(AND(ABS(E134-AC134)/AC134&lt;=0.02,E134&gt;AC134),"25日押し目★",IF(AND(ABS(E134-AB134)/AB134&lt;=0.01,E134&gt;AB134),"5日押し目○","なし")))</f>
        <v/>
      </c>
      <c r="AF134" s="617">
        <f t="array" ref="AF134">IF(C134="","",IFERROR((INDEX(終値!$E:$E,MATCH(TEXT(C134,"0"),終値!$A:$A,0))-INDEX(終値!$E:$BL,MATCH(TEXT(C134,"0"),終値!$A:$A,0),$AL$2))/INDEX(終値!$E:$BL,MATCH(TEXT(C134,"0"),終値!$A:$A,0),$AL$2)*100,""))</f>
        <v/>
      </c>
      <c r="AG134" s="617">
        <f t="array" ref="AG134">IFERROR((終値!$E$5-INDEX(終値!$E$5:$BL$5,1,$AL$2))/INDEX(終値!$E$5:$BL$5,1,$AL$2)*100,"")</f>
        <v/>
      </c>
      <c r="AH134" s="618">
        <f>IF(OR(AF134="",AG134=""),"",AF134-AG134)</f>
        <v/>
      </c>
      <c r="AI134" s="385">
        <f>IF(AH134="","",IF(AH134&gt;5,3,IF(AH134&gt;0,1,IF(AH134&gt;-3,-1,-2))))</f>
        <v/>
      </c>
    </row>
    <row r="135" ht="18" customFormat="1" customHeight="1" s="187">
      <c r="A135" s="176">
        <f>IF(銘柄管理!B180&lt;&gt;"",HYPERLINK("https://kabutan.jp/stock/?code="&amp;銘柄管理!B180,"株探"),"")</f>
        <v/>
      </c>
      <c r="B135" s="177" t="n"/>
      <c r="C135" s="178">
        <f>IF(銘柄管理!B180="","",銘柄管理!B180)</f>
        <v/>
      </c>
      <c r="D135" s="106">
        <f>IF(銘柄管理!C180="","",銘柄管理!C180)</f>
        <v/>
      </c>
      <c r="E135" s="179">
        <f>IF(C135&lt;&gt;"",_xll.RssMarket(C135,"現在値"),"")</f>
        <v/>
      </c>
      <c r="F135" s="179">
        <f>IF(C135&lt;&gt;"",_xll.RssMarket(C135,"始値"),"")</f>
        <v/>
      </c>
      <c r="G135" s="178">
        <f>IF(C135&lt;&gt;"",終値!F180,"")</f>
        <v/>
      </c>
      <c r="H135" s="179">
        <f>IF(C135&lt;&gt;"",_xll.RssMarket(C135,"高値"),"")</f>
        <v/>
      </c>
      <c r="I135" s="179">
        <f>IF(C135&lt;&gt;"",_xll.RssMarket(C135,"安値"),"")</f>
        <v/>
      </c>
      <c r="J135" s="179">
        <f>IF(C135&lt;&gt;"",_xll.RssMarket(C135,"出来高"),"")</f>
        <v/>
      </c>
      <c r="K135" s="179">
        <f>IF(C135&lt;&gt;"",_xll.RssMarket(C135,"年初来高値"),"")</f>
        <v/>
      </c>
      <c r="L135" s="613">
        <f>IF(AND(E135&lt;&gt;"",K135&lt;&gt;"",K135&lt;&gt;0),(E135-K135)/K135*100,"")</f>
        <v/>
      </c>
      <c r="M135" s="179">
        <f>IF(C135&lt;&gt;"",IFERROR(AVERAGE(出来高!E180:I180),""),"")</f>
        <v/>
      </c>
      <c r="N135" s="179">
        <f>IF(C135&lt;&gt;"",IFERROR(AVERAGE(出来高!E180:AC180),""),"")</f>
        <v/>
      </c>
      <c r="O135" s="614">
        <f>IF(AND(J135&lt;&gt;"",M135&lt;&gt;"",M135&lt;&gt;0),J135/M135,"")</f>
        <v/>
      </c>
      <c r="P135" s="176">
        <f>IF(O135="","",IF(O135&gt;=2,"急増↑↑",IF(O135&gt;=1.5,"増加↑",IF(O135&gt;=1,"普通→","減少↓"))))</f>
        <v/>
      </c>
      <c r="Q135" s="176">
        <f>IF(E135="","",IF(AND(E135&gt;G135,O135&gt;=1.5),"買い▲",IF(E135&lt;G135,"様子見▼","中立→")))</f>
        <v/>
      </c>
      <c r="R135" s="179">
        <f>IF(E135&lt;&gt;"",ROUND(E135*1.08,0),"")</f>
        <v/>
      </c>
      <c r="S135" s="179">
        <f>IF(E135&lt;&gt;"",ROUND(E135*0.96,0),"")</f>
        <v/>
      </c>
      <c r="T135" s="176">
        <f>IF(C135="","",IFERROR(IF(O135&gt;=2,3,IF(O135&gt;=1.5,2,IF(O135&gt;=1,1,0)))+IF(E135&gt;G135,1,0)+IF(L135&gt;=-5,1,0)+IF(Q135="買い▲",2,0)+IF(W135&lt;=30,3,IF(W135&lt;=40,2,IF(AND(W135&gt;=40,W135&lt;=60),1,0)))+IF(X135&gt;0,1,0)+IF(V135="年初来高値更新●",3,IF(V135="高値圏",2,0))+IF(AD135="パーフェクト▲",3,IF(AD135="上昇トレンド▲",2,0))+IF(AE135="25日線押し目●",2,IF(AE135="5日線押し目○",1,0))+IF(P135="急増↑↑",2,IF(P135="増加↑",1,0))+N(AI135),0))</f>
        <v/>
      </c>
      <c r="U135" s="176">
        <f>IF(T135="","",IF(AND(T135&gt;=3,O135&gt;=1.5),"有効",IF(T135&gt;=3,"要確認","除外")))</f>
        <v/>
      </c>
      <c r="V135" s="176">
        <f>IF(AND(H135&lt;&gt;"",K135&lt;&gt;""),IF(H135&gt;=K135,"年初来高値更新●",IF(H135&gt;=K135*0.95,"高値圏","通常")),"")</f>
        <v/>
      </c>
      <c r="W135" s="615">
        <f t="array" ref="W135">IF(C135&lt;&gt;"",IFERROR(100-100/(1+SUMPRODUCT((終値!F180:R180&gt;終値!G180:S180)*( 終値!F180:R180-終値!G180:S180))/SUMPRODUCT((終値!F180:R180&lt;終値!G180:S180)*(終値!G180:S180-終値!F180:R180))),50),"")</f>
        <v/>
      </c>
      <c r="X135" s="183">
        <f>IF(C135&lt;&gt;"",IFERROR(SUMPRODUCT(終値!E180:P180,{0.154,0.132,0.113,0.097,0.083,0.071,0.061,0.052,0.045,0.038,0.033,0.028})/SUMPRODUCT({0.154,0.132,0.113,0.097,0.083,0.071,0.061,0.052,0.045,0.038,0.033,0.028})-SUMPRODUCT(終値!E180:AD180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5" s="570">
        <f>IF(T135="","",IF(銘柄管理!$F$5="下落▼",IF(AND(AD135="パーフェクト▲",OR(AE135="25日線押し目●",AE135="5日線押し目○")),"★逆張り候補",IF(AND(AD135="上昇トレンド▲",OR(AE135="25日線押し目●",AE135="5日線押し目○")),"○逆張り候補",IF(W135&lt;=30,IF(Z135&gt;0,"◎反発確認",IF(Z135&lt;-5,"△要注意・様子見","△売られ過ぎ注目")),"相場下落・見送り"))),IF(AND(T135&gt;=12,AD135="パーフェクト▲"),"★強い買い",IF(AND(T135&gt;=12,AD135="上昇トレンド▲"),"★強い買い",IF(AND(T135&gt;=8,OR(AE135="25日線押し目●",AE135="5日線押し目○")),"◎押し目買い",IF(T135&gt;=10,"○買い候補",IF(T135&gt;=6,"△注目",IF(T135&gt;=3,"様子見","見送り"))))))))</f>
        <v/>
      </c>
      <c r="Z135" s="616">
        <f>IF(AND(E135&lt;&gt;"",G135&lt;&gt;"",G135&lt;&gt;0),(E135-G135)/G135*100,"")</f>
        <v/>
      </c>
      <c r="AA135" s="176">
        <f>IF(OR(C135="",E135="",E135=0),"",IF(E135&gt;G135,"上昇▲",IF(E135&lt;G135,"下落▼","横ばい→")))</f>
        <v/>
      </c>
      <c r="AB135" s="440">
        <f>IF(C135="","",IFERROR(((終値!E137*0.333)+(終値!F137*0.222)+(終値!G137*0.148)+(終値!H137*0.099)+(終値!I137*0.066)+(終値!J137*0.044)+(終値!K137*0.029)+(終値!L137*0.019)+(終値!M137*0.013)+(終値!N137*0.009))/(0.333+0.222+0.148+0.099+0.066+0.044+0.029+0.019+0.013+0.009),""))</f>
        <v/>
      </c>
      <c r="AC135" s="440">
        <f>IF(C135="","",IFERROR(SUMPRODUCT((終値!E137:AC137)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5" s="441">
        <f>IF(OR(C135="",AB135="",AC135=""),"",IF(AND(E135&gt;AB135,AB135&gt;AC135),"パーフェクト▲",IF(E135&gt;AC135,"上昇トレンド▲",IF(AND(E135&lt;AB135,AB135&lt;AC135),"下降トレンド▼","もみ合い→"))))</f>
        <v/>
      </c>
      <c r="AE135" s="441">
        <f>IF(OR(C135="",AB135="",AC135=""),"",IF(AND(ABS(E135-AC135)/AC135&lt;=0.02,E135&gt;AC135),"25日押し目★",IF(AND(ABS(E135-AB135)/AB135&lt;=0.01,E135&gt;AB135),"5日押し目○","なし")))</f>
        <v/>
      </c>
      <c r="AF135" s="617">
        <f t="array" ref="AF135">IF(C135="","",IFERROR((INDEX(終値!$E:$E,MATCH(TEXT(C135,"0"),終値!$A:$A,0))-INDEX(終値!$E:$BL,MATCH(TEXT(C135,"0"),終値!$A:$A,0),$AL$2))/INDEX(終値!$E:$BL,MATCH(TEXT(C135,"0"),終値!$A:$A,0),$AL$2)*100,""))</f>
        <v/>
      </c>
      <c r="AG135" s="617">
        <f t="array" ref="AG135">IFERROR((終値!$E$5-INDEX(終値!$E$5:$BL$5,1,$AL$2))/INDEX(終値!$E$5:$BL$5,1,$AL$2)*100,"")</f>
        <v/>
      </c>
      <c r="AH135" s="618">
        <f>IF(OR(AF135="",AG135=""),"",AF135-AG135)</f>
        <v/>
      </c>
      <c r="AI135" s="385">
        <f>IF(AH135="","",IF(AH135&gt;5,3,IF(AH135&gt;0,1,IF(AH135&gt;-3,-1,-2))))</f>
        <v/>
      </c>
    </row>
    <row r="136" ht="18" customFormat="1" customHeight="1" s="187">
      <c r="A136" s="176">
        <f>IF(銘柄管理!B7&lt;&gt;"",HYPERLINK("https://kabutan.jp/stock/?code="&amp;銘柄管理!B7,"株探"),"")</f>
        <v/>
      </c>
      <c r="B136" s="177" t="n"/>
      <c r="C136" s="178">
        <f>IF(銘柄管理!B7="","",銘柄管理!B7)</f>
        <v/>
      </c>
      <c r="D136" s="106">
        <f>IF(銘柄管理!C7="","",銘柄管理!C7)</f>
        <v/>
      </c>
      <c r="E136" s="179">
        <f>IF(C136&lt;&gt;"",_xll.RssMarket(C136,"現在値"),"")</f>
        <v/>
      </c>
      <c r="F136" s="179">
        <f>IF(C136&lt;&gt;"",_xll.RssMarket(C136,"始値"),"")</f>
        <v/>
      </c>
      <c r="G136" s="178">
        <f>IF(C136&lt;&gt;"",終値!F7,"")</f>
        <v/>
      </c>
      <c r="H136" s="179">
        <f>IF(C136&lt;&gt;"",_xll.RssMarket(C136,"高値"),"")</f>
        <v/>
      </c>
      <c r="I136" s="179">
        <f>IF(C136&lt;&gt;"",_xll.RssMarket(C136,"安値"),"")</f>
        <v/>
      </c>
      <c r="J136" s="179">
        <f>IF(C136&lt;&gt;"",_xll.RssMarket(C136,"出来高"),"")</f>
        <v/>
      </c>
      <c r="K136" s="179">
        <f>IF(C136&lt;&gt;"",_xll.RssMarket(C136,"年初来高値"),"")</f>
        <v/>
      </c>
      <c r="L136" s="613">
        <f>IF(AND(E136&lt;&gt;"",K136&lt;&gt;"",K136&lt;&gt;0),(E136-K136)/K136*100,"")</f>
        <v/>
      </c>
      <c r="M136" s="179">
        <f>IF(C136&lt;&gt;"",IFERROR(AVERAGE(出来高!F7:J7),""),"")</f>
        <v/>
      </c>
      <c r="N136" s="179">
        <f>IF(C136&lt;&gt;"",IFERROR(AVERAGE(出来高!F7:AD7),""),"")</f>
        <v/>
      </c>
      <c r="O136" s="614">
        <f>IF(AND(J136&lt;&gt;"",M136&lt;&gt;"",M136&lt;&gt;0),J136/M136,"")</f>
        <v/>
      </c>
      <c r="P136" s="176">
        <f>IF(O136="","",IF(O136&gt;=2,"急増↑↑",IF(O136&gt;=1.5,"増加↑",IF(O136&gt;=1,"普通→","減少↓"))))</f>
        <v/>
      </c>
      <c r="Q136" s="176">
        <f>IF(E136="","",IF(AND(E136&gt;G136,O136&gt;=1.5),"買い▲",IF(E136&lt;G136,"様子見▼","中立→")))</f>
        <v/>
      </c>
      <c r="R136" s="179">
        <f>IF(E136&lt;&gt;"",ROUND(E136*1.08,0),"")</f>
        <v/>
      </c>
      <c r="S136" s="179">
        <f>IF(E136&lt;&gt;"",ROUND(E136*0.96,0),"")</f>
        <v/>
      </c>
      <c r="T136" s="176">
        <f>IF(C136="","",IFERROR(IF(O136&gt;=2,3,IF(O136&gt;=1.5,2,IF(O136&gt;=1,1,0)))+IF(E136&gt;G136,1,0)+IF(L136&gt;=-5,1,0)+IF(Q136="買い▲",2,0)+IF(W136&lt;=30,3,IF(W136&lt;=40,2,IF(AND(W136&gt;=40,W136&lt;=60),1,0)))+IF(X136&gt;0,1,0)+IF(V136="年初来高値更新●",3,IF(V136="高値圏",2,0))+IF(AD136="パーフェクト▲",3,IF(AD136="上昇トレンド▲",2,0))+IF(AE136="25日線押し目●",2,IF(AE136="5日線押し目○",1,0))+IF(P136="急増↑↑",2,IF(P136="増加↑",1,0))+N(AI136),0))</f>
        <v/>
      </c>
      <c r="U136" s="176">
        <f>IF(T136="","",IF(AND(T136&gt;=3,O136&gt;=1.5),"有効",IF(T136&gt;=3,"要確認","除外")))</f>
        <v/>
      </c>
      <c r="V136" s="176">
        <f>IF(AND(H136&lt;&gt;"",K136&lt;&gt;""),IF(H136&gt;=K136,"年初来高値更新●",IF(H136&gt;=K136*0.95,"高値圏","通常")),"")</f>
        <v/>
      </c>
      <c r="W136" s="615">
        <f t="array" ref="W136">IF(C136&lt;&gt;"",IFERROR(100-100/(1+SUMPRODUCT((終値!F7:R7&gt;終値!G7:S7)*( 終値!F7:R7-終値!G7:S7))/SUMPRODUCT((終値!F7:R7&lt;終値!G7:S7)*(終値!G7:S7-終値!F7:R7))),50),"")</f>
        <v/>
      </c>
      <c r="X136" s="183">
        <f>IF(C136&lt;&gt;"",IFERROR(SUMPRODUCT(終値!E7:P7,{0.154,0.132,0.113,0.097,0.083,0.071,0.061,0.052,0.045,0.038,0.033,0.028})/SUMPRODUCT({0.154,0.132,0.113,0.097,0.083,0.071,0.061,0.052,0.045,0.038,0.033,0.028})-SUMPRODUCT(終値!E7:AD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6" s="570">
        <f>IF(T136="","",IF(銘柄管理!$F$5="下落▼",IF(AND(AD136="パーフェクト▲",OR(AE136="25日線押し目●",AE136="5日線押し目○")),"★逆張り候補",IF(AND(AD136="上昇トレンド▲",OR(AE136="25日線押し目●",AE136="5日線押し目○")),"○逆張り候補",IF(W136&lt;=30,IF(Z136&gt;0,"◎反発確認",IF(Z136&lt;-5,"△要注意・様子見","△売られ過ぎ注目")),"相場下落・見送り"))),IF(AND(T136&gt;=12,AD136="パーフェクト▲"),"★強い買い",IF(AND(T136&gt;=12,AD136="上昇トレンド▲"),"★強い買い",IF(AND(T136&gt;=8,OR(AE136="25日線押し目●",AE136="5日線押し目○")),"◎押し目買い",IF(T136&gt;=10,"○買い候補",IF(T136&gt;=6,"△注目",IF(T136&gt;=3,"様子見","見送り"))))))))</f>
        <v/>
      </c>
      <c r="Z136" s="616">
        <f>IF(AND(E136&lt;&gt;"",G136&lt;&gt;"",G136&lt;&gt;0),(E136-G136)/G136*100,"")</f>
        <v/>
      </c>
      <c r="AA136" s="176">
        <f>IF(OR(C136="",E136="",E136=0),"",IF(E136&gt;G136,"上昇▲",IF(E136&lt;G136,"下落▼","横ばい→")))</f>
        <v/>
      </c>
      <c r="AB136" s="438">
        <f>IF(C136="","",IFERROR(((終値!E138*0.333)+(終値!F138*0.222)+(終値!G138*0.148)+(終値!H138*0.099)+(終値!I138*0.066)+(終値!J138*0.044)+(終値!K138*0.029)+(終値!L138*0.019)+(終値!M138*0.013)+(終値!N138*0.009))/(0.333+0.222+0.148+0.099+0.066+0.044+0.029+0.019+0.013+0.009),""))</f>
        <v/>
      </c>
      <c r="AC136" s="438">
        <f>IF(C136="","",IFERROR(SUMPRODUCT((終値!E138:AC138)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6" s="439">
        <f>IF(OR(C136="",AB136="",AC136=""),"",IF(AND(E136&gt;AB136,AB136&gt;AC136),"パーフェクト▲",IF(E136&gt;AC136,"上昇トレンド▲",IF(AND(E136&lt;AB136,AB136&lt;AC136),"下降トレンド▼","もみ合い→"))))</f>
        <v/>
      </c>
      <c r="AE136" s="439">
        <f>IF(OR(C136="",AB136="",AC136=""),"",IF(AND(ABS(E136-AC136)/AC136&lt;=0.02,E136&gt;AC136),"25日押し目★",IF(AND(ABS(E136-AB136)/AB136&lt;=0.01,E136&gt;AB136),"5日押し目○","なし")))</f>
        <v/>
      </c>
      <c r="AF136" s="617">
        <f t="array" ref="AF136">IF(C136="","",IFERROR((INDEX(終値!$E:$E,MATCH(TEXT(C136,"0"),終値!$A:$A,0))-INDEX(終値!$E:$BL,MATCH(TEXT(C136,"0"),終値!$A:$A,0),$AL$2))/INDEX(終値!$E:$BL,MATCH(TEXT(C136,"0"),終値!$A:$A,0),$AL$2)*100,""))</f>
        <v/>
      </c>
      <c r="AG136" s="617">
        <f t="array" ref="AG136">IFERROR((終値!$E$5-INDEX(終値!$E$5:$BL$5,1,$AL$2))/INDEX(終値!$E$5:$BL$5,1,$AL$2)*100,"")</f>
        <v/>
      </c>
      <c r="AH136" s="618">
        <f>IF(OR(AF136="",AG136=""),"",AF136-AG136)</f>
        <v/>
      </c>
      <c r="AI136" s="385">
        <f>IF(AH136="","",IF(AH136&gt;5,3,IF(AH136&gt;0,1,IF(AH136&gt;-3,-1,-2))))</f>
        <v/>
      </c>
    </row>
    <row r="137" ht="18" customFormat="1" customHeight="1" s="187">
      <c r="A137" s="176">
        <f>IF(銘柄管理!B84&lt;&gt;"",HYPERLINK("https://kabutan.jp/stock/?code="&amp;銘柄管理!B84,"株探"),"")</f>
        <v/>
      </c>
      <c r="B137" s="177" t="n"/>
      <c r="C137" s="178">
        <f>IF(銘柄管理!B84="","",銘柄管理!B84)</f>
        <v/>
      </c>
      <c r="D137" s="106">
        <f>IF(銘柄管理!C84="","",銘柄管理!C84)</f>
        <v/>
      </c>
      <c r="E137" s="179">
        <f>IF(C137&lt;&gt;"",_xll.RssMarket(C137,"現在値"),"")</f>
        <v/>
      </c>
      <c r="F137" s="179">
        <f>IF(C137&lt;&gt;"",_xll.RssMarket(C137,"始値"),"")</f>
        <v/>
      </c>
      <c r="G137" s="178">
        <f>IF(C137&lt;&gt;"",終値!F84,"")</f>
        <v/>
      </c>
      <c r="H137" s="179">
        <f>IF(C137&lt;&gt;"",_xll.RssMarket(C137,"高値"),"")</f>
        <v/>
      </c>
      <c r="I137" s="179">
        <f>IF(C137&lt;&gt;"",_xll.RssMarket(C137,"安値"),"")</f>
        <v/>
      </c>
      <c r="J137" s="179">
        <f>IF(C137&lt;&gt;"",_xll.RssMarket(C137,"出来高"),"")</f>
        <v/>
      </c>
      <c r="K137" s="179">
        <f>IF(C137&lt;&gt;"",_xll.RssMarket(C137,"年初来高値"),"")</f>
        <v/>
      </c>
      <c r="L137" s="613">
        <f>IF(AND(E137&lt;&gt;"",K137&lt;&gt;"",K137&lt;&gt;0),(E137-K137)/K137*100,"")</f>
        <v/>
      </c>
      <c r="M137" s="179">
        <f>IF(C137&lt;&gt;"",IFERROR(AVERAGE(出来高!E84:I84),""),"")</f>
        <v/>
      </c>
      <c r="N137" s="179">
        <f>IF(C137&lt;&gt;"",IFERROR(AVERAGE(出来高!E84:AC84),""),"")</f>
        <v/>
      </c>
      <c r="O137" s="614">
        <f>IF(AND(J137&lt;&gt;"",M137&lt;&gt;"",M137&lt;&gt;0),J137/M137,"")</f>
        <v/>
      </c>
      <c r="P137" s="176">
        <f>IF(O137="","",IF(O137&gt;=2,"急増↑↑",IF(O137&gt;=1.5,"増加↑",IF(O137&gt;=1,"普通→","減少↓"))))</f>
        <v/>
      </c>
      <c r="Q137" s="176">
        <f>IF(E137="","",IF(AND(E137&gt;G137,O137&gt;=1.5),"買い▲",IF(E137&lt;G137,"様子見▼","中立→")))</f>
        <v/>
      </c>
      <c r="R137" s="179">
        <f>IF(E137&lt;&gt;"",ROUND(E137*1.08,0),"")</f>
        <v/>
      </c>
      <c r="S137" s="179">
        <f>IF(E137&lt;&gt;"",ROUND(E137*0.96,0),"")</f>
        <v/>
      </c>
      <c r="T137" s="176">
        <f>IF(C137="","",IFERROR(IF(O137&gt;=2,3,IF(O137&gt;=1.5,2,IF(O137&gt;=1,1,0)))+IF(E137&gt;G137,1,0)+IF(L137&gt;=-5,1,0)+IF(Q137="買い▲",2,0)+IF(W137&lt;=30,3,IF(W137&lt;=40,2,IF(AND(W137&gt;=40,W137&lt;=60),1,0)))+IF(X137&gt;0,1,0)+IF(V137="年初来高値更新●",3,IF(V137="高値圏",2,0))+IF(AD137="パーフェクト▲",3,IF(AD137="上昇トレンド▲",2,0))+IF(AE137="25日線押し目●",2,IF(AE137="5日線押し目○",1,0))+IF(P137="急増↑↑",2,IF(P137="増加↑",1,0))+N(AI137),0))</f>
        <v/>
      </c>
      <c r="U137" s="176">
        <f>IF(T137="","",IF(AND(T137&gt;=3,O137&gt;=1.5),"有効",IF(T137&gt;=3,"要確認","除外")))</f>
        <v/>
      </c>
      <c r="V137" s="176">
        <f>IF(AND(H137&lt;&gt;"",K137&lt;&gt;""),IF(H137&gt;=K137,"年初来高値更新●",IF(H137&gt;=K137*0.95,"高値圏","通常")),"")</f>
        <v/>
      </c>
      <c r="W137" s="615">
        <f t="array" ref="W137">IF(C137&lt;&gt;"",IFERROR(100-100/(1+SUMPRODUCT((終値!F84:R84&gt;終値!G84:S84)*( 終値!F84:R84-終値!G84:S84))/SUMPRODUCT((終値!F84:R84&lt;終値!G84:S84)*(終値!G84:S84-終値!F84:R84))),50),"")</f>
        <v/>
      </c>
      <c r="X137" s="183">
        <f>IF(C137&lt;&gt;"",IFERROR(SUMPRODUCT(終値!E84:P84,{0.154,0.132,0.113,0.097,0.083,0.071,0.061,0.052,0.045,0.038,0.033,0.028})/SUMPRODUCT({0.154,0.132,0.113,0.097,0.083,0.071,0.061,0.052,0.045,0.038,0.033,0.028})-SUMPRODUCT(終値!E84:AD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7" s="570">
        <f>IF(T137="","",IF(銘柄管理!$F$5="下落▼",IF(AND(AD137="パーフェクト▲",OR(AE137="25日線押し目●",AE137="5日線押し目○")),"★逆張り候補",IF(AND(AD137="上昇トレンド▲",OR(AE137="25日線押し目●",AE137="5日線押し目○")),"○逆張り候補",IF(W137&lt;=30,IF(Z137&gt;0,"◎反発確認",IF(Z137&lt;-5,"△要注意・様子見","△売られ過ぎ注目")),"相場下落・見送り"))),IF(AND(T137&gt;=12,AD137="パーフェクト▲"),"★強い買い",IF(AND(T137&gt;=12,AD137="上昇トレンド▲"),"★強い買い",IF(AND(T137&gt;=8,OR(AE137="25日線押し目●",AE137="5日線押し目○")),"◎押し目買い",IF(T137&gt;=10,"○買い候補",IF(T137&gt;=6,"△注目",IF(T137&gt;=3,"様子見","見送り"))))))))</f>
        <v/>
      </c>
      <c r="Z137" s="616">
        <f>IF(AND(E137&lt;&gt;"",G137&lt;&gt;"",G137&lt;&gt;0),(E137-G137)/G137*100,"")</f>
        <v/>
      </c>
      <c r="AA137" s="176">
        <f>IF(OR(C137="",E137="",E137=0),"",IF(E137&gt;G137,"上昇▲",IF(E137&lt;G137,"下落▼","横ばい→")))</f>
        <v/>
      </c>
      <c r="AB137" s="440">
        <f>IF(C137="","",IFERROR(((終値!E139*0.333)+(終値!F139*0.222)+(終値!G139*0.148)+(終値!H139*0.099)+(終値!I139*0.066)+(終値!J139*0.044)+(終値!K139*0.029)+(終値!L139*0.019)+(終値!M139*0.013)+(終値!N139*0.009))/(0.333+0.222+0.148+0.099+0.066+0.044+0.029+0.019+0.013+0.009),""))</f>
        <v/>
      </c>
      <c r="AC137" s="440">
        <f>IF(C137="","",IFERROR(SUMPRODUCT((終値!E139:AC139)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7" s="441">
        <f>IF(OR(C137="",AB137="",AC137=""),"",IF(AND(E137&gt;AB137,AB137&gt;AC137),"パーフェクト▲",IF(E137&gt;AC137,"上昇トレンド▲",IF(AND(E137&lt;AB137,AB137&lt;AC137),"下降トレンド▼","もみ合い→"))))</f>
        <v/>
      </c>
      <c r="AE137" s="441">
        <f>IF(OR(C137="",AB137="",AC137=""),"",IF(AND(ABS(E137-AC137)/AC137&lt;=0.02,E137&gt;AC137),"25日押し目★",IF(AND(ABS(E137-AB137)/AB137&lt;=0.01,E137&gt;AB137),"5日押し目○","なし")))</f>
        <v/>
      </c>
      <c r="AF137" s="617">
        <f t="array" ref="AF137">IF(C137="","",IFERROR((INDEX(終値!$E:$E,MATCH(TEXT(C137,"0"),終値!$A:$A,0))-INDEX(終値!$E:$BL,MATCH(TEXT(C137,"0"),終値!$A:$A,0),$AL$2))/INDEX(終値!$E:$BL,MATCH(TEXT(C137,"0"),終値!$A:$A,0),$AL$2)*100,""))</f>
        <v/>
      </c>
      <c r="AG137" s="617">
        <f t="array" ref="AG137">IFERROR((終値!$E$5-INDEX(終値!$E$5:$BL$5,1,$AL$2))/INDEX(終値!$E$5:$BL$5,1,$AL$2)*100,"")</f>
        <v/>
      </c>
      <c r="AH137" s="618">
        <f>IF(OR(AF137="",AG137=""),"",AF137-AG137)</f>
        <v/>
      </c>
      <c r="AI137" s="385">
        <f>IF(AH137="","",IF(AH137&gt;5,3,IF(AH137&gt;0,1,IF(AH137&gt;-3,-1,-2))))</f>
        <v/>
      </c>
    </row>
    <row r="138" ht="18" customFormat="1" customHeight="1" s="187">
      <c r="A138" s="176">
        <f>IF(銘柄管理!B179&lt;&gt;"",HYPERLINK("https://kabutan.jp/stock/?code="&amp;銘柄管理!B179,"株探"),"")</f>
        <v/>
      </c>
      <c r="B138" s="177" t="n"/>
      <c r="C138" s="178">
        <f>IF(銘柄管理!B179="","",銘柄管理!B179)</f>
        <v/>
      </c>
      <c r="D138" s="106">
        <f>IF(銘柄管理!C179="","",銘柄管理!C179)</f>
        <v/>
      </c>
      <c r="E138" s="179">
        <f>IF(C138&lt;&gt;"",_xll.RssMarket(C138,"現在値"),"")</f>
        <v/>
      </c>
      <c r="F138" s="179">
        <f>IF(C138&lt;&gt;"",_xll.RssMarket(C138,"始値"),"")</f>
        <v/>
      </c>
      <c r="G138" s="178">
        <f>IF(C138&lt;&gt;"",終値!F179,"")</f>
        <v/>
      </c>
      <c r="H138" s="179">
        <f>IF(C138&lt;&gt;"",_xll.RssMarket(C138,"高値"),"")</f>
        <v/>
      </c>
      <c r="I138" s="179">
        <f>IF(C138&lt;&gt;"",_xll.RssMarket(C138,"安値"),"")</f>
        <v/>
      </c>
      <c r="J138" s="179">
        <f>IF(C138&lt;&gt;"",_xll.RssMarket(C138,"出来高"),"")</f>
        <v/>
      </c>
      <c r="K138" s="179">
        <f>IF(C138&lt;&gt;"",_xll.RssMarket(C138,"年初来高値"),"")</f>
        <v/>
      </c>
      <c r="L138" s="613">
        <f>IF(AND(E138&lt;&gt;"",K138&lt;&gt;"",K138&lt;&gt;0),(E138-K138)/K138*100,"")</f>
        <v/>
      </c>
      <c r="M138" s="179">
        <f>IF(C138&lt;&gt;"",IFERROR(AVERAGE(出来高!E179:I179),""),"")</f>
        <v/>
      </c>
      <c r="N138" s="179">
        <f>IF(C138&lt;&gt;"",IFERROR(AVERAGE(出来高!E179:AC179),""),"")</f>
        <v/>
      </c>
      <c r="O138" s="614">
        <f>IF(AND(J138&lt;&gt;"",M138&lt;&gt;"",M138&lt;&gt;0),J138/M138,"")</f>
        <v/>
      </c>
      <c r="P138" s="176">
        <f>IF(O138="","",IF(O138&gt;=2,"急増↑↑",IF(O138&gt;=1.5,"増加↑",IF(O138&gt;=1,"普通→","減少↓"))))</f>
        <v/>
      </c>
      <c r="Q138" s="176">
        <f>IF(E138="","",IF(AND(E138&gt;G138,O138&gt;=1.5),"買い▲",IF(E138&lt;G138,"様子見▼","中立→")))</f>
        <v/>
      </c>
      <c r="R138" s="179">
        <f>IF(E138&lt;&gt;"",ROUND(E138*1.08,0),"")</f>
        <v/>
      </c>
      <c r="S138" s="179">
        <f>IF(E138&lt;&gt;"",ROUND(E138*0.96,0),"")</f>
        <v/>
      </c>
      <c r="T138" s="176">
        <f>IF(C138="","",IFERROR(IF(O138&gt;=2,3,IF(O138&gt;=1.5,2,IF(O138&gt;=1,1,0)))+IF(E138&gt;G138,1,0)+IF(L138&gt;=-5,1,0)+IF(Q138="買い▲",2,0)+IF(W138&lt;=30,3,IF(W138&lt;=40,2,IF(AND(W138&gt;=40,W138&lt;=60),1,0)))+IF(X138&gt;0,1,0)+IF(V138="年初来高値更新●",3,IF(V138="高値圏",2,0))+IF(AD138="パーフェクト▲",3,IF(AD138="上昇トレンド▲",2,0))+IF(AE138="25日線押し目●",2,IF(AE138="5日線押し目○",1,0))+IF(P138="急増↑↑",2,IF(P138="増加↑",1,0))+N(AI138),0))</f>
        <v/>
      </c>
      <c r="U138" s="176">
        <f>IF(T138="","",IF(AND(T138&gt;=3,O138&gt;=1.5),"有効",IF(T138&gt;=3,"要確認","除外")))</f>
        <v/>
      </c>
      <c r="V138" s="176">
        <f>IF(AND(H138&lt;&gt;"",K138&lt;&gt;""),IF(H138&gt;=K138,"年初来高値更新●",IF(H138&gt;=K138*0.95,"高値圏","通常")),"")</f>
        <v/>
      </c>
      <c r="W138" s="615">
        <f t="array" ref="W138">IF(C138&lt;&gt;"",IFERROR(100-100/(1+SUMPRODUCT((終値!F179:R179&gt;終値!G179:S179)*( 終値!F179:R179-終値!G179:S179))/SUMPRODUCT((終値!F179:R179&lt;終値!G179:S179)*(終値!G179:S179-終値!F179:R179))),50),"")</f>
        <v/>
      </c>
      <c r="X138" s="183">
        <f>IF(C138&lt;&gt;"",IFERROR(SUMPRODUCT(終値!E179:P179,{0.154,0.132,0.113,0.097,0.083,0.071,0.061,0.052,0.045,0.038,0.033,0.028})/SUMPRODUCT({0.154,0.132,0.113,0.097,0.083,0.071,0.061,0.052,0.045,0.038,0.033,0.028})-SUMPRODUCT(終値!E179:AD179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8" s="570">
        <f>IF(T138="","",IF(銘柄管理!$F$5="下落▼",IF(AND(AD138="パーフェクト▲",OR(AE138="25日線押し目●",AE138="5日線押し目○")),"★逆張り候補",IF(AND(AD138="上昇トレンド▲",OR(AE138="25日線押し目●",AE138="5日線押し目○")),"○逆張り候補",IF(W138&lt;=30,IF(Z138&gt;0,"◎反発確認",IF(Z138&lt;-5,"△要注意・様子見","△売られ過ぎ注目")),"相場下落・見送り"))),IF(AND(T138&gt;=12,AD138="パーフェクト▲"),"★強い買い",IF(AND(T138&gt;=12,AD138="上昇トレンド▲"),"★強い買い",IF(AND(T138&gt;=8,OR(AE138="25日線押し目●",AE138="5日線押し目○")),"◎押し目買い",IF(T138&gt;=10,"○買い候補",IF(T138&gt;=6,"△注目",IF(T138&gt;=3,"様子見","見送り"))))))))</f>
        <v/>
      </c>
      <c r="Z138" s="616">
        <f>IF(AND(E138&lt;&gt;"",G138&lt;&gt;"",G138&lt;&gt;0),(E138-G138)/G138*100,"")</f>
        <v/>
      </c>
      <c r="AA138" s="176">
        <f>IF(OR(C138="",E138="",E138=0),"",IF(E138&gt;G138,"上昇▲",IF(E138&lt;G138,"下落▼","横ばい→")))</f>
        <v/>
      </c>
      <c r="AB138" s="438">
        <f>IF(C138="","",IFERROR(((終値!E140*0.333)+(終値!F140*0.222)+(終値!G140*0.148)+(終値!H140*0.099)+(終値!I140*0.066)+(終値!J140*0.044)+(終値!K140*0.029)+(終値!L140*0.019)+(終値!M140*0.013)+(終値!N140*0.009))/(0.333+0.222+0.148+0.099+0.066+0.044+0.029+0.019+0.013+0.009),""))</f>
        <v/>
      </c>
      <c r="AC138" s="438">
        <f>IF(C138="","",IFERROR(SUMPRODUCT((終値!E140:AC140)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8" s="439">
        <f>IF(OR(C138="",AB138="",AC138=""),"",IF(AND(E138&gt;AB138,AB138&gt;AC138),"パーフェクト▲",IF(E138&gt;AC138,"上昇トレンド▲",IF(AND(E138&lt;AB138,AB138&lt;AC138),"下降トレンド▼","もみ合い→"))))</f>
        <v/>
      </c>
      <c r="AE138" s="439">
        <f>IF(OR(C138="",AB138="",AC138=""),"",IF(AND(ABS(E138-AC138)/AC138&lt;=0.02,E138&gt;AC138),"25日押し目★",IF(AND(ABS(E138-AB138)/AB138&lt;=0.01,E138&gt;AB138),"5日押し目○","なし")))</f>
        <v/>
      </c>
      <c r="AF138" s="617">
        <f t="array" ref="AF138">IF(C138="","",IFERROR((INDEX(終値!$E:$E,MATCH(TEXT(C138,"0"),終値!$A:$A,0))-INDEX(終値!$E:$BL,MATCH(TEXT(C138,"0"),終値!$A:$A,0),$AL$2))/INDEX(終値!$E:$BL,MATCH(TEXT(C138,"0"),終値!$A:$A,0),$AL$2)*100,""))</f>
        <v/>
      </c>
      <c r="AG138" s="617">
        <f t="array" ref="AG138">IFERROR((終値!$E$5-INDEX(終値!$E$5:$BL$5,1,$AL$2))/INDEX(終値!$E$5:$BL$5,1,$AL$2)*100,"")</f>
        <v/>
      </c>
      <c r="AH138" s="618">
        <f>IF(OR(AF138="",AG138=""),"",AF138-AG138)</f>
        <v/>
      </c>
      <c r="AI138" s="385">
        <f>IF(AH138="","",IF(AH138&gt;5,3,IF(AH138&gt;0,1,IF(AH138&gt;-3,-1,-2))))</f>
        <v/>
      </c>
    </row>
    <row r="139" ht="18" customFormat="1" customHeight="1" s="187">
      <c r="A139" s="176">
        <f>IF(銘柄管理!B38&lt;&gt;"",HYPERLINK("https://kabutan.jp/stock/?code="&amp;銘柄管理!B38,"株探"),"")</f>
        <v/>
      </c>
      <c r="B139" s="177" t="n"/>
      <c r="C139" s="178">
        <f>IF(銘柄管理!B38="","",銘柄管理!B38)</f>
        <v/>
      </c>
      <c r="D139" s="106">
        <f>IF(銘柄管理!C38="","",銘柄管理!C38)</f>
        <v/>
      </c>
      <c r="E139" s="179">
        <f>IF(C139&lt;&gt;"",_xll.RssMarket(C139,"現在値"),"")</f>
        <v/>
      </c>
      <c r="F139" s="179">
        <f>IF(C139&lt;&gt;"",_xll.RssMarket(C139,"始値"),"")</f>
        <v/>
      </c>
      <c r="G139" s="178">
        <f>IF(C139&lt;&gt;"",終値!F38,"")</f>
        <v/>
      </c>
      <c r="H139" s="179">
        <f>IF(C139&lt;&gt;"",_xll.RssMarket(C139,"高値"),"")</f>
        <v/>
      </c>
      <c r="I139" s="179">
        <f>IF(C139&lt;&gt;"",_xll.RssMarket(C139,"安値"),"")</f>
        <v/>
      </c>
      <c r="J139" s="179">
        <f>IF(C139&lt;&gt;"",_xll.RssMarket(C139,"出来高"),"")</f>
        <v/>
      </c>
      <c r="K139" s="179">
        <f>IF(C139&lt;&gt;"",_xll.RssMarket(C139,"年初来高値"),"")</f>
        <v/>
      </c>
      <c r="L139" s="613">
        <f>IF(AND(E139&lt;&gt;"",K139&lt;&gt;"",K139&lt;&gt;0),(E139-K139)/K139*100,"")</f>
        <v/>
      </c>
      <c r="M139" s="179">
        <f>IF(C139&lt;&gt;"",IFERROR(AVERAGE(出来高!E38:I38),""),"")</f>
        <v/>
      </c>
      <c r="N139" s="179">
        <f>IF(C139&lt;&gt;"",IFERROR(AVERAGE(出来高!E38:AC38),""),"")</f>
        <v/>
      </c>
      <c r="O139" s="614">
        <f>IF(AND(J139&lt;&gt;"",M139&lt;&gt;"",M139&lt;&gt;0),J139/M139,"")</f>
        <v/>
      </c>
      <c r="P139" s="176">
        <f>IF(O139="","",IF(O139&gt;=2,"急増↑↑",IF(O139&gt;=1.5,"増加↑",IF(O139&gt;=1,"普通→","減少↓"))))</f>
        <v/>
      </c>
      <c r="Q139" s="176">
        <f>IF(E139="","",IF(AND(E139&gt;G139,O139&gt;=1.5),"買い▲",IF(E139&lt;G139,"様子見▼","中立→")))</f>
        <v/>
      </c>
      <c r="R139" s="179">
        <f>IF(E139&lt;&gt;"",ROUND(E139*1.08,0),"")</f>
        <v/>
      </c>
      <c r="S139" s="179">
        <f>IF(E139&lt;&gt;"",ROUND(E139*0.96,0),"")</f>
        <v/>
      </c>
      <c r="T139" s="176">
        <f>IF(C139="","",IFERROR(IF(O139&gt;=2,3,IF(O139&gt;=1.5,2,IF(O139&gt;=1,1,0)))+IF(E139&gt;G139,1,0)+IF(L139&gt;=-5,1,0)+IF(Q139="買い▲",2,0)+IF(W139&lt;=30,3,IF(W139&lt;=40,2,IF(AND(W139&gt;=40,W139&lt;=60),1,0)))+IF(X139&gt;0,1,0)+IF(V139="年初来高値更新●",3,IF(V139="高値圏",2,0))+IF(AD139="パーフェクト▲",3,IF(AD139="上昇トレンド▲",2,0))+IF(AE139="25日線押し目●",2,IF(AE139="5日線押し目○",1,0))+IF(P139="急増↑↑",2,IF(P139="増加↑",1,0))+N(AI139),0))</f>
        <v/>
      </c>
      <c r="U139" s="176">
        <f>IF(T139="","",IF(AND(T139&gt;=3,O139&gt;=1.5),"有効",IF(T139&gt;=3,"要確認","除外")))</f>
        <v/>
      </c>
      <c r="V139" s="176">
        <f>IF(AND(H139&lt;&gt;"",K139&lt;&gt;""),IF(H139&gt;=K139,"年初来高値更新●",IF(H139&gt;=K139*0.95,"高値圏","通常")),"")</f>
        <v/>
      </c>
      <c r="W139" s="615">
        <f t="array" ref="W139">IF(C139&lt;&gt;"",IFERROR(100-100/(1+SUMPRODUCT((終値!F38:R38&gt;終値!G38:S38)*( 終値!F38:R38-終値!G38:S38))/SUMPRODUCT((終値!F38:R38&lt;終値!G38:S38)*(終値!G38:S38-終値!F38:R38))),50),"")</f>
        <v/>
      </c>
      <c r="X139" s="183">
        <f>IF(C139&lt;&gt;"",IFERROR(SUMPRODUCT(終値!E38:P38,{0.154,0.132,0.113,0.097,0.083,0.071,0.061,0.052,0.045,0.038,0.033,0.028})/SUMPRODUCT({0.154,0.132,0.113,0.097,0.083,0.071,0.061,0.052,0.045,0.038,0.033,0.028})-SUMPRODUCT(終値!E38:AD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9" s="570">
        <f>IF(T139="","",IF(銘柄管理!$F$5="下落▼",IF(AND(AD139="パーフェクト▲",OR(AE139="25日線押し目●",AE139="5日線押し目○")),"★逆張り候補",IF(AND(AD139="上昇トレンド▲",OR(AE139="25日線押し目●",AE139="5日線押し目○")),"○逆張り候補",IF(W139&lt;=30,IF(Z139&gt;0,"◎反発確認",IF(Z139&lt;-5,"△要注意・様子見","△売られ過ぎ注目")),"相場下落・見送り"))),IF(AND(T139&gt;=12,AD139="パーフェクト▲"),"★強い買い",IF(AND(T139&gt;=12,AD139="上昇トレンド▲"),"★強い買い",IF(AND(T139&gt;=8,OR(AE139="25日線押し目●",AE139="5日線押し目○")),"◎押し目買い",IF(T139&gt;=10,"○買い候補",IF(T139&gt;=6,"△注目",IF(T139&gt;=3,"様子見","見送り"))))))))</f>
        <v/>
      </c>
      <c r="Z139" s="616">
        <f>IF(AND(E139&lt;&gt;"",G139&lt;&gt;"",G139&lt;&gt;0),(E139-G139)/G139*100,"")</f>
        <v/>
      </c>
      <c r="AA139" s="176">
        <f>IF(OR(C139="",E139="",E139=0),"",IF(E139&gt;G139,"上昇▲",IF(E139&lt;G139,"下落▼","横ばい→")))</f>
        <v/>
      </c>
      <c r="AB139" s="440">
        <f>IF(C139="","",IFERROR(((終値!E141*0.333)+(終値!F141*0.222)+(終値!G141*0.148)+(終値!H141*0.099)+(終値!I141*0.066)+(終値!J141*0.044)+(終値!K141*0.029)+(終値!L141*0.019)+(終値!M141*0.013)+(終値!N141*0.009))/(0.333+0.222+0.148+0.099+0.066+0.044+0.029+0.019+0.013+0.009),""))</f>
        <v/>
      </c>
      <c r="AC139" s="440">
        <f>IF(C139="","",IFERROR(SUMPRODUCT((終値!E141:AC141)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9" s="441">
        <f>IF(OR(C139="",AB139="",AC139=""),"",IF(AND(E139&gt;AB139,AB139&gt;AC139),"パーフェクト▲",IF(E139&gt;AC139,"上昇トレンド▲",IF(AND(E139&lt;AB139,AB139&lt;AC139),"下降トレンド▼","もみ合い→"))))</f>
        <v/>
      </c>
      <c r="AE139" s="441">
        <f>IF(OR(C139="",AB139="",AC139=""),"",IF(AND(ABS(E139-AC139)/AC139&lt;=0.02,E139&gt;AC139),"25日押し目★",IF(AND(ABS(E139-AB139)/AB139&lt;=0.01,E139&gt;AB139),"5日押し目○","なし")))</f>
        <v/>
      </c>
      <c r="AF139" s="617">
        <f t="array" ref="AF139">IF(C139="","",IFERROR((INDEX(終値!$E:$E,MATCH(TEXT(C139,"0"),終値!$A:$A,0))-INDEX(終値!$E:$BL,MATCH(TEXT(C139,"0"),終値!$A:$A,0),$AL$2))/INDEX(終値!$E:$BL,MATCH(TEXT(C139,"0"),終値!$A:$A,0),$AL$2)*100,""))</f>
        <v/>
      </c>
      <c r="AG139" s="617">
        <f t="array" ref="AG139">IFERROR((終値!$E$5-INDEX(終値!$E$5:$BL$5,1,$AL$2))/INDEX(終値!$E$5:$BL$5,1,$AL$2)*100,"")</f>
        <v/>
      </c>
      <c r="AH139" s="618">
        <f>IF(OR(AF139="",AG139=""),"",AF139-AG139)</f>
        <v/>
      </c>
      <c r="AI139" s="385">
        <f>IF(AH139="","",IF(AH139&gt;5,3,IF(AH139&gt;0,1,IF(AH139&gt;-3,-1,-2))))</f>
        <v/>
      </c>
    </row>
    <row r="140" ht="18" customFormat="1" customHeight="1" s="187">
      <c r="A140" s="176">
        <f>IF(銘柄管理!B46&lt;&gt;"",HYPERLINK("https://kabutan.jp/stock/?code="&amp;銘柄管理!B46,"株探"),"")</f>
        <v/>
      </c>
      <c r="B140" s="177" t="n"/>
      <c r="C140" s="178">
        <f>IF(銘柄管理!B46="","",銘柄管理!B46)</f>
        <v/>
      </c>
      <c r="D140" s="106">
        <f>IF(銘柄管理!C46="","",銘柄管理!C46)</f>
        <v/>
      </c>
      <c r="E140" s="179">
        <f>IF(C140&lt;&gt;"",_xll.RssMarket(C140,"現在値"),"")</f>
        <v/>
      </c>
      <c r="F140" s="179">
        <f>IF(C140&lt;&gt;"",_xll.RssMarket(C140,"始値"),"")</f>
        <v/>
      </c>
      <c r="G140" s="178">
        <f>IF(C140&lt;&gt;"",終値!F46,"")</f>
        <v/>
      </c>
      <c r="H140" s="179">
        <f>IF(C140&lt;&gt;"",_xll.RssMarket(C140,"高値"),"")</f>
        <v/>
      </c>
      <c r="I140" s="179">
        <f>IF(C140&lt;&gt;"",_xll.RssMarket(C140,"安値"),"")</f>
        <v/>
      </c>
      <c r="J140" s="179">
        <f>IF(C140&lt;&gt;"",_xll.RssMarket(C140,"出来高"),"")</f>
        <v/>
      </c>
      <c r="K140" s="179">
        <f>IF(C140&lt;&gt;"",_xll.RssMarket(C140,"年初来高値"),"")</f>
        <v/>
      </c>
      <c r="L140" s="613">
        <f>IF(AND(E140&lt;&gt;"",K140&lt;&gt;"",K140&lt;&gt;0),(E140-K140)/K140*100,"")</f>
        <v/>
      </c>
      <c r="M140" s="179">
        <f>IF(C140&lt;&gt;"",IFERROR(AVERAGE(出来高!E46:I46),""),"")</f>
        <v/>
      </c>
      <c r="N140" s="179">
        <f>IF(C140&lt;&gt;"",IFERROR(AVERAGE(出来高!E46:AC46),""),"")</f>
        <v/>
      </c>
      <c r="O140" s="614">
        <f>IF(AND(J140&lt;&gt;"",M140&lt;&gt;"",M140&lt;&gt;0),J140/M140,"")</f>
        <v/>
      </c>
      <c r="P140" s="176">
        <f>IF(O140="","",IF(O140&gt;=2,"急増↑↑",IF(O140&gt;=1.5,"増加↑",IF(O140&gt;=1,"普通→","減少↓"))))</f>
        <v/>
      </c>
      <c r="Q140" s="176">
        <f>IF(E140="","",IF(AND(E140&gt;G140,O140&gt;=1.5),"買い▲",IF(E140&lt;G140,"様子見▼","中立→")))</f>
        <v/>
      </c>
      <c r="R140" s="179">
        <f>IF(E140&lt;&gt;"",ROUND(E140*1.08,0),"")</f>
        <v/>
      </c>
      <c r="S140" s="179">
        <f>IF(E140&lt;&gt;"",ROUND(E140*0.96,0),"")</f>
        <v/>
      </c>
      <c r="T140" s="176">
        <f>IF(C140="","",IFERROR(IF(O140&gt;=2,3,IF(O140&gt;=1.5,2,IF(O140&gt;=1,1,0)))+IF(E140&gt;G140,1,0)+IF(L140&gt;=-5,1,0)+IF(Q140="買い▲",2,0)+IF(W140&lt;=30,3,IF(W140&lt;=40,2,IF(AND(W140&gt;=40,W140&lt;=60),1,0)))+IF(X140&gt;0,1,0)+IF(V140="年初来高値更新●",3,IF(V140="高値圏",2,0))+IF(AD140="パーフェクト▲",3,IF(AD140="上昇トレンド▲",2,0))+IF(AE140="25日線押し目●",2,IF(AE140="5日線押し目○",1,0))+IF(P140="急増↑↑",2,IF(P140="増加↑",1,0))+N(AI140),0))</f>
        <v/>
      </c>
      <c r="U140" s="176">
        <f>IF(T140="","",IF(AND(T140&gt;=3,O140&gt;=1.5),"有効",IF(T140&gt;=3,"要確認","除外")))</f>
        <v/>
      </c>
      <c r="V140" s="176">
        <f>IF(AND(H140&lt;&gt;"",K140&lt;&gt;""),IF(H140&gt;=K140,"年初来高値更新●",IF(H140&gt;=K140*0.95,"高値圏","通常")),"")</f>
        <v/>
      </c>
      <c r="W140" s="615">
        <f t="array" ref="W140">IF(C140&lt;&gt;"",IFERROR(100-100/(1+SUMPRODUCT((終値!F46:R46&gt;終値!G46:S46)*( 終値!F46:R46-終値!G46:S46))/SUMPRODUCT((終値!F46:R46&lt;終値!G46:S46)*(終値!G46:S46-終値!F46:R46))),50),"")</f>
        <v/>
      </c>
      <c r="X140" s="183">
        <f>IF(C140&lt;&gt;"",IFERROR(SUMPRODUCT(終値!E46:P46,{0.154,0.132,0.113,0.097,0.083,0.071,0.061,0.052,0.045,0.038,0.033,0.028})/SUMPRODUCT({0.154,0.132,0.113,0.097,0.083,0.071,0.061,0.052,0.045,0.038,0.033,0.028})-SUMPRODUCT(終値!E46:AD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0" s="570">
        <f>IF(T140="","",IF(銘柄管理!$F$5="下落▼",IF(AND(AD140="パーフェクト▲",OR(AE140="25日線押し目●",AE140="5日線押し目○")),"★逆張り候補",IF(AND(AD140="上昇トレンド▲",OR(AE140="25日線押し目●",AE140="5日線押し目○")),"○逆張り候補",IF(W140&lt;=30,IF(Z140&gt;0,"◎反発確認",IF(Z140&lt;-5,"△要注意・様子見","△売られ過ぎ注目")),"相場下落・見送り"))),IF(AND(T140&gt;=12,AD140="パーフェクト▲"),"★強い買い",IF(AND(T140&gt;=12,AD140="上昇トレンド▲"),"★強い買い",IF(AND(T140&gt;=8,OR(AE140="25日線押し目●",AE140="5日線押し目○")),"◎押し目買い",IF(T140&gt;=10,"○買い候補",IF(T140&gt;=6,"△注目",IF(T140&gt;=3,"様子見","見送り"))))))))</f>
        <v/>
      </c>
      <c r="Z140" s="616">
        <f>IF(AND(E140&lt;&gt;"",G140&lt;&gt;"",G140&lt;&gt;0),(E140-G140)/G140*100,"")</f>
        <v/>
      </c>
      <c r="AA140" s="176">
        <f>IF(OR(C140="",E140="",E140=0),"",IF(E140&gt;G140,"上昇▲",IF(E140&lt;G140,"下落▼","横ばい→")))</f>
        <v/>
      </c>
      <c r="AB140" s="438">
        <f>IF(C140="","",IFERROR(((終値!E142*0.333)+(終値!F142*0.222)+(終値!G142*0.148)+(終値!H142*0.099)+(終値!I142*0.066)+(終値!J142*0.044)+(終値!K142*0.029)+(終値!L142*0.019)+(終値!M142*0.013)+(終値!N142*0.009))/(0.333+0.222+0.148+0.099+0.066+0.044+0.029+0.019+0.013+0.009),""))</f>
        <v/>
      </c>
      <c r="AC140" s="438">
        <f>IF(C140="","",IFERROR(SUMPRODUCT((終値!E142:AC142)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0" s="439">
        <f>IF(OR(C140="",AB140="",AC140=""),"",IF(AND(E140&gt;AB140,AB140&gt;AC140),"パーフェクト▲",IF(E140&gt;AC140,"上昇トレンド▲",IF(AND(E140&lt;AB140,AB140&lt;AC140),"下降トレンド▼","もみ合い→"))))</f>
        <v/>
      </c>
      <c r="AE140" s="439">
        <f>IF(OR(C140="",AB140="",AC140=""),"",IF(AND(ABS(E140-AC140)/AC140&lt;=0.02,E140&gt;AC140),"25日押し目★",IF(AND(ABS(E140-AB140)/AB140&lt;=0.01,E140&gt;AB140),"5日押し目○","なし")))</f>
        <v/>
      </c>
      <c r="AF140" s="617">
        <f t="array" ref="AF140">IF(C140="","",IFERROR((INDEX(終値!$E:$E,MATCH(TEXT(C140,"0"),終値!$A:$A,0))-INDEX(終値!$E:$BL,MATCH(TEXT(C140,"0"),終値!$A:$A,0),$AL$2))/INDEX(終値!$E:$BL,MATCH(TEXT(C140,"0"),終値!$A:$A,0),$AL$2)*100,""))</f>
        <v/>
      </c>
      <c r="AG140" s="617">
        <f t="array" ref="AG140">IFERROR((終値!$E$5-INDEX(終値!$E$5:$BL$5,1,$AL$2))/INDEX(終値!$E$5:$BL$5,1,$AL$2)*100,"")</f>
        <v/>
      </c>
      <c r="AH140" s="618">
        <f>IF(OR(AF140="",AG140=""),"",AF140-AG140)</f>
        <v/>
      </c>
      <c r="AI140" s="385">
        <f>IF(AH140="","",IF(AH140&gt;5,3,IF(AH140&gt;0,1,IF(AH140&gt;-3,-1,-2))))</f>
        <v/>
      </c>
    </row>
    <row r="141" ht="18" customHeight="1" s="574">
      <c r="A141" s="176">
        <f>IF(銘柄管理!B17&lt;&gt;"",HYPERLINK("https://kabutan.jp/stock/?code="&amp;銘柄管理!B17,"株探"),"")</f>
        <v/>
      </c>
      <c r="B141" s="177" t="n"/>
      <c r="C141" s="178">
        <f>IF(銘柄管理!B17="","",銘柄管理!B17)</f>
        <v/>
      </c>
      <c r="D141" s="106">
        <f>IF(銘柄管理!C17="","",銘柄管理!C17)</f>
        <v/>
      </c>
      <c r="E141" s="179">
        <f>IF(C141&lt;&gt;"",_xll.RssMarket(C141,"現在値"),"")</f>
        <v/>
      </c>
      <c r="F141" s="179">
        <f>IF(C141&lt;&gt;"",_xll.RssMarket(C141,"始値"),"")</f>
        <v/>
      </c>
      <c r="G141" s="178">
        <f>IF(C141&lt;&gt;"",終値!F17,"")</f>
        <v/>
      </c>
      <c r="H141" s="179">
        <f>IF(C141&lt;&gt;"",_xll.RssMarket(C141,"高値"),"")</f>
        <v/>
      </c>
      <c r="I141" s="179">
        <f>IF(C141&lt;&gt;"",_xll.RssMarket(C141,"安値"),"")</f>
        <v/>
      </c>
      <c r="J141" s="179">
        <f>IF(C141&lt;&gt;"",_xll.RssMarket(C141,"出来高"),"")</f>
        <v/>
      </c>
      <c r="K141" s="179">
        <f>IF(C141&lt;&gt;"",_xll.RssMarket(C141,"年初来高値"),"")</f>
        <v/>
      </c>
      <c r="L141" s="613">
        <f>IF(AND(E141&lt;&gt;"",K141&lt;&gt;"",K141&lt;&gt;0),(E141-K141)/K141*100,"")</f>
        <v/>
      </c>
      <c r="M141" s="179">
        <f>IF(C141&lt;&gt;"",IFERROR(AVERAGE(出来高!E17:I17),""),"")</f>
        <v/>
      </c>
      <c r="N141" s="179">
        <f>IF(C141&lt;&gt;"",IFERROR(AVERAGE(出来高!E17:AC17),""),"")</f>
        <v/>
      </c>
      <c r="O141" s="614">
        <f>IF(AND(J141&lt;&gt;"",M141&lt;&gt;"",M141&lt;&gt;0),J141/M141,"")</f>
        <v/>
      </c>
      <c r="P141" s="176">
        <f>IF(O141="","",IF(O141&gt;=2,"急増↑↑",IF(O141&gt;=1.5,"増加↑",IF(O141&gt;=1,"普通→","減少↓"))))</f>
        <v/>
      </c>
      <c r="Q141" s="176">
        <f>IF(E141="","",IF(AND(E141&gt;G141,O141&gt;=1.5),"買い▲",IF(E141&lt;G141,"様子見▼","中立→")))</f>
        <v/>
      </c>
      <c r="R141" s="179">
        <f>IF(E141&lt;&gt;"",ROUND(E141*1.08,0),"")</f>
        <v/>
      </c>
      <c r="S141" s="179">
        <f>IF(E141&lt;&gt;"",ROUND(E141*0.96,0),"")</f>
        <v/>
      </c>
      <c r="T141" s="176">
        <f>IF(C141="","",IFERROR(IF(O141&gt;=2,3,IF(O141&gt;=1.5,2,IF(O141&gt;=1,1,0)))+IF(E141&gt;G141,1,0)+IF(L141&gt;=-5,1,0)+IF(Q141="買い▲",2,0)+IF(W141&lt;=30,3,IF(W141&lt;=40,2,IF(AND(W141&gt;=40,W141&lt;=60),1,0)))+IF(X141&gt;0,1,0)+IF(V141="年初来高値更新●",3,IF(V141="高値圏",2,0))+IF(AD141="パーフェクト▲",3,IF(AD141="上昇トレンド▲",2,0))+IF(AE141="25日線押し目●",2,IF(AE141="5日線押し目○",1,0))+IF(P141="急増↑↑",2,IF(P141="増加↑",1,0))+N(AI141),0))</f>
        <v/>
      </c>
      <c r="U141" s="176">
        <f>IF(T141="","",IF(AND(T141&gt;=3,O141&gt;=1.5),"有効",IF(T141&gt;=3,"要確認","除外")))</f>
        <v/>
      </c>
      <c r="V141" s="176">
        <f>IF(AND(H141&lt;&gt;"",K141&lt;&gt;""),IF(H141&gt;=K141,"年初来高値更新●",IF(H141&gt;=K141*0.95,"高値圏","通常")),"")</f>
        <v/>
      </c>
      <c r="W141" s="615">
        <f t="array" ref="W141">IF(C141&lt;&gt;"",IFERROR(100-100/(1+SUMPRODUCT((終値!F17:R17&gt;終値!G17:S17)*( 終値!F17:R17-終値!G17:S17))/SUMPRODUCT((終値!F17:R17&lt;終値!G17:S17)*(終値!G17:S17-終値!F17:R17))),50),"")</f>
        <v/>
      </c>
      <c r="X141" s="183">
        <f>IF(C141&lt;&gt;"",IFERROR(SUMPRODUCT(終値!E17:P17,{0.154,0.132,0.113,0.097,0.083,0.071,0.061,0.052,0.045,0.038,0.033,0.028})/SUMPRODUCT({0.154,0.132,0.113,0.097,0.083,0.071,0.061,0.052,0.045,0.038,0.033,0.028})-SUMPRODUCT(終値!E17:AD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1" s="570">
        <f>IF(T141="","",IF(銘柄管理!$F$5="下落▼",IF(AND(AD141="パーフェクト▲",OR(AE141="25日線押し目●",AE141="5日線押し目○")),"★逆張り候補",IF(AND(AD141="上昇トレンド▲",OR(AE141="25日線押し目●",AE141="5日線押し目○")),"○逆張り候補",IF(W141&lt;=30,IF(Z141&gt;0,"◎反発確認",IF(Z141&lt;-5,"△要注意・様子見","△売られ過ぎ注目")),"相場下落・見送り"))),IF(AND(T141&gt;=12,AD141="パーフェクト▲"),"★強い買い",IF(AND(T141&gt;=12,AD141="上昇トレンド▲"),"★強い買い",IF(AND(T141&gt;=8,OR(AE141="25日線押し目●",AE141="5日線押し目○")),"◎押し目買い",IF(T141&gt;=10,"○買い候補",IF(T141&gt;=6,"△注目",IF(T141&gt;=3,"様子見","見送り"))))))))</f>
        <v/>
      </c>
      <c r="Z141" s="616">
        <f>IF(AND(E141&lt;&gt;"",G141&lt;&gt;"",G141&lt;&gt;0),(E141-G141)/G141*100,"")</f>
        <v/>
      </c>
      <c r="AA141" s="176">
        <f>IF(OR(C141="",E141="",E141=0),"",IF(E141&gt;G141,"上昇▲",IF(E141&lt;G141,"下落▼","横ばい→")))</f>
        <v/>
      </c>
      <c r="AB141" s="440">
        <f>IF(C141="","",IFERROR(((終値!E143*0.333)+(終値!F143*0.222)+(終値!G143*0.148)+(終値!H143*0.099)+(終値!I143*0.066)+(終値!J143*0.044)+(終値!K143*0.029)+(終値!L143*0.019)+(終値!M143*0.013)+(終値!N143*0.009))/(0.333+0.222+0.148+0.099+0.066+0.044+0.029+0.019+0.013+0.009),""))</f>
        <v/>
      </c>
      <c r="AC141" s="440">
        <f>IF(C141="","",IFERROR(SUMPRODUCT((終値!E143:AC143)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1" s="441">
        <f>IF(OR(C141="",AB141="",AC141=""),"",IF(AND(E141&gt;AB141,AB141&gt;AC141),"パーフェクト▲",IF(E141&gt;AC141,"上昇トレンド▲",IF(AND(E141&lt;AB141,AB141&lt;AC141),"下降トレンド▼","もみ合い→"))))</f>
        <v/>
      </c>
      <c r="AE141" s="441">
        <f>IF(OR(C141="",AB141="",AC141=""),"",IF(AND(ABS(E141-AC141)/AC141&lt;=0.02,E141&gt;AC141),"25日押し目★",IF(AND(ABS(E141-AB141)/AB141&lt;=0.01,E141&gt;AB141),"5日押し目○","なし")))</f>
        <v/>
      </c>
      <c r="AF141" s="617">
        <f t="array" ref="AF141">IF(C141="","",IFERROR((INDEX(終値!$E:$E,MATCH(TEXT(C141,"0"),終値!$A:$A,0))-INDEX(終値!$E:$BL,MATCH(TEXT(C141,"0"),終値!$A:$A,0),$AL$2))/INDEX(終値!$E:$BL,MATCH(TEXT(C141,"0"),終値!$A:$A,0),$AL$2)*100,""))</f>
        <v/>
      </c>
      <c r="AG141" s="617">
        <f t="array" ref="AG141">IFERROR((終値!$E$5-INDEX(終値!$E$5:$BL$5,1,$AL$2))/INDEX(終値!$E$5:$BL$5,1,$AL$2)*100,"")</f>
        <v/>
      </c>
      <c r="AH141" s="618">
        <f>IF(OR(AF141="",AG141=""),"",AF141-AG141)</f>
        <v/>
      </c>
      <c r="AI141" s="385">
        <f>IF(AH141="","",IF(AH141&gt;5,3,IF(AH141&gt;0,1,IF(AH141&gt;-3,-1,-2))))</f>
        <v/>
      </c>
    </row>
    <row r="142" ht="18" customHeight="1" s="574">
      <c r="A142" s="176">
        <f>IF(銘柄管理!B21&lt;&gt;"",HYPERLINK("https://kabutan.jp/stock/?code="&amp;銘柄管理!B21,"株探"),"")</f>
        <v/>
      </c>
      <c r="B142" s="177" t="n"/>
      <c r="C142" s="178">
        <f>IF(銘柄管理!B21="","",銘柄管理!B21)</f>
        <v/>
      </c>
      <c r="D142" s="106">
        <f>IF(銘柄管理!C21="","",銘柄管理!C21)</f>
        <v/>
      </c>
      <c r="E142" s="179">
        <f>IF(C142&lt;&gt;"",_xll.RssMarket(C142,"現在値"),"")</f>
        <v/>
      </c>
      <c r="F142" s="179">
        <f>IF(C142&lt;&gt;"",_xll.RssMarket(C142,"始値"),"")</f>
        <v/>
      </c>
      <c r="G142" s="178">
        <f>IF(C142&lt;&gt;"",終値!F21,"")</f>
        <v/>
      </c>
      <c r="H142" s="179">
        <f>IF(C142&lt;&gt;"",_xll.RssMarket(C142,"高値"),"")</f>
        <v/>
      </c>
      <c r="I142" s="179">
        <f>IF(C142&lt;&gt;"",_xll.RssMarket(C142,"安値"),"")</f>
        <v/>
      </c>
      <c r="J142" s="179">
        <f>IF(C142&lt;&gt;"",_xll.RssMarket(C142,"出来高"),"")</f>
        <v/>
      </c>
      <c r="K142" s="179">
        <f>IF(C142&lt;&gt;"",_xll.RssMarket(C142,"年初来高値"),"")</f>
        <v/>
      </c>
      <c r="L142" s="613">
        <f>IF(AND(E142&lt;&gt;"",K142&lt;&gt;"",K142&lt;&gt;0),(E142-K142)/K142*100,"")</f>
        <v/>
      </c>
      <c r="M142" s="179">
        <f>IF(C142&lt;&gt;"",IFERROR(AVERAGE(出来高!E21:I21),""),"")</f>
        <v/>
      </c>
      <c r="N142" s="179">
        <f>IF(C142&lt;&gt;"",IFERROR(AVERAGE(出来高!E21:AC21),""),"")</f>
        <v/>
      </c>
      <c r="O142" s="614">
        <f>IF(AND(J142&lt;&gt;"",M142&lt;&gt;"",M142&lt;&gt;0),J142/M142,"")</f>
        <v/>
      </c>
      <c r="P142" s="176">
        <f>IF(O142="","",IF(O142&gt;=2,"急増↑↑",IF(O142&gt;=1.5,"増加↑",IF(O142&gt;=1,"普通→","減少↓"))))</f>
        <v/>
      </c>
      <c r="Q142" s="176">
        <f>IF(E142="","",IF(AND(E142&gt;G142,O142&gt;=1.5),"買い▲",IF(E142&lt;G142,"様子見▼","中立→")))</f>
        <v/>
      </c>
      <c r="R142" s="179">
        <f>IF(E142&lt;&gt;"",ROUND(E142*1.08,0),"")</f>
        <v/>
      </c>
      <c r="S142" s="179">
        <f>IF(E142&lt;&gt;"",ROUND(E142*0.96,0),"")</f>
        <v/>
      </c>
      <c r="T142" s="176">
        <f>IF(C142="","",IFERROR(IF(O142&gt;=2,3,IF(O142&gt;=1.5,2,IF(O142&gt;=1,1,0)))+IF(E142&gt;G142,1,0)+IF(L142&gt;=-5,1,0)+IF(Q142="買い▲",2,0)+IF(W142&lt;=30,3,IF(W142&lt;=40,2,IF(AND(W142&gt;=40,W142&lt;=60),1,0)))+IF(X142&gt;0,1,0)+IF(V142="年初来高値更新●",3,IF(V142="高値圏",2,0))+IF(AD142="パーフェクト▲",3,IF(AD142="上昇トレンド▲",2,0))+IF(AE142="25日線押し目●",2,IF(AE142="5日線押し目○",1,0))+IF(P142="急増↑↑",2,IF(P142="増加↑",1,0))+N(AI142),0))</f>
        <v/>
      </c>
      <c r="U142" s="176">
        <f>IF(T142="","",IF(AND(T142&gt;=3,O142&gt;=1.5),"有効",IF(T142&gt;=3,"要確認","除外")))</f>
        <v/>
      </c>
      <c r="V142" s="176">
        <f>IF(AND(H142&lt;&gt;"",K142&lt;&gt;""),IF(H142&gt;=K142,"年初来高値更新●",IF(H142&gt;=K142*0.95,"高値圏","通常")),"")</f>
        <v/>
      </c>
      <c r="W142" s="615">
        <f t="array" ref="W142">IF(C142&lt;&gt;"",IFERROR(100-100/(1+SUMPRODUCT((終値!F21:R21&gt;終値!G21:S21)*( 終値!F21:R21-終値!G21:S21))/SUMPRODUCT((終値!F21:R21&lt;終値!G21:S21)*(終値!G21:S21-終値!F21:R21))),50),"")</f>
        <v/>
      </c>
      <c r="X142" s="183">
        <f>IF(C142&lt;&gt;"",IFERROR(SUMPRODUCT(終値!E21:P21,{0.154,0.132,0.113,0.097,0.083,0.071,0.061,0.052,0.045,0.038,0.033,0.028})/SUMPRODUCT({0.154,0.132,0.113,0.097,0.083,0.071,0.061,0.052,0.045,0.038,0.033,0.028})-SUMPRODUCT(終値!E21:AD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2" s="570">
        <f>IF(T142="","",IF(銘柄管理!$F$5="下落▼",IF(AND(AD142="パーフェクト▲",OR(AE142="25日線押し目●",AE142="5日線押し目○")),"★逆張り候補",IF(AND(AD142="上昇トレンド▲",OR(AE142="25日線押し目●",AE142="5日線押し目○")),"○逆張り候補",IF(W142&lt;=30,IF(Z142&gt;0,"◎反発確認",IF(Z142&lt;-5,"△要注意・様子見","△売られ過ぎ注目")),"相場下落・見送り"))),IF(AND(T142&gt;=12,AD142="パーフェクト▲"),"★強い買い",IF(AND(T142&gt;=12,AD142="上昇トレンド▲"),"★強い買い",IF(AND(T142&gt;=8,OR(AE142="25日線押し目●",AE142="5日線押し目○")),"◎押し目買い",IF(T142&gt;=10,"○買い候補",IF(T142&gt;=6,"△注目",IF(T142&gt;=3,"様子見","見送り"))))))))</f>
        <v/>
      </c>
      <c r="Z142" s="616">
        <f>IF(AND(E142&lt;&gt;"",G142&lt;&gt;"",G142&lt;&gt;0),(E142-G142)/G142*100,"")</f>
        <v/>
      </c>
      <c r="AA142" s="176">
        <f>IF(OR(C142="",E142="",E142=0),"",IF(E142&gt;G142,"上昇▲",IF(E142&lt;G142,"下落▼","横ばい→")))</f>
        <v/>
      </c>
      <c r="AB142" s="438">
        <f>IF(C142="","",IFERROR(((終値!E144*0.333)+(終値!F144*0.222)+(終値!G144*0.148)+(終値!H144*0.099)+(終値!I144*0.066)+(終値!J144*0.044)+(終値!K144*0.029)+(終値!L144*0.019)+(終値!M144*0.013)+(終値!N144*0.009))/(0.333+0.222+0.148+0.099+0.066+0.044+0.029+0.019+0.013+0.009),""))</f>
        <v/>
      </c>
      <c r="AC142" s="438">
        <f>IF(C142="","",IFERROR(SUMPRODUCT((終値!E144:AC144)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2" s="439">
        <f>IF(OR(C142="",AB142="",AC142=""),"",IF(AND(E142&gt;AB142,AB142&gt;AC142),"パーフェクト▲",IF(E142&gt;AC142,"上昇トレンド▲",IF(AND(E142&lt;AB142,AB142&lt;AC142),"下降トレンド▼","もみ合い→"))))</f>
        <v/>
      </c>
      <c r="AE142" s="439">
        <f>IF(OR(C142="",AB142="",AC142=""),"",IF(AND(ABS(E142-AC142)/AC142&lt;=0.02,E142&gt;AC142),"25日押し目★",IF(AND(ABS(E142-AB142)/AB142&lt;=0.01,E142&gt;AB142),"5日押し目○","なし")))</f>
        <v/>
      </c>
      <c r="AF142" s="617">
        <f t="array" ref="AF142">IF(C142="","",IFERROR((INDEX(終値!$E:$E,MATCH(TEXT(C142,"0"),終値!$A:$A,0))-INDEX(終値!$E:$BL,MATCH(TEXT(C142,"0"),終値!$A:$A,0),$AL$2))/INDEX(終値!$E:$BL,MATCH(TEXT(C142,"0"),終値!$A:$A,0),$AL$2)*100,""))</f>
        <v/>
      </c>
      <c r="AG142" s="617">
        <f t="array" ref="AG142">IFERROR((終値!$E$5-INDEX(終値!$E$5:$BL$5,1,$AL$2))/INDEX(終値!$E$5:$BL$5,1,$AL$2)*100,"")</f>
        <v/>
      </c>
      <c r="AH142" s="618">
        <f>IF(OR(AF142="",AG142=""),"",AF142-AG142)</f>
        <v/>
      </c>
      <c r="AI142" s="385">
        <f>IF(AH142="","",IF(AH142&gt;5,3,IF(AH142&gt;0,1,IF(AH142&gt;-3,-1,-2))))</f>
        <v/>
      </c>
    </row>
    <row r="143" ht="18" customHeight="1" s="574">
      <c r="A143" s="176">
        <f>IF(銘柄管理!B193&lt;&gt;"",HYPERLINK("https://kabutan.jp/stock/?code="&amp;銘柄管理!B193,"株探"),"")</f>
        <v/>
      </c>
      <c r="B143" s="177" t="n"/>
      <c r="C143" s="178">
        <f>IF(銘柄管理!B193="","",銘柄管理!B193)</f>
        <v/>
      </c>
      <c r="D143" s="106">
        <f>IF(銘柄管理!C193="","",銘柄管理!C193)</f>
        <v/>
      </c>
      <c r="E143" s="179">
        <f>IF(C143&lt;&gt;"",_xll.RssMarket(C143,"現在値"),"")</f>
        <v/>
      </c>
      <c r="F143" s="179">
        <f>IF(C143&lt;&gt;"",_xll.RssMarket(C143,"始値"),"")</f>
        <v/>
      </c>
      <c r="G143" s="178">
        <f>IF(C143&lt;&gt;"",終値!F193,"")</f>
        <v/>
      </c>
      <c r="H143" s="179">
        <f>IF(C143&lt;&gt;"",_xll.RssMarket(C143,"高値"),"")</f>
        <v/>
      </c>
      <c r="I143" s="179">
        <f>IF(C143&lt;&gt;"",_xll.RssMarket(C143,"安値"),"")</f>
        <v/>
      </c>
      <c r="J143" s="179">
        <f>IF(C143&lt;&gt;"",_xll.RssMarket(C143,"出来高"),"")</f>
        <v/>
      </c>
      <c r="K143" s="179">
        <f>IF(C143&lt;&gt;"",_xll.RssMarket(C143,"年初来高値"),"")</f>
        <v/>
      </c>
      <c r="L143" s="613">
        <f>IF(AND(E143&lt;&gt;"",K143&lt;&gt;"",K143&lt;&gt;0),(E143-K143)/K143*100,"")</f>
        <v/>
      </c>
      <c r="M143" s="179">
        <f>IF(C143&lt;&gt;"",IFERROR(AVERAGE(出来高!E193:I193),""),"")</f>
        <v/>
      </c>
      <c r="N143" s="179">
        <f>IF(C143&lt;&gt;"",IFERROR(AVERAGE(出来高!E193:AC193),""),"")</f>
        <v/>
      </c>
      <c r="O143" s="614">
        <f>IF(AND(J143&lt;&gt;"",M143&lt;&gt;"",M143&lt;&gt;0),J143/M143,"")</f>
        <v/>
      </c>
      <c r="P143" s="176">
        <f>IF(O143="","",IF(O143&gt;=2,"急増↑↑",IF(O143&gt;=1.5,"増加↑",IF(O143&gt;=1,"普通→","減少↓"))))</f>
        <v/>
      </c>
      <c r="Q143" s="176">
        <f>IF(E143="","",IF(AND(E143&gt;G143,O143&gt;=1.5),"買い▲",IF(E143&lt;G143,"様子見▼","中立→")))</f>
        <v/>
      </c>
      <c r="R143" s="179">
        <f>IF(E143&lt;&gt;"",ROUND(E143*1.08,0),"")</f>
        <v/>
      </c>
      <c r="S143" s="179">
        <f>IF(E143&lt;&gt;"",ROUND(E143*0.96,0),"")</f>
        <v/>
      </c>
      <c r="T143" s="176">
        <f>IF(C143="","",IFERROR(IF(O143&gt;=2,3,IF(O143&gt;=1.5,2,IF(O143&gt;=1,1,0)))+IF(E143&gt;G143,1,0)+IF(L143&gt;=-5,1,0)+IF(Q143="買い▲",2,0)+IF(W143&lt;=30,3,IF(W143&lt;=40,2,IF(AND(W143&gt;=40,W143&lt;=60),1,0)))+IF(X143&gt;0,1,0)+IF(V143="年初来高値更新●",3,IF(V143="高値圏",2,0))+IF(AD143="パーフェクト▲",3,IF(AD143="上昇トレンド▲",2,0))+IF(AE143="25日線押し目●",2,IF(AE143="5日線押し目○",1,0))+IF(P143="急増↑↑",2,IF(P143="増加↑",1,0))+N(AI143),0))</f>
        <v/>
      </c>
      <c r="U143" s="176">
        <f>IF(T143="","",IF(AND(T143&gt;=3,O143&gt;=1.5),"有効",IF(T143&gt;=3,"要確認","除外")))</f>
        <v/>
      </c>
      <c r="V143" s="176">
        <f>IF(AND(H143&lt;&gt;"",K143&lt;&gt;""),IF(H143&gt;=K143,"年初来高値更新●",IF(H143&gt;=K143*0.95,"高値圏","通常")),"")</f>
        <v/>
      </c>
      <c r="W143" s="615">
        <f t="array" ref="W143">IF(C143&lt;&gt;"",IFERROR(100-100/(1+SUMPRODUCT((終値!F193:R193&gt;終値!G193:S193)*( 終値!F193:R193-終値!G193:S193))/SUMPRODUCT((終値!F193:R193&lt;終値!G193:S193)*(終値!G193:S193-終値!F193:R193))),50),"")</f>
        <v/>
      </c>
      <c r="X143" s="183">
        <f>IF(C143&lt;&gt;"",IFERROR(SUMPRODUCT(終値!E193:P193,{0.154,0.132,0.113,0.097,0.083,0.071,0.061,0.052,0.045,0.038,0.033,0.028})/SUMPRODUCT({0.154,0.132,0.113,0.097,0.083,0.071,0.061,0.052,0.045,0.038,0.033,0.028})-SUMPRODUCT(終値!E193:AD193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3" s="570">
        <f>IF(T143="","",IF(銘柄管理!$F$5="下落▼",IF(AND(AD143="パーフェクト▲",OR(AE143="25日線押し目●",AE143="5日線押し目○")),"★逆張り候補",IF(AND(AD143="上昇トレンド▲",OR(AE143="25日線押し目●",AE143="5日線押し目○")),"○逆張り候補",IF(W143&lt;=30,IF(Z143&gt;0,"◎反発確認",IF(Z143&lt;-5,"△要注意・様子見","△売られ過ぎ注目")),"相場下落・見送り"))),IF(AND(T143&gt;=12,AD143="パーフェクト▲"),"★強い買い",IF(AND(T143&gt;=12,AD143="上昇トレンド▲"),"★強い買い",IF(AND(T143&gt;=8,OR(AE143="25日線押し目●",AE143="5日線押し目○")),"◎押し目買い",IF(T143&gt;=10,"○買い候補",IF(T143&gt;=6,"△注目",IF(T143&gt;=3,"様子見","見送り"))))))))</f>
        <v/>
      </c>
      <c r="Z143" s="616">
        <f>IF(AND(E143&lt;&gt;"",G143&lt;&gt;"",G143&lt;&gt;0),(E143-G143)/G143*100,"")</f>
        <v/>
      </c>
      <c r="AA143" s="176">
        <f>IF(OR(C143="",E143="",E143=0),"",IF(E143&gt;G143,"上昇▲",IF(E143&lt;G143,"下落▼","横ばい→")))</f>
        <v/>
      </c>
      <c r="AB143" s="440">
        <f>IF(C143="","",IFERROR(((終値!E145*0.333)+(終値!F145*0.222)+(終値!G145*0.148)+(終値!H145*0.099)+(終値!I145*0.066)+(終値!J145*0.044)+(終値!K145*0.029)+(終値!L145*0.019)+(終値!M145*0.013)+(終値!N145*0.009))/(0.333+0.222+0.148+0.099+0.066+0.044+0.029+0.019+0.013+0.009),""))</f>
        <v/>
      </c>
      <c r="AC143" s="440">
        <f>IF(C143="","",IFERROR(SUMPRODUCT((終値!E145:AC145)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3" s="441">
        <f>IF(OR(C143="",AB143="",AC143=""),"",IF(AND(E143&gt;AB143,AB143&gt;AC143),"パーフェクト▲",IF(E143&gt;AC143,"上昇トレンド▲",IF(AND(E143&lt;AB143,AB143&lt;AC143),"下降トレンド▼","もみ合い→"))))</f>
        <v/>
      </c>
      <c r="AE143" s="441">
        <f>IF(OR(C143="",AB143="",AC143=""),"",IF(AND(ABS(E143-AC143)/AC143&lt;=0.02,E143&gt;AC143),"25日押し目★",IF(AND(ABS(E143-AB143)/AB143&lt;=0.01,E143&gt;AB143),"5日押し目○","なし")))</f>
        <v/>
      </c>
      <c r="AF143" s="617">
        <f t="array" ref="AF143">IF(C143="","",IFERROR((INDEX(終値!$E:$E,MATCH(TEXT(C143,"0"),終値!$A:$A,0))-INDEX(終値!$E:$BL,MATCH(TEXT(C143,"0"),終値!$A:$A,0),$AL$2))/INDEX(終値!$E:$BL,MATCH(TEXT(C143,"0"),終値!$A:$A,0),$AL$2)*100,""))</f>
        <v/>
      </c>
      <c r="AG143" s="617">
        <f t="array" ref="AG143">IFERROR((終値!$E$5-INDEX(終値!$E$5:$BL$5,1,$AL$2))/INDEX(終値!$E$5:$BL$5,1,$AL$2)*100,"")</f>
        <v/>
      </c>
      <c r="AH143" s="618">
        <f>IF(OR(AF143="",AG143=""),"",AF143-AG143)</f>
        <v/>
      </c>
      <c r="AI143" s="385">
        <f>IF(AH143="","",IF(AH143&gt;5,3,IF(AH143&gt;0,1,IF(AH143&gt;-3,-1,-2))))</f>
        <v/>
      </c>
    </row>
    <row r="144" ht="18" customHeight="1" s="574">
      <c r="A144" s="176">
        <f>IF(銘柄管理!B34&lt;&gt;"",HYPERLINK("https://kabutan.jp/stock/?code="&amp;銘柄管理!B34,"株探"),"")</f>
        <v/>
      </c>
      <c r="B144" s="177" t="n"/>
      <c r="C144" s="178">
        <f>IF(銘柄管理!B34="","",銘柄管理!B34)</f>
        <v/>
      </c>
      <c r="D144" s="106">
        <f>IF(銘柄管理!C34="","",銘柄管理!C34)</f>
        <v/>
      </c>
      <c r="E144" s="179">
        <f>IF(C144&lt;&gt;"",_xll.RssMarket(C144,"現在値"),"")</f>
        <v/>
      </c>
      <c r="F144" s="179">
        <f>IF(C144&lt;&gt;"",_xll.RssMarket(C144,"始値"),"")</f>
        <v/>
      </c>
      <c r="G144" s="178">
        <f>IF(C144&lt;&gt;"",終値!F34,"")</f>
        <v/>
      </c>
      <c r="H144" s="179">
        <f>IF(C144&lt;&gt;"",_xll.RssMarket(C144,"高値"),"")</f>
        <v/>
      </c>
      <c r="I144" s="179">
        <f>IF(C144&lt;&gt;"",_xll.RssMarket(C144,"安値"),"")</f>
        <v/>
      </c>
      <c r="J144" s="179">
        <f>IF(C144&lt;&gt;"",_xll.RssMarket(C144,"出来高"),"")</f>
        <v/>
      </c>
      <c r="K144" s="179">
        <f>IF(C144&lt;&gt;"",_xll.RssMarket(C144,"年初来高値"),"")</f>
        <v/>
      </c>
      <c r="L144" s="613">
        <f>IF(AND(E144&lt;&gt;"",K144&lt;&gt;"",K144&lt;&gt;0),(E144-K144)/K144*100,"")</f>
        <v/>
      </c>
      <c r="M144" s="179">
        <f>IF(C144&lt;&gt;"",IFERROR(AVERAGE(出来高!E34:I34),""),"")</f>
        <v/>
      </c>
      <c r="N144" s="179">
        <f>IF(C144&lt;&gt;"",IFERROR(AVERAGE(出来高!E34:AC34),""),"")</f>
        <v/>
      </c>
      <c r="O144" s="614">
        <f>IF(AND(J144&lt;&gt;"",M144&lt;&gt;"",M144&lt;&gt;0),J144/M144,"")</f>
        <v/>
      </c>
      <c r="P144" s="176">
        <f>IF(O144="","",IF(O144&gt;=2,"急増↑↑",IF(O144&gt;=1.5,"増加↑",IF(O144&gt;=1,"普通→","減少↓"))))</f>
        <v/>
      </c>
      <c r="Q144" s="176">
        <f>IF(E144="","",IF(AND(E144&gt;G144,O144&gt;=1.5),"買い▲",IF(E144&lt;G144,"様子見▼","中立→")))</f>
        <v/>
      </c>
      <c r="R144" s="179">
        <f>IF(E144&lt;&gt;"",ROUND(E144*1.08,0),"")</f>
        <v/>
      </c>
      <c r="S144" s="179">
        <f>IF(E144&lt;&gt;"",ROUND(E144*0.96,0),"")</f>
        <v/>
      </c>
      <c r="T144" s="176">
        <f>IF(C144="","",IFERROR(IF(O144&gt;=2,3,IF(O144&gt;=1.5,2,IF(O144&gt;=1,1,0)))+IF(E144&gt;G144,1,0)+IF(L144&gt;=-5,1,0)+IF(Q144="買い▲",2,0)+IF(W144&lt;=30,3,IF(W144&lt;=40,2,IF(AND(W144&gt;=40,W144&lt;=60),1,0)))+IF(X144&gt;0,1,0)+IF(V144="年初来高値更新●",3,IF(V144="高値圏",2,0))+IF(AD144="パーフェクト▲",3,IF(AD144="上昇トレンド▲",2,0))+IF(AE144="25日線押し目●",2,IF(AE144="5日線押し目○",1,0))+IF(P144="急増↑↑",2,IF(P144="増加↑",1,0))+N(AI144),0))</f>
        <v/>
      </c>
      <c r="U144" s="176">
        <f>IF(T144="","",IF(AND(T144&gt;=3,O144&gt;=1.5),"有効",IF(T144&gt;=3,"要確認","除外")))</f>
        <v/>
      </c>
      <c r="V144" s="176">
        <f>IF(AND(H144&lt;&gt;"",K144&lt;&gt;""),IF(H144&gt;=K144,"年初来高値更新●",IF(H144&gt;=K144*0.95,"高値圏","通常")),"")</f>
        <v/>
      </c>
      <c r="W144" s="615">
        <f t="array" ref="W144">IF(C144&lt;&gt;"",IFERROR(100-100/(1+SUMPRODUCT((終値!F34:R34&gt;終値!G34:S34)*( 終値!F34:R34-終値!G34:S34))/SUMPRODUCT((終値!F34:R34&lt;終値!G34:S34)*(終値!G34:S34-終値!F34:R34))),50),"")</f>
        <v/>
      </c>
      <c r="X144" s="183">
        <f>IF(C144&lt;&gt;"",IFERROR(SUMPRODUCT(終値!E34:P34,{0.154,0.132,0.113,0.097,0.083,0.071,0.061,0.052,0.045,0.038,0.033,0.028})/SUMPRODUCT({0.154,0.132,0.113,0.097,0.083,0.071,0.061,0.052,0.045,0.038,0.033,0.028})-SUMPRODUCT(終値!E34:AD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4" s="570">
        <f>IF(T144="","",IF(銘柄管理!$F$5="下落▼",IF(AND(AD144="パーフェクト▲",OR(AE144="25日線押し目●",AE144="5日線押し目○")),"★逆張り候補",IF(AND(AD144="上昇トレンド▲",OR(AE144="25日線押し目●",AE144="5日線押し目○")),"○逆張り候補",IF(W144&lt;=30,IF(Z144&gt;0,"◎反発確認",IF(Z144&lt;-5,"△要注意・様子見","△売られ過ぎ注目")),"相場下落・見送り"))),IF(AND(T144&gt;=12,AD144="パーフェクト▲"),"★強い買い",IF(AND(T144&gt;=12,AD144="上昇トレンド▲"),"★強い買い",IF(AND(T144&gt;=8,OR(AE144="25日線押し目●",AE144="5日線押し目○")),"◎押し目買い",IF(T144&gt;=10,"○買い候補",IF(T144&gt;=6,"△注目",IF(T144&gt;=3,"様子見","見送り"))))))))</f>
        <v/>
      </c>
      <c r="Z144" s="616">
        <f>IF(AND(E144&lt;&gt;"",G144&lt;&gt;"",G144&lt;&gt;0),(E144-G144)/G144*100,"")</f>
        <v/>
      </c>
      <c r="AA144" s="176">
        <f>IF(OR(C144="",E144="",E144=0),"",IF(E144&gt;G144,"上昇▲",IF(E144&lt;G144,"下落▼","横ばい→")))</f>
        <v/>
      </c>
      <c r="AB144" s="438">
        <f>IF(C144="","",IFERROR(((終値!E146*0.333)+(終値!F146*0.222)+(終値!G146*0.148)+(終値!H146*0.099)+(終値!I146*0.066)+(終値!J146*0.044)+(終値!K146*0.029)+(終値!L146*0.019)+(終値!M146*0.013)+(終値!N146*0.009))/(0.333+0.222+0.148+0.099+0.066+0.044+0.029+0.019+0.013+0.009),""))</f>
        <v/>
      </c>
      <c r="AC144" s="438">
        <f>IF(C144="","",IFERROR(SUMPRODUCT((終値!E146:AC146)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4" s="439">
        <f>IF(OR(C144="",AB144="",AC144=""),"",IF(AND(E144&gt;AB144,AB144&gt;AC144),"パーフェクト▲",IF(E144&gt;AC144,"上昇トレンド▲",IF(AND(E144&lt;AB144,AB144&lt;AC144),"下降トレンド▼","もみ合い→"))))</f>
        <v/>
      </c>
      <c r="AE144" s="439">
        <f>IF(OR(C144="",AB144="",AC144=""),"",IF(AND(ABS(E144-AC144)/AC144&lt;=0.02,E144&gt;AC144),"25日押し目★",IF(AND(ABS(E144-AB144)/AB144&lt;=0.01,E144&gt;AB144),"5日押し目○","なし")))</f>
        <v/>
      </c>
      <c r="AF144" s="617">
        <f t="array" ref="AF144">IF(C144="","",IFERROR((INDEX(終値!$E:$E,MATCH(TEXT(C144,"0"),終値!$A:$A,0))-INDEX(終値!$E:$BL,MATCH(TEXT(C144,"0"),終値!$A:$A,0),$AL$2))/INDEX(終値!$E:$BL,MATCH(TEXT(C144,"0"),終値!$A:$A,0),$AL$2)*100,""))</f>
        <v/>
      </c>
      <c r="AG144" s="617">
        <f t="array" ref="AG144">IFERROR((終値!$E$5-INDEX(終値!$E$5:$BL$5,1,$AL$2))/INDEX(終値!$E$5:$BL$5,1,$AL$2)*100,"")</f>
        <v/>
      </c>
      <c r="AH144" s="618">
        <f>IF(OR(AF144="",AG144=""),"",AF144-AG144)</f>
        <v/>
      </c>
      <c r="AI144" s="385">
        <f>IF(AH144="","",IF(AH144&gt;5,3,IF(AH144&gt;0,1,IF(AH144&gt;-3,-1,-2))))</f>
        <v/>
      </c>
    </row>
    <row r="145" ht="18" customHeight="1" s="574">
      <c r="A145" s="176">
        <f>IF(銘柄管理!B53&lt;&gt;"",HYPERLINK("https://kabutan.jp/stock/?code="&amp;銘柄管理!B53,"株探"),"")</f>
        <v/>
      </c>
      <c r="B145" s="177" t="n"/>
      <c r="C145" s="178">
        <f>IF(銘柄管理!B53="","",銘柄管理!B53)</f>
        <v/>
      </c>
      <c r="D145" s="106">
        <f>IF(銘柄管理!C53="","",銘柄管理!C53)</f>
        <v/>
      </c>
      <c r="E145" s="179">
        <f>IF(C145&lt;&gt;"",_xll.RssMarket(C145,"現在値"),"")</f>
        <v/>
      </c>
      <c r="F145" s="179">
        <f>IF(C145&lt;&gt;"",_xll.RssMarket(C145,"始値"),"")</f>
        <v/>
      </c>
      <c r="G145" s="178">
        <f>IF(C145&lt;&gt;"",終値!F53,"")</f>
        <v/>
      </c>
      <c r="H145" s="179">
        <f>IF(C145&lt;&gt;"",_xll.RssMarket(C145,"高値"),"")</f>
        <v/>
      </c>
      <c r="I145" s="179">
        <f>IF(C145&lt;&gt;"",_xll.RssMarket(C145,"安値"),"")</f>
        <v/>
      </c>
      <c r="J145" s="179">
        <f>IF(C145&lt;&gt;"",_xll.RssMarket(C145,"出来高"),"")</f>
        <v/>
      </c>
      <c r="K145" s="179">
        <f>IF(C145&lt;&gt;"",_xll.RssMarket(C145,"年初来高値"),"")</f>
        <v/>
      </c>
      <c r="L145" s="613">
        <f>IF(AND(E145&lt;&gt;"",K145&lt;&gt;"",K145&lt;&gt;0),(E145-K145)/K145*100,"")</f>
        <v/>
      </c>
      <c r="M145" s="179">
        <f>IF(C145&lt;&gt;"",IFERROR(AVERAGE(出来高!E53:I53),""),"")</f>
        <v/>
      </c>
      <c r="N145" s="179">
        <f>IF(C145&lt;&gt;"",IFERROR(AVERAGE(出来高!E53:AC53),""),"")</f>
        <v/>
      </c>
      <c r="O145" s="614">
        <f>IF(AND(J145&lt;&gt;"",M145&lt;&gt;"",M145&lt;&gt;0),J145/M145,"")</f>
        <v/>
      </c>
      <c r="P145" s="176">
        <f>IF(O145="","",IF(O145&gt;=2,"急増↑↑",IF(O145&gt;=1.5,"増加↑",IF(O145&gt;=1,"普通→","減少↓"))))</f>
        <v/>
      </c>
      <c r="Q145" s="176">
        <f>IF(E145="","",IF(AND(E145&gt;G145,O145&gt;=1.5),"買い▲",IF(E145&lt;G145,"様子見▼","中立→")))</f>
        <v/>
      </c>
      <c r="R145" s="179">
        <f>IF(E145&lt;&gt;"",ROUND(E145*1.08,0),"")</f>
        <v/>
      </c>
      <c r="S145" s="179">
        <f>IF(E145&lt;&gt;"",ROUND(E145*0.96,0),"")</f>
        <v/>
      </c>
      <c r="T145" s="176">
        <f>IF(C145="","",IFERROR(IF(O145&gt;=2,3,IF(O145&gt;=1.5,2,IF(O145&gt;=1,1,0)))+IF(E145&gt;G145,1,0)+IF(L145&gt;=-5,1,0)+IF(Q145="買い▲",2,0)+IF(W145&lt;=30,3,IF(W145&lt;=40,2,IF(AND(W145&gt;=40,W145&lt;=60),1,0)))+IF(X145&gt;0,1,0)+IF(V145="年初来高値更新●",3,IF(V145="高値圏",2,0))+IF(AD145="パーフェクト▲",3,IF(AD145="上昇トレンド▲",2,0))+IF(AE145="25日線押し目●",2,IF(AE145="5日線押し目○",1,0))+IF(P145="急増↑↑",2,IF(P145="増加↑",1,0))+N(AI145),0))</f>
        <v/>
      </c>
      <c r="U145" s="176">
        <f>IF(T145="","",IF(AND(T145&gt;=3,O145&gt;=1.5),"有効",IF(T145&gt;=3,"要確認","除外")))</f>
        <v/>
      </c>
      <c r="V145" s="176">
        <f>IF(AND(H145&lt;&gt;"",K145&lt;&gt;""),IF(H145&gt;=K145,"年初来高値更新●",IF(H145&gt;=K145*0.95,"高値圏","通常")),"")</f>
        <v/>
      </c>
      <c r="W145" s="615">
        <f t="array" ref="W145">IF(C145&lt;&gt;"",IFERROR(100-100/(1+SUMPRODUCT((終値!F53:R53&gt;終値!G53:S53)*( 終値!F53:R53-終値!G53:S53))/SUMPRODUCT((終値!F53:R53&lt;終値!G53:S53)*(終値!G53:S53-終値!F53:R53))),50),"")</f>
        <v/>
      </c>
      <c r="X145" s="183">
        <f>IF(C145&lt;&gt;"",IFERROR(SUMPRODUCT(終値!E53:P53,{0.154,0.132,0.113,0.097,0.083,0.071,0.061,0.052,0.045,0.038,0.033,0.028})/SUMPRODUCT({0.154,0.132,0.113,0.097,0.083,0.071,0.061,0.052,0.045,0.038,0.033,0.028})-SUMPRODUCT(終値!E53:AD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5" s="570">
        <f>IF(T145="","",IF(銘柄管理!$F$5="下落▼",IF(AND(AD145="パーフェクト▲",OR(AE145="25日線押し目●",AE145="5日線押し目○")),"★逆張り候補",IF(AND(AD145="上昇トレンド▲",OR(AE145="25日線押し目●",AE145="5日線押し目○")),"○逆張り候補",IF(W145&lt;=30,IF(Z145&gt;0,"◎反発確認",IF(Z145&lt;-5,"△要注意・様子見","△売られ過ぎ注目")),"相場下落・見送り"))),IF(AND(T145&gt;=12,AD145="パーフェクト▲"),"★強い買い",IF(AND(T145&gt;=12,AD145="上昇トレンド▲"),"★強い買い",IF(AND(T145&gt;=8,OR(AE145="25日線押し目●",AE145="5日線押し目○")),"◎押し目買い",IF(T145&gt;=10,"○買い候補",IF(T145&gt;=6,"△注目",IF(T145&gt;=3,"様子見","見送り"))))))))</f>
        <v/>
      </c>
      <c r="Z145" s="616">
        <f>IF(AND(E145&lt;&gt;"",G145&lt;&gt;"",G145&lt;&gt;0),(E145-G145)/G145*100,"")</f>
        <v/>
      </c>
      <c r="AA145" s="176">
        <f>IF(OR(C145="",E145="",E145=0),"",IF(E145&gt;G145,"上昇▲",IF(E145&lt;G145,"下落▼","横ばい→")))</f>
        <v/>
      </c>
      <c r="AB145" s="440">
        <f>IF(C145="","",IFERROR(((終値!E147*0.333)+(終値!F147*0.222)+(終値!G147*0.148)+(終値!H147*0.099)+(終値!I147*0.066)+(終値!J147*0.044)+(終値!K147*0.029)+(終値!L147*0.019)+(終値!M147*0.013)+(終値!N147*0.009))/(0.333+0.222+0.148+0.099+0.066+0.044+0.029+0.019+0.013+0.009),""))</f>
        <v/>
      </c>
      <c r="AC145" s="440">
        <f>IF(C145="","",IFERROR(SUMPRODUCT((終値!E147:AC147)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5" s="441">
        <f>IF(OR(C145="",AB145="",AC145=""),"",IF(AND(E145&gt;AB145,AB145&gt;AC145),"パーフェクト▲",IF(E145&gt;AC145,"上昇トレンド▲",IF(AND(E145&lt;AB145,AB145&lt;AC145),"下降トレンド▼","もみ合い→"))))</f>
        <v/>
      </c>
      <c r="AE145" s="441">
        <f>IF(OR(C145="",AB145="",AC145=""),"",IF(AND(ABS(E145-AC145)/AC145&lt;=0.02,E145&gt;AC145),"25日押し目★",IF(AND(ABS(E145-AB145)/AB145&lt;=0.01,E145&gt;AB145),"5日押し目○","なし")))</f>
        <v/>
      </c>
      <c r="AF145" s="617">
        <f t="array" ref="AF145">IF(C145="","",IFERROR((INDEX(終値!$E:$E,MATCH(TEXT(C145,"0"),終値!$A:$A,0))-INDEX(終値!$E:$BL,MATCH(TEXT(C145,"0"),終値!$A:$A,0),$AL$2))/INDEX(終値!$E:$BL,MATCH(TEXT(C145,"0"),終値!$A:$A,0),$AL$2)*100,""))</f>
        <v/>
      </c>
      <c r="AG145" s="617">
        <f t="array" ref="AG145">IFERROR((終値!$E$5-INDEX(終値!$E$5:$BL$5,1,$AL$2))/INDEX(終値!$E$5:$BL$5,1,$AL$2)*100,"")</f>
        <v/>
      </c>
      <c r="AH145" s="618">
        <f>IF(OR(AF145="",AG145=""),"",AF145-AG145)</f>
        <v/>
      </c>
      <c r="AI145" s="385">
        <f>IF(AH145="","",IF(AH145&gt;5,3,IF(AH145&gt;0,1,IF(AH145&gt;-3,-1,-2))))</f>
        <v/>
      </c>
    </row>
    <row r="146" ht="18" customHeight="1" s="574">
      <c r="A146" s="176">
        <f>IF(銘柄管理!B15&lt;&gt;"",HYPERLINK("https://kabutan.jp/stock/?code="&amp;銘柄管理!B15,"株探"),"")</f>
        <v/>
      </c>
      <c r="B146" s="177" t="n"/>
      <c r="C146" s="178">
        <f>IF(銘柄管理!B15="","",銘柄管理!B15)</f>
        <v/>
      </c>
      <c r="D146" s="106">
        <f>IF(銘柄管理!C15="","",銘柄管理!C15)</f>
        <v/>
      </c>
      <c r="E146" s="179">
        <f>IF(C146&lt;&gt;"",_xll.RssMarket(C146,"現在値"),"")</f>
        <v/>
      </c>
      <c r="F146" s="179">
        <f>IF(C146&lt;&gt;"",_xll.RssMarket(C146,"始値"),"")</f>
        <v/>
      </c>
      <c r="G146" s="178">
        <f>IF(C146&lt;&gt;"",終値!F15,"")</f>
        <v/>
      </c>
      <c r="H146" s="179">
        <f>IF(C146&lt;&gt;"",_xll.RssMarket(C146,"高値"),"")</f>
        <v/>
      </c>
      <c r="I146" s="179">
        <f>IF(C146&lt;&gt;"",_xll.RssMarket(C146,"安値"),"")</f>
        <v/>
      </c>
      <c r="J146" s="179">
        <f>IF(C146&lt;&gt;"",_xll.RssMarket(C146,"出来高"),"")</f>
        <v/>
      </c>
      <c r="K146" s="179">
        <f>IF(C146&lt;&gt;"",_xll.RssMarket(C146,"年初来高値"),"")</f>
        <v/>
      </c>
      <c r="L146" s="613">
        <f>IF(AND(E146&lt;&gt;"",K146&lt;&gt;"",K146&lt;&gt;0),(E146-K146)/K146*100,"")</f>
        <v/>
      </c>
      <c r="M146" s="179">
        <f>IF(C146&lt;&gt;"",IFERROR(AVERAGE(出来高!E15:I15),""),"")</f>
        <v/>
      </c>
      <c r="N146" s="179">
        <f>IF(C146&lt;&gt;"",IFERROR(AVERAGE(出来高!E15:AC15),""),"")</f>
        <v/>
      </c>
      <c r="O146" s="614">
        <f>IF(AND(J146&lt;&gt;"",M146&lt;&gt;"",M146&lt;&gt;0),J146/M146,"")</f>
        <v/>
      </c>
      <c r="P146" s="176">
        <f>IF(O146="","",IF(O146&gt;=2,"急増↑↑",IF(O146&gt;=1.5,"増加↑",IF(O146&gt;=1,"普通→","減少↓"))))</f>
        <v/>
      </c>
      <c r="Q146" s="176">
        <f>IF(E146="","",IF(AND(E146&gt;G146,O146&gt;=1.5),"買い▲",IF(E146&lt;G146,"様子見▼","中立→")))</f>
        <v/>
      </c>
      <c r="R146" s="179">
        <f>IF(E146&lt;&gt;"",ROUND(E146*1.08,0),"")</f>
        <v/>
      </c>
      <c r="S146" s="179">
        <f>IF(E146&lt;&gt;"",ROUND(E146*0.96,0),"")</f>
        <v/>
      </c>
      <c r="T146" s="176">
        <f>IF(C146="","",IFERROR(IF(O146&gt;=2,3,IF(O146&gt;=1.5,2,IF(O146&gt;=1,1,0)))+IF(E146&gt;G146,1,0)+IF(L146&gt;=-5,1,0)+IF(Q146="買い▲",2,0)+IF(W146&lt;=30,3,IF(W146&lt;=40,2,IF(AND(W146&gt;=40,W146&lt;=60),1,0)))+IF(X146&gt;0,1,0)+IF(V146="年初来高値更新●",3,IF(V146="高値圏",2,0))+IF(AD146="パーフェクト▲",3,IF(AD146="上昇トレンド▲",2,0))+IF(AE146="25日線押し目●",2,IF(AE146="5日線押し目○",1,0))+IF(P146="急増↑↑",2,IF(P146="増加↑",1,0))+N(AI146),0))</f>
        <v/>
      </c>
      <c r="U146" s="176">
        <f>IF(T146="","",IF(AND(T146&gt;=3,O146&gt;=1.5),"有効",IF(T146&gt;=3,"要確認","除外")))</f>
        <v/>
      </c>
      <c r="V146" s="176">
        <f>IF(AND(H146&lt;&gt;"",K146&lt;&gt;""),IF(H146&gt;=K146,"年初来高値更新●",IF(H146&gt;=K146*0.95,"高値圏","通常")),"")</f>
        <v/>
      </c>
      <c r="W146" s="615">
        <f t="array" ref="W146">IF(C146&lt;&gt;"",IFERROR(100-100/(1+SUMPRODUCT((終値!F15:R15&gt;終値!G15:S15)*( 終値!F15:R15-終値!G15:S15))/SUMPRODUCT((終値!F15:R15&lt;終値!G15:S15)*(終値!G15:S15-終値!F15:R15))),50),"")</f>
        <v/>
      </c>
      <c r="X146" s="183">
        <f>IF(C146&lt;&gt;"",IFERROR(SUMPRODUCT(終値!E15:P15,{0.154,0.132,0.113,0.097,0.083,0.071,0.061,0.052,0.045,0.038,0.033,0.028})/SUMPRODUCT({0.154,0.132,0.113,0.097,0.083,0.071,0.061,0.052,0.045,0.038,0.033,0.028})-SUMPRODUCT(終値!E15:AD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6" s="570">
        <f>IF(T146="","",IF(銘柄管理!$F$5="下落▼",IF(AND(AD146="パーフェクト▲",OR(AE146="25日線押し目●",AE146="5日線押し目○")),"★逆張り候補",IF(AND(AD146="上昇トレンド▲",OR(AE146="25日線押し目●",AE146="5日線押し目○")),"○逆張り候補",IF(W146&lt;=30,IF(Z146&gt;0,"◎反発確認",IF(Z146&lt;-5,"△要注意・様子見","△売られ過ぎ注目")),"相場下落・見送り"))),IF(AND(T146&gt;=12,AD146="パーフェクト▲"),"★強い買い",IF(AND(T146&gt;=12,AD146="上昇トレンド▲"),"★強い買い",IF(AND(T146&gt;=8,OR(AE146="25日線押し目●",AE146="5日線押し目○")),"◎押し目買い",IF(T146&gt;=10,"○買い候補",IF(T146&gt;=6,"△注目",IF(T146&gt;=3,"様子見","見送り"))))))))</f>
        <v/>
      </c>
      <c r="Z146" s="616">
        <f>IF(AND(E146&lt;&gt;"",G146&lt;&gt;"",G146&lt;&gt;0),(E146-G146)/G146*100,"")</f>
        <v/>
      </c>
      <c r="AA146" s="176">
        <f>IF(OR(C146="",E146="",E146=0),"",IF(E146&gt;G146,"上昇▲",IF(E146&lt;G146,"下落▼","横ばい→")))</f>
        <v/>
      </c>
      <c r="AB146" s="438">
        <f>IF(C146="","",IFERROR(((終値!E148*0.333)+(終値!F148*0.222)+(終値!G148*0.148)+(終値!H148*0.099)+(終値!I148*0.066)+(終値!J148*0.044)+(終値!K148*0.029)+(終値!L148*0.019)+(終値!M148*0.013)+(終値!N148*0.009))/(0.333+0.222+0.148+0.099+0.066+0.044+0.029+0.019+0.013+0.009),""))</f>
        <v/>
      </c>
      <c r="AC146" s="438">
        <f>IF(C146="","",IFERROR(SUMPRODUCT((終値!E148:AC148)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6" s="439">
        <f>IF(OR(C146="",AB146="",AC146=""),"",IF(AND(E146&gt;AB146,AB146&gt;AC146),"パーフェクト▲",IF(E146&gt;AC146,"上昇トレンド▲",IF(AND(E146&lt;AB146,AB146&lt;AC146),"下降トレンド▼","もみ合い→"))))</f>
        <v/>
      </c>
      <c r="AE146" s="439">
        <f>IF(OR(C146="",AB146="",AC146=""),"",IF(AND(ABS(E146-AC146)/AC146&lt;=0.02,E146&gt;AC146),"25日押し目★",IF(AND(ABS(E146-AB146)/AB146&lt;=0.01,E146&gt;AB146),"5日押し目○","なし")))</f>
        <v/>
      </c>
      <c r="AF146" s="617">
        <f t="array" ref="AF146">IF(C146="","",IFERROR((INDEX(終値!$E:$E,MATCH(TEXT(C146,"0"),終値!$A:$A,0))-INDEX(終値!$E:$BL,MATCH(TEXT(C146,"0"),終値!$A:$A,0),$AL$2))/INDEX(終値!$E:$BL,MATCH(TEXT(C146,"0"),終値!$A:$A,0),$AL$2)*100,""))</f>
        <v/>
      </c>
      <c r="AG146" s="617">
        <f t="array" ref="AG146">IFERROR((終値!$E$5-INDEX(終値!$E$5:$BL$5,1,$AL$2))/INDEX(終値!$E$5:$BL$5,1,$AL$2)*100,"")</f>
        <v/>
      </c>
      <c r="AH146" s="618">
        <f>IF(OR(AF146="",AG146=""),"",AF146-AG146)</f>
        <v/>
      </c>
      <c r="AI146" s="385">
        <f>IF(AH146="","",IF(AH146&gt;5,3,IF(AH146&gt;0,1,IF(AH146&gt;-3,-1,-2))))</f>
        <v/>
      </c>
    </row>
    <row r="147" ht="18" customHeight="1" s="574">
      <c r="A147" s="176">
        <f>IF(銘柄管理!B29&lt;&gt;"",HYPERLINK("https://kabutan.jp/stock/?code="&amp;銘柄管理!B29,"株探"),"")</f>
        <v/>
      </c>
      <c r="B147" s="177" t="n"/>
      <c r="C147" s="178">
        <f>IF(銘柄管理!B29="","",銘柄管理!B29)</f>
        <v/>
      </c>
      <c r="D147" s="106">
        <f>IF(銘柄管理!C29="","",銘柄管理!C29)</f>
        <v/>
      </c>
      <c r="E147" s="179">
        <f>IF(C147&lt;&gt;"",_xll.RssMarket(C147,"現在値"),"")</f>
        <v/>
      </c>
      <c r="F147" s="179">
        <f>IF(C147&lt;&gt;"",_xll.RssMarket(C147,"始値"),"")</f>
        <v/>
      </c>
      <c r="G147" s="178">
        <f>IF(C147&lt;&gt;"",終値!F29,"")</f>
        <v/>
      </c>
      <c r="H147" s="179">
        <f>IF(C147&lt;&gt;"",_xll.RssMarket(C147,"高値"),"")</f>
        <v/>
      </c>
      <c r="I147" s="179">
        <f>IF(C147&lt;&gt;"",_xll.RssMarket(C147,"安値"),"")</f>
        <v/>
      </c>
      <c r="J147" s="179">
        <f>IF(C147&lt;&gt;"",_xll.RssMarket(C147,"出来高"),"")</f>
        <v/>
      </c>
      <c r="K147" s="179">
        <f>IF(C147&lt;&gt;"",_xll.RssMarket(C147,"年初来高値"),"")</f>
        <v/>
      </c>
      <c r="L147" s="613">
        <f>IF(AND(E147&lt;&gt;"",K147&lt;&gt;"",K147&lt;&gt;0),(E147-K147)/K147*100,"")</f>
        <v/>
      </c>
      <c r="M147" s="179">
        <f>IF(C147&lt;&gt;"",IFERROR(AVERAGE(出来高!E29:I29),""),"")</f>
        <v/>
      </c>
      <c r="N147" s="179">
        <f>IF(C147&lt;&gt;"",IFERROR(AVERAGE(出来高!E29:AC29),""),"")</f>
        <v/>
      </c>
      <c r="O147" s="614">
        <f>IF(AND(J147&lt;&gt;"",M147&lt;&gt;"",M147&lt;&gt;0),J147/M147,"")</f>
        <v/>
      </c>
      <c r="P147" s="176">
        <f>IF(O147="","",IF(O147&gt;=2,"急増↑↑",IF(O147&gt;=1.5,"増加↑",IF(O147&gt;=1,"普通→","減少↓"))))</f>
        <v/>
      </c>
      <c r="Q147" s="176">
        <f>IF(E147="","",IF(AND(E147&gt;G147,O147&gt;=1.5),"買い▲",IF(E147&lt;G147,"様子見▼","中立→")))</f>
        <v/>
      </c>
      <c r="R147" s="179">
        <f>IF(E147&lt;&gt;"",ROUND(E147*1.08,0),"")</f>
        <v/>
      </c>
      <c r="S147" s="179">
        <f>IF(E147&lt;&gt;"",ROUND(E147*0.96,0),"")</f>
        <v/>
      </c>
      <c r="T147" s="176">
        <f>IF(C147="","",IFERROR(IF(O147&gt;=2,3,IF(O147&gt;=1.5,2,IF(O147&gt;=1,1,0)))+IF(E147&gt;G147,1,0)+IF(L147&gt;=-5,1,0)+IF(Q147="買い▲",2,0)+IF(W147&lt;=30,3,IF(W147&lt;=40,2,IF(AND(W147&gt;=40,W147&lt;=60),1,0)))+IF(X147&gt;0,1,0)+IF(V147="年初来高値更新●",3,IF(V147="高値圏",2,0))+IF(AD147="パーフェクト▲",3,IF(AD147="上昇トレンド▲",2,0))+IF(AE147="25日線押し目●",2,IF(AE147="5日線押し目○",1,0))+IF(P147="急増↑↑",2,IF(P147="増加↑",1,0))+N(AI147),0))</f>
        <v/>
      </c>
      <c r="U147" s="176">
        <f>IF(T147="","",IF(AND(T147&gt;=3,O147&gt;=1.5),"有効",IF(T147&gt;=3,"要確認","除外")))</f>
        <v/>
      </c>
      <c r="V147" s="176">
        <f>IF(AND(H147&lt;&gt;"",K147&lt;&gt;""),IF(H147&gt;=K147,"年初来高値更新●",IF(H147&gt;=K147*0.95,"高値圏","通常")),"")</f>
        <v/>
      </c>
      <c r="W147" s="615">
        <f t="array" ref="W147">IF(C147&lt;&gt;"",IFERROR(100-100/(1+SUMPRODUCT((終値!F29:R29&gt;終値!G29:S29)*( 終値!F29:R29-終値!G29:S29))/SUMPRODUCT((終値!F29:R29&lt;終値!G29:S29)*(終値!G29:S29-終値!F29:R29))),50),"")</f>
        <v/>
      </c>
      <c r="X147" s="183">
        <f>IF(C147&lt;&gt;"",IFERROR(SUMPRODUCT(終値!E29:P29,{0.154,0.132,0.113,0.097,0.083,0.071,0.061,0.052,0.045,0.038,0.033,0.028})/SUMPRODUCT({0.154,0.132,0.113,0.097,0.083,0.071,0.061,0.052,0.045,0.038,0.033,0.028})-SUMPRODUCT(終値!E29:AD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7" s="570">
        <f>IF(T147="","",IF(銘柄管理!$F$5="下落▼",IF(AND(AD147="パーフェクト▲",OR(AE147="25日線押し目●",AE147="5日線押し目○")),"★逆張り候補",IF(AND(AD147="上昇トレンド▲",OR(AE147="25日線押し目●",AE147="5日線押し目○")),"○逆張り候補",IF(W147&lt;=30,IF(Z147&gt;0,"◎反発確認",IF(Z147&lt;-5,"△要注意・様子見","△売られ過ぎ注目")),"相場下落・見送り"))),IF(AND(T147&gt;=12,AD147="パーフェクト▲"),"★強い買い",IF(AND(T147&gt;=12,AD147="上昇トレンド▲"),"★強い買い",IF(AND(T147&gt;=8,OR(AE147="25日線押し目●",AE147="5日線押し目○")),"◎押し目買い",IF(T147&gt;=10,"○買い候補",IF(T147&gt;=6,"△注目",IF(T147&gt;=3,"様子見","見送り"))))))))</f>
        <v/>
      </c>
      <c r="Z147" s="616">
        <f>IF(AND(E147&lt;&gt;"",G147&lt;&gt;"",G147&lt;&gt;0),(E147-G147)/G147*100,"")</f>
        <v/>
      </c>
      <c r="AA147" s="176">
        <f>IF(OR(C147="",E147="",E147=0),"",IF(E147&gt;G147,"上昇▲",IF(E147&lt;G147,"下落▼","横ばい→")))</f>
        <v/>
      </c>
      <c r="AB147" s="440">
        <f>IF(C147="","",IFERROR(((終値!E149*0.333)+(終値!F149*0.222)+(終値!G149*0.148)+(終値!H149*0.099)+(終値!I149*0.066)+(終値!J149*0.044)+(終値!K149*0.029)+(終値!L149*0.019)+(終値!M149*0.013)+(終値!N149*0.009))/(0.333+0.222+0.148+0.099+0.066+0.044+0.029+0.019+0.013+0.009),""))</f>
        <v/>
      </c>
      <c r="AC147" s="440">
        <f>IF(C147="","",IFERROR(SUMPRODUCT((終値!E149:AC149)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7" s="441">
        <f>IF(OR(C147="",AB147="",AC147=""),"",IF(AND(E147&gt;AB147,AB147&gt;AC147),"パーフェクト▲",IF(E147&gt;AC147,"上昇トレンド▲",IF(AND(E147&lt;AB147,AB147&lt;AC147),"下降トレンド▼","もみ合い→"))))</f>
        <v/>
      </c>
      <c r="AE147" s="441">
        <f>IF(OR(C147="",AB147="",AC147=""),"",IF(AND(ABS(E147-AC147)/AC147&lt;=0.02,E147&gt;AC147),"25日押し目★",IF(AND(ABS(E147-AB147)/AB147&lt;=0.01,E147&gt;AB147),"5日押し目○","なし")))</f>
        <v/>
      </c>
      <c r="AF147" s="617">
        <f t="array" ref="AF147">IF(C147="","",IFERROR((INDEX(終値!$E:$E,MATCH(TEXT(C147,"0"),終値!$A:$A,0))-INDEX(終値!$E:$BL,MATCH(TEXT(C147,"0"),終値!$A:$A,0),$AL$2))/INDEX(終値!$E:$BL,MATCH(TEXT(C147,"0"),終値!$A:$A,0),$AL$2)*100,""))</f>
        <v/>
      </c>
      <c r="AG147" s="617">
        <f t="array" ref="AG147">IFERROR((終値!$E$5-INDEX(終値!$E$5:$BL$5,1,$AL$2))/INDEX(終値!$E$5:$BL$5,1,$AL$2)*100,"")</f>
        <v/>
      </c>
      <c r="AH147" s="618">
        <f>IF(OR(AF147="",AG147=""),"",AF147-AG147)</f>
        <v/>
      </c>
      <c r="AI147" s="385">
        <f>IF(AH147="","",IF(AH147&gt;5,3,IF(AH147&gt;0,1,IF(AH147&gt;-3,-1,-2))))</f>
        <v/>
      </c>
    </row>
    <row r="148" ht="18" customHeight="1" s="574">
      <c r="A148" s="176">
        <f>IF(銘柄管理!B24&lt;&gt;"",HYPERLINK("https://kabutan.jp/stock/?code="&amp;銘柄管理!B24,"株探"),"")</f>
        <v/>
      </c>
      <c r="B148" s="177" t="n"/>
      <c r="C148" s="178">
        <f>IF(銘柄管理!B24="","",銘柄管理!B24)</f>
        <v/>
      </c>
      <c r="D148" s="106">
        <f>IF(銘柄管理!C24="","",銘柄管理!C24)</f>
        <v/>
      </c>
      <c r="E148" s="179">
        <f>IF(C148&lt;&gt;"",_xll.RssMarket(C148,"現在値"),"")</f>
        <v/>
      </c>
      <c r="F148" s="179">
        <f>IF(C148&lt;&gt;"",_xll.RssMarket(C148,"始値"),"")</f>
        <v/>
      </c>
      <c r="G148" s="178">
        <f>IF(C148&lt;&gt;"",終値!F24,"")</f>
        <v/>
      </c>
      <c r="H148" s="179">
        <f>IF(C148&lt;&gt;"",_xll.RssMarket(C148,"高値"),"")</f>
        <v/>
      </c>
      <c r="I148" s="179">
        <f>IF(C148&lt;&gt;"",_xll.RssMarket(C148,"安値"),"")</f>
        <v/>
      </c>
      <c r="J148" s="179">
        <f>IF(C148&lt;&gt;"",_xll.RssMarket(C148,"出来高"),"")</f>
        <v/>
      </c>
      <c r="K148" s="179">
        <f>IF(C148&lt;&gt;"",_xll.RssMarket(C148,"年初来高値"),"")</f>
        <v/>
      </c>
      <c r="L148" s="613">
        <f>IF(AND(E148&lt;&gt;"",K148&lt;&gt;"",K148&lt;&gt;0),(E148-K148)/K148*100,"")</f>
        <v/>
      </c>
      <c r="M148" s="179">
        <f>IF(C148&lt;&gt;"",IFERROR(AVERAGE(出来高!E24:I24),""),"")</f>
        <v/>
      </c>
      <c r="N148" s="179">
        <f>IF(C148&lt;&gt;"",IFERROR(AVERAGE(出来高!E24:AC24),""),"")</f>
        <v/>
      </c>
      <c r="O148" s="614">
        <f>IF(AND(J148&lt;&gt;"",M148&lt;&gt;"",M148&lt;&gt;0),J148/M148,"")</f>
        <v/>
      </c>
      <c r="P148" s="176">
        <f>IF(O148="","",IF(O148&gt;=2,"急増↑↑",IF(O148&gt;=1.5,"増加↑",IF(O148&gt;=1,"普通→","減少↓"))))</f>
        <v/>
      </c>
      <c r="Q148" s="176">
        <f>IF(E148="","",IF(AND(E148&gt;G148,O148&gt;=1.5),"買い▲",IF(E148&lt;G148,"様子見▼","中立→")))</f>
        <v/>
      </c>
      <c r="R148" s="179">
        <f>IF(E148&lt;&gt;"",ROUND(E148*1.08,0),"")</f>
        <v/>
      </c>
      <c r="S148" s="179">
        <f>IF(E148&lt;&gt;"",ROUND(E148*0.96,0),"")</f>
        <v/>
      </c>
      <c r="T148" s="176">
        <f>IF(C148="","",IFERROR(IF(O148&gt;=2,3,IF(O148&gt;=1.5,2,IF(O148&gt;=1,1,0)))+IF(E148&gt;G148,1,0)+IF(L148&gt;=-5,1,0)+IF(Q148="買い▲",2,0)+IF(W148&lt;=30,3,IF(W148&lt;=40,2,IF(AND(W148&gt;=40,W148&lt;=60),1,0)))+IF(X148&gt;0,1,0)+IF(V148="年初来高値更新●",3,IF(V148="高値圏",2,0))+IF(AD148="パーフェクト▲",3,IF(AD148="上昇トレンド▲",2,0))+IF(AE148="25日線押し目●",2,IF(AE148="5日線押し目○",1,0))+IF(P148="急増↑↑",2,IF(P148="増加↑",1,0))+N(AI148),0))</f>
        <v/>
      </c>
      <c r="U148" s="176">
        <f>IF(T148="","",IF(AND(T148&gt;=3,O148&gt;=1.5),"有効",IF(T148&gt;=3,"要確認","除外")))</f>
        <v/>
      </c>
      <c r="V148" s="176">
        <f>IF(AND(H148&lt;&gt;"",K148&lt;&gt;""),IF(H148&gt;=K148,"年初来高値更新●",IF(H148&gt;=K148*0.95,"高値圏","通常")),"")</f>
        <v/>
      </c>
      <c r="W148" s="615">
        <f t="array" ref="W148">IF(C148&lt;&gt;"",IFERROR(100-100/(1+SUMPRODUCT((終値!F24:R24&gt;終値!G24:S24)*( 終値!F24:R24-終値!G24:S24))/SUMPRODUCT((終値!F24:R24&lt;終値!G24:S24)*(終値!G24:S24-終値!F24:R24))),50),"")</f>
        <v/>
      </c>
      <c r="X148" s="183">
        <f>IF(C148&lt;&gt;"",IFERROR(SUMPRODUCT(終値!E24:P24,{0.154,0.132,0.113,0.097,0.083,0.071,0.061,0.052,0.045,0.038,0.033,0.028})/SUMPRODUCT({0.154,0.132,0.113,0.097,0.083,0.071,0.061,0.052,0.045,0.038,0.033,0.028})-SUMPRODUCT(終値!E24:AD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8" s="570">
        <f>IF(T148="","",IF(銘柄管理!$F$5="下落▼",IF(AND(AD148="パーフェクト▲",OR(AE148="25日線押し目●",AE148="5日線押し目○")),"★逆張り候補",IF(AND(AD148="上昇トレンド▲",OR(AE148="25日線押し目●",AE148="5日線押し目○")),"○逆張り候補",IF(W148&lt;=30,IF(Z148&gt;0,"◎反発確認",IF(Z148&lt;-5,"△要注意・様子見","△売られ過ぎ注目")),"相場下落・見送り"))),IF(AND(T148&gt;=12,AD148="パーフェクト▲"),"★強い買い",IF(AND(T148&gt;=12,AD148="上昇トレンド▲"),"★強い買い",IF(AND(T148&gt;=8,OR(AE148="25日線押し目●",AE148="5日線押し目○")),"◎押し目買い",IF(T148&gt;=10,"○買い候補",IF(T148&gt;=6,"△注目",IF(T148&gt;=3,"様子見","見送り"))))))))</f>
        <v/>
      </c>
      <c r="Z148" s="616">
        <f>IF(AND(E148&lt;&gt;"",G148&lt;&gt;"",G148&lt;&gt;0),(E148-G148)/G148*100,"")</f>
        <v/>
      </c>
      <c r="AA148" s="176">
        <f>IF(OR(C148="",E148="",E148=0),"",IF(E148&gt;G148,"上昇▲",IF(E148&lt;G148,"下落▼","横ばい→")))</f>
        <v/>
      </c>
      <c r="AB148" s="438">
        <f>IF(C148="","",IFERROR(((終値!E150*0.333)+(終値!F150*0.222)+(終値!G150*0.148)+(終値!H150*0.099)+(終値!I150*0.066)+(終値!J150*0.044)+(終値!K150*0.029)+(終値!L150*0.019)+(終値!M150*0.013)+(終値!N150*0.009))/(0.333+0.222+0.148+0.099+0.066+0.044+0.029+0.019+0.013+0.009),""))</f>
        <v/>
      </c>
      <c r="AC148" s="438">
        <f>IF(C148="","",IFERROR(SUMPRODUCT((終値!E150:AC150)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8" s="439">
        <f>IF(OR(C148="",AB148="",AC148=""),"",IF(AND(E148&gt;AB148,AB148&gt;AC148),"パーフェクト▲",IF(E148&gt;AC148,"上昇トレンド▲",IF(AND(E148&lt;AB148,AB148&lt;AC148),"下降トレンド▼","もみ合い→"))))</f>
        <v/>
      </c>
      <c r="AE148" s="439">
        <f>IF(OR(C148="",AB148="",AC148=""),"",IF(AND(ABS(E148-AC148)/AC148&lt;=0.02,E148&gt;AC148),"25日押し目★",IF(AND(ABS(E148-AB148)/AB148&lt;=0.01,E148&gt;AB148),"5日押し目○","なし")))</f>
        <v/>
      </c>
      <c r="AF148" s="617">
        <f t="array" ref="AF148">IF(C148="","",IFERROR((INDEX(終値!$E:$E,MATCH(TEXT(C148,"0"),終値!$A:$A,0))-INDEX(終値!$E:$BL,MATCH(TEXT(C148,"0"),終値!$A:$A,0),$AL$2))/INDEX(終値!$E:$BL,MATCH(TEXT(C148,"0"),終値!$A:$A,0),$AL$2)*100,""))</f>
        <v/>
      </c>
      <c r="AG148" s="617">
        <f t="array" ref="AG148">IFERROR((終値!$E$5-INDEX(終値!$E$5:$BL$5,1,$AL$2))/INDEX(終値!$E$5:$BL$5,1,$AL$2)*100,"")</f>
        <v/>
      </c>
      <c r="AH148" s="618">
        <f>IF(OR(AF148="",AG148=""),"",AF148-AG148)</f>
        <v/>
      </c>
      <c r="AI148" s="385">
        <f>IF(AH148="","",IF(AH148&gt;5,3,IF(AH148&gt;0,1,IF(AH148&gt;-3,-1,-2))))</f>
        <v/>
      </c>
    </row>
    <row r="149" ht="18" customHeight="1" s="574">
      <c r="A149" s="176">
        <f>IF(銘柄管理!B69&lt;&gt;"",HYPERLINK("https://kabutan.jp/stock/?code="&amp;銘柄管理!B69,"株探"),"")</f>
        <v/>
      </c>
      <c r="B149" s="177" t="n"/>
      <c r="C149" s="178">
        <f>IF(銘柄管理!B69="","",銘柄管理!B69)</f>
        <v/>
      </c>
      <c r="D149" s="106">
        <f>IF(銘柄管理!C69="","",銘柄管理!C69)</f>
        <v/>
      </c>
      <c r="E149" s="179">
        <f>IF(C149&lt;&gt;"",_xll.RssMarket(C149,"現在値"),"")</f>
        <v/>
      </c>
      <c r="F149" s="179">
        <f>IF(C149&lt;&gt;"",_xll.RssMarket(C149,"始値"),"")</f>
        <v/>
      </c>
      <c r="G149" s="178">
        <f>IF(C149&lt;&gt;"",終値!F69,"")</f>
        <v/>
      </c>
      <c r="H149" s="179">
        <f>IF(C149&lt;&gt;"",_xll.RssMarket(C149,"高値"),"")</f>
        <v/>
      </c>
      <c r="I149" s="179">
        <f>IF(C149&lt;&gt;"",_xll.RssMarket(C149,"安値"),"")</f>
        <v/>
      </c>
      <c r="J149" s="179">
        <f>IF(C149&lt;&gt;"",_xll.RssMarket(C149,"出来高"),"")</f>
        <v/>
      </c>
      <c r="K149" s="179">
        <f>IF(C149&lt;&gt;"",_xll.RssMarket(C149,"年初来高値"),"")</f>
        <v/>
      </c>
      <c r="L149" s="613">
        <f>IF(AND(E149&lt;&gt;"",K149&lt;&gt;"",K149&lt;&gt;0),(E149-K149)/K149*100,"")</f>
        <v/>
      </c>
      <c r="M149" s="179">
        <f>IF(C149&lt;&gt;"",IFERROR(AVERAGE(出来高!E69:I69),""),"")</f>
        <v/>
      </c>
      <c r="N149" s="179">
        <f>IF(C149&lt;&gt;"",IFERROR(AVERAGE(出来高!E69:AC69),""),"")</f>
        <v/>
      </c>
      <c r="O149" s="614">
        <f>IF(AND(J149&lt;&gt;"",M149&lt;&gt;"",M149&lt;&gt;0),J149/M149,"")</f>
        <v/>
      </c>
      <c r="P149" s="176">
        <f>IF(O149="","",IF(O149&gt;=2,"急増↑↑",IF(O149&gt;=1.5,"増加↑",IF(O149&gt;=1,"普通→","減少↓"))))</f>
        <v/>
      </c>
      <c r="Q149" s="176">
        <f>IF(E149="","",IF(AND(E149&gt;G149,O149&gt;=1.5),"買い▲",IF(E149&lt;G149,"様子見▼","中立→")))</f>
        <v/>
      </c>
      <c r="R149" s="179">
        <f>IF(E149&lt;&gt;"",ROUND(E149*1.08,0),"")</f>
        <v/>
      </c>
      <c r="S149" s="179">
        <f>IF(E149&lt;&gt;"",ROUND(E149*0.96,0),"")</f>
        <v/>
      </c>
      <c r="T149" s="176">
        <f>IF(C149="","",IFERROR(IF(O149&gt;=2,3,IF(O149&gt;=1.5,2,IF(O149&gt;=1,1,0)))+IF(E149&gt;G149,1,0)+IF(L149&gt;=-5,1,0)+IF(Q149="買い▲",2,0)+IF(W149&lt;=30,3,IF(W149&lt;=40,2,IF(AND(W149&gt;=40,W149&lt;=60),1,0)))+IF(X149&gt;0,1,0)+IF(V149="年初来高値更新●",3,IF(V149="高値圏",2,0))+IF(AD149="パーフェクト▲",3,IF(AD149="上昇トレンド▲",2,0))+IF(AE149="25日線押し目●",2,IF(AE149="5日線押し目○",1,0))+IF(P149="急増↑↑",2,IF(P149="増加↑",1,0))+N(AI149),0))</f>
        <v/>
      </c>
      <c r="U149" s="176">
        <f>IF(T149="","",IF(AND(T149&gt;=3,O149&gt;=1.5),"有効",IF(T149&gt;=3,"要確認","除外")))</f>
        <v/>
      </c>
      <c r="V149" s="176">
        <f>IF(AND(H149&lt;&gt;"",K149&lt;&gt;""),IF(H149&gt;=K149,"年初来高値更新●",IF(H149&gt;=K149*0.95,"高値圏","通常")),"")</f>
        <v/>
      </c>
      <c r="W149" s="615">
        <f t="array" ref="W149">IF(C149&lt;&gt;"",IFERROR(100-100/(1+SUMPRODUCT((終値!F69:R69&gt;終値!G69:S69)*( 終値!F69:R69-終値!G69:S69))/SUMPRODUCT((終値!F69:R69&lt;終値!G69:S69)*(終値!G69:S69-終値!F69:R69))),50),"")</f>
        <v/>
      </c>
      <c r="X149" s="183">
        <f>IF(C149&lt;&gt;"",IFERROR(SUMPRODUCT(終値!E69:P69,{0.154,0.132,0.113,0.097,0.083,0.071,0.061,0.052,0.045,0.038,0.033,0.028})/SUMPRODUCT({0.154,0.132,0.113,0.097,0.083,0.071,0.061,0.052,0.045,0.038,0.033,0.028})-SUMPRODUCT(終値!E69:AD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9" s="570">
        <f>IF(T149="","",IF(銘柄管理!$F$5="下落▼",IF(AND(AD149="パーフェクト▲",OR(AE149="25日線押し目●",AE149="5日線押し目○")),"★逆張り候補",IF(AND(AD149="上昇トレンド▲",OR(AE149="25日線押し目●",AE149="5日線押し目○")),"○逆張り候補",IF(W149&lt;=30,IF(Z149&gt;0,"◎反発確認",IF(Z149&lt;-5,"△要注意・様子見","△売られ過ぎ注目")),"相場下落・見送り"))),IF(AND(T149&gt;=12,AD149="パーフェクト▲"),"★強い買い",IF(AND(T149&gt;=12,AD149="上昇トレンド▲"),"★強い買い",IF(AND(T149&gt;=8,OR(AE149="25日線押し目●",AE149="5日線押し目○")),"◎押し目買い",IF(T149&gt;=10,"○買い候補",IF(T149&gt;=6,"△注目",IF(T149&gt;=3,"様子見","見送り"))))))))</f>
        <v/>
      </c>
      <c r="Z149" s="616">
        <f>IF(AND(E149&lt;&gt;"",G149&lt;&gt;"",G149&lt;&gt;0),(E149-G149)/G149*100,"")</f>
        <v/>
      </c>
      <c r="AA149" s="176">
        <f>IF(OR(C149="",E149="",E149=0),"",IF(E149&gt;G149,"上昇▲",IF(E149&lt;G149,"下落▼","横ばい→")))</f>
        <v/>
      </c>
      <c r="AB149" s="440">
        <f>IF(C149="","",IFERROR(((終値!E151*0.333)+(終値!F151*0.222)+(終値!G151*0.148)+(終値!H151*0.099)+(終値!I151*0.066)+(終値!J151*0.044)+(終値!K151*0.029)+(終値!L151*0.019)+(終値!M151*0.013)+(終値!N151*0.009))/(0.333+0.222+0.148+0.099+0.066+0.044+0.029+0.019+0.013+0.009),""))</f>
        <v/>
      </c>
      <c r="AC149" s="440">
        <f>IF(C149="","",IFERROR(SUMPRODUCT((終値!E151:AC151)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9" s="441">
        <f>IF(OR(C149="",AB149="",AC149=""),"",IF(AND(E149&gt;AB149,AB149&gt;AC149),"パーフェクト▲",IF(E149&gt;AC149,"上昇トレンド▲",IF(AND(E149&lt;AB149,AB149&lt;AC149),"下降トレンド▼","もみ合い→"))))</f>
        <v/>
      </c>
      <c r="AE149" s="441">
        <f>IF(OR(C149="",AB149="",AC149=""),"",IF(AND(ABS(E149-AC149)/AC149&lt;=0.02,E149&gt;AC149),"25日押し目★",IF(AND(ABS(E149-AB149)/AB149&lt;=0.01,E149&gt;AB149),"5日押し目○","なし")))</f>
        <v/>
      </c>
      <c r="AF149" s="617">
        <f t="array" ref="AF149">IF(C149="","",IFERROR((INDEX(終値!$E:$E,MATCH(TEXT(C149,"0"),終値!$A:$A,0))-INDEX(終値!$E:$BL,MATCH(TEXT(C149,"0"),終値!$A:$A,0),$AL$2))/INDEX(終値!$E:$BL,MATCH(TEXT(C149,"0"),終値!$A:$A,0),$AL$2)*100,""))</f>
        <v/>
      </c>
      <c r="AG149" s="617">
        <f t="array" ref="AG149">IFERROR((終値!$E$5-INDEX(終値!$E$5:$BL$5,1,$AL$2))/INDEX(終値!$E$5:$BL$5,1,$AL$2)*100,"")</f>
        <v/>
      </c>
      <c r="AH149" s="618">
        <f>IF(OR(AF149="",AG149=""),"",AF149-AG149)</f>
        <v/>
      </c>
      <c r="AI149" s="385">
        <f>IF(AH149="","",IF(AH149&gt;5,3,IF(AH149&gt;0,1,IF(AH149&gt;-3,-1,-2))))</f>
        <v/>
      </c>
    </row>
    <row r="150" ht="18" customHeight="1" s="574">
      <c r="A150" s="176">
        <f>IF(銘柄管理!B196&lt;&gt;"",HYPERLINK("https://kabutan.jp/stock/?code="&amp;銘柄管理!B196,"株探"),"")</f>
        <v/>
      </c>
      <c r="B150" s="177" t="n"/>
      <c r="C150" s="178">
        <f>IF(銘柄管理!B196="","",銘柄管理!B196)</f>
        <v/>
      </c>
      <c r="D150" s="106">
        <f>IF(銘柄管理!C196="","",銘柄管理!C196)</f>
        <v/>
      </c>
      <c r="E150" s="179">
        <f>IF(C150&lt;&gt;"",_xll.RssMarket(C150,"現在値"),"")</f>
        <v/>
      </c>
      <c r="F150" s="179">
        <f>IF(C150&lt;&gt;"",_xll.RssMarket(C150,"始値"),"")</f>
        <v/>
      </c>
      <c r="G150" s="178">
        <f>IF(C150&lt;&gt;"",終値!F196,"")</f>
        <v/>
      </c>
      <c r="H150" s="179">
        <f>IF(C150&lt;&gt;"",_xll.RssMarket(C150,"高値"),"")</f>
        <v/>
      </c>
      <c r="I150" s="179">
        <f>IF(C150&lt;&gt;"",_xll.RssMarket(C150,"安値"),"")</f>
        <v/>
      </c>
      <c r="J150" s="179">
        <f>IF(C150&lt;&gt;"",_xll.RssMarket(C150,"出来高"),"")</f>
        <v/>
      </c>
      <c r="K150" s="179">
        <f>IF(C150&lt;&gt;"",_xll.RssMarket(C150,"年初来高値"),"")</f>
        <v/>
      </c>
      <c r="L150" s="613">
        <f>IF(AND(E150&lt;&gt;"",K150&lt;&gt;"",K150&lt;&gt;0),(E150-K150)/K150*100,"")</f>
        <v/>
      </c>
      <c r="M150" s="179">
        <f>IF(C150&lt;&gt;"",IFERROR(AVERAGE(出来高!E196:I196),""),"")</f>
        <v/>
      </c>
      <c r="N150" s="179">
        <f>IF(C150&lt;&gt;"",IFERROR(AVERAGE(出来高!E196:AC196),""),"")</f>
        <v/>
      </c>
      <c r="O150" s="614">
        <f>IF(AND(J150&lt;&gt;"",M150&lt;&gt;"",M150&lt;&gt;0),J150/M150,"")</f>
        <v/>
      </c>
      <c r="P150" s="176">
        <f>IF(O150="","",IF(O150&gt;=2,"急増↑↑",IF(O150&gt;=1.5,"増加↑",IF(O150&gt;=1,"普通→","減少↓"))))</f>
        <v/>
      </c>
      <c r="Q150" s="176">
        <f>IF(E150="","",IF(AND(E150&gt;G150,O150&gt;=1.5),"買い▲",IF(E150&lt;G150,"様子見▼","中立→")))</f>
        <v/>
      </c>
      <c r="R150" s="179">
        <f>IF(E150&lt;&gt;"",ROUND(E150*1.08,0),"")</f>
        <v/>
      </c>
      <c r="S150" s="179">
        <f>IF(E150&lt;&gt;"",ROUND(E150*0.96,0),"")</f>
        <v/>
      </c>
      <c r="T150" s="176">
        <f>IF(C150="","",IFERROR(IF(O150&gt;=2,3,IF(O150&gt;=1.5,2,IF(O150&gt;=1,1,0)))+IF(E150&gt;G150,1,0)+IF(L150&gt;=-5,1,0)+IF(Q150="買い▲",2,0)+IF(W150&lt;=30,3,IF(W150&lt;=40,2,IF(AND(W150&gt;=40,W150&lt;=60),1,0)))+IF(X150&gt;0,1,0)+IF(V150="年初来高値更新●",3,IF(V150="高値圏",2,0))+IF(AD150="パーフェクト▲",3,IF(AD150="上昇トレンド▲",2,0))+IF(AE150="25日線押し目●",2,IF(AE150="5日線押し目○",1,0))+IF(P150="急増↑↑",2,IF(P150="増加↑",1,0))+N(AI150),0))</f>
        <v/>
      </c>
      <c r="U150" s="176">
        <f>IF(T150="","",IF(AND(T150&gt;=3,O150&gt;=1.5),"有効",IF(T150&gt;=3,"要確認","除外")))</f>
        <v/>
      </c>
      <c r="V150" s="176">
        <f>IF(AND(H150&lt;&gt;"",K150&lt;&gt;""),IF(H150&gt;=K150,"年初来高値更新●",IF(H150&gt;=K150*0.95,"高値圏","通常")),"")</f>
        <v/>
      </c>
      <c r="W150" s="615">
        <f t="array" ref="W150">IF(C150&lt;&gt;"",IFERROR(100-100/(1+SUMPRODUCT((終値!F196:R196&gt;終値!G196:S196)*( 終値!F196:R196-終値!G196:S196))/SUMPRODUCT((終値!F196:R196&lt;終値!G196:S196)*(終値!G196:S196-終値!F196:R196))),50),"")</f>
        <v/>
      </c>
      <c r="X150" s="183">
        <f>IF(C150&lt;&gt;"",IFERROR(SUMPRODUCT(終値!E196:P196,{0.154,0.132,0.113,0.097,0.083,0.071,0.061,0.052,0.045,0.038,0.033,0.028})/SUMPRODUCT({0.154,0.132,0.113,0.097,0.083,0.071,0.061,0.052,0.045,0.038,0.033,0.028})-SUMPRODUCT(終値!E196:AD196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0" s="570">
        <f>IF(T150="","",IF(銘柄管理!$F$5="下落▼",IF(AND(AD150="パーフェクト▲",OR(AE150="25日線押し目●",AE150="5日線押し目○")),"★逆張り候補",IF(AND(AD150="上昇トレンド▲",OR(AE150="25日線押し目●",AE150="5日線押し目○")),"○逆張り候補",IF(W150&lt;=30,IF(Z150&gt;0,"◎反発確認",IF(Z150&lt;-5,"△要注意・様子見","△売られ過ぎ注目")),"相場下落・見送り"))),IF(AND(T150&gt;=12,AD150="パーフェクト▲"),"★強い買い",IF(AND(T150&gt;=12,AD150="上昇トレンド▲"),"★強い買い",IF(AND(T150&gt;=8,OR(AE150="25日線押し目●",AE150="5日線押し目○")),"◎押し目買い",IF(T150&gt;=10,"○買い候補",IF(T150&gt;=6,"△注目",IF(T150&gt;=3,"様子見","見送り"))))))))</f>
        <v/>
      </c>
      <c r="Z150" s="616">
        <f>IF(AND(E150&lt;&gt;"",G150&lt;&gt;"",G150&lt;&gt;0),(E150-G150)/G150*100,"")</f>
        <v/>
      </c>
      <c r="AA150" s="176">
        <f>IF(OR(C150="",E150="",E150=0),"",IF(E150&gt;G150,"上昇▲",IF(E150&lt;G150,"下落▼","横ばい→")))</f>
        <v/>
      </c>
      <c r="AB150" s="438">
        <f>IF(C150="","",IFERROR(((終値!E152*0.333)+(終値!F152*0.222)+(終値!G152*0.148)+(終値!H152*0.099)+(終値!I152*0.066)+(終値!J152*0.044)+(終値!K152*0.029)+(終値!L152*0.019)+(終値!M152*0.013)+(終値!N152*0.009))/(0.333+0.222+0.148+0.099+0.066+0.044+0.029+0.019+0.013+0.009),""))</f>
        <v/>
      </c>
      <c r="AC150" s="438">
        <f>IF(C150="","",IFERROR(SUMPRODUCT((終値!E152:AC152)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0" s="439">
        <f>IF(OR(C150="",AB150="",AC150=""),"",IF(AND(E150&gt;AB150,AB150&gt;AC150),"パーフェクト▲",IF(E150&gt;AC150,"上昇トレンド▲",IF(AND(E150&lt;AB150,AB150&lt;AC150),"下降トレンド▼","もみ合い→"))))</f>
        <v/>
      </c>
      <c r="AE150" s="439">
        <f>IF(OR(C150="",AB150="",AC150=""),"",IF(AND(ABS(E150-AC150)/AC150&lt;=0.02,E150&gt;AC150),"25日押し目★",IF(AND(ABS(E150-AB150)/AB150&lt;=0.01,E150&gt;AB150),"5日押し目○","なし")))</f>
        <v/>
      </c>
      <c r="AF150" s="617">
        <f t="array" ref="AF150">IF(C150="","",IFERROR((INDEX(終値!$E:$E,MATCH(TEXT(C150,"0"),終値!$A:$A,0))-INDEX(終値!$E:$BL,MATCH(TEXT(C150,"0"),終値!$A:$A,0),$AL$2))/INDEX(終値!$E:$BL,MATCH(TEXT(C150,"0"),終値!$A:$A,0),$AL$2)*100,""))</f>
        <v/>
      </c>
      <c r="AG150" s="617">
        <f t="array" ref="AG150">IFERROR((終値!$E$5-INDEX(終値!$E$5:$BL$5,1,$AL$2))/INDEX(終値!$E$5:$BL$5,1,$AL$2)*100,"")</f>
        <v/>
      </c>
      <c r="AH150" s="618">
        <f>IF(OR(AF150="",AG150=""),"",AF150-AG150)</f>
        <v/>
      </c>
      <c r="AI150" s="385">
        <f>IF(AH150="","",IF(AH150&gt;5,3,IF(AH150&gt;0,1,IF(AH150&gt;-3,-1,-2))))</f>
        <v/>
      </c>
    </row>
    <row r="151" ht="18" customHeight="1" s="574">
      <c r="A151" s="176">
        <f>IF(銘柄管理!B146&lt;&gt;"",HYPERLINK("https://kabutan.jp/stock/?code="&amp;銘柄管理!B146,"株探"),"")</f>
        <v/>
      </c>
      <c r="B151" s="177" t="n"/>
      <c r="C151" s="178">
        <f>IF(銘柄管理!B146="","",銘柄管理!B146)</f>
        <v/>
      </c>
      <c r="D151" s="106">
        <f>IF(銘柄管理!C146="","",銘柄管理!C146)</f>
        <v/>
      </c>
      <c r="E151" s="179">
        <f>IF(C151&lt;&gt;"",_xll.RssMarket(C151,"現在値"),"")</f>
        <v/>
      </c>
      <c r="F151" s="179">
        <f>IF(C151&lt;&gt;"",_xll.RssMarket(C151,"始値"),"")</f>
        <v/>
      </c>
      <c r="G151" s="178">
        <f>IF(C151&lt;&gt;"",終値!F146,"")</f>
        <v/>
      </c>
      <c r="H151" s="179">
        <f>IF(C151&lt;&gt;"",_xll.RssMarket(C151,"高値"),"")</f>
        <v/>
      </c>
      <c r="I151" s="179">
        <f>IF(C151&lt;&gt;"",_xll.RssMarket(C151,"安値"),"")</f>
        <v/>
      </c>
      <c r="J151" s="179">
        <f>IF(C151&lt;&gt;"",_xll.RssMarket(C151,"出来高"),"")</f>
        <v/>
      </c>
      <c r="K151" s="179">
        <f>IF(C151&lt;&gt;"",_xll.RssMarket(C151,"年初来高値"),"")</f>
        <v/>
      </c>
      <c r="L151" s="613">
        <f>IF(AND(E151&lt;&gt;"",K151&lt;&gt;"",K151&lt;&gt;0),(E151-K151)/K151*100,"")</f>
        <v/>
      </c>
      <c r="M151" s="179">
        <f>IF(C151&lt;&gt;"",IFERROR(AVERAGE(出来高!E146:I146),""),"")</f>
        <v/>
      </c>
      <c r="N151" s="179">
        <f>IF(C151&lt;&gt;"",IFERROR(AVERAGE(出来高!E146:AC146),""),"")</f>
        <v/>
      </c>
      <c r="O151" s="614">
        <f>IF(AND(J151&lt;&gt;"",M151&lt;&gt;"",M151&lt;&gt;0),J151/M151,"")</f>
        <v/>
      </c>
      <c r="P151" s="176">
        <f>IF(O151="","",IF(O151&gt;=2,"急増↑↑",IF(O151&gt;=1.5,"増加↑",IF(O151&gt;=1,"普通→","減少↓"))))</f>
        <v/>
      </c>
      <c r="Q151" s="176">
        <f>IF(E151="","",IF(AND(E151&gt;G151,O151&gt;=1.5),"買い▲",IF(E151&lt;G151,"様子見▼","中立→")))</f>
        <v/>
      </c>
      <c r="R151" s="179">
        <f>IF(E151&lt;&gt;"",ROUND(E151*1.08,0),"")</f>
        <v/>
      </c>
      <c r="S151" s="179">
        <f>IF(E151&lt;&gt;"",ROUND(E151*0.96,0),"")</f>
        <v/>
      </c>
      <c r="T151" s="176">
        <f>IF(C151="","",IFERROR(IF(O151&gt;=2,3,IF(O151&gt;=1.5,2,IF(O151&gt;=1,1,0)))+IF(E151&gt;G151,1,0)+IF(L151&gt;=-5,1,0)+IF(Q151="買い▲",2,0)+IF(W151&lt;=30,3,IF(W151&lt;=40,2,IF(AND(W151&gt;=40,W151&lt;=60),1,0)))+IF(X151&gt;0,1,0)+IF(V151="年初来高値更新●",3,IF(V151="高値圏",2,0))+IF(AD151="パーフェクト▲",3,IF(AD151="上昇トレンド▲",2,0))+IF(AE151="25日線押し目●",2,IF(AE151="5日線押し目○",1,0))+IF(P151="急増↑↑",2,IF(P151="増加↑",1,0))+N(AI151),0))</f>
        <v/>
      </c>
      <c r="U151" s="176">
        <f>IF(T151="","",IF(AND(T151&gt;=3,O151&gt;=1.5),"有効",IF(T151&gt;=3,"要確認","除外")))</f>
        <v/>
      </c>
      <c r="V151" s="176">
        <f>IF(AND(H151&lt;&gt;"",K151&lt;&gt;""),IF(H151&gt;=K151,"年初来高値更新●",IF(H151&gt;=K151*0.95,"高値圏","通常")),"")</f>
        <v/>
      </c>
      <c r="W151" s="615">
        <f t="array" ref="W151">IF(C151&lt;&gt;"",IFERROR(100-100/(1+SUMPRODUCT((終値!F146:R146&gt;終値!G146:S146)*( 終値!F146:R146-終値!G146:S146))/SUMPRODUCT((終値!F146:R146&lt;終値!G146:S146)*(終値!G146:S146-終値!F146:R146))),50),"")</f>
        <v/>
      </c>
      <c r="X151" s="183">
        <f>IF(C151&lt;&gt;"",IFERROR(SUMPRODUCT(終値!E146:P146,{0.154,0.132,0.113,0.097,0.083,0.071,0.061,0.052,0.045,0.038,0.033,0.028})/SUMPRODUCT({0.154,0.132,0.113,0.097,0.083,0.071,0.061,0.052,0.045,0.038,0.033,0.028})-SUMPRODUCT(終値!E146:AD146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1" s="570">
        <f>IF(T151="","",IF(銘柄管理!$F$5="下落▼",IF(AND(AD151="パーフェクト▲",OR(AE151="25日線押し目●",AE151="5日線押し目○")),"★逆張り候補",IF(AND(AD151="上昇トレンド▲",OR(AE151="25日線押し目●",AE151="5日線押し目○")),"○逆張り候補",IF(W151&lt;=30,IF(Z151&gt;0,"◎反発確認",IF(Z151&lt;-5,"△要注意・様子見","△売られ過ぎ注目")),"相場下落・見送り"))),IF(AND(T151&gt;=12,AD151="パーフェクト▲"),"★強い買い",IF(AND(T151&gt;=12,AD151="上昇トレンド▲"),"★強い買い",IF(AND(T151&gt;=8,OR(AE151="25日線押し目●",AE151="5日線押し目○")),"◎押し目買い",IF(T151&gt;=10,"○買い候補",IF(T151&gt;=6,"△注目",IF(T151&gt;=3,"様子見","見送り"))))))))</f>
        <v/>
      </c>
      <c r="Z151" s="616">
        <f>IF(AND(E151&lt;&gt;"",G151&lt;&gt;"",G151&lt;&gt;0),(E151-G151)/G151*100,"")</f>
        <v/>
      </c>
      <c r="AA151" s="176">
        <f>IF(OR(C151="",E151="",E151=0),"",IF(E151&gt;G151,"上昇▲",IF(E151&lt;G151,"下落▼","横ばい→")))</f>
        <v/>
      </c>
      <c r="AB151" s="440">
        <f>IF(C151="","",IFERROR(((終値!E153*0.333)+(終値!F153*0.222)+(終値!G153*0.148)+(終値!H153*0.099)+(終値!I153*0.066)+(終値!J153*0.044)+(終値!K153*0.029)+(終値!L153*0.019)+(終値!M153*0.013)+(終値!N153*0.009))/(0.333+0.222+0.148+0.099+0.066+0.044+0.029+0.019+0.013+0.009),""))</f>
        <v/>
      </c>
      <c r="AC151" s="440">
        <f>IF(C151="","",IFERROR(SUMPRODUCT((終値!E153:AC153)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1" s="441">
        <f>IF(OR(C151="",AB151="",AC151=""),"",IF(AND(E151&gt;AB151,AB151&gt;AC151),"パーフェクト▲",IF(E151&gt;AC151,"上昇トレンド▲",IF(AND(E151&lt;AB151,AB151&lt;AC151),"下降トレンド▼","もみ合い→"))))</f>
        <v/>
      </c>
      <c r="AE151" s="441">
        <f>IF(OR(C151="",AB151="",AC151=""),"",IF(AND(ABS(E151-AC151)/AC151&lt;=0.02,E151&gt;AC151),"25日押し目★",IF(AND(ABS(E151-AB151)/AB151&lt;=0.01,E151&gt;AB151),"5日押し目○","なし")))</f>
        <v/>
      </c>
      <c r="AF151" s="617">
        <f t="array" ref="AF151">IF(C151="","",IFERROR((INDEX(終値!$E:$E,MATCH(TEXT(C151,"0"),終値!$A:$A,0))-INDEX(終値!$E:$BL,MATCH(TEXT(C151,"0"),終値!$A:$A,0),$AL$2))/INDEX(終値!$E:$BL,MATCH(TEXT(C151,"0"),終値!$A:$A,0),$AL$2)*100,""))</f>
        <v/>
      </c>
      <c r="AG151" s="617">
        <f t="array" ref="AG151">IFERROR((終値!$E$5-INDEX(終値!$E$5:$BL$5,1,$AL$2))/INDEX(終値!$E$5:$BL$5,1,$AL$2)*100,"")</f>
        <v/>
      </c>
      <c r="AH151" s="618">
        <f>IF(OR(AF151="",AG151=""),"",AF151-AG151)</f>
        <v/>
      </c>
      <c r="AI151" s="385">
        <f>IF(AH151="","",IF(AH151&gt;5,3,IF(AH151&gt;0,1,IF(AH151&gt;-3,-1,-2))))</f>
        <v/>
      </c>
    </row>
    <row r="152" ht="18" customHeight="1" s="574">
      <c r="A152" s="176">
        <f>IF(銘柄管理!B192&lt;&gt;"",HYPERLINK("https://kabutan.jp/stock/?code="&amp;銘柄管理!B192,"株探"),"")</f>
        <v/>
      </c>
      <c r="B152" s="177" t="n"/>
      <c r="C152" s="178">
        <f>IF(銘柄管理!B192="","",銘柄管理!B192)</f>
        <v/>
      </c>
      <c r="D152" s="106">
        <f>IF(銘柄管理!C192="","",銘柄管理!C192)</f>
        <v/>
      </c>
      <c r="E152" s="179">
        <f>IF(C152&lt;&gt;"",_xll.RssMarket(C152,"現在値"),"")</f>
        <v/>
      </c>
      <c r="F152" s="179">
        <f>IF(C152&lt;&gt;"",_xll.RssMarket(C152,"始値"),"")</f>
        <v/>
      </c>
      <c r="G152" s="178">
        <f>IF(C152&lt;&gt;"",終値!F192,"")</f>
        <v/>
      </c>
      <c r="H152" s="179">
        <f>IF(C152&lt;&gt;"",_xll.RssMarket(C152,"高値"),"")</f>
        <v/>
      </c>
      <c r="I152" s="179">
        <f>IF(C152&lt;&gt;"",_xll.RssMarket(C152,"安値"),"")</f>
        <v/>
      </c>
      <c r="J152" s="179">
        <f>IF(C152&lt;&gt;"",_xll.RssMarket(C152,"出来高"),"")</f>
        <v/>
      </c>
      <c r="K152" s="179">
        <f>IF(C152&lt;&gt;"",_xll.RssMarket(C152,"年初来高値"),"")</f>
        <v/>
      </c>
      <c r="L152" s="613">
        <f>IF(AND(E152&lt;&gt;"",K152&lt;&gt;"",K152&lt;&gt;0),(E152-K152)/K152*100,"")</f>
        <v/>
      </c>
      <c r="M152" s="179">
        <f>IF(C152&lt;&gt;"",IFERROR(AVERAGE(出来高!E192:I192),""),"")</f>
        <v/>
      </c>
      <c r="N152" s="179">
        <f>IF(C152&lt;&gt;"",IFERROR(AVERAGE(出来高!E192:AC192),""),"")</f>
        <v/>
      </c>
      <c r="O152" s="614">
        <f>IF(AND(J152&lt;&gt;"",M152&lt;&gt;"",M152&lt;&gt;0),J152/M152,"")</f>
        <v/>
      </c>
      <c r="P152" s="176">
        <f>IF(O152="","",IF(O152&gt;=2,"急増↑↑",IF(O152&gt;=1.5,"増加↑",IF(O152&gt;=1,"普通→","減少↓"))))</f>
        <v/>
      </c>
      <c r="Q152" s="176">
        <f>IF(E152="","",IF(AND(E152&gt;G152,O152&gt;=1.5),"買い▲",IF(E152&lt;G152,"様子見▼","中立→")))</f>
        <v/>
      </c>
      <c r="R152" s="179">
        <f>IF(E152&lt;&gt;"",ROUND(E152*1.08,0),"")</f>
        <v/>
      </c>
      <c r="S152" s="179">
        <f>IF(E152&lt;&gt;"",ROUND(E152*0.96,0),"")</f>
        <v/>
      </c>
      <c r="T152" s="176">
        <f>IF(C152="","",IFERROR(IF(O152&gt;=2,3,IF(O152&gt;=1.5,2,IF(O152&gt;=1,1,0)))+IF(E152&gt;G152,1,0)+IF(L152&gt;=-5,1,0)+IF(Q152="買い▲",2,0)+IF(W152&lt;=30,3,IF(W152&lt;=40,2,IF(AND(W152&gt;=40,W152&lt;=60),1,0)))+IF(X152&gt;0,1,0)+IF(V152="年初来高値更新●",3,IF(V152="高値圏",2,0))+IF(AD152="パーフェクト▲",3,IF(AD152="上昇トレンド▲",2,0))+IF(AE152="25日線押し目●",2,IF(AE152="5日線押し目○",1,0))+IF(P152="急増↑↑",2,IF(P152="増加↑",1,0))+N(AI152),0))</f>
        <v/>
      </c>
      <c r="U152" s="176">
        <f>IF(T152="","",IF(AND(T152&gt;=3,O152&gt;=1.5),"有効",IF(T152&gt;=3,"要確認","除外")))</f>
        <v/>
      </c>
      <c r="V152" s="176">
        <f>IF(AND(H152&lt;&gt;"",K152&lt;&gt;""),IF(H152&gt;=K152,"年初来高値更新●",IF(H152&gt;=K152*0.95,"高値圏","通常")),"")</f>
        <v/>
      </c>
      <c r="W152" s="615">
        <f t="array" ref="W152">IF(C152&lt;&gt;"",IFERROR(100-100/(1+SUMPRODUCT((終値!F192:R192&gt;終値!G192:S192)*( 終値!F192:R192-終値!G192:S192))/SUMPRODUCT((終値!F192:R192&lt;終値!G192:S192)*(終値!G192:S192-終値!F192:R192))),50),"")</f>
        <v/>
      </c>
      <c r="X152" s="183">
        <f>IF(C152&lt;&gt;"",IFERROR(SUMPRODUCT(終値!E192:P192,{0.154,0.132,0.113,0.097,0.083,0.071,0.061,0.052,0.045,0.038,0.033,0.028})/SUMPRODUCT({0.154,0.132,0.113,0.097,0.083,0.071,0.061,0.052,0.045,0.038,0.033,0.028})-SUMPRODUCT(終値!E192:AD192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2" s="570">
        <f>IF(T152="","",IF(銘柄管理!$F$5="下落▼",IF(AND(AD152="パーフェクト▲",OR(AE152="25日線押し目●",AE152="5日線押し目○")),"★逆張り候補",IF(AND(AD152="上昇トレンド▲",OR(AE152="25日線押し目●",AE152="5日線押し目○")),"○逆張り候補",IF(W152&lt;=30,IF(Z152&gt;0,"◎反発確認",IF(Z152&lt;-5,"△要注意・様子見","△売られ過ぎ注目")),"相場下落・見送り"))),IF(AND(T152&gt;=12,AD152="パーフェクト▲"),"★強い買い",IF(AND(T152&gt;=12,AD152="上昇トレンド▲"),"★強い買い",IF(AND(T152&gt;=8,OR(AE152="25日線押し目●",AE152="5日線押し目○")),"◎押し目買い",IF(T152&gt;=10,"○買い候補",IF(T152&gt;=6,"△注目",IF(T152&gt;=3,"様子見","見送り"))))))))</f>
        <v/>
      </c>
      <c r="Z152" s="616">
        <f>IF(AND(E152&lt;&gt;"",G152&lt;&gt;"",G152&lt;&gt;0),(E152-G152)/G152*100,"")</f>
        <v/>
      </c>
      <c r="AA152" s="176">
        <f>IF(OR(C152="",E152="",E152=0),"",IF(E152&gt;G152,"上昇▲",IF(E152&lt;G152,"下落▼","横ばい→")))</f>
        <v/>
      </c>
      <c r="AB152" s="438">
        <f>IF(C152="","",IFERROR(((終値!E154*0.333)+(終値!F154*0.222)+(終値!G154*0.148)+(終値!H154*0.099)+(終値!I154*0.066)+(終値!J154*0.044)+(終値!K154*0.029)+(終値!L154*0.019)+(終値!M154*0.013)+(終値!N154*0.009))/(0.333+0.222+0.148+0.099+0.066+0.044+0.029+0.019+0.013+0.009),""))</f>
        <v/>
      </c>
      <c r="AC152" s="438">
        <f>IF(C152="","",IFERROR(SUMPRODUCT((終値!E154:AC154)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2" s="439">
        <f>IF(OR(C152="",AB152="",AC152=""),"",IF(AND(E152&gt;AB152,AB152&gt;AC152),"パーフェクト▲",IF(E152&gt;AC152,"上昇トレンド▲",IF(AND(E152&lt;AB152,AB152&lt;AC152),"下降トレンド▼","もみ合い→"))))</f>
        <v/>
      </c>
      <c r="AE152" s="439">
        <f>IF(OR(C152="",AB152="",AC152=""),"",IF(AND(ABS(E152-AC152)/AC152&lt;=0.02,E152&gt;AC152),"25日押し目★",IF(AND(ABS(E152-AB152)/AB152&lt;=0.01,E152&gt;AB152),"5日押し目○","なし")))</f>
        <v/>
      </c>
      <c r="AF152" s="617">
        <f t="array" ref="AF152">IF(C152="","",IFERROR((INDEX(終値!$E:$E,MATCH(TEXT(C152,"0"),終値!$A:$A,0))-INDEX(終値!$E:$BL,MATCH(TEXT(C152,"0"),終値!$A:$A,0),$AL$2))/INDEX(終値!$E:$BL,MATCH(TEXT(C152,"0"),終値!$A:$A,0),$AL$2)*100,""))</f>
        <v/>
      </c>
      <c r="AG152" s="617">
        <f t="array" ref="AG152">IFERROR((終値!$E$5-INDEX(終値!$E$5:$BL$5,1,$AL$2))/INDEX(終値!$E$5:$BL$5,1,$AL$2)*100,"")</f>
        <v/>
      </c>
      <c r="AH152" s="618">
        <f>IF(OR(AF152="",AG152=""),"",AF152-AG152)</f>
        <v/>
      </c>
      <c r="AI152" s="385">
        <f>IF(AH152="","",IF(AH152&gt;5,3,IF(AH152&gt;0,1,IF(AH152&gt;-3,-1,-2))))</f>
        <v/>
      </c>
    </row>
    <row r="153" ht="18" customHeight="1" s="574">
      <c r="A153" s="176">
        <f>IF(銘柄管理!B165&lt;&gt;"",HYPERLINK("https://kabutan.jp/stock/?code="&amp;銘柄管理!B165,"株探"),"")</f>
        <v/>
      </c>
      <c r="B153" s="177" t="n"/>
      <c r="C153" s="178">
        <f>IF(銘柄管理!B165="","",銘柄管理!B165)</f>
        <v/>
      </c>
      <c r="D153" s="106">
        <f>IF(銘柄管理!C165="","",銘柄管理!C165)</f>
        <v/>
      </c>
      <c r="E153" s="179">
        <f>IF(C153&lt;&gt;"",_xll.RssMarket(C153,"現在値"),"")</f>
        <v/>
      </c>
      <c r="F153" s="179">
        <f>IF(C153&lt;&gt;"",_xll.RssMarket(C153,"始値"),"")</f>
        <v/>
      </c>
      <c r="G153" s="178">
        <f>IF(C153&lt;&gt;"",終値!F165,"")</f>
        <v/>
      </c>
      <c r="H153" s="179">
        <f>IF(C153&lt;&gt;"",_xll.RssMarket(C153,"高値"),"")</f>
        <v/>
      </c>
      <c r="I153" s="179">
        <f>IF(C153&lt;&gt;"",_xll.RssMarket(C153,"安値"),"")</f>
        <v/>
      </c>
      <c r="J153" s="179">
        <f>IF(C153&lt;&gt;"",_xll.RssMarket(C153,"出来高"),"")</f>
        <v/>
      </c>
      <c r="K153" s="179">
        <f>IF(C153&lt;&gt;"",_xll.RssMarket(C153,"年初来高値"),"")</f>
        <v/>
      </c>
      <c r="L153" s="613">
        <f>IF(AND(E153&lt;&gt;"",K153&lt;&gt;"",K153&lt;&gt;0),(E153-K153)/K153*100,"")</f>
        <v/>
      </c>
      <c r="M153" s="179">
        <f>IF(C153&lt;&gt;"",IFERROR(AVERAGE(出来高!E165:I165),""),"")</f>
        <v/>
      </c>
      <c r="N153" s="179">
        <f>IF(C153&lt;&gt;"",IFERROR(AVERAGE(出来高!E165:AC165),""),"")</f>
        <v/>
      </c>
      <c r="O153" s="614">
        <f>IF(AND(J153&lt;&gt;"",M153&lt;&gt;"",M153&lt;&gt;0),J153/M153,"")</f>
        <v/>
      </c>
      <c r="P153" s="176">
        <f>IF(O153="","",IF(O153&gt;=2,"急増↑↑",IF(O153&gt;=1.5,"増加↑",IF(O153&gt;=1,"普通→","減少↓"))))</f>
        <v/>
      </c>
      <c r="Q153" s="176">
        <f>IF(E153="","",IF(AND(E153&gt;G153,O153&gt;=1.5),"買い▲",IF(E153&lt;G153,"様子見▼","中立→")))</f>
        <v/>
      </c>
      <c r="R153" s="179">
        <f>IF(E153&lt;&gt;"",ROUND(E153*1.08,0),"")</f>
        <v/>
      </c>
      <c r="S153" s="179">
        <f>IF(E153&lt;&gt;"",ROUND(E153*0.96,0),"")</f>
        <v/>
      </c>
      <c r="T153" s="176">
        <f>IF(C153="","",IFERROR(IF(O153&gt;=2,3,IF(O153&gt;=1.5,2,IF(O153&gt;=1,1,0)))+IF(E153&gt;G153,1,0)+IF(L153&gt;=-5,1,0)+IF(Q153="買い▲",2,0)+IF(W153&lt;=30,3,IF(W153&lt;=40,2,IF(AND(W153&gt;=40,W153&lt;=60),1,0)))+IF(X153&gt;0,1,0)+IF(V153="年初来高値更新●",3,IF(V153="高値圏",2,0))+IF(AD153="パーフェクト▲",3,IF(AD153="上昇トレンド▲",2,0))+IF(AE153="25日線押し目●",2,IF(AE153="5日線押し目○",1,0))+IF(P153="急増↑↑",2,IF(P153="増加↑",1,0))+N(AI153),0))</f>
        <v/>
      </c>
      <c r="U153" s="176">
        <f>IF(T153="","",IF(AND(T153&gt;=3,O153&gt;=1.5),"有効",IF(T153&gt;=3,"要確認","除外")))</f>
        <v/>
      </c>
      <c r="V153" s="176">
        <f>IF(AND(H153&lt;&gt;"",K153&lt;&gt;""),IF(H153&gt;=K153,"年初来高値更新●",IF(H153&gt;=K153*0.95,"高値圏","通常")),"")</f>
        <v/>
      </c>
      <c r="W153" s="615">
        <f t="array" ref="W153">IF(C153&lt;&gt;"",IFERROR(100-100/(1+SUMPRODUCT((終値!F165:R165&gt;終値!G165:S165)*( 終値!F165:R165-終値!G165:S165))/SUMPRODUCT((終値!F165:R165&lt;終値!G165:S165)*(終値!G165:S165-終値!F165:R165))),50),"")</f>
        <v/>
      </c>
      <c r="X153" s="183">
        <f>IF(C153&lt;&gt;"",IFERROR(SUMPRODUCT(終値!E165:P165,{0.154,0.132,0.113,0.097,0.083,0.071,0.061,0.052,0.045,0.038,0.033,0.028})/SUMPRODUCT({0.154,0.132,0.113,0.097,0.083,0.071,0.061,0.052,0.045,0.038,0.033,0.028})-SUMPRODUCT(終値!E165:AD165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3" s="570">
        <f>IF(T153="","",IF(銘柄管理!$F$5="下落▼",IF(AND(AD153="パーフェクト▲",OR(AE153="25日線押し目●",AE153="5日線押し目○")),"★逆張り候補",IF(AND(AD153="上昇トレンド▲",OR(AE153="25日線押し目●",AE153="5日線押し目○")),"○逆張り候補",IF(W153&lt;=30,IF(Z153&gt;0,"◎反発確認",IF(Z153&lt;-5,"△要注意・様子見","△売られ過ぎ注目")),"相場下落・見送り"))),IF(AND(T153&gt;=12,AD153="パーフェクト▲"),"★強い買い",IF(AND(T153&gt;=12,AD153="上昇トレンド▲"),"★強い買い",IF(AND(T153&gt;=8,OR(AE153="25日線押し目●",AE153="5日線押し目○")),"◎押し目買い",IF(T153&gt;=10,"○買い候補",IF(T153&gt;=6,"△注目",IF(T153&gt;=3,"様子見","見送り"))))))))</f>
        <v/>
      </c>
      <c r="Z153" s="616">
        <f>IF(AND(E153&lt;&gt;"",G153&lt;&gt;"",G153&lt;&gt;0),(E153-G153)/G153*100,"")</f>
        <v/>
      </c>
      <c r="AA153" s="176">
        <f>IF(OR(C153="",E153="",E153=0),"",IF(E153&gt;G153,"上昇▲",IF(E153&lt;G153,"下落▼","横ばい→")))</f>
        <v/>
      </c>
      <c r="AB153" s="440">
        <f>IF(C153="","",IFERROR(((終値!E155*0.333)+(終値!F155*0.222)+(終値!G155*0.148)+(終値!H155*0.099)+(終値!I155*0.066)+(終値!J155*0.044)+(終値!K155*0.029)+(終値!L155*0.019)+(終値!M155*0.013)+(終値!N155*0.009))/(0.333+0.222+0.148+0.099+0.066+0.044+0.029+0.019+0.013+0.009),""))</f>
        <v/>
      </c>
      <c r="AC153" s="440">
        <f>IF(C153="","",IFERROR(SUMPRODUCT((終値!E155:AC155)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3" s="441">
        <f>IF(OR(C153="",AB153="",AC153=""),"",IF(AND(E153&gt;AB153,AB153&gt;AC153),"パーフェクト▲",IF(E153&gt;AC153,"上昇トレンド▲",IF(AND(E153&lt;AB153,AB153&lt;AC153),"下降トレンド▼","もみ合い→"))))</f>
        <v/>
      </c>
      <c r="AE153" s="441">
        <f>IF(OR(C153="",AB153="",AC153=""),"",IF(AND(ABS(E153-AC153)/AC153&lt;=0.02,E153&gt;AC153),"25日押し目★",IF(AND(ABS(E153-AB153)/AB153&lt;=0.01,E153&gt;AB153),"5日押し目○","なし")))</f>
        <v/>
      </c>
      <c r="AF153" s="617">
        <f t="array" ref="AF153">IF(C153="","",IFERROR((INDEX(終値!$E:$E,MATCH(TEXT(C153,"0"),終値!$A:$A,0))-INDEX(終値!$E:$BL,MATCH(TEXT(C153,"0"),終値!$A:$A,0),$AL$2))/INDEX(終値!$E:$BL,MATCH(TEXT(C153,"0"),終値!$A:$A,0),$AL$2)*100,""))</f>
        <v/>
      </c>
      <c r="AG153" s="617">
        <f t="array" ref="AG153">IFERROR((終値!$E$5-INDEX(終値!$E$5:$BL$5,1,$AL$2))/INDEX(終値!$E$5:$BL$5,1,$AL$2)*100,"")</f>
        <v/>
      </c>
      <c r="AH153" s="618">
        <f>IF(OR(AF153="",AG153=""),"",AF153-AG153)</f>
        <v/>
      </c>
      <c r="AI153" s="385">
        <f>IF(AH153="","",IF(AH153&gt;5,3,IF(AH153&gt;0,1,IF(AH153&gt;-3,-1,-2))))</f>
        <v/>
      </c>
    </row>
    <row r="154" ht="18" customHeight="1" s="574">
      <c r="A154" s="176">
        <f>IF(銘柄管理!B170&lt;&gt;"",HYPERLINK("https://kabutan.jp/stock/?code="&amp;銘柄管理!B170,"株探"),"")</f>
        <v/>
      </c>
      <c r="B154" s="177" t="n"/>
      <c r="C154" s="178">
        <f>IF(銘柄管理!B170="","",銘柄管理!B170)</f>
        <v/>
      </c>
      <c r="D154" s="106">
        <f>IF(銘柄管理!C170="","",銘柄管理!C170)</f>
        <v/>
      </c>
      <c r="E154" s="179">
        <f>IF(C154&lt;&gt;"",_xll.RssMarket(C154,"現在値"),"")</f>
        <v/>
      </c>
      <c r="F154" s="179">
        <f>IF(C154&lt;&gt;"",_xll.RssMarket(C154,"始値"),"")</f>
        <v/>
      </c>
      <c r="G154" s="178">
        <f>IF(C154&lt;&gt;"",終値!F170,"")</f>
        <v/>
      </c>
      <c r="H154" s="179">
        <f>IF(C154&lt;&gt;"",_xll.RssMarket(C154,"高値"),"")</f>
        <v/>
      </c>
      <c r="I154" s="179">
        <f>IF(C154&lt;&gt;"",_xll.RssMarket(C154,"安値"),"")</f>
        <v/>
      </c>
      <c r="J154" s="179">
        <f>IF(C154&lt;&gt;"",_xll.RssMarket(C154,"出来高"),"")</f>
        <v/>
      </c>
      <c r="K154" s="179">
        <f>IF(C154&lt;&gt;"",_xll.RssMarket(C154,"年初来高値"),"")</f>
        <v/>
      </c>
      <c r="L154" s="613">
        <f>IF(AND(E154&lt;&gt;"",K154&lt;&gt;"",K154&lt;&gt;0),(E154-K154)/K154*100,"")</f>
        <v/>
      </c>
      <c r="M154" s="179">
        <f>IF(C154&lt;&gt;"",IFERROR(AVERAGE(出来高!E170:I170),""),"")</f>
        <v/>
      </c>
      <c r="N154" s="179">
        <f>IF(C154&lt;&gt;"",IFERROR(AVERAGE(出来高!E170:AC170),""),"")</f>
        <v/>
      </c>
      <c r="O154" s="614">
        <f>IF(AND(J154&lt;&gt;"",M154&lt;&gt;"",M154&lt;&gt;0),J154/M154,"")</f>
        <v/>
      </c>
      <c r="P154" s="176">
        <f>IF(O154="","",IF(O154&gt;=2,"急増↑↑",IF(O154&gt;=1.5,"増加↑",IF(O154&gt;=1,"普通→","減少↓"))))</f>
        <v/>
      </c>
      <c r="Q154" s="176">
        <f>IF(E154="","",IF(AND(E154&gt;G154,O154&gt;=1.5),"買い▲",IF(E154&lt;G154,"様子見▼","中立→")))</f>
        <v/>
      </c>
      <c r="R154" s="179">
        <f>IF(E154&lt;&gt;"",ROUND(E154*1.08,0),"")</f>
        <v/>
      </c>
      <c r="S154" s="179">
        <f>IF(E154&lt;&gt;"",ROUND(E154*0.96,0),"")</f>
        <v/>
      </c>
      <c r="T154" s="176">
        <f>IF(C154="","",IFERROR(IF(O154&gt;=2,3,IF(O154&gt;=1.5,2,IF(O154&gt;=1,1,0)))+IF(E154&gt;G154,1,0)+IF(L154&gt;=-5,1,0)+IF(Q154="買い▲",2,0)+IF(W154&lt;=30,3,IF(W154&lt;=40,2,IF(AND(W154&gt;=40,W154&lt;=60),1,0)))+IF(X154&gt;0,1,0)+IF(V154="年初来高値更新●",3,IF(V154="高値圏",2,0))+IF(AD154="パーフェクト▲",3,IF(AD154="上昇トレンド▲",2,0))+IF(AE154="25日線押し目●",2,IF(AE154="5日線押し目○",1,0))+IF(P154="急増↑↑",2,IF(P154="増加↑",1,0))+N(AI154),0))</f>
        <v/>
      </c>
      <c r="U154" s="176">
        <f>IF(T154="","",IF(AND(T154&gt;=3,O154&gt;=1.5),"有効",IF(T154&gt;=3,"要確認","除外")))</f>
        <v/>
      </c>
      <c r="V154" s="176">
        <f>IF(AND(H154&lt;&gt;"",K154&lt;&gt;""),IF(H154&gt;=K154,"年初来高値更新●",IF(H154&gt;=K154*0.95,"高値圏","通常")),"")</f>
        <v/>
      </c>
      <c r="W154" s="615">
        <f t="array" ref="W154">IF(C154&lt;&gt;"",IFERROR(100-100/(1+SUMPRODUCT((終値!F170:R170&gt;終値!G170:S170)*( 終値!F170:R170-終値!G170:S170))/SUMPRODUCT((終値!F170:R170&lt;終値!G170:S170)*(終値!G170:S170-終値!F170:R170))),50),"")</f>
        <v/>
      </c>
      <c r="X154" s="183">
        <f>IF(C154&lt;&gt;"",IFERROR(SUMPRODUCT(終値!E170:P170,{0.154,0.132,0.113,0.097,0.083,0.071,0.061,0.052,0.045,0.038,0.033,0.028})/SUMPRODUCT({0.154,0.132,0.113,0.097,0.083,0.071,0.061,0.052,0.045,0.038,0.033,0.028})-SUMPRODUCT(終値!E170:AD170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4" s="570">
        <f>IF(T154="","",IF(銘柄管理!$F$5="下落▼",IF(AND(AD154="パーフェクト▲",OR(AE154="25日線押し目●",AE154="5日線押し目○")),"★逆張り候補",IF(AND(AD154="上昇トレンド▲",OR(AE154="25日線押し目●",AE154="5日線押し目○")),"○逆張り候補",IF(W154&lt;=30,IF(Z154&gt;0,"◎反発確認",IF(Z154&lt;-5,"△要注意・様子見","△売られ過ぎ注目")),"相場下落・見送り"))),IF(AND(T154&gt;=12,AD154="パーフェクト▲"),"★強い買い",IF(AND(T154&gt;=12,AD154="上昇トレンド▲"),"★強い買い",IF(AND(T154&gt;=8,OR(AE154="25日線押し目●",AE154="5日線押し目○")),"◎押し目買い",IF(T154&gt;=10,"○買い候補",IF(T154&gt;=6,"△注目",IF(T154&gt;=3,"様子見","見送り"))))))))</f>
        <v/>
      </c>
      <c r="Z154" s="616">
        <f>IF(AND(E154&lt;&gt;"",G154&lt;&gt;"",G154&lt;&gt;0),(E154-G154)/G154*100,"")</f>
        <v/>
      </c>
      <c r="AA154" s="176">
        <f>IF(OR(C154="",E154="",E154=0),"",IF(E154&gt;G154,"上昇▲",IF(E154&lt;G154,"下落▼","横ばい→")))</f>
        <v/>
      </c>
      <c r="AB154" s="438">
        <f>IF(C154="","",IFERROR(((終値!E156*0.333)+(終値!F156*0.222)+(終値!G156*0.148)+(終値!H156*0.099)+(終値!I156*0.066)+(終値!J156*0.044)+(終値!K156*0.029)+(終値!L156*0.019)+(終値!M156*0.013)+(終値!N156*0.009))/(0.333+0.222+0.148+0.099+0.066+0.044+0.029+0.019+0.013+0.009),""))</f>
        <v/>
      </c>
      <c r="AC154" s="438">
        <f>IF(C154="","",IFERROR(SUMPRODUCT((終値!E156:AC156)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4" s="439">
        <f>IF(OR(C154="",AB154="",AC154=""),"",IF(AND(E154&gt;AB154,AB154&gt;AC154),"パーフェクト▲",IF(E154&gt;AC154,"上昇トレンド▲",IF(AND(E154&lt;AB154,AB154&lt;AC154),"下降トレンド▼","もみ合い→"))))</f>
        <v/>
      </c>
      <c r="AE154" s="439">
        <f>IF(OR(C154="",AB154="",AC154=""),"",IF(AND(ABS(E154-AC154)/AC154&lt;=0.02,E154&gt;AC154),"25日押し目★",IF(AND(ABS(E154-AB154)/AB154&lt;=0.01,E154&gt;AB154),"5日押し目○","なし")))</f>
        <v/>
      </c>
      <c r="AF154" s="617">
        <f t="array" ref="AF154">IF(C154="","",IFERROR((INDEX(終値!$E:$E,MATCH(TEXT(C154,"0"),終値!$A:$A,0))-INDEX(終値!$E:$BL,MATCH(TEXT(C154,"0"),終値!$A:$A,0),$AL$2))/INDEX(終値!$E:$BL,MATCH(TEXT(C154,"0"),終値!$A:$A,0),$AL$2)*100,""))</f>
        <v/>
      </c>
      <c r="AG154" s="617">
        <f t="array" ref="AG154">IFERROR((終値!$E$5-INDEX(終値!$E$5:$BL$5,1,$AL$2))/INDEX(終値!$E$5:$BL$5,1,$AL$2)*100,"")</f>
        <v/>
      </c>
      <c r="AH154" s="618">
        <f>IF(OR(AF154="",AG154=""),"",AF154-AG154)</f>
        <v/>
      </c>
      <c r="AI154" s="385">
        <f>IF(AH154="","",IF(AH154&gt;5,3,IF(AH154&gt;0,1,IF(AH154&gt;-3,-1,-2))))</f>
        <v/>
      </c>
    </row>
    <row r="155" ht="18" customHeight="1" s="574">
      <c r="A155" s="176">
        <f>IF(銘柄管理!B58&lt;&gt;"",HYPERLINK("https://kabutan.jp/stock/?code="&amp;銘柄管理!B58,"株探"),"")</f>
        <v/>
      </c>
      <c r="B155" s="177" t="n"/>
      <c r="C155" s="178">
        <f>IF(銘柄管理!B58="","",銘柄管理!B58)</f>
        <v/>
      </c>
      <c r="D155" s="106">
        <f>IF(銘柄管理!C58="","",銘柄管理!C58)</f>
        <v/>
      </c>
      <c r="E155" s="179">
        <f>IF(C155&lt;&gt;"",_xll.RssMarket(C155,"現在値"),"")</f>
        <v/>
      </c>
      <c r="F155" s="179">
        <f>IF(C155&lt;&gt;"",_xll.RssMarket(C155,"始値"),"")</f>
        <v/>
      </c>
      <c r="G155" s="178">
        <f>IF(C155&lt;&gt;"",終値!F58,"")</f>
        <v/>
      </c>
      <c r="H155" s="179">
        <f>IF(C155&lt;&gt;"",_xll.RssMarket(C155,"高値"),"")</f>
        <v/>
      </c>
      <c r="I155" s="179">
        <f>IF(C155&lt;&gt;"",_xll.RssMarket(C155,"安値"),"")</f>
        <v/>
      </c>
      <c r="J155" s="179">
        <f>IF(C155&lt;&gt;"",_xll.RssMarket(C155,"出来高"),"")</f>
        <v/>
      </c>
      <c r="K155" s="179">
        <f>IF(C155&lt;&gt;"",_xll.RssMarket(C155,"年初来高値"),"")</f>
        <v/>
      </c>
      <c r="L155" s="613">
        <f>IF(AND(E155&lt;&gt;"",K155&lt;&gt;"",K155&lt;&gt;0),(E155-K155)/K155*100,"")</f>
        <v/>
      </c>
      <c r="M155" s="179">
        <f>IF(C155&lt;&gt;"",IFERROR(AVERAGE(出来高!E58:I58),""),"")</f>
        <v/>
      </c>
      <c r="N155" s="179">
        <f>IF(C155&lt;&gt;"",IFERROR(AVERAGE(出来高!E58:AC58),""),"")</f>
        <v/>
      </c>
      <c r="O155" s="614">
        <f>IF(AND(J155&lt;&gt;"",M155&lt;&gt;"",M155&lt;&gt;0),J155/M155,"")</f>
        <v/>
      </c>
      <c r="P155" s="176">
        <f>IF(O155="","",IF(O155&gt;=2,"急増↑↑",IF(O155&gt;=1.5,"増加↑",IF(O155&gt;=1,"普通→","減少↓"))))</f>
        <v/>
      </c>
      <c r="Q155" s="176">
        <f>IF(E155="","",IF(AND(E155&gt;G155,O155&gt;=1.5),"買い▲",IF(E155&lt;G155,"様子見▼","中立→")))</f>
        <v/>
      </c>
      <c r="R155" s="179">
        <f>IF(E155&lt;&gt;"",ROUND(E155*1.08,0),"")</f>
        <v/>
      </c>
      <c r="S155" s="179">
        <f>IF(E155&lt;&gt;"",ROUND(E155*0.96,0),"")</f>
        <v/>
      </c>
      <c r="T155" s="176">
        <f>IF(C155="","",IFERROR(IF(O155&gt;=2,3,IF(O155&gt;=1.5,2,IF(O155&gt;=1,1,0)))+IF(E155&gt;G155,1,0)+IF(L155&gt;=-5,1,0)+IF(Q155="買い▲",2,0)+IF(W155&lt;=30,3,IF(W155&lt;=40,2,IF(AND(W155&gt;=40,W155&lt;=60),1,0)))+IF(X155&gt;0,1,0)+IF(V155="年初来高値更新●",3,IF(V155="高値圏",2,0))+IF(AD155="パーフェクト▲",3,IF(AD155="上昇トレンド▲",2,0))+IF(AE155="25日線押し目●",2,IF(AE155="5日線押し目○",1,0))+IF(P155="急増↑↑",2,IF(P155="増加↑",1,0))+N(AI155),0))</f>
        <v/>
      </c>
      <c r="U155" s="176">
        <f>IF(T155="","",IF(AND(T155&gt;=3,O155&gt;=1.5),"有効",IF(T155&gt;=3,"要確認","除外")))</f>
        <v/>
      </c>
      <c r="V155" s="176">
        <f>IF(AND(H155&lt;&gt;"",K155&lt;&gt;""),IF(H155&gt;=K155,"年初来高値更新●",IF(H155&gt;=K155*0.95,"高値圏","通常")),"")</f>
        <v/>
      </c>
      <c r="W155" s="615">
        <f t="array" ref="W155">IF(C155&lt;&gt;"",IFERROR(100-100/(1+SUMPRODUCT((終値!F58:R58&gt;終値!G58:S58)*( 終値!F58:R58-終値!G58:S58))/SUMPRODUCT((終値!F58:R58&lt;終値!G58:S58)*(終値!G58:S58-終値!F58:R58))),50),"")</f>
        <v/>
      </c>
      <c r="X155" s="183">
        <f>IF(C155&lt;&gt;"",IFERROR(SUMPRODUCT(終値!E58:P58,{0.154,0.132,0.113,0.097,0.083,0.071,0.061,0.052,0.045,0.038,0.033,0.028})/SUMPRODUCT({0.154,0.132,0.113,0.097,0.083,0.071,0.061,0.052,0.045,0.038,0.033,0.028})-SUMPRODUCT(終値!E58:AD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5" s="570">
        <f>IF(T155="","",IF(銘柄管理!$F$5="下落▼",IF(AND(AD155="パーフェクト▲",OR(AE155="25日線押し目●",AE155="5日線押し目○")),"★逆張り候補",IF(AND(AD155="上昇トレンド▲",OR(AE155="25日線押し目●",AE155="5日線押し目○")),"○逆張り候補",IF(W155&lt;=30,IF(Z155&gt;0,"◎反発確認",IF(Z155&lt;-5,"△要注意・様子見","△売られ過ぎ注目")),"相場下落・見送り"))),IF(AND(T155&gt;=12,AD155="パーフェクト▲"),"★強い買い",IF(AND(T155&gt;=12,AD155="上昇トレンド▲"),"★強い買い",IF(AND(T155&gt;=8,OR(AE155="25日線押し目●",AE155="5日線押し目○")),"◎押し目買い",IF(T155&gt;=10,"○買い候補",IF(T155&gt;=6,"△注目",IF(T155&gt;=3,"様子見","見送り"))))))))</f>
        <v/>
      </c>
      <c r="Z155" s="616">
        <f>IF(AND(E155&lt;&gt;"",G155&lt;&gt;"",G155&lt;&gt;0),(E155-G155)/G155*100,"")</f>
        <v/>
      </c>
      <c r="AA155" s="176">
        <f>IF(OR(C155="",E155="",E155=0),"",IF(E155&gt;G155,"上昇▲",IF(E155&lt;G155,"下落▼","横ばい→")))</f>
        <v/>
      </c>
      <c r="AB155" s="440">
        <f>IF(C155="","",IFERROR(((終値!E157*0.333)+(終値!F157*0.222)+(終値!G157*0.148)+(終値!H157*0.099)+(終値!I157*0.066)+(終値!J157*0.044)+(終値!K157*0.029)+(終値!L157*0.019)+(終値!M157*0.013)+(終値!N157*0.009))/(0.333+0.222+0.148+0.099+0.066+0.044+0.029+0.019+0.013+0.009),""))</f>
        <v/>
      </c>
      <c r="AC155" s="440">
        <f>IF(C155="","",IFERROR(SUMPRODUCT((終値!E157:AC157)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5" s="441">
        <f>IF(OR(C155="",AB155="",AC155=""),"",IF(AND(E155&gt;AB155,AB155&gt;AC155),"パーフェクト▲",IF(E155&gt;AC155,"上昇トレンド▲",IF(AND(E155&lt;AB155,AB155&lt;AC155),"下降トレンド▼","もみ合い→"))))</f>
        <v/>
      </c>
      <c r="AE155" s="441">
        <f>IF(OR(C155="",AB155="",AC155=""),"",IF(AND(ABS(E155-AC155)/AC155&lt;=0.02,E155&gt;AC155),"25日押し目★",IF(AND(ABS(E155-AB155)/AB155&lt;=0.01,E155&gt;AB155),"5日押し目○","なし")))</f>
        <v/>
      </c>
      <c r="AF155" s="617">
        <f t="array" ref="AF155">IF(C155="","",IFERROR((INDEX(終値!$E:$E,MATCH(TEXT(C155,"0"),終値!$A:$A,0))-INDEX(終値!$E:$BL,MATCH(TEXT(C155,"0"),終値!$A:$A,0),$AL$2))/INDEX(終値!$E:$BL,MATCH(TEXT(C155,"0"),終値!$A:$A,0),$AL$2)*100,""))</f>
        <v/>
      </c>
      <c r="AG155" s="617">
        <f t="array" ref="AG155">IFERROR((終値!$E$5-INDEX(終値!$E$5:$BL$5,1,$AL$2))/INDEX(終値!$E$5:$BL$5,1,$AL$2)*100,"")</f>
        <v/>
      </c>
      <c r="AH155" s="618">
        <f>IF(OR(AF155="",AG155=""),"",AF155-AG155)</f>
        <v/>
      </c>
      <c r="AI155" s="385">
        <f>IF(AH155="","",IF(AH155&gt;5,3,IF(AH155&gt;0,1,IF(AH155&gt;-3,-1,-2))))</f>
        <v/>
      </c>
    </row>
    <row r="156" ht="18" customHeight="1" s="574">
      <c r="A156" s="176">
        <f>IF(銘柄管理!B101&lt;&gt;"",HYPERLINK("https://kabutan.jp/stock/?code="&amp;銘柄管理!B101,"株探"),"")</f>
        <v/>
      </c>
      <c r="B156" s="177" t="n"/>
      <c r="C156" s="178">
        <f>IF(銘柄管理!B101="","",銘柄管理!B101)</f>
        <v/>
      </c>
      <c r="D156" s="106">
        <f>IF(銘柄管理!C101="","",銘柄管理!C101)</f>
        <v/>
      </c>
      <c r="E156" s="179">
        <f>IF(C156&lt;&gt;"",_xll.RssMarket(C156,"現在値"),"")</f>
        <v/>
      </c>
      <c r="F156" s="179">
        <f>IF(C156&lt;&gt;"",_xll.RssMarket(C156,"始値"),"")</f>
        <v/>
      </c>
      <c r="G156" s="178">
        <f>IF(C156&lt;&gt;"",終値!F101,"")</f>
        <v/>
      </c>
      <c r="H156" s="179">
        <f>IF(C156&lt;&gt;"",_xll.RssMarket(C156,"高値"),"")</f>
        <v/>
      </c>
      <c r="I156" s="179">
        <f>IF(C156&lt;&gt;"",_xll.RssMarket(C156,"安値"),"")</f>
        <v/>
      </c>
      <c r="J156" s="179">
        <f>IF(C156&lt;&gt;"",_xll.RssMarket(C156,"出来高"),"")</f>
        <v/>
      </c>
      <c r="K156" s="179">
        <f>IF(C156&lt;&gt;"",_xll.RssMarket(C156,"年初来高値"),"")</f>
        <v/>
      </c>
      <c r="L156" s="613">
        <f>IF(AND(E156&lt;&gt;"",K156&lt;&gt;"",K156&lt;&gt;0),(E156-K156)/K156*100,"")</f>
        <v/>
      </c>
      <c r="M156" s="179">
        <f>IF(C156&lt;&gt;"",IFERROR(AVERAGE(出来高!E101:I101),""),"")</f>
        <v/>
      </c>
      <c r="N156" s="179">
        <f>IF(C156&lt;&gt;"",IFERROR(AVERAGE(出来高!E101:AC101),""),"")</f>
        <v/>
      </c>
      <c r="O156" s="614">
        <f>IF(AND(J156&lt;&gt;"",M156&lt;&gt;"",M156&lt;&gt;0),J156/M156,"")</f>
        <v/>
      </c>
      <c r="P156" s="176">
        <f>IF(O156="","",IF(O156&gt;=2,"急増↑↑",IF(O156&gt;=1.5,"増加↑",IF(O156&gt;=1,"普通→","減少↓"))))</f>
        <v/>
      </c>
      <c r="Q156" s="176">
        <f>IF(E156="","",IF(AND(E156&gt;G156,O156&gt;=1.5),"買い▲",IF(E156&lt;G156,"様子見▼","中立→")))</f>
        <v/>
      </c>
      <c r="R156" s="179">
        <f>IF(E156&lt;&gt;"",ROUND(E156*1.08,0),"")</f>
        <v/>
      </c>
      <c r="S156" s="179">
        <f>IF(E156&lt;&gt;"",ROUND(E156*0.96,0),"")</f>
        <v/>
      </c>
      <c r="T156" s="176">
        <f>IF(C156="","",IFERROR(IF(O156&gt;=2,3,IF(O156&gt;=1.5,2,IF(O156&gt;=1,1,0)))+IF(E156&gt;G156,1,0)+IF(L156&gt;=-5,1,0)+IF(Q156="買い▲",2,0)+IF(W156&lt;=30,3,IF(W156&lt;=40,2,IF(AND(W156&gt;=40,W156&lt;=60),1,0)))+IF(X156&gt;0,1,0)+IF(V156="年初来高値更新●",3,IF(V156="高値圏",2,0))+IF(AD156="パーフェクト▲",3,IF(AD156="上昇トレンド▲",2,0))+IF(AE156="25日線押し目●",2,IF(AE156="5日線押し目○",1,0))+IF(P156="急増↑↑",2,IF(P156="増加↑",1,0))+N(AI156),0))</f>
        <v/>
      </c>
      <c r="U156" s="176">
        <f>IF(T156="","",IF(AND(T156&gt;=3,O156&gt;=1.5),"有効",IF(T156&gt;=3,"要確認","除外")))</f>
        <v/>
      </c>
      <c r="V156" s="176">
        <f>IF(AND(H156&lt;&gt;"",K156&lt;&gt;""),IF(H156&gt;=K156,"年初来高値更新●",IF(H156&gt;=K156*0.95,"高値圏","通常")),"")</f>
        <v/>
      </c>
      <c r="W156" s="615">
        <f t="array" ref="W156">IF(C156&lt;&gt;"",IFERROR(100-100/(1+SUMPRODUCT((終値!F101:R101&gt;終値!G101:S101)*( 終値!F101:R101-終値!G101:S101))/SUMPRODUCT((終値!F101:R101&lt;終値!G101:S101)*(終値!G101:S101-終値!F101:R101))),50),"")</f>
        <v/>
      </c>
      <c r="X156" s="183">
        <f>IF(C156&lt;&gt;"",IFERROR(SUMPRODUCT(終値!E101:P101,{0.154,0.132,0.113,0.097,0.083,0.071,0.061,0.052,0.045,0.038,0.033,0.028})/SUMPRODUCT({0.154,0.132,0.113,0.097,0.083,0.071,0.061,0.052,0.045,0.038,0.033,0.028})-SUMPRODUCT(終値!E101:AD101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6" s="570">
        <f>IF(T156="","",IF(銘柄管理!$F$5="下落▼",IF(AND(AD156="パーフェクト▲",OR(AE156="25日線押し目●",AE156="5日線押し目○")),"★逆張り候補",IF(AND(AD156="上昇トレンド▲",OR(AE156="25日線押し目●",AE156="5日線押し目○")),"○逆張り候補",IF(W156&lt;=30,IF(Z156&gt;0,"◎反発確認",IF(Z156&lt;-5,"△要注意・様子見","△売られ過ぎ注目")),"相場下落・見送り"))),IF(AND(T156&gt;=12,AD156="パーフェクト▲"),"★強い買い",IF(AND(T156&gt;=12,AD156="上昇トレンド▲"),"★強い買い",IF(AND(T156&gt;=8,OR(AE156="25日線押し目●",AE156="5日線押し目○")),"◎押し目買い",IF(T156&gt;=10,"○買い候補",IF(T156&gt;=6,"△注目",IF(T156&gt;=3,"様子見","見送り"))))))))</f>
        <v/>
      </c>
      <c r="Z156" s="616">
        <f>IF(AND(E156&lt;&gt;"",G156&lt;&gt;"",G156&lt;&gt;0),(E156-G156)/G156*100,"")</f>
        <v/>
      </c>
      <c r="AA156" s="176">
        <f>IF(OR(C156="",E156="",E156=0),"",IF(E156&gt;G156,"上昇▲",IF(E156&lt;G156,"下落▼","横ばい→")))</f>
        <v/>
      </c>
      <c r="AB156" s="438">
        <f>IF(C156="","",IFERROR(((終値!E158*0.333)+(終値!F158*0.222)+(終値!G158*0.148)+(終値!H158*0.099)+(終値!I158*0.066)+(終値!J158*0.044)+(終値!K158*0.029)+(終値!L158*0.019)+(終値!M158*0.013)+(終値!N158*0.009))/(0.333+0.222+0.148+0.099+0.066+0.044+0.029+0.019+0.013+0.009),""))</f>
        <v/>
      </c>
      <c r="AC156" s="438">
        <f>IF(C156="","",IFERROR(SUMPRODUCT((終値!E158:AC158)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6" s="439">
        <f>IF(OR(C156="",AB156="",AC156=""),"",IF(AND(E156&gt;AB156,AB156&gt;AC156),"パーフェクト▲",IF(E156&gt;AC156,"上昇トレンド▲",IF(AND(E156&lt;AB156,AB156&lt;AC156),"下降トレンド▼","もみ合い→"))))</f>
        <v/>
      </c>
      <c r="AE156" s="439">
        <f>IF(OR(C156="",AB156="",AC156=""),"",IF(AND(ABS(E156-AC156)/AC156&lt;=0.02,E156&gt;AC156),"25日押し目★",IF(AND(ABS(E156-AB156)/AB156&lt;=0.01,E156&gt;AB156),"5日押し目○","なし")))</f>
        <v/>
      </c>
      <c r="AF156" s="617">
        <f t="array" ref="AF156">IF(C156="","",IFERROR((INDEX(終値!$E:$E,MATCH(TEXT(C156,"0"),終値!$A:$A,0))-INDEX(終値!$E:$BL,MATCH(TEXT(C156,"0"),終値!$A:$A,0),$AL$2))/INDEX(終値!$E:$BL,MATCH(TEXT(C156,"0"),終値!$A:$A,0),$AL$2)*100,""))</f>
        <v/>
      </c>
      <c r="AG156" s="617">
        <f t="array" ref="AG156">IFERROR((終値!$E$5-INDEX(終値!$E$5:$BL$5,1,$AL$2))/INDEX(終値!$E$5:$BL$5,1,$AL$2)*100,"")</f>
        <v/>
      </c>
      <c r="AH156" s="618">
        <f>IF(OR(AF156="",AG156=""),"",AF156-AG156)</f>
        <v/>
      </c>
      <c r="AI156" s="385">
        <f>IF(AH156="","",IF(AH156&gt;5,3,IF(AH156&gt;0,1,IF(AH156&gt;-3,-1,-2))))</f>
        <v/>
      </c>
    </row>
    <row r="157" ht="18" customHeight="1" s="574">
      <c r="A157" s="176">
        <f>IF(銘柄管理!B64&lt;&gt;"",HYPERLINK("https://kabutan.jp/stock/?code="&amp;銘柄管理!B64,"株探"),"")</f>
        <v/>
      </c>
      <c r="B157" s="177" t="n"/>
      <c r="C157" s="178">
        <f>IF(銘柄管理!B64="","",銘柄管理!B64)</f>
        <v/>
      </c>
      <c r="D157" s="106">
        <f>IF(銘柄管理!C64="","",銘柄管理!C64)</f>
        <v/>
      </c>
      <c r="E157" s="179">
        <f>IF(C157&lt;&gt;"",_xll.RssMarket(C157,"現在値"),"")</f>
        <v/>
      </c>
      <c r="F157" s="179">
        <f>IF(C157&lt;&gt;"",_xll.RssMarket(C157,"始値"),"")</f>
        <v/>
      </c>
      <c r="G157" s="178">
        <f>IF(C157&lt;&gt;"",終値!F64,"")</f>
        <v/>
      </c>
      <c r="H157" s="179">
        <f>IF(C157&lt;&gt;"",_xll.RssMarket(C157,"高値"),"")</f>
        <v/>
      </c>
      <c r="I157" s="179">
        <f>IF(C157&lt;&gt;"",_xll.RssMarket(C157,"安値"),"")</f>
        <v/>
      </c>
      <c r="J157" s="179">
        <f>IF(C157&lt;&gt;"",_xll.RssMarket(C157,"出来高"),"")</f>
        <v/>
      </c>
      <c r="K157" s="179">
        <f>IF(C157&lt;&gt;"",_xll.RssMarket(C157,"年初来高値"),"")</f>
        <v/>
      </c>
      <c r="L157" s="613">
        <f>IF(AND(E157&lt;&gt;"",K157&lt;&gt;"",K157&lt;&gt;0),(E157-K157)/K157*100,"")</f>
        <v/>
      </c>
      <c r="M157" s="179">
        <f>IF(C157&lt;&gt;"",IFERROR(AVERAGE(出来高!E64:I64),""),"")</f>
        <v/>
      </c>
      <c r="N157" s="179">
        <f>IF(C157&lt;&gt;"",IFERROR(AVERAGE(出来高!E64:AC64),""),"")</f>
        <v/>
      </c>
      <c r="O157" s="614">
        <f>IF(AND(J157&lt;&gt;"",M157&lt;&gt;"",M157&lt;&gt;0),J157/M157,"")</f>
        <v/>
      </c>
      <c r="P157" s="176">
        <f>IF(O157="","",IF(O157&gt;=2,"急増↑↑",IF(O157&gt;=1.5,"増加↑",IF(O157&gt;=1,"普通→","減少↓"))))</f>
        <v/>
      </c>
      <c r="Q157" s="176">
        <f>IF(E157="","",IF(AND(E157&gt;G157,O157&gt;=1.5),"買い▲",IF(E157&lt;G157,"様子見▼","中立→")))</f>
        <v/>
      </c>
      <c r="R157" s="179">
        <f>IF(E157&lt;&gt;"",ROUND(E157*1.08,0),"")</f>
        <v/>
      </c>
      <c r="S157" s="179">
        <f>IF(E157&lt;&gt;"",ROUND(E157*0.96,0),"")</f>
        <v/>
      </c>
      <c r="T157" s="176">
        <f>IF(C157="","",IFERROR(IF(O157&gt;=2,3,IF(O157&gt;=1.5,2,IF(O157&gt;=1,1,0)))+IF(E157&gt;G157,1,0)+IF(L157&gt;=-5,1,0)+IF(Q157="買い▲",2,0)+IF(W157&lt;=30,3,IF(W157&lt;=40,2,IF(AND(W157&gt;=40,W157&lt;=60),1,0)))+IF(X157&gt;0,1,0)+IF(V157="年初来高値更新●",3,IF(V157="高値圏",2,0))+IF(AD157="パーフェクト▲",3,IF(AD157="上昇トレンド▲",2,0))+IF(AE157="25日線押し目●",2,IF(AE157="5日線押し目○",1,0))+IF(P157="急増↑↑",2,IF(P157="増加↑",1,0))+N(AI157),0))</f>
        <v/>
      </c>
      <c r="U157" s="176">
        <f>IF(T157="","",IF(AND(T157&gt;=3,O157&gt;=1.5),"有効",IF(T157&gt;=3,"要確認","除外")))</f>
        <v/>
      </c>
      <c r="V157" s="176">
        <f>IF(AND(H157&lt;&gt;"",K157&lt;&gt;""),IF(H157&gt;=K157,"年初来高値更新●",IF(H157&gt;=K157*0.95,"高値圏","通常")),"")</f>
        <v/>
      </c>
      <c r="W157" s="615">
        <f t="array" ref="W157">IF(C157&lt;&gt;"",IFERROR(100-100/(1+SUMPRODUCT((終値!F64:R64&gt;終値!G64:S64)*( 終値!F64:R64-終値!G64:S64))/SUMPRODUCT((終値!F64:R64&lt;終値!G64:S64)*(終値!G64:S64-終値!F64:R64))),50),"")</f>
        <v/>
      </c>
      <c r="X157" s="183">
        <f>IF(C157&lt;&gt;"",IFERROR(SUMPRODUCT(終値!E64:P64,{0.154,0.132,0.113,0.097,0.083,0.071,0.061,0.052,0.045,0.038,0.033,0.028})/SUMPRODUCT({0.154,0.132,0.113,0.097,0.083,0.071,0.061,0.052,0.045,0.038,0.033,0.028})-SUMPRODUCT(終値!E64:AD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7" s="570">
        <f>IF(T157="","",IF(銘柄管理!$F$5="下落▼",IF(AND(AD157="パーフェクト▲",OR(AE157="25日線押し目●",AE157="5日線押し目○")),"★逆張り候補",IF(AND(AD157="上昇トレンド▲",OR(AE157="25日線押し目●",AE157="5日線押し目○")),"○逆張り候補",IF(W157&lt;=30,IF(Z157&gt;0,"◎反発確認",IF(Z157&lt;-5,"△要注意・様子見","△売られ過ぎ注目")),"相場下落・見送り"))),IF(AND(T157&gt;=12,AD157="パーフェクト▲"),"★強い買い",IF(AND(T157&gt;=12,AD157="上昇トレンド▲"),"★強い買い",IF(AND(T157&gt;=8,OR(AE157="25日線押し目●",AE157="5日線押し目○")),"◎押し目買い",IF(T157&gt;=10,"○買い候補",IF(T157&gt;=6,"△注目",IF(T157&gt;=3,"様子見","見送り"))))))))</f>
        <v/>
      </c>
      <c r="Z157" s="616">
        <f>IF(AND(E157&lt;&gt;"",G157&lt;&gt;"",G157&lt;&gt;0),(E157-G157)/G157*100,"")</f>
        <v/>
      </c>
      <c r="AA157" s="176">
        <f>IF(OR(C157="",E157="",E157=0),"",IF(E157&gt;G157,"上昇▲",IF(E157&lt;G157,"下落▼","横ばい→")))</f>
        <v/>
      </c>
      <c r="AB157" s="440">
        <f>IF(C157="","",IFERROR(((終値!E159*0.333)+(終値!F159*0.222)+(終値!G159*0.148)+(終値!H159*0.099)+(終値!I159*0.066)+(終値!J159*0.044)+(終値!K159*0.029)+(終値!L159*0.019)+(終値!M159*0.013)+(終値!N159*0.009))/(0.333+0.222+0.148+0.099+0.066+0.044+0.029+0.019+0.013+0.009),""))</f>
        <v/>
      </c>
      <c r="AC157" s="440">
        <f>IF(C157="","",IFERROR(SUMPRODUCT((終値!E159:AC159)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7" s="441">
        <f>IF(OR(C157="",AB157="",AC157=""),"",IF(AND(E157&gt;AB157,AB157&gt;AC157),"パーフェクト▲",IF(E157&gt;AC157,"上昇トレンド▲",IF(AND(E157&lt;AB157,AB157&lt;AC157),"下降トレンド▼","もみ合い→"))))</f>
        <v/>
      </c>
      <c r="AE157" s="441">
        <f>IF(OR(C157="",AB157="",AC157=""),"",IF(AND(ABS(E157-AC157)/AC157&lt;=0.02,E157&gt;AC157),"25日押し目★",IF(AND(ABS(E157-AB157)/AB157&lt;=0.01,E157&gt;AB157),"5日押し目○","なし")))</f>
        <v/>
      </c>
      <c r="AF157" s="617">
        <f t="array" ref="AF157">IF(C157="","",IFERROR((INDEX(終値!$E:$E,MATCH(TEXT(C157,"0"),終値!$A:$A,0))-INDEX(終値!$E:$BL,MATCH(TEXT(C157,"0"),終値!$A:$A,0),$AL$2))/INDEX(終値!$E:$BL,MATCH(TEXT(C157,"0"),終値!$A:$A,0),$AL$2)*100,""))</f>
        <v/>
      </c>
      <c r="AG157" s="617">
        <f t="array" ref="AG157">IFERROR((終値!$E$5-INDEX(終値!$E$5:$BL$5,1,$AL$2))/INDEX(終値!$E$5:$BL$5,1,$AL$2)*100,"")</f>
        <v/>
      </c>
      <c r="AH157" s="618">
        <f>IF(OR(AF157="",AG157=""),"",AF157-AG157)</f>
        <v/>
      </c>
      <c r="AI157" s="385">
        <f>IF(AH157="","",IF(AH157&gt;5,3,IF(AH157&gt;0,1,IF(AH157&gt;-3,-1,-2))))</f>
        <v/>
      </c>
    </row>
    <row r="158" ht="18" customHeight="1" s="574">
      <c r="A158" s="176">
        <f>IF(銘柄管理!B67&lt;&gt;"",HYPERLINK("https://kabutan.jp/stock/?code="&amp;銘柄管理!B67,"株探"),"")</f>
        <v/>
      </c>
      <c r="B158" s="177" t="n"/>
      <c r="C158" s="178">
        <f>IF(銘柄管理!B67="","",銘柄管理!B67)</f>
        <v/>
      </c>
      <c r="D158" s="106">
        <f>IF(銘柄管理!C67="","",銘柄管理!C67)</f>
        <v/>
      </c>
      <c r="E158" s="179">
        <f>IF(C158&lt;&gt;"",_xll.RssMarket(C158,"現在値"),"")</f>
        <v/>
      </c>
      <c r="F158" s="179">
        <f>IF(C158&lt;&gt;"",_xll.RssMarket(C158,"始値"),"")</f>
        <v/>
      </c>
      <c r="G158" s="178">
        <f>IF(C158&lt;&gt;"",終値!F67,"")</f>
        <v/>
      </c>
      <c r="H158" s="179">
        <f>IF(C158&lt;&gt;"",_xll.RssMarket(C158,"高値"),"")</f>
        <v/>
      </c>
      <c r="I158" s="179">
        <f>IF(C158&lt;&gt;"",_xll.RssMarket(C158,"安値"),"")</f>
        <v/>
      </c>
      <c r="J158" s="179">
        <f>IF(C158&lt;&gt;"",_xll.RssMarket(C158,"出来高"),"")</f>
        <v/>
      </c>
      <c r="K158" s="179">
        <f>IF(C158&lt;&gt;"",_xll.RssMarket(C158,"年初来高値"),"")</f>
        <v/>
      </c>
      <c r="L158" s="613">
        <f>IF(AND(E158&lt;&gt;"",K158&lt;&gt;"",K158&lt;&gt;0),(E158-K158)/K158*100,"")</f>
        <v/>
      </c>
      <c r="M158" s="179">
        <f>IF(C158&lt;&gt;"",IFERROR(AVERAGE(出来高!E67:I67),""),"")</f>
        <v/>
      </c>
      <c r="N158" s="179">
        <f>IF(C158&lt;&gt;"",IFERROR(AVERAGE(出来高!E67:AC67),""),"")</f>
        <v/>
      </c>
      <c r="O158" s="614">
        <f>IF(AND(J158&lt;&gt;"",M158&lt;&gt;"",M158&lt;&gt;0),J158/M158,"")</f>
        <v/>
      </c>
      <c r="P158" s="176">
        <f>IF(O158="","",IF(O158&gt;=2,"急増↑↑",IF(O158&gt;=1.5,"増加↑",IF(O158&gt;=1,"普通→","減少↓"))))</f>
        <v/>
      </c>
      <c r="Q158" s="176">
        <f>IF(E158="","",IF(AND(E158&gt;G158,O158&gt;=1.5),"買い▲",IF(E158&lt;G158,"様子見▼","中立→")))</f>
        <v/>
      </c>
      <c r="R158" s="179">
        <f>IF(E158&lt;&gt;"",ROUND(E158*1.08,0),"")</f>
        <v/>
      </c>
      <c r="S158" s="179">
        <f>IF(E158&lt;&gt;"",ROUND(E158*0.96,0),"")</f>
        <v/>
      </c>
      <c r="T158" s="176">
        <f>IF(C158="","",IFERROR(IF(O158&gt;=2,3,IF(O158&gt;=1.5,2,IF(O158&gt;=1,1,0)))+IF(E158&gt;G158,1,0)+IF(L158&gt;=-5,1,0)+IF(Q158="買い▲",2,0)+IF(W158&lt;=30,3,IF(W158&lt;=40,2,IF(AND(W158&gt;=40,W158&lt;=60),1,0)))+IF(X158&gt;0,1,0)+IF(V158="年初来高値更新●",3,IF(V158="高値圏",2,0))+IF(AD158="パーフェクト▲",3,IF(AD158="上昇トレンド▲",2,0))+IF(AE158="25日線押し目●",2,IF(AE158="5日線押し目○",1,0))+IF(P158="急増↑↑",2,IF(P158="増加↑",1,0))+N(AI158),0))</f>
        <v/>
      </c>
      <c r="U158" s="176">
        <f>IF(T158="","",IF(AND(T158&gt;=3,O158&gt;=1.5),"有効",IF(T158&gt;=3,"要確認","除外")))</f>
        <v/>
      </c>
      <c r="V158" s="176">
        <f>IF(AND(H158&lt;&gt;"",K158&lt;&gt;""),IF(H158&gt;=K158,"年初来高値更新●",IF(H158&gt;=K158*0.95,"高値圏","通常")),"")</f>
        <v/>
      </c>
      <c r="W158" s="615">
        <f t="array" ref="W158">IF(C158&lt;&gt;"",IFERROR(100-100/(1+SUMPRODUCT((終値!F67:R67&gt;終値!G67:S67)*( 終値!F67:R67-終値!G67:S67))/SUMPRODUCT((終値!F67:R67&lt;終値!G67:S67)*(終値!G67:S67-終値!F67:R67))),50),"")</f>
        <v/>
      </c>
      <c r="X158" s="183">
        <f>IF(C158&lt;&gt;"",IFERROR(SUMPRODUCT(終値!E67:P67,{0.154,0.132,0.113,0.097,0.083,0.071,0.061,0.052,0.045,0.038,0.033,0.028})/SUMPRODUCT({0.154,0.132,0.113,0.097,0.083,0.071,0.061,0.052,0.045,0.038,0.033,0.028})-SUMPRODUCT(終値!E67:AD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8" s="570">
        <f>IF(T158="","",IF(銘柄管理!$F$5="下落▼",IF(AND(AD158="パーフェクト▲",OR(AE158="25日線押し目●",AE158="5日線押し目○")),"★逆張り候補",IF(AND(AD158="上昇トレンド▲",OR(AE158="25日線押し目●",AE158="5日線押し目○")),"○逆張り候補",IF(W158&lt;=30,IF(Z158&gt;0,"◎反発確認",IF(Z158&lt;-5,"△要注意・様子見","△売られ過ぎ注目")),"相場下落・見送り"))),IF(AND(T158&gt;=12,AD158="パーフェクト▲"),"★強い買い",IF(AND(T158&gt;=12,AD158="上昇トレンド▲"),"★強い買い",IF(AND(T158&gt;=8,OR(AE158="25日線押し目●",AE158="5日線押し目○")),"◎押し目買い",IF(T158&gt;=10,"○買い候補",IF(T158&gt;=6,"△注目",IF(T158&gt;=3,"様子見","見送り"))))))))</f>
        <v/>
      </c>
      <c r="Z158" s="616">
        <f>IF(AND(E158&lt;&gt;"",G158&lt;&gt;"",G158&lt;&gt;0),(E158-G158)/G158*100,"")</f>
        <v/>
      </c>
      <c r="AA158" s="176">
        <f>IF(OR(C158="",E158="",E158=0),"",IF(E158&gt;G158,"上昇▲",IF(E158&lt;G158,"下落▼","横ばい→")))</f>
        <v/>
      </c>
      <c r="AB158" s="438">
        <f>IF(C158="","",IFERROR(((終値!E160*0.333)+(終値!F160*0.222)+(終値!G160*0.148)+(終値!H160*0.099)+(終値!I160*0.066)+(終値!J160*0.044)+(終値!K160*0.029)+(終値!L160*0.019)+(終値!M160*0.013)+(終値!N160*0.009))/(0.333+0.222+0.148+0.099+0.066+0.044+0.029+0.019+0.013+0.009),""))</f>
        <v/>
      </c>
      <c r="AC158" s="438">
        <f>IF(C158="","",IFERROR(SUMPRODUCT((終値!E160:AC160)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8" s="439">
        <f>IF(OR(C158="",AB158="",AC158=""),"",IF(AND(E158&gt;AB158,AB158&gt;AC158),"パーフェクト▲",IF(E158&gt;AC158,"上昇トレンド▲",IF(AND(E158&lt;AB158,AB158&lt;AC158),"下降トレンド▼","もみ合い→"))))</f>
        <v/>
      </c>
      <c r="AE158" s="439">
        <f>IF(OR(C158="",AB158="",AC158=""),"",IF(AND(ABS(E158-AC158)/AC158&lt;=0.02,E158&gt;AC158),"25日押し目★",IF(AND(ABS(E158-AB158)/AB158&lt;=0.01,E158&gt;AB158),"5日押し目○","なし")))</f>
        <v/>
      </c>
      <c r="AF158" s="617">
        <f t="array" ref="AF158">IF(C158="","",IFERROR((INDEX(終値!$E:$E,MATCH(TEXT(C158,"0"),終値!$A:$A,0))-INDEX(終値!$E:$BL,MATCH(TEXT(C158,"0"),終値!$A:$A,0),$AL$2))/INDEX(終値!$E:$BL,MATCH(TEXT(C158,"0"),終値!$A:$A,0),$AL$2)*100,""))</f>
        <v/>
      </c>
      <c r="AG158" s="617">
        <f t="array" ref="AG158">IFERROR((終値!$E$5-INDEX(終値!$E$5:$BL$5,1,$AL$2))/INDEX(終値!$E$5:$BL$5,1,$AL$2)*100,"")</f>
        <v/>
      </c>
      <c r="AH158" s="618">
        <f>IF(OR(AF158="",AG158=""),"",AF158-AG158)</f>
        <v/>
      </c>
      <c r="AI158" s="385">
        <f>IF(AH158="","",IF(AH158&gt;5,3,IF(AH158&gt;0,1,IF(AH158&gt;-3,-1,-2))))</f>
        <v/>
      </c>
    </row>
    <row r="159" ht="18" customHeight="1" s="574">
      <c r="A159" s="176">
        <f>IF(銘柄管理!B100&lt;&gt;"",HYPERLINK("https://kabutan.jp/stock/?code="&amp;銘柄管理!B100,"株探"),"")</f>
        <v/>
      </c>
      <c r="B159" s="177" t="n"/>
      <c r="C159" s="178">
        <f>IF(銘柄管理!B100="","",銘柄管理!B100)</f>
        <v/>
      </c>
      <c r="D159" s="106">
        <f>IF(銘柄管理!C100="","",銘柄管理!C100)</f>
        <v/>
      </c>
      <c r="E159" s="179">
        <f>IF(C159&lt;&gt;"",_xll.RssMarket(C159,"現在値"),"")</f>
        <v/>
      </c>
      <c r="F159" s="179">
        <f>IF(C159&lt;&gt;"",_xll.RssMarket(C159,"始値"),"")</f>
        <v/>
      </c>
      <c r="G159" s="178">
        <f>IF(C159&lt;&gt;"",終値!F100,"")</f>
        <v/>
      </c>
      <c r="H159" s="179">
        <f>IF(C159&lt;&gt;"",_xll.RssMarket(C159,"高値"),"")</f>
        <v/>
      </c>
      <c r="I159" s="179">
        <f>IF(C159&lt;&gt;"",_xll.RssMarket(C159,"安値"),"")</f>
        <v/>
      </c>
      <c r="J159" s="179">
        <f>IF(C159&lt;&gt;"",_xll.RssMarket(C159,"出来高"),"")</f>
        <v/>
      </c>
      <c r="K159" s="179">
        <f>IF(C159&lt;&gt;"",_xll.RssMarket(C159,"年初来高値"),"")</f>
        <v/>
      </c>
      <c r="L159" s="613">
        <f>IF(AND(E159&lt;&gt;"",K159&lt;&gt;"",K159&lt;&gt;0),(E159-K159)/K159*100,"")</f>
        <v/>
      </c>
      <c r="M159" s="179">
        <f>IF(C159&lt;&gt;"",IFERROR(AVERAGE(出来高!E100:I100),""),"")</f>
        <v/>
      </c>
      <c r="N159" s="179">
        <f>IF(C159&lt;&gt;"",IFERROR(AVERAGE(出来高!E100:AC100),""),"")</f>
        <v/>
      </c>
      <c r="O159" s="614">
        <f>IF(AND(J159&lt;&gt;"",M159&lt;&gt;"",M159&lt;&gt;0),J159/M159,"")</f>
        <v/>
      </c>
      <c r="P159" s="176">
        <f>IF(O159="","",IF(O159&gt;=2,"急増↑↑",IF(O159&gt;=1.5,"増加↑",IF(O159&gt;=1,"普通→","減少↓"))))</f>
        <v/>
      </c>
      <c r="Q159" s="176">
        <f>IF(E159="","",IF(AND(E159&gt;G159,O159&gt;=1.5),"買い▲",IF(E159&lt;G159,"様子見▼","中立→")))</f>
        <v/>
      </c>
      <c r="R159" s="179">
        <f>IF(E159&lt;&gt;"",ROUND(E159*1.08,0),"")</f>
        <v/>
      </c>
      <c r="S159" s="179">
        <f>IF(E159&lt;&gt;"",ROUND(E159*0.96,0),"")</f>
        <v/>
      </c>
      <c r="T159" s="176">
        <f>IF(C159="","",IFERROR(IF(O159&gt;=2,3,IF(O159&gt;=1.5,2,IF(O159&gt;=1,1,0)))+IF(E159&gt;G159,1,0)+IF(L159&gt;=-5,1,0)+IF(Q159="買い▲",2,0)+IF(W159&lt;=30,3,IF(W159&lt;=40,2,IF(AND(W159&gt;=40,W159&lt;=60),1,0)))+IF(X159&gt;0,1,0)+IF(V159="年初来高値更新●",3,IF(V159="高値圏",2,0))+IF(AD159="パーフェクト▲",3,IF(AD159="上昇トレンド▲",2,0))+IF(AE159="25日線押し目●",2,IF(AE159="5日線押し目○",1,0))+IF(P159="急増↑↑",2,IF(P159="増加↑",1,0))+N(AI159),0))</f>
        <v/>
      </c>
      <c r="U159" s="176">
        <f>IF(T159="","",IF(AND(T159&gt;=3,O159&gt;=1.5),"有効",IF(T159&gt;=3,"要確認","除外")))</f>
        <v/>
      </c>
      <c r="V159" s="176">
        <f>IF(AND(H159&lt;&gt;"",K159&lt;&gt;""),IF(H159&gt;=K159,"年初来高値更新●",IF(H159&gt;=K159*0.95,"高値圏","通常")),"")</f>
        <v/>
      </c>
      <c r="W159" s="615">
        <f t="array" ref="W159">IF(C159&lt;&gt;"",IFERROR(100-100/(1+SUMPRODUCT((終値!F100:R100&gt;終値!G100:S100)*( 終値!F100:R100-終値!G100:S100))/SUMPRODUCT((終値!F100:R100&lt;終値!G100:S100)*(終値!G100:S100-終値!F100:R100))),50),"")</f>
        <v/>
      </c>
      <c r="X159" s="183">
        <f>IF(C159&lt;&gt;"",IFERROR(SUMPRODUCT(終値!E100:P100,{0.154,0.132,0.113,0.097,0.083,0.071,0.061,0.052,0.045,0.038,0.033,0.028})/SUMPRODUCT({0.154,0.132,0.113,0.097,0.083,0.071,0.061,0.052,0.045,0.038,0.033,0.028})-SUMPRODUCT(終値!E100:AD100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9" s="570">
        <f>IF(T159="","",IF(銘柄管理!$F$5="下落▼",IF(AND(AD159="パーフェクト▲",OR(AE159="25日線押し目●",AE159="5日線押し目○")),"★逆張り候補",IF(AND(AD159="上昇トレンド▲",OR(AE159="25日線押し目●",AE159="5日線押し目○")),"○逆張り候補",IF(W159&lt;=30,IF(Z159&gt;0,"◎反発確認",IF(Z159&lt;-5,"△要注意・様子見","△売られ過ぎ注目")),"相場下落・見送り"))),IF(AND(T159&gt;=12,AD159="パーフェクト▲"),"★強い買い",IF(AND(T159&gt;=12,AD159="上昇トレンド▲"),"★強い買い",IF(AND(T159&gt;=8,OR(AE159="25日線押し目●",AE159="5日線押し目○")),"◎押し目買い",IF(T159&gt;=10,"○買い候補",IF(T159&gt;=6,"△注目",IF(T159&gt;=3,"様子見","見送り"))))))))</f>
        <v/>
      </c>
      <c r="Z159" s="616">
        <f>IF(AND(E159&lt;&gt;"",G159&lt;&gt;"",G159&lt;&gt;0),(E159-G159)/G159*100,"")</f>
        <v/>
      </c>
      <c r="AA159" s="176">
        <f>IF(OR(C159="",E159="",E159=0),"",IF(E159&gt;G159,"上昇▲",IF(E159&lt;G159,"下落▼","横ばい→")))</f>
        <v/>
      </c>
      <c r="AB159" s="440">
        <f>IF(C159="","",IFERROR(((終値!E161*0.333)+(終値!F161*0.222)+(終値!G161*0.148)+(終値!H161*0.099)+(終値!I161*0.066)+(終値!J161*0.044)+(終値!K161*0.029)+(終値!L161*0.019)+(終値!M161*0.013)+(終値!N161*0.009))/(0.333+0.222+0.148+0.099+0.066+0.044+0.029+0.019+0.013+0.009),""))</f>
        <v/>
      </c>
      <c r="AC159" s="440">
        <f>IF(C159="","",IFERROR(SUMPRODUCT((終値!E161:AC161)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9" s="441">
        <f>IF(OR(C159="",AB159="",AC159=""),"",IF(AND(E159&gt;AB159,AB159&gt;AC159),"パーフェクト▲",IF(E159&gt;AC159,"上昇トレンド▲",IF(AND(E159&lt;AB159,AB159&lt;AC159),"下降トレンド▼","もみ合い→"))))</f>
        <v/>
      </c>
      <c r="AE159" s="441">
        <f>IF(OR(C159="",AB159="",AC159=""),"",IF(AND(ABS(E159-AC159)/AC159&lt;=0.02,E159&gt;AC159),"25日押し目★",IF(AND(ABS(E159-AB159)/AB159&lt;=0.01,E159&gt;AB159),"5日押し目○","なし")))</f>
        <v/>
      </c>
      <c r="AF159" s="617">
        <f t="array" ref="AF159">IF(C159="","",IFERROR((INDEX(終値!$E:$E,MATCH(TEXT(C159,"0"),終値!$A:$A,0))-INDEX(終値!$E:$BL,MATCH(TEXT(C159,"0"),終値!$A:$A,0),$AL$2))/INDEX(終値!$E:$BL,MATCH(TEXT(C159,"0"),終値!$A:$A,0),$AL$2)*100,""))</f>
        <v/>
      </c>
      <c r="AG159" s="617">
        <f t="array" ref="AG159">IFERROR((終値!$E$5-INDEX(終値!$E$5:$BL$5,1,$AL$2))/INDEX(終値!$E$5:$BL$5,1,$AL$2)*100,"")</f>
        <v/>
      </c>
      <c r="AH159" s="618">
        <f>IF(OR(AF159="",AG159=""),"",AF159-AG159)</f>
        <v/>
      </c>
      <c r="AI159" s="385">
        <f>IF(AH159="","",IF(AH159&gt;5,3,IF(AH159&gt;0,1,IF(AH159&gt;-3,-1,-2))))</f>
        <v/>
      </c>
    </row>
    <row r="160" ht="18" customHeight="1" s="574">
      <c r="A160" s="176">
        <f>IF(銘柄管理!B99&lt;&gt;"",HYPERLINK("https://kabutan.jp/stock/?code="&amp;銘柄管理!B99,"株探"),"")</f>
        <v/>
      </c>
      <c r="B160" s="177" t="n"/>
      <c r="C160" s="178">
        <f>IF(銘柄管理!B99="","",銘柄管理!B99)</f>
        <v/>
      </c>
      <c r="D160" s="106">
        <f>IF(銘柄管理!C99="","",銘柄管理!C99)</f>
        <v/>
      </c>
      <c r="E160" s="179">
        <f>IF(C160&lt;&gt;"",_xll.RssMarket(C160,"現在値"),"")</f>
        <v/>
      </c>
      <c r="F160" s="179">
        <f>IF(C160&lt;&gt;"",_xll.RssMarket(C160,"始値"),"")</f>
        <v/>
      </c>
      <c r="G160" s="178">
        <f>IF(C160&lt;&gt;"",終値!F99,"")</f>
        <v/>
      </c>
      <c r="H160" s="179">
        <f>IF(C160&lt;&gt;"",_xll.RssMarket(C160,"高値"),"")</f>
        <v/>
      </c>
      <c r="I160" s="179">
        <f>IF(C160&lt;&gt;"",_xll.RssMarket(C160,"安値"),"")</f>
        <v/>
      </c>
      <c r="J160" s="179">
        <f>IF(C160&lt;&gt;"",_xll.RssMarket(C160,"出来高"),"")</f>
        <v/>
      </c>
      <c r="K160" s="179">
        <f>IF(C160&lt;&gt;"",_xll.RssMarket(C160,"年初来高値"),"")</f>
        <v/>
      </c>
      <c r="L160" s="613">
        <f>IF(AND(E160&lt;&gt;"",K160&lt;&gt;"",K160&lt;&gt;0),(E160-K160)/K160*100,"")</f>
        <v/>
      </c>
      <c r="M160" s="179">
        <f>IF(C160&lt;&gt;"",IFERROR(AVERAGE(出来高!E99:I99),""),"")</f>
        <v/>
      </c>
      <c r="N160" s="179">
        <f>IF(C160&lt;&gt;"",IFERROR(AVERAGE(出来高!E99:AC99),""),"")</f>
        <v/>
      </c>
      <c r="O160" s="614">
        <f>IF(AND(J160&lt;&gt;"",M160&lt;&gt;"",M160&lt;&gt;0),J160/M160,"")</f>
        <v/>
      </c>
      <c r="P160" s="176">
        <f>IF(O160="","",IF(O160&gt;=2,"急増↑↑",IF(O160&gt;=1.5,"増加↑",IF(O160&gt;=1,"普通→","減少↓"))))</f>
        <v/>
      </c>
      <c r="Q160" s="176">
        <f>IF(E160="","",IF(AND(E160&gt;G160,O160&gt;=1.5),"買い▲",IF(E160&lt;G160,"様子見▼","中立→")))</f>
        <v/>
      </c>
      <c r="R160" s="179">
        <f>IF(E160&lt;&gt;"",ROUND(E160*1.08,0),"")</f>
        <v/>
      </c>
      <c r="S160" s="179">
        <f>IF(E160&lt;&gt;"",ROUND(E160*0.96,0),"")</f>
        <v/>
      </c>
      <c r="T160" s="176">
        <f>IF(C160="","",IFERROR(IF(O160&gt;=2,3,IF(O160&gt;=1.5,2,IF(O160&gt;=1,1,0)))+IF(E160&gt;G160,1,0)+IF(L160&gt;=-5,1,0)+IF(Q160="買い▲",2,0)+IF(W160&lt;=30,3,IF(W160&lt;=40,2,IF(AND(W160&gt;=40,W160&lt;=60),1,0)))+IF(X160&gt;0,1,0)+IF(V160="年初来高値更新●",3,IF(V160="高値圏",2,0))+IF(AD160="パーフェクト▲",3,IF(AD160="上昇トレンド▲",2,0))+IF(AE160="25日線押し目●",2,IF(AE160="5日線押し目○",1,0))+IF(P160="急増↑↑",2,IF(P160="増加↑",1,0))+N(AI160),0))</f>
        <v/>
      </c>
      <c r="U160" s="176">
        <f>IF(T160="","",IF(AND(T160&gt;=3,O160&gt;=1.5),"有効",IF(T160&gt;=3,"要確認","除外")))</f>
        <v/>
      </c>
      <c r="V160" s="176">
        <f>IF(AND(H160&lt;&gt;"",K160&lt;&gt;""),IF(H160&gt;=K160,"年初来高値更新●",IF(H160&gt;=K160*0.95,"高値圏","通常")),"")</f>
        <v/>
      </c>
      <c r="W160" s="615">
        <f t="array" ref="W160">IF(C160&lt;&gt;"",IFERROR(100-100/(1+SUMPRODUCT((終値!F99:R99&gt;終値!G99:S99)*( 終値!F99:R99-終値!G99:S99))/SUMPRODUCT((終値!F99:R99&lt;終値!G99:S99)*(終値!G99:S99-終値!F99:R99))),50),"")</f>
        <v/>
      </c>
      <c r="X160" s="183">
        <f>IF(C160&lt;&gt;"",IFERROR(SUMPRODUCT(終値!E99:P99,{0.154,0.132,0.113,0.097,0.083,0.071,0.061,0.052,0.045,0.038,0.033,0.028})/SUMPRODUCT({0.154,0.132,0.113,0.097,0.083,0.071,0.061,0.052,0.045,0.038,0.033,0.028})-SUMPRODUCT(終値!E99:AD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0" s="570">
        <f>IF(T160="","",IF(銘柄管理!$F$5="下落▼",IF(AND(AD160="パーフェクト▲",OR(AE160="25日線押し目●",AE160="5日線押し目○")),"★逆張り候補",IF(AND(AD160="上昇トレンド▲",OR(AE160="25日線押し目●",AE160="5日線押し目○")),"○逆張り候補",IF(W160&lt;=30,IF(Z160&gt;0,"◎反発確認",IF(Z160&lt;-5,"△要注意・様子見","△売られ過ぎ注目")),"相場下落・見送り"))),IF(AND(T160&gt;=12,AD160="パーフェクト▲"),"★強い買い",IF(AND(T160&gt;=12,AD160="上昇トレンド▲"),"★強い買い",IF(AND(T160&gt;=8,OR(AE160="25日線押し目●",AE160="5日線押し目○")),"◎押し目買い",IF(T160&gt;=10,"○買い候補",IF(T160&gt;=6,"△注目",IF(T160&gt;=3,"様子見","見送り"))))))))</f>
        <v/>
      </c>
      <c r="Z160" s="616">
        <f>IF(AND(E160&lt;&gt;"",G160&lt;&gt;"",G160&lt;&gt;0),(E160-G160)/G160*100,"")</f>
        <v/>
      </c>
      <c r="AA160" s="176">
        <f>IF(OR(C160="",E160="",E160=0),"",IF(E160&gt;G160,"上昇▲",IF(E160&lt;G160,"下落▼","横ばい→")))</f>
        <v/>
      </c>
      <c r="AB160" s="438">
        <f>IF(C160="","",IFERROR(((終値!E162*0.333)+(終値!F162*0.222)+(終値!G162*0.148)+(終値!H162*0.099)+(終値!I162*0.066)+(終値!J162*0.044)+(終値!K162*0.029)+(終値!L162*0.019)+(終値!M162*0.013)+(終値!N162*0.009))/(0.333+0.222+0.148+0.099+0.066+0.044+0.029+0.019+0.013+0.009),""))</f>
        <v/>
      </c>
      <c r="AC160" s="438">
        <f>IF(C160="","",IFERROR(SUMPRODUCT((終値!E162:AC162)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0" s="439">
        <f>IF(OR(C160="",AB160="",AC160=""),"",IF(AND(E160&gt;AB160,AB160&gt;AC160),"パーフェクト▲",IF(E160&gt;AC160,"上昇トレンド▲",IF(AND(E160&lt;AB160,AB160&lt;AC160),"下降トレンド▼","もみ合い→"))))</f>
        <v/>
      </c>
      <c r="AE160" s="439">
        <f>IF(OR(C160="",AB160="",AC160=""),"",IF(AND(ABS(E160-AC160)/AC160&lt;=0.02,E160&gt;AC160),"25日押し目★",IF(AND(ABS(E160-AB160)/AB160&lt;=0.01,E160&gt;AB160),"5日押し目○","なし")))</f>
        <v/>
      </c>
      <c r="AF160" s="617">
        <f t="array" ref="AF160">IF(C160="","",IFERROR((INDEX(終値!$E:$E,MATCH(TEXT(C160,"0"),終値!$A:$A,0))-INDEX(終値!$E:$BL,MATCH(TEXT(C160,"0"),終値!$A:$A,0),$AL$2))/INDEX(終値!$E:$BL,MATCH(TEXT(C160,"0"),終値!$A:$A,0),$AL$2)*100,""))</f>
        <v/>
      </c>
      <c r="AG160" s="617">
        <f t="array" ref="AG160">IFERROR((終値!$E$5-INDEX(終値!$E$5:$BL$5,1,$AL$2))/INDEX(終値!$E$5:$BL$5,1,$AL$2)*100,"")</f>
        <v/>
      </c>
      <c r="AH160" s="618">
        <f>IF(OR(AF160="",AG160=""),"",AF160-AG160)</f>
        <v/>
      </c>
      <c r="AI160" s="385">
        <f>IF(AH160="","",IF(AH160&gt;5,3,IF(AH160&gt;0,1,IF(AH160&gt;-3,-1,-2))))</f>
        <v/>
      </c>
    </row>
    <row r="161" ht="18" customHeight="1" s="574">
      <c r="A161" s="176">
        <f>IF(銘柄管理!B130&lt;&gt;"",HYPERLINK("https://kabutan.jp/stock/?code="&amp;銘柄管理!B130,"株探"),"")</f>
        <v/>
      </c>
      <c r="B161" s="177" t="n"/>
      <c r="C161" s="178">
        <f>IF(銘柄管理!B130="","",銘柄管理!B130)</f>
        <v/>
      </c>
      <c r="D161" s="106">
        <f>IF(銘柄管理!C130="","",銘柄管理!C130)</f>
        <v/>
      </c>
      <c r="E161" s="179">
        <f>IF(C161&lt;&gt;"",_xll.RssMarket(C161,"現在値"),"")</f>
        <v/>
      </c>
      <c r="F161" s="179">
        <f>IF(C161&lt;&gt;"",_xll.RssMarket(C161,"始値"),"")</f>
        <v/>
      </c>
      <c r="G161" s="178">
        <f>IF(C161&lt;&gt;"",終値!F130,"")</f>
        <v/>
      </c>
      <c r="H161" s="179">
        <f>IF(C161&lt;&gt;"",_xll.RssMarket(C161,"高値"),"")</f>
        <v/>
      </c>
      <c r="I161" s="179">
        <f>IF(C161&lt;&gt;"",_xll.RssMarket(C161,"安値"),"")</f>
        <v/>
      </c>
      <c r="J161" s="179">
        <f>IF(C161&lt;&gt;"",_xll.RssMarket(C161,"出来高"),"")</f>
        <v/>
      </c>
      <c r="K161" s="179">
        <f>IF(C161&lt;&gt;"",_xll.RssMarket(C161,"年初来高値"),"")</f>
        <v/>
      </c>
      <c r="L161" s="613">
        <f>IF(AND(E161&lt;&gt;"",K161&lt;&gt;"",K161&lt;&gt;0),(E161-K161)/K161*100,"")</f>
        <v/>
      </c>
      <c r="M161" s="179">
        <f>IF(C161&lt;&gt;"",IFERROR(AVERAGE(出来高!E130:I130),""),"")</f>
        <v/>
      </c>
      <c r="N161" s="179">
        <f>IF(C161&lt;&gt;"",IFERROR(AVERAGE(出来高!E130:AC130),""),"")</f>
        <v/>
      </c>
      <c r="O161" s="614">
        <f>IF(AND(J161&lt;&gt;"",M161&lt;&gt;"",M161&lt;&gt;0),J161/M161,"")</f>
        <v/>
      </c>
      <c r="P161" s="176">
        <f>IF(O161="","",IF(O161&gt;=2,"急増↑↑",IF(O161&gt;=1.5,"増加↑",IF(O161&gt;=1,"普通→","減少↓"))))</f>
        <v/>
      </c>
      <c r="Q161" s="176">
        <f>IF(E161="","",IF(AND(E161&gt;G161,O161&gt;=1.5),"買い▲",IF(E161&lt;G161,"様子見▼","中立→")))</f>
        <v/>
      </c>
      <c r="R161" s="179">
        <f>IF(E161&lt;&gt;"",ROUND(E161*1.08,0),"")</f>
        <v/>
      </c>
      <c r="S161" s="179">
        <f>IF(E161&lt;&gt;"",ROUND(E161*0.96,0),"")</f>
        <v/>
      </c>
      <c r="T161" s="176">
        <f>IF(C161="","",IFERROR(IF(O161&gt;=2,3,IF(O161&gt;=1.5,2,IF(O161&gt;=1,1,0)))+IF(E161&gt;G161,1,0)+IF(L161&gt;=-5,1,0)+IF(Q161="買い▲",2,0)+IF(W161&lt;=30,3,IF(W161&lt;=40,2,IF(AND(W161&gt;=40,W161&lt;=60),1,0)))+IF(X161&gt;0,1,0)+IF(V161="年初来高値更新●",3,IF(V161="高値圏",2,0))+IF(AD161="パーフェクト▲",3,IF(AD161="上昇トレンド▲",2,0))+IF(AE161="25日線押し目●",2,IF(AE161="5日線押し目○",1,0))+IF(P161="急増↑↑",2,IF(P161="増加↑",1,0))+N(AI161),0))</f>
        <v/>
      </c>
      <c r="U161" s="176">
        <f>IF(T161="","",IF(AND(T161&gt;=3,O161&gt;=1.5),"有効",IF(T161&gt;=3,"要確認","除外")))</f>
        <v/>
      </c>
      <c r="V161" s="176">
        <f>IF(AND(H161&lt;&gt;"",K161&lt;&gt;""),IF(H161&gt;=K161,"年初来高値更新●",IF(H161&gt;=K161*0.95,"高値圏","通常")),"")</f>
        <v/>
      </c>
      <c r="W161" s="615">
        <f t="array" ref="W161">IF(C161&lt;&gt;"",IFERROR(100-100/(1+SUMPRODUCT((終値!F130:R130&gt;終値!G130:S130)*( 終値!F130:R130-終値!G130:S130))/SUMPRODUCT((終値!F130:R130&lt;終値!G130:S130)*(終値!G130:S130-終値!F130:R130))),50),"")</f>
        <v/>
      </c>
      <c r="X161" s="183">
        <f>IF(C161&lt;&gt;"",IFERROR(SUMPRODUCT(終値!E130:P130,{0.154,0.132,0.113,0.097,0.083,0.071,0.061,0.052,0.045,0.038,0.033,0.028})/SUMPRODUCT({0.154,0.132,0.113,0.097,0.083,0.071,0.061,0.052,0.045,0.038,0.033,0.028})-SUMPRODUCT(終値!E130:AD130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1" s="570">
        <f>IF(T161="","",IF(銘柄管理!$F$5="下落▼",IF(AND(AD161="パーフェクト▲",OR(AE161="25日線押し目●",AE161="5日線押し目○")),"★逆張り候補",IF(AND(AD161="上昇トレンド▲",OR(AE161="25日線押し目●",AE161="5日線押し目○")),"○逆張り候補",IF(W161&lt;=30,IF(Z161&gt;0,"◎反発確認",IF(Z161&lt;-5,"△要注意・様子見","△売られ過ぎ注目")),"相場下落・見送り"))),IF(AND(T161&gt;=12,AD161="パーフェクト▲"),"★強い買い",IF(AND(T161&gt;=12,AD161="上昇トレンド▲"),"★強い買い",IF(AND(T161&gt;=8,OR(AE161="25日線押し目●",AE161="5日線押し目○")),"◎押し目買い",IF(T161&gt;=10,"○買い候補",IF(T161&gt;=6,"△注目",IF(T161&gt;=3,"様子見","見送り"))))))))</f>
        <v/>
      </c>
      <c r="Z161" s="616">
        <f>IF(AND(E161&lt;&gt;"",G161&lt;&gt;"",G161&lt;&gt;0),(E161-G161)/G161*100,"")</f>
        <v/>
      </c>
      <c r="AA161" s="176">
        <f>IF(OR(C161="",E161="",E161=0),"",IF(E161&gt;G161,"上昇▲",IF(E161&lt;G161,"下落▼","横ばい→")))</f>
        <v/>
      </c>
      <c r="AB161" s="440">
        <f>IF(C161="","",IFERROR(((終値!E163*0.333)+(終値!F163*0.222)+(終値!G163*0.148)+(終値!H163*0.099)+(終値!I163*0.066)+(終値!J163*0.044)+(終値!K163*0.029)+(終値!L163*0.019)+(終値!M163*0.013)+(終値!N163*0.009))/(0.333+0.222+0.148+0.099+0.066+0.044+0.029+0.019+0.013+0.009),""))</f>
        <v/>
      </c>
      <c r="AC161" s="440">
        <f>IF(C161="","",IFERROR(SUMPRODUCT((終値!E163:AC163)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1" s="441">
        <f>IF(OR(C161="",AB161="",AC161=""),"",IF(AND(E161&gt;AB161,AB161&gt;AC161),"パーフェクト▲",IF(E161&gt;AC161,"上昇トレンド▲",IF(AND(E161&lt;AB161,AB161&lt;AC161),"下降トレンド▼","もみ合い→"))))</f>
        <v/>
      </c>
      <c r="AE161" s="441">
        <f>IF(OR(C161="",AB161="",AC161=""),"",IF(AND(ABS(E161-AC161)/AC161&lt;=0.02,E161&gt;AC161),"25日押し目★",IF(AND(ABS(E161-AB161)/AB161&lt;=0.01,E161&gt;AB161),"5日押し目○","なし")))</f>
        <v/>
      </c>
      <c r="AF161" s="617">
        <f t="array" ref="AF161">IF(C161="","",IFERROR((INDEX(終値!$E:$E,MATCH(TEXT(C161,"0"),終値!$A:$A,0))-INDEX(終値!$E:$BL,MATCH(TEXT(C161,"0"),終値!$A:$A,0),$AL$2))/INDEX(終値!$E:$BL,MATCH(TEXT(C161,"0"),終値!$A:$A,0),$AL$2)*100,""))</f>
        <v/>
      </c>
      <c r="AG161" s="617">
        <f t="array" ref="AG161">IFERROR((終値!$E$5-INDEX(終値!$E$5:$BL$5,1,$AL$2))/INDEX(終値!$E$5:$BL$5,1,$AL$2)*100,"")</f>
        <v/>
      </c>
      <c r="AH161" s="618">
        <f>IF(OR(AF161="",AG161=""),"",AF161-AG161)</f>
        <v/>
      </c>
      <c r="AI161" s="385">
        <f>IF(AH161="","",IF(AH161&gt;5,3,IF(AH161&gt;0,1,IF(AH161&gt;-3,-1,-2))))</f>
        <v/>
      </c>
    </row>
    <row r="162" ht="18" customHeight="1" s="574">
      <c r="A162" s="176">
        <f>IF(銘柄管理!B139&lt;&gt;"",HYPERLINK("https://kabutan.jp/stock/?code="&amp;銘柄管理!B139,"株探"),"")</f>
        <v/>
      </c>
      <c r="B162" s="177" t="n"/>
      <c r="C162" s="178">
        <f>IF(銘柄管理!B139="","",銘柄管理!B139)</f>
        <v/>
      </c>
      <c r="D162" s="106">
        <f>IF(銘柄管理!C139="","",銘柄管理!C139)</f>
        <v/>
      </c>
      <c r="E162" s="179">
        <f>IF(C162&lt;&gt;"",_xll.RssMarket(C162,"現在値"),"")</f>
        <v/>
      </c>
      <c r="F162" s="179">
        <f>IF(C162&lt;&gt;"",_xll.RssMarket(C162,"始値"),"")</f>
        <v/>
      </c>
      <c r="G162" s="178">
        <f>IF(C162&lt;&gt;"",終値!F139,"")</f>
        <v/>
      </c>
      <c r="H162" s="179">
        <f>IF(C162&lt;&gt;"",_xll.RssMarket(C162,"高値"),"")</f>
        <v/>
      </c>
      <c r="I162" s="179">
        <f>IF(C162&lt;&gt;"",_xll.RssMarket(C162,"安値"),"")</f>
        <v/>
      </c>
      <c r="J162" s="179">
        <f>IF(C162&lt;&gt;"",_xll.RssMarket(C162,"出来高"),"")</f>
        <v/>
      </c>
      <c r="K162" s="179">
        <f>IF(C162&lt;&gt;"",_xll.RssMarket(C162,"年初来高値"),"")</f>
        <v/>
      </c>
      <c r="L162" s="613">
        <f>IF(AND(E162&lt;&gt;"",K162&lt;&gt;"",K162&lt;&gt;0),(E162-K162)/K162*100,"")</f>
        <v/>
      </c>
      <c r="M162" s="179">
        <f>IF(C162&lt;&gt;"",IFERROR(AVERAGE(出来高!E139:I139),""),"")</f>
        <v/>
      </c>
      <c r="N162" s="179">
        <f>IF(C162&lt;&gt;"",IFERROR(AVERAGE(出来高!E139:AC139),""),"")</f>
        <v/>
      </c>
      <c r="O162" s="614">
        <f>IF(AND(J162&lt;&gt;"",M162&lt;&gt;"",M162&lt;&gt;0),J162/M162,"")</f>
        <v/>
      </c>
      <c r="P162" s="176">
        <f>IF(O162="","",IF(O162&gt;=2,"急増↑↑",IF(O162&gt;=1.5,"増加↑",IF(O162&gt;=1,"普通→","減少↓"))))</f>
        <v/>
      </c>
      <c r="Q162" s="176">
        <f>IF(E162="","",IF(AND(E162&gt;G162,O162&gt;=1.5),"買い▲",IF(E162&lt;G162,"様子見▼","中立→")))</f>
        <v/>
      </c>
      <c r="R162" s="179">
        <f>IF(E162&lt;&gt;"",ROUND(E162*1.08,0),"")</f>
        <v/>
      </c>
      <c r="S162" s="179">
        <f>IF(E162&lt;&gt;"",ROUND(E162*0.96,0),"")</f>
        <v/>
      </c>
      <c r="T162" s="176">
        <f>IF(C162="","",IFERROR(IF(O162&gt;=2,3,IF(O162&gt;=1.5,2,IF(O162&gt;=1,1,0)))+IF(E162&gt;G162,1,0)+IF(L162&gt;=-5,1,0)+IF(Q162="買い▲",2,0)+IF(W162&lt;=30,3,IF(W162&lt;=40,2,IF(AND(W162&gt;=40,W162&lt;=60),1,0)))+IF(X162&gt;0,1,0)+IF(V162="年初来高値更新●",3,IF(V162="高値圏",2,0))+IF(AD162="パーフェクト▲",3,IF(AD162="上昇トレンド▲",2,0))+IF(AE162="25日線押し目●",2,IF(AE162="5日線押し目○",1,0))+IF(P162="急増↑↑",2,IF(P162="増加↑",1,0))+N(AI162),0))</f>
        <v/>
      </c>
      <c r="U162" s="176">
        <f>IF(T162="","",IF(AND(T162&gt;=3,O162&gt;=1.5),"有効",IF(T162&gt;=3,"要確認","除外")))</f>
        <v/>
      </c>
      <c r="V162" s="176">
        <f>IF(AND(H162&lt;&gt;"",K162&lt;&gt;""),IF(H162&gt;=K162,"年初来高値更新●",IF(H162&gt;=K162*0.95,"高値圏","通常")),"")</f>
        <v/>
      </c>
      <c r="W162" s="615">
        <f t="array" ref="W162">IF(C162&lt;&gt;"",IFERROR(100-100/(1+SUMPRODUCT((終値!F139:R139&gt;終値!G139:S139)*( 終値!F139:R139-終値!G139:S139))/SUMPRODUCT((終値!F139:R139&lt;終値!G139:S139)*(終値!G139:S139-終値!F139:R139))),50),"")</f>
        <v/>
      </c>
      <c r="X162" s="183">
        <f>IF(C162&lt;&gt;"",IFERROR(SUMPRODUCT(終値!E139:P139,{0.154,0.132,0.113,0.097,0.083,0.071,0.061,0.052,0.045,0.038,0.033,0.028})/SUMPRODUCT({0.154,0.132,0.113,0.097,0.083,0.071,0.061,0.052,0.045,0.038,0.033,0.028})-SUMPRODUCT(終値!E139:AD139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2" s="570">
        <f>IF(T162="","",IF(銘柄管理!$F$5="下落▼",IF(AND(AD162="パーフェクト▲",OR(AE162="25日線押し目●",AE162="5日線押し目○")),"★逆張り候補",IF(AND(AD162="上昇トレンド▲",OR(AE162="25日線押し目●",AE162="5日線押し目○")),"○逆張り候補",IF(W162&lt;=30,IF(Z162&gt;0,"◎反発確認",IF(Z162&lt;-5,"△要注意・様子見","△売られ過ぎ注目")),"相場下落・見送り"))),IF(AND(T162&gt;=12,AD162="パーフェクト▲"),"★強い買い",IF(AND(T162&gt;=12,AD162="上昇トレンド▲"),"★強い買い",IF(AND(T162&gt;=8,OR(AE162="25日線押し目●",AE162="5日線押し目○")),"◎押し目買い",IF(T162&gt;=10,"○買い候補",IF(T162&gt;=6,"△注目",IF(T162&gt;=3,"様子見","見送り"))))))))</f>
        <v/>
      </c>
      <c r="Z162" s="616">
        <f>IF(AND(E162&lt;&gt;"",G162&lt;&gt;"",G162&lt;&gt;0),(E162-G162)/G162*100,"")</f>
        <v/>
      </c>
      <c r="AA162" s="176">
        <f>IF(OR(C162="",E162="",E162=0),"",IF(E162&gt;G162,"上昇▲",IF(E162&lt;G162,"下落▼","横ばい→")))</f>
        <v/>
      </c>
      <c r="AB162" s="438">
        <f>IF(C162="","",IFERROR(((終値!E164*0.333)+(終値!F164*0.222)+(終値!G164*0.148)+(終値!H164*0.099)+(終値!I164*0.066)+(終値!J164*0.044)+(終値!K164*0.029)+(終値!L164*0.019)+(終値!M164*0.013)+(終値!N164*0.009))/(0.333+0.222+0.148+0.099+0.066+0.044+0.029+0.019+0.013+0.009),""))</f>
        <v/>
      </c>
      <c r="AC162" s="438">
        <f>IF(C162="","",IFERROR(SUMPRODUCT((終値!E164:AC164)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2" s="439">
        <f>IF(OR(C162="",AB162="",AC162=""),"",IF(AND(E162&gt;AB162,AB162&gt;AC162),"パーフェクト▲",IF(E162&gt;AC162,"上昇トレンド▲",IF(AND(E162&lt;AB162,AB162&lt;AC162),"下降トレンド▼","もみ合い→"))))</f>
        <v/>
      </c>
      <c r="AE162" s="439">
        <f>IF(OR(C162="",AB162="",AC162=""),"",IF(AND(ABS(E162-AC162)/AC162&lt;=0.02,E162&gt;AC162),"25日押し目★",IF(AND(ABS(E162-AB162)/AB162&lt;=0.01,E162&gt;AB162),"5日押し目○","なし")))</f>
        <v/>
      </c>
      <c r="AF162" s="617">
        <f t="array" ref="AF162">IF(C162="","",IFERROR((INDEX(終値!$E:$E,MATCH(TEXT(C162,"0"),終値!$A:$A,0))-INDEX(終値!$E:$BL,MATCH(TEXT(C162,"0"),終値!$A:$A,0),$AL$2))/INDEX(終値!$E:$BL,MATCH(TEXT(C162,"0"),終値!$A:$A,0),$AL$2)*100,""))</f>
        <v/>
      </c>
      <c r="AG162" s="617">
        <f t="array" ref="AG162">IFERROR((終値!$E$5-INDEX(終値!$E$5:$BL$5,1,$AL$2))/INDEX(終値!$E$5:$BL$5,1,$AL$2)*100,"")</f>
        <v/>
      </c>
      <c r="AH162" s="618">
        <f>IF(OR(AF162="",AG162=""),"",AF162-AG162)</f>
        <v/>
      </c>
      <c r="AI162" s="385">
        <f>IF(AH162="","",IF(AH162&gt;5,3,IF(AH162&gt;0,1,IF(AH162&gt;-3,-1,-2))))</f>
        <v/>
      </c>
    </row>
    <row r="163" ht="18" customHeight="1" s="574">
      <c r="A163" s="176">
        <f>IF(銘柄管理!B153&lt;&gt;"",HYPERLINK("https://kabutan.jp/stock/?code="&amp;銘柄管理!B153,"株探"),"")</f>
        <v/>
      </c>
      <c r="B163" s="177" t="n"/>
      <c r="C163" s="178">
        <f>IF(銘柄管理!B153="","",銘柄管理!B153)</f>
        <v/>
      </c>
      <c r="D163" s="106">
        <f>IF(銘柄管理!C153="","",銘柄管理!C153)</f>
        <v/>
      </c>
      <c r="E163" s="179">
        <f>IF(C163&lt;&gt;"",_xll.RssMarket(C163,"現在値"),"")</f>
        <v/>
      </c>
      <c r="F163" s="179">
        <f>IF(C163&lt;&gt;"",_xll.RssMarket(C163,"始値"),"")</f>
        <v/>
      </c>
      <c r="G163" s="178">
        <f>IF(C163&lt;&gt;"",終値!F153,"")</f>
        <v/>
      </c>
      <c r="H163" s="179">
        <f>IF(C163&lt;&gt;"",_xll.RssMarket(C163,"高値"),"")</f>
        <v/>
      </c>
      <c r="I163" s="179">
        <f>IF(C163&lt;&gt;"",_xll.RssMarket(C163,"安値"),"")</f>
        <v/>
      </c>
      <c r="J163" s="179">
        <f>IF(C163&lt;&gt;"",_xll.RssMarket(C163,"出来高"),"")</f>
        <v/>
      </c>
      <c r="K163" s="179">
        <f>IF(C163&lt;&gt;"",_xll.RssMarket(C163,"年初来高値"),"")</f>
        <v/>
      </c>
      <c r="L163" s="613">
        <f>IF(AND(E163&lt;&gt;"",K163&lt;&gt;"",K163&lt;&gt;0),(E163-K163)/K163*100,"")</f>
        <v/>
      </c>
      <c r="M163" s="179">
        <f>IF(C163&lt;&gt;"",IFERROR(AVERAGE(出来高!E153:I153),""),"")</f>
        <v/>
      </c>
      <c r="N163" s="179">
        <f>IF(C163&lt;&gt;"",IFERROR(AVERAGE(出来高!E153:AC153),""),"")</f>
        <v/>
      </c>
      <c r="O163" s="614">
        <f>IF(AND(J163&lt;&gt;"",M163&lt;&gt;"",M163&lt;&gt;0),J163/M163,"")</f>
        <v/>
      </c>
      <c r="P163" s="176">
        <f>IF(O163="","",IF(O163&gt;=2,"急増↑↑",IF(O163&gt;=1.5,"増加↑",IF(O163&gt;=1,"普通→","減少↓"))))</f>
        <v/>
      </c>
      <c r="Q163" s="176">
        <f>IF(E163="","",IF(AND(E163&gt;G163,O163&gt;=1.5),"買い▲",IF(E163&lt;G163,"様子見▼","中立→")))</f>
        <v/>
      </c>
      <c r="R163" s="179">
        <f>IF(E163&lt;&gt;"",ROUND(E163*1.08,0),"")</f>
        <v/>
      </c>
      <c r="S163" s="179">
        <f>IF(E163&lt;&gt;"",ROUND(E163*0.96,0),"")</f>
        <v/>
      </c>
      <c r="T163" s="176">
        <f>IF(C163="","",IFERROR(IF(O163&gt;=2,3,IF(O163&gt;=1.5,2,IF(O163&gt;=1,1,0)))+IF(E163&gt;G163,1,0)+IF(L163&gt;=-5,1,0)+IF(Q163="買い▲",2,0)+IF(W163&lt;=30,3,IF(W163&lt;=40,2,IF(AND(W163&gt;=40,W163&lt;=60),1,0)))+IF(X163&gt;0,1,0)+IF(V163="年初来高値更新●",3,IF(V163="高値圏",2,0))+IF(AD163="パーフェクト▲",3,IF(AD163="上昇トレンド▲",2,0))+IF(AE163="25日線押し目●",2,IF(AE163="5日線押し目○",1,0))+IF(P163="急増↑↑",2,IF(P163="増加↑",1,0))+N(AI163),0))</f>
        <v/>
      </c>
      <c r="U163" s="176">
        <f>IF(T163="","",IF(AND(T163&gt;=3,O163&gt;=1.5),"有効",IF(T163&gt;=3,"要確認","除外")))</f>
        <v/>
      </c>
      <c r="V163" s="176">
        <f>IF(AND(H163&lt;&gt;"",K163&lt;&gt;""),IF(H163&gt;=K163,"年初来高値更新●",IF(H163&gt;=K163*0.95,"高値圏","通常")),"")</f>
        <v/>
      </c>
      <c r="W163" s="615">
        <f t="array" ref="W163">IF(C163&lt;&gt;"",IFERROR(100-100/(1+SUMPRODUCT((終値!F153:R153&gt;終値!G153:S153)*( 終値!F153:R153-終値!G153:S153))/SUMPRODUCT((終値!F153:R153&lt;終値!G153:S153)*(終値!G153:S153-終値!F153:R153))),50),"")</f>
        <v/>
      </c>
      <c r="X163" s="183">
        <f>IF(C163&lt;&gt;"",IFERROR(SUMPRODUCT(終値!E153:P153,{0.154,0.132,0.113,0.097,0.083,0.071,0.061,0.052,0.045,0.038,0.033,0.028})/SUMPRODUCT({0.154,0.132,0.113,0.097,0.083,0.071,0.061,0.052,0.045,0.038,0.033,0.028})-SUMPRODUCT(終値!E153:AD153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3" s="570">
        <f>IF(T163="","",IF(銘柄管理!$F$5="下落▼",IF(AND(AD163="パーフェクト▲",OR(AE163="25日線押し目●",AE163="5日線押し目○")),"★逆張り候補",IF(AND(AD163="上昇トレンド▲",OR(AE163="25日線押し目●",AE163="5日線押し目○")),"○逆張り候補",IF(W163&lt;=30,IF(Z163&gt;0,"◎反発確認",IF(Z163&lt;-5,"△要注意・様子見","△売られ過ぎ注目")),"相場下落・見送り"))),IF(AND(T163&gt;=12,AD163="パーフェクト▲"),"★強い買い",IF(AND(T163&gt;=12,AD163="上昇トレンド▲"),"★強い買い",IF(AND(T163&gt;=8,OR(AE163="25日線押し目●",AE163="5日線押し目○")),"◎押し目買い",IF(T163&gt;=10,"○買い候補",IF(T163&gt;=6,"△注目",IF(T163&gt;=3,"様子見","見送り"))))))))</f>
        <v/>
      </c>
      <c r="Z163" s="616">
        <f>IF(AND(E163&lt;&gt;"",G163&lt;&gt;"",G163&lt;&gt;0),(E163-G163)/G163*100,"")</f>
        <v/>
      </c>
      <c r="AA163" s="176">
        <f>IF(OR(C163="",E163="",E163=0),"",IF(E163&gt;G163,"上昇▲",IF(E163&lt;G163,"下落▼","横ばい→")))</f>
        <v/>
      </c>
      <c r="AB163" s="440">
        <f>IF(C163="","",IFERROR(((終値!E165*0.333)+(終値!F165*0.222)+(終値!G165*0.148)+(終値!H165*0.099)+(終値!I165*0.066)+(終値!J165*0.044)+(終値!K165*0.029)+(終値!L165*0.019)+(終値!M165*0.013)+(終値!N165*0.009))/(0.333+0.222+0.148+0.099+0.066+0.044+0.029+0.019+0.013+0.009),""))</f>
        <v/>
      </c>
      <c r="AC163" s="440">
        <f>IF(C163="","",IFERROR(SUMPRODUCT((終値!E165:AC165)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3" s="441">
        <f>IF(OR(C163="",AB163="",AC163=""),"",IF(AND(E163&gt;AB163,AB163&gt;AC163),"パーフェクト▲",IF(E163&gt;AC163,"上昇トレンド▲",IF(AND(E163&lt;AB163,AB163&lt;AC163),"下降トレンド▼","もみ合い→"))))</f>
        <v/>
      </c>
      <c r="AE163" s="441">
        <f>IF(OR(C163="",AB163="",AC163=""),"",IF(AND(ABS(E163-AC163)/AC163&lt;=0.02,E163&gt;AC163),"25日押し目★",IF(AND(ABS(E163-AB163)/AB163&lt;=0.01,E163&gt;AB163),"5日押し目○","なし")))</f>
        <v/>
      </c>
      <c r="AF163" s="617">
        <f t="array" ref="AF163">IF(C163="","",IFERROR((INDEX(終値!$E:$E,MATCH(TEXT(C163,"0"),終値!$A:$A,0))-INDEX(終値!$E:$BL,MATCH(TEXT(C163,"0"),終値!$A:$A,0),$AL$2))/INDEX(終値!$E:$BL,MATCH(TEXT(C163,"0"),終値!$A:$A,0),$AL$2)*100,""))</f>
        <v/>
      </c>
      <c r="AG163" s="617">
        <f t="array" ref="AG163">IFERROR((終値!$E$5-INDEX(終値!$E$5:$BL$5,1,$AL$2))/INDEX(終値!$E$5:$BL$5,1,$AL$2)*100,"")</f>
        <v/>
      </c>
      <c r="AH163" s="618">
        <f>IF(OR(AF163="",AG163=""),"",AF163-AG163)</f>
        <v/>
      </c>
      <c r="AI163" s="385">
        <f>IF(AH163="","",IF(AH163&gt;5,3,IF(AH163&gt;0,1,IF(AH163&gt;-3,-1,-2))))</f>
        <v/>
      </c>
    </row>
    <row r="164" ht="18" customHeight="1" s="574">
      <c r="A164" s="176">
        <f>IF(銘柄管理!B173&lt;&gt;"",HYPERLINK("https://kabutan.jp/stock/?code="&amp;銘柄管理!B173,"株探"),"")</f>
        <v/>
      </c>
      <c r="B164" s="177" t="n"/>
      <c r="C164" s="178">
        <f>IF(銘柄管理!B173="","",銘柄管理!B173)</f>
        <v/>
      </c>
      <c r="D164" s="106">
        <f>IF(銘柄管理!C173="","",銘柄管理!C173)</f>
        <v/>
      </c>
      <c r="E164" s="179">
        <f>IF(C164&lt;&gt;"",_xll.RssMarket(C164,"現在値"),"")</f>
        <v/>
      </c>
      <c r="F164" s="179">
        <f>IF(C164&lt;&gt;"",_xll.RssMarket(C164,"始値"),"")</f>
        <v/>
      </c>
      <c r="G164" s="178">
        <f>IF(C164&lt;&gt;"",終値!F173,"")</f>
        <v/>
      </c>
      <c r="H164" s="179">
        <f>IF(C164&lt;&gt;"",_xll.RssMarket(C164,"高値"),"")</f>
        <v/>
      </c>
      <c r="I164" s="179">
        <f>IF(C164&lt;&gt;"",_xll.RssMarket(C164,"安値"),"")</f>
        <v/>
      </c>
      <c r="J164" s="179">
        <f>IF(C164&lt;&gt;"",_xll.RssMarket(C164,"出来高"),"")</f>
        <v/>
      </c>
      <c r="K164" s="179">
        <f>IF(C164&lt;&gt;"",_xll.RssMarket(C164,"年初来高値"),"")</f>
        <v/>
      </c>
      <c r="L164" s="613">
        <f>IF(AND(E164&lt;&gt;"",K164&lt;&gt;"",K164&lt;&gt;0),(E164-K164)/K164*100,"")</f>
        <v/>
      </c>
      <c r="M164" s="179">
        <f>IF(C164&lt;&gt;"",IFERROR(AVERAGE(出来高!E173:I173),""),"")</f>
        <v/>
      </c>
      <c r="N164" s="179">
        <f>IF(C164&lt;&gt;"",IFERROR(AVERAGE(出来高!E173:AC173),""),"")</f>
        <v/>
      </c>
      <c r="O164" s="614">
        <f>IF(AND(J164&lt;&gt;"",M164&lt;&gt;"",M164&lt;&gt;0),J164/M164,"")</f>
        <v/>
      </c>
      <c r="P164" s="176">
        <f>IF(O164="","",IF(O164&gt;=2,"急増↑↑",IF(O164&gt;=1.5,"増加↑",IF(O164&gt;=1,"普通→","減少↓"))))</f>
        <v/>
      </c>
      <c r="Q164" s="176">
        <f>IF(E164="","",IF(AND(E164&gt;G164,O164&gt;=1.5),"買い▲",IF(E164&lt;G164,"様子見▼","中立→")))</f>
        <v/>
      </c>
      <c r="R164" s="179">
        <f>IF(E164&lt;&gt;"",ROUND(E164*1.08,0),"")</f>
        <v/>
      </c>
      <c r="S164" s="179">
        <f>IF(E164&lt;&gt;"",ROUND(E164*0.96,0),"")</f>
        <v/>
      </c>
      <c r="T164" s="176">
        <f>IF(C164="","",IFERROR(IF(O164&gt;=2,3,IF(O164&gt;=1.5,2,IF(O164&gt;=1,1,0)))+IF(E164&gt;G164,1,0)+IF(L164&gt;=-5,1,0)+IF(Q164="買い▲",2,0)+IF(W164&lt;=30,3,IF(W164&lt;=40,2,IF(AND(W164&gt;=40,W164&lt;=60),1,0)))+IF(X164&gt;0,1,0)+IF(V164="年初来高値更新●",3,IF(V164="高値圏",2,0))+IF(AD164="パーフェクト▲",3,IF(AD164="上昇トレンド▲",2,0))+IF(AE164="25日線押し目●",2,IF(AE164="5日線押し目○",1,0))+IF(P164="急増↑↑",2,IF(P164="増加↑",1,0))+N(AI164),0))</f>
        <v/>
      </c>
      <c r="U164" s="176">
        <f>IF(T164="","",IF(AND(T164&gt;=3,O164&gt;=1.5),"有効",IF(T164&gt;=3,"要確認","除外")))</f>
        <v/>
      </c>
      <c r="V164" s="176">
        <f>IF(AND(H164&lt;&gt;"",K164&lt;&gt;""),IF(H164&gt;=K164,"年初来高値更新●",IF(H164&gt;=K164*0.95,"高値圏","通常")),"")</f>
        <v/>
      </c>
      <c r="W164" s="615">
        <f t="array" ref="W164">IF(C164&lt;&gt;"",IFERROR(100-100/(1+SUMPRODUCT((終値!F173:R173&gt;終値!G173:S173)*( 終値!F173:R173-終値!G173:S173))/SUMPRODUCT((終値!F173:R173&lt;終値!G173:S173)*(終値!G173:S173-終値!F173:R173))),50),"")</f>
        <v/>
      </c>
      <c r="X164" s="183">
        <f>IF(C164&lt;&gt;"",IFERROR(SUMPRODUCT(終値!E173:P173,{0.154,0.132,0.113,0.097,0.083,0.071,0.061,0.052,0.045,0.038,0.033,0.028})/SUMPRODUCT({0.154,0.132,0.113,0.097,0.083,0.071,0.061,0.052,0.045,0.038,0.033,0.028})-SUMPRODUCT(終値!E173:AD173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4" s="570">
        <f>IF(T164="","",IF(銘柄管理!$F$5="下落▼",IF(AND(AD164="パーフェクト▲",OR(AE164="25日線押し目●",AE164="5日線押し目○")),"★逆張り候補",IF(AND(AD164="上昇トレンド▲",OR(AE164="25日線押し目●",AE164="5日線押し目○")),"○逆張り候補",IF(W164&lt;=30,IF(Z164&gt;0,"◎反発確認",IF(Z164&lt;-5,"△要注意・様子見","△売られ過ぎ注目")),"相場下落・見送り"))),IF(AND(T164&gt;=12,AD164="パーフェクト▲"),"★強い買い",IF(AND(T164&gt;=12,AD164="上昇トレンド▲"),"★強い買い",IF(AND(T164&gt;=8,OR(AE164="25日線押し目●",AE164="5日線押し目○")),"◎押し目買い",IF(T164&gt;=10,"○買い候補",IF(T164&gt;=6,"△注目",IF(T164&gt;=3,"様子見","見送り"))))))))</f>
        <v/>
      </c>
      <c r="Z164" s="616">
        <f>IF(AND(E164&lt;&gt;"",G164&lt;&gt;"",G164&lt;&gt;0),(E164-G164)/G164*100,"")</f>
        <v/>
      </c>
      <c r="AA164" s="176">
        <f>IF(OR(C164="",E164="",E164=0),"",IF(E164&gt;G164,"上昇▲",IF(E164&lt;G164,"下落▼","横ばい→")))</f>
        <v/>
      </c>
      <c r="AB164" s="438">
        <f>IF(C164="","",IFERROR(((終値!E166*0.333)+(終値!F166*0.222)+(終値!G166*0.148)+(終値!H166*0.099)+(終値!I166*0.066)+(終値!J166*0.044)+(終値!K166*0.029)+(終値!L166*0.019)+(終値!M166*0.013)+(終値!N166*0.009))/(0.333+0.222+0.148+0.099+0.066+0.044+0.029+0.019+0.013+0.009),""))</f>
        <v/>
      </c>
      <c r="AC164" s="438">
        <f>IF(C164="","",IFERROR(SUMPRODUCT((終値!E166:AC166)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4" s="439">
        <f>IF(OR(C164="",AB164="",AC164=""),"",IF(AND(E164&gt;AB164,AB164&gt;AC164),"パーフェクト▲",IF(E164&gt;AC164,"上昇トレンド▲",IF(AND(E164&lt;AB164,AB164&lt;AC164),"下降トレンド▼","もみ合い→"))))</f>
        <v/>
      </c>
      <c r="AE164" s="439">
        <f>IF(OR(C164="",AB164="",AC164=""),"",IF(AND(ABS(E164-AC164)/AC164&lt;=0.02,E164&gt;AC164),"25日押し目★",IF(AND(ABS(E164-AB164)/AB164&lt;=0.01,E164&gt;AB164),"5日押し目○","なし")))</f>
        <v/>
      </c>
      <c r="AF164" s="617">
        <f t="array" ref="AF164">IF(C164="","",IFERROR((INDEX(終値!$E:$E,MATCH(TEXT(C164,"0"),終値!$A:$A,0))-INDEX(終値!$E:$BL,MATCH(TEXT(C164,"0"),終値!$A:$A,0),$AL$2))/INDEX(終値!$E:$BL,MATCH(TEXT(C164,"0"),終値!$A:$A,0),$AL$2)*100,""))</f>
        <v/>
      </c>
      <c r="AG164" s="617">
        <f t="array" ref="AG164">IFERROR((終値!$E$5-INDEX(終値!$E$5:$BL$5,1,$AL$2))/INDEX(終値!$E$5:$BL$5,1,$AL$2)*100,"")</f>
        <v/>
      </c>
      <c r="AH164" s="618">
        <f>IF(OR(AF164="",AG164=""),"",AF164-AG164)</f>
        <v/>
      </c>
      <c r="AI164" s="385">
        <f>IF(AH164="","",IF(AH164&gt;5,3,IF(AH164&gt;0,1,IF(AH164&gt;-3,-1,-2))))</f>
        <v/>
      </c>
    </row>
    <row r="165" ht="18" customHeight="1" s="574">
      <c r="A165" s="176">
        <f>IF(銘柄管理!B160&lt;&gt;"",HYPERLINK("https://kabutan.jp/stock/?code="&amp;銘柄管理!B160,"株探"),"")</f>
        <v/>
      </c>
      <c r="B165" s="177" t="n"/>
      <c r="C165" s="178">
        <f>IF(銘柄管理!B160="","",銘柄管理!B160)</f>
        <v/>
      </c>
      <c r="D165" s="106">
        <f>IF(銘柄管理!C160="","",銘柄管理!C160)</f>
        <v/>
      </c>
      <c r="E165" s="179">
        <f>IF(C165&lt;&gt;"",_xll.RssMarket(C165,"現在値"),"")</f>
        <v/>
      </c>
      <c r="F165" s="179">
        <f>IF(C165&lt;&gt;"",_xll.RssMarket(C165,"始値"),"")</f>
        <v/>
      </c>
      <c r="G165" s="178">
        <f>IF(C165&lt;&gt;"",終値!F160,"")</f>
        <v/>
      </c>
      <c r="H165" s="179">
        <f>IF(C165&lt;&gt;"",_xll.RssMarket(C165,"高値"),"")</f>
        <v/>
      </c>
      <c r="I165" s="179">
        <f>IF(C165&lt;&gt;"",_xll.RssMarket(C165,"安値"),"")</f>
        <v/>
      </c>
      <c r="J165" s="179">
        <f>IF(C165&lt;&gt;"",_xll.RssMarket(C165,"出来高"),"")</f>
        <v/>
      </c>
      <c r="K165" s="179">
        <f>IF(C165&lt;&gt;"",_xll.RssMarket(C165,"年初来高値"),"")</f>
        <v/>
      </c>
      <c r="L165" s="613">
        <f>IF(AND(E165&lt;&gt;"",K165&lt;&gt;"",K165&lt;&gt;0),(E165-K165)/K165*100,"")</f>
        <v/>
      </c>
      <c r="M165" s="179">
        <f>IF(C165&lt;&gt;"",IFERROR(AVERAGE(出来高!E160:I160),""),"")</f>
        <v/>
      </c>
      <c r="N165" s="179">
        <f>IF(C165&lt;&gt;"",IFERROR(AVERAGE(出来高!E160:AC160),""),"")</f>
        <v/>
      </c>
      <c r="O165" s="614">
        <f>IF(AND(J165&lt;&gt;"",M165&lt;&gt;"",M165&lt;&gt;0),J165/M165,"")</f>
        <v/>
      </c>
      <c r="P165" s="176">
        <f>IF(O165="","",IF(O165&gt;=2,"急増↑↑",IF(O165&gt;=1.5,"増加↑",IF(O165&gt;=1,"普通→","減少↓"))))</f>
        <v/>
      </c>
      <c r="Q165" s="176">
        <f>IF(E165="","",IF(AND(E165&gt;G165,O165&gt;=1.5),"買い▲",IF(E165&lt;G165,"様子見▼","中立→")))</f>
        <v/>
      </c>
      <c r="R165" s="179">
        <f>IF(E165&lt;&gt;"",ROUND(E165*1.08,0),"")</f>
        <v/>
      </c>
      <c r="S165" s="179">
        <f>IF(E165&lt;&gt;"",ROUND(E165*0.96,0),"")</f>
        <v/>
      </c>
      <c r="T165" s="176">
        <f>IF(C165="","",IFERROR(IF(O165&gt;=2,3,IF(O165&gt;=1.5,2,IF(O165&gt;=1,1,0)))+IF(E165&gt;G165,1,0)+IF(L165&gt;=-5,1,0)+IF(Q165="買い▲",2,0)+IF(W165&lt;=30,3,IF(W165&lt;=40,2,IF(AND(W165&gt;=40,W165&lt;=60),1,0)))+IF(X165&gt;0,1,0)+IF(V165="年初来高値更新●",3,IF(V165="高値圏",2,0))+IF(AD165="パーフェクト▲",3,IF(AD165="上昇トレンド▲",2,0))+IF(AE165="25日線押し目●",2,IF(AE165="5日線押し目○",1,0))+IF(P165="急増↑↑",2,IF(P165="増加↑",1,0))+N(AI165),0))</f>
        <v/>
      </c>
      <c r="U165" s="176">
        <f>IF(T165="","",IF(AND(T165&gt;=3,O165&gt;=1.5),"有効",IF(T165&gt;=3,"要確認","除外")))</f>
        <v/>
      </c>
      <c r="V165" s="176">
        <f>IF(AND(H165&lt;&gt;"",K165&lt;&gt;""),IF(H165&gt;=K165,"年初来高値更新●",IF(H165&gt;=K165*0.95,"高値圏","通常")),"")</f>
        <v/>
      </c>
      <c r="W165" s="615">
        <f t="array" ref="W165">IF(C165&lt;&gt;"",IFERROR(100-100/(1+SUMPRODUCT((終値!F160:R160&gt;終値!G160:S160)*( 終値!F160:R160-終値!G160:S160))/SUMPRODUCT((終値!F160:R160&lt;終値!G160:S160)*(終値!G160:S160-終値!F160:R160))),50),"")</f>
        <v/>
      </c>
      <c r="X165" s="183">
        <f>IF(C165&lt;&gt;"",IFERROR(SUMPRODUCT(終値!E160:P160,{0.154,0.132,0.113,0.097,0.083,0.071,0.061,0.052,0.045,0.038,0.033,0.028})/SUMPRODUCT({0.154,0.132,0.113,0.097,0.083,0.071,0.061,0.052,0.045,0.038,0.033,0.028})-SUMPRODUCT(終値!E160:AD160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5" s="570">
        <f>IF(T165="","",IF(銘柄管理!$F$5="下落▼",IF(AND(AD165="パーフェクト▲",OR(AE165="25日線押し目●",AE165="5日線押し目○")),"★逆張り候補",IF(AND(AD165="上昇トレンド▲",OR(AE165="25日線押し目●",AE165="5日線押し目○")),"○逆張り候補",IF(W165&lt;=30,IF(Z165&gt;0,"◎反発確認",IF(Z165&lt;-5,"△要注意・様子見","△売られ過ぎ注目")),"相場下落・見送り"))),IF(AND(T165&gt;=12,AD165="パーフェクト▲"),"★強い買い",IF(AND(T165&gt;=12,AD165="上昇トレンド▲"),"★強い買い",IF(AND(T165&gt;=8,OR(AE165="25日線押し目●",AE165="5日線押し目○")),"◎押し目買い",IF(T165&gt;=10,"○買い候補",IF(T165&gt;=6,"△注目",IF(T165&gt;=3,"様子見","見送り"))))))))</f>
        <v/>
      </c>
      <c r="Z165" s="616">
        <f>IF(AND(E165&lt;&gt;"",G165&lt;&gt;"",G165&lt;&gt;0),(E165-G165)/G165*100,"")</f>
        <v/>
      </c>
      <c r="AA165" s="176">
        <f>IF(OR(C165="",E165="",E165=0),"",IF(E165&gt;G165,"上昇▲",IF(E165&lt;G165,"下落▼","横ばい→")))</f>
        <v/>
      </c>
      <c r="AB165" s="440">
        <f>IF(C165="","",IFERROR(((終値!E167*0.333)+(終値!F167*0.222)+(終値!G167*0.148)+(終値!H167*0.099)+(終値!I167*0.066)+(終値!J167*0.044)+(終値!K167*0.029)+(終値!L167*0.019)+(終値!M167*0.013)+(終値!N167*0.009))/(0.333+0.222+0.148+0.099+0.066+0.044+0.029+0.019+0.013+0.009),""))</f>
        <v/>
      </c>
      <c r="AC165" s="440">
        <f>IF(C165="","",IFERROR(SUMPRODUCT((終値!E167:AC167)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5" s="441">
        <f>IF(OR(C165="",AB165="",AC165=""),"",IF(AND(E165&gt;AB165,AB165&gt;AC165),"パーフェクト▲",IF(E165&gt;AC165,"上昇トレンド▲",IF(AND(E165&lt;AB165,AB165&lt;AC165),"下降トレンド▼","もみ合い→"))))</f>
        <v/>
      </c>
      <c r="AE165" s="441">
        <f>IF(OR(C165="",AB165="",AC165=""),"",IF(AND(ABS(E165-AC165)/AC165&lt;=0.02,E165&gt;AC165),"25日押し目★",IF(AND(ABS(E165-AB165)/AB165&lt;=0.01,E165&gt;AB165),"5日押し目○","なし")))</f>
        <v/>
      </c>
      <c r="AF165" s="617">
        <f t="array" ref="AF165">IF(C165="","",IFERROR((INDEX(終値!$E:$E,MATCH(TEXT(C165,"0"),終値!$A:$A,0))-INDEX(終値!$E:$BL,MATCH(TEXT(C165,"0"),終値!$A:$A,0),$AL$2))/INDEX(終値!$E:$BL,MATCH(TEXT(C165,"0"),終値!$A:$A,0),$AL$2)*100,""))</f>
        <v/>
      </c>
      <c r="AG165" s="617">
        <f t="array" ref="AG165">IFERROR((終値!$E$5-INDEX(終値!$E$5:$BL$5,1,$AL$2))/INDEX(終値!$E$5:$BL$5,1,$AL$2)*100,"")</f>
        <v/>
      </c>
      <c r="AH165" s="618">
        <f>IF(OR(AF165="",AG165=""),"",AF165-AG165)</f>
        <v/>
      </c>
      <c r="AI165" s="385">
        <f>IF(AH165="","",IF(AH165&gt;5,3,IF(AH165&gt;0,1,IF(AH165&gt;-3,-1,-2))))</f>
        <v/>
      </c>
    </row>
    <row r="166" ht="18" customHeight="1" s="574">
      <c r="A166" s="176">
        <f>IF(銘柄管理!B150&lt;&gt;"",HYPERLINK("https://kabutan.jp/stock/?code="&amp;銘柄管理!B150,"株探"),"")</f>
        <v/>
      </c>
      <c r="B166" s="177" t="n"/>
      <c r="C166" s="178">
        <f>IF(銘柄管理!B150="","",銘柄管理!B150)</f>
        <v/>
      </c>
      <c r="D166" s="106">
        <f>IF(銘柄管理!C150="","",銘柄管理!C150)</f>
        <v/>
      </c>
      <c r="E166" s="179">
        <f>IF(C166&lt;&gt;"",_xll.RssMarket(C166,"現在値"),"")</f>
        <v/>
      </c>
      <c r="F166" s="179">
        <f>IF(C166&lt;&gt;"",_xll.RssMarket(C166,"始値"),"")</f>
        <v/>
      </c>
      <c r="G166" s="178">
        <f>IF(C166&lt;&gt;"",終値!F150,"")</f>
        <v/>
      </c>
      <c r="H166" s="179">
        <f>IF(C166&lt;&gt;"",_xll.RssMarket(C166,"高値"),"")</f>
        <v/>
      </c>
      <c r="I166" s="179">
        <f>IF(C166&lt;&gt;"",_xll.RssMarket(C166,"安値"),"")</f>
        <v/>
      </c>
      <c r="J166" s="179">
        <f>IF(C166&lt;&gt;"",_xll.RssMarket(C166,"出来高"),"")</f>
        <v/>
      </c>
      <c r="K166" s="179">
        <f>IF(C166&lt;&gt;"",_xll.RssMarket(C166,"年初来高値"),"")</f>
        <v/>
      </c>
      <c r="L166" s="613">
        <f>IF(AND(E166&lt;&gt;"",K166&lt;&gt;"",K166&lt;&gt;0),(E166-K166)/K166*100,"")</f>
        <v/>
      </c>
      <c r="M166" s="179">
        <f>IF(C166&lt;&gt;"",IFERROR(AVERAGE(出来高!E150:I150),""),"")</f>
        <v/>
      </c>
      <c r="N166" s="179">
        <f>IF(C166&lt;&gt;"",IFERROR(AVERAGE(出来高!E150:AC150),""),"")</f>
        <v/>
      </c>
      <c r="O166" s="614">
        <f>IF(AND(J166&lt;&gt;"",M166&lt;&gt;"",M166&lt;&gt;0),J166/M166,"")</f>
        <v/>
      </c>
      <c r="P166" s="176">
        <f>IF(O166="","",IF(O166&gt;=2,"急増↑↑",IF(O166&gt;=1.5,"増加↑",IF(O166&gt;=1,"普通→","減少↓"))))</f>
        <v/>
      </c>
      <c r="Q166" s="176">
        <f>IF(E166="","",IF(AND(E166&gt;G166,O166&gt;=1.5),"買い▲",IF(E166&lt;G166,"様子見▼","中立→")))</f>
        <v/>
      </c>
      <c r="R166" s="179">
        <f>IF(E166&lt;&gt;"",ROUND(E166*1.08,0),"")</f>
        <v/>
      </c>
      <c r="S166" s="179">
        <f>IF(E166&lt;&gt;"",ROUND(E166*0.96,0),"")</f>
        <v/>
      </c>
      <c r="T166" s="176">
        <f>IF(C166="","",IFERROR(IF(O166&gt;=2,3,IF(O166&gt;=1.5,2,IF(O166&gt;=1,1,0)))+IF(E166&gt;G166,1,0)+IF(L166&gt;=-5,1,0)+IF(Q166="買い▲",2,0)+IF(W166&lt;=30,3,IF(W166&lt;=40,2,IF(AND(W166&gt;=40,W166&lt;=60),1,0)))+IF(X166&gt;0,1,0)+IF(V166="年初来高値更新●",3,IF(V166="高値圏",2,0))+IF(AD166="パーフェクト▲",3,IF(AD166="上昇トレンド▲",2,0))+IF(AE166="25日線押し目●",2,IF(AE166="5日線押し目○",1,0))+IF(P166="急増↑↑",2,IF(P166="増加↑",1,0))+N(AI166),0))</f>
        <v/>
      </c>
      <c r="U166" s="176">
        <f>IF(T166="","",IF(AND(T166&gt;=3,O166&gt;=1.5),"有効",IF(T166&gt;=3,"要確認","除外")))</f>
        <v/>
      </c>
      <c r="V166" s="176">
        <f>IF(AND(H166&lt;&gt;"",K166&lt;&gt;""),IF(H166&gt;=K166,"年初来高値更新●",IF(H166&gt;=K166*0.95,"高値圏","通常")),"")</f>
        <v/>
      </c>
      <c r="W166" s="615">
        <f t="array" ref="W166">IF(C166&lt;&gt;"",IFERROR(100-100/(1+SUMPRODUCT((終値!F150:R150&gt;終値!G150:S150)*( 終値!F150:R150-終値!G150:S150))/SUMPRODUCT((終値!F150:R150&lt;終値!G150:S150)*(終値!G150:S150-終値!F150:R150))),50),"")</f>
        <v/>
      </c>
      <c r="X166" s="183">
        <f>IF(C166&lt;&gt;"",IFERROR(SUMPRODUCT(終値!E150:P150,{0.154,0.132,0.113,0.097,0.083,0.071,0.061,0.052,0.045,0.038,0.033,0.028})/SUMPRODUCT({0.154,0.132,0.113,0.097,0.083,0.071,0.061,0.052,0.045,0.038,0.033,0.028})-SUMPRODUCT(終値!E150:AD150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6" s="570">
        <f>IF(T166="","",IF(銘柄管理!$F$5="下落▼",IF(AND(AD166="パーフェクト▲",OR(AE166="25日線押し目●",AE166="5日線押し目○")),"★逆張り候補",IF(AND(AD166="上昇トレンド▲",OR(AE166="25日線押し目●",AE166="5日線押し目○")),"○逆張り候補",IF(W166&lt;=30,IF(Z166&gt;0,"◎反発確認",IF(Z166&lt;-5,"△要注意・様子見","△売られ過ぎ注目")),"相場下落・見送り"))),IF(AND(T166&gt;=12,AD166="パーフェクト▲"),"★強い買い",IF(AND(T166&gt;=12,AD166="上昇トレンド▲"),"★強い買い",IF(AND(T166&gt;=8,OR(AE166="25日線押し目●",AE166="5日線押し目○")),"◎押し目買い",IF(T166&gt;=10,"○買い候補",IF(T166&gt;=6,"△注目",IF(T166&gt;=3,"様子見","見送り"))))))))</f>
        <v/>
      </c>
      <c r="Z166" s="616">
        <f>IF(AND(E166&lt;&gt;"",G166&lt;&gt;"",G166&lt;&gt;0),(E166-G166)/G166*100,"")</f>
        <v/>
      </c>
      <c r="AA166" s="176">
        <f>IF(OR(C166="",E166="",E166=0),"",IF(E166&gt;G166,"上昇▲",IF(E166&lt;G166,"下落▼","横ばい→")))</f>
        <v/>
      </c>
      <c r="AB166" s="438">
        <f>IF(C166="","",IFERROR(((終値!E168*0.333)+(終値!F168*0.222)+(終値!G168*0.148)+(終値!H168*0.099)+(終値!I168*0.066)+(終値!J168*0.044)+(終値!K168*0.029)+(終値!L168*0.019)+(終値!M168*0.013)+(終値!N168*0.009))/(0.333+0.222+0.148+0.099+0.066+0.044+0.029+0.019+0.013+0.009),""))</f>
        <v/>
      </c>
      <c r="AC166" s="438">
        <f>IF(C166="","",IFERROR(SUMPRODUCT((終値!E168:AC168)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6" s="439">
        <f>IF(OR(C166="",AB166="",AC166=""),"",IF(AND(E166&gt;AB166,AB166&gt;AC166),"パーフェクト▲",IF(E166&gt;AC166,"上昇トレンド▲",IF(AND(E166&lt;AB166,AB166&lt;AC166),"下降トレンド▼","もみ合い→"))))</f>
        <v/>
      </c>
      <c r="AE166" s="439">
        <f>IF(OR(C166="",AB166="",AC166=""),"",IF(AND(ABS(E166-AC166)/AC166&lt;=0.02,E166&gt;AC166),"25日押し目★",IF(AND(ABS(E166-AB166)/AB166&lt;=0.01,E166&gt;AB166),"5日押し目○","なし")))</f>
        <v/>
      </c>
      <c r="AF166" s="617">
        <f t="array" ref="AF166">IF(C166="","",IFERROR((INDEX(終値!$E:$E,MATCH(TEXT(C166,"0"),終値!$A:$A,0))-INDEX(終値!$E:$BL,MATCH(TEXT(C166,"0"),終値!$A:$A,0),$AL$2))/INDEX(終値!$E:$BL,MATCH(TEXT(C166,"0"),終値!$A:$A,0),$AL$2)*100,""))</f>
        <v/>
      </c>
      <c r="AG166" s="617">
        <f t="array" ref="AG166">IFERROR((終値!$E$5-INDEX(終値!$E$5:$BL$5,1,$AL$2))/INDEX(終値!$E$5:$BL$5,1,$AL$2)*100,"")</f>
        <v/>
      </c>
      <c r="AH166" s="618">
        <f>IF(OR(AF166="",AG166=""),"",AF166-AG166)</f>
        <v/>
      </c>
      <c r="AI166" s="385">
        <f>IF(AH166="","",IF(AH166&gt;5,3,IF(AH166&gt;0,1,IF(AH166&gt;-3,-1,-2))))</f>
        <v/>
      </c>
    </row>
    <row r="167" ht="18" customHeight="1" s="574">
      <c r="A167" s="176">
        <f>IF(銘柄管理!B98&lt;&gt;"",HYPERLINK("https://kabutan.jp/stock/?code="&amp;銘柄管理!B98,"株探"),"")</f>
        <v/>
      </c>
      <c r="B167" s="177" t="n"/>
      <c r="C167" s="178">
        <f>IF(銘柄管理!B98="","",銘柄管理!B98)</f>
        <v/>
      </c>
      <c r="D167" s="106">
        <f>IF(銘柄管理!C98="","",銘柄管理!C98)</f>
        <v/>
      </c>
      <c r="E167" s="179">
        <f>IF(C167&lt;&gt;"",_xll.RssMarket(C167,"現在値"),"")</f>
        <v/>
      </c>
      <c r="F167" s="179">
        <f>IF(C167&lt;&gt;"",_xll.RssMarket(C167,"始値"),"")</f>
        <v/>
      </c>
      <c r="G167" s="178">
        <f>IF(C167&lt;&gt;"",終値!F98,"")</f>
        <v/>
      </c>
      <c r="H167" s="179">
        <f>IF(C167&lt;&gt;"",_xll.RssMarket(C167,"高値"),"")</f>
        <v/>
      </c>
      <c r="I167" s="179">
        <f>IF(C167&lt;&gt;"",_xll.RssMarket(C167,"安値"),"")</f>
        <v/>
      </c>
      <c r="J167" s="179">
        <f>IF(C167&lt;&gt;"",_xll.RssMarket(C167,"出来高"),"")</f>
        <v/>
      </c>
      <c r="K167" s="179">
        <f>IF(C167&lt;&gt;"",_xll.RssMarket(C167,"年初来高値"),"")</f>
        <v/>
      </c>
      <c r="L167" s="613">
        <f>IF(AND(E167&lt;&gt;"",K167&lt;&gt;"",K167&lt;&gt;0),(E167-K167)/K167*100,"")</f>
        <v/>
      </c>
      <c r="M167" s="179">
        <f>IF(C167&lt;&gt;"",IFERROR(AVERAGE(出来高!E98:I98),""),"")</f>
        <v/>
      </c>
      <c r="N167" s="179">
        <f>IF(C167&lt;&gt;"",IFERROR(AVERAGE(出来高!E98:AC98),""),"")</f>
        <v/>
      </c>
      <c r="O167" s="614">
        <f>IF(AND(J167&lt;&gt;"",M167&lt;&gt;"",M167&lt;&gt;0),J167/M167,"")</f>
        <v/>
      </c>
      <c r="P167" s="176">
        <f>IF(O167="","",IF(O167&gt;=2,"急増↑↑",IF(O167&gt;=1.5,"増加↑",IF(O167&gt;=1,"普通→","減少↓"))))</f>
        <v/>
      </c>
      <c r="Q167" s="176">
        <f>IF(E167="","",IF(AND(E167&gt;G167,O167&gt;=1.5),"買い▲",IF(E167&lt;G167,"様子見▼","中立→")))</f>
        <v/>
      </c>
      <c r="R167" s="179">
        <f>IF(E167&lt;&gt;"",ROUND(E167*1.08,0),"")</f>
        <v/>
      </c>
      <c r="S167" s="179">
        <f>IF(E167&lt;&gt;"",ROUND(E167*0.96,0),"")</f>
        <v/>
      </c>
      <c r="T167" s="176">
        <f>IF(C167="","",IFERROR(IF(O167&gt;=2,3,IF(O167&gt;=1.5,2,IF(O167&gt;=1,1,0)))+IF(E167&gt;G167,1,0)+IF(L167&gt;=-5,1,0)+IF(Q167="買い▲",2,0)+IF(W167&lt;=30,3,IF(W167&lt;=40,2,IF(AND(W167&gt;=40,W167&lt;=60),1,0)))+IF(X167&gt;0,1,0)+IF(V167="年初来高値更新●",3,IF(V167="高値圏",2,0))+IF(AD167="パーフェクト▲",3,IF(AD167="上昇トレンド▲",2,0))+IF(AE167="25日線押し目●",2,IF(AE167="5日線押し目○",1,0))+IF(P167="急増↑↑",2,IF(P167="増加↑",1,0))+N(AI167),0))</f>
        <v/>
      </c>
      <c r="U167" s="176">
        <f>IF(T167="","",IF(AND(T167&gt;=3,O167&gt;=1.5),"有効",IF(T167&gt;=3,"要確認","除外")))</f>
        <v/>
      </c>
      <c r="V167" s="176">
        <f>IF(AND(H167&lt;&gt;"",K167&lt;&gt;""),IF(H167&gt;=K167,"年初来高値更新●",IF(H167&gt;=K167*0.95,"高値圏","通常")),"")</f>
        <v/>
      </c>
      <c r="W167" s="615">
        <f t="array" ref="W167">IF(C167&lt;&gt;"",IFERROR(100-100/(1+SUMPRODUCT((終値!F98:R98&gt;終値!G98:S98)*( 終値!F98:R98-終値!G98:S98))/SUMPRODUCT((終値!F98:R98&lt;終値!G98:S98)*(終値!G98:S98-終値!F98:R98))),50),"")</f>
        <v/>
      </c>
      <c r="X167" s="183">
        <f>IF(C167&lt;&gt;"",IFERROR(SUMPRODUCT(終値!E98:P98,{0.154,0.132,0.113,0.097,0.083,0.071,0.061,0.052,0.045,0.038,0.033,0.028})/SUMPRODUCT({0.154,0.132,0.113,0.097,0.083,0.071,0.061,0.052,0.045,0.038,0.033,0.028})-SUMPRODUCT(終値!E98:AD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7" s="570">
        <f>IF(T167="","",IF(銘柄管理!$F$5="下落▼",IF(AND(AD167="パーフェクト▲",OR(AE167="25日線押し目●",AE167="5日線押し目○")),"★逆張り候補",IF(AND(AD167="上昇トレンド▲",OR(AE167="25日線押し目●",AE167="5日線押し目○")),"○逆張り候補",IF(W167&lt;=30,IF(Z167&gt;0,"◎反発確認",IF(Z167&lt;-5,"△要注意・様子見","△売られ過ぎ注目")),"相場下落・見送り"))),IF(AND(T167&gt;=12,AD167="パーフェクト▲"),"★強い買い",IF(AND(T167&gt;=12,AD167="上昇トレンド▲"),"★強い買い",IF(AND(T167&gt;=8,OR(AE167="25日線押し目●",AE167="5日線押し目○")),"◎押し目買い",IF(T167&gt;=10,"○買い候補",IF(T167&gt;=6,"△注目",IF(T167&gt;=3,"様子見","見送り"))))))))</f>
        <v/>
      </c>
      <c r="Z167" s="616">
        <f>IF(AND(E167&lt;&gt;"",G167&lt;&gt;"",G167&lt;&gt;0),(E167-G167)/G167*100,"")</f>
        <v/>
      </c>
      <c r="AA167" s="176">
        <f>IF(OR(C167="",E167="",E167=0),"",IF(E167&gt;G167,"上昇▲",IF(E167&lt;G167,"下落▼","横ばい→")))</f>
        <v/>
      </c>
      <c r="AB167" s="440">
        <f>IF(C167="","",IFERROR(((終値!E169*0.333)+(終値!F169*0.222)+(終値!G169*0.148)+(終値!H169*0.099)+(終値!I169*0.066)+(終値!J169*0.044)+(終値!K169*0.029)+(終値!L169*0.019)+(終値!M169*0.013)+(終値!N169*0.009))/(0.333+0.222+0.148+0.099+0.066+0.044+0.029+0.019+0.013+0.009),""))</f>
        <v/>
      </c>
      <c r="AC167" s="440">
        <f>IF(C167="","",IFERROR(SUMPRODUCT((終値!E169:AC169)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7" s="441">
        <f>IF(OR(C167="",AB167="",AC167=""),"",IF(AND(E167&gt;AB167,AB167&gt;AC167),"パーフェクト▲",IF(E167&gt;AC167,"上昇トレンド▲",IF(AND(E167&lt;AB167,AB167&lt;AC167),"下降トレンド▼","もみ合い→"))))</f>
        <v/>
      </c>
      <c r="AE167" s="441">
        <f>IF(OR(C167="",AB167="",AC167=""),"",IF(AND(ABS(E167-AC167)/AC167&lt;=0.02,E167&gt;AC167),"25日押し目★",IF(AND(ABS(E167-AB167)/AB167&lt;=0.01,E167&gt;AB167),"5日押し目○","なし")))</f>
        <v/>
      </c>
      <c r="AF167" s="617">
        <f t="array" ref="AF167">IF(C167="","",IFERROR((INDEX(終値!$E:$E,MATCH(TEXT(C167,"0"),終値!$A:$A,0))-INDEX(終値!$E:$BL,MATCH(TEXT(C167,"0"),終値!$A:$A,0),$AL$2))/INDEX(終値!$E:$BL,MATCH(TEXT(C167,"0"),終値!$A:$A,0),$AL$2)*100,""))</f>
        <v/>
      </c>
      <c r="AG167" s="617">
        <f t="array" ref="AG167">IFERROR((終値!$E$5-INDEX(終値!$E$5:$BL$5,1,$AL$2))/INDEX(終値!$E$5:$BL$5,1,$AL$2)*100,"")</f>
        <v/>
      </c>
      <c r="AH167" s="618">
        <f>IF(OR(AF167="",AG167=""),"",AF167-AG167)</f>
        <v/>
      </c>
      <c r="AI167" s="385">
        <f>IF(AH167="","",IF(AH167&gt;5,3,IF(AH167&gt;0,1,IF(AH167&gt;-3,-1,-2))))</f>
        <v/>
      </c>
    </row>
    <row r="168" ht="18" customHeight="1" s="574">
      <c r="A168" s="176">
        <f>IF(銘柄管理!B97&lt;&gt;"",HYPERLINK("https://kabutan.jp/stock/?code="&amp;銘柄管理!B97,"株探"),"")</f>
        <v/>
      </c>
      <c r="B168" s="177" t="n"/>
      <c r="C168" s="178">
        <f>IF(銘柄管理!B97="","",銘柄管理!B97)</f>
        <v/>
      </c>
      <c r="D168" s="106">
        <f>IF(銘柄管理!C97="","",銘柄管理!C97)</f>
        <v/>
      </c>
      <c r="E168" s="179">
        <f>IF(C168&lt;&gt;"",_xll.RssMarket(C168,"現在値"),"")</f>
        <v/>
      </c>
      <c r="F168" s="179">
        <f>IF(C168&lt;&gt;"",_xll.RssMarket(C168,"始値"),"")</f>
        <v/>
      </c>
      <c r="G168" s="178">
        <f>IF(C168&lt;&gt;"",終値!F97,"")</f>
        <v/>
      </c>
      <c r="H168" s="179">
        <f>IF(C168&lt;&gt;"",_xll.RssMarket(C168,"高値"),"")</f>
        <v/>
      </c>
      <c r="I168" s="179">
        <f>IF(C168&lt;&gt;"",_xll.RssMarket(C168,"安値"),"")</f>
        <v/>
      </c>
      <c r="J168" s="179">
        <f>IF(C168&lt;&gt;"",_xll.RssMarket(C168,"出来高"),"")</f>
        <v/>
      </c>
      <c r="K168" s="179">
        <f>IF(C168&lt;&gt;"",_xll.RssMarket(C168,"年初来高値"),"")</f>
        <v/>
      </c>
      <c r="L168" s="613">
        <f>IF(AND(E168&lt;&gt;"",K168&lt;&gt;"",K168&lt;&gt;0),(E168-K168)/K168*100,"")</f>
        <v/>
      </c>
      <c r="M168" s="179">
        <f>IF(C168&lt;&gt;"",IFERROR(AVERAGE(出来高!E97:I97),""),"")</f>
        <v/>
      </c>
      <c r="N168" s="179">
        <f>IF(C168&lt;&gt;"",IFERROR(AVERAGE(出来高!E97:AC97),""),"")</f>
        <v/>
      </c>
      <c r="O168" s="614">
        <f>IF(AND(J168&lt;&gt;"",M168&lt;&gt;"",M168&lt;&gt;0),J168/M168,"")</f>
        <v/>
      </c>
      <c r="P168" s="176">
        <f>IF(O168="","",IF(O168&gt;=2,"急増↑↑",IF(O168&gt;=1.5,"増加↑",IF(O168&gt;=1,"普通→","減少↓"))))</f>
        <v/>
      </c>
      <c r="Q168" s="176">
        <f>IF(E168="","",IF(AND(E168&gt;G168,O168&gt;=1.5),"買い▲",IF(E168&lt;G168,"様子見▼","中立→")))</f>
        <v/>
      </c>
      <c r="R168" s="179">
        <f>IF(E168&lt;&gt;"",ROUND(E168*1.08,0),"")</f>
        <v/>
      </c>
      <c r="S168" s="179">
        <f>IF(E168&lt;&gt;"",ROUND(E168*0.96,0),"")</f>
        <v/>
      </c>
      <c r="T168" s="176">
        <f>IF(C168="","",IFERROR(IF(O168&gt;=2,3,IF(O168&gt;=1.5,2,IF(O168&gt;=1,1,0)))+IF(E168&gt;G168,1,0)+IF(L168&gt;=-5,1,0)+IF(Q168="買い▲",2,0)+IF(W168&lt;=30,3,IF(W168&lt;=40,2,IF(AND(W168&gt;=40,W168&lt;=60),1,0)))+IF(X168&gt;0,1,0)+IF(V168="年初来高値更新●",3,IF(V168="高値圏",2,0))+IF(AD168="パーフェクト▲",3,IF(AD168="上昇トレンド▲",2,0))+IF(AE168="25日線押し目●",2,IF(AE168="5日線押し目○",1,0))+IF(P168="急増↑↑",2,IF(P168="増加↑",1,0))+N(AI168),0))</f>
        <v/>
      </c>
      <c r="U168" s="176">
        <f>IF(T168="","",IF(AND(T168&gt;=3,O168&gt;=1.5),"有効",IF(T168&gt;=3,"要確認","除外")))</f>
        <v/>
      </c>
      <c r="V168" s="176">
        <f>IF(AND(H168&lt;&gt;"",K168&lt;&gt;""),IF(H168&gt;=K168,"年初来高値更新●",IF(H168&gt;=K168*0.95,"高値圏","通常")),"")</f>
        <v/>
      </c>
      <c r="W168" s="615">
        <f t="array" ref="W168">IF(C168&lt;&gt;"",IFERROR(100-100/(1+SUMPRODUCT((終値!F97:R97&gt;終値!G97:S97)*( 終値!F97:R97-終値!G97:S97))/SUMPRODUCT((終値!F97:R97&lt;終値!G97:S97)*(終値!G97:S97-終値!F97:R97))),50),"")</f>
        <v/>
      </c>
      <c r="X168" s="183">
        <f>IF(C168&lt;&gt;"",IFERROR(SUMPRODUCT(終値!E97:P97,{0.154,0.132,0.113,0.097,0.083,0.071,0.061,0.052,0.045,0.038,0.033,0.028})/SUMPRODUCT({0.154,0.132,0.113,0.097,0.083,0.071,0.061,0.052,0.045,0.038,0.033,0.028})-SUMPRODUCT(終値!E97:AD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8" s="570">
        <f>IF(T168="","",IF(銘柄管理!$F$5="下落▼",IF(AND(AD168="パーフェクト▲",OR(AE168="25日線押し目●",AE168="5日線押し目○")),"★逆張り候補",IF(AND(AD168="上昇トレンド▲",OR(AE168="25日線押し目●",AE168="5日線押し目○")),"○逆張り候補",IF(W168&lt;=30,IF(Z168&gt;0,"◎反発確認",IF(Z168&lt;-5,"△要注意・様子見","△売られ過ぎ注目")),"相場下落・見送り"))),IF(AND(T168&gt;=12,AD168="パーフェクト▲"),"★強い買い",IF(AND(T168&gt;=12,AD168="上昇トレンド▲"),"★強い買い",IF(AND(T168&gt;=8,OR(AE168="25日線押し目●",AE168="5日線押し目○")),"◎押し目買い",IF(T168&gt;=10,"○買い候補",IF(T168&gt;=6,"△注目",IF(T168&gt;=3,"様子見","見送り"))))))))</f>
        <v/>
      </c>
      <c r="Z168" s="616">
        <f>IF(AND(E168&lt;&gt;"",G168&lt;&gt;"",G168&lt;&gt;0),(E168-G168)/G168*100,"")</f>
        <v/>
      </c>
      <c r="AA168" s="176">
        <f>IF(OR(C168="",E168="",E168=0),"",IF(E168&gt;G168,"上昇▲",IF(E168&lt;G168,"下落▼","横ばい→")))</f>
        <v/>
      </c>
      <c r="AB168" s="438">
        <f>IF(C168="","",IFERROR(((終値!E170*0.333)+(終値!F170*0.222)+(終値!G170*0.148)+(終値!H170*0.099)+(終値!I170*0.066)+(終値!J170*0.044)+(終値!K170*0.029)+(終値!L170*0.019)+(終値!M170*0.013)+(終値!N170*0.009))/(0.333+0.222+0.148+0.099+0.066+0.044+0.029+0.019+0.013+0.009),""))</f>
        <v/>
      </c>
      <c r="AC168" s="438">
        <f>IF(C168="","",IFERROR(SUMPRODUCT((終値!E170:AC170)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8" s="439">
        <f>IF(OR(C168="",AB168="",AC168=""),"",IF(AND(E168&gt;AB168,AB168&gt;AC168),"パーフェクト▲",IF(E168&gt;AC168,"上昇トレンド▲",IF(AND(E168&lt;AB168,AB168&lt;AC168),"下降トレンド▼","もみ合い→"))))</f>
        <v/>
      </c>
      <c r="AE168" s="439">
        <f>IF(OR(C168="",AB168="",AC168=""),"",IF(AND(ABS(E168-AC168)/AC168&lt;=0.02,E168&gt;AC168),"25日押し目★",IF(AND(ABS(E168-AB168)/AB168&lt;=0.01,E168&gt;AB168),"5日押し目○","なし")))</f>
        <v/>
      </c>
      <c r="AF168" s="617">
        <f t="array" ref="AF168">IF(C168="","",IFERROR((INDEX(終値!$E:$E,MATCH(TEXT(C168,"0"),終値!$A:$A,0))-INDEX(終値!$E:$BL,MATCH(TEXT(C168,"0"),終値!$A:$A,0),$AL$2))/INDEX(終値!$E:$BL,MATCH(TEXT(C168,"0"),終値!$A:$A,0),$AL$2)*100,""))</f>
        <v/>
      </c>
      <c r="AG168" s="617">
        <f t="array" ref="AG168">IFERROR((終値!$E$5-INDEX(終値!$E$5:$BL$5,1,$AL$2))/INDEX(終値!$E$5:$BL$5,1,$AL$2)*100,"")</f>
        <v/>
      </c>
      <c r="AH168" s="618">
        <f>IF(OR(AF168="",AG168=""),"",AF168-AG168)</f>
        <v/>
      </c>
      <c r="AI168" s="385">
        <f>IF(AH168="","",IF(AH168&gt;5,3,IF(AH168&gt;0,1,IF(AH168&gt;-3,-1,-2))))</f>
        <v/>
      </c>
    </row>
    <row r="169" ht="18" customHeight="1" s="574">
      <c r="A169" s="176">
        <f>IF(銘柄管理!B157&lt;&gt;"",HYPERLINK("https://kabutan.jp/stock/?code="&amp;銘柄管理!B157,"株探"),"")</f>
        <v/>
      </c>
      <c r="B169" s="177" t="n"/>
      <c r="C169" s="178">
        <f>IF(銘柄管理!B157="","",銘柄管理!B157)</f>
        <v/>
      </c>
      <c r="D169" s="106">
        <f>IF(銘柄管理!C157="","",銘柄管理!C157)</f>
        <v/>
      </c>
      <c r="E169" s="179">
        <f>IF(C169&lt;&gt;"",_xll.RssMarket(C169,"現在値"),"")</f>
        <v/>
      </c>
      <c r="F169" s="179">
        <f>IF(C169&lt;&gt;"",_xll.RssMarket(C169,"始値"),"")</f>
        <v/>
      </c>
      <c r="G169" s="178">
        <f>IF(C169&lt;&gt;"",終値!F157,"")</f>
        <v/>
      </c>
      <c r="H169" s="179">
        <f>IF(C169&lt;&gt;"",_xll.RssMarket(C169,"高値"),"")</f>
        <v/>
      </c>
      <c r="I169" s="179">
        <f>IF(C169&lt;&gt;"",_xll.RssMarket(C169,"安値"),"")</f>
        <v/>
      </c>
      <c r="J169" s="179">
        <f>IF(C169&lt;&gt;"",_xll.RssMarket(C169,"出来高"),"")</f>
        <v/>
      </c>
      <c r="K169" s="179">
        <f>IF(C169&lt;&gt;"",_xll.RssMarket(C169,"年初来高値"),"")</f>
        <v/>
      </c>
      <c r="L169" s="613">
        <f>IF(AND(E169&lt;&gt;"",K169&lt;&gt;"",K169&lt;&gt;0),(E169-K169)/K169*100,"")</f>
        <v/>
      </c>
      <c r="M169" s="179">
        <f>IF(C169&lt;&gt;"",IFERROR(AVERAGE(出来高!E157:I157),""),"")</f>
        <v/>
      </c>
      <c r="N169" s="179">
        <f>IF(C169&lt;&gt;"",IFERROR(AVERAGE(出来高!E157:AC157),""),"")</f>
        <v/>
      </c>
      <c r="O169" s="614">
        <f>IF(AND(J169&lt;&gt;"",M169&lt;&gt;"",M169&lt;&gt;0),J169/M169,"")</f>
        <v/>
      </c>
      <c r="P169" s="176">
        <f>IF(O169="","",IF(O169&gt;=2,"急増↑↑",IF(O169&gt;=1.5,"増加↑",IF(O169&gt;=1,"普通→","減少↓"))))</f>
        <v/>
      </c>
      <c r="Q169" s="176">
        <f>IF(E169="","",IF(AND(E169&gt;G169,O169&gt;=1.5),"買い▲",IF(E169&lt;G169,"様子見▼","中立→")))</f>
        <v/>
      </c>
      <c r="R169" s="179">
        <f>IF(E169&lt;&gt;"",ROUND(E169*1.08,0),"")</f>
        <v/>
      </c>
      <c r="S169" s="179">
        <f>IF(E169&lt;&gt;"",ROUND(E169*0.96,0),"")</f>
        <v/>
      </c>
      <c r="T169" s="176">
        <f>IF(C169="","",IFERROR(IF(O169&gt;=2,3,IF(O169&gt;=1.5,2,IF(O169&gt;=1,1,0)))+IF(E169&gt;G169,1,0)+IF(L169&gt;=-5,1,0)+IF(Q169="買い▲",2,0)+IF(W169&lt;=30,3,IF(W169&lt;=40,2,IF(AND(W169&gt;=40,W169&lt;=60),1,0)))+IF(X169&gt;0,1,0)+IF(V169="年初来高値更新●",3,IF(V169="高値圏",2,0))+IF(AD169="パーフェクト▲",3,IF(AD169="上昇トレンド▲",2,0))+IF(AE169="25日線押し目●",2,IF(AE169="5日線押し目○",1,0))+IF(P169="急増↑↑",2,IF(P169="増加↑",1,0))+N(AI169),0))</f>
        <v/>
      </c>
      <c r="U169" s="176">
        <f>IF(T169="","",IF(AND(T169&gt;=3,O169&gt;=1.5),"有効",IF(T169&gt;=3,"要確認","除外")))</f>
        <v/>
      </c>
      <c r="V169" s="176">
        <f>IF(AND(H169&lt;&gt;"",K169&lt;&gt;""),IF(H169&gt;=K169,"年初来高値更新●",IF(H169&gt;=K169*0.95,"高値圏","通常")),"")</f>
        <v/>
      </c>
      <c r="W169" s="615">
        <f t="array" ref="W169">IF(C169&lt;&gt;"",IFERROR(100-100/(1+SUMPRODUCT((終値!F157:R157&gt;終値!G157:S157)*( 終値!F157:R157-終値!G157:S157))/SUMPRODUCT((終値!F157:R157&lt;終値!G157:S157)*(終値!G157:S157-終値!F157:R157))),50),"")</f>
        <v/>
      </c>
      <c r="X169" s="183">
        <f>IF(C169&lt;&gt;"",IFERROR(SUMPRODUCT(終値!E157:P157,{0.154,0.132,0.113,0.097,0.083,0.071,0.061,0.052,0.045,0.038,0.033,0.028})/SUMPRODUCT({0.154,0.132,0.113,0.097,0.083,0.071,0.061,0.052,0.045,0.038,0.033,0.028})-SUMPRODUCT(終値!E157:AD157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9" s="570">
        <f>IF(T169="","",IF(銘柄管理!$F$5="下落▼",IF(AND(AD169="パーフェクト▲",OR(AE169="25日線押し目●",AE169="5日線押し目○")),"★逆張り候補",IF(AND(AD169="上昇トレンド▲",OR(AE169="25日線押し目●",AE169="5日線押し目○")),"○逆張り候補",IF(W169&lt;=30,IF(Z169&gt;0,"◎反発確認",IF(Z169&lt;-5,"△要注意・様子見","△売られ過ぎ注目")),"相場下落・見送り"))),IF(AND(T169&gt;=12,AD169="パーフェクト▲"),"★強い買い",IF(AND(T169&gt;=12,AD169="上昇トレンド▲"),"★強い買い",IF(AND(T169&gt;=8,OR(AE169="25日線押し目●",AE169="5日線押し目○")),"◎押し目買い",IF(T169&gt;=10,"○買い候補",IF(T169&gt;=6,"△注目",IF(T169&gt;=3,"様子見","見送り"))))))))</f>
        <v/>
      </c>
      <c r="Z169" s="616">
        <f>IF(AND(E169&lt;&gt;"",G169&lt;&gt;"",G169&lt;&gt;0),(E169-G169)/G169*100,"")</f>
        <v/>
      </c>
      <c r="AA169" s="176">
        <f>IF(OR(C169="",E169="",E169=0),"",IF(E169&gt;G169,"上昇▲",IF(E169&lt;G169,"下落▼","横ばい→")))</f>
        <v/>
      </c>
      <c r="AB169" s="440">
        <f>IF(C169="","",IFERROR(((終値!E171*0.333)+(終値!F171*0.222)+(終値!G171*0.148)+(終値!H171*0.099)+(終値!I171*0.066)+(終値!J171*0.044)+(終値!K171*0.029)+(終値!L171*0.019)+(終値!M171*0.013)+(終値!N171*0.009))/(0.333+0.222+0.148+0.099+0.066+0.044+0.029+0.019+0.013+0.009),""))</f>
        <v/>
      </c>
      <c r="AC169" s="440">
        <f>IF(C169="","",IFERROR(SUMPRODUCT((終値!E171:AC171)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9" s="441">
        <f>IF(OR(C169="",AB169="",AC169=""),"",IF(AND(E169&gt;AB169,AB169&gt;AC169),"パーフェクト▲",IF(E169&gt;AC169,"上昇トレンド▲",IF(AND(E169&lt;AB169,AB169&lt;AC169),"下降トレンド▼","もみ合い→"))))</f>
        <v/>
      </c>
      <c r="AE169" s="441">
        <f>IF(OR(C169="",AB169="",AC169=""),"",IF(AND(ABS(E169-AC169)/AC169&lt;=0.02,E169&gt;AC169),"25日押し目★",IF(AND(ABS(E169-AB169)/AB169&lt;=0.01,E169&gt;AB169),"5日押し目○","なし")))</f>
        <v/>
      </c>
      <c r="AF169" s="617">
        <f t="array" ref="AF169">IF(C169="","",IFERROR((INDEX(終値!$E:$E,MATCH(TEXT(C169,"0"),終値!$A:$A,0))-INDEX(終値!$E:$BL,MATCH(TEXT(C169,"0"),終値!$A:$A,0),$AL$2))/INDEX(終値!$E:$BL,MATCH(TEXT(C169,"0"),終値!$A:$A,0),$AL$2)*100,""))</f>
        <v/>
      </c>
      <c r="AG169" s="617">
        <f t="array" ref="AG169">IFERROR((終値!$E$5-INDEX(終値!$E$5:$BL$5,1,$AL$2))/INDEX(終値!$E$5:$BL$5,1,$AL$2)*100,"")</f>
        <v/>
      </c>
      <c r="AH169" s="618">
        <f>IF(OR(AF169="",AG169=""),"",AF169-AG169)</f>
        <v/>
      </c>
      <c r="AI169" s="385">
        <f>IF(AH169="","",IF(AH169&gt;5,3,IF(AH169&gt;0,1,IF(AH169&gt;-3,-1,-2))))</f>
        <v/>
      </c>
    </row>
    <row r="170" ht="18" customHeight="1" s="574">
      <c r="A170" s="176">
        <f>IF(銘柄管理!B156&lt;&gt;"",HYPERLINK("https://kabutan.jp/stock/?code="&amp;銘柄管理!B156,"株探"),"")</f>
        <v/>
      </c>
      <c r="B170" s="177" t="n"/>
      <c r="C170" s="178">
        <f>IF(銘柄管理!B156="","",銘柄管理!B156)</f>
        <v/>
      </c>
      <c r="D170" s="106">
        <f>IF(銘柄管理!C156="","",銘柄管理!C156)</f>
        <v/>
      </c>
      <c r="E170" s="179">
        <f>IF(C170&lt;&gt;"",_xll.RssMarket(C170,"現在値"),"")</f>
        <v/>
      </c>
      <c r="F170" s="179">
        <f>IF(C170&lt;&gt;"",_xll.RssMarket(C170,"始値"),"")</f>
        <v/>
      </c>
      <c r="G170" s="178">
        <f>IF(C170&lt;&gt;"",終値!F156,"")</f>
        <v/>
      </c>
      <c r="H170" s="179">
        <f>IF(C170&lt;&gt;"",_xll.RssMarket(C170,"高値"),"")</f>
        <v/>
      </c>
      <c r="I170" s="179">
        <f>IF(C170&lt;&gt;"",_xll.RssMarket(C170,"安値"),"")</f>
        <v/>
      </c>
      <c r="J170" s="179">
        <f>IF(C170&lt;&gt;"",_xll.RssMarket(C170,"出来高"),"")</f>
        <v/>
      </c>
      <c r="K170" s="179">
        <f>IF(C170&lt;&gt;"",_xll.RssMarket(C170,"年初来高値"),"")</f>
        <v/>
      </c>
      <c r="L170" s="613">
        <f>IF(AND(E170&lt;&gt;"",K170&lt;&gt;"",K170&lt;&gt;0),(E170-K170)/K170*100,"")</f>
        <v/>
      </c>
      <c r="M170" s="179">
        <f>IF(C170&lt;&gt;"",IFERROR(AVERAGE(出来高!E156:I156),""),"")</f>
        <v/>
      </c>
      <c r="N170" s="179">
        <f>IF(C170&lt;&gt;"",IFERROR(AVERAGE(出来高!E156:AC156),""),"")</f>
        <v/>
      </c>
      <c r="O170" s="614">
        <f>IF(AND(J170&lt;&gt;"",M170&lt;&gt;"",M170&lt;&gt;0),J170/M170,"")</f>
        <v/>
      </c>
      <c r="P170" s="176">
        <f>IF(O170="","",IF(O170&gt;=2,"急増↑↑",IF(O170&gt;=1.5,"増加↑",IF(O170&gt;=1,"普通→","減少↓"))))</f>
        <v/>
      </c>
      <c r="Q170" s="176">
        <f>IF(E170="","",IF(AND(E170&gt;G170,O170&gt;=1.5),"買い▲",IF(E170&lt;G170,"様子見▼","中立→")))</f>
        <v/>
      </c>
      <c r="R170" s="179">
        <f>IF(E170&lt;&gt;"",ROUND(E170*1.08,0),"")</f>
        <v/>
      </c>
      <c r="S170" s="179">
        <f>IF(E170&lt;&gt;"",ROUND(E170*0.96,0),"")</f>
        <v/>
      </c>
      <c r="T170" s="176">
        <f>IF(C170="","",IFERROR(IF(O170&gt;=2,3,IF(O170&gt;=1.5,2,IF(O170&gt;=1,1,0)))+IF(E170&gt;G170,1,0)+IF(L170&gt;=-5,1,0)+IF(Q170="買い▲",2,0)+IF(W170&lt;=30,3,IF(W170&lt;=40,2,IF(AND(W170&gt;=40,W170&lt;=60),1,0)))+IF(X170&gt;0,1,0)+IF(V170="年初来高値更新●",3,IF(V170="高値圏",2,0))+IF(AD170="パーフェクト▲",3,IF(AD170="上昇トレンド▲",2,0))+IF(AE170="25日線押し目●",2,IF(AE170="5日線押し目○",1,0))+IF(P170="急増↑↑",2,IF(P170="増加↑",1,0))+N(AI170),0))</f>
        <v/>
      </c>
      <c r="U170" s="176">
        <f>IF(T170="","",IF(AND(T170&gt;=3,O170&gt;=1.5),"有効",IF(T170&gt;=3,"要確認","除外")))</f>
        <v/>
      </c>
      <c r="V170" s="176">
        <f>IF(AND(H170&lt;&gt;"",K170&lt;&gt;""),IF(H170&gt;=K170,"年初来高値更新●",IF(H170&gt;=K170*0.95,"高値圏","通常")),"")</f>
        <v/>
      </c>
      <c r="W170" s="615">
        <f t="array" ref="W170">IF(C170&lt;&gt;"",IFERROR(100-100/(1+SUMPRODUCT((終値!F156:R156&gt;終値!G156:S156)*( 終値!F156:R156-終値!G156:S156))/SUMPRODUCT((終値!F156:R156&lt;終値!G156:S156)*(終値!G156:S156-終値!F156:R156))),50),"")</f>
        <v/>
      </c>
      <c r="X170" s="183">
        <f>IF(C170&lt;&gt;"",IFERROR(SUMPRODUCT(終値!E156:P156,{0.154,0.132,0.113,0.097,0.083,0.071,0.061,0.052,0.045,0.038,0.033,0.028})/SUMPRODUCT({0.154,0.132,0.113,0.097,0.083,0.071,0.061,0.052,0.045,0.038,0.033,0.028})-SUMPRODUCT(終値!E156:AD156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0" s="570">
        <f>IF(T170="","",IF(銘柄管理!$F$5="下落▼",IF(AND(AD170="パーフェクト▲",OR(AE170="25日線押し目●",AE170="5日線押し目○")),"★逆張り候補",IF(AND(AD170="上昇トレンド▲",OR(AE170="25日線押し目●",AE170="5日線押し目○")),"○逆張り候補",IF(W170&lt;=30,IF(Z170&gt;0,"◎反発確認",IF(Z170&lt;-5,"△要注意・様子見","△売られ過ぎ注目")),"相場下落・見送り"))),IF(AND(T170&gt;=12,AD170="パーフェクト▲"),"★強い買い",IF(AND(T170&gt;=12,AD170="上昇トレンド▲"),"★強い買い",IF(AND(T170&gt;=8,OR(AE170="25日線押し目●",AE170="5日線押し目○")),"◎押し目買い",IF(T170&gt;=10,"○買い候補",IF(T170&gt;=6,"△注目",IF(T170&gt;=3,"様子見","見送り"))))))))</f>
        <v/>
      </c>
      <c r="Z170" s="616">
        <f>IF(AND(E170&lt;&gt;"",G170&lt;&gt;"",G170&lt;&gt;0),(E170-G170)/G170*100,"")</f>
        <v/>
      </c>
      <c r="AA170" s="176">
        <f>IF(OR(C170="",E170="",E170=0),"",IF(E170&gt;G170,"上昇▲",IF(E170&lt;G170,"下落▼","横ばい→")))</f>
        <v/>
      </c>
      <c r="AB170" s="438">
        <f>IF(C170="","",IFERROR(((終値!E172*0.333)+(終値!F172*0.222)+(終値!G172*0.148)+(終値!H172*0.099)+(終値!I172*0.066)+(終値!J172*0.044)+(終値!K172*0.029)+(終値!L172*0.019)+(終値!M172*0.013)+(終値!N172*0.009))/(0.333+0.222+0.148+0.099+0.066+0.044+0.029+0.019+0.013+0.009),""))</f>
        <v/>
      </c>
      <c r="AC170" s="438">
        <f>IF(C170="","",IFERROR(SUMPRODUCT((終値!E172:AC172)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0" s="439">
        <f>IF(OR(C170="",AB170="",AC170=""),"",IF(AND(E170&gt;AB170,AB170&gt;AC170),"パーフェクト▲",IF(E170&gt;AC170,"上昇トレンド▲",IF(AND(E170&lt;AB170,AB170&lt;AC170),"下降トレンド▼","もみ合い→"))))</f>
        <v/>
      </c>
      <c r="AE170" s="439">
        <f>IF(OR(C170="",AB170="",AC170=""),"",IF(AND(ABS(E170-AC170)/AC170&lt;=0.02,E170&gt;AC170),"25日押し目★",IF(AND(ABS(E170-AB170)/AB170&lt;=0.01,E170&gt;AB170),"5日押し目○","なし")))</f>
        <v/>
      </c>
      <c r="AF170" s="617">
        <f t="array" ref="AF170">IF(C170="","",IFERROR((INDEX(終値!$E:$E,MATCH(TEXT(C170,"0"),終値!$A:$A,0))-INDEX(終値!$E:$BL,MATCH(TEXT(C170,"0"),終値!$A:$A,0),$AL$2))/INDEX(終値!$E:$BL,MATCH(TEXT(C170,"0"),終値!$A:$A,0),$AL$2)*100,""))</f>
        <v/>
      </c>
      <c r="AG170" s="617">
        <f t="array" ref="AG170">IFERROR((終値!$E$5-INDEX(終値!$E$5:$BL$5,1,$AL$2))/INDEX(終値!$E$5:$BL$5,1,$AL$2)*100,"")</f>
        <v/>
      </c>
      <c r="AH170" s="618">
        <f>IF(OR(AF170="",AG170=""),"",AF170-AG170)</f>
        <v/>
      </c>
      <c r="AI170" s="385">
        <f>IF(AH170="","",IF(AH170&gt;5,3,IF(AH170&gt;0,1,IF(AH170&gt;-3,-1,-2))))</f>
        <v/>
      </c>
    </row>
    <row r="171" ht="18" customHeight="1" s="574">
      <c r="A171" s="176">
        <f>IF(銘柄管理!B129&lt;&gt;"",HYPERLINK("https://kabutan.jp/stock/?code="&amp;銘柄管理!B129,"株探"),"")</f>
        <v/>
      </c>
      <c r="B171" s="177" t="n"/>
      <c r="C171" s="178">
        <f>IF(銘柄管理!B129="","",銘柄管理!B129)</f>
        <v/>
      </c>
      <c r="D171" s="106">
        <f>IF(銘柄管理!C129="","",銘柄管理!C129)</f>
        <v/>
      </c>
      <c r="E171" s="179">
        <f>IF(C171&lt;&gt;"",_xll.RssMarket(C171,"現在値"),"")</f>
        <v/>
      </c>
      <c r="F171" s="179">
        <f>IF(C171&lt;&gt;"",_xll.RssMarket(C171,"始値"),"")</f>
        <v/>
      </c>
      <c r="G171" s="178">
        <f>IF(C171&lt;&gt;"",終値!F129,"")</f>
        <v/>
      </c>
      <c r="H171" s="179">
        <f>IF(C171&lt;&gt;"",_xll.RssMarket(C171,"高値"),"")</f>
        <v/>
      </c>
      <c r="I171" s="179">
        <f>IF(C171&lt;&gt;"",_xll.RssMarket(C171,"安値"),"")</f>
        <v/>
      </c>
      <c r="J171" s="179">
        <f>IF(C171&lt;&gt;"",_xll.RssMarket(C171,"出来高"),"")</f>
        <v/>
      </c>
      <c r="K171" s="179">
        <f>IF(C171&lt;&gt;"",_xll.RssMarket(C171,"年初来高値"),"")</f>
        <v/>
      </c>
      <c r="L171" s="613">
        <f>IF(AND(E171&lt;&gt;"",K171&lt;&gt;"",K171&lt;&gt;0),(E171-K171)/K171*100,"")</f>
        <v/>
      </c>
      <c r="M171" s="179">
        <f>IF(C171&lt;&gt;"",IFERROR(AVERAGE(出来高!E129:I129),""),"")</f>
        <v/>
      </c>
      <c r="N171" s="179">
        <f>IF(C171&lt;&gt;"",IFERROR(AVERAGE(出来高!E129:AC129),""),"")</f>
        <v/>
      </c>
      <c r="O171" s="614">
        <f>IF(AND(J171&lt;&gt;"",M171&lt;&gt;"",M171&lt;&gt;0),J171/M171,"")</f>
        <v/>
      </c>
      <c r="P171" s="176">
        <f>IF(O171="","",IF(O171&gt;=2,"急増↑↑",IF(O171&gt;=1.5,"増加↑",IF(O171&gt;=1,"普通→","減少↓"))))</f>
        <v/>
      </c>
      <c r="Q171" s="176">
        <f>IF(E171="","",IF(AND(E171&gt;G171,O171&gt;=1.5),"買い▲",IF(E171&lt;G171,"様子見▼","中立→")))</f>
        <v/>
      </c>
      <c r="R171" s="179">
        <f>IF(E171&lt;&gt;"",ROUND(E171*1.08,0),"")</f>
        <v/>
      </c>
      <c r="S171" s="179">
        <f>IF(E171&lt;&gt;"",ROUND(E171*0.96,0),"")</f>
        <v/>
      </c>
      <c r="T171" s="176">
        <f>IF(C171="","",IFERROR(IF(O171&gt;=2,3,IF(O171&gt;=1.5,2,IF(O171&gt;=1,1,0)))+IF(E171&gt;G171,1,0)+IF(L171&gt;=-5,1,0)+IF(Q171="買い▲",2,0)+IF(W171&lt;=30,3,IF(W171&lt;=40,2,IF(AND(W171&gt;=40,W171&lt;=60),1,0)))+IF(X171&gt;0,1,0)+IF(V171="年初来高値更新●",3,IF(V171="高値圏",2,0))+IF(AD171="パーフェクト▲",3,IF(AD171="上昇トレンド▲",2,0))+IF(AE171="25日線押し目●",2,IF(AE171="5日線押し目○",1,0))+IF(P171="急増↑↑",2,IF(P171="増加↑",1,0))+N(AI171),0))</f>
        <v/>
      </c>
      <c r="U171" s="176">
        <f>IF(T171="","",IF(AND(T171&gt;=3,O171&gt;=1.5),"有効",IF(T171&gt;=3,"要確認","除外")))</f>
        <v/>
      </c>
      <c r="V171" s="176">
        <f>IF(AND(H171&lt;&gt;"",K171&lt;&gt;""),IF(H171&gt;=K171,"年初来高値更新●",IF(H171&gt;=K171*0.95,"高値圏","通常")),"")</f>
        <v/>
      </c>
      <c r="W171" s="615">
        <f t="array" ref="W171">IF(C171&lt;&gt;"",IFERROR(100-100/(1+SUMPRODUCT((終値!F129:R129&gt;終値!G129:S129)*( 終値!F129:R129-終値!G129:S129))/SUMPRODUCT((終値!F129:R129&lt;終値!G129:S129)*(終値!G129:S129-終値!F129:R129))),50),"")</f>
        <v/>
      </c>
      <c r="X171" s="183">
        <f>IF(C171&lt;&gt;"",IFERROR(SUMPRODUCT(終値!E129:P129,{0.154,0.132,0.113,0.097,0.083,0.071,0.061,0.052,0.045,0.038,0.033,0.028})/SUMPRODUCT({0.154,0.132,0.113,0.097,0.083,0.071,0.061,0.052,0.045,0.038,0.033,0.028})-SUMPRODUCT(終値!E129:AD129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1" s="570">
        <f>IF(T171="","",IF(銘柄管理!$F$5="下落▼",IF(AND(AD171="パーフェクト▲",OR(AE171="25日線押し目●",AE171="5日線押し目○")),"★逆張り候補",IF(AND(AD171="上昇トレンド▲",OR(AE171="25日線押し目●",AE171="5日線押し目○")),"○逆張り候補",IF(W171&lt;=30,IF(Z171&gt;0,"◎反発確認",IF(Z171&lt;-5,"△要注意・様子見","△売られ過ぎ注目")),"相場下落・見送り"))),IF(AND(T171&gt;=12,AD171="パーフェクト▲"),"★強い買い",IF(AND(T171&gt;=12,AD171="上昇トレンド▲"),"★強い買い",IF(AND(T171&gt;=8,OR(AE171="25日線押し目●",AE171="5日線押し目○")),"◎押し目買い",IF(T171&gt;=10,"○買い候補",IF(T171&gt;=6,"△注目",IF(T171&gt;=3,"様子見","見送り"))))))))</f>
        <v/>
      </c>
      <c r="Z171" s="616">
        <f>IF(AND(E171&lt;&gt;"",G171&lt;&gt;"",G171&lt;&gt;0),(E171-G171)/G171*100,"")</f>
        <v/>
      </c>
      <c r="AA171" s="176">
        <f>IF(OR(C171="",E171="",E171=0),"",IF(E171&gt;G171,"上昇▲",IF(E171&lt;G171,"下落▼","横ばい→")))</f>
        <v/>
      </c>
      <c r="AB171" s="440">
        <f>IF(C171="","",IFERROR(((終値!E173*0.333)+(終値!F173*0.222)+(終値!G173*0.148)+(終値!H173*0.099)+(終値!I173*0.066)+(終値!J173*0.044)+(終値!K173*0.029)+(終値!L173*0.019)+(終値!M173*0.013)+(終値!N173*0.009))/(0.333+0.222+0.148+0.099+0.066+0.044+0.029+0.019+0.013+0.009),""))</f>
        <v/>
      </c>
      <c r="AC171" s="440">
        <f>IF(C171="","",IFERROR(SUMPRODUCT((終値!E173:AC173)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1" s="441">
        <f>IF(OR(C171="",AB171="",AC171=""),"",IF(AND(E171&gt;AB171,AB171&gt;AC171),"パーフェクト▲",IF(E171&gt;AC171,"上昇トレンド▲",IF(AND(E171&lt;AB171,AB171&lt;AC171),"下降トレンド▼","もみ合い→"))))</f>
        <v/>
      </c>
      <c r="AE171" s="441">
        <f>IF(OR(C171="",AB171="",AC171=""),"",IF(AND(ABS(E171-AC171)/AC171&lt;=0.02,E171&gt;AC171),"25日押し目★",IF(AND(ABS(E171-AB171)/AB171&lt;=0.01,E171&gt;AB171),"5日押し目○","なし")))</f>
        <v/>
      </c>
      <c r="AF171" s="617">
        <f t="array" ref="AF171">IF(C171="","",IFERROR((INDEX(終値!$E:$E,MATCH(TEXT(C171,"0"),終値!$A:$A,0))-INDEX(終値!$E:$BL,MATCH(TEXT(C171,"0"),終値!$A:$A,0),$AL$2))/INDEX(終値!$E:$BL,MATCH(TEXT(C171,"0"),終値!$A:$A,0),$AL$2)*100,""))</f>
        <v/>
      </c>
      <c r="AG171" s="617">
        <f t="array" ref="AG171">IFERROR((終値!$E$5-INDEX(終値!$E$5:$BL$5,1,$AL$2))/INDEX(終値!$E$5:$BL$5,1,$AL$2)*100,"")</f>
        <v/>
      </c>
      <c r="AH171" s="618">
        <f>IF(OR(AF171="",AG171=""),"",AF171-AG171)</f>
        <v/>
      </c>
      <c r="AI171" s="385">
        <f>IF(AH171="","",IF(AH171&gt;5,3,IF(AH171&gt;0,1,IF(AH171&gt;-3,-1,-2))))</f>
        <v/>
      </c>
    </row>
    <row r="172" ht="18" customHeight="1" s="574">
      <c r="A172" s="176">
        <f>IF(銘柄管理!B66&lt;&gt;"",HYPERLINK("https://kabutan.jp/stock/?code="&amp;銘柄管理!B66,"株探"),"")</f>
        <v/>
      </c>
      <c r="B172" s="177" t="n"/>
      <c r="C172" s="178">
        <f>IF(銘柄管理!B66="","",銘柄管理!B66)</f>
        <v/>
      </c>
      <c r="D172" s="106">
        <f>IF(銘柄管理!C66="","",銘柄管理!C66)</f>
        <v/>
      </c>
      <c r="E172" s="179">
        <f>IF(C172&lt;&gt;"",_xll.RssMarket(C172,"現在値"),"")</f>
        <v/>
      </c>
      <c r="F172" s="179">
        <f>IF(C172&lt;&gt;"",_xll.RssMarket(C172,"始値"),"")</f>
        <v/>
      </c>
      <c r="G172" s="178">
        <f>IF(C172&lt;&gt;"",終値!F66,"")</f>
        <v/>
      </c>
      <c r="H172" s="179">
        <f>IF(C172&lt;&gt;"",_xll.RssMarket(C172,"高値"),"")</f>
        <v/>
      </c>
      <c r="I172" s="179">
        <f>IF(C172&lt;&gt;"",_xll.RssMarket(C172,"安値"),"")</f>
        <v/>
      </c>
      <c r="J172" s="179">
        <f>IF(C172&lt;&gt;"",_xll.RssMarket(C172,"出来高"),"")</f>
        <v/>
      </c>
      <c r="K172" s="179">
        <f>IF(C172&lt;&gt;"",_xll.RssMarket(C172,"年初来高値"),"")</f>
        <v/>
      </c>
      <c r="L172" s="613">
        <f>IF(AND(E172&lt;&gt;"",K172&lt;&gt;"",K172&lt;&gt;0),(E172-K172)/K172*100,"")</f>
        <v/>
      </c>
      <c r="M172" s="179">
        <f>IF(C172&lt;&gt;"",IFERROR(AVERAGE(出来高!#REF!),""),"")</f>
        <v/>
      </c>
      <c r="N172" s="179">
        <f>IF(C172&lt;&gt;"",IFERROR(AVERAGE(出来高!#REF!),""),"")</f>
        <v/>
      </c>
      <c r="O172" s="614">
        <f>IF(AND(J172&lt;&gt;"",M172&lt;&gt;"",M172&lt;&gt;0),J172/M172,"")</f>
        <v/>
      </c>
      <c r="P172" s="176">
        <f>IF(O172="","",IF(O172&gt;=2,"急増↑↑",IF(O172&gt;=1.5,"増加↑",IF(O172&gt;=1,"普通→","減少↓"))))</f>
        <v/>
      </c>
      <c r="Q172" s="176">
        <f>IF(E172="","",IF(AND(E172&gt;G172,O172&gt;=1.5),"買い▲",IF(E172&lt;G172,"様子見▼","中立→")))</f>
        <v/>
      </c>
      <c r="R172" s="179">
        <f>IF(E172&lt;&gt;"",ROUND(E172*1.08,0),"")</f>
        <v/>
      </c>
      <c r="S172" s="179">
        <f>IF(E172&lt;&gt;"",ROUND(E172*0.96,0),"")</f>
        <v/>
      </c>
      <c r="T172" s="176">
        <f>IF(C172="","",IFERROR(IF(O172&gt;=2,3,IF(O172&gt;=1.5,2,IF(O172&gt;=1,1,0)))+IF(E172&gt;G172,1,0)+IF(L172&gt;=-5,1,0)+IF(Q172="買い▲",2,0)+IF(W172&lt;=30,3,IF(W172&lt;=40,2,IF(AND(W172&gt;=40,W172&lt;=60),1,0)))+IF(X172&gt;0,1,0)+IF(V172="年初来高値更新●",3,IF(V172="高値圏",2,0))+IF(AD172="パーフェクト▲",3,IF(AD172="上昇トレンド▲",2,0))+IF(AE172="25日線押し目●",2,IF(AE172="5日線押し目○",1,0))+IF(P172="急増↑↑",2,IF(P172="増加↑",1,0))+N(AI172),0))</f>
        <v/>
      </c>
      <c r="U172" s="176">
        <f>IF(T172="","",IF(AND(T172&gt;=3,O172&gt;=1.5),"有効",IF(T172&gt;=3,"要確認","除外")))</f>
        <v/>
      </c>
      <c r="V172" s="176">
        <f>IF(AND(H172&lt;&gt;"",K172&lt;&gt;""),IF(H172&gt;=K172,"年初来高値更新●",IF(H172&gt;=K172*0.95,"高値圏","通常")),"")</f>
        <v/>
      </c>
      <c r="W172" s="615">
        <f t="array" ref="W172">IF(C172&lt;&gt;"",IFERROR(100-100/(1+SUMPRODUCT((終値!F66:R66&gt;終値!G66:S66)*( 終値!F66:R66-終値!G66:S66))/SUMPRODUCT((終値!F66:R66&lt;終値!G66:S66)*(終値!G66:S66-終値!F66:R66))),50),"")</f>
        <v/>
      </c>
      <c r="X172" s="183">
        <f>IF(C172&lt;&gt;"",IFERROR(SUMPRODUCT(終値!E66:P66,{0.154,0.132,0.113,0.097,0.083,0.071,0.061,0.052,0.045,0.038,0.033,0.028})/SUMPRODUCT({0.154,0.132,0.113,0.097,0.083,0.071,0.061,0.052,0.045,0.038,0.033,0.028})-SUMPRODUCT(終値!E66:AD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2" s="570">
        <f>IF(T172="","",IF(銘柄管理!$F$5="下落▼",IF(AND(AD172="パーフェクト▲",OR(AE172="25日線押し目●",AE172="5日線押し目○")),"★逆張り候補",IF(AND(AD172="上昇トレンド▲",OR(AE172="25日線押し目●",AE172="5日線押し目○")),"○逆張り候補",IF(W172&lt;=30,IF(Z172&gt;0,"◎反発確認",IF(Z172&lt;-5,"△要注意・様子見","△売られ過ぎ注目")),"相場下落・見送り"))),IF(AND(T172&gt;=12,AD172="パーフェクト▲"),"★強い買い",IF(AND(T172&gt;=12,AD172="上昇トレンド▲"),"★強い買い",IF(AND(T172&gt;=8,OR(AE172="25日線押し目●",AE172="5日線押し目○")),"◎押し目買い",IF(T172&gt;=10,"○買い候補",IF(T172&gt;=6,"△注目",IF(T172&gt;=3,"様子見","見送り"))))))))</f>
        <v/>
      </c>
      <c r="Z172" s="616">
        <f>IF(AND(E172&lt;&gt;"",G172&lt;&gt;"",G172&lt;&gt;0),(E172-G172)/G172*100,"")</f>
        <v/>
      </c>
      <c r="AA172" s="176">
        <f>IF(OR(C172="",E172="",E172=0),"",IF(E172&gt;G172,"上昇▲",IF(E172&lt;G172,"下落▼","横ばい→")))</f>
        <v/>
      </c>
      <c r="AB172" s="438">
        <f>IF(C172="","",IFERROR(((終値!E174*0.333)+(終値!F174*0.222)+(終値!G174*0.148)+(終値!H174*0.099)+(終値!I174*0.066)+(終値!J174*0.044)+(終値!K174*0.029)+(終値!L174*0.019)+(終値!M174*0.013)+(終値!N174*0.009))/(0.333+0.222+0.148+0.099+0.066+0.044+0.029+0.019+0.013+0.009),""))</f>
        <v/>
      </c>
      <c r="AC172" s="438">
        <f>IF(C172="","",IFERROR(SUMPRODUCT((終値!E174:AC174)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2" s="439">
        <f>IF(OR(C172="",AB172="",AC172=""),"",IF(AND(E172&gt;AB172,AB172&gt;AC172),"パーフェクト▲",IF(E172&gt;AC172,"上昇トレンド▲",IF(AND(E172&lt;AB172,AB172&lt;AC172),"下降トレンド▼","もみ合い→"))))</f>
        <v/>
      </c>
      <c r="AE172" s="439">
        <f>IF(OR(C172="",AB172="",AC172=""),"",IF(AND(ABS(E172-AC172)/AC172&lt;=0.02,E172&gt;AC172),"25日押し目★",IF(AND(ABS(E172-AB172)/AB172&lt;=0.01,E172&gt;AB172),"5日押し目○","なし")))</f>
        <v/>
      </c>
      <c r="AF172" s="617">
        <f t="array" ref="AF172">IF(C172="","",IFERROR((INDEX(終値!$E:$E,MATCH(TEXT(C172,"0"),終値!$A:$A,0))-INDEX(終値!$E:$BL,MATCH(TEXT(C172,"0"),終値!$A:$A,0),$AL$2))/INDEX(終値!$E:$BL,MATCH(TEXT(C172,"0"),終値!$A:$A,0),$AL$2)*100,""))</f>
        <v/>
      </c>
      <c r="AG172" s="617">
        <f t="array" ref="AG172">IFERROR((終値!$E$5-INDEX(終値!$E$5:$BL$5,1,$AL$2))/INDEX(終値!$E$5:$BL$5,1,$AL$2)*100,"")</f>
        <v/>
      </c>
      <c r="AH172" s="618">
        <f>IF(OR(AF172="",AG172=""),"",AF172-AG172)</f>
        <v/>
      </c>
      <c r="AI172" s="385">
        <f>IF(AH172="","",IF(AH172&gt;5,3,IF(AH172&gt;0,1,IF(AH172&gt;-3,-1,-2))))</f>
        <v/>
      </c>
    </row>
    <row r="173" ht="18" customHeight="1" s="574">
      <c r="A173" s="176">
        <f>IF(銘柄管理!B96&lt;&gt;"",HYPERLINK("https://kabutan.jp/stock/?code="&amp;銘柄管理!B96,"株探"),"")</f>
        <v/>
      </c>
      <c r="B173" s="177" t="n"/>
      <c r="C173" s="178">
        <f>IF(銘柄管理!B96="","",銘柄管理!B96)</f>
        <v/>
      </c>
      <c r="D173" s="106">
        <f>IF(銘柄管理!C96="","",銘柄管理!C96)</f>
        <v/>
      </c>
      <c r="E173" s="179">
        <f>IF(C173&lt;&gt;"",_xll.RssMarket(C173,"現在値"),"")</f>
        <v/>
      </c>
      <c r="F173" s="179">
        <f>IF(C173&lt;&gt;"",_xll.RssMarket(C173,"始値"),"")</f>
        <v/>
      </c>
      <c r="G173" s="178">
        <f>IF(C173&lt;&gt;"",終値!F96,"")</f>
        <v/>
      </c>
      <c r="H173" s="179">
        <f>IF(C173&lt;&gt;"",_xll.RssMarket(C173,"高値"),"")</f>
        <v/>
      </c>
      <c r="I173" s="179">
        <f>IF(C173&lt;&gt;"",_xll.RssMarket(C173,"安値"),"")</f>
        <v/>
      </c>
      <c r="J173" s="179">
        <f>IF(C173&lt;&gt;"",_xll.RssMarket(C173,"出来高"),"")</f>
        <v/>
      </c>
      <c r="K173" s="179">
        <f>IF(C173&lt;&gt;"",_xll.RssMarket(C173,"年初来高値"),"")</f>
        <v/>
      </c>
      <c r="L173" s="613">
        <f>IF(AND(E173&lt;&gt;"",K173&lt;&gt;"",K173&lt;&gt;0),(E173-K173)/K173*100,"")</f>
        <v/>
      </c>
      <c r="M173" s="179">
        <f>IF(C173&lt;&gt;"",IFERROR(AVERAGE(出来高!E96:I96),""),"")</f>
        <v/>
      </c>
      <c r="N173" s="179">
        <f>IF(C173&lt;&gt;"",IFERROR(AVERAGE(出来高!E96:AC96),""),"")</f>
        <v/>
      </c>
      <c r="O173" s="614">
        <f>IF(AND(J173&lt;&gt;"",M173&lt;&gt;"",M173&lt;&gt;0),J173/M173,"")</f>
        <v/>
      </c>
      <c r="P173" s="176">
        <f>IF(O173="","",IF(O173&gt;=2,"急増↑↑",IF(O173&gt;=1.5,"増加↑",IF(O173&gt;=1,"普通→","減少↓"))))</f>
        <v/>
      </c>
      <c r="Q173" s="176">
        <f>IF(E173="","",IF(AND(E173&gt;G173,O173&gt;=1.5),"買い▲",IF(E173&lt;G173,"様子見▼","中立→")))</f>
        <v/>
      </c>
      <c r="R173" s="179">
        <f>IF(E173&lt;&gt;"",ROUND(E173*1.08,0),"")</f>
        <v/>
      </c>
      <c r="S173" s="179">
        <f>IF(E173&lt;&gt;"",ROUND(E173*0.96,0),"")</f>
        <v/>
      </c>
      <c r="T173" s="176">
        <f>IF(C173="","",IFERROR(IF(O173&gt;=2,3,IF(O173&gt;=1.5,2,IF(O173&gt;=1,1,0)))+IF(E173&gt;G173,1,0)+IF(L173&gt;=-5,1,0)+IF(Q173="買い▲",2,0)+IF(W173&lt;=30,3,IF(W173&lt;=40,2,IF(AND(W173&gt;=40,W173&lt;=60),1,0)))+IF(X173&gt;0,1,0)+IF(V173="年初来高値更新●",3,IF(V173="高値圏",2,0))+IF(AD173="パーフェクト▲",3,IF(AD173="上昇トレンド▲",2,0))+IF(AE173="25日線押し目●",2,IF(AE173="5日線押し目○",1,0))+IF(P173="急増↑↑",2,IF(P173="増加↑",1,0))+N(AI173),0))</f>
        <v/>
      </c>
      <c r="U173" s="176">
        <f>IF(T173="","",IF(AND(T173&gt;=3,O173&gt;=1.5),"有効",IF(T173&gt;=3,"要確認","除外")))</f>
        <v/>
      </c>
      <c r="V173" s="176">
        <f>IF(AND(H173&lt;&gt;"",K173&lt;&gt;""),IF(H173&gt;=K173,"年初来高値更新●",IF(H173&gt;=K173*0.95,"高値圏","通常")),"")</f>
        <v/>
      </c>
      <c r="W173" s="615">
        <f t="array" ref="W173">IF(C173&lt;&gt;"",IFERROR(100-100/(1+SUMPRODUCT((終値!F96:R96&gt;終値!G96:S96)*( 終値!F96:R96-終値!G96:S96))/SUMPRODUCT((終値!F96:R96&lt;終値!G96:S96)*(終値!G96:S96-終値!F96:R96))),50),"")</f>
        <v/>
      </c>
      <c r="X173" s="183">
        <f>IF(C173&lt;&gt;"",IFERROR(SUMPRODUCT(終値!E96:P96,{0.154,0.132,0.113,0.097,0.083,0.071,0.061,0.052,0.045,0.038,0.033,0.028})/SUMPRODUCT({0.154,0.132,0.113,0.097,0.083,0.071,0.061,0.052,0.045,0.038,0.033,0.028})-SUMPRODUCT(終値!E96:AD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3" s="570">
        <f>IF(T173="","",IF(銘柄管理!$F$5="下落▼",IF(AND(AD173="パーフェクト▲",OR(AE173="25日線押し目●",AE173="5日線押し目○")),"★逆張り候補",IF(AND(AD173="上昇トレンド▲",OR(AE173="25日線押し目●",AE173="5日線押し目○")),"○逆張り候補",IF(W173&lt;=30,IF(Z173&gt;0,"◎反発確認",IF(Z173&lt;-5,"△要注意・様子見","△売られ過ぎ注目")),"相場下落・見送り"))),IF(AND(T173&gt;=12,AD173="パーフェクト▲"),"★強い買い",IF(AND(T173&gt;=12,AD173="上昇トレンド▲"),"★強い買い",IF(AND(T173&gt;=8,OR(AE173="25日線押し目●",AE173="5日線押し目○")),"◎押し目買い",IF(T173&gt;=10,"○買い候補",IF(T173&gt;=6,"△注目",IF(T173&gt;=3,"様子見","見送り"))))))))</f>
        <v/>
      </c>
      <c r="Z173" s="616">
        <f>IF(AND(E173&lt;&gt;"",G173&lt;&gt;"",G173&lt;&gt;0),(E173-G173)/G173*100,"")</f>
        <v/>
      </c>
      <c r="AA173" s="176">
        <f>IF(OR(C173="",E173="",E173=0),"",IF(E173&gt;G173,"上昇▲",IF(E173&lt;G173,"下落▼","横ばい→")))</f>
        <v/>
      </c>
      <c r="AB173" s="440">
        <f>IF(C173="","",IFERROR(((終値!E175*0.333)+(終値!F175*0.222)+(終値!G175*0.148)+(終値!H175*0.099)+(終値!I175*0.066)+(終値!J175*0.044)+(終値!K175*0.029)+(終値!L175*0.019)+(終値!M175*0.013)+(終値!N175*0.009))/(0.333+0.222+0.148+0.099+0.066+0.044+0.029+0.019+0.013+0.009),""))</f>
        <v/>
      </c>
      <c r="AC173" s="440">
        <f>IF(C173="","",IFERROR(SUMPRODUCT((終値!E175:AC175)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3" s="441">
        <f>IF(OR(C173="",AB173="",AC173=""),"",IF(AND(E173&gt;AB173,AB173&gt;AC173),"パーフェクト▲",IF(E173&gt;AC173,"上昇トレンド▲",IF(AND(E173&lt;AB173,AB173&lt;AC173),"下降トレンド▼","もみ合い→"))))</f>
        <v/>
      </c>
      <c r="AE173" s="441">
        <f>IF(OR(C173="",AB173="",AC173=""),"",IF(AND(ABS(E173-AC173)/AC173&lt;=0.02,E173&gt;AC173),"25日押し目★",IF(AND(ABS(E173-AB173)/AB173&lt;=0.01,E173&gt;AB173),"5日押し目○","なし")))</f>
        <v/>
      </c>
      <c r="AF173" s="617">
        <f t="array" ref="AF173">IF(C173="","",IFERROR((INDEX(終値!$E:$E,MATCH(TEXT(C173,"0"),終値!$A:$A,0))-INDEX(終値!$E:$BL,MATCH(TEXT(C173,"0"),終値!$A:$A,0),$AL$2))/INDEX(終値!$E:$BL,MATCH(TEXT(C173,"0"),終値!$A:$A,0),$AL$2)*100,""))</f>
        <v/>
      </c>
      <c r="AG173" s="617">
        <f t="array" ref="AG173">IFERROR((終値!$E$5-INDEX(終値!$E$5:$BL$5,1,$AL$2))/INDEX(終値!$E$5:$BL$5,1,$AL$2)*100,"")</f>
        <v/>
      </c>
      <c r="AH173" s="618">
        <f>IF(OR(AF173="",AG173=""),"",AF173-AG173)</f>
        <v/>
      </c>
      <c r="AI173" s="385">
        <f>IF(AH173="","",IF(AH173&gt;5,3,IF(AH173&gt;0,1,IF(AH173&gt;-3,-1,-2))))</f>
        <v/>
      </c>
    </row>
    <row r="174" ht="18" customHeight="1" s="574">
      <c r="A174" s="176">
        <f>IF(銘柄管理!B61&lt;&gt;"",HYPERLINK("https://kabutan.jp/stock/?code="&amp;銘柄管理!B61,"株探"),"")</f>
        <v/>
      </c>
      <c r="B174" s="177" t="n"/>
      <c r="C174" s="178">
        <f>IF(銘柄管理!B61="","",銘柄管理!B61)</f>
        <v/>
      </c>
      <c r="D174" s="106">
        <f>IF(銘柄管理!C61="","",銘柄管理!C61)</f>
        <v/>
      </c>
      <c r="E174" s="179">
        <f>IF(C174&lt;&gt;"",_xll.RssMarket(C174,"現在値"),"")</f>
        <v/>
      </c>
      <c r="F174" s="179">
        <f>IF(C174&lt;&gt;"",_xll.RssMarket(C174,"始値"),"")</f>
        <v/>
      </c>
      <c r="G174" s="178">
        <f>IF(C174&lt;&gt;"",終値!F61,"")</f>
        <v/>
      </c>
      <c r="H174" s="179">
        <f>IF(C174&lt;&gt;"",_xll.RssMarket(C174,"高値"),"")</f>
        <v/>
      </c>
      <c r="I174" s="179">
        <f>IF(C174&lt;&gt;"",_xll.RssMarket(C174,"安値"),"")</f>
        <v/>
      </c>
      <c r="J174" s="179">
        <f>IF(C174&lt;&gt;"",_xll.RssMarket(C174,"出来高"),"")</f>
        <v/>
      </c>
      <c r="K174" s="179">
        <f>IF(C174&lt;&gt;"",_xll.RssMarket(C174,"年初来高値"),"")</f>
        <v/>
      </c>
      <c r="L174" s="613">
        <f>IF(AND(E174&lt;&gt;"",K174&lt;&gt;"",K174&lt;&gt;0),(E174-K174)/K174*100,"")</f>
        <v/>
      </c>
      <c r="M174" s="179">
        <f>IF(C174&lt;&gt;"",IFERROR(AVERAGE(出来高!E61:I61),""),"")</f>
        <v/>
      </c>
      <c r="N174" s="179">
        <f>IF(C174&lt;&gt;"",IFERROR(AVERAGE(出来高!E61:AC61),""),"")</f>
        <v/>
      </c>
      <c r="O174" s="614">
        <f>IF(AND(J174&lt;&gt;"",M174&lt;&gt;"",M174&lt;&gt;0),J174/M174,"")</f>
        <v/>
      </c>
      <c r="P174" s="176">
        <f>IF(O174="","",IF(O174&gt;=2,"急増↑↑",IF(O174&gt;=1.5,"増加↑",IF(O174&gt;=1,"普通→","減少↓"))))</f>
        <v/>
      </c>
      <c r="Q174" s="176">
        <f>IF(E174="","",IF(AND(E174&gt;G174,O174&gt;=1.5),"買い▲",IF(E174&lt;G174,"様子見▼","中立→")))</f>
        <v/>
      </c>
      <c r="R174" s="179">
        <f>IF(E174&lt;&gt;"",ROUND(E174*1.08,0),"")</f>
        <v/>
      </c>
      <c r="S174" s="179">
        <f>IF(E174&lt;&gt;"",ROUND(E174*0.96,0),"")</f>
        <v/>
      </c>
      <c r="T174" s="176">
        <f>IF(C174="","",IFERROR(IF(O174&gt;=2,3,IF(O174&gt;=1.5,2,IF(O174&gt;=1,1,0)))+IF(E174&gt;G174,1,0)+IF(L174&gt;=-5,1,0)+IF(Q174="買い▲",2,0)+IF(W174&lt;=30,3,IF(W174&lt;=40,2,IF(AND(W174&gt;=40,W174&lt;=60),1,0)))+IF(X174&gt;0,1,0)+IF(V174="年初来高値更新●",3,IF(V174="高値圏",2,0))+IF(AD174="パーフェクト▲",3,IF(AD174="上昇トレンド▲",2,0))+IF(AE174="25日線押し目●",2,IF(AE174="5日線押し目○",1,0))+IF(P174="急増↑↑",2,IF(P174="増加↑",1,0))+N(AI174),0))</f>
        <v/>
      </c>
      <c r="U174" s="176">
        <f>IF(T174="","",IF(AND(T174&gt;=3,O174&gt;=1.5),"有効",IF(T174&gt;=3,"要確認","除外")))</f>
        <v/>
      </c>
      <c r="V174" s="176">
        <f>IF(AND(H174&lt;&gt;"",K174&lt;&gt;""),IF(H174&gt;=K174,"年初来高値更新●",IF(H174&gt;=K174*0.95,"高値圏","通常")),"")</f>
        <v/>
      </c>
      <c r="W174" s="615">
        <f t="array" ref="W174">IF(C174&lt;&gt;"",IFERROR(100-100/(1+SUMPRODUCT((終値!F61:R61&gt;終値!G61:S61)*( 終値!F61:R61-終値!G61:S61))/SUMPRODUCT((終値!F61:R61&lt;終値!G61:S61)*(終値!G61:S61-終値!F61:R61))),50),"")</f>
        <v/>
      </c>
      <c r="X174" s="183">
        <f>IF(C174&lt;&gt;"",IFERROR(SUMPRODUCT(終値!E61:P61,{0.154,0.132,0.113,0.097,0.083,0.071,0.061,0.052,0.045,0.038,0.033,0.028})/SUMPRODUCT({0.154,0.132,0.113,0.097,0.083,0.071,0.061,0.052,0.045,0.038,0.033,0.028})-SUMPRODUCT(終値!E61:AD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4" s="570">
        <f>IF(T174="","",IF(銘柄管理!$F$5="下落▼",IF(AND(AD174="パーフェクト▲",OR(AE174="25日線押し目●",AE174="5日線押し目○")),"★逆張り候補",IF(AND(AD174="上昇トレンド▲",OR(AE174="25日線押し目●",AE174="5日線押し目○")),"○逆張り候補",IF(W174&lt;=30,IF(Z174&gt;0,"◎反発確認",IF(Z174&lt;-5,"△要注意・様子見","△売られ過ぎ注目")),"相場下落・見送り"))),IF(AND(T174&gt;=12,AD174="パーフェクト▲"),"★強い買い",IF(AND(T174&gt;=12,AD174="上昇トレンド▲"),"★強い買い",IF(AND(T174&gt;=8,OR(AE174="25日線押し目●",AE174="5日線押し目○")),"◎押し目買い",IF(T174&gt;=10,"○買い候補",IF(T174&gt;=6,"△注目",IF(T174&gt;=3,"様子見","見送り"))))))))</f>
        <v/>
      </c>
      <c r="Z174" s="616">
        <f>IF(AND(E174&lt;&gt;"",G174&lt;&gt;"",G174&lt;&gt;0),(E174-G174)/G174*100,"")</f>
        <v/>
      </c>
      <c r="AA174" s="176">
        <f>IF(OR(C174="",E174="",E174=0),"",IF(E174&gt;G174,"上昇▲",IF(E174&lt;G174,"下落▼","横ばい→")))</f>
        <v/>
      </c>
      <c r="AB174" s="438">
        <f>IF(C174="","",IFERROR(((終値!E176*0.333)+(終値!F176*0.222)+(終値!G176*0.148)+(終値!H176*0.099)+(終値!I176*0.066)+(終値!J176*0.044)+(終値!K176*0.029)+(終値!L176*0.019)+(終値!M176*0.013)+(終値!N176*0.009))/(0.333+0.222+0.148+0.099+0.066+0.044+0.029+0.019+0.013+0.009),""))</f>
        <v/>
      </c>
      <c r="AC174" s="438">
        <f>IF(C174="","",IFERROR(SUMPRODUCT((終値!E176:AC176)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4" s="439">
        <f>IF(OR(C174="",AB174="",AC174=""),"",IF(AND(E174&gt;AB174,AB174&gt;AC174),"パーフェクト▲",IF(E174&gt;AC174,"上昇トレンド▲",IF(AND(E174&lt;AB174,AB174&lt;AC174),"下降トレンド▼","もみ合い→"))))</f>
        <v/>
      </c>
      <c r="AE174" s="439">
        <f>IF(OR(C174="",AB174="",AC174=""),"",IF(AND(ABS(E174-AC174)/AC174&lt;=0.02,E174&gt;AC174),"25日押し目★",IF(AND(ABS(E174-AB174)/AB174&lt;=0.01,E174&gt;AB174),"5日押し目○","なし")))</f>
        <v/>
      </c>
      <c r="AF174" s="617">
        <f t="array" ref="AF174">IF(C174="","",IFERROR((INDEX(終値!$E:$E,MATCH(TEXT(C174,"0"),終値!$A:$A,0))-INDEX(終値!$E:$BL,MATCH(TEXT(C174,"0"),終値!$A:$A,0),$AL$2))/INDEX(終値!$E:$BL,MATCH(TEXT(C174,"0"),終値!$A:$A,0),$AL$2)*100,""))</f>
        <v/>
      </c>
      <c r="AG174" s="617">
        <f t="array" ref="AG174">IFERROR((終値!$E$5-INDEX(終値!$E$5:$BL$5,1,$AL$2))/INDEX(終値!$E$5:$BL$5,1,$AL$2)*100,"")</f>
        <v/>
      </c>
      <c r="AH174" s="618">
        <f>IF(OR(AF174="",AG174=""),"",AF174-AG174)</f>
        <v/>
      </c>
      <c r="AI174" s="385">
        <f>IF(AH174="","",IF(AH174&gt;5,3,IF(AH174&gt;0,1,IF(AH174&gt;-3,-1,-2))))</f>
        <v/>
      </c>
    </row>
    <row r="175" ht="18" customHeight="1" s="574">
      <c r="A175" s="176">
        <f>IF(銘柄管理!B95&lt;&gt;"",HYPERLINK("https://kabutan.jp/stock/?code="&amp;銘柄管理!B95,"株探"),"")</f>
        <v/>
      </c>
      <c r="B175" s="177" t="n"/>
      <c r="C175" s="178">
        <f>IF(銘柄管理!B95="","",銘柄管理!B95)</f>
        <v/>
      </c>
      <c r="D175" s="106">
        <f>IF(銘柄管理!C95="","",銘柄管理!C95)</f>
        <v/>
      </c>
      <c r="E175" s="179">
        <f>IF(C175&lt;&gt;"",_xll.RssMarket(C175,"現在値"),"")</f>
        <v/>
      </c>
      <c r="F175" s="179">
        <f>IF(C175&lt;&gt;"",_xll.RssMarket(C175,"始値"),"")</f>
        <v/>
      </c>
      <c r="G175" s="178">
        <f>IF(C175&lt;&gt;"",終値!F95,"")</f>
        <v/>
      </c>
      <c r="H175" s="179">
        <f>IF(C175&lt;&gt;"",_xll.RssMarket(C175,"高値"),"")</f>
        <v/>
      </c>
      <c r="I175" s="179">
        <f>IF(C175&lt;&gt;"",_xll.RssMarket(C175,"安値"),"")</f>
        <v/>
      </c>
      <c r="J175" s="179">
        <f>IF(C175&lt;&gt;"",_xll.RssMarket(C175,"出来高"),"")</f>
        <v/>
      </c>
      <c r="K175" s="179">
        <f>IF(C175&lt;&gt;"",_xll.RssMarket(C175,"年初来高値"),"")</f>
        <v/>
      </c>
      <c r="L175" s="613">
        <f>IF(AND(E175&lt;&gt;"",K175&lt;&gt;"",K175&lt;&gt;0),(E175-K175)/K175*100,"")</f>
        <v/>
      </c>
      <c r="M175" s="179">
        <f>IF(C175&lt;&gt;"",IFERROR(AVERAGE(出来高!E95:I95),""),"")</f>
        <v/>
      </c>
      <c r="N175" s="179">
        <f>IF(C175&lt;&gt;"",IFERROR(AVERAGE(出来高!E95:AC95),""),"")</f>
        <v/>
      </c>
      <c r="O175" s="614">
        <f>IF(AND(J175&lt;&gt;"",M175&lt;&gt;"",M175&lt;&gt;0),J175/M175,"")</f>
        <v/>
      </c>
      <c r="P175" s="176">
        <f>IF(O175="","",IF(O175&gt;=2,"急増↑↑",IF(O175&gt;=1.5,"増加↑",IF(O175&gt;=1,"普通→","減少↓"))))</f>
        <v/>
      </c>
      <c r="Q175" s="176">
        <f>IF(E175="","",IF(AND(E175&gt;G175,O175&gt;=1.5),"買い▲",IF(E175&lt;G175,"様子見▼","中立→")))</f>
        <v/>
      </c>
      <c r="R175" s="179">
        <f>IF(E175&lt;&gt;"",ROUND(E175*1.08,0),"")</f>
        <v/>
      </c>
      <c r="S175" s="179">
        <f>IF(E175&lt;&gt;"",ROUND(E175*0.96,0),"")</f>
        <v/>
      </c>
      <c r="T175" s="176">
        <f>IF(C175="","",IFERROR(IF(O175&gt;=2,3,IF(O175&gt;=1.5,2,IF(O175&gt;=1,1,0)))+IF(E175&gt;G175,1,0)+IF(L175&gt;=-5,1,0)+IF(Q175="買い▲",2,0)+IF(W175&lt;=30,3,IF(W175&lt;=40,2,IF(AND(W175&gt;=40,W175&lt;=60),1,0)))+IF(X175&gt;0,1,0)+IF(V175="年初来高値更新●",3,IF(V175="高値圏",2,0))+IF(AD175="パーフェクト▲",3,IF(AD175="上昇トレンド▲",2,0))+IF(AE175="25日線押し目●",2,IF(AE175="5日線押し目○",1,0))+IF(P175="急増↑↑",2,IF(P175="増加↑",1,0))+N(AI175),0))</f>
        <v/>
      </c>
      <c r="U175" s="176">
        <f>IF(T175="","",IF(AND(T175&gt;=3,O175&gt;=1.5),"有効",IF(T175&gt;=3,"要確認","除外")))</f>
        <v/>
      </c>
      <c r="V175" s="176">
        <f>IF(AND(H175&lt;&gt;"",K175&lt;&gt;""),IF(H175&gt;=K175,"年初来高値更新●",IF(H175&gt;=K175*0.95,"高値圏","通常")),"")</f>
        <v/>
      </c>
      <c r="W175" s="615">
        <f t="array" ref="W175">IF(C175&lt;&gt;"",IFERROR(100-100/(1+SUMPRODUCT((終値!F95:R95&gt;終値!G95:S95)*( 終値!F95:R95-終値!G95:S95))/SUMPRODUCT((終値!F95:R95&lt;終値!G95:S95)*(終値!G95:S95-終値!F95:R95))),50),"")</f>
        <v/>
      </c>
      <c r="X175" s="183">
        <f>IF(C175&lt;&gt;"",IFERROR(SUMPRODUCT(終値!E95:P95,{0.154,0.132,0.113,0.097,0.083,0.071,0.061,0.052,0.045,0.038,0.033,0.028})/SUMPRODUCT({0.154,0.132,0.113,0.097,0.083,0.071,0.061,0.052,0.045,0.038,0.033,0.028})-SUMPRODUCT(終値!E95:AD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5" s="570">
        <f>IF(T175="","",IF(銘柄管理!$F$5="下落▼",IF(AND(AD175="パーフェクト▲",OR(AE175="25日線押し目●",AE175="5日線押し目○")),"★逆張り候補",IF(AND(AD175="上昇トレンド▲",OR(AE175="25日線押し目●",AE175="5日線押し目○")),"○逆張り候補",IF(W175&lt;=30,IF(Z175&gt;0,"◎反発確認",IF(Z175&lt;-5,"△要注意・様子見","△売られ過ぎ注目")),"相場下落・見送り"))),IF(AND(T175&gt;=12,AD175="パーフェクト▲"),"★強い買い",IF(AND(T175&gt;=12,AD175="上昇トレンド▲"),"★強い買い",IF(AND(T175&gt;=8,OR(AE175="25日線押し目●",AE175="5日線押し目○")),"◎押し目買い",IF(T175&gt;=10,"○買い候補",IF(T175&gt;=6,"△注目",IF(T175&gt;=3,"様子見","見送り"))))))))</f>
        <v/>
      </c>
      <c r="Z175" s="616">
        <f>IF(AND(E175&lt;&gt;"",G175&lt;&gt;"",G175&lt;&gt;0),(E175-G175)/G175*100,"")</f>
        <v/>
      </c>
      <c r="AA175" s="176">
        <f>IF(OR(C175="",E175="",E175=0),"",IF(E175&gt;G175,"上昇▲",IF(E175&lt;G175,"下落▼","横ばい→")))</f>
        <v/>
      </c>
      <c r="AB175" s="440">
        <f>IF(C175="","",IFERROR(((終値!E177*0.333)+(終値!F177*0.222)+(終値!G177*0.148)+(終値!H177*0.099)+(終値!I177*0.066)+(終値!J177*0.044)+(終値!K177*0.029)+(終値!L177*0.019)+(終値!M177*0.013)+(終値!N177*0.009))/(0.333+0.222+0.148+0.099+0.066+0.044+0.029+0.019+0.013+0.009),""))</f>
        <v/>
      </c>
      <c r="AC175" s="440">
        <f>IF(C175="","",IFERROR(SUMPRODUCT((終値!E177:AC177)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5" s="441">
        <f>IF(OR(C175="",AB175="",AC175=""),"",IF(AND(E175&gt;AB175,AB175&gt;AC175),"パーフェクト▲",IF(E175&gt;AC175,"上昇トレンド▲",IF(AND(E175&lt;AB175,AB175&lt;AC175),"下降トレンド▼","もみ合い→"))))</f>
        <v/>
      </c>
      <c r="AE175" s="441">
        <f>IF(OR(C175="",AB175="",AC175=""),"",IF(AND(ABS(E175-AC175)/AC175&lt;=0.02,E175&gt;AC175),"25日押し目★",IF(AND(ABS(E175-AB175)/AB175&lt;=0.01,E175&gt;AB175),"5日押し目○","なし")))</f>
        <v/>
      </c>
      <c r="AF175" s="617">
        <f t="array" ref="AF175">IF(C175="","",IFERROR((INDEX(終値!$E:$E,MATCH(TEXT(C175,"0"),終値!$A:$A,0))-INDEX(終値!$E:$BL,MATCH(TEXT(C175,"0"),終値!$A:$A,0),$AL$2))/INDEX(終値!$E:$BL,MATCH(TEXT(C175,"0"),終値!$A:$A,0),$AL$2)*100,""))</f>
        <v/>
      </c>
      <c r="AG175" s="617">
        <f t="array" ref="AG175">IFERROR((終値!$E$5-INDEX(終値!$E$5:$BL$5,1,$AL$2))/INDEX(終値!$E$5:$BL$5,1,$AL$2)*100,"")</f>
        <v/>
      </c>
      <c r="AH175" s="618">
        <f>IF(OR(AF175="",AG175=""),"",AF175-AG175)</f>
        <v/>
      </c>
      <c r="AI175" s="385">
        <f>IF(AH175="","",IF(AH175&gt;5,3,IF(AH175&gt;0,1,IF(AH175&gt;-3,-1,-2))))</f>
        <v/>
      </c>
    </row>
    <row r="176" ht="18" customHeight="1" s="574">
      <c r="A176" s="176">
        <f>IF(銘柄管理!B48&lt;&gt;"",HYPERLINK("https://kabutan.jp/stock/?code="&amp;銘柄管理!B48,"株探"),"")</f>
        <v/>
      </c>
      <c r="B176" s="177" t="n"/>
      <c r="C176" s="178">
        <f>IF(銘柄管理!B48="","",銘柄管理!B48)</f>
        <v/>
      </c>
      <c r="D176" s="106">
        <f>IF(銘柄管理!C48="","",銘柄管理!C48)</f>
        <v/>
      </c>
      <c r="E176" s="179">
        <f>IF(C176&lt;&gt;"",_xll.RssMarket(C176,"現在値"),"")</f>
        <v/>
      </c>
      <c r="F176" s="179">
        <f>IF(C176&lt;&gt;"",_xll.RssMarket(C176,"始値"),"")</f>
        <v/>
      </c>
      <c r="G176" s="178">
        <f>IF(C176&lt;&gt;"",終値!F48,"")</f>
        <v/>
      </c>
      <c r="H176" s="179">
        <f>IF(C176&lt;&gt;"",_xll.RssMarket(C176,"高値"),"")</f>
        <v/>
      </c>
      <c r="I176" s="179">
        <f>IF(C176&lt;&gt;"",_xll.RssMarket(C176,"安値"),"")</f>
        <v/>
      </c>
      <c r="J176" s="179">
        <f>IF(C176&lt;&gt;"",_xll.RssMarket(C176,"出来高"),"")</f>
        <v/>
      </c>
      <c r="K176" s="179">
        <f>IF(C176&lt;&gt;"",_xll.RssMarket(C176,"年初来高値"),"")</f>
        <v/>
      </c>
      <c r="L176" s="613">
        <f>IF(AND(E176&lt;&gt;"",K176&lt;&gt;"",K176&lt;&gt;0),(E176-K176)/K176*100,"")</f>
        <v/>
      </c>
      <c r="M176" s="179">
        <f>IF(C176&lt;&gt;"",IFERROR(AVERAGE(出来高!E48:I48),""),"")</f>
        <v/>
      </c>
      <c r="N176" s="179">
        <f>IF(C176&lt;&gt;"",IFERROR(AVERAGE(出来高!E48:AC48),""),"")</f>
        <v/>
      </c>
      <c r="O176" s="614">
        <f>IF(AND(J176&lt;&gt;"",M176&lt;&gt;"",M176&lt;&gt;0),J176/M176,"")</f>
        <v/>
      </c>
      <c r="P176" s="176">
        <f>IF(O176="","",IF(O176&gt;=2,"急増↑↑",IF(O176&gt;=1.5,"増加↑",IF(O176&gt;=1,"普通→","減少↓"))))</f>
        <v/>
      </c>
      <c r="Q176" s="176">
        <f>IF(E176="","",IF(AND(E176&gt;G176,O176&gt;=1.5),"買い▲",IF(E176&lt;G176,"様子見▼","中立→")))</f>
        <v/>
      </c>
      <c r="R176" s="179">
        <f>IF(E176&lt;&gt;"",ROUND(E176*1.08,0),"")</f>
        <v/>
      </c>
      <c r="S176" s="179">
        <f>IF(E176&lt;&gt;"",ROUND(E176*0.96,0),"")</f>
        <v/>
      </c>
      <c r="T176" s="176">
        <f>IF(C176="","",IFERROR(IF(O176&gt;=2,3,IF(O176&gt;=1.5,2,IF(O176&gt;=1,1,0)))+IF(E176&gt;G176,1,0)+IF(L176&gt;=-5,1,0)+IF(Q176="買い▲",2,0)+IF(W176&lt;=30,3,IF(W176&lt;=40,2,IF(AND(W176&gt;=40,W176&lt;=60),1,0)))+IF(X176&gt;0,1,0)+IF(V176="年初来高値更新●",3,IF(V176="高値圏",2,0))+IF(AD176="パーフェクト▲",3,IF(AD176="上昇トレンド▲",2,0))+IF(AE176="25日線押し目●",2,IF(AE176="5日線押し目○",1,0))+IF(P176="急増↑↑",2,IF(P176="増加↑",1,0))+N(AI176),0))</f>
        <v/>
      </c>
      <c r="U176" s="176">
        <f>IF(T176="","",IF(AND(T176&gt;=3,O176&gt;=1.5),"有効",IF(T176&gt;=3,"要確認","除外")))</f>
        <v/>
      </c>
      <c r="V176" s="176">
        <f>IF(AND(H176&lt;&gt;"",K176&lt;&gt;""),IF(H176&gt;=K176,"年初来高値更新●",IF(H176&gt;=K176*0.95,"高値圏","通常")),"")</f>
        <v/>
      </c>
      <c r="W176" s="615">
        <f t="array" ref="W176">IF(C176&lt;&gt;"",IFERROR(100-100/(1+SUMPRODUCT((終値!F48:R48&gt;終値!G48:S48)*( 終値!F48:R48-終値!G48:S48))/SUMPRODUCT((終値!F48:R48&lt;終値!G48:S48)*(終値!G48:S48-終値!F48:R48))),50),"")</f>
        <v/>
      </c>
      <c r="X176" s="183">
        <f>IF(C176&lt;&gt;"",IFERROR(SUMPRODUCT(終値!E48:P48,{0.154,0.132,0.113,0.097,0.083,0.071,0.061,0.052,0.045,0.038,0.033,0.028})/SUMPRODUCT({0.154,0.132,0.113,0.097,0.083,0.071,0.061,0.052,0.045,0.038,0.033,0.028})-SUMPRODUCT(終値!E48:AD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6" s="570">
        <f>IF(T176="","",IF(銘柄管理!$F$5="下落▼",IF(AND(AD176="パーフェクト▲",OR(AE176="25日線押し目●",AE176="5日線押し目○")),"★逆張り候補",IF(AND(AD176="上昇トレンド▲",OR(AE176="25日線押し目●",AE176="5日線押し目○")),"○逆張り候補",IF(W176&lt;=30,IF(Z176&gt;0,"◎反発確認",IF(Z176&lt;-5,"△要注意・様子見","△売られ過ぎ注目")),"相場下落・見送り"))),IF(AND(T176&gt;=12,AD176="パーフェクト▲"),"★強い買い",IF(AND(T176&gt;=12,AD176="上昇トレンド▲"),"★強い買い",IF(AND(T176&gt;=8,OR(AE176="25日線押し目●",AE176="5日線押し目○")),"◎押し目買い",IF(T176&gt;=10,"○買い候補",IF(T176&gt;=6,"△注目",IF(T176&gt;=3,"様子見","見送り"))))))))</f>
        <v/>
      </c>
      <c r="Z176" s="616">
        <f>IF(AND(E176&lt;&gt;"",G176&lt;&gt;"",G176&lt;&gt;0),(E176-G176)/G176*100,"")</f>
        <v/>
      </c>
      <c r="AA176" s="176">
        <f>IF(OR(C176="",E176="",E176=0),"",IF(E176&gt;G176,"上昇▲",IF(E176&lt;G176,"下落▼","横ばい→")))</f>
        <v/>
      </c>
      <c r="AB176" s="438">
        <f>IF(C176="","",IFERROR(((終値!E178*0.333)+(終値!F178*0.222)+(終値!G178*0.148)+(終値!H178*0.099)+(終値!I178*0.066)+(終値!J178*0.044)+(終値!K178*0.029)+(終値!L178*0.019)+(終値!M178*0.013)+(終値!N178*0.009))/(0.333+0.222+0.148+0.099+0.066+0.044+0.029+0.019+0.013+0.009),""))</f>
        <v/>
      </c>
      <c r="AC176" s="438">
        <f>IF(C176="","",IFERROR(SUMPRODUCT((終値!E178:AC178)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6" s="439">
        <f>IF(OR(C176="",AB176="",AC176=""),"",IF(AND(E176&gt;AB176,AB176&gt;AC176),"パーフェクト▲",IF(E176&gt;AC176,"上昇トレンド▲",IF(AND(E176&lt;AB176,AB176&lt;AC176),"下降トレンド▼","もみ合い→"))))</f>
        <v/>
      </c>
      <c r="AE176" s="439">
        <f>IF(OR(C176="",AB176="",AC176=""),"",IF(AND(ABS(E176-AC176)/AC176&lt;=0.02,E176&gt;AC176),"25日押し目★",IF(AND(ABS(E176-AB176)/AB176&lt;=0.01,E176&gt;AB176),"5日押し目○","なし")))</f>
        <v/>
      </c>
      <c r="AF176" s="617">
        <f t="array" ref="AF176">IF(C176="","",IFERROR((INDEX(終値!$E:$E,MATCH(TEXT(C176,"0"),終値!$A:$A,0))-INDEX(終値!$E:$BL,MATCH(TEXT(C176,"0"),終値!$A:$A,0),$AL$2))/INDEX(終値!$E:$BL,MATCH(TEXT(C176,"0"),終値!$A:$A,0),$AL$2)*100,""))</f>
        <v/>
      </c>
      <c r="AG176" s="617">
        <f t="array" ref="AG176">IFERROR((終値!$E$5-INDEX(終値!$E$5:$BL$5,1,$AL$2))/INDEX(終値!$E$5:$BL$5,1,$AL$2)*100,"")</f>
        <v/>
      </c>
      <c r="AH176" s="618">
        <f>IF(OR(AF176="",AG176=""),"",AF176-AG176)</f>
        <v/>
      </c>
      <c r="AI176" s="385">
        <f>IF(AH176="","",IF(AH176&gt;5,3,IF(AH176&gt;0,1,IF(AH176&gt;-3,-1,-2))))</f>
        <v/>
      </c>
    </row>
    <row r="177" ht="18" customHeight="1" s="574">
      <c r="A177" s="176">
        <f>IF(銘柄管理!B159&lt;&gt;"",HYPERLINK("https://kabutan.jp/stock/?code="&amp;銘柄管理!B159,"株探"),"")</f>
        <v/>
      </c>
      <c r="B177" s="177" t="n"/>
      <c r="C177" s="178">
        <f>IF(銘柄管理!B159="","",銘柄管理!B159)</f>
        <v/>
      </c>
      <c r="D177" s="106">
        <f>IF(銘柄管理!C159="","",銘柄管理!C159)</f>
        <v/>
      </c>
      <c r="E177" s="179">
        <f>IF(C177&lt;&gt;"",_xll.RssMarket(C177,"現在値"),"")</f>
        <v/>
      </c>
      <c r="F177" s="179">
        <f>IF(C177&lt;&gt;"",_xll.RssMarket(C177,"始値"),"")</f>
        <v/>
      </c>
      <c r="G177" s="178">
        <f>IF(C177&lt;&gt;"",終値!F159,"")</f>
        <v/>
      </c>
      <c r="H177" s="179">
        <f>IF(C177&lt;&gt;"",_xll.RssMarket(C177,"高値"),"")</f>
        <v/>
      </c>
      <c r="I177" s="179">
        <f>IF(C177&lt;&gt;"",_xll.RssMarket(C177,"安値"),"")</f>
        <v/>
      </c>
      <c r="J177" s="179">
        <f>IF(C177&lt;&gt;"",_xll.RssMarket(C177,"出来高"),"")</f>
        <v/>
      </c>
      <c r="K177" s="179">
        <f>IF(C177&lt;&gt;"",_xll.RssMarket(C177,"年初来高値"),"")</f>
        <v/>
      </c>
      <c r="L177" s="613">
        <f>IF(AND(E177&lt;&gt;"",K177&lt;&gt;"",K177&lt;&gt;0),(E177-K177)/K177*100,"")</f>
        <v/>
      </c>
      <c r="M177" s="179">
        <f>IF(C177&lt;&gt;"",IFERROR(AVERAGE(出来高!E159:I159),""),"")</f>
        <v/>
      </c>
      <c r="N177" s="179">
        <f>IF(C177&lt;&gt;"",IFERROR(AVERAGE(出来高!E159:AC159),""),"")</f>
        <v/>
      </c>
      <c r="O177" s="614">
        <f>IF(AND(J177&lt;&gt;"",M177&lt;&gt;"",M177&lt;&gt;0),J177/M177,"")</f>
        <v/>
      </c>
      <c r="P177" s="176">
        <f>IF(O177="","",IF(O177&gt;=2,"急増↑↑",IF(O177&gt;=1.5,"増加↑",IF(O177&gt;=1,"普通→","減少↓"))))</f>
        <v/>
      </c>
      <c r="Q177" s="176">
        <f>IF(E177="","",IF(AND(E177&gt;G177,O177&gt;=1.5),"買い▲",IF(E177&lt;G177,"様子見▼","中立→")))</f>
        <v/>
      </c>
      <c r="R177" s="179">
        <f>IF(E177&lt;&gt;"",ROUND(E177*1.08,0),"")</f>
        <v/>
      </c>
      <c r="S177" s="179">
        <f>IF(E177&lt;&gt;"",ROUND(E177*0.96,0),"")</f>
        <v/>
      </c>
      <c r="T177" s="176">
        <f>IF(C177="","",IFERROR(IF(O177&gt;=2,3,IF(O177&gt;=1.5,2,IF(O177&gt;=1,1,0)))+IF(E177&gt;G177,1,0)+IF(L177&gt;=-5,1,0)+IF(Q177="買い▲",2,0)+IF(W177&lt;=30,3,IF(W177&lt;=40,2,IF(AND(W177&gt;=40,W177&lt;=60),1,0)))+IF(X177&gt;0,1,0)+IF(V177="年初来高値更新●",3,IF(V177="高値圏",2,0))+IF(AD177="パーフェクト▲",3,IF(AD177="上昇トレンド▲",2,0))+IF(AE177="25日線押し目●",2,IF(AE177="5日線押し目○",1,0))+IF(P177="急増↑↑",2,IF(P177="増加↑",1,0))+N(AI177),0))</f>
        <v/>
      </c>
      <c r="U177" s="176">
        <f>IF(T177="","",IF(AND(T177&gt;=3,O177&gt;=1.5),"有効",IF(T177&gt;=3,"要確認","除外")))</f>
        <v/>
      </c>
      <c r="V177" s="176">
        <f>IF(AND(H177&lt;&gt;"",K177&lt;&gt;""),IF(H177&gt;=K177,"年初来高値更新●",IF(H177&gt;=K177*0.95,"高値圏","通常")),"")</f>
        <v/>
      </c>
      <c r="W177" s="615">
        <f t="array" ref="W177">IF(C177&lt;&gt;"",IFERROR(100-100/(1+SUMPRODUCT((終値!F159:R159&gt;終値!G159:S159)*( 終値!F159:R159-終値!G159:S159))/SUMPRODUCT((終値!F159:R159&lt;終値!G159:S159)*(終値!G159:S159-終値!F159:R159))),50),"")</f>
        <v/>
      </c>
      <c r="X177" s="183">
        <f>IF(C177&lt;&gt;"",IFERROR(SUMPRODUCT(終値!E159:P159,{0.154,0.132,0.113,0.097,0.083,0.071,0.061,0.052,0.045,0.038,0.033,0.028})/SUMPRODUCT({0.154,0.132,0.113,0.097,0.083,0.071,0.061,0.052,0.045,0.038,0.033,0.028})-SUMPRODUCT(終値!E159:AD159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7" s="570">
        <f>IF(T177="","",IF(銘柄管理!$F$5="下落▼",IF(AND(AD177="パーフェクト▲",OR(AE177="25日線押し目●",AE177="5日線押し目○")),"★逆張り候補",IF(AND(AD177="上昇トレンド▲",OR(AE177="25日線押し目●",AE177="5日線押し目○")),"○逆張り候補",IF(W177&lt;=30,IF(Z177&gt;0,"◎反発確認",IF(Z177&lt;-5,"△要注意・様子見","△売られ過ぎ注目")),"相場下落・見送り"))),IF(AND(T177&gt;=12,AD177="パーフェクト▲"),"★強い買い",IF(AND(T177&gt;=12,AD177="上昇トレンド▲"),"★強い買い",IF(AND(T177&gt;=8,OR(AE177="25日線押し目●",AE177="5日線押し目○")),"◎押し目買い",IF(T177&gt;=10,"○買い候補",IF(T177&gt;=6,"△注目",IF(T177&gt;=3,"様子見","見送り"))))))))</f>
        <v/>
      </c>
      <c r="Z177" s="616">
        <f>IF(AND(E177&lt;&gt;"",G177&lt;&gt;"",G177&lt;&gt;0),(E177-G177)/G177*100,"")</f>
        <v/>
      </c>
      <c r="AA177" s="176">
        <f>IF(OR(C177="",E177="",E177=0),"",IF(E177&gt;G177,"上昇▲",IF(E177&lt;G177,"下落▼","横ばい→")))</f>
        <v/>
      </c>
      <c r="AB177" s="440">
        <f>IF(C177="","",IFERROR(((終値!E179*0.333)+(終値!F179*0.222)+(終値!G179*0.148)+(終値!H179*0.099)+(終値!I179*0.066)+(終値!J179*0.044)+(終値!K179*0.029)+(終値!L179*0.019)+(終値!M179*0.013)+(終値!N179*0.009))/(0.333+0.222+0.148+0.099+0.066+0.044+0.029+0.019+0.013+0.009),""))</f>
        <v/>
      </c>
      <c r="AC177" s="440">
        <f>IF(C177="","",IFERROR(SUMPRODUCT((終値!E179:AC179)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7" s="441">
        <f>IF(OR(C177="",AB177="",AC177=""),"",IF(AND(E177&gt;AB177,AB177&gt;AC177),"パーフェクト▲",IF(E177&gt;AC177,"上昇トレンド▲",IF(AND(E177&lt;AB177,AB177&lt;AC177),"下降トレンド▼","もみ合い→"))))</f>
        <v/>
      </c>
      <c r="AE177" s="441">
        <f>IF(OR(C177="",AB177="",AC177=""),"",IF(AND(ABS(E177-AC177)/AC177&lt;=0.02,E177&gt;AC177),"25日押し目★",IF(AND(ABS(E177-AB177)/AB177&lt;=0.01,E177&gt;AB177),"5日押し目○","なし")))</f>
        <v/>
      </c>
      <c r="AF177" s="617">
        <f t="array" ref="AF177">IF(C177="","",IFERROR((INDEX(終値!$E:$E,MATCH(TEXT(C177,"0"),終値!$A:$A,0))-INDEX(終値!$E:$BL,MATCH(TEXT(C177,"0"),終値!$A:$A,0),$AL$2))/INDEX(終値!$E:$BL,MATCH(TEXT(C177,"0"),終値!$A:$A,0),$AL$2)*100,""))</f>
        <v/>
      </c>
      <c r="AG177" s="617">
        <f t="array" ref="AG177">IFERROR((終値!$E$5-INDEX(終値!$E$5:$BL$5,1,$AL$2))/INDEX(終値!$E$5:$BL$5,1,$AL$2)*100,"")</f>
        <v/>
      </c>
      <c r="AH177" s="618">
        <f>IF(OR(AF177="",AG177=""),"",AF177-AG177)</f>
        <v/>
      </c>
      <c r="AI177" s="385">
        <f>IF(AH177="","",IF(AH177&gt;5,3,IF(AH177&gt;0,1,IF(AH177&gt;-3,-1,-2))))</f>
        <v/>
      </c>
    </row>
    <row r="178" ht="18" customHeight="1" s="574">
      <c r="A178" s="176">
        <f>IF(銘柄管理!B32&lt;&gt;"",HYPERLINK("https://kabutan.jp/stock/?code="&amp;銘柄管理!B32,"株探"),"")</f>
        <v/>
      </c>
      <c r="B178" s="177" t="n"/>
      <c r="C178" s="178">
        <f>IF(銘柄管理!B32="","",銘柄管理!B32)</f>
        <v/>
      </c>
      <c r="D178" s="106">
        <f>IF(銘柄管理!C32="","",銘柄管理!C32)</f>
        <v/>
      </c>
      <c r="E178" s="179">
        <f>IF(C178&lt;&gt;"",_xll.RssMarket(C178,"現在値"),"")</f>
        <v/>
      </c>
      <c r="F178" s="179">
        <f>IF(C178&lt;&gt;"",_xll.RssMarket(C178,"始値"),"")</f>
        <v/>
      </c>
      <c r="G178" s="178">
        <f>IF(C178&lt;&gt;"",終値!F32,"")</f>
        <v/>
      </c>
      <c r="H178" s="179">
        <f>IF(C178&lt;&gt;"",_xll.RssMarket(C178,"高値"),"")</f>
        <v/>
      </c>
      <c r="I178" s="179">
        <f>IF(C178&lt;&gt;"",_xll.RssMarket(C178,"安値"),"")</f>
        <v/>
      </c>
      <c r="J178" s="179">
        <f>IF(C178&lt;&gt;"",_xll.RssMarket(C178,"出来高"),"")</f>
        <v/>
      </c>
      <c r="K178" s="179">
        <f>IF(C178&lt;&gt;"",_xll.RssMarket(C178,"年初来高値"),"")</f>
        <v/>
      </c>
      <c r="L178" s="613">
        <f>IF(AND(E178&lt;&gt;"",K178&lt;&gt;"",K178&lt;&gt;0),(E178-K178)/K178*100,"")</f>
        <v/>
      </c>
      <c r="M178" s="179">
        <f>IF(C178&lt;&gt;"",IFERROR(AVERAGE(出来高!E32:I32),""),"")</f>
        <v/>
      </c>
      <c r="N178" s="179">
        <f>IF(C178&lt;&gt;"",IFERROR(AVERAGE(出来高!E32:AC32),""),"")</f>
        <v/>
      </c>
      <c r="O178" s="614">
        <f>IF(AND(J178&lt;&gt;"",M178&lt;&gt;"",M178&lt;&gt;0),J178/M178,"")</f>
        <v/>
      </c>
      <c r="P178" s="176">
        <f>IF(O178="","",IF(O178&gt;=2,"急増↑↑",IF(O178&gt;=1.5,"増加↑",IF(O178&gt;=1,"普通→","減少↓"))))</f>
        <v/>
      </c>
      <c r="Q178" s="176">
        <f>IF(E178="","",IF(AND(E178&gt;G178,O178&gt;=1.5),"買い▲",IF(E178&lt;G178,"様子見▼","中立→")))</f>
        <v/>
      </c>
      <c r="R178" s="179">
        <f>IF(E178&lt;&gt;"",ROUND(E178*1.08,0),"")</f>
        <v/>
      </c>
      <c r="S178" s="179">
        <f>IF(E178&lt;&gt;"",ROUND(E178*0.96,0),"")</f>
        <v/>
      </c>
      <c r="T178" s="176">
        <f>IF(C178="","",IFERROR(IF(O178&gt;=2,3,IF(O178&gt;=1.5,2,IF(O178&gt;=1,1,0)))+IF(E178&gt;G178,1,0)+IF(L178&gt;=-5,1,0)+IF(Q178="買い▲",2,0)+IF(W178&lt;=30,3,IF(W178&lt;=40,2,IF(AND(W178&gt;=40,W178&lt;=60),1,0)))+IF(X178&gt;0,1,0)+IF(V178="年初来高値更新●",3,IF(V178="高値圏",2,0))+IF(AD178="パーフェクト▲",3,IF(AD178="上昇トレンド▲",2,0))+IF(AE178="25日線押し目●",2,IF(AE178="5日線押し目○",1,0))+IF(P178="急増↑↑",2,IF(P178="増加↑",1,0))+N(AI178),0))</f>
        <v/>
      </c>
      <c r="U178" s="176">
        <f>IF(T178="","",IF(AND(T178&gt;=3,O178&gt;=1.5),"有効",IF(T178&gt;=3,"要確認","除外")))</f>
        <v/>
      </c>
      <c r="V178" s="176">
        <f>IF(AND(H178&lt;&gt;"",K178&lt;&gt;""),IF(H178&gt;=K178,"年初来高値更新●",IF(H178&gt;=K178*0.95,"高値圏","通常")),"")</f>
        <v/>
      </c>
      <c r="W178" s="615">
        <f t="array" ref="W178">IF(C178&lt;&gt;"",IFERROR(100-100/(1+SUMPRODUCT((終値!F32:R32&gt;終値!G32:S32)*( 終値!F32:R32-終値!G32:S32))/SUMPRODUCT((終値!F32:R32&lt;終値!G32:S32)*(終値!G32:S32-終値!F32:R32))),50),"")</f>
        <v/>
      </c>
      <c r="X178" s="183">
        <f>IF(C178&lt;&gt;"",IFERROR(SUMPRODUCT(終値!E32:P32,{0.154,0.132,0.113,0.097,0.083,0.071,0.061,0.052,0.045,0.038,0.033,0.028})/SUMPRODUCT({0.154,0.132,0.113,0.097,0.083,0.071,0.061,0.052,0.045,0.038,0.033,0.028})-SUMPRODUCT(終値!E32:AD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8" s="570">
        <f>IF(T178="","",IF(銘柄管理!$F$5="下落▼",IF(AND(AD178="パーフェクト▲",OR(AE178="25日線押し目●",AE178="5日線押し目○")),"★逆張り候補",IF(AND(AD178="上昇トレンド▲",OR(AE178="25日線押し目●",AE178="5日線押し目○")),"○逆張り候補",IF(W178&lt;=30,IF(Z178&gt;0,"◎反発確認",IF(Z178&lt;-5,"△要注意・様子見","△売られ過ぎ注目")),"相場下落・見送り"))),IF(AND(T178&gt;=12,AD178="パーフェクト▲"),"★強い買い",IF(AND(T178&gt;=12,AD178="上昇トレンド▲"),"★強い買い",IF(AND(T178&gt;=8,OR(AE178="25日線押し目●",AE178="5日線押し目○")),"◎押し目買い",IF(T178&gt;=10,"○買い候補",IF(T178&gt;=6,"△注目",IF(T178&gt;=3,"様子見","見送り"))))))))</f>
        <v/>
      </c>
      <c r="Z178" s="616">
        <f>IF(AND(E178&lt;&gt;"",G178&lt;&gt;"",G178&lt;&gt;0),(E178-G178)/G178*100,"")</f>
        <v/>
      </c>
      <c r="AA178" s="176">
        <f>IF(OR(C178="",E178="",E178=0),"",IF(E178&gt;G178,"上昇▲",IF(E178&lt;G178,"下落▼","横ばい→")))</f>
        <v/>
      </c>
      <c r="AB178" s="438">
        <f>IF(C178="","",IFERROR(((終値!E180*0.333)+(終値!F180*0.222)+(終値!G180*0.148)+(終値!H180*0.099)+(終値!I180*0.066)+(終値!J180*0.044)+(終値!K180*0.029)+(終値!L180*0.019)+(終値!M180*0.013)+(終値!N180*0.009))/(0.333+0.222+0.148+0.099+0.066+0.044+0.029+0.019+0.013+0.009),""))</f>
        <v/>
      </c>
      <c r="AC178" s="438">
        <f>IF(C178="","",IFERROR(SUMPRODUCT((終値!E180:AC180)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8" s="439">
        <f>IF(OR(C178="",AB178="",AC178=""),"",IF(AND(E178&gt;AB178,AB178&gt;AC178),"パーフェクト▲",IF(E178&gt;AC178,"上昇トレンド▲",IF(AND(E178&lt;AB178,AB178&lt;AC178),"下降トレンド▼","もみ合い→"))))</f>
        <v/>
      </c>
      <c r="AE178" s="439">
        <f>IF(OR(C178="",AB178="",AC178=""),"",IF(AND(ABS(E178-AC178)/AC178&lt;=0.02,E178&gt;AC178),"25日押し目★",IF(AND(ABS(E178-AB178)/AB178&lt;=0.01,E178&gt;AB178),"5日押し目○","なし")))</f>
        <v/>
      </c>
      <c r="AF178" s="617">
        <f t="array" ref="AF178">IF(C178="","",IFERROR((INDEX(終値!$E:$E,MATCH(TEXT(C178,"0"),終値!$A:$A,0))-INDEX(終値!$E:$BL,MATCH(TEXT(C178,"0"),終値!$A:$A,0),$AL$2))/INDEX(終値!$E:$BL,MATCH(TEXT(C178,"0"),終値!$A:$A,0),$AL$2)*100,""))</f>
        <v/>
      </c>
      <c r="AG178" s="617">
        <f t="array" ref="AG178">IFERROR((終値!$E$5-INDEX(終値!$E$5:$BL$5,1,$AL$2))/INDEX(終値!$E$5:$BL$5,1,$AL$2)*100,"")</f>
        <v/>
      </c>
      <c r="AH178" s="618">
        <f>IF(OR(AF178="",AG178=""),"",AF178-AG178)</f>
        <v/>
      </c>
      <c r="AI178" s="385">
        <f>IF(AH178="","",IF(AH178&gt;5,3,IF(AH178&gt;0,1,IF(AH178&gt;-3,-1,-2))))</f>
        <v/>
      </c>
    </row>
    <row r="179" ht="18" customHeight="1" s="574">
      <c r="A179" s="176">
        <f>IF(銘柄管理!B41&lt;&gt;"",HYPERLINK("https://kabutan.jp/stock/?code="&amp;銘柄管理!B41,"株探"),"")</f>
        <v/>
      </c>
      <c r="B179" s="177" t="n"/>
      <c r="C179" s="178">
        <f>IF(銘柄管理!B41="","",銘柄管理!B41)</f>
        <v/>
      </c>
      <c r="D179" s="106">
        <f>IF(銘柄管理!C41="","",銘柄管理!C41)</f>
        <v/>
      </c>
      <c r="E179" s="179">
        <f>IF(C179&lt;&gt;"",_xll.RssMarket(C179,"現在値"),"")</f>
        <v/>
      </c>
      <c r="F179" s="179">
        <f>IF(C179&lt;&gt;"",_xll.RssMarket(C179,"始値"),"")</f>
        <v/>
      </c>
      <c r="G179" s="178">
        <f>IF(C179&lt;&gt;"",終値!F41,"")</f>
        <v/>
      </c>
      <c r="H179" s="179">
        <f>IF(C179&lt;&gt;"",_xll.RssMarket(C179,"高値"),"")</f>
        <v/>
      </c>
      <c r="I179" s="179">
        <f>IF(C179&lt;&gt;"",_xll.RssMarket(C179,"安値"),"")</f>
        <v/>
      </c>
      <c r="J179" s="179">
        <f>IF(C179&lt;&gt;"",_xll.RssMarket(C179,"出来高"),"")</f>
        <v/>
      </c>
      <c r="K179" s="179">
        <f>IF(C179&lt;&gt;"",_xll.RssMarket(C179,"年初来高値"),"")</f>
        <v/>
      </c>
      <c r="L179" s="613">
        <f>IF(AND(E179&lt;&gt;"",K179&lt;&gt;"",K179&lt;&gt;0),(E179-K179)/K179*100,"")</f>
        <v/>
      </c>
      <c r="M179" s="179">
        <f>IF(C179&lt;&gt;"",IFERROR(AVERAGE(出来高!E41:I41),""),"")</f>
        <v/>
      </c>
      <c r="N179" s="179">
        <f>IF(C179&lt;&gt;"",IFERROR(AVERAGE(出来高!E41:AC41),""),"")</f>
        <v/>
      </c>
      <c r="O179" s="614">
        <f>IF(AND(J179&lt;&gt;"",M179&lt;&gt;"",M179&lt;&gt;0),J179/M179,"")</f>
        <v/>
      </c>
      <c r="P179" s="176">
        <f>IF(O179="","",IF(O179&gt;=2,"急増↑↑",IF(O179&gt;=1.5,"増加↑",IF(O179&gt;=1,"普通→","減少↓"))))</f>
        <v/>
      </c>
      <c r="Q179" s="176">
        <f>IF(E179="","",IF(AND(E179&gt;G179,O179&gt;=1.5),"買い▲",IF(E179&lt;G179,"様子見▼","中立→")))</f>
        <v/>
      </c>
      <c r="R179" s="179">
        <f>IF(E179&lt;&gt;"",ROUND(E179*1.08,0),"")</f>
        <v/>
      </c>
      <c r="S179" s="179">
        <f>IF(E179&lt;&gt;"",ROUND(E179*0.96,0),"")</f>
        <v/>
      </c>
      <c r="T179" s="176">
        <f>IF(C179="","",IFERROR(IF(O179&gt;=2,3,IF(O179&gt;=1.5,2,IF(O179&gt;=1,1,0)))+IF(E179&gt;G179,1,0)+IF(L179&gt;=-5,1,0)+IF(Q179="買い▲",2,0)+IF(W179&lt;=30,3,IF(W179&lt;=40,2,IF(AND(W179&gt;=40,W179&lt;=60),1,0)))+IF(X179&gt;0,1,0)+IF(V179="年初来高値更新●",3,IF(V179="高値圏",2,0))+IF(AD179="パーフェクト▲",3,IF(AD179="上昇トレンド▲",2,0))+IF(AE179="25日線押し目●",2,IF(AE179="5日線押し目○",1,0))+IF(P179="急増↑↑",2,IF(P179="増加↑",1,0))+N(AI179),0))</f>
        <v/>
      </c>
      <c r="U179" s="176">
        <f>IF(T179="","",IF(AND(T179&gt;=3,O179&gt;=1.5),"有効",IF(T179&gt;=3,"要確認","除外")))</f>
        <v/>
      </c>
      <c r="V179" s="176">
        <f>IF(AND(H179&lt;&gt;"",K179&lt;&gt;""),IF(H179&gt;=K179,"年初来高値更新●",IF(H179&gt;=K179*0.95,"高値圏","通常")),"")</f>
        <v/>
      </c>
      <c r="W179" s="615">
        <f t="array" ref="W179">IF(C179&lt;&gt;"",IFERROR(100-100/(1+SUMPRODUCT((終値!F41:R41&gt;終値!G41:S41)*( 終値!F41:R41-終値!G41:S41))/SUMPRODUCT((終値!F41:R41&lt;終値!G41:S41)*(終値!G41:S41-終値!F41:R41))),50),"")</f>
        <v/>
      </c>
      <c r="X179" s="183">
        <f>IF(C179&lt;&gt;"",IFERROR(SUMPRODUCT(終値!E41:P41,{0.154,0.132,0.113,0.097,0.083,0.071,0.061,0.052,0.045,0.038,0.033,0.028})/SUMPRODUCT({0.154,0.132,0.113,0.097,0.083,0.071,0.061,0.052,0.045,0.038,0.033,0.028})-SUMPRODUCT(終値!E41:AD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9" s="570">
        <f>IF(T179="","",IF(銘柄管理!$F$5="下落▼",IF(AND(AD179="パーフェクト▲",OR(AE179="25日線押し目●",AE179="5日線押し目○")),"★逆張り候補",IF(AND(AD179="上昇トレンド▲",OR(AE179="25日線押し目●",AE179="5日線押し目○")),"○逆張り候補",IF(W179&lt;=30,IF(Z179&gt;0,"◎反発確認",IF(Z179&lt;-5,"△要注意・様子見","△売られ過ぎ注目")),"相場下落・見送り"))),IF(AND(T179&gt;=12,AD179="パーフェクト▲"),"★強い買い",IF(AND(T179&gt;=12,AD179="上昇トレンド▲"),"★強い買い",IF(AND(T179&gt;=8,OR(AE179="25日線押し目●",AE179="5日線押し目○")),"◎押し目買い",IF(T179&gt;=10,"○買い候補",IF(T179&gt;=6,"△注目",IF(T179&gt;=3,"様子見","見送り"))))))))</f>
        <v/>
      </c>
      <c r="Z179" s="616">
        <f>IF(AND(E179&lt;&gt;"",G179&lt;&gt;"",G179&lt;&gt;0),(E179-G179)/G179*100,"")</f>
        <v/>
      </c>
      <c r="AA179" s="176">
        <f>IF(OR(C179="",E179="",E179=0),"",IF(E179&gt;G179,"上昇▲",IF(E179&lt;G179,"下落▼","横ばい→")))</f>
        <v/>
      </c>
      <c r="AB179" s="440">
        <f>IF(C179="","",IFERROR(((終値!E181*0.333)+(終値!F181*0.222)+(終値!G181*0.148)+(終値!H181*0.099)+(終値!I181*0.066)+(終値!J181*0.044)+(終値!K181*0.029)+(終値!L181*0.019)+(終値!M181*0.013)+(終値!N181*0.009))/(0.333+0.222+0.148+0.099+0.066+0.044+0.029+0.019+0.013+0.009),""))</f>
        <v/>
      </c>
      <c r="AC179" s="440">
        <f>IF(C179="","",IFERROR(SUMPRODUCT((終値!E181:AC181)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9" s="441">
        <f>IF(OR(C179="",AB179="",AC179=""),"",IF(AND(E179&gt;AB179,AB179&gt;AC179),"パーフェクト▲",IF(E179&gt;AC179,"上昇トレンド▲",IF(AND(E179&lt;AB179,AB179&lt;AC179),"下降トレンド▼","もみ合い→"))))</f>
        <v/>
      </c>
      <c r="AE179" s="441">
        <f>IF(OR(C179="",AB179="",AC179=""),"",IF(AND(ABS(E179-AC179)/AC179&lt;=0.02,E179&gt;AC179),"25日押し目★",IF(AND(ABS(E179-AB179)/AB179&lt;=0.01,E179&gt;AB179),"5日押し目○","なし")))</f>
        <v/>
      </c>
      <c r="AF179" s="617">
        <f t="array" ref="AF179">IF(C179="","",IFERROR((INDEX(終値!$E:$E,MATCH(TEXT(C179,"0"),終値!$A:$A,0))-INDEX(終値!$E:$BL,MATCH(TEXT(C179,"0"),終値!$A:$A,0),$AL$2))/INDEX(終値!$E:$BL,MATCH(TEXT(C179,"0"),終値!$A:$A,0),$AL$2)*100,""))</f>
        <v/>
      </c>
      <c r="AG179" s="617">
        <f t="array" ref="AG179">IFERROR((終値!$E$5-INDEX(終値!$E$5:$BL$5,1,$AL$2))/INDEX(終値!$E$5:$BL$5,1,$AL$2)*100,"")</f>
        <v/>
      </c>
      <c r="AH179" s="618">
        <f>IF(OR(AF179="",AG179=""),"",AF179-AG179)</f>
        <v/>
      </c>
      <c r="AI179" s="385">
        <f>IF(AH179="","",IF(AH179&gt;5,3,IF(AH179&gt;0,1,IF(AH179&gt;-3,-1,-2))))</f>
        <v/>
      </c>
    </row>
    <row r="180" ht="18" customHeight="1" s="574">
      <c r="A180" s="176">
        <f>IF(銘柄管理!B71&lt;&gt;"",HYPERLINK("https://kabutan.jp/stock/?code="&amp;銘柄管理!B71,"株探"),"")</f>
        <v/>
      </c>
      <c r="B180" s="177" t="n"/>
      <c r="C180" s="178">
        <f>IF(銘柄管理!B71="","",銘柄管理!B71)</f>
        <v/>
      </c>
      <c r="D180" s="106">
        <f>IF(銘柄管理!C71="","",銘柄管理!C71)</f>
        <v/>
      </c>
      <c r="E180" s="179">
        <f>IF(C180&lt;&gt;"",_xll.RssMarket(C180,"現在値"),"")</f>
        <v/>
      </c>
      <c r="F180" s="179">
        <f>IF(C180&lt;&gt;"",_xll.RssMarket(C180,"始値"),"")</f>
        <v/>
      </c>
      <c r="G180" s="178">
        <f>IF(C180&lt;&gt;"",終値!F71,"")</f>
        <v/>
      </c>
      <c r="H180" s="179">
        <f>IF(C180&lt;&gt;"",_xll.RssMarket(C180,"高値"),"")</f>
        <v/>
      </c>
      <c r="I180" s="179">
        <f>IF(C180&lt;&gt;"",_xll.RssMarket(C180,"安値"),"")</f>
        <v/>
      </c>
      <c r="J180" s="179">
        <f>IF(C180&lt;&gt;"",_xll.RssMarket(C180,"出来高"),"")</f>
        <v/>
      </c>
      <c r="K180" s="179">
        <f>IF(C180&lt;&gt;"",_xll.RssMarket(C180,"年初来高値"),"")</f>
        <v/>
      </c>
      <c r="L180" s="613">
        <f>IF(AND(E180&lt;&gt;"",K180&lt;&gt;"",K180&lt;&gt;0),(E180-K180)/K180*100,"")</f>
        <v/>
      </c>
      <c r="M180" s="179">
        <f>IF(C180&lt;&gt;"",IFERROR(AVERAGE(出来高!E71:I71),""),"")</f>
        <v/>
      </c>
      <c r="N180" s="179">
        <f>IF(C180&lt;&gt;"",IFERROR(AVERAGE(出来高!E71:AC71),""),"")</f>
        <v/>
      </c>
      <c r="O180" s="614">
        <f>IF(AND(J180&lt;&gt;"",M180&lt;&gt;"",M180&lt;&gt;0),J180/M180,"")</f>
        <v/>
      </c>
      <c r="P180" s="176">
        <f>IF(O180="","",IF(O180&gt;=2,"急増↑↑",IF(O180&gt;=1.5,"増加↑",IF(O180&gt;=1,"普通→","減少↓"))))</f>
        <v/>
      </c>
      <c r="Q180" s="176">
        <f>IF(E180="","",IF(AND(E180&gt;G180,O180&gt;=1.5),"買い▲",IF(E180&lt;G180,"様子見▼","中立→")))</f>
        <v/>
      </c>
      <c r="R180" s="179">
        <f>IF(E180&lt;&gt;"",ROUND(E180*1.08,0),"")</f>
        <v/>
      </c>
      <c r="S180" s="179">
        <f>IF(E180&lt;&gt;"",ROUND(E180*0.96,0),"")</f>
        <v/>
      </c>
      <c r="T180" s="176">
        <f>IF(C180="","",IFERROR(IF(O180&gt;=2,3,IF(O180&gt;=1.5,2,IF(O180&gt;=1,1,0)))+IF(E180&gt;G180,1,0)+IF(L180&gt;=-5,1,0)+IF(Q180="買い▲",2,0)+IF(W180&lt;=30,3,IF(W180&lt;=40,2,IF(AND(W180&gt;=40,W180&lt;=60),1,0)))+IF(X180&gt;0,1,0)+IF(V180="年初来高値更新●",3,IF(V180="高値圏",2,0))+IF(AD180="パーフェクト▲",3,IF(AD180="上昇トレンド▲",2,0))+IF(AE180="25日線押し目●",2,IF(AE180="5日線押し目○",1,0))+IF(P180="急増↑↑",2,IF(P180="増加↑",1,0))+N(AI180),0))</f>
        <v/>
      </c>
      <c r="U180" s="176">
        <f>IF(T180="","",IF(AND(T180&gt;=3,O180&gt;=1.5),"有効",IF(T180&gt;=3,"要確認","除外")))</f>
        <v/>
      </c>
      <c r="V180" s="176">
        <f>IF(AND(H180&lt;&gt;"",K180&lt;&gt;""),IF(H180&gt;=K180,"年初来高値更新●",IF(H180&gt;=K180*0.95,"高値圏","通常")),"")</f>
        <v/>
      </c>
      <c r="W180" s="615">
        <f t="array" ref="W180">IF(C180&lt;&gt;"",IFERROR(100-100/(1+SUMPRODUCT((終値!F71:R71&gt;終値!G71:S71)*( 終値!F71:R71-終値!G71:S71))/SUMPRODUCT((終値!F71:R71&lt;終値!G71:S71)*(終値!G71:S71-終値!F71:R71))),50),"")</f>
        <v/>
      </c>
      <c r="X180" s="183">
        <f>IF(C180&lt;&gt;"",IFERROR(SUMPRODUCT(終値!E71:P71,{0.154,0.132,0.113,0.097,0.083,0.071,0.061,0.052,0.045,0.038,0.033,0.028})/SUMPRODUCT({0.154,0.132,0.113,0.097,0.083,0.071,0.061,0.052,0.045,0.038,0.033,0.028})-SUMPRODUCT(終値!E71:AD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0" s="570">
        <f>IF(T180="","",IF(銘柄管理!$F$5="下落▼",IF(AND(AD180="パーフェクト▲",OR(AE180="25日線押し目●",AE180="5日線押し目○")),"★逆張り候補",IF(AND(AD180="上昇トレンド▲",OR(AE180="25日線押し目●",AE180="5日線押し目○")),"○逆張り候補",IF(W180&lt;=30,IF(Z180&gt;0,"◎反発確認",IF(Z180&lt;-5,"△要注意・様子見","△売られ過ぎ注目")),"相場下落・見送り"))),IF(AND(T180&gt;=12,AD180="パーフェクト▲"),"★強い買い",IF(AND(T180&gt;=12,AD180="上昇トレンド▲"),"★強い買い",IF(AND(T180&gt;=8,OR(AE180="25日線押し目●",AE180="5日線押し目○")),"◎押し目買い",IF(T180&gt;=10,"○買い候補",IF(T180&gt;=6,"△注目",IF(T180&gt;=3,"様子見","見送り"))))))))</f>
        <v/>
      </c>
      <c r="Z180" s="616">
        <f>IF(AND(E180&lt;&gt;"",G180&lt;&gt;"",G180&lt;&gt;0),(E180-G180)/G180*100,"")</f>
        <v/>
      </c>
      <c r="AA180" s="176">
        <f>IF(OR(C180="",E180="",E180=0),"",IF(E180&gt;G180,"上昇▲",IF(E180&lt;G180,"下落▼","横ばい→")))</f>
        <v/>
      </c>
      <c r="AB180" s="438">
        <f>IF(C180="","",IFERROR(((終値!E182*0.333)+(終値!F182*0.222)+(終値!G182*0.148)+(終値!H182*0.099)+(終値!I182*0.066)+(終値!J182*0.044)+(終値!K182*0.029)+(終値!L182*0.019)+(終値!M182*0.013)+(終値!N182*0.009))/(0.333+0.222+0.148+0.099+0.066+0.044+0.029+0.019+0.013+0.009),""))</f>
        <v/>
      </c>
      <c r="AC180" s="438">
        <f>IF(C180="","",IFERROR(SUMPRODUCT((終値!E182:AC182)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0" s="439">
        <f>IF(OR(C180="",AB180="",AC180=""),"",IF(AND(E180&gt;AB180,AB180&gt;AC180),"パーフェクト▲",IF(E180&gt;AC180,"上昇トレンド▲",IF(AND(E180&lt;AB180,AB180&lt;AC180),"下降トレンド▼","もみ合い→"))))</f>
        <v/>
      </c>
      <c r="AE180" s="439">
        <f>IF(OR(C180="",AB180="",AC180=""),"",IF(AND(ABS(E180-AC180)/AC180&lt;=0.02,E180&gt;AC180),"25日押し目★",IF(AND(ABS(E180-AB180)/AB180&lt;=0.01,E180&gt;AB180),"5日押し目○","なし")))</f>
        <v/>
      </c>
      <c r="AF180" s="617">
        <f t="array" ref="AF180">IF(C180="","",IFERROR((INDEX(終値!$E:$E,MATCH(TEXT(C180,"0"),終値!$A:$A,0))-INDEX(終値!$E:$BL,MATCH(TEXT(C180,"0"),終値!$A:$A,0),$AL$2))/INDEX(終値!$E:$BL,MATCH(TEXT(C180,"0"),終値!$A:$A,0),$AL$2)*100,""))</f>
        <v/>
      </c>
      <c r="AG180" s="617">
        <f t="array" ref="AG180">IFERROR((終値!$E$5-INDEX(終値!$E$5:$BL$5,1,$AL$2))/INDEX(終値!$E$5:$BL$5,1,$AL$2)*100,"")</f>
        <v/>
      </c>
      <c r="AH180" s="618">
        <f>IF(OR(AF180="",AG180=""),"",AF180-AG180)</f>
        <v/>
      </c>
      <c r="AI180" s="385">
        <f>IF(AH180="","",IF(AH180&gt;5,3,IF(AH180&gt;0,1,IF(AH180&gt;-3,-1,-2))))</f>
        <v/>
      </c>
    </row>
    <row r="181" ht="18" customHeight="1" s="574">
      <c r="A181" s="176">
        <f>IF(銘柄管理!B28&lt;&gt;"",HYPERLINK("https://kabutan.jp/stock/?code="&amp;銘柄管理!B28,"株探"),"")</f>
        <v/>
      </c>
      <c r="B181" s="177" t="n"/>
      <c r="C181" s="178">
        <f>IF(銘柄管理!B28="","",銘柄管理!B28)</f>
        <v/>
      </c>
      <c r="D181" s="106">
        <f>IF(銘柄管理!C28="","",銘柄管理!C28)</f>
        <v/>
      </c>
      <c r="E181" s="179">
        <f>IF(C181&lt;&gt;"",_xll.RssMarket(C181,"現在値"),"")</f>
        <v/>
      </c>
      <c r="F181" s="179">
        <f>IF(C181&lt;&gt;"",_xll.RssMarket(C181,"始値"),"")</f>
        <v/>
      </c>
      <c r="G181" s="178">
        <f>IF(C181&lt;&gt;"",終値!F28,"")</f>
        <v/>
      </c>
      <c r="H181" s="179">
        <f>IF(C181&lt;&gt;"",_xll.RssMarket(C181,"高値"),"")</f>
        <v/>
      </c>
      <c r="I181" s="179">
        <f>IF(C181&lt;&gt;"",_xll.RssMarket(C181,"安値"),"")</f>
        <v/>
      </c>
      <c r="J181" s="179">
        <f>IF(C181&lt;&gt;"",_xll.RssMarket(C181,"出来高"),"")</f>
        <v/>
      </c>
      <c r="K181" s="179">
        <f>IF(C181&lt;&gt;"",_xll.RssMarket(C181,"年初来高値"),"")</f>
        <v/>
      </c>
      <c r="L181" s="613">
        <f>IF(AND(E181&lt;&gt;"",K181&lt;&gt;"",K181&lt;&gt;0),(E181-K181)/K181*100,"")</f>
        <v/>
      </c>
      <c r="M181" s="179">
        <f>IF(C181&lt;&gt;"",IFERROR(AVERAGE(出来高!E28:I28),""),"")</f>
        <v/>
      </c>
      <c r="N181" s="179">
        <f>IF(C181&lt;&gt;"",IFERROR(AVERAGE(出来高!E28:AC28),""),"")</f>
        <v/>
      </c>
      <c r="O181" s="614">
        <f>IF(AND(J181&lt;&gt;"",M181&lt;&gt;"",M181&lt;&gt;0),J181/M181,"")</f>
        <v/>
      </c>
      <c r="P181" s="176">
        <f>IF(O181="","",IF(O181&gt;=2,"急増↑↑",IF(O181&gt;=1.5,"増加↑",IF(O181&gt;=1,"普通→","減少↓"))))</f>
        <v/>
      </c>
      <c r="Q181" s="176">
        <f>IF(E181="","",IF(AND(E181&gt;G181,O181&gt;=1.5),"買い▲",IF(E181&lt;G181,"様子見▼","中立→")))</f>
        <v/>
      </c>
      <c r="R181" s="179">
        <f>IF(E181&lt;&gt;"",ROUND(E181*1.08,0),"")</f>
        <v/>
      </c>
      <c r="S181" s="179">
        <f>IF(E181&lt;&gt;"",ROUND(E181*0.96,0),"")</f>
        <v/>
      </c>
      <c r="T181" s="176">
        <f>IF(C181="","",IFERROR(IF(O181&gt;=2,3,IF(O181&gt;=1.5,2,IF(O181&gt;=1,1,0)))+IF(E181&gt;G181,1,0)+IF(L181&gt;=-5,1,0)+IF(Q181="買い▲",2,0)+IF(W181&lt;=30,3,IF(W181&lt;=40,2,IF(AND(W181&gt;=40,W181&lt;=60),1,0)))+IF(X181&gt;0,1,0)+IF(V181="年初来高値更新●",3,IF(V181="高値圏",2,0))+IF(AD181="パーフェクト▲",3,IF(AD181="上昇トレンド▲",2,0))+IF(AE181="25日線押し目●",2,IF(AE181="5日線押し目○",1,0))+IF(P181="急増↑↑",2,IF(P181="増加↑",1,0))+N(AI181),0))</f>
        <v/>
      </c>
      <c r="U181" s="176">
        <f>IF(T181="","",IF(AND(T181&gt;=3,O181&gt;=1.5),"有効",IF(T181&gt;=3,"要確認","除外")))</f>
        <v/>
      </c>
      <c r="V181" s="176">
        <f>IF(AND(H181&lt;&gt;"",K181&lt;&gt;""),IF(H181&gt;=K181,"年初来高値更新●",IF(H181&gt;=K181*0.95,"高値圏","通常")),"")</f>
        <v/>
      </c>
      <c r="W181" s="615">
        <f t="array" ref="W181">IF(C181&lt;&gt;"",IFERROR(100-100/(1+SUMPRODUCT((終値!F28:R28&gt;終値!G28:S28)*( 終値!F28:R28-終値!G28:S28))/SUMPRODUCT((終値!F28:R28&lt;終値!G28:S28)*(終値!G28:S28-終値!F28:R28))),50),"")</f>
        <v/>
      </c>
      <c r="X181" s="183">
        <f>IF(C181&lt;&gt;"",IFERROR(SUMPRODUCT(終値!E28:P28,{0.154,0.132,0.113,0.097,0.083,0.071,0.061,0.052,0.045,0.038,0.033,0.028})/SUMPRODUCT({0.154,0.132,0.113,0.097,0.083,0.071,0.061,0.052,0.045,0.038,0.033,0.028})-SUMPRODUCT(終値!E28:AD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1" s="570">
        <f>IF(T181="","",IF(銘柄管理!$F$5="下落▼",IF(AND(AD181="パーフェクト▲",OR(AE181="25日線押し目●",AE181="5日線押し目○")),"★逆張り候補",IF(AND(AD181="上昇トレンド▲",OR(AE181="25日線押し目●",AE181="5日線押し目○")),"○逆張り候補",IF(W181&lt;=30,IF(Z181&gt;0,"◎反発確認",IF(Z181&lt;-5,"△要注意・様子見","△売られ過ぎ注目")),"相場下落・見送り"))),IF(AND(T181&gt;=12,AD181="パーフェクト▲"),"★強い買い",IF(AND(T181&gt;=12,AD181="上昇トレンド▲"),"★強い買い",IF(AND(T181&gt;=8,OR(AE181="25日線押し目●",AE181="5日線押し目○")),"◎押し目買い",IF(T181&gt;=10,"○買い候補",IF(T181&gt;=6,"△注目",IF(T181&gt;=3,"様子見","見送り"))))))))</f>
        <v/>
      </c>
      <c r="Z181" s="616">
        <f>IF(AND(E181&lt;&gt;"",G181&lt;&gt;"",G181&lt;&gt;0),(E181-G181)/G181*100,"")</f>
        <v/>
      </c>
      <c r="AA181" s="176">
        <f>IF(OR(C181="",E181="",E181=0),"",IF(E181&gt;G181,"上昇▲",IF(E181&lt;G181,"下落▼","横ばい→")))</f>
        <v/>
      </c>
      <c r="AB181" s="440">
        <f>IF(C181="","",IFERROR(((終値!E183*0.333)+(終値!F183*0.222)+(終値!G183*0.148)+(終値!H183*0.099)+(終値!I183*0.066)+(終値!J183*0.044)+(終値!K183*0.029)+(終値!L183*0.019)+(終値!M183*0.013)+(終値!N183*0.009))/(0.333+0.222+0.148+0.099+0.066+0.044+0.029+0.019+0.013+0.009),""))</f>
        <v/>
      </c>
      <c r="AC181" s="440">
        <f>IF(C181="","",IFERROR(SUMPRODUCT((終値!E183:AC183)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1" s="441">
        <f>IF(OR(C181="",AB181="",AC181=""),"",IF(AND(E181&gt;AB181,AB181&gt;AC181),"パーフェクト▲",IF(E181&gt;AC181,"上昇トレンド▲",IF(AND(E181&lt;AB181,AB181&lt;AC181),"下降トレンド▼","もみ合い→"))))</f>
        <v/>
      </c>
      <c r="AE181" s="441">
        <f>IF(OR(C181="",AB181="",AC181=""),"",IF(AND(ABS(E181-AC181)/AC181&lt;=0.02,E181&gt;AC181),"25日押し目★",IF(AND(ABS(E181-AB181)/AB181&lt;=0.01,E181&gt;AB181),"5日押し目○","なし")))</f>
        <v/>
      </c>
      <c r="AF181" s="617">
        <f t="array" ref="AF181">IF(C181="","",IFERROR((INDEX(終値!$E:$E,MATCH(TEXT(C181,"0"),終値!$A:$A,0))-INDEX(終値!$E:$BL,MATCH(TEXT(C181,"0"),終値!$A:$A,0),$AL$2))/INDEX(終値!$E:$BL,MATCH(TEXT(C181,"0"),終値!$A:$A,0),$AL$2)*100,""))</f>
        <v/>
      </c>
      <c r="AG181" s="617">
        <f t="array" ref="AG181">IFERROR((終値!$E$5-INDEX(終値!$E$5:$BL$5,1,$AL$2))/INDEX(終値!$E$5:$BL$5,1,$AL$2)*100,"")</f>
        <v/>
      </c>
      <c r="AH181" s="618">
        <f>IF(OR(AF181="",AG181=""),"",AF181-AG181)</f>
        <v/>
      </c>
      <c r="AI181" s="385">
        <f>IF(AH181="","",IF(AH181&gt;5,3,IF(AH181&gt;0,1,IF(AH181&gt;-3,-1,-2))))</f>
        <v/>
      </c>
    </row>
    <row r="182" ht="18" customHeight="1" s="574">
      <c r="A182" s="176">
        <f>IF(銘柄管理!B94&lt;&gt;"",HYPERLINK("https://kabutan.jp/stock/?code="&amp;銘柄管理!B94,"株探"),"")</f>
        <v/>
      </c>
      <c r="B182" s="177" t="n"/>
      <c r="C182" s="178">
        <f>IF(銘柄管理!B94="","",銘柄管理!B94)</f>
        <v/>
      </c>
      <c r="D182" s="106">
        <f>IF(銘柄管理!C94="","",銘柄管理!C94)</f>
        <v/>
      </c>
      <c r="E182" s="179">
        <f>IF(C182&lt;&gt;"",_xll.RssMarket(C182,"現在値"),"")</f>
        <v/>
      </c>
      <c r="F182" s="179">
        <f>IF(C182&lt;&gt;"",_xll.RssMarket(C182,"始値"),"")</f>
        <v/>
      </c>
      <c r="G182" s="178">
        <f>IF(C182&lt;&gt;"",終値!F94,"")</f>
        <v/>
      </c>
      <c r="H182" s="179">
        <f>IF(C182&lt;&gt;"",_xll.RssMarket(C182,"高値"),"")</f>
        <v/>
      </c>
      <c r="I182" s="179">
        <f>IF(C182&lt;&gt;"",_xll.RssMarket(C182,"安値"),"")</f>
        <v/>
      </c>
      <c r="J182" s="179">
        <f>IF(C182&lt;&gt;"",_xll.RssMarket(C182,"出来高"),"")</f>
        <v/>
      </c>
      <c r="K182" s="179">
        <f>IF(C182&lt;&gt;"",_xll.RssMarket(C182,"年初来高値"),"")</f>
        <v/>
      </c>
      <c r="L182" s="613">
        <f>IF(AND(E182&lt;&gt;"",K182&lt;&gt;"",K182&lt;&gt;0),(E182-K182)/K182*100,"")</f>
        <v/>
      </c>
      <c r="M182" s="179">
        <f>IF(C182&lt;&gt;"",IFERROR(AVERAGE(出来高!E94:I94),""),"")</f>
        <v/>
      </c>
      <c r="N182" s="179">
        <f>IF(C182&lt;&gt;"",IFERROR(AVERAGE(出来高!E94:AC94),""),"")</f>
        <v/>
      </c>
      <c r="O182" s="614">
        <f>IF(AND(J182&lt;&gt;"",M182&lt;&gt;"",M182&lt;&gt;0),J182/M182,"")</f>
        <v/>
      </c>
      <c r="P182" s="176">
        <f>IF(O182="","",IF(O182&gt;=2,"急増↑↑",IF(O182&gt;=1.5,"増加↑",IF(O182&gt;=1,"普通→","減少↓"))))</f>
        <v/>
      </c>
      <c r="Q182" s="176">
        <f>IF(E182="","",IF(AND(E182&gt;G182,O182&gt;=1.5),"買い▲",IF(E182&lt;G182,"様子見▼","中立→")))</f>
        <v/>
      </c>
      <c r="R182" s="179">
        <f>IF(E182&lt;&gt;"",ROUND(E182*1.08,0),"")</f>
        <v/>
      </c>
      <c r="S182" s="179">
        <f>IF(E182&lt;&gt;"",ROUND(E182*0.96,0),"")</f>
        <v/>
      </c>
      <c r="T182" s="176">
        <f>IF(C182="","",IFERROR(IF(O182&gt;=2,3,IF(O182&gt;=1.5,2,IF(O182&gt;=1,1,0)))+IF(E182&gt;G182,1,0)+IF(L182&gt;=-5,1,0)+IF(Q182="買い▲",2,0)+IF(W182&lt;=30,3,IF(W182&lt;=40,2,IF(AND(W182&gt;=40,W182&lt;=60),1,0)))+IF(X182&gt;0,1,0)+IF(V182="年初来高値更新●",3,IF(V182="高値圏",2,0))+IF(AD182="パーフェクト▲",3,IF(AD182="上昇トレンド▲",2,0))+IF(AE182="25日線押し目●",2,IF(AE182="5日線押し目○",1,0))+IF(P182="急増↑↑",2,IF(P182="増加↑",1,0))+N(AI182),0))</f>
        <v/>
      </c>
      <c r="U182" s="176">
        <f>IF(T182="","",IF(AND(T182&gt;=3,O182&gt;=1.5),"有効",IF(T182&gt;=3,"要確認","除外")))</f>
        <v/>
      </c>
      <c r="V182" s="176">
        <f>IF(AND(H182&lt;&gt;"",K182&lt;&gt;""),IF(H182&gt;=K182,"年初来高値更新●",IF(H182&gt;=K182*0.95,"高値圏","通常")),"")</f>
        <v/>
      </c>
      <c r="W182" s="615">
        <f t="array" ref="W182">IF(C182&lt;&gt;"",IFERROR(100-100/(1+SUMPRODUCT((終値!F94:R94&gt;終値!G94:S94)*( 終値!F94:R94-終値!G94:S94))/SUMPRODUCT((終値!F94:R94&lt;終値!G94:S94)*(終値!G94:S94-終値!F94:R94))),50),"")</f>
        <v/>
      </c>
      <c r="X182" s="183">
        <f>IF(C182&lt;&gt;"",IFERROR(SUMPRODUCT(終値!E94:P94,{0.154,0.132,0.113,0.097,0.083,0.071,0.061,0.052,0.045,0.038,0.033,0.028})/SUMPRODUCT({0.154,0.132,0.113,0.097,0.083,0.071,0.061,0.052,0.045,0.038,0.033,0.028})-SUMPRODUCT(終値!E94:AD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2" s="570">
        <f>IF(T182="","",IF(銘柄管理!$F$5="下落▼",IF(AND(AD182="パーフェクト▲",OR(AE182="25日線押し目●",AE182="5日線押し目○")),"★逆張り候補",IF(AND(AD182="上昇トレンド▲",OR(AE182="25日線押し目●",AE182="5日線押し目○")),"○逆張り候補",IF(W182&lt;=30,IF(Z182&gt;0,"◎反発確認",IF(Z182&lt;-5,"△要注意・様子見","△売られ過ぎ注目")),"相場下落・見送り"))),IF(AND(T182&gt;=12,AD182="パーフェクト▲"),"★強い買い",IF(AND(T182&gt;=12,AD182="上昇トレンド▲"),"★強い買い",IF(AND(T182&gt;=8,OR(AE182="25日線押し目●",AE182="5日線押し目○")),"◎押し目買い",IF(T182&gt;=10,"○買い候補",IF(T182&gt;=6,"△注目",IF(T182&gt;=3,"様子見","見送り"))))))))</f>
        <v/>
      </c>
      <c r="Z182" s="616">
        <f>IF(AND(E182&lt;&gt;"",G182&lt;&gt;"",G182&lt;&gt;0),(E182-G182)/G182*100,"")</f>
        <v/>
      </c>
      <c r="AA182" s="176">
        <f>IF(OR(C182="",E182="",E182=0),"",IF(E182&gt;G182,"上昇▲",IF(E182&lt;G182,"下落▼","横ばい→")))</f>
        <v/>
      </c>
      <c r="AB182" s="438">
        <f>IF(C182="","",IFERROR(((終値!E184*0.333)+(終値!F184*0.222)+(終値!G184*0.148)+(終値!H184*0.099)+(終値!I184*0.066)+(終値!J184*0.044)+(終値!K184*0.029)+(終値!L184*0.019)+(終値!M184*0.013)+(終値!N184*0.009))/(0.333+0.222+0.148+0.099+0.066+0.044+0.029+0.019+0.013+0.009),""))</f>
        <v/>
      </c>
      <c r="AC182" s="438">
        <f>IF(C182="","",IFERROR(SUMPRODUCT((終値!E184:AC184)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2" s="439">
        <f>IF(OR(C182="",AB182="",AC182=""),"",IF(AND(E182&gt;AB182,AB182&gt;AC182),"パーフェクト▲",IF(E182&gt;AC182,"上昇トレンド▲",IF(AND(E182&lt;AB182,AB182&lt;AC182),"下降トレンド▼","もみ合い→"))))</f>
        <v/>
      </c>
      <c r="AE182" s="439">
        <f>IF(OR(C182="",AB182="",AC182=""),"",IF(AND(ABS(E182-AC182)/AC182&lt;=0.02,E182&gt;AC182),"25日押し目★",IF(AND(ABS(E182-AB182)/AB182&lt;=0.01,E182&gt;AB182),"5日押し目○","なし")))</f>
        <v/>
      </c>
      <c r="AF182" s="617">
        <f t="array" ref="AF182">IF(C182="","",IFERROR((INDEX(終値!$E:$E,MATCH(TEXT(C182,"0"),終値!$A:$A,0))-INDEX(終値!$E:$BL,MATCH(TEXT(C182,"0"),終値!$A:$A,0),$AL$2))/INDEX(終値!$E:$BL,MATCH(TEXT(C182,"0"),終値!$A:$A,0),$AL$2)*100,""))</f>
        <v/>
      </c>
      <c r="AG182" s="617">
        <f t="array" ref="AG182">IFERROR((終値!$E$5-INDEX(終値!$E$5:$BL$5,1,$AL$2))/INDEX(終値!$E$5:$BL$5,1,$AL$2)*100,"")</f>
        <v/>
      </c>
      <c r="AH182" s="618">
        <f>IF(OR(AF182="",AG182=""),"",AF182-AG182)</f>
        <v/>
      </c>
      <c r="AI182" s="385">
        <f>IF(AH182="","",IF(AH182&gt;5,3,IF(AH182&gt;0,1,IF(AH182&gt;-3,-1,-2))))</f>
        <v/>
      </c>
    </row>
    <row r="183" ht="18" customHeight="1" s="574">
      <c r="A183" s="176">
        <f>IF(銘柄管理!B44&lt;&gt;"",HYPERLINK("https://kabutan.jp/stock/?code="&amp;銘柄管理!B44,"株探"),"")</f>
        <v/>
      </c>
      <c r="B183" s="177" t="n"/>
      <c r="C183" s="178">
        <f>IF(銘柄管理!B44="","",銘柄管理!B44)</f>
        <v/>
      </c>
      <c r="D183" s="106">
        <f>IF(銘柄管理!C44="","",銘柄管理!C44)</f>
        <v/>
      </c>
      <c r="E183" s="179">
        <f>IF(C183&lt;&gt;"",_xll.RssMarket(C183,"現在値"),"")</f>
        <v/>
      </c>
      <c r="F183" s="179">
        <f>IF(C183&lt;&gt;"",_xll.RssMarket(C183,"始値"),"")</f>
        <v/>
      </c>
      <c r="G183" s="178">
        <f>IF(C183&lt;&gt;"",終値!F44,"")</f>
        <v/>
      </c>
      <c r="H183" s="179">
        <f>IF(C183&lt;&gt;"",_xll.RssMarket(C183,"高値"),"")</f>
        <v/>
      </c>
      <c r="I183" s="179">
        <f>IF(C183&lt;&gt;"",_xll.RssMarket(C183,"安値"),"")</f>
        <v/>
      </c>
      <c r="J183" s="179">
        <f>IF(C183&lt;&gt;"",_xll.RssMarket(C183,"出来高"),"")</f>
        <v/>
      </c>
      <c r="K183" s="179">
        <f>IF(C183&lt;&gt;"",_xll.RssMarket(C183,"年初来高値"),"")</f>
        <v/>
      </c>
      <c r="L183" s="613">
        <f>IF(AND(E183&lt;&gt;"",K183&lt;&gt;"",K183&lt;&gt;0),(E183-K183)/K183*100,"")</f>
        <v/>
      </c>
      <c r="M183" s="179">
        <f>IF(C183&lt;&gt;"",IFERROR(AVERAGE(出来高!E44:I44),""),"")</f>
        <v/>
      </c>
      <c r="N183" s="179">
        <f>IF(C183&lt;&gt;"",IFERROR(AVERAGE(出来高!E44:AC44),""),"")</f>
        <v/>
      </c>
      <c r="O183" s="614">
        <f>IF(AND(J183&lt;&gt;"",M183&lt;&gt;"",M183&lt;&gt;0),J183/M183,"")</f>
        <v/>
      </c>
      <c r="P183" s="176">
        <f>IF(O183="","",IF(O183&gt;=2,"急増↑↑",IF(O183&gt;=1.5,"増加↑",IF(O183&gt;=1,"普通→","減少↓"))))</f>
        <v/>
      </c>
      <c r="Q183" s="176">
        <f>IF(E183="","",IF(AND(E183&gt;G183,O183&gt;=1.5),"買い▲",IF(E183&lt;G183,"様子見▼","中立→")))</f>
        <v/>
      </c>
      <c r="R183" s="179">
        <f>IF(E183&lt;&gt;"",ROUND(E183*1.08,0),"")</f>
        <v/>
      </c>
      <c r="S183" s="179">
        <f>IF(E183&lt;&gt;"",ROUND(E183*0.96,0),"")</f>
        <v/>
      </c>
      <c r="T183" s="176">
        <f>IF(C183="","",IFERROR(IF(O183&gt;=2,3,IF(O183&gt;=1.5,2,IF(O183&gt;=1,1,0)))+IF(E183&gt;G183,1,0)+IF(L183&gt;=-5,1,0)+IF(Q183="買い▲",2,0)+IF(W183&lt;=30,3,IF(W183&lt;=40,2,IF(AND(W183&gt;=40,W183&lt;=60),1,0)))+IF(X183&gt;0,1,0)+IF(V183="年初来高値更新●",3,IF(V183="高値圏",2,0))+IF(AD183="パーフェクト▲",3,IF(AD183="上昇トレンド▲",2,0))+IF(AE183="25日線押し目●",2,IF(AE183="5日線押し目○",1,0))+IF(P183="急増↑↑",2,IF(P183="増加↑",1,0))+N(AI183),0))</f>
        <v/>
      </c>
      <c r="U183" s="176">
        <f>IF(T183="","",IF(AND(T183&gt;=3,O183&gt;=1.5),"有効",IF(T183&gt;=3,"要確認","除外")))</f>
        <v/>
      </c>
      <c r="V183" s="176">
        <f>IF(AND(H183&lt;&gt;"",K183&lt;&gt;""),IF(H183&gt;=K183,"年初来高値更新●",IF(H183&gt;=K183*0.95,"高値圏","通常")),"")</f>
        <v/>
      </c>
      <c r="W183" s="615">
        <f t="array" ref="W183">IF(C183&lt;&gt;"",IFERROR(100-100/(1+SUMPRODUCT((終値!F44:R44&gt;終値!G44:S44)*( 終値!F44:R44-終値!G44:S44))/SUMPRODUCT((終値!F44:R44&lt;終値!G44:S44)*(終値!G44:S44-終値!F44:R44))),50),"")</f>
        <v/>
      </c>
      <c r="X183" s="183">
        <f>IF(C183&lt;&gt;"",IFERROR(SUMPRODUCT(終値!E44:P44,{0.154,0.132,0.113,0.097,0.083,0.071,0.061,0.052,0.045,0.038,0.033,0.028})/SUMPRODUCT({0.154,0.132,0.113,0.097,0.083,0.071,0.061,0.052,0.045,0.038,0.033,0.028})-SUMPRODUCT(終値!E44:AD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3" s="570">
        <f>IF(T183="","",IF(銘柄管理!$F$5="下落▼",IF(AND(AD183="パーフェクト▲",OR(AE183="25日線押し目●",AE183="5日線押し目○")),"★逆張り候補",IF(AND(AD183="上昇トレンド▲",OR(AE183="25日線押し目●",AE183="5日線押し目○")),"○逆張り候補",IF(W183&lt;=30,IF(Z183&gt;0,"◎反発確認",IF(Z183&lt;-5,"△要注意・様子見","△売られ過ぎ注目")),"相場下落・見送り"))),IF(AND(T183&gt;=12,AD183="パーフェクト▲"),"★強い買い",IF(AND(T183&gt;=12,AD183="上昇トレンド▲"),"★強い買い",IF(AND(T183&gt;=8,OR(AE183="25日線押し目●",AE183="5日線押し目○")),"◎押し目買い",IF(T183&gt;=10,"○買い候補",IF(T183&gt;=6,"△注目",IF(T183&gt;=3,"様子見","見送り"))))))))</f>
        <v/>
      </c>
      <c r="Z183" s="616">
        <f>IF(AND(E183&lt;&gt;"",G183&lt;&gt;"",G183&lt;&gt;0),(E183-G183)/G183*100,"")</f>
        <v/>
      </c>
      <c r="AA183" s="176">
        <f>IF(OR(C183="",E183="",E183=0),"",IF(E183&gt;G183,"上昇▲",IF(E183&lt;G183,"下落▼","横ばい→")))</f>
        <v/>
      </c>
      <c r="AB183" s="440">
        <f>IF(C183="","",IFERROR(((終値!E185*0.333)+(終値!F185*0.222)+(終値!G185*0.148)+(終値!H185*0.099)+(終値!I185*0.066)+(終値!J185*0.044)+(終値!K185*0.029)+(終値!L185*0.019)+(終値!M185*0.013)+(終値!N185*0.009))/(0.333+0.222+0.148+0.099+0.066+0.044+0.029+0.019+0.013+0.009),""))</f>
        <v/>
      </c>
      <c r="AC183" s="440">
        <f>IF(C183="","",IFERROR(SUMPRODUCT((終値!E185:AC185)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3" s="441">
        <f>IF(OR(C183="",AB183="",AC183=""),"",IF(AND(E183&gt;AB183,AB183&gt;AC183),"パーフェクト▲",IF(E183&gt;AC183,"上昇トレンド▲",IF(AND(E183&lt;AB183,AB183&lt;AC183),"下降トレンド▼","もみ合い→"))))</f>
        <v/>
      </c>
      <c r="AE183" s="441">
        <f>IF(OR(C183="",AB183="",AC183=""),"",IF(AND(ABS(E183-AC183)/AC183&lt;=0.02,E183&gt;AC183),"25日押し目★",IF(AND(ABS(E183-AB183)/AB183&lt;=0.01,E183&gt;AB183),"5日押し目○","なし")))</f>
        <v/>
      </c>
      <c r="AF183" s="617">
        <f t="array" ref="AF183">IF(C183="","",IFERROR((INDEX(終値!$E:$E,MATCH(TEXT(C183,"0"),終値!$A:$A,0))-INDEX(終値!$E:$BL,MATCH(TEXT(C183,"0"),終値!$A:$A,0),$AL$2))/INDEX(終値!$E:$BL,MATCH(TEXT(C183,"0"),終値!$A:$A,0),$AL$2)*100,""))</f>
        <v/>
      </c>
      <c r="AG183" s="617">
        <f t="array" ref="AG183">IFERROR((終値!$E$5-INDEX(終値!$E$5:$BL$5,1,$AL$2))/INDEX(終値!$E$5:$BL$5,1,$AL$2)*100,"")</f>
        <v/>
      </c>
      <c r="AH183" s="618">
        <f>IF(OR(AF183="",AG183=""),"",AF183-AG183)</f>
        <v/>
      </c>
      <c r="AI183" s="385">
        <f>IF(AH183="","",IF(AH183&gt;5,3,IF(AH183&gt;0,1,IF(AH183&gt;-3,-1,-2))))</f>
        <v/>
      </c>
    </row>
    <row r="184" ht="18" customHeight="1" s="574">
      <c r="A184" s="176">
        <f>IF(銘柄管理!B27&lt;&gt;"",HYPERLINK("https://kabutan.jp/stock/?code="&amp;銘柄管理!B27,"株探"),"")</f>
        <v/>
      </c>
      <c r="B184" s="177" t="n"/>
      <c r="C184" s="178">
        <f>IF(銘柄管理!B27="","",銘柄管理!B27)</f>
        <v/>
      </c>
      <c r="D184" s="106">
        <f>IF(銘柄管理!C27="","",銘柄管理!C27)</f>
        <v/>
      </c>
      <c r="E184" s="179">
        <f>IF(C184&lt;&gt;"",_xll.RssMarket(C184,"現在値"),"")</f>
        <v/>
      </c>
      <c r="F184" s="179">
        <f>IF(C184&lt;&gt;"",_xll.RssMarket(C184,"始値"),"")</f>
        <v/>
      </c>
      <c r="G184" s="178">
        <f>IF(C184&lt;&gt;"",終値!F27,"")</f>
        <v/>
      </c>
      <c r="H184" s="179">
        <f>IF(C184&lt;&gt;"",_xll.RssMarket(C184,"高値"),"")</f>
        <v/>
      </c>
      <c r="I184" s="179">
        <f>IF(C184&lt;&gt;"",_xll.RssMarket(C184,"安値"),"")</f>
        <v/>
      </c>
      <c r="J184" s="179">
        <f>IF(C184&lt;&gt;"",_xll.RssMarket(C184,"出来高"),"")</f>
        <v/>
      </c>
      <c r="K184" s="179">
        <f>IF(C184&lt;&gt;"",_xll.RssMarket(C184,"年初来高値"),"")</f>
        <v/>
      </c>
      <c r="L184" s="613">
        <f>IF(AND(E184&lt;&gt;"",K184&lt;&gt;"",K184&lt;&gt;0),(E184-K184)/K184*100,"")</f>
        <v/>
      </c>
      <c r="M184" s="179">
        <f>IF(C184&lt;&gt;"",IFERROR(AVERAGE(出来高!E27:I27),""),"")</f>
        <v/>
      </c>
      <c r="N184" s="179">
        <f>IF(C184&lt;&gt;"",IFERROR(AVERAGE(出来高!E27:AC27),""),"")</f>
        <v/>
      </c>
      <c r="O184" s="614">
        <f>IF(AND(J184&lt;&gt;"",M184&lt;&gt;"",M184&lt;&gt;0),J184/M184,"")</f>
        <v/>
      </c>
      <c r="P184" s="176">
        <f>IF(O184="","",IF(O184&gt;=2,"急増↑↑",IF(O184&gt;=1.5,"増加↑",IF(O184&gt;=1,"普通→","減少↓"))))</f>
        <v/>
      </c>
      <c r="Q184" s="176">
        <f>IF(E184="","",IF(AND(E184&gt;G184,O184&gt;=1.5),"買い▲",IF(E184&lt;G184,"様子見▼","中立→")))</f>
        <v/>
      </c>
      <c r="R184" s="179">
        <f>IF(E184&lt;&gt;"",ROUND(E184*1.08,0),"")</f>
        <v/>
      </c>
      <c r="S184" s="179">
        <f>IF(E184&lt;&gt;"",ROUND(E184*0.96,0),"")</f>
        <v/>
      </c>
      <c r="T184" s="176">
        <f>IF(C184="","",IFERROR(IF(O184&gt;=2,3,IF(O184&gt;=1.5,2,IF(O184&gt;=1,1,0)))+IF(E184&gt;G184,1,0)+IF(L184&gt;=-5,1,0)+IF(Q184="買い▲",2,0)+IF(W184&lt;=30,3,IF(W184&lt;=40,2,IF(AND(W184&gt;=40,W184&lt;=60),1,0)))+IF(X184&gt;0,1,0)+IF(V184="年初来高値更新●",3,IF(V184="高値圏",2,0))+IF(AD184="パーフェクト▲",3,IF(AD184="上昇トレンド▲",2,0))+IF(AE184="25日線押し目●",2,IF(AE184="5日線押し目○",1,0))+IF(P184="急増↑↑",2,IF(P184="増加↑",1,0))+N(AI184),0))</f>
        <v/>
      </c>
      <c r="U184" s="176">
        <f>IF(T184="","",IF(AND(T184&gt;=3,O184&gt;=1.5),"有効",IF(T184&gt;=3,"要確認","除外")))</f>
        <v/>
      </c>
      <c r="V184" s="176">
        <f>IF(AND(H184&lt;&gt;"",K184&lt;&gt;""),IF(H184&gt;=K184,"年初来高値更新●",IF(H184&gt;=K184*0.95,"高値圏","通常")),"")</f>
        <v/>
      </c>
      <c r="W184" s="615">
        <f t="array" ref="W184">IF(C184&lt;&gt;"",IFERROR(100-100/(1+SUMPRODUCT((終値!F27:R27&gt;終値!G27:S27)*( 終値!F27:R27-終値!G27:S27))/SUMPRODUCT((終値!F27:R27&lt;終値!G27:S27)*(終値!G27:S27-終値!F27:R27))),50),"")</f>
        <v/>
      </c>
      <c r="X184" s="183">
        <f>IF(C184&lt;&gt;"",IFERROR(SUMPRODUCT(終値!E27:P27,{0.154,0.132,0.113,0.097,0.083,0.071,0.061,0.052,0.045,0.038,0.033,0.028})/SUMPRODUCT({0.154,0.132,0.113,0.097,0.083,0.071,0.061,0.052,0.045,0.038,0.033,0.028})-SUMPRODUCT(終値!E27:AD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4" s="570">
        <f>IF(T184="","",IF(銘柄管理!$F$5="下落▼",IF(AND(AD184="パーフェクト▲",OR(AE184="25日線押し目●",AE184="5日線押し目○")),"★逆張り候補",IF(AND(AD184="上昇トレンド▲",OR(AE184="25日線押し目●",AE184="5日線押し目○")),"○逆張り候補",IF(W184&lt;=30,IF(Z184&gt;0,"◎反発確認",IF(Z184&lt;-5,"△要注意・様子見","△売られ過ぎ注目")),"相場下落・見送り"))),IF(AND(T184&gt;=12,AD184="パーフェクト▲"),"★強い買い",IF(AND(T184&gt;=12,AD184="上昇トレンド▲"),"★強い買い",IF(AND(T184&gt;=8,OR(AE184="25日線押し目●",AE184="5日線押し目○")),"◎押し目買い",IF(T184&gt;=10,"○買い候補",IF(T184&gt;=6,"△注目",IF(T184&gt;=3,"様子見","見送り"))))))))</f>
        <v/>
      </c>
      <c r="Z184" s="616">
        <f>IF(AND(E184&lt;&gt;"",G184&lt;&gt;"",G184&lt;&gt;0),(E184-G184)/G184*100,"")</f>
        <v/>
      </c>
      <c r="AA184" s="176">
        <f>IF(OR(C184="",E184="",E184=0),"",IF(E184&gt;G184,"上昇▲",IF(E184&lt;G184,"下落▼","横ばい→")))</f>
        <v/>
      </c>
      <c r="AB184" s="438">
        <f>IF(C184="","",IFERROR(((終値!E186*0.333)+(終値!F186*0.222)+(終値!G186*0.148)+(終値!H186*0.099)+(終値!I186*0.066)+(終値!J186*0.044)+(終値!K186*0.029)+(終値!L186*0.019)+(終値!M186*0.013)+(終値!N186*0.009))/(0.333+0.222+0.148+0.099+0.066+0.044+0.029+0.019+0.013+0.009),""))</f>
        <v/>
      </c>
      <c r="AC184" s="438">
        <f>IF(C184="","",IFERROR(SUMPRODUCT((終値!E186:AC186)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4" s="439">
        <f>IF(OR(C184="",AB184="",AC184=""),"",IF(AND(E184&gt;AB184,AB184&gt;AC184),"パーフェクト▲",IF(E184&gt;AC184,"上昇トレンド▲",IF(AND(E184&lt;AB184,AB184&lt;AC184),"下降トレンド▼","もみ合い→"))))</f>
        <v/>
      </c>
      <c r="AE184" s="439">
        <f>IF(OR(C184="",AB184="",AC184=""),"",IF(AND(ABS(E184-AC184)/AC184&lt;=0.02,E184&gt;AC184),"25日押し目★",IF(AND(ABS(E184-AB184)/AB184&lt;=0.01,E184&gt;AB184),"5日押し目○","なし")))</f>
        <v/>
      </c>
      <c r="AF184" s="617">
        <f t="array" ref="AF184">IF(C184="","",IFERROR((INDEX(終値!$E:$E,MATCH(TEXT(C184,"0"),終値!$A:$A,0))-INDEX(終値!$E:$BL,MATCH(TEXT(C184,"0"),終値!$A:$A,0),$AL$2))/INDEX(終値!$E:$BL,MATCH(TEXT(C184,"0"),終値!$A:$A,0),$AL$2)*100,""))</f>
        <v/>
      </c>
      <c r="AG184" s="617">
        <f t="array" ref="AG184">IFERROR((終値!$E$5-INDEX(終値!$E$5:$BL$5,1,$AL$2))/INDEX(終値!$E$5:$BL$5,1,$AL$2)*100,"")</f>
        <v/>
      </c>
      <c r="AH184" s="618">
        <f>IF(OR(AF184="",AG184=""),"",AF184-AG184)</f>
        <v/>
      </c>
      <c r="AI184" s="385">
        <f>IF(AH184="","",IF(AH184&gt;5,3,IF(AH184&gt;0,1,IF(AH184&gt;-3,-1,-2))))</f>
        <v/>
      </c>
    </row>
    <row r="185" ht="18" customHeight="1" s="574">
      <c r="A185" s="176">
        <f>IF(銘柄管理!B134&lt;&gt;"",HYPERLINK("https://kabutan.jp/stock/?code="&amp;銘柄管理!B134,"株探"),"")</f>
        <v/>
      </c>
      <c r="B185" s="177" t="n"/>
      <c r="C185" s="178">
        <f>IF(銘柄管理!B134="","",銘柄管理!B134)</f>
        <v/>
      </c>
      <c r="D185" s="106">
        <f>IF(銘柄管理!C134="","",銘柄管理!C134)</f>
        <v/>
      </c>
      <c r="E185" s="179">
        <f>IF(C185&lt;&gt;"",_xll.RssMarket(C185,"現在値"),"")</f>
        <v/>
      </c>
      <c r="F185" s="179">
        <f>IF(C185&lt;&gt;"",_xll.RssMarket(C185,"始値"),"")</f>
        <v/>
      </c>
      <c r="G185" s="178">
        <f>IF(C185&lt;&gt;"",終値!F134,"")</f>
        <v/>
      </c>
      <c r="H185" s="179">
        <f>IF(C185&lt;&gt;"",_xll.RssMarket(C185,"高値"),"")</f>
        <v/>
      </c>
      <c r="I185" s="179">
        <f>IF(C185&lt;&gt;"",_xll.RssMarket(C185,"安値"),"")</f>
        <v/>
      </c>
      <c r="J185" s="179">
        <f>IF(C185&lt;&gt;"",_xll.RssMarket(C185,"出来高"),"")</f>
        <v/>
      </c>
      <c r="K185" s="179">
        <f>IF(C185&lt;&gt;"",_xll.RssMarket(C185,"年初来高値"),"")</f>
        <v/>
      </c>
      <c r="L185" s="613">
        <f>IF(AND(E185&lt;&gt;"",K185&lt;&gt;"",K185&lt;&gt;0),(E185-K185)/K185*100,"")</f>
        <v/>
      </c>
      <c r="M185" s="179">
        <f>IF(C185&lt;&gt;"",IFERROR(AVERAGE(出来高!E134:I134),""),"")</f>
        <v/>
      </c>
      <c r="N185" s="179">
        <f>IF(C185&lt;&gt;"",IFERROR(AVERAGE(出来高!E134:AC134),""),"")</f>
        <v/>
      </c>
      <c r="O185" s="614">
        <f>IF(AND(J185&lt;&gt;"",M185&lt;&gt;"",M185&lt;&gt;0),J185/M185,"")</f>
        <v/>
      </c>
      <c r="P185" s="176">
        <f>IF(O185="","",IF(O185&gt;=2,"急増↑↑",IF(O185&gt;=1.5,"増加↑",IF(O185&gt;=1,"普通→","減少↓"))))</f>
        <v/>
      </c>
      <c r="Q185" s="176">
        <f>IF(E185="","",IF(AND(E185&gt;G185,O185&gt;=1.5),"買い▲",IF(E185&lt;G185,"様子見▼","中立→")))</f>
        <v/>
      </c>
      <c r="R185" s="179">
        <f>IF(E185&lt;&gt;"",ROUND(E185*1.08,0),"")</f>
        <v/>
      </c>
      <c r="S185" s="179">
        <f>IF(E185&lt;&gt;"",ROUND(E185*0.96,0),"")</f>
        <v/>
      </c>
      <c r="T185" s="176">
        <f>IF(C185="","",IFERROR(IF(O185&gt;=2,3,IF(O185&gt;=1.5,2,IF(O185&gt;=1,1,0)))+IF(E185&gt;G185,1,0)+IF(L185&gt;=-5,1,0)+IF(Q185="買い▲",2,0)+IF(W185&lt;=30,3,IF(W185&lt;=40,2,IF(AND(W185&gt;=40,W185&lt;=60),1,0)))+IF(X185&gt;0,1,0)+IF(V185="年初来高値更新●",3,IF(V185="高値圏",2,0))+IF(AD185="パーフェクト▲",3,IF(AD185="上昇トレンド▲",2,0))+IF(AE185="25日線押し目●",2,IF(AE185="5日線押し目○",1,0))+IF(P185="急増↑↑",2,IF(P185="増加↑",1,0))+N(AI185),0))</f>
        <v/>
      </c>
      <c r="U185" s="176">
        <f>IF(T185="","",IF(AND(T185&gt;=3,O185&gt;=1.5),"有効",IF(T185&gt;=3,"要確認","除外")))</f>
        <v/>
      </c>
      <c r="V185" s="176">
        <f>IF(AND(H185&lt;&gt;"",K185&lt;&gt;""),IF(H185&gt;=K185,"年初来高値更新●",IF(H185&gt;=K185*0.95,"高値圏","通常")),"")</f>
        <v/>
      </c>
      <c r="W185" s="615">
        <f t="array" ref="W185">IF(C185&lt;&gt;"",IFERROR(100-100/(1+SUMPRODUCT((終値!F134:R134&gt;終値!G134:S134)*( 終値!F134:R134-終値!G134:S134))/SUMPRODUCT((終値!F134:R134&lt;終値!G134:S134)*(終値!G134:S134-終値!F134:R134))),50),"")</f>
        <v/>
      </c>
      <c r="X185" s="183">
        <f>IF(C185&lt;&gt;"",IFERROR(SUMPRODUCT(終値!E134:P134,{0.154,0.132,0.113,0.097,0.083,0.071,0.061,0.052,0.045,0.038,0.033,0.028})/SUMPRODUCT({0.154,0.132,0.113,0.097,0.083,0.071,0.061,0.052,0.045,0.038,0.033,0.028})-SUMPRODUCT(終値!E134:AD134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5" s="570">
        <f>IF(T185="","",IF(銘柄管理!$F$5="下落▼",IF(AND(AD185="パーフェクト▲",OR(AE185="25日線押し目●",AE185="5日線押し目○")),"★逆張り候補",IF(AND(AD185="上昇トレンド▲",OR(AE185="25日線押し目●",AE185="5日線押し目○")),"○逆張り候補",IF(W185&lt;=30,IF(Z185&gt;0,"◎反発確認",IF(Z185&lt;-5,"△要注意・様子見","△売られ過ぎ注目")),"相場下落・見送り"))),IF(AND(T185&gt;=12,AD185="パーフェクト▲"),"★強い買い",IF(AND(T185&gt;=12,AD185="上昇トレンド▲"),"★強い買い",IF(AND(T185&gt;=8,OR(AE185="25日線押し目●",AE185="5日線押し目○")),"◎押し目買い",IF(T185&gt;=10,"○買い候補",IF(T185&gt;=6,"△注目",IF(T185&gt;=3,"様子見","見送り"))))))))</f>
        <v/>
      </c>
      <c r="Z185" s="616">
        <f>IF(AND(E185&lt;&gt;"",G185&lt;&gt;"",G185&lt;&gt;0),(E185-G185)/G185*100,"")</f>
        <v/>
      </c>
      <c r="AA185" s="176">
        <f>IF(OR(C185="",E185="",E185=0),"",IF(E185&gt;G185,"上昇▲",IF(E185&lt;G185,"下落▼","横ばい→")))</f>
        <v/>
      </c>
      <c r="AB185" s="440">
        <f>IF(C185="","",IFERROR(((終値!E187*0.333)+(終値!F187*0.222)+(終値!G187*0.148)+(終値!H187*0.099)+(終値!I187*0.066)+(終値!J187*0.044)+(終値!K187*0.029)+(終値!L187*0.019)+(終値!M187*0.013)+(終値!N187*0.009))/(0.333+0.222+0.148+0.099+0.066+0.044+0.029+0.019+0.013+0.009),""))</f>
        <v/>
      </c>
      <c r="AC185" s="440">
        <f>IF(C185="","",IFERROR(SUMPRODUCT((終値!E187:AC187)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5" s="441">
        <f>IF(OR(C185="",AB185="",AC185=""),"",IF(AND(E185&gt;AB185,AB185&gt;AC185),"パーフェクト▲",IF(E185&gt;AC185,"上昇トレンド▲",IF(AND(E185&lt;AB185,AB185&lt;AC185),"下降トレンド▼","もみ合い→"))))</f>
        <v/>
      </c>
      <c r="AE185" s="441">
        <f>IF(OR(C185="",AB185="",AC185=""),"",IF(AND(ABS(E185-AC185)/AC185&lt;=0.02,E185&gt;AC185),"25日押し目★",IF(AND(ABS(E185-AB185)/AB185&lt;=0.01,E185&gt;AB185),"5日押し目○","なし")))</f>
        <v/>
      </c>
      <c r="AF185" s="617">
        <f t="array" ref="AF185">IF(C185="","",IFERROR((INDEX(終値!$E:$E,MATCH(TEXT(C185,"0"),終値!$A:$A,0))-INDEX(終値!$E:$BL,MATCH(TEXT(C185,"0"),終値!$A:$A,0),$AL$2))/INDEX(終値!$E:$BL,MATCH(TEXT(C185,"0"),終値!$A:$A,0),$AL$2)*100,""))</f>
        <v/>
      </c>
      <c r="AG185" s="617">
        <f t="array" ref="AG185">IFERROR((終値!$E$5-INDEX(終値!$E$5:$BL$5,1,$AL$2))/INDEX(終値!$E$5:$BL$5,1,$AL$2)*100,"")</f>
        <v/>
      </c>
      <c r="AH185" s="618">
        <f>IF(OR(AF185="",AG185=""),"",AF185-AG185)</f>
        <v/>
      </c>
      <c r="AI185" s="385">
        <f>IF(AH185="","",IF(AH185&gt;5,3,IF(AH185&gt;0,1,IF(AH185&gt;-3,-1,-2))))</f>
        <v/>
      </c>
    </row>
    <row r="186" ht="18" customHeight="1" s="574">
      <c r="A186" s="176">
        <f>IF(銘柄管理!B60&lt;&gt;"",HYPERLINK("https://kabutan.jp/stock/?code="&amp;銘柄管理!B60,"株探"),"")</f>
        <v/>
      </c>
      <c r="B186" s="177" t="n"/>
      <c r="C186" s="178">
        <f>IF(銘柄管理!B60="","",銘柄管理!B60)</f>
        <v/>
      </c>
      <c r="D186" s="106">
        <f>IF(銘柄管理!C60="","",銘柄管理!C60)</f>
        <v/>
      </c>
      <c r="E186" s="179">
        <f>IF(C186&lt;&gt;"",_xll.RssMarket(C186,"現在値"),"")</f>
        <v/>
      </c>
      <c r="F186" s="179">
        <f>IF(C186&lt;&gt;"",_xll.RssMarket(C186,"始値"),"")</f>
        <v/>
      </c>
      <c r="G186" s="178">
        <f>IF(C186&lt;&gt;"",終値!F60,"")</f>
        <v/>
      </c>
      <c r="H186" s="179">
        <f>IF(C186&lt;&gt;"",_xll.RssMarket(C186,"高値"),"")</f>
        <v/>
      </c>
      <c r="I186" s="179">
        <f>IF(C186&lt;&gt;"",_xll.RssMarket(C186,"安値"),"")</f>
        <v/>
      </c>
      <c r="J186" s="179">
        <f>IF(C186&lt;&gt;"",_xll.RssMarket(C186,"出来高"),"")</f>
        <v/>
      </c>
      <c r="K186" s="179">
        <f>IF(C186&lt;&gt;"",_xll.RssMarket(C186,"年初来高値"),"")</f>
        <v/>
      </c>
      <c r="L186" s="613">
        <f>IF(AND(E186&lt;&gt;"",K186&lt;&gt;"",K186&lt;&gt;0),(E186-K186)/K186*100,"")</f>
        <v/>
      </c>
      <c r="M186" s="179">
        <f>IF(C186&lt;&gt;"",IFERROR(AVERAGE(出来高!E60:I60),""),"")</f>
        <v/>
      </c>
      <c r="N186" s="179">
        <f>IF(C186&lt;&gt;"",IFERROR(AVERAGE(出来高!E60:AC60),""),"")</f>
        <v/>
      </c>
      <c r="O186" s="614">
        <f>IF(AND(J186&lt;&gt;"",M186&lt;&gt;"",M186&lt;&gt;0),J186/M186,"")</f>
        <v/>
      </c>
      <c r="P186" s="176">
        <f>IF(O186="","",IF(O186&gt;=2,"急増↑↑",IF(O186&gt;=1.5,"増加↑",IF(O186&gt;=1,"普通→","減少↓"))))</f>
        <v/>
      </c>
      <c r="Q186" s="176">
        <f>IF(E186="","",IF(AND(E186&gt;G186,O186&gt;=1.5),"買い▲",IF(E186&lt;G186,"様子見▼","中立→")))</f>
        <v/>
      </c>
      <c r="R186" s="179">
        <f>IF(E186&lt;&gt;"",ROUND(E186*1.08,0),"")</f>
        <v/>
      </c>
      <c r="S186" s="179">
        <f>IF(E186&lt;&gt;"",ROUND(E186*0.96,0),"")</f>
        <v/>
      </c>
      <c r="T186" s="176">
        <f>IF(C186="","",IFERROR(IF(O186&gt;=2,3,IF(O186&gt;=1.5,2,IF(O186&gt;=1,1,0)))+IF(E186&gt;G186,1,0)+IF(L186&gt;=-5,1,0)+IF(Q186="買い▲",2,0)+IF(W186&lt;=30,3,IF(W186&lt;=40,2,IF(AND(W186&gt;=40,W186&lt;=60),1,0)))+IF(X186&gt;0,1,0)+IF(V186="年初来高値更新●",3,IF(V186="高値圏",2,0))+IF(AD186="パーフェクト▲",3,IF(AD186="上昇トレンド▲",2,0))+IF(AE186="25日線押し目●",2,IF(AE186="5日線押し目○",1,0))+IF(P186="急増↑↑",2,IF(P186="増加↑",1,0))+N(AI186),0))</f>
        <v/>
      </c>
      <c r="U186" s="176">
        <f>IF(T186="","",IF(AND(T186&gt;=3,O186&gt;=1.5),"有効",IF(T186&gt;=3,"要確認","除外")))</f>
        <v/>
      </c>
      <c r="V186" s="176">
        <f>IF(AND(H186&lt;&gt;"",K186&lt;&gt;""),IF(H186&gt;=K186,"年初来高値更新●",IF(H186&gt;=K186*0.95,"高値圏","通常")),"")</f>
        <v/>
      </c>
      <c r="W186" s="615">
        <f t="array" ref="W186">IF(C186&lt;&gt;"",IFERROR(100-100/(1+SUMPRODUCT((終値!F60:R60&gt;終値!G60:S60)*( 終値!F60:R60-終値!G60:S60))/SUMPRODUCT((終値!F60:R60&lt;終値!G60:S60)*(終値!G60:S60-終値!F60:R60))),50),"")</f>
        <v/>
      </c>
      <c r="X186" s="183">
        <f>IF(C186&lt;&gt;"",IFERROR(SUMPRODUCT(終値!E60:P60,{0.154,0.132,0.113,0.097,0.083,0.071,0.061,0.052,0.045,0.038,0.033,0.028})/SUMPRODUCT({0.154,0.132,0.113,0.097,0.083,0.071,0.061,0.052,0.045,0.038,0.033,0.028})-SUMPRODUCT(終値!E60:AD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6" s="570">
        <f>IF(T186="","",IF(銘柄管理!$F$5="下落▼",IF(AND(AD186="パーフェクト▲",OR(AE186="25日線押し目●",AE186="5日線押し目○")),"★逆張り候補",IF(AND(AD186="上昇トレンド▲",OR(AE186="25日線押し目●",AE186="5日線押し目○")),"○逆張り候補",IF(W186&lt;=30,IF(Z186&gt;0,"◎反発確認",IF(Z186&lt;-5,"△要注意・様子見","△売られ過ぎ注目")),"相場下落・見送り"))),IF(AND(T186&gt;=12,AD186="パーフェクト▲"),"★強い買い",IF(AND(T186&gt;=12,AD186="上昇トレンド▲"),"★強い買い",IF(AND(T186&gt;=8,OR(AE186="25日線押し目●",AE186="5日線押し目○")),"◎押し目買い",IF(T186&gt;=10,"○買い候補",IF(T186&gt;=6,"△注目",IF(T186&gt;=3,"様子見","見送り"))))))))</f>
        <v/>
      </c>
      <c r="Z186" s="616">
        <f>IF(AND(E186&lt;&gt;"",G186&lt;&gt;"",G186&lt;&gt;0),(E186-G186)/G186*100,"")</f>
        <v/>
      </c>
      <c r="AA186" s="176">
        <f>IF(OR(C186="",E186="",E186=0),"",IF(E186&gt;G186,"上昇▲",IF(E186&lt;G186,"下落▼","横ばい→")))</f>
        <v/>
      </c>
      <c r="AB186" s="438">
        <f>IF(C186="","",IFERROR(((終値!E188*0.333)+(終値!F188*0.222)+(終値!G188*0.148)+(終値!H188*0.099)+(終値!I188*0.066)+(終値!J188*0.044)+(終値!K188*0.029)+(終値!L188*0.019)+(終値!M188*0.013)+(終値!N188*0.009))/(0.333+0.222+0.148+0.099+0.066+0.044+0.029+0.019+0.013+0.009),""))</f>
        <v/>
      </c>
      <c r="AC186" s="438">
        <f>IF(C186="","",IFERROR(SUMPRODUCT((終値!E188:AC188)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6" s="439">
        <f>IF(OR(C186="",AB186="",AC186=""),"",IF(AND(E186&gt;AB186,AB186&gt;AC186),"パーフェクト▲",IF(E186&gt;AC186,"上昇トレンド▲",IF(AND(E186&lt;AB186,AB186&lt;AC186),"下降トレンド▼","もみ合い→"))))</f>
        <v/>
      </c>
      <c r="AE186" s="439">
        <f>IF(OR(C186="",AB186="",AC186=""),"",IF(AND(ABS(E186-AC186)/AC186&lt;=0.02,E186&gt;AC186),"25日押し目★",IF(AND(ABS(E186-AB186)/AB186&lt;=0.01,E186&gt;AB186),"5日押し目○","なし")))</f>
        <v/>
      </c>
      <c r="AF186" s="617">
        <f t="array" ref="AF186">IF(C186="","",IFERROR((INDEX(終値!$E:$E,MATCH(TEXT(C186,"0"),終値!$A:$A,0))-INDEX(終値!$E:$BL,MATCH(TEXT(C186,"0"),終値!$A:$A,0),$AL$2))/INDEX(終値!$E:$BL,MATCH(TEXT(C186,"0"),終値!$A:$A,0),$AL$2)*100,""))</f>
        <v/>
      </c>
      <c r="AG186" s="617">
        <f t="array" ref="AG186">IFERROR((終値!$E$5-INDEX(終値!$E$5:$BL$5,1,$AL$2))/INDEX(終値!$E$5:$BL$5,1,$AL$2)*100,"")</f>
        <v/>
      </c>
      <c r="AH186" s="618">
        <f>IF(OR(AF186="",AG186=""),"",AF186-AG186)</f>
        <v/>
      </c>
      <c r="AI186" s="385">
        <f>IF(AH186="","",IF(AH186&gt;5,3,IF(AH186&gt;0,1,IF(AH186&gt;-3,-1,-2))))</f>
        <v/>
      </c>
    </row>
    <row r="187" ht="18" customHeight="1" s="574">
      <c r="A187" s="176">
        <f>IF(銘柄管理!B138&lt;&gt;"",HYPERLINK("https://kabutan.jp/stock/?code="&amp;銘柄管理!B138,"株探"),"")</f>
        <v/>
      </c>
      <c r="B187" s="177" t="n"/>
      <c r="C187" s="178">
        <f>IF(銘柄管理!B138="","",銘柄管理!B138)</f>
        <v/>
      </c>
      <c r="D187" s="106">
        <f>IF(銘柄管理!C138="","",銘柄管理!C138)</f>
        <v/>
      </c>
      <c r="E187" s="179">
        <f>IF(C187&lt;&gt;"",_xll.RssMarket(C187,"現在値"),"")</f>
        <v/>
      </c>
      <c r="F187" s="179">
        <f>IF(C187&lt;&gt;"",_xll.RssMarket(C187,"始値"),"")</f>
        <v/>
      </c>
      <c r="G187" s="178">
        <f>IF(C187&lt;&gt;"",終値!F138,"")</f>
        <v/>
      </c>
      <c r="H187" s="179">
        <f>IF(C187&lt;&gt;"",_xll.RssMarket(C187,"高値"),"")</f>
        <v/>
      </c>
      <c r="I187" s="179">
        <f>IF(C187&lt;&gt;"",_xll.RssMarket(C187,"安値"),"")</f>
        <v/>
      </c>
      <c r="J187" s="179">
        <f>IF(C187&lt;&gt;"",_xll.RssMarket(C187,"出来高"),"")</f>
        <v/>
      </c>
      <c r="K187" s="179">
        <f>IF(C187&lt;&gt;"",_xll.RssMarket(C187,"年初来高値"),"")</f>
        <v/>
      </c>
      <c r="L187" s="613">
        <f>IF(AND(E187&lt;&gt;"",K187&lt;&gt;"",K187&lt;&gt;0),(E187-K187)/K187*100,"")</f>
        <v/>
      </c>
      <c r="M187" s="179">
        <f>IF(C187&lt;&gt;"",IFERROR(AVERAGE(出来高!E138:I138),""),"")</f>
        <v/>
      </c>
      <c r="N187" s="179">
        <f>IF(C187&lt;&gt;"",IFERROR(AVERAGE(出来高!E138:AC138),""),"")</f>
        <v/>
      </c>
      <c r="O187" s="614">
        <f>IF(AND(J187&lt;&gt;"",M187&lt;&gt;"",M187&lt;&gt;0),J187/M187,"")</f>
        <v/>
      </c>
      <c r="P187" s="176">
        <f>IF(O187="","",IF(O187&gt;=2,"急増↑↑",IF(O187&gt;=1.5,"増加↑",IF(O187&gt;=1,"普通→","減少↓"))))</f>
        <v/>
      </c>
      <c r="Q187" s="176">
        <f>IF(E187="","",IF(AND(E187&gt;G187,O187&gt;=1.5),"買い▲",IF(E187&lt;G187,"様子見▼","中立→")))</f>
        <v/>
      </c>
      <c r="R187" s="179">
        <f>IF(E187&lt;&gt;"",ROUND(E187*1.08,0),"")</f>
        <v/>
      </c>
      <c r="S187" s="179">
        <f>IF(E187&lt;&gt;"",ROUND(E187*0.96,0),"")</f>
        <v/>
      </c>
      <c r="T187" s="176">
        <f>IF(C187="","",IFERROR(IF(O187&gt;=2,3,IF(O187&gt;=1.5,2,IF(O187&gt;=1,1,0)))+IF(E187&gt;G187,1,0)+IF(L187&gt;=-5,1,0)+IF(Q187="買い▲",2,0)+IF(W187&lt;=30,3,IF(W187&lt;=40,2,IF(AND(W187&gt;=40,W187&lt;=60),1,0)))+IF(X187&gt;0,1,0)+IF(V187="年初来高値更新●",3,IF(V187="高値圏",2,0))+IF(AD187="パーフェクト▲",3,IF(AD187="上昇トレンド▲",2,0))+IF(AE187="25日線押し目●",2,IF(AE187="5日線押し目○",1,0))+IF(P187="急増↑↑",2,IF(P187="増加↑",1,0))+N(AI187),0))</f>
        <v/>
      </c>
      <c r="U187" s="176">
        <f>IF(T187="","",IF(AND(T187&gt;=3,O187&gt;=1.5),"有効",IF(T187&gt;=3,"要確認","除外")))</f>
        <v/>
      </c>
      <c r="V187" s="176">
        <f>IF(AND(H187&lt;&gt;"",K187&lt;&gt;""),IF(H187&gt;=K187,"年初来高値更新●",IF(H187&gt;=K187*0.95,"高値圏","通常")),"")</f>
        <v/>
      </c>
      <c r="W187" s="615">
        <f t="array" ref="W187">IF(C187&lt;&gt;"",IFERROR(100-100/(1+SUMPRODUCT((終値!F138:R138&gt;終値!G138:S138)*( 終値!F138:R138-終値!G138:S138))/SUMPRODUCT((終値!F138:R138&lt;終値!G138:S138)*(終値!G138:S138-終値!F138:R138))),50),"")</f>
        <v/>
      </c>
      <c r="X187" s="183">
        <f>IF(C187&lt;&gt;"",IFERROR(SUMPRODUCT(終値!E138:P138,{0.154,0.132,0.113,0.097,0.083,0.071,0.061,0.052,0.045,0.038,0.033,0.028})/SUMPRODUCT({0.154,0.132,0.113,0.097,0.083,0.071,0.061,0.052,0.045,0.038,0.033,0.028})-SUMPRODUCT(終値!E138:AD138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7" s="570">
        <f>IF(T187="","",IF(銘柄管理!$F$5="下落▼",IF(AND(AD187="パーフェクト▲",OR(AE187="25日線押し目●",AE187="5日線押し目○")),"★逆張り候補",IF(AND(AD187="上昇トレンド▲",OR(AE187="25日線押し目●",AE187="5日線押し目○")),"○逆張り候補",IF(W187&lt;=30,IF(Z187&gt;0,"◎反発確認",IF(Z187&lt;-5,"△要注意・様子見","△売られ過ぎ注目")),"相場下落・見送り"))),IF(AND(T187&gt;=12,AD187="パーフェクト▲"),"★強い買い",IF(AND(T187&gt;=12,AD187="上昇トレンド▲"),"★強い買い",IF(AND(T187&gt;=8,OR(AE187="25日線押し目●",AE187="5日線押し目○")),"◎押し目買い",IF(T187&gt;=10,"○買い候補",IF(T187&gt;=6,"△注目",IF(T187&gt;=3,"様子見","見送り"))))))))</f>
        <v/>
      </c>
      <c r="Z187" s="616">
        <f>IF(AND(E187&lt;&gt;"",G187&lt;&gt;"",G187&lt;&gt;0),(E187-G187)/G187*100,"")</f>
        <v/>
      </c>
      <c r="AA187" s="176">
        <f>IF(OR(C187="",E187="",E187=0),"",IF(E187&gt;G187,"上昇▲",IF(E187&lt;G187,"下落▼","横ばい→")))</f>
        <v/>
      </c>
      <c r="AB187" s="440">
        <f>IF(C187="","",IFERROR(((終値!E189*0.333)+(終値!F189*0.222)+(終値!G189*0.148)+(終値!H189*0.099)+(終値!I189*0.066)+(終値!J189*0.044)+(終値!K189*0.029)+(終値!L189*0.019)+(終値!M189*0.013)+(終値!N189*0.009))/(0.333+0.222+0.148+0.099+0.066+0.044+0.029+0.019+0.013+0.009),""))</f>
        <v/>
      </c>
      <c r="AC187" s="440">
        <f>IF(C187="","",IFERROR(SUMPRODUCT((終値!E189:AC189)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7" s="441">
        <f>IF(OR(C187="",AB187="",AC187=""),"",IF(AND(E187&gt;AB187,AB187&gt;AC187),"パーフェクト▲",IF(E187&gt;AC187,"上昇トレンド▲",IF(AND(E187&lt;AB187,AB187&lt;AC187),"下降トレンド▼","もみ合い→"))))</f>
        <v/>
      </c>
      <c r="AE187" s="441">
        <f>IF(OR(C187="",AB187="",AC187=""),"",IF(AND(ABS(E187-AC187)/AC187&lt;=0.02,E187&gt;AC187),"25日押し目★",IF(AND(ABS(E187-AB187)/AB187&lt;=0.01,E187&gt;AB187),"5日押し目○","なし")))</f>
        <v/>
      </c>
      <c r="AF187" s="617">
        <f t="array" ref="AF187">IF(C187="","",IFERROR((INDEX(終値!$E:$E,MATCH(TEXT(C187,"0"),終値!$A:$A,0))-INDEX(終値!$E:$BL,MATCH(TEXT(C187,"0"),終値!$A:$A,0),$AL$2))/INDEX(終値!$E:$BL,MATCH(TEXT(C187,"0"),終値!$A:$A,0),$AL$2)*100,""))</f>
        <v/>
      </c>
      <c r="AG187" s="617">
        <f t="array" ref="AG187">IFERROR((終値!$E$5-INDEX(終値!$E$5:$BL$5,1,$AL$2))/INDEX(終値!$E$5:$BL$5,1,$AL$2)*100,"")</f>
        <v/>
      </c>
      <c r="AH187" s="618">
        <f>IF(OR(AF187="",AG187=""),"",AF187-AG187)</f>
        <v/>
      </c>
      <c r="AI187" s="385">
        <f>IF(AH187="","",IF(AH187&gt;5,3,IF(AH187&gt;0,1,IF(AH187&gt;-3,-1,-2))))</f>
        <v/>
      </c>
    </row>
    <row r="188" ht="18" customHeight="1" s="574">
      <c r="A188" s="176">
        <f>IF(銘柄管理!B88&lt;&gt;"",HYPERLINK("https://kabutan.jp/stock/?code="&amp;銘柄管理!B88,"株探"),"")</f>
        <v/>
      </c>
      <c r="B188" s="177" t="n"/>
      <c r="C188" s="178">
        <f>IF(銘柄管理!B88="","",銘柄管理!B88)</f>
        <v/>
      </c>
      <c r="D188" s="106">
        <f>IF(銘柄管理!C88="","",銘柄管理!C88)</f>
        <v/>
      </c>
      <c r="E188" s="179">
        <f>IF(C188&lt;&gt;"",_xll.RssMarket(C188,"現在値"),"")</f>
        <v/>
      </c>
      <c r="F188" s="179">
        <f>IF(C188&lt;&gt;"",_xll.RssMarket(C188,"始値"),"")</f>
        <v/>
      </c>
      <c r="G188" s="178">
        <f>IF(C188&lt;&gt;"",終値!F88,"")</f>
        <v/>
      </c>
      <c r="H188" s="179">
        <f>IF(C188&lt;&gt;"",_xll.RssMarket(C188,"高値"),"")</f>
        <v/>
      </c>
      <c r="I188" s="179">
        <f>IF(C188&lt;&gt;"",_xll.RssMarket(C188,"安値"),"")</f>
        <v/>
      </c>
      <c r="J188" s="179">
        <f>IF(C188&lt;&gt;"",_xll.RssMarket(C188,"出来高"),"")</f>
        <v/>
      </c>
      <c r="K188" s="179">
        <f>IF(C188&lt;&gt;"",_xll.RssMarket(C188,"年初来高値"),"")</f>
        <v/>
      </c>
      <c r="L188" s="613">
        <f>IF(AND(E188&lt;&gt;"",K188&lt;&gt;"",K188&lt;&gt;0),(E188-K188)/K188*100,"")</f>
        <v/>
      </c>
      <c r="M188" s="179">
        <f>IF(C188&lt;&gt;"",IFERROR(AVERAGE(出来高!E88:I88),""),"")</f>
        <v/>
      </c>
      <c r="N188" s="179">
        <f>IF(C188&lt;&gt;"",IFERROR(AVERAGE(出来高!E88:AC88),""),"")</f>
        <v/>
      </c>
      <c r="O188" s="614">
        <f>IF(AND(J188&lt;&gt;"",M188&lt;&gt;"",M188&lt;&gt;0),J188/M188,"")</f>
        <v/>
      </c>
      <c r="P188" s="176">
        <f>IF(O188="","",IF(O188&gt;=2,"急増↑↑",IF(O188&gt;=1.5,"増加↑",IF(O188&gt;=1,"普通→","減少↓"))))</f>
        <v/>
      </c>
      <c r="Q188" s="176">
        <f>IF(E188="","",IF(AND(E188&gt;G188,O188&gt;=1.5),"買い▲",IF(E188&lt;G188,"様子見▼","中立→")))</f>
        <v/>
      </c>
      <c r="R188" s="179">
        <f>IF(E188&lt;&gt;"",ROUND(E188*1.08,0),"")</f>
        <v/>
      </c>
      <c r="S188" s="179">
        <f>IF(E188&lt;&gt;"",ROUND(E188*0.96,0),"")</f>
        <v/>
      </c>
      <c r="T188" s="176">
        <f>IF(C188="","",IFERROR(IF(O188&gt;=2,3,IF(O188&gt;=1.5,2,IF(O188&gt;=1,1,0)))+IF(E188&gt;G188,1,0)+IF(L188&gt;=-5,1,0)+IF(Q188="買い▲",2,0)+IF(W188&lt;=30,3,IF(W188&lt;=40,2,IF(AND(W188&gt;=40,W188&lt;=60),1,0)))+IF(X188&gt;0,1,0)+IF(V188="年初来高値更新●",3,IF(V188="高値圏",2,0))+IF(AD188="パーフェクト▲",3,IF(AD188="上昇トレンド▲",2,0))+IF(AE188="25日線押し目●",2,IF(AE188="5日線押し目○",1,0))+IF(P188="急増↑↑",2,IF(P188="増加↑",1,0))+N(AI188),0))</f>
        <v/>
      </c>
      <c r="U188" s="176">
        <f>IF(T188="","",IF(AND(T188&gt;=3,O188&gt;=1.5),"有効",IF(T188&gt;=3,"要確認","除外")))</f>
        <v/>
      </c>
      <c r="V188" s="176">
        <f>IF(AND(H188&lt;&gt;"",K188&lt;&gt;""),IF(H188&gt;=K188,"年初来高値更新●",IF(H188&gt;=K188*0.95,"高値圏","通常")),"")</f>
        <v/>
      </c>
      <c r="W188" s="615">
        <f t="array" ref="W188">IF(C188&lt;&gt;"",IFERROR(100-100/(1+SUMPRODUCT((終値!F88:R88&gt;終値!G88:S88)*( 終値!F88:R88-終値!G88:S88))/SUMPRODUCT((終値!F88:R88&lt;終値!G88:S88)*(終値!G88:S88-終値!F88:R88))),50),"")</f>
        <v/>
      </c>
      <c r="X188" s="183">
        <f>IF(C188&lt;&gt;"",IFERROR(SUMPRODUCT(終値!E88:P88,{0.154,0.132,0.113,0.097,0.083,0.071,0.061,0.052,0.045,0.038,0.033,0.028})/SUMPRODUCT({0.154,0.132,0.113,0.097,0.083,0.071,0.061,0.052,0.045,0.038,0.033,0.028})-SUMPRODUCT(終値!E88:AD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8" s="570">
        <f>IF(T188="","",IF(銘柄管理!$F$5="下落▼",IF(AND(AD188="パーフェクト▲",OR(AE188="25日線押し目●",AE188="5日線押し目○")),"★逆張り候補",IF(AND(AD188="上昇トレンド▲",OR(AE188="25日線押し目●",AE188="5日線押し目○")),"○逆張り候補",IF(W188&lt;=30,IF(Z188&gt;0,"◎反発確認",IF(Z188&lt;-5,"△要注意・様子見","△売られ過ぎ注目")),"相場下落・見送り"))),IF(AND(T188&gt;=12,AD188="パーフェクト▲"),"★強い買い",IF(AND(T188&gt;=12,AD188="上昇トレンド▲"),"★強い買い",IF(AND(T188&gt;=8,OR(AE188="25日線押し目●",AE188="5日線押し目○")),"◎押し目買い",IF(T188&gt;=10,"○買い候補",IF(T188&gt;=6,"△注目",IF(T188&gt;=3,"様子見","見送り"))))))))</f>
        <v/>
      </c>
      <c r="Z188" s="616">
        <f>IF(AND(E188&lt;&gt;"",G188&lt;&gt;"",G188&lt;&gt;0),(E188-G188)/G188*100,"")</f>
        <v/>
      </c>
      <c r="AA188" s="176">
        <f>IF(OR(C188="",E188="",E188=0),"",IF(E188&gt;G188,"上昇▲",IF(E188&lt;G188,"下落▼","横ばい→")))</f>
        <v/>
      </c>
      <c r="AB188" s="438">
        <f>IF(C188="","",IFERROR(((終値!E190*0.333)+(終値!F190*0.222)+(終値!G190*0.148)+(終値!H190*0.099)+(終値!I190*0.066)+(終値!J190*0.044)+(終値!K190*0.029)+(終値!L190*0.019)+(終値!M190*0.013)+(終値!N190*0.009))/(0.333+0.222+0.148+0.099+0.066+0.044+0.029+0.019+0.013+0.009),""))</f>
        <v/>
      </c>
      <c r="AC188" s="438">
        <f>IF(C188="","",IFERROR(SUMPRODUCT((終値!E190:AC190)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8" s="439">
        <f>IF(OR(C188="",AB188="",AC188=""),"",IF(AND(E188&gt;AB188,AB188&gt;AC188),"パーフェクト▲",IF(E188&gt;AC188,"上昇トレンド▲",IF(AND(E188&lt;AB188,AB188&lt;AC188),"下降トレンド▼","もみ合い→"))))</f>
        <v/>
      </c>
      <c r="AE188" s="439">
        <f>IF(OR(C188="",AB188="",AC188=""),"",IF(AND(ABS(E188-AC188)/AC188&lt;=0.02,E188&gt;AC188),"25日押し目★",IF(AND(ABS(E188-AB188)/AB188&lt;=0.01,E188&gt;AB188),"5日押し目○","なし")))</f>
        <v/>
      </c>
      <c r="AF188" s="617">
        <f t="array" ref="AF188">IF(C188="","",IFERROR((INDEX(終値!$E:$E,MATCH(TEXT(C188,"0"),終値!$A:$A,0))-INDEX(終値!$E:$BL,MATCH(TEXT(C188,"0"),終値!$A:$A,0),$AL$2))/INDEX(終値!$E:$BL,MATCH(TEXT(C188,"0"),終値!$A:$A,0),$AL$2)*100,""))</f>
        <v/>
      </c>
      <c r="AG188" s="617">
        <f t="array" ref="AG188">IFERROR((終値!$E$5-INDEX(終値!$E$5:$BL$5,1,$AL$2))/INDEX(終値!$E$5:$BL$5,1,$AL$2)*100,"")</f>
        <v/>
      </c>
      <c r="AH188" s="618">
        <f>IF(OR(AF188="",AG188=""),"",AF188-AG188)</f>
        <v/>
      </c>
      <c r="AI188" s="385">
        <f>IF(AH188="","",IF(AH188&gt;5,3,IF(AH188&gt;0,1,IF(AH188&gt;-3,-1,-2))))</f>
        <v/>
      </c>
    </row>
    <row r="189" ht="18" customHeight="1" s="574">
      <c r="A189" s="176">
        <f>IF(銘柄管理!B87&lt;&gt;"",HYPERLINK("https://kabutan.jp/stock/?code="&amp;銘柄管理!B87,"株探"),"")</f>
        <v/>
      </c>
      <c r="B189" s="177" t="n"/>
      <c r="C189" s="178">
        <f>IF(銘柄管理!B87="","",銘柄管理!B87)</f>
        <v/>
      </c>
      <c r="D189" s="106">
        <f>IF(銘柄管理!C87="","",銘柄管理!C87)</f>
        <v/>
      </c>
      <c r="E189" s="179">
        <f>IF(C189&lt;&gt;"",_xll.RssMarket(C189,"現在値"),"")</f>
        <v/>
      </c>
      <c r="F189" s="179">
        <f>IF(C189&lt;&gt;"",_xll.RssMarket(C189,"始値"),"")</f>
        <v/>
      </c>
      <c r="G189" s="178">
        <f>IF(C189&lt;&gt;"",終値!F87,"")</f>
        <v/>
      </c>
      <c r="H189" s="179">
        <f>IF(C189&lt;&gt;"",_xll.RssMarket(C189,"高値"),"")</f>
        <v/>
      </c>
      <c r="I189" s="179">
        <f>IF(C189&lt;&gt;"",_xll.RssMarket(C189,"安値"),"")</f>
        <v/>
      </c>
      <c r="J189" s="179">
        <f>IF(C189&lt;&gt;"",_xll.RssMarket(C189,"出来高"),"")</f>
        <v/>
      </c>
      <c r="K189" s="179">
        <f>IF(C189&lt;&gt;"",_xll.RssMarket(C189,"年初来高値"),"")</f>
        <v/>
      </c>
      <c r="L189" s="613">
        <f>IF(AND(E189&lt;&gt;"",K189&lt;&gt;"",K189&lt;&gt;0),(E189-K189)/K189*100,"")</f>
        <v/>
      </c>
      <c r="M189" s="179">
        <f>IF(C189&lt;&gt;"",IFERROR(AVERAGE(出来高!E87:I87),""),"")</f>
        <v/>
      </c>
      <c r="N189" s="179">
        <f>IF(C189&lt;&gt;"",IFERROR(AVERAGE(出来高!E87:AC87),""),"")</f>
        <v/>
      </c>
      <c r="O189" s="614">
        <f>IF(AND(J189&lt;&gt;"",M189&lt;&gt;"",M189&lt;&gt;0),J189/M189,"")</f>
        <v/>
      </c>
      <c r="P189" s="176">
        <f>IF(O189="","",IF(O189&gt;=2,"急増↑↑",IF(O189&gt;=1.5,"増加↑",IF(O189&gt;=1,"普通→","減少↓"))))</f>
        <v/>
      </c>
      <c r="Q189" s="176">
        <f>IF(E189="","",IF(AND(E189&gt;G189,O189&gt;=1.5),"買い▲",IF(E189&lt;G189,"様子見▼","中立→")))</f>
        <v/>
      </c>
      <c r="R189" s="179">
        <f>IF(E189&lt;&gt;"",ROUND(E189*1.08,0),"")</f>
        <v/>
      </c>
      <c r="S189" s="179">
        <f>IF(E189&lt;&gt;"",ROUND(E189*0.96,0),"")</f>
        <v/>
      </c>
      <c r="T189" s="176">
        <f>IF(C189="","",IFERROR(IF(O189&gt;=2,3,IF(O189&gt;=1.5,2,IF(O189&gt;=1,1,0)))+IF(E189&gt;G189,1,0)+IF(L189&gt;=-5,1,0)+IF(Q189="買い▲",2,0)+IF(W189&lt;=30,3,IF(W189&lt;=40,2,IF(AND(W189&gt;=40,W189&lt;=60),1,0)))+IF(X189&gt;0,1,0)+IF(V189="年初来高値更新●",3,IF(V189="高値圏",2,0))+IF(AD189="パーフェクト▲",3,IF(AD189="上昇トレンド▲",2,0))+IF(AE189="25日線押し目●",2,IF(AE189="5日線押し目○",1,0))+IF(P189="急増↑↑",2,IF(P189="増加↑",1,0))+N(AI189),0))</f>
        <v/>
      </c>
      <c r="U189" s="176">
        <f>IF(T189="","",IF(AND(T189&gt;=3,O189&gt;=1.5),"有効",IF(T189&gt;=3,"要確認","除外")))</f>
        <v/>
      </c>
      <c r="V189" s="176">
        <f>IF(AND(H189&lt;&gt;"",K189&lt;&gt;""),IF(H189&gt;=K189,"年初来高値更新●",IF(H189&gt;=K189*0.95,"高値圏","通常")),"")</f>
        <v/>
      </c>
      <c r="W189" s="615">
        <f t="array" ref="W189">IF(C189&lt;&gt;"",IFERROR(100-100/(1+SUMPRODUCT((終値!F87:R87&gt;終値!G87:S87)*( 終値!F87:R87-終値!G87:S87))/SUMPRODUCT((終値!F87:R87&lt;終値!G87:S87)*(終値!G87:S87-終値!F87:R87))),50),"")</f>
        <v/>
      </c>
      <c r="X189" s="183">
        <f>IF(C189&lt;&gt;"",IFERROR(SUMPRODUCT(終値!E87:P87,{0.154,0.132,0.113,0.097,0.083,0.071,0.061,0.052,0.045,0.038,0.033,0.028})/SUMPRODUCT({0.154,0.132,0.113,0.097,0.083,0.071,0.061,0.052,0.045,0.038,0.033,0.028})-SUMPRODUCT(終値!E87:AD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9" s="570">
        <f>IF(T189="","",IF(銘柄管理!$F$5="下落▼",IF(AND(AD189="パーフェクト▲",OR(AE189="25日線押し目●",AE189="5日線押し目○")),"★逆張り候補",IF(AND(AD189="上昇トレンド▲",OR(AE189="25日線押し目●",AE189="5日線押し目○")),"○逆張り候補",IF(W189&lt;=30,IF(Z189&gt;0,"◎反発確認",IF(Z189&lt;-5,"△要注意・様子見","△売られ過ぎ注目")),"相場下落・見送り"))),IF(AND(T189&gt;=12,AD189="パーフェクト▲"),"★強い買い",IF(AND(T189&gt;=12,AD189="上昇トレンド▲"),"★強い買い",IF(AND(T189&gt;=8,OR(AE189="25日線押し目●",AE189="5日線押し目○")),"◎押し目買い",IF(T189&gt;=10,"○買い候補",IF(T189&gt;=6,"△注目",IF(T189&gt;=3,"様子見","見送り"))))))))</f>
        <v/>
      </c>
      <c r="Z189" s="616">
        <f>IF(AND(E189&lt;&gt;"",G189&lt;&gt;"",G189&lt;&gt;0),(E189-G189)/G189*100,"")</f>
        <v/>
      </c>
      <c r="AA189" s="176">
        <f>IF(OR(C189="",E189="",E189=0),"",IF(E189&gt;G189,"上昇▲",IF(E189&lt;G189,"下落▼","横ばい→")))</f>
        <v/>
      </c>
      <c r="AB189" s="440">
        <f>IF(C189="","",IFERROR(((終値!E191*0.333)+(終値!F191*0.222)+(終値!G191*0.148)+(終値!H191*0.099)+(終値!I191*0.066)+(終値!J191*0.044)+(終値!K191*0.029)+(終値!L191*0.019)+(終値!M191*0.013)+(終値!N191*0.009))/(0.333+0.222+0.148+0.099+0.066+0.044+0.029+0.019+0.013+0.009),""))</f>
        <v/>
      </c>
      <c r="AC189" s="440">
        <f>IF(C189="","",IFERROR(SUMPRODUCT((終値!E191:AC191)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9" s="441">
        <f>IF(OR(C189="",AB189="",AC189=""),"",IF(AND(E189&gt;AB189,AB189&gt;AC189),"パーフェクト▲",IF(E189&gt;AC189,"上昇トレンド▲",IF(AND(E189&lt;AB189,AB189&lt;AC189),"下降トレンド▼","もみ合い→"))))</f>
        <v/>
      </c>
      <c r="AE189" s="441">
        <f>IF(OR(C189="",AB189="",AC189=""),"",IF(AND(ABS(E189-AC189)/AC189&lt;=0.02,E189&gt;AC189),"25日押し目★",IF(AND(ABS(E189-AB189)/AB189&lt;=0.01,E189&gt;AB189),"5日押し目○","なし")))</f>
        <v/>
      </c>
      <c r="AF189" s="617">
        <f t="array" ref="AF189">IF(C189="","",IFERROR((INDEX(終値!$E:$E,MATCH(TEXT(C189,"0"),終値!$A:$A,0))-INDEX(終値!$E:$BL,MATCH(TEXT(C189,"0"),終値!$A:$A,0),$AL$2))/INDEX(終値!$E:$BL,MATCH(TEXT(C189,"0"),終値!$A:$A,0),$AL$2)*100,""))</f>
        <v/>
      </c>
      <c r="AG189" s="617">
        <f t="array" ref="AG189">IFERROR((終値!$E$5-INDEX(終値!$E$5:$BL$5,1,$AL$2))/INDEX(終値!$E$5:$BL$5,1,$AL$2)*100,"")</f>
        <v/>
      </c>
      <c r="AH189" s="618">
        <f>IF(OR(AF189="",AG189=""),"",AF189-AG189)</f>
        <v/>
      </c>
      <c r="AI189" s="385">
        <f>IF(AH189="","",IF(AH189&gt;5,3,IF(AH189&gt;0,1,IF(AH189&gt;-3,-1,-2))))</f>
        <v/>
      </c>
    </row>
    <row r="190" ht="18" customHeight="1" s="574">
      <c r="A190" s="176">
        <f>IF(銘柄管理!B76&lt;&gt;"",HYPERLINK("https://kabutan.jp/stock/?code="&amp;銘柄管理!B76,"株探"),"")</f>
        <v/>
      </c>
      <c r="B190" s="177" t="n"/>
      <c r="C190" s="178">
        <f>IF(銘柄管理!B76="","",銘柄管理!B76)</f>
        <v/>
      </c>
      <c r="D190" s="106">
        <f>IF(銘柄管理!C76="","",銘柄管理!C76)</f>
        <v/>
      </c>
      <c r="E190" s="179">
        <f>IF(C190&lt;&gt;"",_xll.RssMarket(C190,"現在値"),"")</f>
        <v/>
      </c>
      <c r="F190" s="179">
        <f>IF(C190&lt;&gt;"",_xll.RssMarket(C190,"始値"),"")</f>
        <v/>
      </c>
      <c r="G190" s="178">
        <f>IF(C190&lt;&gt;"",終値!F76,"")</f>
        <v/>
      </c>
      <c r="H190" s="179">
        <f>IF(C190&lt;&gt;"",_xll.RssMarket(C190,"高値"),"")</f>
        <v/>
      </c>
      <c r="I190" s="179">
        <f>IF(C190&lt;&gt;"",_xll.RssMarket(C190,"安値"),"")</f>
        <v/>
      </c>
      <c r="J190" s="179">
        <f>IF(C190&lt;&gt;"",_xll.RssMarket(C190,"出来高"),"")</f>
        <v/>
      </c>
      <c r="K190" s="179">
        <f>IF(C190&lt;&gt;"",_xll.RssMarket(C190,"年初来高値"),"")</f>
        <v/>
      </c>
      <c r="L190" s="613">
        <f>IF(AND(E190&lt;&gt;"",K190&lt;&gt;"",K190&lt;&gt;0),(E190-K190)/K190*100,"")</f>
        <v/>
      </c>
      <c r="M190" s="179">
        <f>IF(C190&lt;&gt;"",IFERROR(AVERAGE(出来高!E76:I76),""),"")</f>
        <v/>
      </c>
      <c r="N190" s="179">
        <f>IF(C190&lt;&gt;"",IFERROR(AVERAGE(出来高!E76:AC76),""),"")</f>
        <v/>
      </c>
      <c r="O190" s="614">
        <f>IF(AND(J190&lt;&gt;"",M190&lt;&gt;"",M190&lt;&gt;0),J190/M190,"")</f>
        <v/>
      </c>
      <c r="P190" s="176">
        <f>IF(O190="","",IF(O190&gt;=2,"急増↑↑",IF(O190&gt;=1.5,"増加↑",IF(O190&gt;=1,"普通→","減少↓"))))</f>
        <v/>
      </c>
      <c r="Q190" s="176">
        <f>IF(E190="","",IF(AND(E190&gt;G190,O190&gt;=1.5),"買い▲",IF(E190&lt;G190,"様子見▼","中立→")))</f>
        <v/>
      </c>
      <c r="R190" s="179">
        <f>IF(E190&lt;&gt;"",ROUND(E190*1.08,0),"")</f>
        <v/>
      </c>
      <c r="S190" s="179">
        <f>IF(E190&lt;&gt;"",ROUND(E190*0.96,0),"")</f>
        <v/>
      </c>
      <c r="T190" s="176">
        <f>IF(C190="","",IFERROR(IF(O190&gt;=2,3,IF(O190&gt;=1.5,2,IF(O190&gt;=1,1,0)))+IF(E190&gt;G190,1,0)+IF(L190&gt;=-5,1,0)+IF(Q190="買い▲",2,0)+IF(W190&lt;=30,3,IF(W190&lt;=40,2,IF(AND(W190&gt;=40,W190&lt;=60),1,0)))+IF(X190&gt;0,1,0)+IF(V190="年初来高値更新●",3,IF(V190="高値圏",2,0))+IF(AD190="パーフェクト▲",3,IF(AD190="上昇トレンド▲",2,0))+IF(AE190="25日線押し目●",2,IF(AE190="5日線押し目○",1,0))+IF(P190="急増↑↑",2,IF(P190="増加↑",1,0))+N(AI190),0))</f>
        <v/>
      </c>
      <c r="U190" s="176">
        <f>IF(T190="","",IF(AND(T190&gt;=3,O190&gt;=1.5),"有効",IF(T190&gt;=3,"要確認","除外")))</f>
        <v/>
      </c>
      <c r="V190" s="176">
        <f>IF(AND(H190&lt;&gt;"",K190&lt;&gt;""),IF(H190&gt;=K190,"年初来高値更新●",IF(H190&gt;=K190*0.95,"高値圏","通常")),"")</f>
        <v/>
      </c>
      <c r="W190" s="615">
        <f t="array" ref="W190">IF(C190&lt;&gt;"",IFERROR(100-100/(1+SUMPRODUCT((終値!F76:R76&gt;終値!G76:S76)*( 終値!F76:R76-終値!G76:S76))/SUMPRODUCT((終値!F76:R76&lt;終値!G76:S76)*(終値!G76:S76-終値!F76:R76))),50),"")</f>
        <v/>
      </c>
      <c r="X190" s="183">
        <f>IF(C190&lt;&gt;"",IFERROR(SUMPRODUCT(終値!E76:P76,{0.154,0.132,0.113,0.097,0.083,0.071,0.061,0.052,0.045,0.038,0.033,0.028})/SUMPRODUCT({0.154,0.132,0.113,0.097,0.083,0.071,0.061,0.052,0.045,0.038,0.033,0.028})-SUMPRODUCT(終値!E76:AD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0" s="570">
        <f>IF(T190="","",IF(銘柄管理!$F$5="下落▼",IF(AND(AD190="パーフェクト▲",OR(AE190="25日線押し目●",AE190="5日線押し目○")),"★逆張り候補",IF(AND(AD190="上昇トレンド▲",OR(AE190="25日線押し目●",AE190="5日線押し目○")),"○逆張り候補",IF(W190&lt;=30,IF(Z190&gt;0,"◎反発確認",IF(Z190&lt;-5,"△要注意・様子見","△売られ過ぎ注目")),"相場下落・見送り"))),IF(AND(T190&gt;=12,AD190="パーフェクト▲"),"★強い買い",IF(AND(T190&gt;=12,AD190="上昇トレンド▲"),"★強い買い",IF(AND(T190&gt;=8,OR(AE190="25日線押し目●",AE190="5日線押し目○")),"◎押し目買い",IF(T190&gt;=10,"○買い候補",IF(T190&gt;=6,"△注目",IF(T190&gt;=3,"様子見","見送り"))))))))</f>
        <v/>
      </c>
      <c r="Z190" s="616">
        <f>IF(AND(E190&lt;&gt;"",G190&lt;&gt;"",G190&lt;&gt;0),(E190-G190)/G190*100,"")</f>
        <v/>
      </c>
      <c r="AA190" s="176">
        <f>IF(OR(C190="",E190="",E190=0),"",IF(E190&gt;G190,"上昇▲",IF(E190&lt;G190,"下落▼","横ばい→")))</f>
        <v/>
      </c>
      <c r="AB190" s="438">
        <f>IF(C190="","",IFERROR(((終値!E192*0.333)+(終値!F192*0.222)+(終値!G192*0.148)+(終値!H192*0.099)+(終値!I192*0.066)+(終値!J192*0.044)+(終値!K192*0.029)+(終値!L192*0.019)+(終値!M192*0.013)+(終値!N192*0.009))/(0.333+0.222+0.148+0.099+0.066+0.044+0.029+0.019+0.013+0.009),""))</f>
        <v/>
      </c>
      <c r="AC190" s="438">
        <f>IF(C190="","",IFERROR(SUMPRODUCT((終値!E192:AC192)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0" s="439">
        <f>IF(OR(C190="",AB190="",AC190=""),"",IF(AND(E190&gt;AB190,AB190&gt;AC190),"パーフェクト▲",IF(E190&gt;AC190,"上昇トレンド▲",IF(AND(E190&lt;AB190,AB190&lt;AC190),"下降トレンド▼","もみ合い→"))))</f>
        <v/>
      </c>
      <c r="AE190" s="439">
        <f>IF(OR(C190="",AB190="",AC190=""),"",IF(AND(ABS(E190-AC190)/AC190&lt;=0.02,E190&gt;AC190),"25日押し目★",IF(AND(ABS(E190-AB190)/AB190&lt;=0.01,E190&gt;AB190),"5日押し目○","なし")))</f>
        <v/>
      </c>
      <c r="AF190" s="617">
        <f t="array" ref="AF190">IF(C190="","",IFERROR((INDEX(終値!$E:$E,MATCH(TEXT(C190,"0"),終値!$A:$A,0))-INDEX(終値!$E:$BL,MATCH(TEXT(C190,"0"),終値!$A:$A,0),$AL$2))/INDEX(終値!$E:$BL,MATCH(TEXT(C190,"0"),終値!$A:$A,0),$AL$2)*100,""))</f>
        <v/>
      </c>
      <c r="AG190" s="617">
        <f t="array" ref="AG190">IFERROR((終値!$E$5-INDEX(終値!$E$5:$BL$5,1,$AL$2))/INDEX(終値!$E$5:$BL$5,1,$AL$2)*100,"")</f>
        <v/>
      </c>
      <c r="AH190" s="618">
        <f>IF(OR(AF190="",AG190=""),"",AF190-AG190)</f>
        <v/>
      </c>
      <c r="AI190" s="385">
        <f>IF(AH190="","",IF(AH190&gt;5,3,IF(AH190&gt;0,1,IF(AH190&gt;-3,-1,-2))))</f>
        <v/>
      </c>
    </row>
    <row r="191" ht="18" customHeight="1" s="574">
      <c r="A191" s="176">
        <f>IF(銘柄管理!B202&lt;&gt;"",HYPERLINK("https://kabutan.jp/stock/?code="&amp;銘柄管理!B202,"株探"),"")</f>
        <v/>
      </c>
      <c r="B191" s="177" t="n"/>
      <c r="C191" s="178">
        <f>IF(銘柄管理!B202="","",銘柄管理!B202)</f>
        <v/>
      </c>
      <c r="D191" s="106">
        <f>IF(銘柄管理!C202="","",銘柄管理!C202)</f>
        <v/>
      </c>
      <c r="E191" s="179">
        <f>IF(C191&lt;&gt;"",_xll.RssMarket(C191,"現在値"),"")</f>
        <v/>
      </c>
      <c r="F191" s="179">
        <f>IF(C191&lt;&gt;"",_xll.RssMarket(C191,"始値"),"")</f>
        <v/>
      </c>
      <c r="G191" s="178">
        <f>IF(C191&lt;&gt;"",終値!F202,"")</f>
        <v/>
      </c>
      <c r="H191" s="179">
        <f>IF(C191&lt;&gt;"",_xll.RssMarket(C191,"高値"),"")</f>
        <v/>
      </c>
      <c r="I191" s="179">
        <f>IF(C191&lt;&gt;"",_xll.RssMarket(C191,"安値"),"")</f>
        <v/>
      </c>
      <c r="J191" s="179">
        <f>IF(C191&lt;&gt;"",_xll.RssMarket(C191,"出来高"),"")</f>
        <v/>
      </c>
      <c r="K191" s="179">
        <f>IF(C191&lt;&gt;"",_xll.RssMarket(C191,"年初来高値"),"")</f>
        <v/>
      </c>
      <c r="L191" s="613">
        <f>IF(AND(E191&lt;&gt;"",K191&lt;&gt;"",K191&lt;&gt;0),(E191-K191)/K191*100,"")</f>
        <v/>
      </c>
      <c r="M191" s="179">
        <f>IF(C191&lt;&gt;"",IFERROR(AVERAGE(出来高!E202:I202),""),"")</f>
        <v/>
      </c>
      <c r="N191" s="179">
        <f>IF(C191&lt;&gt;"",IFERROR(AVERAGE(出来高!E202:AC202),""),"")</f>
        <v/>
      </c>
      <c r="O191" s="614">
        <f>IF(AND(J191&lt;&gt;"",M191&lt;&gt;"",M191&lt;&gt;0),J191/M191,"")</f>
        <v/>
      </c>
      <c r="P191" s="176">
        <f>IF(O191="","",IF(O191&gt;=2,"急増↑↑",IF(O191&gt;=1.5,"増加↑",IF(O191&gt;=1,"普通→","減少↓"))))</f>
        <v/>
      </c>
      <c r="Q191" s="176">
        <f>IF(E191="","",IF(AND(E191&gt;G191,O191&gt;=1.5),"買い▲",IF(E191&lt;G191,"様子見▼","中立→")))</f>
        <v/>
      </c>
      <c r="R191" s="179">
        <f>IF(E191&lt;&gt;"",ROUND(E191*1.08,0),"")</f>
        <v/>
      </c>
      <c r="S191" s="179">
        <f>IF(E191&lt;&gt;"",ROUND(E191*0.96,0),"")</f>
        <v/>
      </c>
      <c r="T191" s="176">
        <f>IF(C191="","",IFERROR(IF(O191&gt;=2,3,IF(O191&gt;=1.5,2,IF(O191&gt;=1,1,0)))+IF(E191&gt;G191,1,0)+IF(L191&gt;=-5,1,0)+IF(Q191="買い▲",2,0)+IF(W191&lt;=30,3,IF(W191&lt;=40,2,IF(AND(W191&gt;=40,W191&lt;=60),1,0)))+IF(X191&gt;0,1,0)+IF(V191="年初来高値更新●",3,IF(V191="高値圏",2,0))+IF(AD191="パーフェクト▲",3,IF(AD191="上昇トレンド▲",2,0))+IF(AE191="25日線押し目●",2,IF(AE191="5日線押し目○",1,0))+IF(P191="急増↑↑",2,IF(P191="増加↑",1,0))+N(AI191),0))</f>
        <v/>
      </c>
      <c r="U191" s="176">
        <f>IF(T191="","",IF(AND(T191&gt;=3,O191&gt;=1.5),"有効",IF(T191&gt;=3,"要確認","除外")))</f>
        <v/>
      </c>
      <c r="V191" s="176">
        <f>IF(AND(H191&lt;&gt;"",K191&lt;&gt;""),IF(H191&gt;=K191,"年初来高値更新●",IF(H191&gt;=K191*0.95,"高値圏","通常")),"")</f>
        <v/>
      </c>
      <c r="W191" s="615">
        <f t="array" ref="W191">IF(C191&lt;&gt;"",IFERROR(100-100/(1+SUMPRODUCT((終値!F202:R202&gt;終値!G202:S202)*( 終値!F202:R202-終値!G202:S202))/SUMPRODUCT((終値!F202:R202&lt;終値!G202:S202)*(終値!G202:S202-終値!F202:R202))),50),"")</f>
        <v/>
      </c>
      <c r="X191" s="183">
        <f>IF(C191&lt;&gt;"",IFERROR(SUMPRODUCT(終値!E202:P202,{0.154,0.132,0.113,0.097,0.083,0.071,0.061,0.052,0.045,0.038,0.033,0.028})/SUMPRODUCT({0.154,0.132,0.113,0.097,0.083,0.071,0.061,0.052,0.045,0.038,0.033,0.028})-SUMPRODUCT(終値!E202:AD202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1" s="570">
        <f>IF(T191="","",IF(銘柄管理!$F$5="下落▼",IF(AND(AD191="パーフェクト▲",OR(AE191="25日線押し目●",AE191="5日線押し目○")),"★逆張り候補",IF(AND(AD191="上昇トレンド▲",OR(AE191="25日線押し目●",AE191="5日線押し目○")),"○逆張り候補",IF(W191&lt;=30,IF(Z191&gt;0,"◎反発確認",IF(Z191&lt;-5,"△要注意・様子見","△売られ過ぎ注目")),"相場下落・見送り"))),IF(AND(T191&gt;=12,AD191="パーフェクト▲"),"★強い買い",IF(AND(T191&gt;=12,AD191="上昇トレンド▲"),"★強い買い",IF(AND(T191&gt;=8,OR(AE191="25日線押し目●",AE191="5日線押し目○")),"◎押し目買い",IF(T191&gt;=10,"○買い候補",IF(T191&gt;=6,"△注目",IF(T191&gt;=3,"様子見","見送り"))))))))</f>
        <v/>
      </c>
      <c r="Z191" s="616">
        <f>IF(AND(E191&lt;&gt;"",G191&lt;&gt;"",G191&lt;&gt;0),(E191-G191)/G191*100,"")</f>
        <v/>
      </c>
      <c r="AA191" s="176">
        <f>IF(OR(C191="",E191="",E191=0),"",IF(E191&gt;G191,"上昇▲",IF(E191&lt;G191,"下落▼","横ばい→")))</f>
        <v/>
      </c>
      <c r="AB191" s="440">
        <f>IF(C191="","",IFERROR(((終値!E193*0.333)+(終値!F193*0.222)+(終値!G193*0.148)+(終値!H193*0.099)+(終値!I193*0.066)+(終値!J193*0.044)+(終値!K193*0.029)+(終値!L193*0.019)+(終値!M193*0.013)+(終値!N193*0.009))/(0.333+0.222+0.148+0.099+0.066+0.044+0.029+0.019+0.013+0.009),""))</f>
        <v/>
      </c>
      <c r="AC191" s="440">
        <f>IF(C191="","",IFERROR(SUMPRODUCT((終値!E193:AC193)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1" s="441">
        <f>IF(OR(C191="",AB191="",AC191=""),"",IF(AND(E191&gt;AB191,AB191&gt;AC191),"パーフェクト▲",IF(E191&gt;AC191,"上昇トレンド▲",IF(AND(E191&lt;AB191,AB191&lt;AC191),"下降トレンド▼","もみ合い→"))))</f>
        <v/>
      </c>
      <c r="AE191" s="441">
        <f>IF(OR(C191="",AB191="",AC191=""),"",IF(AND(ABS(E191-AC191)/AC191&lt;=0.02,E191&gt;AC191),"25日押し目★",IF(AND(ABS(E191-AB191)/AB191&lt;=0.01,E191&gt;AB191),"5日押し目○","なし")))</f>
        <v/>
      </c>
      <c r="AF191" s="617">
        <f t="array" ref="AF191">IF(C191="","",IFERROR((INDEX(終値!$E:$E,MATCH(TEXT(C191,"0"),終値!$A:$A,0))-INDEX(終値!$E:$BL,MATCH(TEXT(C191,"0"),終値!$A:$A,0),$AL$2))/INDEX(終値!$E:$BL,MATCH(TEXT(C191,"0"),終値!$A:$A,0),$AL$2)*100,""))</f>
        <v/>
      </c>
      <c r="AG191" s="617">
        <f t="array" ref="AG191">IFERROR((終値!$E$5-INDEX(終値!$E$5:$BL$5,1,$AL$2))/INDEX(終値!$E$5:$BL$5,1,$AL$2)*100,"")</f>
        <v/>
      </c>
      <c r="AH191" s="618">
        <f>IF(OR(AF191="",AG191=""),"",AF191-AG191)</f>
        <v/>
      </c>
      <c r="AI191" s="385">
        <f>IF(AH191="","",IF(AH191&gt;5,3,IF(AH191&gt;0,1,IF(AH191&gt;-3,-1,-2))))</f>
        <v/>
      </c>
    </row>
    <row r="192" ht="18" customHeight="1" s="574">
      <c r="A192" s="176">
        <f>IF(銘柄管理!B194&lt;&gt;"",HYPERLINK("https://kabutan.jp/stock/?code="&amp;銘柄管理!B194,"株探"),"")</f>
        <v/>
      </c>
      <c r="B192" s="177" t="n"/>
      <c r="C192" s="178">
        <f>IF(銘柄管理!B194="","",銘柄管理!B194)</f>
        <v/>
      </c>
      <c r="D192" s="106">
        <f>IF(銘柄管理!C194="","",銘柄管理!C194)</f>
        <v/>
      </c>
      <c r="E192" s="179">
        <f>IF(C192&lt;&gt;"",_xll.RssMarket(C192,"現在値"),"")</f>
        <v/>
      </c>
      <c r="F192" s="179">
        <f>IF(C192&lt;&gt;"",_xll.RssMarket(C192,"始値"),"")</f>
        <v/>
      </c>
      <c r="G192" s="178">
        <f>IF(C192&lt;&gt;"",終値!F194,"")</f>
        <v/>
      </c>
      <c r="H192" s="179">
        <f>IF(C192&lt;&gt;"",_xll.RssMarket(C192,"高値"),"")</f>
        <v/>
      </c>
      <c r="I192" s="179">
        <f>IF(C192&lt;&gt;"",_xll.RssMarket(C192,"安値"),"")</f>
        <v/>
      </c>
      <c r="J192" s="179">
        <f>IF(C192&lt;&gt;"",_xll.RssMarket(C192,"出来高"),"")</f>
        <v/>
      </c>
      <c r="K192" s="179">
        <f>IF(C192&lt;&gt;"",_xll.RssMarket(C192,"年初来高値"),"")</f>
        <v/>
      </c>
      <c r="L192" s="613">
        <f>IF(AND(E192&lt;&gt;"",K192&lt;&gt;"",K192&lt;&gt;0),(E192-K192)/K192*100,"")</f>
        <v/>
      </c>
      <c r="M192" s="179">
        <f>IF(C192&lt;&gt;"",IFERROR(AVERAGE(出来高!E194:I194),""),"")</f>
        <v/>
      </c>
      <c r="N192" s="179">
        <f>IF(C192&lt;&gt;"",IFERROR(AVERAGE(出来高!E194:AC194),""),"")</f>
        <v/>
      </c>
      <c r="O192" s="614">
        <f>IF(AND(J192&lt;&gt;"",M192&lt;&gt;"",M192&lt;&gt;0),J192/M192,"")</f>
        <v/>
      </c>
      <c r="P192" s="176">
        <f>IF(O192="","",IF(O192&gt;=2,"急増↑↑",IF(O192&gt;=1.5,"増加↑",IF(O192&gt;=1,"普通→","減少↓"))))</f>
        <v/>
      </c>
      <c r="Q192" s="176">
        <f>IF(E192="","",IF(AND(E192&gt;G192,O192&gt;=1.5),"買い▲",IF(E192&lt;G192,"様子見▼","中立→")))</f>
        <v/>
      </c>
      <c r="R192" s="179">
        <f>IF(E192&lt;&gt;"",ROUND(E192*1.08,0),"")</f>
        <v/>
      </c>
      <c r="S192" s="179">
        <f>IF(E192&lt;&gt;"",ROUND(E192*0.96,0),"")</f>
        <v/>
      </c>
      <c r="T192" s="176">
        <f>IF(C192="","",IFERROR(IF(O192&gt;=2,3,IF(O192&gt;=1.5,2,IF(O192&gt;=1,1,0)))+IF(E192&gt;G192,1,0)+IF(L192&gt;=-5,1,0)+IF(Q192="買い▲",2,0)+IF(W192&lt;=30,3,IF(W192&lt;=40,2,IF(AND(W192&gt;=40,W192&lt;=60),1,0)))+IF(X192&gt;0,1,0)+IF(V192="年初来高値更新●",3,IF(V192="高値圏",2,0))+IF(AD192="パーフェクト▲",3,IF(AD192="上昇トレンド▲",2,0))+IF(AE192="25日線押し目●",2,IF(AE192="5日線押し目○",1,0))+IF(P192="急増↑↑",2,IF(P192="増加↑",1,0))+N(AI192),0))</f>
        <v/>
      </c>
      <c r="U192" s="176">
        <f>IF(T192="","",IF(AND(T192&gt;=3,O192&gt;=1.5),"有効",IF(T192&gt;=3,"要確認","除外")))</f>
        <v/>
      </c>
      <c r="V192" s="176">
        <f>IF(AND(H192&lt;&gt;"",K192&lt;&gt;""),IF(H192&gt;=K192,"年初来高値更新●",IF(H192&gt;=K192*0.95,"高値圏","通常")),"")</f>
        <v/>
      </c>
      <c r="W192" s="615">
        <f t="array" ref="W192">IF(C192&lt;&gt;"",IFERROR(100-100/(1+SUMPRODUCT((終値!F194:R194&gt;終値!G194:S194)*( 終値!F194:R194-終値!G194:S194))/SUMPRODUCT((終値!F194:R194&lt;終値!G194:S194)*(終値!G194:S194-終値!F194:R194))),50),"")</f>
        <v/>
      </c>
      <c r="X192" s="183">
        <f>IF(C192&lt;&gt;"",IFERROR(SUMPRODUCT(終値!E194:P194,{0.154,0.132,0.113,0.097,0.083,0.071,0.061,0.052,0.045,0.038,0.033,0.028})/SUMPRODUCT({0.154,0.132,0.113,0.097,0.083,0.071,0.061,0.052,0.045,0.038,0.033,0.028})-SUMPRODUCT(終値!E194:AD194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2" s="570">
        <f>IF(T192="","",IF(銘柄管理!$F$5="下落▼",IF(AND(AD192="パーフェクト▲",OR(AE192="25日線押し目●",AE192="5日線押し目○")),"★逆張り候補",IF(AND(AD192="上昇トレンド▲",OR(AE192="25日線押し目●",AE192="5日線押し目○")),"○逆張り候補",IF(W192&lt;=30,IF(Z192&gt;0,"◎反発確認",IF(Z192&lt;-5,"△要注意・様子見","△売られ過ぎ注目")),"相場下落・見送り"))),IF(AND(T192&gt;=12,AD192="パーフェクト▲"),"★強い買い",IF(AND(T192&gt;=12,AD192="上昇トレンド▲"),"★強い買い",IF(AND(T192&gt;=8,OR(AE192="25日線押し目●",AE192="5日線押し目○")),"◎押し目買い",IF(T192&gt;=10,"○買い候補",IF(T192&gt;=6,"△注目",IF(T192&gt;=3,"様子見","見送り"))))))))</f>
        <v/>
      </c>
      <c r="Z192" s="616">
        <f>IF(AND(E192&lt;&gt;"",G192&lt;&gt;"",G192&lt;&gt;0),(E192-G192)/G192*100,"")</f>
        <v/>
      </c>
      <c r="AA192" s="176">
        <f>IF(OR(C192="",E192="",E192=0),"",IF(E192&gt;G192,"上昇▲",IF(E192&lt;G192,"下落▼","横ばい→")))</f>
        <v/>
      </c>
      <c r="AB192" s="438">
        <f>IF(C192="","",IFERROR(((終値!E194*0.333)+(終値!F194*0.222)+(終値!G194*0.148)+(終値!H194*0.099)+(終値!I194*0.066)+(終値!J194*0.044)+(終値!K194*0.029)+(終値!L194*0.019)+(終値!M194*0.013)+(終値!N194*0.009))/(0.333+0.222+0.148+0.099+0.066+0.044+0.029+0.019+0.013+0.009),""))</f>
        <v/>
      </c>
      <c r="AC192" s="438">
        <f>IF(C192="","",IFERROR(SUMPRODUCT((終値!E194:AC194)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2" s="439">
        <f>IF(OR(C192="",AB192="",AC192=""),"",IF(AND(E192&gt;AB192,AB192&gt;AC192),"パーフェクト▲",IF(E192&gt;AC192,"上昇トレンド▲",IF(AND(E192&lt;AB192,AB192&lt;AC192),"下降トレンド▼","もみ合い→"))))</f>
        <v/>
      </c>
      <c r="AE192" s="439">
        <f>IF(OR(C192="",AB192="",AC192=""),"",IF(AND(ABS(E192-AC192)/AC192&lt;=0.02,E192&gt;AC192),"25日押し目★",IF(AND(ABS(E192-AB192)/AB192&lt;=0.01,E192&gt;AB192),"5日押し目○","なし")))</f>
        <v/>
      </c>
      <c r="AF192" s="617">
        <f t="array" ref="AF192">IF(C192="","",IFERROR((INDEX(終値!$E:$E,MATCH(TEXT(C192,"0"),終値!$A:$A,0))-INDEX(終値!$E:$BL,MATCH(TEXT(C192,"0"),終値!$A:$A,0),$AL$2))/INDEX(終値!$E:$BL,MATCH(TEXT(C192,"0"),終値!$A:$A,0),$AL$2)*100,""))</f>
        <v/>
      </c>
      <c r="AG192" s="617">
        <f t="array" ref="AG192">IFERROR((終値!$E$5-INDEX(終値!$E$5:$BL$5,1,$AL$2))/INDEX(終値!$E$5:$BL$5,1,$AL$2)*100,"")</f>
        <v/>
      </c>
      <c r="AH192" s="618">
        <f>IF(OR(AF192="",AG192=""),"",AF192-AG192)</f>
        <v/>
      </c>
      <c r="AI192" s="385">
        <f>IF(AH192="","",IF(AH192&gt;5,3,IF(AH192&gt;0,1,IF(AH192&gt;-3,-1,-2))))</f>
        <v/>
      </c>
    </row>
    <row r="193" ht="18" customHeight="1" s="574">
      <c r="A193" s="176">
        <f>IF(銘柄管理!B168&lt;&gt;"",HYPERLINK("https://kabutan.jp/stock/?code="&amp;銘柄管理!B168,"株探"),"")</f>
        <v/>
      </c>
      <c r="B193" s="177" t="n"/>
      <c r="C193" s="178">
        <f>IF(銘柄管理!B168="","",銘柄管理!B168)</f>
        <v/>
      </c>
      <c r="D193" s="106">
        <f>IF(銘柄管理!C168="","",銘柄管理!C168)</f>
        <v/>
      </c>
      <c r="E193" s="179">
        <f>IF(C193&lt;&gt;"",_xll.RssMarket(C193,"現在値"),"")</f>
        <v/>
      </c>
      <c r="F193" s="179">
        <f>IF(C193&lt;&gt;"",_xll.RssMarket(C193,"始値"),"")</f>
        <v/>
      </c>
      <c r="G193" s="178">
        <f>IF(C193&lt;&gt;"",終値!F168,"")</f>
        <v/>
      </c>
      <c r="H193" s="179">
        <f>IF(C193&lt;&gt;"",_xll.RssMarket(C193,"高値"),"")</f>
        <v/>
      </c>
      <c r="I193" s="179">
        <f>IF(C193&lt;&gt;"",_xll.RssMarket(C193,"安値"),"")</f>
        <v/>
      </c>
      <c r="J193" s="179">
        <f>IF(C193&lt;&gt;"",_xll.RssMarket(C193,"出来高"),"")</f>
        <v/>
      </c>
      <c r="K193" s="179">
        <f>IF(C193&lt;&gt;"",_xll.RssMarket(C193,"年初来高値"),"")</f>
        <v/>
      </c>
      <c r="L193" s="613">
        <f>IF(AND(E193&lt;&gt;"",K193&lt;&gt;"",K193&lt;&gt;0),(E193-K193)/K193*100,"")</f>
        <v/>
      </c>
      <c r="M193" s="179">
        <f>IF(C193&lt;&gt;"",IFERROR(AVERAGE(出来高!E168:I168),""),"")</f>
        <v/>
      </c>
      <c r="N193" s="179">
        <f>IF(C193&lt;&gt;"",IFERROR(AVERAGE(出来高!E168:AC168),""),"")</f>
        <v/>
      </c>
      <c r="O193" s="614">
        <f>IF(AND(J193&lt;&gt;"",M193&lt;&gt;"",M193&lt;&gt;0),J193/M193,"")</f>
        <v/>
      </c>
      <c r="P193" s="176">
        <f>IF(O193="","",IF(O193&gt;=2,"急増↑↑",IF(O193&gt;=1.5,"増加↑",IF(O193&gt;=1,"普通→","減少↓"))))</f>
        <v/>
      </c>
      <c r="Q193" s="176">
        <f>IF(E193="","",IF(AND(E193&gt;G193,O193&gt;=1.5),"買い▲",IF(E193&lt;G193,"様子見▼","中立→")))</f>
        <v/>
      </c>
      <c r="R193" s="179">
        <f>IF(E193&lt;&gt;"",ROUND(E193*1.08,0),"")</f>
        <v/>
      </c>
      <c r="S193" s="179">
        <f>IF(E193&lt;&gt;"",ROUND(E193*0.96,0),"")</f>
        <v/>
      </c>
      <c r="T193" s="176">
        <f>IF(C193="","",IFERROR(IF(O193&gt;=2,3,IF(O193&gt;=1.5,2,IF(O193&gt;=1,1,0)))+IF(E193&gt;G193,1,0)+IF(L193&gt;=-5,1,0)+IF(Q193="買い▲",2,0)+IF(W193&lt;=30,3,IF(W193&lt;=40,2,IF(AND(W193&gt;=40,W193&lt;=60),1,0)))+IF(X193&gt;0,1,0)+IF(V193="年初来高値更新●",3,IF(V193="高値圏",2,0))+IF(AD193="パーフェクト▲",3,IF(AD193="上昇トレンド▲",2,0))+IF(AE193="25日線押し目●",2,IF(AE193="5日線押し目○",1,0))+IF(P193="急増↑↑",2,IF(P193="増加↑",1,0))+N(AI193),0))</f>
        <v/>
      </c>
      <c r="U193" s="176">
        <f>IF(T193="","",IF(AND(T193&gt;=3,O193&gt;=1.5),"有効",IF(T193&gt;=3,"要確認","除外")))</f>
        <v/>
      </c>
      <c r="V193" s="176">
        <f>IF(AND(H193&lt;&gt;"",K193&lt;&gt;""),IF(H193&gt;=K193,"年初来高値更新●",IF(H193&gt;=K193*0.95,"高値圏","通常")),"")</f>
        <v/>
      </c>
      <c r="W193" s="615">
        <f t="array" ref="W193">IF(C193&lt;&gt;"",IFERROR(100-100/(1+SUMPRODUCT((終値!F168:R168&gt;終値!G168:S168)*( 終値!F168:R168-終値!G168:S168))/SUMPRODUCT((終値!F168:R168&lt;終値!G168:S168)*(終値!G168:S168-終値!F168:R168))),50),"")</f>
        <v/>
      </c>
      <c r="X193" s="183">
        <f>IF(C193&lt;&gt;"",IFERROR(SUMPRODUCT(終値!E168:P168,{0.154,0.132,0.113,0.097,0.083,0.071,0.061,0.052,0.045,0.038,0.033,0.028})/SUMPRODUCT({0.154,0.132,0.113,0.097,0.083,0.071,0.061,0.052,0.045,0.038,0.033,0.028})-SUMPRODUCT(終値!E168:AD168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3" s="570">
        <f>IF(T193="","",IF(銘柄管理!$F$5="下落▼",IF(AND(AD193="パーフェクト▲",OR(AE193="25日線押し目●",AE193="5日線押し目○")),"★逆張り候補",IF(AND(AD193="上昇トレンド▲",OR(AE193="25日線押し目●",AE193="5日線押し目○")),"○逆張り候補",IF(W193&lt;=30,IF(Z193&gt;0,"◎反発確認",IF(Z193&lt;-5,"△要注意・様子見","△売られ過ぎ注目")),"相場下落・見送り"))),IF(AND(T193&gt;=12,AD193="パーフェクト▲"),"★強い買い",IF(AND(T193&gt;=12,AD193="上昇トレンド▲"),"★強い買い",IF(AND(T193&gt;=8,OR(AE193="25日線押し目●",AE193="5日線押し目○")),"◎押し目買い",IF(T193&gt;=10,"○買い候補",IF(T193&gt;=6,"△注目",IF(T193&gt;=3,"様子見","見送り"))))))))</f>
        <v/>
      </c>
      <c r="Z193" s="616">
        <f>IF(AND(E193&lt;&gt;"",G193&lt;&gt;"",G193&lt;&gt;0),(E193-G193)/G193*100,"")</f>
        <v/>
      </c>
      <c r="AA193" s="176">
        <f>IF(OR(C193="",E193="",E193=0),"",IF(E193&gt;G193,"上昇▲",IF(E193&lt;G193,"下落▼","横ばい→")))</f>
        <v/>
      </c>
      <c r="AB193" s="440">
        <f>IF(C193="","",IFERROR(((終値!E195*0.333)+(終値!F195*0.222)+(終値!G195*0.148)+(終値!H195*0.099)+(終値!I195*0.066)+(終値!J195*0.044)+(終値!K195*0.029)+(終値!L195*0.019)+(終値!M195*0.013)+(終値!N195*0.009))/(0.333+0.222+0.148+0.099+0.066+0.044+0.029+0.019+0.013+0.009),""))</f>
        <v/>
      </c>
      <c r="AC193" s="440">
        <f>IF(C193="","",IFERROR(SUMPRODUCT((終値!E195:AC195)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3" s="441">
        <f>IF(OR(C193="",AB193="",AC193=""),"",IF(AND(E193&gt;AB193,AB193&gt;AC193),"パーフェクト▲",IF(E193&gt;AC193,"上昇トレンド▲",IF(AND(E193&lt;AB193,AB193&lt;AC193),"下降トレンド▼","もみ合い→"))))</f>
        <v/>
      </c>
      <c r="AE193" s="441">
        <f>IF(OR(C193="",AB193="",AC193=""),"",IF(AND(ABS(E193-AC193)/AC193&lt;=0.02,E193&gt;AC193),"25日押し目★",IF(AND(ABS(E193-AB193)/AB193&lt;=0.01,E193&gt;AB193),"5日押し目○","なし")))</f>
        <v/>
      </c>
      <c r="AF193" s="617">
        <f t="array" ref="AF193">IF(C193="","",IFERROR((INDEX(終値!$E:$E,MATCH(TEXT(C193,"0"),終値!$A:$A,0))-INDEX(終値!$E:$BL,MATCH(TEXT(C193,"0"),終値!$A:$A,0),$AL$2))/INDEX(終値!$E:$BL,MATCH(TEXT(C193,"0"),終値!$A:$A,0),$AL$2)*100,""))</f>
        <v/>
      </c>
      <c r="AG193" s="617">
        <f t="array" ref="AG193">IFERROR((終値!$E$5-INDEX(終値!$E$5:$BL$5,1,$AL$2))/INDEX(終値!$E$5:$BL$5,1,$AL$2)*100,"")</f>
        <v/>
      </c>
      <c r="AH193" s="618">
        <f>IF(OR(AF193="",AG193=""),"",AF193-AG193)</f>
        <v/>
      </c>
      <c r="AI193" s="385">
        <f>IF(AH193="","",IF(AH193&gt;5,3,IF(AH193&gt;0,1,IF(AH193&gt;-3,-1,-2))))</f>
        <v/>
      </c>
    </row>
    <row r="194" ht="18" customHeight="1" s="574">
      <c r="A194" s="176">
        <f>IF(銘柄管理!B174&lt;&gt;"",HYPERLINK("https://kabutan.jp/stock/?code="&amp;銘柄管理!B174,"株探"),"")</f>
        <v/>
      </c>
      <c r="B194" s="177" t="n"/>
      <c r="C194" s="178">
        <f>IF(銘柄管理!B174="","",銘柄管理!B174)</f>
        <v/>
      </c>
      <c r="D194" s="106">
        <f>IF(銘柄管理!C174="","",銘柄管理!C174)</f>
        <v/>
      </c>
      <c r="E194" s="179">
        <f>IF(C194&lt;&gt;"",_xll.RssMarket(C194,"現在値"),"")</f>
        <v/>
      </c>
      <c r="F194" s="179">
        <f>IF(C194&lt;&gt;"",_xll.RssMarket(C194,"始値"),"")</f>
        <v/>
      </c>
      <c r="G194" s="178">
        <f>IF(C194&lt;&gt;"",終値!F174,"")</f>
        <v/>
      </c>
      <c r="H194" s="179">
        <f>IF(C194&lt;&gt;"",_xll.RssMarket(C194,"高値"),"")</f>
        <v/>
      </c>
      <c r="I194" s="179">
        <f>IF(C194&lt;&gt;"",_xll.RssMarket(C194,"安値"),"")</f>
        <v/>
      </c>
      <c r="J194" s="179">
        <f>IF(C194&lt;&gt;"",_xll.RssMarket(C194,"出来高"),"")</f>
        <v/>
      </c>
      <c r="K194" s="179">
        <f>IF(C194&lt;&gt;"",_xll.RssMarket(C194,"年初来高値"),"")</f>
        <v/>
      </c>
      <c r="L194" s="613">
        <f>IF(AND(E194&lt;&gt;"",K194&lt;&gt;"",K194&lt;&gt;0),(E194-K194)/K194*100,"")</f>
        <v/>
      </c>
      <c r="M194" s="179">
        <f>IF(C194&lt;&gt;"",IFERROR(AVERAGE(出来高!E174:I174),""),"")</f>
        <v/>
      </c>
      <c r="N194" s="179">
        <f>IF(C194&lt;&gt;"",IFERROR(AVERAGE(出来高!E174:AC174),""),"")</f>
        <v/>
      </c>
      <c r="O194" s="614">
        <f>IF(AND(J194&lt;&gt;"",M194&lt;&gt;"",M194&lt;&gt;0),J194/M194,"")</f>
        <v/>
      </c>
      <c r="P194" s="176">
        <f>IF(O194="","",IF(O194&gt;=2,"急増↑↑",IF(O194&gt;=1.5,"増加↑",IF(O194&gt;=1,"普通→","減少↓"))))</f>
        <v/>
      </c>
      <c r="Q194" s="176">
        <f>IF(E194="","",IF(AND(E194&gt;G194,O194&gt;=1.5),"買い▲",IF(E194&lt;G194,"様子見▼","中立→")))</f>
        <v/>
      </c>
      <c r="R194" s="179">
        <f>IF(E194&lt;&gt;"",ROUND(E194*1.08,0),"")</f>
        <v/>
      </c>
      <c r="S194" s="179">
        <f>IF(E194&lt;&gt;"",ROUND(E194*0.96,0),"")</f>
        <v/>
      </c>
      <c r="T194" s="176">
        <f>IF(C194="","",IFERROR(IF(O194&gt;=2,3,IF(O194&gt;=1.5,2,IF(O194&gt;=1,1,0)))+IF(E194&gt;G194,1,0)+IF(L194&gt;=-5,1,0)+IF(Q194="買い▲",2,0)+IF(W194&lt;=30,3,IF(W194&lt;=40,2,IF(AND(W194&gt;=40,W194&lt;=60),1,0)))+IF(X194&gt;0,1,0)+IF(V194="年初来高値更新●",3,IF(V194="高値圏",2,0))+IF(AD194="パーフェクト▲",3,IF(AD194="上昇トレンド▲",2,0))+IF(AE194="25日線押し目●",2,IF(AE194="5日線押し目○",1,0))+IF(P194="急増↑↑",2,IF(P194="増加↑",1,0))+N(AI194),0))</f>
        <v/>
      </c>
      <c r="U194" s="176">
        <f>IF(T194="","",IF(AND(T194&gt;=3,O194&gt;=1.5),"有効",IF(T194&gt;=3,"要確認","除外")))</f>
        <v/>
      </c>
      <c r="V194" s="176">
        <f>IF(AND(H194&lt;&gt;"",K194&lt;&gt;""),IF(H194&gt;=K194,"年初来高値更新●",IF(H194&gt;=K194*0.95,"高値圏","通常")),"")</f>
        <v/>
      </c>
      <c r="W194" s="615">
        <f t="array" ref="W194">IF(C194&lt;&gt;"",IFERROR(100-100/(1+SUMPRODUCT((終値!F174:R174&gt;終値!G174:S174)*( 終値!F174:R174-終値!G174:S174))/SUMPRODUCT((終値!F174:R174&lt;終値!G174:S174)*(終値!G174:S174-終値!F174:R174))),50),"")</f>
        <v/>
      </c>
      <c r="X194" s="183">
        <f>IF(C194&lt;&gt;"",IFERROR(SUMPRODUCT(終値!E174:P174,{0.154,0.132,0.113,0.097,0.083,0.071,0.061,0.052,0.045,0.038,0.033,0.028})/SUMPRODUCT({0.154,0.132,0.113,0.097,0.083,0.071,0.061,0.052,0.045,0.038,0.033,0.028})-SUMPRODUCT(終値!E174:AD174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4" s="570">
        <f>IF(T194="","",IF(銘柄管理!$F$5="下落▼",IF(AND(AD194="パーフェクト▲",OR(AE194="25日線押し目●",AE194="5日線押し目○")),"★逆張り候補",IF(AND(AD194="上昇トレンド▲",OR(AE194="25日線押し目●",AE194="5日線押し目○")),"○逆張り候補",IF(W194&lt;=30,IF(Z194&gt;0,"◎反発確認",IF(Z194&lt;-5,"△要注意・様子見","△売られ過ぎ注目")),"相場下落・見送り"))),IF(AND(T194&gt;=12,AD194="パーフェクト▲"),"★強い買い",IF(AND(T194&gt;=12,AD194="上昇トレンド▲"),"★強い買い",IF(AND(T194&gt;=8,OR(AE194="25日線押し目●",AE194="5日線押し目○")),"◎押し目買い",IF(T194&gt;=10,"○買い候補",IF(T194&gt;=6,"△注目",IF(T194&gt;=3,"様子見","見送り"))))))))</f>
        <v/>
      </c>
      <c r="Z194" s="616">
        <f>IF(AND(E194&lt;&gt;"",G194&lt;&gt;"",G194&lt;&gt;0),(E194-G194)/G194*100,"")</f>
        <v/>
      </c>
      <c r="AA194" s="176">
        <f>IF(OR(C194="",E194="",E194=0),"",IF(E194&gt;G194,"上昇▲",IF(E194&lt;G194,"下落▼","横ばい→")))</f>
        <v/>
      </c>
      <c r="AB194" s="438">
        <f>IF(C194="","",IFERROR(((終値!E196*0.333)+(終値!F196*0.222)+(終値!G196*0.148)+(終値!H196*0.099)+(終値!I196*0.066)+(終値!J196*0.044)+(終値!K196*0.029)+(終値!L196*0.019)+(終値!M196*0.013)+(終値!N196*0.009))/(0.333+0.222+0.148+0.099+0.066+0.044+0.029+0.019+0.013+0.009),""))</f>
        <v/>
      </c>
      <c r="AC194" s="438">
        <f>IF(C194="","",IFERROR(SUMPRODUCT((終値!E196:AC196)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4" s="439">
        <f>IF(OR(C194="",AB194="",AC194=""),"",IF(AND(E194&gt;AB194,AB194&gt;AC194),"パーフェクト▲",IF(E194&gt;AC194,"上昇トレンド▲",IF(AND(E194&lt;AB194,AB194&lt;AC194),"下降トレンド▼","もみ合い→"))))</f>
        <v/>
      </c>
      <c r="AE194" s="439">
        <f>IF(OR(C194="",AB194="",AC194=""),"",IF(AND(ABS(E194-AC194)/AC194&lt;=0.02,E194&gt;AC194),"25日押し目★",IF(AND(ABS(E194-AB194)/AB194&lt;=0.01,E194&gt;AB194),"5日押し目○","なし")))</f>
        <v/>
      </c>
      <c r="AF194" s="617">
        <f t="array" ref="AF194">IF(C194="","",IFERROR((INDEX(終値!$E:$E,MATCH(TEXT(C194,"0"),終値!$A:$A,0))-INDEX(終値!$E:$BL,MATCH(TEXT(C194,"0"),終値!$A:$A,0),$AL$2))/INDEX(終値!$E:$BL,MATCH(TEXT(C194,"0"),終値!$A:$A,0),$AL$2)*100,""))</f>
        <v/>
      </c>
      <c r="AG194" s="617">
        <f t="array" ref="AG194">IFERROR((終値!$E$5-INDEX(終値!$E$5:$BL$5,1,$AL$2))/INDEX(終値!$E$5:$BL$5,1,$AL$2)*100,"")</f>
        <v/>
      </c>
      <c r="AH194" s="618">
        <f>IF(OR(AF194="",AG194=""),"",AF194-AG194)</f>
        <v/>
      </c>
      <c r="AI194" s="385">
        <f>IF(AH194="","",IF(AH194&gt;5,3,IF(AH194&gt;0,1,IF(AH194&gt;-3,-1,-2))))</f>
        <v/>
      </c>
    </row>
    <row r="195" ht="18" customHeight="1" s="574">
      <c r="A195" s="176">
        <f>IF(銘柄管理!B131&lt;&gt;"",HYPERLINK("https://kabutan.jp/stock/?code="&amp;銘柄管理!B131,"株探"),"")</f>
        <v/>
      </c>
      <c r="B195" s="177" t="n"/>
      <c r="C195" s="178">
        <f>IF(銘柄管理!B131="","",銘柄管理!B131)</f>
        <v/>
      </c>
      <c r="D195" s="106">
        <f>IF(銘柄管理!C131="","",銘柄管理!C131)</f>
        <v/>
      </c>
      <c r="E195" s="179">
        <f>IF(C195&lt;&gt;"",_xll.RssMarket(C195,"現在値"),"")</f>
        <v/>
      </c>
      <c r="F195" s="179">
        <f>IF(C195&lt;&gt;"",_xll.RssMarket(C195,"始値"),"")</f>
        <v/>
      </c>
      <c r="G195" s="178">
        <f>IF(C195&lt;&gt;"",終値!F131,"")</f>
        <v/>
      </c>
      <c r="H195" s="179">
        <f>IF(C195&lt;&gt;"",_xll.RssMarket(C195,"高値"),"")</f>
        <v/>
      </c>
      <c r="I195" s="179">
        <f>IF(C195&lt;&gt;"",_xll.RssMarket(C195,"安値"),"")</f>
        <v/>
      </c>
      <c r="J195" s="179">
        <f>IF(C195&lt;&gt;"",_xll.RssMarket(C195,"出来高"),"")</f>
        <v/>
      </c>
      <c r="K195" s="179">
        <f>IF(C195&lt;&gt;"",_xll.RssMarket(C195,"年初来高値"),"")</f>
        <v/>
      </c>
      <c r="L195" s="613">
        <f>IF(AND(E195&lt;&gt;"",K195&lt;&gt;"",K195&lt;&gt;0),(E195-K195)/K195*100,"")</f>
        <v/>
      </c>
      <c r="M195" s="179">
        <f>IF(C195&lt;&gt;"",IFERROR(AVERAGE(出来高!E131:I131),""),"")</f>
        <v/>
      </c>
      <c r="N195" s="179">
        <f>IF(C195&lt;&gt;"",IFERROR(AVERAGE(出来高!E131:AC131),""),"")</f>
        <v/>
      </c>
      <c r="O195" s="614">
        <f>IF(AND(J195&lt;&gt;"",M195&lt;&gt;"",M195&lt;&gt;0),J195/M195,"")</f>
        <v/>
      </c>
      <c r="P195" s="176">
        <f>IF(O195="","",IF(O195&gt;=2,"急増↑↑",IF(O195&gt;=1.5,"増加↑",IF(O195&gt;=1,"普通→","減少↓"))))</f>
        <v/>
      </c>
      <c r="Q195" s="176">
        <f>IF(E195="","",IF(AND(E195&gt;G195,O195&gt;=1.5),"買い▲",IF(E195&lt;G195,"様子見▼","中立→")))</f>
        <v/>
      </c>
      <c r="R195" s="179">
        <f>IF(E195&lt;&gt;"",ROUND(E195*1.08,0),"")</f>
        <v/>
      </c>
      <c r="S195" s="179">
        <f>IF(E195&lt;&gt;"",ROUND(E195*0.96,0),"")</f>
        <v/>
      </c>
      <c r="T195" s="176">
        <f>IF(C195="","",IFERROR(IF(O195&gt;=2,3,IF(O195&gt;=1.5,2,IF(O195&gt;=1,1,0)))+IF(E195&gt;G195,1,0)+IF(L195&gt;=-5,1,0)+IF(Q195="買い▲",2,0)+IF(W195&lt;=30,3,IF(W195&lt;=40,2,IF(AND(W195&gt;=40,W195&lt;=60),1,0)))+IF(X195&gt;0,1,0)+IF(V195="年初来高値更新●",3,IF(V195="高値圏",2,0))+IF(AD195="パーフェクト▲",3,IF(AD195="上昇トレンド▲",2,0))+IF(AE195="25日線押し目●",2,IF(AE195="5日線押し目○",1,0))+IF(P195="急増↑↑",2,IF(P195="増加↑",1,0))+N(AI195),0))</f>
        <v/>
      </c>
      <c r="U195" s="176">
        <f>IF(T195="","",IF(AND(T195&gt;=3,O195&gt;=1.5),"有効",IF(T195&gt;=3,"要確認","除外")))</f>
        <v/>
      </c>
      <c r="V195" s="176">
        <f>IF(AND(H195&lt;&gt;"",K195&lt;&gt;""),IF(H195&gt;=K195,"年初来高値更新●",IF(H195&gt;=K195*0.95,"高値圏","通常")),"")</f>
        <v/>
      </c>
      <c r="W195" s="615">
        <f t="array" ref="W195">IF(C195&lt;&gt;"",IFERROR(100-100/(1+SUMPRODUCT((終値!F131:R131&gt;終値!G131:S131)*( 終値!F131:R131-終値!G131:S131))/SUMPRODUCT((終値!F131:R131&lt;終値!G131:S131)*(終値!G131:S131-終値!F131:R131))),50),"")</f>
        <v/>
      </c>
      <c r="X195" s="183">
        <f>IF(C195&lt;&gt;"",IFERROR(SUMPRODUCT(終値!E131:P131,{0.154,0.132,0.113,0.097,0.083,0.071,0.061,0.052,0.045,0.038,0.033,0.028})/SUMPRODUCT({0.154,0.132,0.113,0.097,0.083,0.071,0.061,0.052,0.045,0.038,0.033,0.028})-SUMPRODUCT(終値!E131:AD131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5" s="570">
        <f>IF(T195="","",IF(銘柄管理!$F$5="下落▼",IF(AND(AD195="パーフェクト▲",OR(AE195="25日線押し目●",AE195="5日線押し目○")),"★逆張り候補",IF(AND(AD195="上昇トレンド▲",OR(AE195="25日線押し目●",AE195="5日線押し目○")),"○逆張り候補",IF(W195&lt;=30,IF(Z195&gt;0,"◎反発確認",IF(Z195&lt;-5,"△要注意・様子見","△売られ過ぎ注目")),"相場下落・見送り"))),IF(AND(T195&gt;=12,AD195="パーフェクト▲"),"★強い買い",IF(AND(T195&gt;=12,AD195="上昇トレンド▲"),"★強い買い",IF(AND(T195&gt;=8,OR(AE195="25日線押し目●",AE195="5日線押し目○")),"◎押し目買い",IF(T195&gt;=10,"○買い候補",IF(T195&gt;=6,"△注目",IF(T195&gt;=3,"様子見","見送り"))))))))</f>
        <v/>
      </c>
      <c r="Z195" s="616">
        <f>IF(AND(E195&lt;&gt;"",G195&lt;&gt;"",G195&lt;&gt;0),(E195-G195)/G195*100,"")</f>
        <v/>
      </c>
      <c r="AA195" s="176">
        <f>IF(OR(C195="",E195="",E195=0),"",IF(E195&gt;G195,"上昇▲",IF(E195&lt;G195,"下落▼","横ばい→")))</f>
        <v/>
      </c>
      <c r="AB195" s="440">
        <f>IF(C195="","",IFERROR(((終値!E197*0.333)+(終値!F197*0.222)+(終値!G197*0.148)+(終値!H197*0.099)+(終値!I197*0.066)+(終値!J197*0.044)+(終値!K197*0.029)+(終値!L197*0.019)+(終値!M197*0.013)+(終値!N197*0.009))/(0.333+0.222+0.148+0.099+0.066+0.044+0.029+0.019+0.013+0.009),""))</f>
        <v/>
      </c>
      <c r="AC195" s="440">
        <f>IF(C195="","",IFERROR(SUMPRODUCT((終値!E197:AC197)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5" s="441">
        <f>IF(OR(C195="",AB195="",AC195=""),"",IF(AND(E195&gt;AB195,AB195&gt;AC195),"パーフェクト▲",IF(E195&gt;AC195,"上昇トレンド▲",IF(AND(E195&lt;AB195,AB195&lt;AC195),"下降トレンド▼","もみ合い→"))))</f>
        <v/>
      </c>
      <c r="AE195" s="441">
        <f>IF(OR(C195="",AB195="",AC195=""),"",IF(AND(ABS(E195-AC195)/AC195&lt;=0.02,E195&gt;AC195),"25日押し目★",IF(AND(ABS(E195-AB195)/AB195&lt;=0.01,E195&gt;AB195),"5日押し目○","なし")))</f>
        <v/>
      </c>
      <c r="AF195" s="617">
        <f t="array" ref="AF195">IF(C195="","",IFERROR((INDEX(終値!$E:$E,MATCH(TEXT(C195,"0"),終値!$A:$A,0))-INDEX(終値!$E:$BL,MATCH(TEXT(C195,"0"),終値!$A:$A,0),$AL$2))/INDEX(終値!$E:$BL,MATCH(TEXT(C195,"0"),終値!$A:$A,0),$AL$2)*100,""))</f>
        <v/>
      </c>
      <c r="AG195" s="617">
        <f t="array" ref="AG195">IFERROR((終値!$E$5-INDEX(終値!$E$5:$BL$5,1,$AL$2))/INDEX(終値!$E$5:$BL$5,1,$AL$2)*100,"")</f>
        <v/>
      </c>
      <c r="AH195" s="618">
        <f>IF(OR(AF195="",AG195=""),"",AF195-AG195)</f>
        <v/>
      </c>
      <c r="AI195" s="385">
        <f>IF(AH195="","",IF(AH195&gt;5,3,IF(AH195&gt;0,1,IF(AH195&gt;-3,-1,-2))))</f>
        <v/>
      </c>
    </row>
    <row r="196" ht="18" customHeight="1" s="574">
      <c r="A196" s="176">
        <f>IF(銘柄管理!B187&lt;&gt;"",HYPERLINK("https://kabutan.jp/stock/?code="&amp;銘柄管理!B187,"株探"),"")</f>
        <v/>
      </c>
      <c r="B196" s="177" t="n"/>
      <c r="C196" s="178">
        <f>IF(銘柄管理!B187="","",銘柄管理!B187)</f>
        <v/>
      </c>
      <c r="D196" s="106">
        <f>IF(銘柄管理!C187="","",銘柄管理!C187)</f>
        <v/>
      </c>
      <c r="E196" s="179">
        <f>IF(C196&lt;&gt;"",_xll.RssMarket(C196,"現在値"),"")</f>
        <v/>
      </c>
      <c r="F196" s="179">
        <f>IF(C196&lt;&gt;"",_xll.RssMarket(C196,"始値"),"")</f>
        <v/>
      </c>
      <c r="G196" s="178">
        <f>IF(C196&lt;&gt;"",終値!F187,"")</f>
        <v/>
      </c>
      <c r="H196" s="179">
        <f>IF(C196&lt;&gt;"",_xll.RssMarket(C196,"高値"),"")</f>
        <v/>
      </c>
      <c r="I196" s="179">
        <f>IF(C196&lt;&gt;"",_xll.RssMarket(C196,"安値"),"")</f>
        <v/>
      </c>
      <c r="J196" s="179">
        <f>IF(C196&lt;&gt;"",_xll.RssMarket(C196,"出来高"),"")</f>
        <v/>
      </c>
      <c r="K196" s="179">
        <f>IF(C196&lt;&gt;"",_xll.RssMarket(C196,"年初来高値"),"")</f>
        <v/>
      </c>
      <c r="L196" s="613">
        <f>IF(AND(E196&lt;&gt;"",K196&lt;&gt;"",K196&lt;&gt;0),(E196-K196)/K196*100,"")</f>
        <v/>
      </c>
      <c r="M196" s="179">
        <f>IF(C196&lt;&gt;"",IFERROR(AVERAGE(出来高!E187:I187),""),"")</f>
        <v/>
      </c>
      <c r="N196" s="179">
        <f>IF(C196&lt;&gt;"",IFERROR(AVERAGE(出来高!E187:AC187),""),"")</f>
        <v/>
      </c>
      <c r="O196" s="614">
        <f>IF(AND(J196&lt;&gt;"",M196&lt;&gt;"",M196&lt;&gt;0),J196/M196,"")</f>
        <v/>
      </c>
      <c r="P196" s="176">
        <f>IF(O196="","",IF(O196&gt;=2,"急増↑↑",IF(O196&gt;=1.5,"増加↑",IF(O196&gt;=1,"普通→","減少↓"))))</f>
        <v/>
      </c>
      <c r="Q196" s="176">
        <f>IF(E196="","",IF(AND(E196&gt;G196,O196&gt;=1.5),"買い▲",IF(E196&lt;G196,"様子見▼","中立→")))</f>
        <v/>
      </c>
      <c r="R196" s="179">
        <f>IF(E196&lt;&gt;"",ROUND(E196*1.08,0),"")</f>
        <v/>
      </c>
      <c r="S196" s="179">
        <f>IF(E196&lt;&gt;"",ROUND(E196*0.96,0),"")</f>
        <v/>
      </c>
      <c r="T196" s="176">
        <f>IF(C196="","",IFERROR(IF(O196&gt;=2,3,IF(O196&gt;=1.5,2,IF(O196&gt;=1,1,0)))+IF(E196&gt;G196,1,0)+IF(L196&gt;=-5,1,0)+IF(Q196="買い▲",2,0)+IF(W196&lt;=30,3,IF(W196&lt;=40,2,IF(AND(W196&gt;=40,W196&lt;=60),1,0)))+IF(X196&gt;0,1,0)+IF(V196="年初来高値更新●",3,IF(V196="高値圏",2,0))+IF(AD196="パーフェクト▲",3,IF(AD196="上昇トレンド▲",2,0))+IF(AE196="25日線押し目●",2,IF(AE196="5日線押し目○",1,0))+IF(P196="急増↑↑",2,IF(P196="増加↑",1,0))+N(AI196),0))</f>
        <v/>
      </c>
      <c r="U196" s="176">
        <f>IF(T196="","",IF(AND(T196&gt;=3,O196&gt;=1.5),"有効",IF(T196&gt;=3,"要確認","除外")))</f>
        <v/>
      </c>
      <c r="V196" s="176">
        <f>IF(AND(H196&lt;&gt;"",K196&lt;&gt;""),IF(H196&gt;=K196,"年初来高値更新●",IF(H196&gt;=K196*0.95,"高値圏","通常")),"")</f>
        <v/>
      </c>
      <c r="W196" s="615">
        <f t="array" ref="W196">IF(C196&lt;&gt;"",IFERROR(100-100/(1+SUMPRODUCT((終値!F187:R187&gt;終値!G187:S187)*( 終値!F187:R187-終値!G187:S187))/SUMPRODUCT((終値!F187:R187&lt;終値!G187:S187)*(終値!G187:S187-終値!F187:R187))),50),"")</f>
        <v/>
      </c>
      <c r="X196" s="183">
        <f>IF(C196&lt;&gt;"",IFERROR(SUMPRODUCT(終値!E187:P187,{0.154,0.132,0.113,0.097,0.083,0.071,0.061,0.052,0.045,0.038,0.033,0.028})/SUMPRODUCT({0.154,0.132,0.113,0.097,0.083,0.071,0.061,0.052,0.045,0.038,0.033,0.028})-SUMPRODUCT(終値!E187:AD187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6" s="570">
        <f>IF(T196="","",IF(銘柄管理!$F$5="下落▼",IF(AND(AD196="パーフェクト▲",OR(AE196="25日線押し目●",AE196="5日線押し目○")),"★逆張り候補",IF(AND(AD196="上昇トレンド▲",OR(AE196="25日線押し目●",AE196="5日線押し目○")),"○逆張り候補",IF(W196&lt;=30,IF(Z196&gt;0,"◎反発確認",IF(Z196&lt;-5,"△要注意・様子見","△売られ過ぎ注目")),"相場下落・見送り"))),IF(AND(T196&gt;=12,AD196="パーフェクト▲"),"★強い買い",IF(AND(T196&gt;=12,AD196="上昇トレンド▲"),"★強い買い",IF(AND(T196&gt;=8,OR(AE196="25日線押し目●",AE196="5日線押し目○")),"◎押し目買い",IF(T196&gt;=10,"○買い候補",IF(T196&gt;=6,"△注目",IF(T196&gt;=3,"様子見","見送り"))))))))</f>
        <v/>
      </c>
      <c r="Z196" s="616">
        <f>IF(AND(E196&lt;&gt;"",G196&lt;&gt;"",G196&lt;&gt;0),(E196-G196)/G196*100,"")</f>
        <v/>
      </c>
      <c r="AA196" s="176">
        <f>IF(OR(C196="",E196="",E196=0),"",IF(E196&gt;G196,"上昇▲",IF(E196&lt;G196,"下落▼","横ばい→")))</f>
        <v/>
      </c>
      <c r="AB196" s="438">
        <f>IF(C196="","",IFERROR(((終値!E198*0.333)+(終値!F198*0.222)+(終値!G198*0.148)+(終値!H198*0.099)+(終値!I198*0.066)+(終値!J198*0.044)+(終値!K198*0.029)+(終値!L198*0.019)+(終値!M198*0.013)+(終値!N198*0.009))/(0.333+0.222+0.148+0.099+0.066+0.044+0.029+0.019+0.013+0.009),""))</f>
        <v/>
      </c>
      <c r="AC196" s="438">
        <f>IF(C196="","",IFERROR(SUMPRODUCT((終値!E198:AC198)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6" s="439">
        <f>IF(OR(C196="",AB196="",AC196=""),"",IF(AND(E196&gt;AB196,AB196&gt;AC196),"パーフェクト▲",IF(E196&gt;AC196,"上昇トレンド▲",IF(AND(E196&lt;AB196,AB196&lt;AC196),"下降トレンド▼","もみ合い→"))))</f>
        <v/>
      </c>
      <c r="AE196" s="439">
        <f>IF(OR(C196="",AB196="",AC196=""),"",IF(AND(ABS(E196-AC196)/AC196&lt;=0.02,E196&gt;AC196),"25日押し目★",IF(AND(ABS(E196-AB196)/AB196&lt;=0.01,E196&gt;AB196),"5日押し目○","なし")))</f>
        <v/>
      </c>
      <c r="AF196" s="617">
        <f t="array" ref="AF196">IF(C196="","",IFERROR((INDEX(終値!$E:$E,MATCH(TEXT(C196,"0"),終値!$A:$A,0))-INDEX(終値!$E:$BL,MATCH(TEXT(C196,"0"),終値!$A:$A,0),$AL$2))/INDEX(終値!$E:$BL,MATCH(TEXT(C196,"0"),終値!$A:$A,0),$AL$2)*100,""))</f>
        <v/>
      </c>
      <c r="AG196" s="617">
        <f t="array" ref="AG196">IFERROR((終値!$E$5-INDEX(終値!$E$5:$BL$5,1,$AL$2))/INDEX(終値!$E$5:$BL$5,1,$AL$2)*100,"")</f>
        <v/>
      </c>
      <c r="AH196" s="618">
        <f>IF(OR(AF196="",AG196=""),"",AF196-AG196)</f>
        <v/>
      </c>
      <c r="AI196" s="385">
        <f>IF(AH196="","",IF(AH196&gt;5,3,IF(AH196&gt;0,1,IF(AH196&gt;-3,-1,-2))))</f>
        <v/>
      </c>
    </row>
    <row r="197" ht="18" customHeight="1" s="574">
      <c r="A197" s="176">
        <f>IF(銘柄管理!B86&lt;&gt;"",HYPERLINK("https://kabutan.jp/stock/?code="&amp;銘柄管理!B86,"株探"),"")</f>
        <v/>
      </c>
      <c r="B197" s="177" t="n"/>
      <c r="C197" s="178">
        <f>IF(銘柄管理!B86="","",銘柄管理!B86)</f>
        <v/>
      </c>
      <c r="D197" s="106">
        <f>IF(銘柄管理!C86="","",銘柄管理!C86)</f>
        <v/>
      </c>
      <c r="E197" s="179">
        <f>IF(C197&lt;&gt;"",_xll.RssMarket(C197,"現在値"),"")</f>
        <v/>
      </c>
      <c r="F197" s="179">
        <f>IF(C197&lt;&gt;"",_xll.RssMarket(C197,"始値"),"")</f>
        <v/>
      </c>
      <c r="G197" s="178">
        <f>IF(C197&lt;&gt;"",終値!F86,"")</f>
        <v/>
      </c>
      <c r="H197" s="179">
        <f>IF(C197&lt;&gt;"",_xll.RssMarket(C197,"高値"),"")</f>
        <v/>
      </c>
      <c r="I197" s="179">
        <f>IF(C197&lt;&gt;"",_xll.RssMarket(C197,"安値"),"")</f>
        <v/>
      </c>
      <c r="J197" s="179">
        <f>IF(C197&lt;&gt;"",_xll.RssMarket(C197,"出来高"),"")</f>
        <v/>
      </c>
      <c r="K197" s="179">
        <f>IF(C197&lt;&gt;"",_xll.RssMarket(C197,"年初来高値"),"")</f>
        <v/>
      </c>
      <c r="L197" s="613">
        <f>IF(AND(E197&lt;&gt;"",K197&lt;&gt;"",K197&lt;&gt;0),(E197-K197)/K197*100,"")</f>
        <v/>
      </c>
      <c r="M197" s="179">
        <f>IF(C197&lt;&gt;"",IFERROR(AVERAGE(出来高!E86:I86),""),"")</f>
        <v/>
      </c>
      <c r="N197" s="179">
        <f>IF(C197&lt;&gt;"",IFERROR(AVERAGE(出来高!E86:AC86),""),"")</f>
        <v/>
      </c>
      <c r="O197" s="614">
        <f>IF(AND(J197&lt;&gt;"",M197&lt;&gt;"",M197&lt;&gt;0),J197/M197,"")</f>
        <v/>
      </c>
      <c r="P197" s="176">
        <f>IF(O197="","",IF(O197&gt;=2,"急増↑↑",IF(O197&gt;=1.5,"増加↑",IF(O197&gt;=1,"普通→","減少↓"))))</f>
        <v/>
      </c>
      <c r="Q197" s="176">
        <f>IF(E197="","",IF(AND(E197&gt;G197,O197&gt;=1.5),"買い▲",IF(E197&lt;G197,"様子見▼","中立→")))</f>
        <v/>
      </c>
      <c r="R197" s="179">
        <f>IF(E197&lt;&gt;"",ROUND(E197*1.08,0),"")</f>
        <v/>
      </c>
      <c r="S197" s="179">
        <f>IF(E197&lt;&gt;"",ROUND(E197*0.96,0),"")</f>
        <v/>
      </c>
      <c r="T197" s="176">
        <f>IF(C197="","",IFERROR(IF(O197&gt;=2,3,IF(O197&gt;=1.5,2,IF(O197&gt;=1,1,0)))+IF(E197&gt;G197,1,0)+IF(L197&gt;=-5,1,0)+IF(Q197="買い▲",2,0)+IF(W197&lt;=30,3,IF(W197&lt;=40,2,IF(AND(W197&gt;=40,W197&lt;=60),1,0)))+IF(X197&gt;0,1,0)+IF(V197="年初来高値更新●",3,IF(V197="高値圏",2,0))+IF(AD197="パーフェクト▲",3,IF(AD197="上昇トレンド▲",2,0))+IF(AE197="25日線押し目●",2,IF(AE197="5日線押し目○",1,0))+IF(P197="急増↑↑",2,IF(P197="増加↑",1,0))+N(AI197),0))</f>
        <v/>
      </c>
      <c r="U197" s="176">
        <f>IF(T197="","",IF(AND(T197&gt;=3,O197&gt;=1.5),"有効",IF(T197&gt;=3,"要確認","除外")))</f>
        <v/>
      </c>
      <c r="V197" s="176">
        <f>IF(AND(H197&lt;&gt;"",K197&lt;&gt;""),IF(H197&gt;=K197,"年初来高値更新●",IF(H197&gt;=K197*0.95,"高値圏","通常")),"")</f>
        <v/>
      </c>
      <c r="W197" s="615">
        <f t="array" ref="W197">IF(C197&lt;&gt;"",IFERROR(100-100/(1+SUMPRODUCT((終値!F86:R86&gt;終値!G86:S86)*( 終値!F86:R86-終値!G86:S86))/SUMPRODUCT((終値!F86:R86&lt;終値!G86:S86)*(終値!G86:S86-終値!F86:R86))),50),"")</f>
        <v/>
      </c>
      <c r="X197" s="183">
        <f>IF(C197&lt;&gt;"",IFERROR(SUMPRODUCT(終値!E86:P86,{0.154,0.132,0.113,0.097,0.083,0.071,0.061,0.052,0.045,0.038,0.033,0.028})/SUMPRODUCT({0.154,0.132,0.113,0.097,0.083,0.071,0.061,0.052,0.045,0.038,0.033,0.028})-SUMPRODUCT(終値!E86:AD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7" s="570">
        <f>IF(T197="","",IF(銘柄管理!$F$5="下落▼",IF(AND(AD197="パーフェクト▲",OR(AE197="25日線押し目●",AE197="5日線押し目○")),"★逆張り候補",IF(AND(AD197="上昇トレンド▲",OR(AE197="25日線押し目●",AE197="5日線押し目○")),"○逆張り候補",IF(W197&lt;=30,IF(Z197&gt;0,"◎反発確認",IF(Z197&lt;-5,"△要注意・様子見","△売られ過ぎ注目")),"相場下落・見送り"))),IF(AND(T197&gt;=12,AD197="パーフェクト▲"),"★強い買い",IF(AND(T197&gt;=12,AD197="上昇トレンド▲"),"★強い買い",IF(AND(T197&gt;=8,OR(AE197="25日線押し目●",AE197="5日線押し目○")),"◎押し目買い",IF(T197&gt;=10,"○買い候補",IF(T197&gt;=6,"△注目",IF(T197&gt;=3,"様子見","見送り"))))))))</f>
        <v/>
      </c>
      <c r="Z197" s="616">
        <f>IF(AND(E197&lt;&gt;"",G197&lt;&gt;"",G197&lt;&gt;0),(E197-G197)/G197*100,"")</f>
        <v/>
      </c>
      <c r="AA197" s="176">
        <f>IF(OR(C197="",E197="",E197=0),"",IF(E197&gt;G197,"上昇▲",IF(E197&lt;G197,"下落▼","横ばい→")))</f>
        <v/>
      </c>
      <c r="AB197" s="440">
        <f>IF(C197="","",IFERROR(((終値!E199*0.333)+(終値!F199*0.222)+(終値!G199*0.148)+(終値!H199*0.099)+(終値!I199*0.066)+(終値!J199*0.044)+(終値!K199*0.029)+(終値!L199*0.019)+(終値!M199*0.013)+(終値!N199*0.009))/(0.333+0.222+0.148+0.099+0.066+0.044+0.029+0.019+0.013+0.009),""))</f>
        <v/>
      </c>
      <c r="AC197" s="440">
        <f>IF(C197="","",IFERROR(SUMPRODUCT((終値!E199:AC199)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7" s="441">
        <f>IF(OR(C197="",AB197="",AC197=""),"",IF(AND(E197&gt;AB197,AB197&gt;AC197),"パーフェクト▲",IF(E197&gt;AC197,"上昇トレンド▲",IF(AND(E197&lt;AB197,AB197&lt;AC197),"下降トレンド▼","もみ合い→"))))</f>
        <v/>
      </c>
      <c r="AE197" s="441">
        <f>IF(OR(C197="",AB197="",AC197=""),"",IF(AND(ABS(E197-AC197)/AC197&lt;=0.02,E197&gt;AC197),"25日押し目★",IF(AND(ABS(E197-AB197)/AB197&lt;=0.01,E197&gt;AB197),"5日押し目○","なし")))</f>
        <v/>
      </c>
      <c r="AF197" s="617">
        <f t="array" ref="AF197">IF(C197="","",IFERROR((INDEX(終値!$E:$E,MATCH(TEXT(C197,"0"),終値!$A:$A,0))-INDEX(終値!$E:$BL,MATCH(TEXT(C197,"0"),終値!$A:$A,0),$AL$2))/INDEX(終値!$E:$BL,MATCH(TEXT(C197,"0"),終値!$A:$A,0),$AL$2)*100,""))</f>
        <v/>
      </c>
      <c r="AG197" s="617">
        <f t="array" ref="AG197">IFERROR((終値!$E$5-INDEX(終値!$E$5:$BL$5,1,$AL$2))/INDEX(終値!$E$5:$BL$5,1,$AL$2)*100,"")</f>
        <v/>
      </c>
      <c r="AH197" s="618">
        <f>IF(OR(AF197="",AG197=""),"",AF197-AG197)</f>
        <v/>
      </c>
      <c r="AI197" s="385">
        <f>IF(AH197="","",IF(AH197&gt;5,3,IF(AH197&gt;0,1,IF(AH197&gt;-3,-1,-2))))</f>
        <v/>
      </c>
    </row>
    <row r="198" ht="18" customHeight="1" s="574">
      <c r="A198" s="176">
        <f>IF(銘柄管理!B59&lt;&gt;"",HYPERLINK("https://kabutan.jp/stock/?code="&amp;銘柄管理!B59,"株探"),"")</f>
        <v/>
      </c>
      <c r="B198" s="177" t="n"/>
      <c r="C198" s="178">
        <f>IF(銘柄管理!B59="","",銘柄管理!B59)</f>
        <v/>
      </c>
      <c r="D198" s="106">
        <f>IF(銘柄管理!C59="","",銘柄管理!C59)</f>
        <v/>
      </c>
      <c r="E198" s="179">
        <f>IF(C198&lt;&gt;"",_xll.RssMarket(C198,"現在値"),"")</f>
        <v/>
      </c>
      <c r="F198" s="179">
        <f>IF(C198&lt;&gt;"",_xll.RssMarket(C198,"始値"),"")</f>
        <v/>
      </c>
      <c r="G198" s="178">
        <f>IF(C198&lt;&gt;"",終値!F59,"")</f>
        <v/>
      </c>
      <c r="H198" s="179">
        <f>IF(C198&lt;&gt;"",_xll.RssMarket(C198,"高値"),"")</f>
        <v/>
      </c>
      <c r="I198" s="179">
        <f>IF(C198&lt;&gt;"",_xll.RssMarket(C198,"安値"),"")</f>
        <v/>
      </c>
      <c r="J198" s="179">
        <f>IF(C198&lt;&gt;"",_xll.RssMarket(C198,"出来高"),"")</f>
        <v/>
      </c>
      <c r="K198" s="179">
        <f>IF(C198&lt;&gt;"",_xll.RssMarket(C198,"年初来高値"),"")</f>
        <v/>
      </c>
      <c r="L198" s="613">
        <f>IF(AND(E198&lt;&gt;"",K198&lt;&gt;"",K198&lt;&gt;0),(E198-K198)/K198*100,"")</f>
        <v/>
      </c>
      <c r="M198" s="179">
        <f>IF(C198&lt;&gt;"",IFERROR(AVERAGE(出来高!E59:I59),""),"")</f>
        <v/>
      </c>
      <c r="N198" s="179">
        <f>IF(C198&lt;&gt;"",IFERROR(AVERAGE(出来高!E59:AC59),""),"")</f>
        <v/>
      </c>
      <c r="O198" s="614">
        <f>IF(AND(J198&lt;&gt;"",M198&lt;&gt;"",M198&lt;&gt;0),J198/M198,"")</f>
        <v/>
      </c>
      <c r="P198" s="176">
        <f>IF(O198="","",IF(O198&gt;=2,"急増↑↑",IF(O198&gt;=1.5,"増加↑",IF(O198&gt;=1,"普通→","減少↓"))))</f>
        <v/>
      </c>
      <c r="Q198" s="176">
        <f>IF(E198="","",IF(AND(E198&gt;G198,O198&gt;=1.5),"買い▲",IF(E198&lt;G198,"様子見▼","中立→")))</f>
        <v/>
      </c>
      <c r="R198" s="179">
        <f>IF(E198&lt;&gt;"",ROUND(E198*1.08,0),"")</f>
        <v/>
      </c>
      <c r="S198" s="179">
        <f>IF(E198&lt;&gt;"",ROUND(E198*0.96,0),"")</f>
        <v/>
      </c>
      <c r="T198" s="176">
        <f>IF(C198="","",IFERROR(IF(O198&gt;=2,3,IF(O198&gt;=1.5,2,IF(O198&gt;=1,1,0)))+IF(E198&gt;G198,1,0)+IF(L198&gt;=-5,1,0)+IF(Q198="買い▲",2,0)+IF(W198&lt;=30,3,IF(W198&lt;=40,2,IF(AND(W198&gt;=40,W198&lt;=60),1,0)))+IF(X198&gt;0,1,0)+IF(V198="年初来高値更新●",3,IF(V198="高値圏",2,0))+IF(AD198="パーフェクト▲",3,IF(AD198="上昇トレンド▲",2,0))+IF(AE198="25日線押し目●",2,IF(AE198="5日線押し目○",1,0))+IF(P198="急増↑↑",2,IF(P198="増加↑",1,0))+N(AI198),0))</f>
        <v/>
      </c>
      <c r="U198" s="176">
        <f>IF(T198="","",IF(AND(T198&gt;=3,O198&gt;=1.5),"有効",IF(T198&gt;=3,"要確認","除外")))</f>
        <v/>
      </c>
      <c r="V198" s="176">
        <f>IF(AND(H198&lt;&gt;"",K198&lt;&gt;""),IF(H198&gt;=K198,"年初来高値更新●",IF(H198&gt;=K198*0.95,"高値圏","通常")),"")</f>
        <v/>
      </c>
      <c r="W198" s="615">
        <f t="array" ref="W198">IF(C198&lt;&gt;"",IFERROR(100-100/(1+SUMPRODUCT((終値!F59:R59&gt;終値!G59:S59)*( 終値!F59:R59-終値!G59:S59))/SUMPRODUCT((終値!F59:R59&lt;終値!G59:S59)*(終値!G59:S59-終値!F59:R59))),50),"")</f>
        <v/>
      </c>
      <c r="X198" s="183">
        <f>IF(C198&lt;&gt;"",IFERROR(SUMPRODUCT(終値!E59:P59,{0.154,0.132,0.113,0.097,0.083,0.071,0.061,0.052,0.045,0.038,0.033,0.028})/SUMPRODUCT({0.154,0.132,0.113,0.097,0.083,0.071,0.061,0.052,0.045,0.038,0.033,0.028})-SUMPRODUCT(終値!E59:AD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8" s="570">
        <f>IF(T198="","",IF(銘柄管理!$F$5="下落▼",IF(AND(AD198="パーフェクト▲",OR(AE198="25日線押し目●",AE198="5日線押し目○")),"★逆張り候補",IF(AND(AD198="上昇トレンド▲",OR(AE198="25日線押し目●",AE198="5日線押し目○")),"○逆張り候補",IF(W198&lt;=30,IF(Z198&gt;0,"◎反発確認",IF(Z198&lt;-5,"△要注意・様子見","△売られ過ぎ注目")),"相場下落・見送り"))),IF(AND(T198&gt;=12,AD198="パーフェクト▲"),"★強い買い",IF(AND(T198&gt;=12,AD198="上昇トレンド▲"),"★強い買い",IF(AND(T198&gt;=8,OR(AE198="25日線押し目●",AE198="5日線押し目○")),"◎押し目買い",IF(T198&gt;=10,"○買い候補",IF(T198&gt;=6,"△注目",IF(T198&gt;=3,"様子見","見送り"))))))))</f>
        <v/>
      </c>
      <c r="Z198" s="616">
        <f>IF(AND(E198&lt;&gt;"",G198&lt;&gt;"",G198&lt;&gt;0),(E198-G198)/G198*100,"")</f>
        <v/>
      </c>
      <c r="AA198" s="176">
        <f>IF(OR(C198="",E198="",E198=0),"",IF(E198&gt;G198,"上昇▲",IF(E198&lt;G198,"下落▼","横ばい→")))</f>
        <v/>
      </c>
      <c r="AB198" s="438">
        <f>IF(C198="","",IFERROR(((終値!E200*0.333)+(終値!F200*0.222)+(終値!G200*0.148)+(終値!H200*0.099)+(終値!I200*0.066)+(終値!J200*0.044)+(終値!K200*0.029)+(終値!L200*0.019)+(終値!M200*0.013)+(終値!N200*0.009))/(0.333+0.222+0.148+0.099+0.066+0.044+0.029+0.019+0.013+0.009),""))</f>
        <v/>
      </c>
      <c r="AC198" s="438">
        <f>IF(C198="","",IFERROR(SUMPRODUCT((終値!E200:AC200)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8" s="439">
        <f>IF(OR(C198="",AB198="",AC198=""),"",IF(AND(E198&gt;AB198,AB198&gt;AC198),"パーフェクト▲",IF(E198&gt;AC198,"上昇トレンド▲",IF(AND(E198&lt;AB198,AB198&lt;AC198),"下降トレンド▼","もみ合い→"))))</f>
        <v/>
      </c>
      <c r="AE198" s="439">
        <f>IF(OR(C198="",AB198="",AC198=""),"",IF(AND(ABS(E198-AC198)/AC198&lt;=0.02,E198&gt;AC198),"25日押し目★",IF(AND(ABS(E198-AB198)/AB198&lt;=0.01,E198&gt;AB198),"5日押し目○","なし")))</f>
        <v/>
      </c>
      <c r="AF198" s="617">
        <f t="array" ref="AF198">IF(C198="","",IFERROR((INDEX(終値!$E:$E,MATCH(TEXT(C198,"0"),終値!$A:$A,0))-INDEX(終値!$E:$BL,MATCH(TEXT(C198,"0"),終値!$A:$A,0),$AL$2))/INDEX(終値!$E:$BL,MATCH(TEXT(C198,"0"),終値!$A:$A,0),$AL$2)*100,""))</f>
        <v/>
      </c>
      <c r="AG198" s="617">
        <f t="array" ref="AG198">IFERROR((終値!$E$5-INDEX(終値!$E$5:$BL$5,1,$AL$2))/INDEX(終値!$E$5:$BL$5,1,$AL$2)*100,"")</f>
        <v/>
      </c>
      <c r="AH198" s="618">
        <f>IF(OR(AF198="",AG198=""),"",AF198-AG198)</f>
        <v/>
      </c>
      <c r="AI198" s="385">
        <f>IF(AH198="","",IF(AH198&gt;5,3,IF(AH198&gt;0,1,IF(AH198&gt;-3,-1,-2))))</f>
        <v/>
      </c>
    </row>
    <row r="199" ht="18" customHeight="1" s="574">
      <c r="A199" s="176">
        <f>IF(銘柄管理!B175&lt;&gt;"",HYPERLINK("https://kabutan.jp/stock/?code="&amp;銘柄管理!B175,"株探"),"")</f>
        <v/>
      </c>
      <c r="B199" s="177" t="n"/>
      <c r="C199" s="178">
        <f>IF(銘柄管理!B175="","",銘柄管理!B175)</f>
        <v/>
      </c>
      <c r="D199" s="106">
        <f>IF(銘柄管理!C175="","",銘柄管理!C175)</f>
        <v/>
      </c>
      <c r="E199" s="179">
        <f>IF(C199&lt;&gt;"",_xll.RssMarket(C199,"現在値"),"")</f>
        <v/>
      </c>
      <c r="F199" s="179">
        <f>IF(C199&lt;&gt;"",_xll.RssMarket(C199,"始値"),"")</f>
        <v/>
      </c>
      <c r="G199" s="178">
        <f>IF(C199&lt;&gt;"",終値!F175,"")</f>
        <v/>
      </c>
      <c r="H199" s="179">
        <f>IF(C199&lt;&gt;"",_xll.RssMarket(C199,"高値"),"")</f>
        <v/>
      </c>
      <c r="I199" s="179">
        <f>IF(C199&lt;&gt;"",_xll.RssMarket(C199,"安値"),"")</f>
        <v/>
      </c>
      <c r="J199" s="179">
        <f>IF(C199&lt;&gt;"",_xll.RssMarket(C199,"出来高"),"")</f>
        <v/>
      </c>
      <c r="K199" s="179">
        <f>IF(C199&lt;&gt;"",_xll.RssMarket(C199,"年初来高値"),"")</f>
        <v/>
      </c>
      <c r="L199" s="613">
        <f>IF(AND(E199&lt;&gt;"",K199&lt;&gt;"",K199&lt;&gt;0),(E199-K199)/K199*100,"")</f>
        <v/>
      </c>
      <c r="M199" s="179">
        <f>IF(C199&lt;&gt;"",IFERROR(AVERAGE(出来高!E175:I175),""),"")</f>
        <v/>
      </c>
      <c r="N199" s="179">
        <f>IF(C199&lt;&gt;"",IFERROR(AVERAGE(出来高!E175:AC175),""),"")</f>
        <v/>
      </c>
      <c r="O199" s="614">
        <f>IF(AND(J199&lt;&gt;"",M199&lt;&gt;"",M199&lt;&gt;0),J199/M199,"")</f>
        <v/>
      </c>
      <c r="P199" s="176">
        <f>IF(O199="","",IF(O199&gt;=2,"急増↑↑",IF(O199&gt;=1.5,"増加↑",IF(O199&gt;=1,"普通→","減少↓"))))</f>
        <v/>
      </c>
      <c r="Q199" s="176">
        <f>IF(E199="","",IF(AND(E199&gt;G199,O199&gt;=1.5),"買い▲",IF(E199&lt;G199,"様子見▼","中立→")))</f>
        <v/>
      </c>
      <c r="R199" s="179">
        <f>IF(E199&lt;&gt;"",ROUND(E199*1.08,0),"")</f>
        <v/>
      </c>
      <c r="S199" s="179">
        <f>IF(E199&lt;&gt;"",ROUND(E199*0.96,0),"")</f>
        <v/>
      </c>
      <c r="T199" s="176">
        <f>IF(C199="","",IFERROR(IF(O199&gt;=2,3,IF(O199&gt;=1.5,2,IF(O199&gt;=1,1,0)))+IF(E199&gt;G199,1,0)+IF(L199&gt;=-5,1,0)+IF(Q199="買い▲",2,0)+IF(W199&lt;=30,3,IF(W199&lt;=40,2,IF(AND(W199&gt;=40,W199&lt;=60),1,0)))+IF(X199&gt;0,1,0)+IF(V199="年初来高値更新●",3,IF(V199="高値圏",2,0))+IF(AD199="パーフェクト▲",3,IF(AD199="上昇トレンド▲",2,0))+IF(AE199="25日線押し目●",2,IF(AE199="5日線押し目○",1,0))+IF(P199="急増↑↑",2,IF(P199="増加↑",1,0))+N(AI199),0))</f>
        <v/>
      </c>
      <c r="U199" s="176">
        <f>IF(T199="","",IF(AND(T199&gt;=3,O199&gt;=1.5),"有効",IF(T199&gt;=3,"要確認","除外")))</f>
        <v/>
      </c>
      <c r="V199" s="176">
        <f>IF(AND(H199&lt;&gt;"",K199&lt;&gt;""),IF(H199&gt;=K199,"年初来高値更新●",IF(H199&gt;=K199*0.95,"高値圏","通常")),"")</f>
        <v/>
      </c>
      <c r="W199" s="615">
        <f t="array" ref="W199">IF(C199&lt;&gt;"",IFERROR(100-100/(1+SUMPRODUCT((終値!F175:R175&gt;終値!G175:S175)*( 終値!F175:R175-終値!G175:S175))/SUMPRODUCT((終値!F175:R175&lt;終値!G175:S175)*(終値!G175:S175-終値!F175:R175))),50),"")</f>
        <v/>
      </c>
      <c r="X199" s="183">
        <f>IF(C199&lt;&gt;"",IFERROR(SUMPRODUCT(終値!E175:P175,{0.154,0.132,0.113,0.097,0.083,0.071,0.061,0.052,0.045,0.038,0.033,0.028})/SUMPRODUCT({0.154,0.132,0.113,0.097,0.083,0.071,0.061,0.052,0.045,0.038,0.033,0.028})-SUMPRODUCT(終値!E175:AD175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9" s="570">
        <f>IF(T199="","",IF(銘柄管理!$F$5="下落▼",IF(AND(AD199="パーフェクト▲",OR(AE199="25日線押し目●",AE199="5日線押し目○")),"★逆張り候補",IF(AND(AD199="上昇トレンド▲",OR(AE199="25日線押し目●",AE199="5日線押し目○")),"○逆張り候補",IF(W199&lt;=30,IF(Z199&gt;0,"◎反発確認",IF(Z199&lt;-5,"△要注意・様子見","△売られ過ぎ注目")),"相場下落・見送り"))),IF(AND(T199&gt;=12,AD199="パーフェクト▲"),"★強い買い",IF(AND(T199&gt;=12,AD199="上昇トレンド▲"),"★強い買い",IF(AND(T199&gt;=8,OR(AE199="25日線押し目●",AE199="5日線押し目○")),"◎押し目買い",IF(T199&gt;=10,"○買い候補",IF(T199&gt;=6,"△注目",IF(T199&gt;=3,"様子見","見送り"))))))))</f>
        <v/>
      </c>
      <c r="Z199" s="616">
        <f>IF(AND(E199&lt;&gt;"",G199&lt;&gt;"",G199&lt;&gt;0),(E199-G199)/G199*100,"")</f>
        <v/>
      </c>
      <c r="AA199" s="176">
        <f>IF(OR(C199="",E199="",E199=0),"",IF(E199&gt;G199,"上昇▲",IF(E199&lt;G199,"下落▼","横ばい→")))</f>
        <v/>
      </c>
      <c r="AB199" s="440">
        <f>IF(C199="","",IFERROR(((終値!E201*0.333)+(終値!F201*0.222)+(終値!G201*0.148)+(終値!H201*0.099)+(終値!I201*0.066)+(終値!J201*0.044)+(終値!K201*0.029)+(終値!L201*0.019)+(終値!M201*0.013)+(終値!N201*0.009))/(0.333+0.222+0.148+0.099+0.066+0.044+0.029+0.019+0.013+0.009),""))</f>
        <v/>
      </c>
      <c r="AC199" s="440">
        <f>IF(C199="","",IFERROR(SUMPRODUCT((終値!E201:AC201)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9" s="441">
        <f>IF(OR(C199="",AB199="",AC199=""),"",IF(AND(E199&gt;AB199,AB199&gt;AC199),"パーフェクト▲",IF(E199&gt;AC199,"上昇トレンド▲",IF(AND(E199&lt;AB199,AB199&lt;AC199),"下降トレンド▼","もみ合い→"))))</f>
        <v/>
      </c>
      <c r="AE199" s="441">
        <f>IF(OR(C199="",AB199="",AC199=""),"",IF(AND(ABS(E199-AC199)/AC199&lt;=0.02,E199&gt;AC199),"25日押し目★",IF(AND(ABS(E199-AB199)/AB199&lt;=0.01,E199&gt;AB199),"5日押し目○","なし")))</f>
        <v/>
      </c>
      <c r="AF199" s="617">
        <f t="array" ref="AF199">IF(C199="","",IFERROR((INDEX(終値!$E:$E,MATCH(TEXT(C199,"0"),終値!$A:$A,0))-INDEX(終値!$E:$BL,MATCH(TEXT(C199,"0"),終値!$A:$A,0),$AL$2))/INDEX(終値!$E:$BL,MATCH(TEXT(C199,"0"),終値!$A:$A,0),$AL$2)*100,""))</f>
        <v/>
      </c>
      <c r="AG199" s="617">
        <f t="array" ref="AG199">IFERROR((終値!$E$5-INDEX(終値!$E$5:$BL$5,1,$AL$2))/INDEX(終値!$E$5:$BL$5,1,$AL$2)*100,"")</f>
        <v/>
      </c>
      <c r="AH199" s="618">
        <f>IF(OR(AF199="",AG199=""),"",AF199-AG199)</f>
        <v/>
      </c>
      <c r="AI199" s="385">
        <f>IF(AH199="","",IF(AH199&gt;5,3,IF(AH199&gt;0,1,IF(AH199&gt;-3,-1,-2))))</f>
        <v/>
      </c>
    </row>
    <row r="200" ht="18" customHeight="1" s="574">
      <c r="A200" s="176">
        <f>IF(銘柄管理!B176&lt;&gt;"",HYPERLINK("https://kabutan.jp/stock/?code="&amp;銘柄管理!B176,"株探"),"")</f>
        <v/>
      </c>
      <c r="B200" s="177" t="n"/>
      <c r="C200" s="178">
        <f>IF(銘柄管理!B176="","",銘柄管理!B176)</f>
        <v/>
      </c>
      <c r="D200" s="106">
        <f>IF(銘柄管理!C176="","",銘柄管理!C176)</f>
        <v/>
      </c>
      <c r="E200" s="179">
        <f>IF(C200&lt;&gt;"",_xll.RssMarket(C200,"現在値"),"")</f>
        <v/>
      </c>
      <c r="F200" s="179">
        <f>IF(C200&lt;&gt;"",_xll.RssMarket(C200,"始値"),"")</f>
        <v/>
      </c>
      <c r="G200" s="178">
        <f>IF(C200&lt;&gt;"",終値!F176,"")</f>
        <v/>
      </c>
      <c r="H200" s="179">
        <f>IF(C200&lt;&gt;"",_xll.RssMarket(C200,"高値"),"")</f>
        <v/>
      </c>
      <c r="I200" s="179">
        <f>IF(C200&lt;&gt;"",_xll.RssMarket(C200,"安値"),"")</f>
        <v/>
      </c>
      <c r="J200" s="179">
        <f>IF(C200&lt;&gt;"",_xll.RssMarket(C200,"出来高"),"")</f>
        <v/>
      </c>
      <c r="K200" s="179">
        <f>IF(C200&lt;&gt;"",_xll.RssMarket(C200,"年初来高値"),"")</f>
        <v/>
      </c>
      <c r="L200" s="613">
        <f>IF(AND(E200&lt;&gt;"",K200&lt;&gt;"",K200&lt;&gt;0),(E200-K200)/K200*100,"")</f>
        <v/>
      </c>
      <c r="M200" s="179">
        <f>IF(C200&lt;&gt;"",IFERROR(AVERAGE(出来高!E176:I176),""),"")</f>
        <v/>
      </c>
      <c r="N200" s="179">
        <f>IF(C200&lt;&gt;"",IFERROR(AVERAGE(出来高!E176:AC176),""),"")</f>
        <v/>
      </c>
      <c r="O200" s="614">
        <f>IF(AND(J200&lt;&gt;"",M200&lt;&gt;"",M200&lt;&gt;0),J200/M200,"")</f>
        <v/>
      </c>
      <c r="P200" s="176">
        <f>IF(O200="","",IF(O200&gt;=2,"急増↑↑",IF(O200&gt;=1.5,"増加↑",IF(O200&gt;=1,"普通→","減少↓"))))</f>
        <v/>
      </c>
      <c r="Q200" s="176">
        <f>IF(E200="","",IF(AND(E200&gt;G200,O200&gt;=1.5),"買い▲",IF(E200&lt;G200,"様子見▼","中立→")))</f>
        <v/>
      </c>
      <c r="R200" s="179">
        <f>IF(E200&lt;&gt;"",ROUND(E200*1.08,0),"")</f>
        <v/>
      </c>
      <c r="S200" s="179">
        <f>IF(E200&lt;&gt;"",ROUND(E200*0.96,0),"")</f>
        <v/>
      </c>
      <c r="T200" s="176">
        <f>IF(C200="","",IFERROR(IF(O200&gt;=2,3,IF(O200&gt;=1.5,2,IF(O200&gt;=1,1,0)))+IF(E200&gt;G200,1,0)+IF(L200&gt;=-5,1,0)+IF(Q200="買い▲",2,0)+IF(W200&lt;=30,3,IF(W200&lt;=40,2,IF(AND(W200&gt;=40,W200&lt;=60),1,0)))+IF(X200&gt;0,1,0)+IF(V200="年初来高値更新●",3,IF(V200="高値圏",2,0))+IF(AD200="パーフェクト▲",3,IF(AD200="上昇トレンド▲",2,0))+IF(AE200="25日線押し目●",2,IF(AE200="5日線押し目○",1,0))+IF(P200="急増↑↑",2,IF(P200="増加↑",1,0))+N(AI200),0))</f>
        <v/>
      </c>
      <c r="U200" s="176">
        <f>IF(T200="","",IF(AND(T200&gt;=3,O200&gt;=1.5),"有効",IF(T200&gt;=3,"要確認","除外")))</f>
        <v/>
      </c>
      <c r="V200" s="176">
        <f>IF(AND(H200&lt;&gt;"",K200&lt;&gt;""),IF(H200&gt;=K200,"年初来高値更新●",IF(H200&gt;=K200*0.95,"高値圏","通常")),"")</f>
        <v/>
      </c>
      <c r="W200" s="615">
        <f t="array" ref="W200">IF(C200&lt;&gt;"",IFERROR(100-100/(1+SUMPRODUCT((終値!F176:R176&gt;終値!G176:S176)*( 終値!F176:R176-終値!G176:S176))/SUMPRODUCT((終値!F176:R176&lt;終値!G176:S176)*(終値!G176:S176-終値!F176:R176))),50),"")</f>
        <v/>
      </c>
      <c r="X200" s="183">
        <f>IF(C200&lt;&gt;"",IFERROR(SUMPRODUCT(終値!E176:P176,{0.154,0.132,0.113,0.097,0.083,0.071,0.061,0.052,0.045,0.038,0.033,0.028})/SUMPRODUCT({0.154,0.132,0.113,0.097,0.083,0.071,0.061,0.052,0.045,0.038,0.033,0.028})-SUMPRODUCT(終値!E176:AD176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0" s="570">
        <f>IF(T200="","",IF(銘柄管理!$F$5="下落▼",IF(AND(AD200="パーフェクト▲",OR(AE200="25日線押し目●",AE200="5日線押し目○")),"★逆張り候補",IF(AND(AD200="上昇トレンド▲",OR(AE200="25日線押し目●",AE200="5日線押し目○")),"○逆張り候補",IF(W200&lt;=30,IF(Z200&gt;0,"◎反発確認",IF(Z200&lt;-5,"△要注意・様子見","△売られ過ぎ注目")),"相場下落・見送り"))),IF(AND(T200&gt;=12,AD200="パーフェクト▲"),"★強い買い",IF(AND(T200&gt;=12,AD200="上昇トレンド▲"),"★強い買い",IF(AND(T200&gt;=8,OR(AE200="25日線押し目●",AE200="5日線押し目○")),"◎押し目買い",IF(T200&gt;=10,"○買い候補",IF(T200&gt;=6,"△注目",IF(T200&gt;=3,"様子見","見送り"))))))))</f>
        <v/>
      </c>
      <c r="Z200" s="616">
        <f>IF(AND(E200&lt;&gt;"",G200&lt;&gt;"",G200&lt;&gt;0),(E200-G200)/G200*100,"")</f>
        <v/>
      </c>
      <c r="AA200" s="176">
        <f>IF(OR(C200="",E200="",E200=0),"",IF(E200&gt;G200,"上昇▲",IF(E200&lt;G200,"下落▼","横ばい→")))</f>
        <v/>
      </c>
      <c r="AB200" s="438">
        <f>IF(C200="","",IFERROR(((終値!E202*0.333)+(終値!F202*0.222)+(終値!G202*0.148)+(終値!H202*0.099)+(終値!I202*0.066)+(終値!J202*0.044)+(終値!K202*0.029)+(終値!L202*0.019)+(終値!M202*0.013)+(終値!N202*0.009))/(0.333+0.222+0.148+0.099+0.066+0.044+0.029+0.019+0.013+0.009),""))</f>
        <v/>
      </c>
      <c r="AC200" s="438">
        <f>IF(C200="","",IFERROR(SUMPRODUCT((終値!E202:AC202)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00" s="439">
        <f>IF(OR(C200="",AB200="",AC200=""),"",IF(AND(E200&gt;AB200,AB200&gt;AC200),"パーフェクト▲",IF(E200&gt;AC200,"上昇トレンド▲",IF(AND(E200&lt;AB200,AB200&lt;AC200),"下降トレンド▼","もみ合い→"))))</f>
        <v/>
      </c>
      <c r="AE200" s="439">
        <f>IF(OR(C200="",AB200="",AC200=""),"",IF(AND(ABS(E200-AC200)/AC200&lt;=0.02,E200&gt;AC200),"25日押し目★",IF(AND(ABS(E200-AB200)/AB200&lt;=0.01,E200&gt;AB200),"5日押し目○","なし")))</f>
        <v/>
      </c>
      <c r="AF200" s="617">
        <f t="array" ref="AF200">IF(C200="","",IFERROR((INDEX(終値!$E:$E,MATCH(TEXT(C200,"0"),終値!$A:$A,0))-INDEX(終値!$E:$BL,MATCH(TEXT(C200,"0"),終値!$A:$A,0),$AL$2))/INDEX(終値!$E:$BL,MATCH(TEXT(C200,"0"),終値!$A:$A,0),$AL$2)*100,""))</f>
        <v/>
      </c>
      <c r="AG200" s="617">
        <f t="array" ref="AG200">IFERROR((終値!$E$5-INDEX(終値!$E$5:$BL$5,1,$AL$2))/INDEX(終値!$E$5:$BL$5,1,$AL$2)*100,"")</f>
        <v/>
      </c>
      <c r="AH200" s="618">
        <f>IF(OR(AF200="",AG200=""),"",AF200-AG200)</f>
        <v/>
      </c>
      <c r="AI200" s="385">
        <f>IF(AH200="","",IF(AH200&gt;5,3,IF(AH200&gt;0,1,IF(AH200&gt;-3,-1,-2))))</f>
        <v/>
      </c>
    </row>
    <row r="201" ht="18" customHeight="1" s="574">
      <c r="A201" s="176">
        <f>IF(銘柄管理!B163&lt;&gt;"",HYPERLINK("https://kabutan.jp/stock/?code="&amp;銘柄管理!B163,"株探"),"")</f>
        <v/>
      </c>
      <c r="B201" s="177" t="n"/>
      <c r="C201" s="178">
        <f>IF(銘柄管理!B163="","",銘柄管理!B163)</f>
        <v/>
      </c>
      <c r="D201" s="106">
        <f>IF(銘柄管理!C163="","",銘柄管理!C163)</f>
        <v/>
      </c>
      <c r="E201" s="179">
        <f>IF(C201&lt;&gt;"",_xll.RssMarket(C201,"現在値"),"")</f>
        <v/>
      </c>
      <c r="F201" s="179">
        <f>IF(C201&lt;&gt;"",_xll.RssMarket(C201,"始値"),"")</f>
        <v/>
      </c>
      <c r="G201" s="178">
        <f>IF(C201&lt;&gt;"",終値!F163,"")</f>
        <v/>
      </c>
      <c r="H201" s="179">
        <f>IF(C201&lt;&gt;"",_xll.RssMarket(C201,"高値"),"")</f>
        <v/>
      </c>
      <c r="I201" s="179">
        <f>IF(C201&lt;&gt;"",_xll.RssMarket(C201,"安値"),"")</f>
        <v/>
      </c>
      <c r="J201" s="179">
        <f>IF(C201&lt;&gt;"",_xll.RssMarket(C201,"出来高"),"")</f>
        <v/>
      </c>
      <c r="K201" s="179">
        <f>IF(C201&lt;&gt;"",_xll.RssMarket(C201,"年初来高値"),"")</f>
        <v/>
      </c>
      <c r="L201" s="613">
        <f>IF(AND(E201&lt;&gt;"",K201&lt;&gt;"",K201&lt;&gt;0),(E201-K201)/K201*100,"")</f>
        <v/>
      </c>
      <c r="M201" s="179">
        <f>IF(C201&lt;&gt;"",IFERROR(AVERAGE(出来高!E163:I163),""),"")</f>
        <v/>
      </c>
      <c r="N201" s="179">
        <f>IF(C201&lt;&gt;"",IFERROR(AVERAGE(出来高!E163:AC163),""),"")</f>
        <v/>
      </c>
      <c r="O201" s="614">
        <f>IF(AND(J201&lt;&gt;"",M201&lt;&gt;"",M201&lt;&gt;0),J201/M201,"")</f>
        <v/>
      </c>
      <c r="P201" s="176">
        <f>IF(O201="","",IF(O201&gt;=2,"急増↑↑",IF(O201&gt;=1.5,"増加↑",IF(O201&gt;=1,"普通→","減少↓"))))</f>
        <v/>
      </c>
      <c r="Q201" s="176">
        <f>IF(E201="","",IF(AND(E201&gt;G201,O201&gt;=1.5),"買い▲",IF(E201&lt;G201,"様子見▼","中立→")))</f>
        <v/>
      </c>
      <c r="R201" s="179">
        <f>IF(E201&lt;&gt;"",ROUND(E201*1.08,0),"")</f>
        <v/>
      </c>
      <c r="S201" s="179">
        <f>IF(E201&lt;&gt;"",ROUND(E201*0.96,0),"")</f>
        <v/>
      </c>
      <c r="T201" s="176">
        <f>IF(C201="","",IFERROR(IF(O201&gt;=2,3,IF(O201&gt;=1.5,2,IF(O201&gt;=1,1,0)))+IF(E201&gt;G201,1,0)+IF(L201&gt;=-5,1,0)+IF(Q201="買い▲",2,0)+IF(W201&lt;=30,3,IF(W201&lt;=40,2,IF(AND(W201&gt;=40,W201&lt;=60),1,0)))+IF(X201&gt;0,1,0)+IF(V201="年初来高値更新●",3,IF(V201="高値圏",2,0))+IF(AD201="パーフェクト▲",3,IF(AD201="上昇トレンド▲",2,0))+IF(AE201="25日線押し目●",2,IF(AE201="5日線押し目○",1,0))+IF(P201="急増↑↑",2,IF(P201="増加↑",1,0))+N(AI201),0))</f>
        <v/>
      </c>
      <c r="U201" s="176">
        <f>IF(T201="","",IF(AND(T201&gt;=3,O201&gt;=1.5),"有効",IF(T201&gt;=3,"要確認","除外")))</f>
        <v/>
      </c>
      <c r="V201" s="176">
        <f>IF(AND(H201&lt;&gt;"",K201&lt;&gt;""),IF(H201&gt;=K201,"年初来高値更新●",IF(H201&gt;=K201*0.95,"高値圏","通常")),"")</f>
        <v/>
      </c>
      <c r="W201" s="615">
        <f t="array" ref="W201">IF(C201&lt;&gt;"",IFERROR(100-100/(1+SUMPRODUCT((終値!F163:R163&gt;終値!G163:S163)*( 終値!F163:R163-終値!G163:S163))/SUMPRODUCT((終値!F163:R163&lt;終値!G163:S163)*(終値!G163:S163-終値!F163:R163))),50),"")</f>
        <v/>
      </c>
      <c r="X201" s="183">
        <f>IF(C201&lt;&gt;"",IFERROR(SUMPRODUCT(終値!E163:P163,{0.154,0.132,0.113,0.097,0.083,0.071,0.061,0.052,0.045,0.038,0.033,0.028})/SUMPRODUCT({0.154,0.132,0.113,0.097,0.083,0.071,0.061,0.052,0.045,0.038,0.033,0.028})-SUMPRODUCT(終値!E163:AD163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1" s="570">
        <f>IF(T201="","",IF(銘柄管理!$F$5="下落▼",IF(AND(AD201="パーフェクト▲",OR(AE201="25日線押し目●",AE201="5日線押し目○")),"★逆張り候補",IF(AND(AD201="上昇トレンド▲",OR(AE201="25日線押し目●",AE201="5日線押し目○")),"○逆張り候補",IF(W201&lt;=30,IF(Z201&gt;0,"◎反発確認",IF(Z201&lt;-5,"△要注意・様子見","△売られ過ぎ注目")),"相場下落・見送り"))),IF(AND(T201&gt;=12,AD201="パーフェクト▲"),"★強い買い",IF(AND(T201&gt;=12,AD201="上昇トレンド▲"),"★強い買い",IF(AND(T201&gt;=8,OR(AE201="25日線押し目●",AE201="5日線押し目○")),"◎押し目買い",IF(T201&gt;=10,"○買い候補",IF(T201&gt;=6,"△注目",IF(T201&gt;=3,"様子見","見送り"))))))))</f>
        <v/>
      </c>
      <c r="Z201" s="616">
        <f>IF(AND(E201&lt;&gt;"",G201&lt;&gt;"",G201&lt;&gt;0),(E201-G201)/G201*100,"")</f>
        <v/>
      </c>
      <c r="AA201" s="176">
        <f>IF(OR(C201="",E201="",E201=0),"",IF(E201&gt;G201,"上昇▲",IF(E201&lt;G201,"下落▼","横ばい→")))</f>
        <v/>
      </c>
      <c r="AB201" s="440">
        <f>IF(C201="","",IFERROR(((終値!E203*0.333)+(終値!F203*0.222)+(終値!G203*0.148)+(終値!H203*0.099)+(終値!I203*0.066)+(終値!J203*0.044)+(終値!K203*0.029)+(終値!L203*0.019)+(終値!M203*0.013)+(終値!N203*0.009))/(0.333+0.222+0.148+0.099+0.066+0.044+0.029+0.019+0.013+0.009),""))</f>
        <v/>
      </c>
      <c r="AC201" s="440">
        <f>IF(C201="","",IFERROR(SUMPRODUCT((終値!E203:AC203)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01" s="441">
        <f>IF(OR(C201="",AB201="",AC201=""),"",IF(AND(E201&gt;AB201,AB201&gt;AC201),"パーフェクト▲",IF(E201&gt;AC201,"上昇トレンド▲",IF(AND(E201&lt;AB201,AB201&lt;AC201),"下降トレンド▼","もみ合い→"))))</f>
        <v/>
      </c>
      <c r="AE201" s="441">
        <f>IF(OR(C201="",AB201="",AC201=""),"",IF(AND(ABS(E201-AC201)/AC201&lt;=0.02,E201&gt;AC201),"25日押し目★",IF(AND(ABS(E201-AB201)/AB201&lt;=0.01,E201&gt;AB201),"5日押し目○","なし")))</f>
        <v/>
      </c>
      <c r="AF201" s="617">
        <f t="array" ref="AF201">IF(C201="","",IFERROR((INDEX(終値!$E:$E,MATCH(TEXT(C201,"0"),終値!$A:$A,0))-INDEX(終値!$E:$BL,MATCH(TEXT(C201,"0"),終値!$A:$A,0),$AL$2))/INDEX(終値!$E:$BL,MATCH(TEXT(C201,"0"),終値!$A:$A,0),$AL$2)*100,""))</f>
        <v/>
      </c>
      <c r="AG201" s="617">
        <f t="array" ref="AG201">IFERROR((終値!$E$5-INDEX(終値!$E$5:$BL$5,1,$AL$2))/INDEX(終値!$E$5:$BL$5,1,$AL$2)*100,"")</f>
        <v/>
      </c>
      <c r="AH201" s="618">
        <f>IF(OR(AF201="",AG201=""),"",AF201-AG201)</f>
        <v/>
      </c>
      <c r="AI201" s="385">
        <f>IF(AH201="","",IF(AH201&gt;5,3,IF(AH201&gt;0,1,IF(AH201&gt;-3,-1,-2))))</f>
        <v/>
      </c>
    </row>
    <row r="202" ht="18" customHeight="1" s="574">
      <c r="A202" s="176">
        <f>IF(銘柄管理!B83&lt;&gt;"",HYPERLINK("https://kabutan.jp/stock/?code="&amp;銘柄管理!B83,"株探"),"")</f>
        <v/>
      </c>
      <c r="B202" s="177" t="n"/>
      <c r="C202" s="178">
        <f>IF(銘柄管理!B83="","",銘柄管理!B83)</f>
        <v/>
      </c>
      <c r="D202" s="106">
        <f>IF(銘柄管理!C83="","",銘柄管理!C83)</f>
        <v/>
      </c>
      <c r="E202" s="179">
        <f>IF(C202&lt;&gt;"",_xll.RssMarket(C202,"現在値"),"")</f>
        <v/>
      </c>
      <c r="F202" s="179">
        <f>IF(C202&lt;&gt;"",_xll.RssMarket(C202,"始値"),"")</f>
        <v/>
      </c>
      <c r="G202" s="178">
        <f>IF(C202&lt;&gt;"",終値!F83,"")</f>
        <v/>
      </c>
      <c r="H202" s="179">
        <f>IF(C202&lt;&gt;"",_xll.RssMarket(C202,"高値"),"")</f>
        <v/>
      </c>
      <c r="I202" s="179">
        <f>IF(C202&lt;&gt;"",_xll.RssMarket(C202,"安値"),"")</f>
        <v/>
      </c>
      <c r="J202" s="179">
        <f>IF(C202&lt;&gt;"",_xll.RssMarket(C202,"出来高"),"")</f>
        <v/>
      </c>
      <c r="K202" s="179">
        <f>IF(C202&lt;&gt;"",_xll.RssMarket(C202,"年初来高値"),"")</f>
        <v/>
      </c>
      <c r="L202" s="613">
        <f>IF(AND(E202&lt;&gt;"",K202&lt;&gt;"",K202&lt;&gt;0),(E202-K202)/K202*100,"")</f>
        <v/>
      </c>
      <c r="M202" s="179">
        <f>IF(C202&lt;&gt;"",IFERROR(AVERAGE(出来高!E83:I83),""),"")</f>
        <v/>
      </c>
      <c r="N202" s="179">
        <f>IF(C202&lt;&gt;"",IFERROR(AVERAGE(出来高!E83:AC83),""),"")</f>
        <v/>
      </c>
      <c r="O202" s="614">
        <f>IF(AND(J202&lt;&gt;"",M202&lt;&gt;"",M202&lt;&gt;0),J202/M202,"")</f>
        <v/>
      </c>
      <c r="P202" s="176">
        <f>IF(O202="","",IF(O202&gt;=2,"急増↑↑",IF(O202&gt;=1.5,"増加↑",IF(O202&gt;=1,"普通→","減少↓"))))</f>
        <v/>
      </c>
      <c r="Q202" s="176">
        <f>IF(E202="","",IF(AND(E202&gt;G202,O202&gt;=1.5),"買い▲",IF(E202&lt;G202,"様子見▼","中立→")))</f>
        <v/>
      </c>
      <c r="R202" s="179">
        <f>IF(E202&lt;&gt;"",ROUND(E202*1.08,0),"")</f>
        <v/>
      </c>
      <c r="S202" s="179">
        <f>IF(E202&lt;&gt;"",ROUND(E202*0.96,0),"")</f>
        <v/>
      </c>
      <c r="T202" s="176">
        <f>IF(C202="","",IFERROR(IF(O202&gt;=2,3,IF(O202&gt;=1.5,2,IF(O202&gt;=1,1,0)))+IF(E202&gt;G202,1,0)+IF(L202&gt;=-5,1,0)+IF(Q202="買い▲",2,0)+IF(W202&lt;=30,3,IF(W202&lt;=40,2,IF(AND(W202&gt;=40,W202&lt;=60),1,0)))+IF(X202&gt;0,1,0)+IF(V202="年初来高値更新●",3,IF(V202="高値圏",2,0))+IF(AD202="パーフェクト▲",3,IF(AD202="上昇トレンド▲",2,0))+IF(AE202="25日線押し目●",2,IF(AE202="5日線押し目○",1,0))+IF(P202="急増↑↑",2,IF(P202="増加↑",1,0))+N(AI202),0))</f>
        <v/>
      </c>
      <c r="U202" s="176">
        <f>IF(T202="","",IF(AND(T202&gt;=3,O202&gt;=1.5),"有効",IF(T202&gt;=3,"要確認","除外")))</f>
        <v/>
      </c>
      <c r="V202" s="176">
        <f>IF(AND(H202&lt;&gt;"",K202&lt;&gt;""),IF(H202&gt;=K202,"年初来高値更新●",IF(H202&gt;=K202*0.95,"高値圏","通常")),"")</f>
        <v/>
      </c>
      <c r="W202" s="615">
        <f t="array" ref="W202">IF(C202&lt;&gt;"",IFERROR(100-100/(1+SUMPRODUCT((終値!F83:R83&gt;終値!G83:S83)*( 終値!F83:R83-終値!G83:S83))/SUMPRODUCT((終値!F83:R83&lt;終値!G83:S83)*(終値!G83:S83-終値!F83:R83))),50),"")</f>
        <v/>
      </c>
      <c r="X202" s="183">
        <f>IF(C202&lt;&gt;"",IFERROR(SUMPRODUCT(終値!E83:P83,{0.154,0.132,0.113,0.097,0.083,0.071,0.061,0.052,0.045,0.038,0.033,0.028})/SUMPRODUCT({0.154,0.132,0.113,0.097,0.083,0.071,0.061,0.052,0.045,0.038,0.033,0.028})-SUMPRODUCT(終値!E83:AD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2" s="570">
        <f>IF(T202="","",IF(銘柄管理!$F$5="下落▼",IF(AND(AD202="パーフェクト▲",OR(AE202="25日線押し目●",AE202="5日線押し目○")),"★逆張り候補",IF(AND(AD202="上昇トレンド▲",OR(AE202="25日線押し目●",AE202="5日線押し目○")),"○逆張り候補",IF(W202&lt;=30,IF(Z202&gt;0,"◎反発確認",IF(Z202&lt;-5,"△要注意・様子見","△売られ過ぎ注目")),"相場下落・見送り"))),IF(AND(T202&gt;=12,AD202="パーフェクト▲"),"★強い買い",IF(AND(T202&gt;=12,AD202="上昇トレンド▲"),"★強い買い",IF(AND(T202&gt;=8,OR(AE202="25日線押し目●",AE202="5日線押し目○")),"◎押し目買い",IF(T202&gt;=10,"○買い候補",IF(T202&gt;=6,"△注目",IF(T202&gt;=3,"様子見","見送り"))))))))</f>
        <v/>
      </c>
      <c r="Z202" s="616">
        <f>IF(AND(E202&lt;&gt;"",G202&lt;&gt;"",G202&lt;&gt;0),(E202-G202)/G202*100,"")</f>
        <v/>
      </c>
      <c r="AA202" s="176">
        <f>IF(OR(C202="",E202="",E202=0),"",IF(E202&gt;G202,"上昇▲",IF(E202&lt;G202,"下落▼","横ばい→")))</f>
        <v/>
      </c>
      <c r="AB202" s="438">
        <f>IF(C202="","",IFERROR(((終値!E204*0.333)+(終値!F204*0.222)+(終値!G204*0.148)+(終値!H204*0.099)+(終値!I204*0.066)+(終値!J204*0.044)+(終値!K204*0.029)+(終値!L204*0.019)+(終値!M204*0.013)+(終値!N204*0.009))/(0.333+0.222+0.148+0.099+0.066+0.044+0.029+0.019+0.013+0.009),""))</f>
        <v/>
      </c>
      <c r="AC202" s="438">
        <f>IF(C202="","",IFERROR(SUMPRODUCT((終値!E204:AC204)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02" s="439">
        <f>IF(OR(C202="",AB202="",AC202=""),"",IF(AND(E202&gt;AB202,AB202&gt;AC202),"パーフェクト▲",IF(E202&gt;AC202,"上昇トレンド▲",IF(AND(E202&lt;AB202,AB202&lt;AC202),"下降トレンド▼","もみ合い→"))))</f>
        <v/>
      </c>
      <c r="AE202" s="439">
        <f>IF(OR(C202="",AB202="",AC202=""),"",IF(AND(ABS(E202-AC202)/AC202&lt;=0.02,E202&gt;AC202),"25日押し目★",IF(AND(ABS(E202-AB202)/AB202&lt;=0.01,E202&gt;AB202),"5日押し目○","なし")))</f>
        <v/>
      </c>
      <c r="AF202" s="617">
        <f t="array" ref="AF202">IF(C202="","",IFERROR((INDEX(終値!$E:$E,MATCH(TEXT(C202,"0"),終値!$A:$A,0))-INDEX(終値!$E:$BL,MATCH(TEXT(C202,"0"),終値!$A:$A,0),$AL$2))/INDEX(終値!$E:$BL,MATCH(TEXT(C202,"0"),終値!$A:$A,0),$AL$2)*100,""))</f>
        <v/>
      </c>
      <c r="AG202" s="617">
        <f t="array" ref="AG202">IFERROR((終値!$E$5-INDEX(終値!$E$5:$BL$5,1,$AL$2))/INDEX(終値!$E$5:$BL$5,1,$AL$2)*100,"")</f>
        <v/>
      </c>
      <c r="AH202" s="618">
        <f>IF(OR(AF202="",AG202=""),"",AF202-AG202)</f>
        <v/>
      </c>
      <c r="AI202" s="385">
        <f>IF(AH202="","",IF(AH202&gt;5,3,IF(AH202&gt;0,1,IF(AH202&gt;-3,-1,-2))))</f>
        <v/>
      </c>
    </row>
    <row r="203" ht="23.25" customHeight="1" s="574">
      <c r="A203" s="176">
        <f>IF(銘柄管理!B80&lt;&gt;"",HYPERLINK("https://kabutan.jp/stock/?code="&amp;銘柄管理!B80,"株探"),"")</f>
        <v/>
      </c>
      <c r="B203" s="177" t="n"/>
      <c r="C203" s="178">
        <f>IF(銘柄管理!B80="","",銘柄管理!B80)</f>
        <v/>
      </c>
      <c r="D203" s="106">
        <f>IF(銘柄管理!C80="","",銘柄管理!C80)</f>
        <v/>
      </c>
      <c r="E203" s="179">
        <f>IF(C203&lt;&gt;"",_xll.RssMarket(C203,"現在値"),"")</f>
        <v/>
      </c>
      <c r="F203" s="179">
        <f>IF(C203&lt;&gt;"",_xll.RssMarket(C203,"始値"),"")</f>
        <v/>
      </c>
      <c r="G203" s="178">
        <f>IF(C203&lt;&gt;"",終値!F80,"")</f>
        <v/>
      </c>
      <c r="H203" s="179">
        <f>IF(C203&lt;&gt;"",_xll.RssMarket(C203,"高値"),"")</f>
        <v/>
      </c>
      <c r="I203" s="179">
        <f>IF(C203&lt;&gt;"",_xll.RssMarket(C203,"安値"),"")</f>
        <v/>
      </c>
      <c r="J203" s="179">
        <f>IF(C203&lt;&gt;"",_xll.RssMarket(C203,"出来高"),"")</f>
        <v/>
      </c>
      <c r="K203" s="179">
        <f>IF(C203&lt;&gt;"",_xll.RssMarket(C203,"年初来高値"),"")</f>
        <v/>
      </c>
      <c r="L203" s="613">
        <f>IF(AND(E203&lt;&gt;"",K203&lt;&gt;"",K203&lt;&gt;0),(E203-K203)/K203*100,"")</f>
        <v/>
      </c>
      <c r="M203" s="179">
        <f>IF(C203&lt;&gt;"",IFERROR(AVERAGE(出来高!E80:I80),""),"")</f>
        <v/>
      </c>
      <c r="N203" s="179">
        <f>IF(C203&lt;&gt;"",IFERROR(AVERAGE(出来高!E80:AC80),""),"")</f>
        <v/>
      </c>
      <c r="O203" s="614">
        <f>IF(AND(J203&lt;&gt;"",M203&lt;&gt;"",M203&lt;&gt;0),J203/M203,"")</f>
        <v/>
      </c>
      <c r="P203" s="176">
        <f>IF(O203="","",IF(O203&gt;=2,"急増↑↑",IF(O203&gt;=1.5,"増加↑",IF(O203&gt;=1,"普通→","減少↓"))))</f>
        <v/>
      </c>
      <c r="Q203" s="176">
        <f>IF(E203="","",IF(AND(E203&gt;G203,O203&gt;=1.5),"買い▲",IF(E203&lt;G203,"様子見▼","中立→")))</f>
        <v/>
      </c>
      <c r="R203" s="179">
        <f>IF(E203&lt;&gt;"",ROUND(E203*1.08,0),"")</f>
        <v/>
      </c>
      <c r="S203" s="179">
        <f>IF(E203&lt;&gt;"",ROUND(E203*0.96,0),"")</f>
        <v/>
      </c>
      <c r="T203" s="176">
        <f>IF(C203="","",IFERROR(IF(O203&gt;=2,3,IF(O203&gt;=1.5,2,IF(O203&gt;=1,1,0)))+IF(E203&gt;G203,1,0)+IF(L203&gt;=-5,1,0)+IF(Q203="買い▲",2,0)+IF(W203&lt;=30,3,IF(W203&lt;=40,2,IF(AND(W203&gt;=40,W203&lt;=60),1,0)))+IF(X203&gt;0,1,0)+IF(V203="年初来高値更新●",3,IF(V203="高値圏",2,0))+IF(AD203="パーフェクト▲",3,IF(AD203="上昇トレンド▲",2,0))+IF(AE203="25日線押し目●",2,IF(AE203="5日線押し目○",1,0))+IF(P203="急増↑↑",2,IF(P203="増加↑",1,0))+N(AI203),0))</f>
        <v/>
      </c>
      <c r="U203" s="176">
        <f>IF(T203="","",IF(AND(T203&gt;=3,O203&gt;=1.5),"有効",IF(T203&gt;=3,"要確認","除外")))</f>
        <v/>
      </c>
      <c r="V203" s="176">
        <f>IF(AND(H203&lt;&gt;"",K203&lt;&gt;""),IF(H203&gt;=K203,"年初来高値更新●",IF(H203&gt;=K203*0.95,"高値圏","通常")),"")</f>
        <v/>
      </c>
      <c r="W203" s="615">
        <f t="array" ref="W203">IF(C203&lt;&gt;"",IFERROR(100-100/(1+SUMPRODUCT((終値!F80:R80&gt;終値!G80:S80)*( 終値!F80:R80-終値!G80:S80))/SUMPRODUCT((終値!F80:R80&lt;終値!G80:S80)*(終値!G80:S80-終値!F80:R80))),50),"")</f>
        <v/>
      </c>
      <c r="X203" s="183">
        <f>IF(C203&lt;&gt;"",IFERROR(SUMPRODUCT(終値!E80:P80,{0.154,0.132,0.113,0.097,0.083,0.071,0.061,0.052,0.045,0.038,0.033,0.028})/SUMPRODUCT({0.154,0.132,0.113,0.097,0.083,0.071,0.061,0.052,0.045,0.038,0.033,0.028})-SUMPRODUCT(終値!E80:AD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3" s="570">
        <f>IF(T203="","",IF(銘柄管理!$F$5="下落▼",IF(AND(AD203="パーフェクト▲",OR(AE203="25日線押し目●",AE203="5日線押し目○")),"★逆張り候補",IF(AND(AD203="上昇トレンド▲",OR(AE203="25日線押し目●",AE203="5日線押し目○")),"○逆張り候補",IF(W203&lt;=30,IF(Z203&gt;0,"◎反発確認",IF(Z203&lt;-5,"△要注意・様子見","△売られ過ぎ注目")),"相場下落・見送り"))),IF(AND(T203&gt;=12,AD203="パーフェクト▲"),"★強い買い",IF(AND(T203&gt;=12,AD203="上昇トレンド▲"),"★強い買い",IF(AND(T203&gt;=8,OR(AE203="25日線押し目●",AE203="5日線押し目○")),"◎押し目買い",IF(T203&gt;=10,"○買い候補",IF(T203&gt;=6,"△注目",IF(T203&gt;=3,"様子見","見送り"))))))))</f>
        <v/>
      </c>
      <c r="Z203" s="616">
        <f>IF(AND(E203&lt;&gt;"",G203&lt;&gt;"",G203&lt;&gt;0),(E203-G203)/G203*100,"")</f>
        <v/>
      </c>
      <c r="AA203" s="176">
        <f>IF(OR(C203="",E203="",E203=0),"",IF(E203&gt;G203,"上昇▲",IF(E203&lt;G203,"下落▼","横ばい→")))</f>
        <v/>
      </c>
      <c r="AB203" s="185">
        <f>IF(OR(C203="",C203="TOPX",終値!E115=""),"",IFERROR(((終値!E115*0.333)+(終値!F115*0.222)+(終値!G115*0.148)+(終値!H115*0.099)+(終値!I115*0.066))/(0.333+0.222+0.148+0.099+0.066),""))</f>
        <v/>
      </c>
      <c r="AC203" s="185">
        <f>IF(OR(C203="",C203="TOPX",終値!E115=""),"",IFERROR(SUMPRODUCT((終値!E115:AC115)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3" s="186">
        <f>IF(OR(C203="",AB203="",AC203="",AB203=0,AC203=0),"",IF(AND(E203&gt;AB203,AB203&gt;AC203),"パーフェクト▲",IF(E203&gt;AC203,"上昇トレンド▲",IF(AND(E203&lt;AB203,AB203&lt;AC203),"下降トレンド▼","もみ合い→"))))</f>
        <v/>
      </c>
      <c r="AE203" s="186">
        <f>IF(OR(C203="",AB203="",AC203=""),"",IF(AND(ABS(E203-AC203)/AC203&lt;=0.02,E203&gt;AC203),"25日線押し目●",IF(AND(ABS(E203-AB203)/AB203&lt;=0.01,E203&gt;AB203),"5日線押し目○","なし")))</f>
        <v/>
      </c>
      <c r="AF203" s="617">
        <f t="array" ref="AF203">IF(C203="","",IFERROR((INDEX(終値!$E:$E,MATCH(TEXT(C203,"0"),終値!$A:$A,0))-INDEX(終値!$E:$BL,MATCH(TEXT(C203,"0"),終値!$A:$A,0),$AL$2))/INDEX(終値!$E:$BL,MATCH(TEXT(C203,"0"),終値!$A:$A,0),$AL$2)*100,""))</f>
        <v/>
      </c>
      <c r="AG203" s="617">
        <f t="array" ref="AG203">IFERROR((終値!$E$5-INDEX(終値!$E$5:$BL$5,1,$AL$2))/INDEX(終値!$E$5:$BL$5,1,$AL$2)*100,"")</f>
        <v/>
      </c>
      <c r="AH203" s="618">
        <f>IF(OR(AF203="",AG203=""),"",AF203-AG203)</f>
        <v/>
      </c>
      <c r="AI203" s="385">
        <f>IF(AH203="","",IF(AH203&gt;5,3,IF(AH203&gt;0,1,IF(AH203&gt;-3,-1,-2))))</f>
        <v/>
      </c>
    </row>
    <row r="204" ht="23.25" customHeight="1" s="574">
      <c r="A204" s="176">
        <f>IF(銘柄管理!B208&lt;&gt;"",HYPERLINK("https://kabutan.jp/stock/?code="&amp;銘柄管理!B208,"株探"),"")</f>
        <v/>
      </c>
      <c r="B204" s="177" t="n"/>
      <c r="C204" s="178">
        <f>IF(銘柄管理!B208="","",銘柄管理!B208)</f>
        <v/>
      </c>
      <c r="D204" s="106">
        <f>IF(銘柄管理!C208="","",銘柄管理!C208)</f>
        <v/>
      </c>
      <c r="E204" s="179">
        <f>IF(C204&lt;&gt;"",_xll.RssMarket(C204,"現在値"),"")</f>
        <v/>
      </c>
      <c r="F204" s="179">
        <f>IF(C204&lt;&gt;"",_xll.RssMarket(C204,"始値"),"")</f>
        <v/>
      </c>
      <c r="G204" s="178">
        <f>IF(C204&lt;&gt;"",終値!F208,"")</f>
        <v/>
      </c>
      <c r="H204" s="179">
        <f>IF(C204&lt;&gt;"",_xll.RssMarket(C204,"高値"),"")</f>
        <v/>
      </c>
      <c r="I204" s="179">
        <f>IF(C204&lt;&gt;"",_xll.RssMarket(C204,"安値"),"")</f>
        <v/>
      </c>
      <c r="J204" s="179">
        <f>IF(C204&lt;&gt;"",_xll.RssMarket(C204,"出来高"),"")</f>
        <v/>
      </c>
      <c r="K204" s="179">
        <f>IF(C204&lt;&gt;"",_xll.RssMarket(C204,"年初来高値"),"")</f>
        <v/>
      </c>
      <c r="L204" s="613">
        <f>IF(AND(E204&lt;&gt;"",K204&lt;&gt;"",K204&lt;&gt;0),(E204-K204)/K204*100,"")</f>
        <v/>
      </c>
      <c r="M204" s="179">
        <f>IF(C204&lt;&gt;"",IFERROR(AVERAGE(出来高!E208:I208),""),"")</f>
        <v/>
      </c>
      <c r="N204" s="179">
        <f>IF(C204&lt;&gt;"",IFERROR(AVERAGE(出来高!E208:AC208),""),"")</f>
        <v/>
      </c>
      <c r="O204" s="614">
        <f>IF(AND(J204&lt;&gt;"",M204&lt;&gt;"",M204&lt;&gt;0),J204/M204,"")</f>
        <v/>
      </c>
      <c r="P204" s="176">
        <f>IF(O204="","",IF(O204&gt;=2,"急増↑↑",IF(O204&gt;=1.5,"増加↑",IF(O204&gt;=1,"普通→","減少↓"))))</f>
        <v/>
      </c>
      <c r="Q204" s="176">
        <f>IF(E204="","",IF(AND(E204&gt;G204,O204&gt;=1.5),"買い▲",IF(E204&lt;G204,"様子見▼","中立→")))</f>
        <v/>
      </c>
      <c r="R204" s="179">
        <f>IF(E204&lt;&gt;"",ROUND(E204*1.08,0),"")</f>
        <v/>
      </c>
      <c r="S204" s="179">
        <f>IF(E204&lt;&gt;"",ROUND(E204*0.96,0),"")</f>
        <v/>
      </c>
      <c r="T204" s="176">
        <f>IF(C204="","",IFERROR(IF(O204&gt;=2,3,IF(O204&gt;=1.5,2,IF(O204&gt;=1,1,0)))+IF(E204&gt;G204,1,0)+IF(L204&gt;=-5,1,0)+IF(Q204="買い▲",2,0)+IF(W204&lt;=30,3,IF(W204&lt;=40,2,IF(AND(W204&gt;=40,W204&lt;=60),1,0)))+IF(X204&gt;0,1,0)+IF(V204="年初来高値更新●",3,IF(V204="高値圏",2,0))+IF(AD204="パーフェクト▲",3,IF(AD204="上昇トレンド▲",2,0))+IF(AE204="25日線押し目●",2,IF(AE204="5日線押し目○",1,0))+IF(P204="急増↑↑",2,IF(P204="増加↑",1,0))+N(AI204),0))</f>
        <v/>
      </c>
      <c r="U204" s="176">
        <f>IF(T204="","",IF(AND(T204&gt;=3,O204&gt;=1.5),"有効",IF(T204&gt;=3,"要確認","除外")))</f>
        <v/>
      </c>
      <c r="V204" s="176">
        <f>IF(AND(H204&lt;&gt;"",K204&lt;&gt;""),IF(H204&gt;=K204,"年初来高値更新●",IF(H204&gt;=K204*0.95,"高値圏","通常")),"")</f>
        <v/>
      </c>
      <c r="W204" s="615">
        <f t="array" ref="W204">IF(C204&lt;&gt;"",IFERROR(100-100/(1+SUMPRODUCT((終値!F208:R208&gt;終値!G208:S208)*( 終値!F208:R208-終値!G208:S208))/SUMPRODUCT((終値!F208:R208&lt;終値!G208:S208)*(終値!G208:S208-終値!F208:R208))),50),"")</f>
        <v/>
      </c>
      <c r="X204" s="183">
        <f>IF(C204&lt;&gt;"",IFERROR(SUMPRODUCT(終値!E208:P208,{0.154,0.132,0.113,0.097,0.083,0.071,0.061,0.052,0.045,0.038,0.033,0.028})/SUMPRODUCT({0.154,0.132,0.113,0.097,0.083,0.071,0.061,0.052,0.045,0.038,0.033,0.028})-SUMPRODUCT(終値!E208:AD208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4" s="570">
        <f>IF(T204="","",IF(銘柄管理!$F$5="下落▼",IF(AND(AD204="パーフェクト▲",OR(AE204="25日線押し目●",AE204="5日線押し目○")),"★逆張り候補",IF(AND(AD204="上昇トレンド▲",OR(AE204="25日線押し目●",AE204="5日線押し目○")),"○逆張り候補",IF(W204&lt;=30,IF(Z204&gt;0,"◎反発確認",IF(Z204&lt;-5,"△要注意・様子見","△売られ過ぎ注目")),"相場下落・見送り"))),IF(AND(T204&gt;=12,AD204="パーフェクト▲"),"★強い買い",IF(AND(T204&gt;=12,AD204="上昇トレンド▲"),"★強い買い",IF(AND(T204&gt;=8,OR(AE204="25日線押し目●",AE204="5日線押し目○")),"◎押し目買い",IF(T204&gt;=10,"○買い候補",IF(T204&gt;=6,"△注目",IF(T204&gt;=3,"様子見","見送り"))))))))</f>
        <v/>
      </c>
      <c r="Z204" s="616">
        <f>IF(AND(E204&lt;&gt;"",G204&lt;&gt;"",G204&lt;&gt;0),(E204-G204)/G204*100,"")</f>
        <v/>
      </c>
      <c r="AA204" s="176">
        <f>IF(OR(C204="",E204="",E204=0),"",IF(E204&gt;G204,"上昇▲",IF(E204&lt;G204,"下落▼","横ばい→")))</f>
        <v/>
      </c>
      <c r="AB204" s="185">
        <f>IF(OR(C204="",C204="TOPX",終値!E122=""),"",IFERROR(((終値!E122*0.333)+(終値!F122*0.222)+(終値!G122*0.148)+(終値!H122*0.099)+(終値!I122*0.066))/(0.333+0.222+0.148+0.099+0.066),""))</f>
        <v/>
      </c>
      <c r="AC204" s="185">
        <f>IF(OR(C204="",C204="TOPX",終値!E122=""),"",IFERROR(SUMPRODUCT((終値!E122:AC122)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4" s="186">
        <f>IF(OR(C204="",AB204="",AC204="",AB204=0,AC204=0),"",IF(AND(E204&gt;AB204,AB204&gt;AC204),"パーフェクト▲",IF(E204&gt;AC204,"上昇トレンド▲",IF(AND(E204&lt;AB204,AB204&lt;AC204),"下降トレンド▼","もみ合い→"))))</f>
        <v/>
      </c>
      <c r="AE204" s="186">
        <f>IF(OR(C204="",AB204="",AC204=""),"",IF(AND(ABS(E204-AC204)/AC204&lt;=0.02,E204&gt;AC204),"25日線押し目●",IF(AND(ABS(E204-AB204)/AB204&lt;=0.01,E204&gt;AB204),"5日線押し目○","なし")))</f>
        <v/>
      </c>
      <c r="AF204" s="617">
        <f t="array" ref="AF204">IF(C204="","",IFERROR((INDEX(終値!$E:$E,MATCH(TEXT(C204,"0"),終値!$A:$A,0))-INDEX(終値!$E:$BL,MATCH(TEXT(C204,"0"),終値!$A:$A,0),$AL$2))/INDEX(終値!$E:$BL,MATCH(TEXT(C204,"0"),終値!$A:$A,0),$AL$2)*100,""))</f>
        <v/>
      </c>
      <c r="AG204" s="617">
        <f t="array" ref="AG204">IFERROR((終値!$E$5-INDEX(終値!$E$5:$BL$5,1,$AL$2))/INDEX(終値!$E$5:$BL$5,1,$AL$2)*100,"")</f>
        <v/>
      </c>
      <c r="AH204" s="618">
        <f>IF(OR(AF204="",AG204=""),"",AF204-AG204)</f>
        <v/>
      </c>
      <c r="AI204" s="385">
        <f>IF(AH204="","",IF(AH204&gt;5,3,IF(AH204&gt;0,1,IF(AH204&gt;-3,-1,-2))))</f>
        <v/>
      </c>
    </row>
    <row r="205" ht="14.25" customHeight="1" s="574">
      <c r="A205" s="176">
        <f>IF(銘柄管理!B18&lt;&gt;"",HYPERLINK("https://kabutan.jp/stock/?code="&amp;銘柄管理!B18,"株探"),"")</f>
        <v/>
      </c>
      <c r="B205" s="177" t="n"/>
      <c r="C205" s="178">
        <f>IF(銘柄管理!B18="","",銘柄管理!B18)</f>
        <v/>
      </c>
      <c r="D205" s="106">
        <f>IF(銘柄管理!C18="","",銘柄管理!C18)</f>
        <v/>
      </c>
      <c r="E205" s="179">
        <f>IF(C205&lt;&gt;"",_xll.RssMarket(C205,"現在値"),"")</f>
        <v/>
      </c>
      <c r="F205" s="179">
        <f>IF(C205&lt;&gt;"",_xll.RssMarket(C205,"始値"),"")</f>
        <v/>
      </c>
      <c r="G205" s="178">
        <f>IF(C205&lt;&gt;"",終値!F18,"")</f>
        <v/>
      </c>
      <c r="H205" s="179">
        <f>IF(C205&lt;&gt;"",_xll.RssMarket(C205,"高値"),"")</f>
        <v/>
      </c>
      <c r="I205" s="179">
        <f>IF(C205&lt;&gt;"",_xll.RssMarket(C205,"安値"),"")</f>
        <v/>
      </c>
      <c r="J205" s="179">
        <f>IF(C205&lt;&gt;"",_xll.RssMarket(C205,"出来高"),"")</f>
        <v/>
      </c>
      <c r="K205" s="179">
        <f>IF(C205&lt;&gt;"",_xll.RssMarket(C205,"年初来高値"),"")</f>
        <v/>
      </c>
      <c r="L205" s="613">
        <f>IF(AND(E205&lt;&gt;"",K205&lt;&gt;"",K205&lt;&gt;0),(E205-K205)/K205*100,"")</f>
        <v/>
      </c>
      <c r="M205" s="179">
        <f>IF(C205&lt;&gt;"",IFERROR(AVERAGE(出来高!E18:I18),""),"")</f>
        <v/>
      </c>
      <c r="N205" s="179">
        <f>IF(C205&lt;&gt;"",IFERROR(AVERAGE(出来高!E18:AC18),""),"")</f>
        <v/>
      </c>
      <c r="O205" s="614">
        <f>IF(AND(J205&lt;&gt;"",M205&lt;&gt;"",M205&lt;&gt;0),J205/M205,"")</f>
        <v/>
      </c>
      <c r="P205" s="176">
        <f>IF(O205="","",IF(O205&gt;=2,"急増↑↑",IF(O205&gt;=1.5,"増加↑",IF(O205&gt;=1,"普通→","減少↓"))))</f>
        <v/>
      </c>
      <c r="Q205" s="176">
        <f>IF(E205="","",IF(AND(E205&gt;G205,O205&gt;=1.5),"買い▲",IF(E205&lt;G205,"様子見▼","中立→")))</f>
        <v/>
      </c>
      <c r="R205" s="179">
        <f>IF(E205&lt;&gt;"",ROUND(E205*1.08,0),"")</f>
        <v/>
      </c>
      <c r="S205" s="179">
        <f>IF(E205&lt;&gt;"",ROUND(E205*0.96,0),"")</f>
        <v/>
      </c>
      <c r="T205" s="176">
        <f>IF(C205="","",IFERROR(IF(O205&gt;=2,3,IF(O205&gt;=1.5,2,IF(O205&gt;=1,1,0)))+IF(E205&gt;G205,1,0)+IF(L205&gt;=-5,1,0)+IF(Q205="買い▲",2,0)+IF(W205&lt;=30,3,IF(W205&lt;=40,2,IF(AND(W205&gt;=40,W205&lt;=60),1,0)))+IF(X205&gt;0,1,0)+IF(V205="年初来高値更新●",3,IF(V205="高値圏",2,0))+IF(AD205="パーフェクト▲",3,IF(AD205="上昇トレンド▲",2,0))+IF(AE205="25日線押し目●",2,IF(AE205="5日線押し目○",1,0))+IF(P205="急増↑↑",2,IF(P205="増加↑",1,0))+N(AI205),0))</f>
        <v/>
      </c>
      <c r="U205" s="176">
        <f>IF(T205="","",IF(AND(T205&gt;=3,O205&gt;=1.5),"有効",IF(T205&gt;=3,"要確認","除外")))</f>
        <v/>
      </c>
      <c r="V205" s="176">
        <f>IF(AND(H205&lt;&gt;"",K205&lt;&gt;""),IF(H205&gt;=K205,"年初来高値更新●",IF(H205&gt;=K205*0.95,"高値圏","通常")),"")</f>
        <v/>
      </c>
      <c r="W205" s="615">
        <f t="array" ref="W205">IF(C205&lt;&gt;"",IFERROR(100-100/(1+SUMPRODUCT((終値!F18:R18&gt;終値!G18:S18)*( 終値!F18:R18-終値!G18:S18))/SUMPRODUCT((終値!F18:R18&lt;終値!G18:S18)*(終値!G18:S18-終値!F18:R18))),50),"")</f>
        <v/>
      </c>
      <c r="X205" s="183">
        <f>IF(C205&lt;&gt;"",IFERROR(SUMPRODUCT(終値!E18:P18,{0.154,0.132,0.113,0.097,0.083,0.071,0.061,0.052,0.045,0.038,0.033,0.028})/SUMPRODUCT({0.154,0.132,0.113,0.097,0.083,0.071,0.061,0.052,0.045,0.038,0.033,0.028})-SUMPRODUCT(終値!E18:AD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5" s="570">
        <f>IF(T205="","",IF(銘柄管理!$F$5="下落▼",IF(AND(AD205="パーフェクト▲",OR(AE205="25日線押し目●",AE205="5日線押し目○")),"★逆張り候補",IF(AND(AD205="上昇トレンド▲",OR(AE205="25日線押し目●",AE205="5日線押し目○")),"○逆張り候補",IF(W205&lt;=30,IF(Z205&gt;0,"◎反発確認",IF(Z205&lt;-5,"△要注意・様子見","△売られ過ぎ注目")),"相場下落・見送り"))),IF(AND(T205&gt;=12,AD205="パーフェクト▲"),"★強い買い",IF(AND(T205&gt;=12,AD205="上昇トレンド▲"),"★強い買い",IF(AND(T205&gt;=8,OR(AE205="25日線押し目●",AE205="5日線押し目○")),"◎押し目買い",IF(T205&gt;=10,"○買い候補",IF(T205&gt;=6,"△注目",IF(T205&gt;=3,"様子見","見送り"))))))))</f>
        <v/>
      </c>
      <c r="Z205" s="616">
        <f>IF(AND(E205&lt;&gt;"",G205&lt;&gt;"",G205&lt;&gt;0),(E205-G205)/G205*100,"")</f>
        <v/>
      </c>
      <c r="AA205" s="176">
        <f>IF(OR(C205="",E205="",E205=0),"",IF(E205&gt;G205,"上昇▲",IF(E205&lt;G205,"下落▼","横ばい→")))</f>
        <v/>
      </c>
      <c r="AB205" s="185">
        <f>IF(OR(C205="",C205="TOPX",終値!E130=""),"",IFERROR(((終値!E130*0.333)+(終値!F130*0.222)+(終値!G130*0.148)+(終値!H130*0.099)+(終値!I130*0.066))/(0.333+0.222+0.148+0.099+0.066),""))</f>
        <v/>
      </c>
      <c r="AC205" s="185">
        <f>IF(OR(C205="",C205="TOPX",終値!E130=""),"",IFERROR(SUMPRODUCT((終値!E130:AC130)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5" s="186">
        <f>IF(OR(C205="",AB205="",AC205="",AB205=0,AC205=0),"",IF(AND(E205&gt;AB205,AB205&gt;AC205),"パーフェクト▲",IF(E205&gt;AC205,"上昇トレンド▲",IF(AND(E205&lt;AB205,AB205&lt;AC205),"下降トレンド▼","もみ合い→"))))</f>
        <v/>
      </c>
      <c r="AE205" s="186">
        <f>IF(OR(C205="",AB205="",AC205=""),"",IF(AND(ABS(E205-AC205)/AC205&lt;=0.02,E205&gt;AC205),"25日線押し目●",IF(AND(ABS(E205-AB205)/AB205&lt;=0.01,E205&gt;AB205),"5日線押し目○","なし")))</f>
        <v/>
      </c>
      <c r="AF205" s="617">
        <f t="array" ref="AF205">IF(C205="","",IFERROR((INDEX(終値!$E:$E,MATCH(TEXT(C205,"0"),終値!$A:$A,0))-INDEX(終値!$E:$BL,MATCH(TEXT(C205,"0"),終値!$A:$A,0),$AL$2))/INDEX(終値!$E:$BL,MATCH(TEXT(C205,"0"),終値!$A:$A,0),$AL$2)*100,""))</f>
        <v/>
      </c>
      <c r="AG205" s="617">
        <f t="array" ref="AG205">IFERROR((終値!$E$5-INDEX(終値!$E$5:$BL$5,1,$AL$2))/INDEX(終値!$E$5:$BL$5,1,$AL$2)*100,"")</f>
        <v/>
      </c>
      <c r="AH205" s="618">
        <f>IF(OR(AF205="",AG205=""),"",AF205-AG205)</f>
        <v/>
      </c>
      <c r="AI205" s="385">
        <f>IF(AH205="","",IF(AH205&gt;5,3,IF(AH205&gt;0,1,IF(AH205&gt;-3,-1,-2))))</f>
        <v/>
      </c>
    </row>
    <row r="206" ht="14.25" customHeight="1" s="574">
      <c r="A206" s="176">
        <f>IF(銘柄管理!B12&lt;&gt;"",HYPERLINK("https://kabutan.jp/stock/?code="&amp;銘柄管理!B12,"株探"),"")</f>
        <v/>
      </c>
      <c r="B206" s="177" t="n"/>
      <c r="C206" s="178">
        <f>IF(銘柄管理!B12="","",銘柄管理!B12)</f>
        <v/>
      </c>
      <c r="D206" s="106">
        <f>IF(銘柄管理!C12="","",銘柄管理!C12)</f>
        <v/>
      </c>
      <c r="E206" s="179">
        <f>IF(C206&lt;&gt;"",_xll.RssMarket(C206,"現在値"),"")</f>
        <v/>
      </c>
      <c r="F206" s="179">
        <f>IF(C206&lt;&gt;"",_xll.RssMarket(C206,"始値"),"")</f>
        <v/>
      </c>
      <c r="G206" s="178">
        <f>IF(C206&lt;&gt;"",終値!F12,"")</f>
        <v/>
      </c>
      <c r="H206" s="179">
        <f>IF(C206&lt;&gt;"",_xll.RssMarket(C206,"高値"),"")</f>
        <v/>
      </c>
      <c r="I206" s="179">
        <f>IF(C206&lt;&gt;"",_xll.RssMarket(C206,"安値"),"")</f>
        <v/>
      </c>
      <c r="J206" s="179">
        <f>IF(C206&lt;&gt;"",_xll.RssMarket(C206,"出来高"),"")</f>
        <v/>
      </c>
      <c r="K206" s="179">
        <f>IF(C206&lt;&gt;"",_xll.RssMarket(C206,"年初来高値"),"")</f>
        <v/>
      </c>
      <c r="L206" s="613">
        <f>IF(AND(E206&lt;&gt;"",K206&lt;&gt;"",K206&lt;&gt;0),(E206-K206)/K206*100,"")</f>
        <v/>
      </c>
      <c r="M206" s="179">
        <f>IF(C206&lt;&gt;"",IFERROR(AVERAGE(出来高!E12:I12),""),"")</f>
        <v/>
      </c>
      <c r="N206" s="179">
        <f>IF(C206&lt;&gt;"",IFERROR(AVERAGE(出来高!E12:AC12),""),"")</f>
        <v/>
      </c>
      <c r="O206" s="614">
        <f>IF(AND(J206&lt;&gt;"",M206&lt;&gt;"",M206&lt;&gt;0),J206/M206,"")</f>
        <v/>
      </c>
      <c r="P206" s="176">
        <f>IF(O206="","",IF(O206&gt;=2,"急増↑↑",IF(O206&gt;=1.5,"増加↑",IF(O206&gt;=1,"普通→","減少↓"))))</f>
        <v/>
      </c>
      <c r="Q206" s="176">
        <f>IF(E206="","",IF(AND(E206&gt;G206,O206&gt;=1.5),"買い▲",IF(E206&lt;G206,"様子見▼","中立→")))</f>
        <v/>
      </c>
      <c r="R206" s="179">
        <f>IF(E206&lt;&gt;"",ROUND(E206*1.08,0),"")</f>
        <v/>
      </c>
      <c r="S206" s="179">
        <f>IF(E206&lt;&gt;"",ROUND(E206*0.96,0),"")</f>
        <v/>
      </c>
      <c r="T206" s="176">
        <f>IF(C206="","",IFERROR(IF(O206&gt;=2,3,IF(O206&gt;=1.5,2,IF(O206&gt;=1,1,0)))+IF(E206&gt;G206,1,0)+IF(L206&gt;=-5,1,0)+IF(Q206="買い▲",2,0)+IF(W206&lt;=30,3,IF(W206&lt;=40,2,IF(AND(W206&gt;=40,W206&lt;=60),1,0)))+IF(X206&gt;0,1,0)+IF(V206="年初来高値更新●",3,IF(V206="高値圏",2,0))+IF(AD206="パーフェクト▲",3,IF(AD206="上昇トレンド▲",2,0))+IF(AE206="25日線押し目●",2,IF(AE206="5日線押し目○",1,0))+IF(P206="急増↑↑",2,IF(P206="増加↑",1,0))+N(AI206),0))</f>
        <v/>
      </c>
      <c r="U206" s="176">
        <f>IF(T206="","",IF(AND(T206&gt;=3,O206&gt;=1.5),"有効",IF(T206&gt;=3,"要確認","除外")))</f>
        <v/>
      </c>
      <c r="V206" s="176">
        <f>IF(AND(H206&lt;&gt;"",K206&lt;&gt;""),IF(H206&gt;=K206,"年初来高値更新●",IF(H206&gt;=K206*0.95,"高値圏","通常")),"")</f>
        <v/>
      </c>
      <c r="W206" s="615">
        <f t="array" ref="W206">IF(C206&lt;&gt;"",IFERROR(100-100/(1+SUMPRODUCT((終値!F12:R12&gt;終値!G12:S12)*( 終値!F12:R12-終値!G12:S12))/SUMPRODUCT((終値!F12:R12&lt;終値!G12:S12)*(終値!G12:S12-終値!F12:R12))),50),"")</f>
        <v/>
      </c>
      <c r="X206" s="183">
        <f>IF(C206&lt;&gt;"",IFERROR(SUMPRODUCT(終値!E12:P12,{0.154,0.132,0.113,0.097,0.083,0.071,0.061,0.052,0.045,0.038,0.033,0.028})/SUMPRODUCT({0.154,0.132,0.113,0.097,0.083,0.071,0.061,0.052,0.045,0.038,0.033,0.028})-SUMPRODUCT(終値!E12:AD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6" s="570">
        <f>IF(T206="","",IF(銘柄管理!$F$5="下落▼",IF(AND(AD206="パーフェクト▲",OR(AE206="25日線押し目●",AE206="5日線押し目○")),"★逆張り候補",IF(AND(AD206="上昇トレンド▲",OR(AE206="25日線押し目●",AE206="5日線押し目○")),"○逆張り候補",IF(W206&lt;=30,IF(Z206&gt;0,"◎反発確認",IF(Z206&lt;-5,"△要注意・様子見","△売られ過ぎ注目")),"相場下落・見送り"))),IF(AND(T206&gt;=12,AD206="パーフェクト▲"),"★強い買い",IF(AND(T206&gt;=12,AD206="上昇トレンド▲"),"★強い買い",IF(AND(T206&gt;=8,OR(AE206="25日線押し目●",AE206="5日線押し目○")),"◎押し目買い",IF(T206&gt;=10,"○買い候補",IF(T206&gt;=6,"△注目",IF(T206&gt;=3,"様子見","見送り"))))))))</f>
        <v/>
      </c>
      <c r="Z206" s="616">
        <f>IF(AND(E206&lt;&gt;"",G206&lt;&gt;"",G206&lt;&gt;0),(E206-G206)/G206*100,"")</f>
        <v/>
      </c>
      <c r="AA206" s="176">
        <f>IF(OR(C206="",E206="",E206=0),"",IF(E206&gt;G206,"上昇▲",IF(E206&lt;G206,"下落▼","横ばい→")))</f>
        <v/>
      </c>
      <c r="AB206" s="185">
        <f>IF(OR(C206="",C206="TOPX",終値!E202=""),"",IFERROR(((終値!E202*0.333)+(終値!F202*0.222)+(終値!G202*0.148)+(終値!H202*0.099)+(終値!I202*0.066))/(0.333+0.222+0.148+0.099+0.066),""))</f>
        <v/>
      </c>
      <c r="AC206" s="185">
        <f>IF(OR(C206="",C206="TOPX",終値!E202=""),"",IFERROR(SUMPRODUCT((終値!E202:AC202)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6" s="186">
        <f>IF(OR(C206="",AB206="",AC206="",AB206=0,AC206=0),"",IF(AND(E206&gt;AB206,AB206&gt;AC206),"パーフェクト▲",IF(E206&gt;AC206,"上昇トレンド▲",IF(AND(E206&lt;AB206,AB206&lt;AC206),"下降トレンド▼","もみ合い→"))))</f>
        <v/>
      </c>
      <c r="AE206" s="186">
        <f>IF(OR(C206="",AB206="",AC206=""),"",IF(AND(ABS(E206-AC206)/AC206&lt;=0.02,E206&gt;AC206),"25日線押し目●",IF(AND(ABS(E206-AB206)/AB206&lt;=0.01,E206&gt;AB206),"5日線押し目○","なし")))</f>
        <v/>
      </c>
      <c r="AF206" s="617">
        <f t="array" ref="AF206">IF(C206="","",IFERROR((INDEX(終値!$E:$E,MATCH(TEXT(C206,"0"),終値!$A:$A,0))-INDEX(終値!$E:$BL,MATCH(TEXT(C206,"0"),終値!$A:$A,0),$AL$2))/INDEX(終値!$E:$BL,MATCH(TEXT(C206,"0"),終値!$A:$A,0),$AL$2)*100,""))</f>
        <v/>
      </c>
      <c r="AG206" s="617">
        <f t="array" ref="AG206">IFERROR((終値!$E$5-INDEX(終値!$E$5:$BL$5,1,$AL$2))/INDEX(終値!$E$5:$BL$5,1,$AL$2)*100,"")</f>
        <v/>
      </c>
      <c r="AH206" s="618">
        <f>IF(OR(AF206="",AG206=""),"",AF206-AG206)</f>
        <v/>
      </c>
      <c r="AI206" s="385">
        <f>IF(AH206="","",IF(AH206&gt;5,3,IF(AH206&gt;0,1,IF(AH206&gt;-3,-1,-2))))</f>
        <v/>
      </c>
    </row>
  </sheetData>
  <autoFilter ref="A2:AA204">
    <sortState ref="A3:AA206">
      <sortCondition descending="1" ref="C2:C204"/>
    </sortState>
  </autoFilter>
  <mergeCells count="1">
    <mergeCell ref="A1:AA1"/>
  </mergeCells>
  <conditionalFormatting sqref="Q3:Q206">
    <cfRule type="cellIs" priority="1" operator="equal" dxfId="10" stopIfTrue="1">
      <formula>"""買い▲"""</formula>
    </cfRule>
    <cfRule type="cellIs" priority="2" operator="equal" dxfId="8" stopIfTrue="1">
      <formula>"""様子見▼"""</formula>
    </cfRule>
  </conditionalFormatting>
  <conditionalFormatting sqref="T3:T206">
    <cfRule type="cellIs" priority="6" operator="greaterThanOrEqual" dxfId="10" stopIfTrue="1">
      <formula>AND(T3&gt;=5,T3&lt;&gt;"")</formula>
    </cfRule>
    <cfRule type="cellIs" priority="7" operator="greaterThanOrEqual" dxfId="6" stopIfTrue="1">
      <formula>AND(T3&gt;=3,T3&lt;&gt;"")</formula>
    </cfRule>
  </conditionalFormatting>
  <conditionalFormatting sqref="AA3:AA206">
    <cfRule type="cellIs" priority="8" operator="equal" dxfId="17" stopIfTrue="1">
      <formula>"""上昇▲"""</formula>
    </cfRule>
    <cfRule type="cellIs" priority="9" operator="equal" dxfId="16" stopIfTrue="1">
      <formula>"""下落▼"""</formula>
    </cfRule>
  </conditionalFormatting>
  <conditionalFormatting sqref="Z3:Z206">
    <cfRule type="cellIs" priority="10" operator="greaterThan" dxfId="17" stopIfTrue="1">
      <formula>0</formula>
    </cfRule>
    <cfRule type="cellIs" priority="11" operator="lessThan" dxfId="16" stopIfTrue="1">
      <formula>0</formula>
    </cfRule>
  </conditionalFormatting>
  <conditionalFormatting sqref="AD203:AD206">
    <cfRule type="cellIs" priority="12" operator="equal" dxfId="10" stopIfTrue="1">
      <formula>"""パーフェクト▲"""</formula>
    </cfRule>
    <cfRule type="cellIs" priority="13" operator="equal" dxfId="9" stopIfTrue="1">
      <formula>"""上昇トレンド▲"""</formula>
    </cfRule>
    <cfRule type="cellIs" priority="14" operator="equal" dxfId="8" stopIfTrue="1">
      <formula>"""下降トレンド▼"""</formula>
    </cfRule>
  </conditionalFormatting>
  <conditionalFormatting sqref="AE203:AE206">
    <cfRule type="cellIs" priority="15" operator="equal" dxfId="7" stopIfTrue="1">
      <formula>"""25日押し目★"""</formula>
    </cfRule>
    <cfRule type="cellIs" priority="16" operator="equal" dxfId="6" stopIfTrue="1">
      <formula>"""5日押し目○"""</formula>
    </cfRule>
  </conditionalFormatting>
  <conditionalFormatting sqref="AD3:AD202">
    <cfRule type="cellIs" priority="17" operator="equal" dxfId="10" stopIfTrue="1">
      <formula>"""パーフェクト▲"""</formula>
    </cfRule>
    <cfRule type="cellIs" priority="18" operator="equal" dxfId="9" stopIfTrue="1">
      <formula>"""上昇トレンド▲"""</formula>
    </cfRule>
    <cfRule type="cellIs" priority="19" operator="equal" dxfId="8" stopIfTrue="1">
      <formula>"""下降トレンド▼"""</formula>
    </cfRule>
  </conditionalFormatting>
  <conditionalFormatting sqref="AE3:AE202">
    <cfRule type="cellIs" priority="20" operator="equal" dxfId="7" stopIfTrue="1">
      <formula>"""25日押し目★"""</formula>
    </cfRule>
    <cfRule type="cellIs" priority="21" operator="equal" dxfId="6" stopIfTrue="1">
      <formula>"""5日押し目○"""</formula>
    </cfRule>
  </conditionalFormatting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4">
    <outlinePr summaryBelow="1" summaryRight="1"/>
    <pageSetUpPr/>
  </sheetPr>
  <dimension ref="A1:AU206"/>
  <sheetViews>
    <sheetView topLeftCell="A154" workbookViewId="0">
      <selection activeCell="D152" sqref="D152"/>
    </sheetView>
  </sheetViews>
  <sheetFormatPr baseColWidth="8" defaultRowHeight="13.5"/>
  <cols>
    <col width="7.5" customWidth="1" style="574" min="1" max="1"/>
    <col width="20" customWidth="1" style="574" min="4" max="4"/>
    <col width="16.625" customWidth="1" style="574" min="25" max="25"/>
  </cols>
  <sheetData>
    <row r="1" ht="27.95" customHeight="1" s="574">
      <c r="A1" s="335" t="inlineStr">
        <is>
          <t>株価分析システム  |  売り候補分析シート</t>
        </is>
      </c>
      <c r="AM1" s="392" t="inlineStr">
        <is>
          <t>TOPIX有効日数</t>
        </is>
      </c>
      <c r="AN1" s="392" t="inlineStr">
        <is>
          <t>基準列オフセット</t>
        </is>
      </c>
    </row>
    <row r="2" ht="18" customHeight="1" s="574">
      <c r="A2" s="336" t="inlineStr">
        <is>
          <t>株リンク</t>
        </is>
      </c>
      <c r="B2" s="336" t="inlineStr">
        <is>
          <t>メモ</t>
        </is>
      </c>
      <c r="C2" s="336" t="inlineStr">
        <is>
          <t>銘柄コード</t>
        </is>
      </c>
      <c r="D2" s="336" t="inlineStr">
        <is>
          <t>銘柄名称</t>
        </is>
      </c>
      <c r="E2" s="337" t="inlineStr">
        <is>
          <t>現在値</t>
        </is>
      </c>
      <c r="F2" s="338" t="inlineStr">
        <is>
          <t>始値</t>
        </is>
      </c>
      <c r="G2" s="338" t="inlineStr">
        <is>
          <t>前日終値</t>
        </is>
      </c>
      <c r="H2" s="338" t="inlineStr">
        <is>
          <t>高値</t>
        </is>
      </c>
      <c r="I2" s="338" t="inlineStr">
        <is>
          <t>安値</t>
        </is>
      </c>
      <c r="J2" s="338" t="inlineStr">
        <is>
          <t>出来高</t>
        </is>
      </c>
      <c r="K2" s="338" t="inlineStr">
        <is>
          <t>年初来高値</t>
        </is>
      </c>
      <c r="L2" s="338" t="inlineStr">
        <is>
          <t>高値距離(%)</t>
        </is>
      </c>
      <c r="M2" s="339" t="inlineStr">
        <is>
          <t>出来高5日平均</t>
        </is>
      </c>
      <c r="N2" s="339" t="inlineStr">
        <is>
          <t>出来高25日平均</t>
        </is>
      </c>
      <c r="O2" s="339" t="inlineStr">
        <is>
          <t>出来高倍率</t>
        </is>
      </c>
      <c r="P2" s="339" t="inlineStr">
        <is>
          <t>出来高トレンド</t>
        </is>
      </c>
      <c r="Q2" s="339" t="inlineStr">
        <is>
          <t>エントリー判定</t>
        </is>
      </c>
      <c r="R2" s="340" t="inlineStr">
        <is>
          <t>利確ライン</t>
        </is>
      </c>
      <c r="S2" s="340" t="inlineStr">
        <is>
          <t>損切りライン</t>
        </is>
      </c>
      <c r="T2" s="397" t="inlineStr">
        <is>
          <t>総合スコア</t>
        </is>
      </c>
      <c r="U2" s="341" t="inlineStr">
        <is>
          <t>ダマシ除外</t>
        </is>
      </c>
      <c r="V2" s="341" t="inlineStr">
        <is>
          <t>安値更新</t>
        </is>
      </c>
      <c r="W2" s="341" t="inlineStr">
        <is>
          <t>RSI(14)</t>
        </is>
      </c>
      <c r="X2" s="341" t="inlineStr">
        <is>
          <t>MACD</t>
        </is>
      </c>
      <c r="Y2" s="342" t="inlineStr">
        <is>
          <t>最終シグナル</t>
        </is>
      </c>
      <c r="Z2" s="341" t="inlineStr">
        <is>
          <t>前日比(%)</t>
        </is>
      </c>
      <c r="AA2" s="341" t="inlineStr">
        <is>
          <t>ステータス</t>
        </is>
      </c>
      <c r="AB2" s="343" t="inlineStr">
        <is>
          <t>5日EMA</t>
        </is>
      </c>
      <c r="AC2" s="343" t="inlineStr">
        <is>
          <t>25日EMA</t>
        </is>
      </c>
      <c r="AD2" s="343" t="inlineStr">
        <is>
          <t>EMAトレンド</t>
        </is>
      </c>
      <c r="AE2" s="343" t="inlineStr">
        <is>
          <t>戻り判定</t>
        </is>
      </c>
      <c r="AF2" s="343" t="inlineStr">
        <is>
          <t>シグナルWD</t>
        </is>
      </c>
      <c r="AI2" s="390" t="inlineStr">
        <is>
          <t>銘柄騰落率</t>
        </is>
      </c>
      <c r="AJ2" s="390" t="inlineStr">
        <is>
          <t>TOPIX騰落率</t>
        </is>
      </c>
      <c r="AK2" s="391" t="inlineStr">
        <is>
          <t>対TOPIX超過</t>
        </is>
      </c>
      <c r="AL2" s="391" t="inlineStr">
        <is>
          <t>相対力スコア</t>
        </is>
      </c>
      <c r="AM2" s="393">
        <f>COUNT(終値!$E$5:$BL$5)</f>
        <v/>
      </c>
      <c r="AN2" s="393">
        <f>MIN(25,AM2)</f>
        <v/>
      </c>
      <c r="AO2" s="391" t="inlineStr">
        <is>
          <t>ローソク足形</t>
        </is>
      </c>
      <c r="AP2" s="391" t="inlineStr">
        <is>
          <t>足加減点</t>
        </is>
      </c>
      <c r="AQ2" s="391" t="inlineStr">
        <is>
          <t>前日始値</t>
        </is>
      </c>
      <c r="AR2" s="391" t="inlineStr">
        <is>
          <t>前日高値</t>
        </is>
      </c>
      <c r="AS2" s="391" t="inlineStr">
        <is>
          <t>前日安値</t>
        </is>
      </c>
      <c r="AT2" s="391" t="inlineStr">
        <is>
          <t>前日足形</t>
        </is>
      </c>
      <c r="AU2" s="391" t="inlineStr">
        <is>
          <t>前日足加減点</t>
        </is>
      </c>
    </row>
    <row r="3" ht="14.25" customHeight="1" s="574">
      <c r="A3" s="344">
        <f>IF(銘柄管理!B141&lt;&gt;"",HYPERLINK("https://kabutan.jp/stock/?code="&amp;銘柄管理!B141,"株探"),"")</f>
        <v/>
      </c>
      <c r="B3" s="345" t="n"/>
      <c r="C3" s="345">
        <f>IF(銘柄管理!B141="","",銘柄管理!B141)</f>
        <v/>
      </c>
      <c r="D3" s="345">
        <f>IF(銘柄管理!C141="","",銘柄管理!C141)</f>
        <v/>
      </c>
      <c r="E3" s="346">
        <f>IF(C3&lt;&gt;"",_xll.RssMarket(C3,"現在値"),"")</f>
        <v/>
      </c>
      <c r="F3" s="346">
        <f>IF(C3&lt;&gt;"",_xll.RssMarket(C3,"始値"),"")</f>
        <v/>
      </c>
      <c r="G3" s="345">
        <f>IF(C3&lt;&gt;"",終値!F141,"")</f>
        <v/>
      </c>
      <c r="H3" s="346">
        <f>IF(C3&lt;&gt;"",_xll.RssMarket(C3,"高値"),"")</f>
        <v/>
      </c>
      <c r="I3" s="346">
        <f>IF(C3&lt;&gt;"",_xll.RssMarket(C3,"安値"),"")</f>
        <v/>
      </c>
      <c r="J3" s="346">
        <f>IF(C3&lt;&gt;"",_xll.RssMarket(C3,"出来高"),"")</f>
        <v/>
      </c>
      <c r="K3" s="346">
        <f>IF(C3&lt;&gt;"",_xll.RssMarket(C3,"年初来高値"),"")</f>
        <v/>
      </c>
      <c r="L3" s="619">
        <f>IF(AND(E3&lt;&gt;"",K3&lt;&gt;"",K3&lt;&gt;0),(E3-K3)/K3*100,"")</f>
        <v/>
      </c>
      <c r="M3" s="346">
        <f>IF(C3&lt;&gt;"",IFERROR(AVERAGE(出来高!E141:I141),""),"")</f>
        <v/>
      </c>
      <c r="N3" s="346">
        <f>IF(C3&lt;&gt;"",IFERROR(AVERAGE(出来高!E141:AC141),""),"")</f>
        <v/>
      </c>
      <c r="O3" s="620">
        <f>IF(AND(J3&lt;&gt;"",M3&lt;&gt;"",M3&lt;&gt;0),J3/M3,"")</f>
        <v/>
      </c>
      <c r="P3" s="345">
        <f>IF(O3="","",IF(O3&gt;=2,"急増↑↑",IF(O3&gt;=1.5,"増加↑",IF(O3&gt;=1,"普通→","減少↓"))))</f>
        <v/>
      </c>
      <c r="Q3" s="345">
        <f>IF(E3="","",IF(AND(E3&lt;G3,O3&gt;=1.5),"売り▼",IF(E3&gt;G3,"様子見▲","中立→")))</f>
        <v/>
      </c>
      <c r="R3" s="346">
        <f>IF(E3&lt;&gt;"",ROUND(E3*0.92,0),"")</f>
        <v/>
      </c>
      <c r="S3" s="346">
        <f>IF(E3&lt;&gt;"",ROUND(E3*1.04,0),"")</f>
        <v/>
      </c>
      <c r="T3" s="345">
        <f>IF(C3="","",IFERROR(IF(W3&gt;=70,3,IF(W3&gt;=60,2,IF(W3&gt;=50,1,0)))+IF(X3&lt;0,2,0)+IF(AD3="下降トレンド▼",3,IF(AD3="もみ合い→",1,0))+IF(V3="年初来安値圏●",3,IF(V3="安値圏",2,0))+IF(Q3="売り▼",2,0)+IF(P3="急増↑↑",2,IF(P3="増加↑",1,0))+IF(Z3&lt;0,1,0)+IF(L3&lt;=-30,2,IF(L3&lt;=-15,1,0))+IF(AE3="25日戻り売り★",2,IF(AE3="5日戻り売り○",1,0))+N(AL3)+N(AP3)+N(AU3),0))</f>
        <v/>
      </c>
      <c r="U3" s="345">
        <f>IF(T3="","",IF(AND(T3&gt;=3,O3&gt;=1.5),"有効",IF(T3&gt;=3,"要確認","除外")))</f>
        <v/>
      </c>
      <c r="V3" s="345">
        <f>IF(AND(I3&lt;&gt;"",K3&lt;&gt;""),IF(I3&lt;=K3*0.6,"年初来安値圏●",IF(I3&lt;=K3*0.75,"安値圏","通常")),"")</f>
        <v/>
      </c>
      <c r="W3" s="621">
        <f t="array" ref="W3">IFERROR(100-100/(1+SUMPRODUCT((終値!F141:R141&gt;終値!G141:S141)*(終値!F141:R141-終値!G141:S141))/SUMPRODUCT((終値!F141:R141&lt;終値!G141:S141)*(終値!G141:S141-終値!F141:R141))),50)</f>
        <v/>
      </c>
      <c r="X3" s="350">
        <f>IF(C3&lt;&gt;"",IFERROR(SUMPRODUCT(終値!E141:P141,{0.154,0.132,0.113,0.097,0.083,0.071,0.061,0.052,0.045,0.038,0.033,0.028})/SUMPRODUCT({0.154,0.132,0.113,0.097,0.083,0.071,0.061,0.052,0.045,0.038,0.033,0.028})-SUMPRODUCT(終値!E141:AD141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" s="345">
        <f>IF(AF3="","",AF3&amp;" | "&amp;AD3&amp;IF(AE3&lt;&gt;"なし"," "&amp;AE3,"")&amp;IF(X3&lt;0," MACD-"," MACD+")&amp;" RSI:"&amp;TEXT(W3,"0.0")&amp;IF(W3&gt;=70," [過熱]",IF(W3&lt;=30," [売られ過ぎ]",""))&amp;" 前日比:"&amp;TEXT(Z3,"+0.0;-0.0;0.0")&amp;"%"&amp;IF(V3="年初来安値圏●"," [年初来安値圏]",IF(V3="安値圏"," [安値圏]",""))&amp;IF(OR(AO3="通常",AO3="-"),""," ["&amp;AO3&amp;"]")&amp;IF(OR(AT3="通常",AT3="-"),"","前日["&amp;AT3&amp;"]")&amp;" ["&amp;T3&amp;"点]")</f>
        <v/>
      </c>
      <c r="Z3" s="622">
        <f>IF(AND(E3&lt;&gt;"",G3&lt;&gt;"",G3&lt;&gt;0),(E3-G3)/G3*100,"")</f>
        <v/>
      </c>
      <c r="AA3" s="345">
        <f>IF(OR(C3="",E3="",E3=0),"",IF(E3&gt;G3,"上昇▲",IF(E3&lt;G3,"下落▼","横ばい→")))</f>
        <v/>
      </c>
      <c r="AB3" s="346">
        <f>IF(OR(C3="",C3="TOPX",終値!E141=""),"",IFERROR(((終値!E141*0.333)+(終値!F141*0.222)+(終値!G141*0.148)+(終値!H141*0.099)+(終値!I141*0.066))/(0.333+0.222+0.148+0.099+0.066),""))</f>
        <v/>
      </c>
      <c r="AC3" s="346">
        <f>IF(OR(C3="",C3="TOPX",終値!E141=""),"",IFERROR(SUMPRODUCT((終値!E141:AC141)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" s="345">
        <f>IF(OR(C3="",AB3="",AC3="",AB3=0,AC3=0),"",IF(AND(E3&gt;AB3,AB3&gt;AC3),"パーフェクト▲",IF(E3&gt;AC3,"上昇トレンド▲",IF(AND(E3&lt;AB3,AB3&lt;AC3),"下降トレンド▼","もみ合い→"))))</f>
        <v/>
      </c>
      <c r="AE3" s="345">
        <f>IF(OR(C3="",AB3="",AC3=""),"",IF(AND(ABS(E3-AC3)/AC3&lt;=0.02,E3&lt;AC3),"25日戻り売り★",IF(AND(ABS(E3-AB3)/AB3&lt;=0.01,E3&lt;AB3),"5日戻り売り○","なし")))</f>
        <v/>
      </c>
      <c r="AF3">
        <f>IF(T3="","",IF(銘柄管理!$F$5="上昇▲",IF(AND(AD3="下降トレンド▼",OR(AE3="25日戻り売り★",AE3="5日戻り売り○")),"★逆張り売り",IF(AND(AD3="もみ合い→",OR(AE3="25日戻り売り★",AE3="5日戻り売り○")),"○逆張り売り",IF(W3&gt;=70,IF(Z3&lt;0,"◎反落確認","△過熱・様子見"),"相場上昇・見送り"))),IF(AND(T3&gt;=12,AD3="下降トレンド▼"),"★強い売り",IF(T3&gt;=12,"★強い売り",IF(AND(T3&gt;=8,OR(AE3="25日戻り売り★",AE3="5日戻り売り○")),"◎戻り売り",IF(T3&gt;=10,"○売り候補",IF(T3&gt;=6,"△注目",IF(T3&gt;=3,"様子見","見送り"))))))))</f>
        <v/>
      </c>
      <c r="AG3">
        <f>IF(AND(T3&gt;=7,C3&lt;&gt;""),T3,0)</f>
        <v/>
      </c>
      <c r="AH3">
        <f>IF(AG3&gt;0,AG3*10000-ROW(A3),0)</f>
        <v/>
      </c>
      <c r="AI3" s="623">
        <f t="array" ref="AI3">IF(C3="","",IFERROR((INDEX(終値!$E:$E,MATCH(TEXT(C3,"0"),終値!$A:$A,0))-INDEX(終値!$E:$BL,MATCH(TEXT(C3,"0"),終値!$A:$A,0),$AN$2))/INDEX(終値!$E:$BL,MATCH(TEXT(C3,"0"),終値!$A:$A,0),$AN$2)*100,""))</f>
        <v/>
      </c>
      <c r="AJ3" s="623">
        <f t="array" ref="AJ3">IFERROR((終値!$E$5-INDEX(終値!$E$5:$BL$5,1,$AN$2))/INDEX(終値!$E$5:$BL$5,1,$AN$2)*100,"")</f>
        <v/>
      </c>
      <c r="AK3" s="624">
        <f>IF(OR(AI3="",AJ3=""),"",AI3-AJ3)</f>
        <v/>
      </c>
      <c r="AL3" s="394">
        <f>IF(AK3="","",IF(AK3&lt;-5,3,IF(AK3&lt;0,1,IF(AK3&lt;3,-1,-2))))</f>
        <v/>
      </c>
      <c r="AO3" s="398">
        <f>IF(OR($C3="",$E3="",$F3="",$H3="",$I3="",$H3-$I3&lt;=0),"-",IF(AND($H3-MAX($F3,$E3)&gt;=ABS($E3-$F3)*2,MIN($F3,$E3)-$I3&lt;=ABS($E3-$F3)*0.5,ABS($E3-$F3)&gt;0),"上ヒゲ陰線▼",IF(AND($E3&lt;$F3,ABS($E3-$F3)&gt;=($H3-$I3)*0.7),"大陰線▼",IF(AND(MIN($F3,$E3)-$I3&gt;=($H3-$I3)*0.5,$H3-MAX($F3,$E3)&lt;=($H3-$I3)*0.2),"長い下ヒゲ(反発警戒)","通常"))))</f>
        <v/>
      </c>
      <c r="AP3" s="625">
        <f>IF($AO3="上ヒゲ陰線▼",2,IF($AO3="大陰線▼",2,IF($AO3="長い下ヒゲ(反発警戒)",-2,0)))</f>
        <v/>
      </c>
      <c r="AQ3">
        <f>IF(C3&lt;&gt;"",始値!F141,"")</f>
        <v/>
      </c>
      <c r="AR3">
        <f>IF(C3&lt;&gt;"",高値!F141,"")</f>
        <v/>
      </c>
      <c r="AS3">
        <f>IF(C3&lt;&gt;"",安値!F141,"")</f>
        <v/>
      </c>
      <c r="AT3">
        <f>IF(OR(C3="",AQ3="",AR3="",AS3="",AR3-AS3&lt;=0),"-",IF(AND(AR3-MAX(G3,AQ3)&gt;=ABS(G3-AQ3)*2,MIN(G3,AQ3)-AS3&lt;=ABS(G3-AQ3)*0.5,ABS(G3-AQ3)&gt;0),"上ヒゲ陰線▼",IF(AND(G3&lt;AQ3,ABS(G3-AQ3)&gt;=(AR3-AS3)*0.7),"大陰線▼",IF(AND(MIN(G3,AQ3)-AS3&gt;=(AR3-AS3)*0.5,AR3-MAX(G3,AQ3)&lt;=(AR3-AS3)*0.2),"長い下ヒゲ(反発)","通常"))))</f>
        <v/>
      </c>
      <c r="AU3">
        <f>IF(AT3="上ヒゲ陰線▼",2,IF(AT3="大陰線▼",2,IF(AT3="長い下ヒゲ(反発)",-2,0)))</f>
        <v/>
      </c>
    </row>
    <row r="4" ht="14.25" customHeight="1" s="574">
      <c r="A4" s="352">
        <f>IF(銘柄管理!B28&lt;&gt;"",HYPERLINK("https://kabutan.jp/stock/?code="&amp;銘柄管理!B28,"株探"),"")</f>
        <v/>
      </c>
      <c r="B4" s="225" t="n"/>
      <c r="C4" s="225">
        <f>IF(銘柄管理!B28="","",銘柄管理!B28)</f>
        <v/>
      </c>
      <c r="D4" s="225">
        <f>IF(銘柄管理!C28="","",銘柄管理!C28)</f>
        <v/>
      </c>
      <c r="E4" s="353">
        <f>IF(C4&lt;&gt;"",_xll.RssMarket(C4,"現在値"),"")</f>
        <v/>
      </c>
      <c r="F4" s="353">
        <f>IF(C4&lt;&gt;"",_xll.RssMarket(C4,"始値"),"")</f>
        <v/>
      </c>
      <c r="G4" s="225">
        <f>IF(C4&lt;&gt;"",終値!F28,"")</f>
        <v/>
      </c>
      <c r="H4" s="353">
        <f>IF(C4&lt;&gt;"",_xll.RssMarket(C4,"高値"),"")</f>
        <v/>
      </c>
      <c r="I4" s="353">
        <f>IF(C4&lt;&gt;"",_xll.RssMarket(C4,"安値"),"")</f>
        <v/>
      </c>
      <c r="J4" s="353">
        <f>IF(C4&lt;&gt;"",_xll.RssMarket(C4,"出来高"),"")</f>
        <v/>
      </c>
      <c r="K4" s="353">
        <f>IF(C4&lt;&gt;"",_xll.RssMarket(C4,"年初来高値"),"")</f>
        <v/>
      </c>
      <c r="L4" s="626">
        <f>IF(AND(E4&lt;&gt;"",K4&lt;&gt;"",K4&lt;&gt;0),(E4-K4)/K4*100,"")</f>
        <v/>
      </c>
      <c r="M4" s="353">
        <f>IF(C4&lt;&gt;"",IFERROR(AVERAGE(出来高!E28:I28),""),"")</f>
        <v/>
      </c>
      <c r="N4" s="353">
        <f>IF(C4&lt;&gt;"",IFERROR(AVERAGE(出来高!E28:AC28),""),"")</f>
        <v/>
      </c>
      <c r="O4" s="627">
        <f>IF(AND(J4&lt;&gt;"",M4&lt;&gt;"",M4&lt;&gt;0),J4/M4,"")</f>
        <v/>
      </c>
      <c r="P4" s="225">
        <f>IF(O4="","",IF(O4&gt;=2,"急増↑↑",IF(O4&gt;=1.5,"増加↑",IF(O4&gt;=1,"普通→","減少↓"))))</f>
        <v/>
      </c>
      <c r="Q4" s="225">
        <f>IF(E4="","",IF(AND(E4&lt;G4,O4&gt;=1.5),"売り▼",IF(E4&gt;G4,"様子見▲","中立→")))</f>
        <v/>
      </c>
      <c r="R4" s="353">
        <f>IF(E4&lt;&gt;"",ROUND(E4*0.92,0),"")</f>
        <v/>
      </c>
      <c r="S4" s="353">
        <f>IF(E4&lt;&gt;"",ROUND(E4*1.04,0),"")</f>
        <v/>
      </c>
      <c r="T4" s="345">
        <f>IF(C4="","",IFERROR(IF(W4&gt;=70,3,IF(W4&gt;=60,2,IF(W4&gt;=50,1,0)))+IF(X4&lt;0,2,0)+IF(AD4="下降トレンド▼",3,IF(AD4="もみ合い→",1,0))+IF(V4="年初来安値圏●",3,IF(V4="安値圏",2,0))+IF(Q4="売り▼",2,0)+IF(P4="急増↑↑",2,IF(P4="増加↑",1,0))+IF(Z4&lt;0,1,0)+IF(L4&lt;=-30,2,IF(L4&lt;=-15,1,0))+IF(AE4="25日戻り売り★",2,IF(AE4="5日戻り売り○",1,0))+N(AL4)+N(AP4)+N(AU4),0))</f>
        <v/>
      </c>
      <c r="U4" s="225">
        <f>IF(T4="","",IF(AND(T4&gt;=3,O4&gt;=1.5),"有効",IF(T4&gt;=3,"要確認","除外")))</f>
        <v/>
      </c>
      <c r="V4" s="225">
        <f>IF(AND(I4&lt;&gt;"",K4&lt;&gt;""),IF(I4&lt;=K4*0.6,"年初来安値圏●",IF(I4&lt;=K4*0.75,"安値圏","通常")),"")</f>
        <v/>
      </c>
      <c r="W4" s="628">
        <f t="array" ref="W4">IFERROR(100-100/(1+SUMPRODUCT((終値!F28:R28&gt;終値!G28:S28)*(終値!F28:R28-終値!G28:S28))/SUMPRODUCT((終値!F28:R28&lt;終値!G28:S28)*(終値!G28:S28-終値!F28:R28))),50)</f>
        <v/>
      </c>
      <c r="X4" s="357">
        <f>IF(C4&lt;&gt;"",IFERROR(SUMPRODUCT(終値!E28:P28,{0.154,0.132,0.113,0.097,0.083,0.071,0.061,0.052,0.045,0.038,0.033,0.028})/SUMPRODUCT({0.154,0.132,0.113,0.097,0.083,0.071,0.061,0.052,0.045,0.038,0.033,0.028})-SUMPRODUCT(終値!E28:AD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" s="225">
        <f>IF(AF4="","",AF4&amp;" | "&amp;AD4&amp;IF(AE4&lt;&gt;"なし"," "&amp;AE4,"")&amp;IF(X4&lt;0," MACD-"," MACD+")&amp;" RSI:"&amp;TEXT(W4,"0.0")&amp;IF(W4&gt;=70," [過熱]",IF(W4&lt;=30," [売られ過ぎ]",""))&amp;" 前日比:"&amp;TEXT(Z4,"+0.0;-0.0;0.0")&amp;"%"&amp;IF(V4="年初来安値圏●"," [年初来安値圏]",IF(V4="安値圏"," [安値圏]",""))&amp;IF(OR(AO4="通常",AO4="-"),""," ["&amp;AO4&amp;"]")&amp;IF(OR(AT4="通常",AT4="-"),"","前日["&amp;AT4&amp;"]")&amp;" ["&amp;T4&amp;"点]")</f>
        <v/>
      </c>
      <c r="Z4" s="629">
        <f>IF(AND(E4&lt;&gt;"",G4&lt;&gt;"",G4&lt;&gt;0),(E4-G4)/G4*100,"")</f>
        <v/>
      </c>
      <c r="AA4" s="225">
        <f>IF(OR(C4="",E4="",E4=0),"",IF(E4&gt;G4,"上昇▲",IF(E4&lt;G4,"下落▼","横ばい→")))</f>
        <v/>
      </c>
      <c r="AB4" s="353">
        <f>IF(OR(C4="",C4="TOPX",終値!E28=""),"",IFERROR(((終値!E28*0.333)+(終値!F28*0.222)+(終値!G28*0.148)+(終値!H28*0.099)+(終値!I28*0.066))/(0.333+0.222+0.148+0.099+0.066),""))</f>
        <v/>
      </c>
      <c r="AC4" s="353">
        <f>IF(OR(C4="",C4="TOPX",終値!E28=""),"",IFERROR(SUMPRODUCT((終値!E28:AC28)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" s="225">
        <f>IF(OR(C4="",AB4="",AC4="",AB4=0,AC4=0),"",IF(AND(E4&gt;AB4,AB4&gt;AC4),"パーフェクト▲",IF(E4&gt;AC4,"上昇トレンド▲",IF(AND(E4&lt;AB4,AB4&lt;AC4),"下降トレンド▼","もみ合い→"))))</f>
        <v/>
      </c>
      <c r="AE4" s="225">
        <f>IF(OR(C4="",AB4="",AC4=""),"",IF(AND(ABS(E4-AC4)/AC4&lt;=0.02,E4&lt;AC4),"25日戻り売り★",IF(AND(ABS(E4-AB4)/AB4&lt;=0.01,E4&lt;AB4),"5日戻り売り○","なし")))</f>
        <v/>
      </c>
      <c r="AF4">
        <f>IF(T4="","",IF(銘柄管理!$F$5="上昇▲",IF(AND(AD4="下降トレンド▼",OR(AE4="25日戻り売り★",AE4="5日戻り売り○")),"★逆張り売り",IF(AND(AD4="もみ合い→",OR(AE4="25日戻り売り★",AE4="5日戻り売り○")),"○逆張り売り",IF(W4&gt;=70,IF(Z4&lt;0,"◎反落確認","△過熱・様子見"),"相場上昇・見送り"))),IF(AND(T4&gt;=12,AD4="下降トレンド▼"),"★強い売り",IF(T4&gt;=12,"★強い売り",IF(AND(T4&gt;=8,OR(AE4="25日戻り売り★",AE4="5日戻り売り○")),"◎戻り売り",IF(T4&gt;=10,"○売り候補",IF(T4&gt;=6,"△注目",IF(T4&gt;=3,"様子見","見送り"))))))))</f>
        <v/>
      </c>
      <c r="AG4">
        <f>IF(AND(T4&gt;=7,C4&lt;&gt;""),T4,0)</f>
        <v/>
      </c>
      <c r="AH4">
        <f>IF(AG4&gt;0,AG4*10000-ROW(A4),0)</f>
        <v/>
      </c>
      <c r="AI4" s="623">
        <f t="array" ref="AI4">IF(C4="","",IFERROR((INDEX(終値!$E:$E,MATCH(TEXT(C4,"0"),終値!$A:$A,0))-INDEX(終値!$E:$BL,MATCH(TEXT(C4,"0"),終値!$A:$A,0),$AN$2))/INDEX(終値!$E:$BL,MATCH(TEXT(C4,"0"),終値!$A:$A,0),$AN$2)*100,""))</f>
        <v/>
      </c>
      <c r="AJ4" s="623">
        <f t="array" ref="AJ4">IFERROR((終値!$E$5-INDEX(終値!$E$5:$BL$5,1,$AN$2))/INDEX(終値!$E$5:$BL$5,1,$AN$2)*100,"")</f>
        <v/>
      </c>
      <c r="AK4" s="624">
        <f>IF(OR(AI4="",AJ4=""),"",AI4-AJ4)</f>
        <v/>
      </c>
      <c r="AL4" s="394">
        <f>IF(AK4="","",IF(AK4&lt;-5,3,IF(AK4&lt;0,1,IF(AK4&lt;3,-1,-2))))</f>
        <v/>
      </c>
      <c r="AO4" s="398">
        <f>IF(OR($C4="",$E4="",$F4="",$H4="",$I4="",$H4-$I4&lt;=0),"-",IF(AND($H4-MAX($F4,$E4)&gt;=ABS($E4-$F4)*2,MIN($F4,$E4)-$I4&lt;=ABS($E4-$F4)*0.5,ABS($E4-$F4)&gt;0),"上ヒゲ陰線▼",IF(AND($E4&lt;$F4,ABS($E4-$F4)&gt;=($H4-$I4)*0.7),"大陰線▼",IF(AND(MIN($F4,$E4)-$I4&gt;=($H4-$I4)*0.5,$H4-MAX($F4,$E4)&lt;=($H4-$I4)*0.2),"長い下ヒゲ(反発警戒)","通常"))))</f>
        <v/>
      </c>
      <c r="AP4" s="625">
        <f>IF($AO4="上ヒゲ陰線▼",2,IF($AO4="大陰線▼",2,IF($AO4="長い下ヒゲ(反発警戒)",-2,0)))</f>
        <v/>
      </c>
      <c r="AQ4">
        <f>IF(C4&lt;&gt;"",始値!F28,"")</f>
        <v/>
      </c>
      <c r="AR4">
        <f>IF(C4&lt;&gt;"",高値!F28,"")</f>
        <v/>
      </c>
      <c r="AS4">
        <f>IF(C4&lt;&gt;"",安値!F28,"")</f>
        <v/>
      </c>
      <c r="AT4">
        <f>IF(OR(C4="",AQ4="",AR4="",AS4="",AR4-AS4&lt;=0),"-",IF(AND(AR4-MAX(G4,AQ4)&gt;=ABS(G4-AQ4)*2,MIN(G4,AQ4)-AS4&lt;=ABS(G4-AQ4)*0.5,ABS(G4-AQ4)&gt;0),"上ヒゲ陰線▼",IF(AND(G4&lt;AQ4,ABS(G4-AQ4)&gt;=(AR4-AS4)*0.7),"大陰線▼",IF(AND(MIN(G4,AQ4)-AS4&gt;=(AR4-AS4)*0.5,AR4-MAX(G4,AQ4)&lt;=(AR4-AS4)*0.2),"長い下ヒゲ(反発)","通常"))))</f>
        <v/>
      </c>
      <c r="AU4">
        <f>IF(AT4="上ヒゲ陰線▼",2,IF(AT4="大陰線▼",2,IF(AT4="長い下ヒゲ(反発)",-2,0)))</f>
        <v/>
      </c>
    </row>
    <row r="5" ht="14.25" customHeight="1" s="574">
      <c r="A5" s="344">
        <f>IF(銘柄管理!B30&lt;&gt;"",HYPERLINK("https://kabutan.jp/stock/?code="&amp;銘柄管理!B30,"株探"),"")</f>
        <v/>
      </c>
      <c r="B5" s="345" t="n"/>
      <c r="C5" s="345">
        <f>IF(銘柄管理!B30="","",銘柄管理!B30)</f>
        <v/>
      </c>
      <c r="D5" s="345">
        <f>IF(銘柄管理!C30="","",銘柄管理!C30)</f>
        <v/>
      </c>
      <c r="E5" s="346">
        <f>IF(C5&lt;&gt;"",_xll.RssMarket(C5,"現在値"),"")</f>
        <v/>
      </c>
      <c r="F5" s="346">
        <f>IF(C5&lt;&gt;"",_xll.RssMarket(C5,"始値"),"")</f>
        <v/>
      </c>
      <c r="G5" s="345">
        <f>IF(C5&lt;&gt;"",終値!F30,"")</f>
        <v/>
      </c>
      <c r="H5" s="346">
        <f>IF(C5&lt;&gt;"",_xll.RssMarket(C5,"高値"),"")</f>
        <v/>
      </c>
      <c r="I5" s="346">
        <f>IF(C5&lt;&gt;"",_xll.RssMarket(C5,"安値"),"")</f>
        <v/>
      </c>
      <c r="J5" s="346">
        <f>IF(C5&lt;&gt;"",_xll.RssMarket(C5,"出来高"),"")</f>
        <v/>
      </c>
      <c r="K5" s="346">
        <f>IF(C5&lt;&gt;"",_xll.RssMarket(C5,"年初来高値"),"")</f>
        <v/>
      </c>
      <c r="L5" s="619">
        <f>IF(AND(E5&lt;&gt;"",K5&lt;&gt;"",K5&lt;&gt;0),(E5-K5)/K5*100,"")</f>
        <v/>
      </c>
      <c r="M5" s="346">
        <f>IF(C5&lt;&gt;"",IFERROR(AVERAGE(出来高!E30:I30),""),"")</f>
        <v/>
      </c>
      <c r="N5" s="346">
        <f>IF(C5&lt;&gt;"",IFERROR(AVERAGE(出来高!E30:AC30),""),"")</f>
        <v/>
      </c>
      <c r="O5" s="620">
        <f>IF(AND(J5&lt;&gt;"",M5&lt;&gt;"",M5&lt;&gt;0),J5/M5,"")</f>
        <v/>
      </c>
      <c r="P5" s="345">
        <f>IF(O5="","",IF(O5&gt;=2,"急増↑↑",IF(O5&gt;=1.5,"増加↑",IF(O5&gt;=1,"普通→","減少↓"))))</f>
        <v/>
      </c>
      <c r="Q5" s="345">
        <f>IF(E5="","",IF(AND(E5&lt;G5,O5&gt;=1.5),"売り▼",IF(E5&gt;G5,"様子見▲","中立→")))</f>
        <v/>
      </c>
      <c r="R5" s="346">
        <f>IF(E5&lt;&gt;"",ROUND(E5*0.92,0),"")</f>
        <v/>
      </c>
      <c r="S5" s="346">
        <f>IF(E5&lt;&gt;"",ROUND(E5*1.04,0),"")</f>
        <v/>
      </c>
      <c r="T5" s="345">
        <f>IF(C5="","",IFERROR(IF(W5&gt;=70,3,IF(W5&gt;=60,2,IF(W5&gt;=50,1,0)))+IF(X5&lt;0,2,0)+IF(AD5="下降トレンド▼",3,IF(AD5="もみ合い→",1,0))+IF(V5="年初来安値圏●",3,IF(V5="安値圏",2,0))+IF(Q5="売り▼",2,0)+IF(P5="急増↑↑",2,IF(P5="増加↑",1,0))+IF(Z5&lt;0,1,0)+IF(L5&lt;=-30,2,IF(L5&lt;=-15,1,0))+IF(AE5="25日戻り売り★",2,IF(AE5="5日戻り売り○",1,0))+N(AL5)+N(AP5)+N(AU5),0))</f>
        <v/>
      </c>
      <c r="U5" s="345">
        <f>IF(T5="","",IF(AND(T5&gt;=3,O5&gt;=1.5),"有効",IF(T5&gt;=3,"要確認","除外")))</f>
        <v/>
      </c>
      <c r="V5" s="345">
        <f>IF(AND(I5&lt;&gt;"",K5&lt;&gt;""),IF(I5&lt;=K5*0.6,"年初来安値圏●",IF(I5&lt;=K5*0.75,"安値圏","通常")),"")</f>
        <v/>
      </c>
      <c r="W5" s="621">
        <f t="array" ref="W5">IFERROR(100-100/(1+SUMPRODUCT((終値!F30:R30&gt;終値!G30:S30)*(終値!F30:R30-終値!G30:S30))/SUMPRODUCT((終値!F30:R30&lt;終値!G30:S30)*(終値!G30:S30-終値!F30:R30))),50)</f>
        <v/>
      </c>
      <c r="X5" s="350">
        <f>IF(C5&lt;&gt;"",IFERROR(SUMPRODUCT(終値!E30:P30,{0.154,0.132,0.113,0.097,0.083,0.071,0.061,0.052,0.045,0.038,0.033,0.028})/SUMPRODUCT({0.154,0.132,0.113,0.097,0.083,0.071,0.061,0.052,0.045,0.038,0.033,0.028})-SUMPRODUCT(終値!E30:AD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" s="345">
        <f>IF(AF5="","",AF5&amp;" | "&amp;AD5&amp;IF(AE5&lt;&gt;"なし"," "&amp;AE5,"")&amp;IF(X5&lt;0," MACD-"," MACD+")&amp;" RSI:"&amp;TEXT(W5,"0.0")&amp;IF(W5&gt;=70," [過熱]",IF(W5&lt;=30," [売られ過ぎ]",""))&amp;" 前日比:"&amp;TEXT(Z5,"+0.0;-0.0;0.0")&amp;"%"&amp;IF(V5="年初来安値圏●"," [年初来安値圏]",IF(V5="安値圏"," [安値圏]",""))&amp;IF(OR(AO5="通常",AO5="-"),""," ["&amp;AO5&amp;"]")&amp;IF(OR(AT5="通常",AT5="-"),"","前日["&amp;AT5&amp;"]")&amp;" ["&amp;T5&amp;"点]")</f>
        <v/>
      </c>
      <c r="Z5" s="622">
        <f>IF(AND(E5&lt;&gt;"",G5&lt;&gt;"",G5&lt;&gt;0),(E5-G5)/G5*100,"")</f>
        <v/>
      </c>
      <c r="AA5" s="345">
        <f>IF(OR(C5="",E5="",E5=0),"",IF(E5&gt;G5,"上昇▲",IF(E5&lt;G5,"下落▼","横ばい→")))</f>
        <v/>
      </c>
      <c r="AB5" s="346">
        <f>IF(OR(C5="",C5="TOPX",終値!E30=""),"",IFERROR(((終値!E30*0.333)+(終値!F30*0.222)+(終値!G30*0.148)+(終値!H30*0.099)+(終値!I30*0.066))/(0.333+0.222+0.148+0.099+0.066),""))</f>
        <v/>
      </c>
      <c r="AC5" s="346">
        <f>IF(OR(C5="",C5="TOPX",終値!E30=""),"",IFERROR(SUMPRODUCT((終値!E30:AC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" s="345">
        <f>IF(OR(C5="",AB5="",AC5="",AB5=0,AC5=0),"",IF(AND(E5&gt;AB5,AB5&gt;AC5),"パーフェクト▲",IF(E5&gt;AC5,"上昇トレンド▲",IF(AND(E5&lt;AB5,AB5&lt;AC5),"下降トレンド▼","もみ合い→"))))</f>
        <v/>
      </c>
      <c r="AE5" s="345">
        <f>IF(OR(C5="",AB5="",AC5=""),"",IF(AND(ABS(E5-AC5)/AC5&lt;=0.02,E5&lt;AC5),"25日戻り売り★",IF(AND(ABS(E5-AB5)/AB5&lt;=0.01,E5&lt;AB5),"5日戻り売り○","なし")))</f>
        <v/>
      </c>
      <c r="AF5">
        <f>IF(T5="","",IF(銘柄管理!$F$5="上昇▲",IF(AND(AD5="下降トレンド▼",OR(AE5="25日戻り売り★",AE5="5日戻り売り○")),"★逆張り売り",IF(AND(AD5="もみ合い→",OR(AE5="25日戻り売り★",AE5="5日戻り売り○")),"○逆張り売り",IF(W5&gt;=70,IF(Z5&lt;0,"◎反落確認","△過熱・様子見"),"相場上昇・見送り"))),IF(AND(T5&gt;=12,AD5="下降トレンド▼"),"★強い売り",IF(T5&gt;=12,"★強い売り",IF(AND(T5&gt;=8,OR(AE5="25日戻り売り★",AE5="5日戻り売り○")),"◎戻り売り",IF(T5&gt;=10,"○売り候補",IF(T5&gt;=6,"△注目",IF(T5&gt;=3,"様子見","見送り"))))))))</f>
        <v/>
      </c>
      <c r="AG5">
        <f>IF(AND(T5&gt;=7,C5&lt;&gt;""),T5,0)</f>
        <v/>
      </c>
      <c r="AH5">
        <f>IF(AG5&gt;0,AG5*10000-ROW(A5),0)</f>
        <v/>
      </c>
      <c r="AI5" s="623">
        <f t="array" ref="AI5">IF(C5="","",IFERROR((INDEX(終値!$E:$E,MATCH(TEXT(C5,"0"),終値!$A:$A,0))-INDEX(終値!$E:$BL,MATCH(TEXT(C5,"0"),終値!$A:$A,0),$AN$2))/INDEX(終値!$E:$BL,MATCH(TEXT(C5,"0"),終値!$A:$A,0),$AN$2)*100,""))</f>
        <v/>
      </c>
      <c r="AJ5" s="623">
        <f t="array" ref="AJ5">IFERROR((終値!$E$5-INDEX(終値!$E$5:$BL$5,1,$AN$2))/INDEX(終値!$E$5:$BL$5,1,$AN$2)*100,"")</f>
        <v/>
      </c>
      <c r="AK5" s="624">
        <f>IF(OR(AI5="",AJ5=""),"",AI5-AJ5)</f>
        <v/>
      </c>
      <c r="AL5" s="394">
        <f>IF(AK5="","",IF(AK5&lt;-5,3,IF(AK5&lt;0,1,IF(AK5&lt;3,-1,-2))))</f>
        <v/>
      </c>
      <c r="AO5" s="398">
        <f>IF(OR($C5="",$E5="",$F5="",$H5="",$I5="",$H5-$I5&lt;=0),"-",IF(AND($H5-MAX($F5,$E5)&gt;=ABS($E5-$F5)*2,MIN($F5,$E5)-$I5&lt;=ABS($E5-$F5)*0.5,ABS($E5-$F5)&gt;0),"上ヒゲ陰線▼",IF(AND($E5&lt;$F5,ABS($E5-$F5)&gt;=($H5-$I5)*0.7),"大陰線▼",IF(AND(MIN($F5,$E5)-$I5&gt;=($H5-$I5)*0.5,$H5-MAX($F5,$E5)&lt;=($H5-$I5)*0.2),"長い下ヒゲ(反発警戒)","通常"))))</f>
        <v/>
      </c>
      <c r="AP5" s="625">
        <f>IF($AO5="上ヒゲ陰線▼",2,IF($AO5="大陰線▼",2,IF($AO5="長い下ヒゲ(反発警戒)",-2,0)))</f>
        <v/>
      </c>
      <c r="AQ5">
        <f>IF(C5&lt;&gt;"",始値!F30,"")</f>
        <v/>
      </c>
      <c r="AR5">
        <f>IF(C5&lt;&gt;"",高値!F30,"")</f>
        <v/>
      </c>
      <c r="AS5">
        <f>IF(C5&lt;&gt;"",安値!F30,"")</f>
        <v/>
      </c>
      <c r="AT5">
        <f>IF(OR(C5="",AQ5="",AR5="",AS5="",AR5-AS5&lt;=0),"-",IF(AND(AR5-MAX(G5,AQ5)&gt;=ABS(G5-AQ5)*2,MIN(G5,AQ5)-AS5&lt;=ABS(G5-AQ5)*0.5,ABS(G5-AQ5)&gt;0),"上ヒゲ陰線▼",IF(AND(G5&lt;AQ5,ABS(G5-AQ5)&gt;=(AR5-AS5)*0.7),"大陰線▼",IF(AND(MIN(G5,AQ5)-AS5&gt;=(AR5-AS5)*0.5,AR5-MAX(G5,AQ5)&lt;=(AR5-AS5)*0.2),"長い下ヒゲ(反発)","通常"))))</f>
        <v/>
      </c>
      <c r="AU5">
        <f>IF(AT5="上ヒゲ陰線▼",2,IF(AT5="大陰線▼",2,IF(AT5="長い下ヒゲ(反発)",-2,0)))</f>
        <v/>
      </c>
    </row>
    <row r="6" ht="14.25" customHeight="1" s="574">
      <c r="A6" s="352">
        <f>IF(銘柄管理!B148&lt;&gt;"",HYPERLINK("https://kabutan.jp/stock/?code="&amp;銘柄管理!B148,"株探"),"")</f>
        <v/>
      </c>
      <c r="B6" s="225" t="n"/>
      <c r="C6" s="225">
        <f>IF(銘柄管理!B148="","",銘柄管理!B148)</f>
        <v/>
      </c>
      <c r="D6" s="225">
        <f>IF(銘柄管理!C148="","",銘柄管理!C148)</f>
        <v/>
      </c>
      <c r="E6" s="353">
        <f>IF(C6&lt;&gt;"",_xll.RssMarket(C6,"現在値"),"")</f>
        <v/>
      </c>
      <c r="F6" s="353">
        <f>IF(C6&lt;&gt;"",_xll.RssMarket(C6,"始値"),"")</f>
        <v/>
      </c>
      <c r="G6" s="225">
        <f>IF(C6&lt;&gt;"",終値!F148,"")</f>
        <v/>
      </c>
      <c r="H6" s="353">
        <f>IF(C6&lt;&gt;"",_xll.RssMarket(C6,"高値"),"")</f>
        <v/>
      </c>
      <c r="I6" s="353">
        <f>IF(C6&lt;&gt;"",_xll.RssMarket(C6,"安値"),"")</f>
        <v/>
      </c>
      <c r="J6" s="353">
        <f>IF(C6&lt;&gt;"",_xll.RssMarket(C6,"出来高"),"")</f>
        <v/>
      </c>
      <c r="K6" s="353">
        <f>IF(C6&lt;&gt;"",_xll.RssMarket(C6,"年初来高値"),"")</f>
        <v/>
      </c>
      <c r="L6" s="626">
        <f>IF(AND(E6&lt;&gt;"",K6&lt;&gt;"",K6&lt;&gt;0),(E6-K6)/K6*100,"")</f>
        <v/>
      </c>
      <c r="M6" s="353">
        <f>IF(C6&lt;&gt;"",IFERROR(AVERAGE(出来高!E148:I148),""),"")</f>
        <v/>
      </c>
      <c r="N6" s="353">
        <f>IF(C6&lt;&gt;"",IFERROR(AVERAGE(出来高!E148:AC148),""),"")</f>
        <v/>
      </c>
      <c r="O6" s="627">
        <f>IF(AND(J6&lt;&gt;"",M6&lt;&gt;"",M6&lt;&gt;0),J6/M6,"")</f>
        <v/>
      </c>
      <c r="P6" s="225">
        <f>IF(O6="","",IF(O6&gt;=2,"急増↑↑",IF(O6&gt;=1.5,"増加↑",IF(O6&gt;=1,"普通→","減少↓"))))</f>
        <v/>
      </c>
      <c r="Q6" s="225">
        <f>IF(E6="","",IF(AND(E6&lt;G6,O6&gt;=1.5),"売り▼",IF(E6&gt;G6,"様子見▲","中立→")))</f>
        <v/>
      </c>
      <c r="R6" s="353">
        <f>IF(E6&lt;&gt;"",ROUND(E6*0.92,0),"")</f>
        <v/>
      </c>
      <c r="S6" s="353">
        <f>IF(E6&lt;&gt;"",ROUND(E6*1.04,0),"")</f>
        <v/>
      </c>
      <c r="T6" s="345">
        <f>IF(C6="","",IFERROR(IF(W6&gt;=70,3,IF(W6&gt;=60,2,IF(W6&gt;=50,1,0)))+IF(X6&lt;0,2,0)+IF(AD6="下降トレンド▼",3,IF(AD6="もみ合い→",1,0))+IF(V6="年初来安値圏●",3,IF(V6="安値圏",2,0))+IF(Q6="売り▼",2,0)+IF(P6="急増↑↑",2,IF(P6="増加↑",1,0))+IF(Z6&lt;0,1,0)+IF(L6&lt;=-30,2,IF(L6&lt;=-15,1,0))+IF(AE6="25日戻り売り★",2,IF(AE6="5日戻り売り○",1,0))+N(AL6)+N(AP6)+N(AU6),0))</f>
        <v/>
      </c>
      <c r="U6" s="225">
        <f>IF(T6="","",IF(AND(T6&gt;=3,O6&gt;=1.5),"有効",IF(T6&gt;=3,"要確認","除外")))</f>
        <v/>
      </c>
      <c r="V6" s="225">
        <f>IF(AND(I6&lt;&gt;"",K6&lt;&gt;""),IF(I6&lt;=K6*0.6,"年初来安値圏●",IF(I6&lt;=K6*0.75,"安値圏","通常")),"")</f>
        <v/>
      </c>
      <c r="W6" s="628">
        <f t="array" ref="W6">IFERROR(100-100/(1+SUMPRODUCT((終値!F148:R148&gt;終値!G148:S148)*(終値!F148:R148-終値!G148:S148))/SUMPRODUCT((終値!F148:R148&lt;終値!G148:S148)*(終値!G148:S148-終値!F148:R148))),50)</f>
        <v/>
      </c>
      <c r="X6" s="357">
        <f>IF(C6&lt;&gt;"",IFERROR(SUMPRODUCT(終値!E148:P148,{0.154,0.132,0.113,0.097,0.083,0.071,0.061,0.052,0.045,0.038,0.033,0.028})/SUMPRODUCT({0.154,0.132,0.113,0.097,0.083,0.071,0.061,0.052,0.045,0.038,0.033,0.028})-SUMPRODUCT(終値!E148:AD148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" s="225">
        <f>IF(AF6="","",AF6&amp;" | "&amp;AD6&amp;IF(AE6&lt;&gt;"なし"," "&amp;AE6,"")&amp;IF(X6&lt;0," MACD-"," MACD+")&amp;" RSI:"&amp;TEXT(W6,"0.0")&amp;IF(W6&gt;=70," [過熱]",IF(W6&lt;=30," [売られ過ぎ]",""))&amp;" 前日比:"&amp;TEXT(Z6,"+0.0;-0.0;0.0")&amp;"%"&amp;IF(V6="年初来安値圏●"," [年初来安値圏]",IF(V6="安値圏"," [安値圏]",""))&amp;IF(OR(AO6="通常",AO6="-"),""," ["&amp;AO6&amp;"]")&amp;IF(OR(AT6="通常",AT6="-"),"","前日["&amp;AT6&amp;"]")&amp;" ["&amp;T6&amp;"点]")</f>
        <v/>
      </c>
      <c r="Z6" s="629">
        <f>IF(AND(E6&lt;&gt;"",G6&lt;&gt;"",G6&lt;&gt;0),(E6-G6)/G6*100,"")</f>
        <v/>
      </c>
      <c r="AA6" s="225">
        <f>IF(OR(C6="",E6="",E6=0),"",IF(E6&gt;G6,"上昇▲",IF(E6&lt;G6,"下落▼","横ばい→")))</f>
        <v/>
      </c>
      <c r="AB6" s="353">
        <f>IF(OR(C6="",C6="TOPX",終値!E148=""),"",IFERROR(((終値!E148*0.333)+(終値!F148*0.222)+(終値!G148*0.148)+(終値!H148*0.099)+(終値!I148*0.066))/(0.333+0.222+0.148+0.099+0.066),""))</f>
        <v/>
      </c>
      <c r="AC6" s="353">
        <f>IF(OR(C6="",C6="TOPX",終値!E148=""),"",IFERROR(SUMPRODUCT((終値!E148:AC148)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" s="225">
        <f>IF(OR(C6="",AB6="",AC6="",AB6=0,AC6=0),"",IF(AND(E6&gt;AB6,AB6&gt;AC6),"パーフェクト▲",IF(E6&gt;AC6,"上昇トレンド▲",IF(AND(E6&lt;AB6,AB6&lt;AC6),"下降トレンド▼","もみ合い→"))))</f>
        <v/>
      </c>
      <c r="AE6" s="225">
        <f>IF(OR(C6="",AB6="",AC6=""),"",IF(AND(ABS(E6-AC6)/AC6&lt;=0.02,E6&lt;AC6),"25日戻り売り★",IF(AND(ABS(E6-AB6)/AB6&lt;=0.01,E6&lt;AB6),"5日戻り売り○","なし")))</f>
        <v/>
      </c>
      <c r="AF6">
        <f>IF(T6="","",IF(銘柄管理!$F$5="上昇▲",IF(AND(AD6="下降トレンド▼",OR(AE6="25日戻り売り★",AE6="5日戻り売り○")),"★逆張り売り",IF(AND(AD6="もみ合い→",OR(AE6="25日戻り売り★",AE6="5日戻り売り○")),"○逆張り売り",IF(W6&gt;=70,IF(Z6&lt;0,"◎反落確認","△過熱・様子見"),"相場上昇・見送り"))),IF(AND(T6&gt;=12,AD6="下降トレンド▼"),"★強い売り",IF(T6&gt;=12,"★強い売り",IF(AND(T6&gt;=8,OR(AE6="25日戻り売り★",AE6="5日戻り売り○")),"◎戻り売り",IF(T6&gt;=10,"○売り候補",IF(T6&gt;=6,"△注目",IF(T6&gt;=3,"様子見","見送り"))))))))</f>
        <v/>
      </c>
      <c r="AG6">
        <f>IF(AND(T6&gt;=7,C6&lt;&gt;""),T6,0)</f>
        <v/>
      </c>
      <c r="AH6">
        <f>IF(AG6&gt;0,AG6*10000-ROW(A6),0)</f>
        <v/>
      </c>
      <c r="AI6" s="623">
        <f t="array" ref="AI6">IF(C6="","",IFERROR((INDEX(終値!$E:$E,MATCH(TEXT(C6,"0"),終値!$A:$A,0))-INDEX(終値!$E:$BL,MATCH(TEXT(C6,"0"),終値!$A:$A,0),$AN$2))/INDEX(終値!$E:$BL,MATCH(TEXT(C6,"0"),終値!$A:$A,0),$AN$2)*100,""))</f>
        <v/>
      </c>
      <c r="AJ6" s="623">
        <f t="array" ref="AJ6">IFERROR((終値!$E$5-INDEX(終値!$E$5:$BL$5,1,$AN$2))/INDEX(終値!$E$5:$BL$5,1,$AN$2)*100,"")</f>
        <v/>
      </c>
      <c r="AK6" s="624">
        <f>IF(OR(AI6="",AJ6=""),"",AI6-AJ6)</f>
        <v/>
      </c>
      <c r="AL6" s="394">
        <f>IF(AK6="","",IF(AK6&lt;-5,3,IF(AK6&lt;0,1,IF(AK6&lt;3,-1,-2))))</f>
        <v/>
      </c>
      <c r="AO6" s="398">
        <f>IF(OR($C6="",$E6="",$F6="",$H6="",$I6="",$H6-$I6&lt;=0),"-",IF(AND($H6-MAX($F6,$E6)&gt;=ABS($E6-$F6)*2,MIN($F6,$E6)-$I6&lt;=ABS($E6-$F6)*0.5,ABS($E6-$F6)&gt;0),"上ヒゲ陰線▼",IF(AND($E6&lt;$F6,ABS($E6-$F6)&gt;=($H6-$I6)*0.7),"大陰線▼",IF(AND(MIN($F6,$E6)-$I6&gt;=($H6-$I6)*0.5,$H6-MAX($F6,$E6)&lt;=($H6-$I6)*0.2),"長い下ヒゲ(反発警戒)","通常"))))</f>
        <v/>
      </c>
      <c r="AP6" s="625">
        <f>IF($AO6="上ヒゲ陰線▼",2,IF($AO6="大陰線▼",2,IF($AO6="長い下ヒゲ(反発警戒)",-2,0)))</f>
        <v/>
      </c>
      <c r="AQ6">
        <f>IF(C6&lt;&gt;"",始値!F148,"")</f>
        <v/>
      </c>
      <c r="AR6">
        <f>IF(C6&lt;&gt;"",高値!F148,"")</f>
        <v/>
      </c>
      <c r="AS6">
        <f>IF(C6&lt;&gt;"",安値!F148,"")</f>
        <v/>
      </c>
      <c r="AT6">
        <f>IF(OR(C6="",AQ6="",AR6="",AS6="",AR6-AS6&lt;=0),"-",IF(AND(AR6-MAX(G6,AQ6)&gt;=ABS(G6-AQ6)*2,MIN(G6,AQ6)-AS6&lt;=ABS(G6-AQ6)*0.5,ABS(G6-AQ6)&gt;0),"上ヒゲ陰線▼",IF(AND(G6&lt;AQ6,ABS(G6-AQ6)&gt;=(AR6-AS6)*0.7),"大陰線▼",IF(AND(MIN(G6,AQ6)-AS6&gt;=(AR6-AS6)*0.5,AR6-MAX(G6,AQ6)&lt;=(AR6-AS6)*0.2),"長い下ヒゲ(反発)","通常"))))</f>
        <v/>
      </c>
      <c r="AU6">
        <f>IF(AT6="上ヒゲ陰線▼",2,IF(AT6="大陰線▼",2,IF(AT6="長い下ヒゲ(反発)",-2,0)))</f>
        <v/>
      </c>
    </row>
    <row r="7" ht="14.25" customHeight="1" s="574">
      <c r="A7" s="344">
        <f>IF(銘柄管理!B84&lt;&gt;"",HYPERLINK("https://kabutan.jp/stock/?code="&amp;銘柄管理!B84,"株探"),"")</f>
        <v/>
      </c>
      <c r="B7" s="345" t="n"/>
      <c r="C7" s="345">
        <f>IF(銘柄管理!B84="","",銘柄管理!B84)</f>
        <v/>
      </c>
      <c r="D7" s="345">
        <f>IF(銘柄管理!C84="","",銘柄管理!C84)</f>
        <v/>
      </c>
      <c r="E7" s="346">
        <f>IF(C7&lt;&gt;"",_xll.RssMarket(C7,"現在値"),"")</f>
        <v/>
      </c>
      <c r="F7" s="346">
        <f>IF(C7&lt;&gt;"",_xll.RssMarket(C7,"始値"),"")</f>
        <v/>
      </c>
      <c r="G7" s="345">
        <f>IF(C7&lt;&gt;"",終値!F84,"")</f>
        <v/>
      </c>
      <c r="H7" s="346">
        <f>IF(C7&lt;&gt;"",_xll.RssMarket(C7,"高値"),"")</f>
        <v/>
      </c>
      <c r="I7" s="346">
        <f>IF(C7&lt;&gt;"",_xll.RssMarket(C7,"安値"),"")</f>
        <v/>
      </c>
      <c r="J7" s="346">
        <f>IF(C7&lt;&gt;"",_xll.RssMarket(C7,"出来高"),"")</f>
        <v/>
      </c>
      <c r="K7" s="346">
        <f>IF(C7&lt;&gt;"",_xll.RssMarket(C7,"年初来高値"),"")</f>
        <v/>
      </c>
      <c r="L7" s="619">
        <f>IF(AND(E7&lt;&gt;"",K7&lt;&gt;"",K7&lt;&gt;0),(E7-K7)/K7*100,"")</f>
        <v/>
      </c>
      <c r="M7" s="346">
        <f>IF(C7&lt;&gt;"",IFERROR(AVERAGE(出来高!E84:I84),""),"")</f>
        <v/>
      </c>
      <c r="N7" s="346">
        <f>IF(C7&lt;&gt;"",IFERROR(AVERAGE(出来高!E84:AC84),""),"")</f>
        <v/>
      </c>
      <c r="O7" s="620">
        <f>IF(AND(J7&lt;&gt;"",M7&lt;&gt;"",M7&lt;&gt;0),J7/M7,"")</f>
        <v/>
      </c>
      <c r="P7" s="345">
        <f>IF(O7="","",IF(O7&gt;=2,"急増↑↑",IF(O7&gt;=1.5,"増加↑",IF(O7&gt;=1,"普通→","減少↓"))))</f>
        <v/>
      </c>
      <c r="Q7" s="345">
        <f>IF(E7="","",IF(AND(E7&lt;G7,O7&gt;=1.5),"売り▼",IF(E7&gt;G7,"様子見▲","中立→")))</f>
        <v/>
      </c>
      <c r="R7" s="346">
        <f>IF(E7&lt;&gt;"",ROUND(E7*0.92,0),"")</f>
        <v/>
      </c>
      <c r="S7" s="346">
        <f>IF(E7&lt;&gt;"",ROUND(E7*1.04,0),"")</f>
        <v/>
      </c>
      <c r="T7" s="345">
        <f>IF(C7="","",IFERROR(IF(W7&gt;=70,3,IF(W7&gt;=60,2,IF(W7&gt;=50,1,0)))+IF(X7&lt;0,2,0)+IF(AD7="下降トレンド▼",3,IF(AD7="もみ合い→",1,0))+IF(V7="年初来安値圏●",3,IF(V7="安値圏",2,0))+IF(Q7="売り▼",2,0)+IF(P7="急増↑↑",2,IF(P7="増加↑",1,0))+IF(Z7&lt;0,1,0)+IF(L7&lt;=-30,2,IF(L7&lt;=-15,1,0))+IF(AE7="25日戻り売り★",2,IF(AE7="5日戻り売り○",1,0))+N(AL7)+N(AP7)+N(AU7),0))</f>
        <v/>
      </c>
      <c r="U7" s="345">
        <f>IF(T7="","",IF(AND(T7&gt;=3,O7&gt;=1.5),"有効",IF(T7&gt;=3,"要確認","除外")))</f>
        <v/>
      </c>
      <c r="V7" s="345">
        <f>IF(AND(I7&lt;&gt;"",K7&lt;&gt;""),IF(I7&lt;=K7*0.6,"年初来安値圏●",IF(I7&lt;=K7*0.75,"安値圏","通常")),"")</f>
        <v/>
      </c>
      <c r="W7" s="621">
        <f t="array" ref="W7">IFERROR(100-100/(1+SUMPRODUCT((終値!F84:R84&gt;終値!G84:S84)*(終値!F84:R84-終値!G84:S84))/SUMPRODUCT((終値!F84:R84&lt;終値!G84:S84)*(終値!G84:S84-終値!F84:R84))),50)</f>
        <v/>
      </c>
      <c r="X7" s="350">
        <f>IF(C7&lt;&gt;"",IFERROR(SUMPRODUCT(終値!E84:P84,{0.154,0.132,0.113,0.097,0.083,0.071,0.061,0.052,0.045,0.038,0.033,0.028})/SUMPRODUCT({0.154,0.132,0.113,0.097,0.083,0.071,0.061,0.052,0.045,0.038,0.033,0.028})-SUMPRODUCT(終値!E84:AD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" s="345">
        <f>IF(AF7="","",AF7&amp;" | "&amp;AD7&amp;IF(AE7&lt;&gt;"なし"," "&amp;AE7,"")&amp;IF(X7&lt;0," MACD-"," MACD+")&amp;" RSI:"&amp;TEXT(W7,"0.0")&amp;IF(W7&gt;=70," [過熱]",IF(W7&lt;=30," [売られ過ぎ]",""))&amp;" 前日比:"&amp;TEXT(Z7,"+0.0;-0.0;0.0")&amp;"%"&amp;IF(V7="年初来安値圏●"," [年初来安値圏]",IF(V7="安値圏"," [安値圏]",""))&amp;IF(OR(AO7="通常",AO7="-"),""," ["&amp;AO7&amp;"]")&amp;IF(OR(AT7="通常",AT7="-"),"","前日["&amp;AT7&amp;"]")&amp;" ["&amp;T7&amp;"点]")</f>
        <v/>
      </c>
      <c r="Z7" s="622">
        <f>IF(AND(E7&lt;&gt;"",G7&lt;&gt;"",G7&lt;&gt;0),(E7-G7)/G7*100,"")</f>
        <v/>
      </c>
      <c r="AA7" s="345">
        <f>IF(OR(C7="",E7="",E7=0),"",IF(E7&gt;G7,"上昇▲",IF(E7&lt;G7,"下落▼","横ばい→")))</f>
        <v/>
      </c>
      <c r="AB7" s="346">
        <f>IF(OR(C7="",C7="TOPX",終値!E84=""),"",IFERROR(((終値!E84*0.333)+(終値!F84*0.222)+(終値!G84*0.148)+(終値!H84*0.099)+(終値!I84*0.066))/(0.333+0.222+0.148+0.099+0.066),""))</f>
        <v/>
      </c>
      <c r="AC7" s="346">
        <f>IF(OR(C7="",C7="TOPX",終値!E84=""),"",IFERROR(SUMPRODUCT((終値!E84:AC84)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" s="345">
        <f>IF(OR(C7="",AB7="",AC7="",AB7=0,AC7=0),"",IF(AND(E7&gt;AB7,AB7&gt;AC7),"パーフェクト▲",IF(E7&gt;AC7,"上昇トレンド▲",IF(AND(E7&lt;AB7,AB7&lt;AC7),"下降トレンド▼","もみ合い→"))))</f>
        <v/>
      </c>
      <c r="AE7" s="345">
        <f>IF(OR(C7="",AB7="",AC7=""),"",IF(AND(ABS(E7-AC7)/AC7&lt;=0.02,E7&lt;AC7),"25日戻り売り★",IF(AND(ABS(E7-AB7)/AB7&lt;=0.01,E7&lt;AB7),"5日戻り売り○","なし")))</f>
        <v/>
      </c>
      <c r="AF7">
        <f>IF(T7="","",IF(銘柄管理!$F$5="上昇▲",IF(AND(AD7="下降トレンド▼",OR(AE7="25日戻り売り★",AE7="5日戻り売り○")),"★逆張り売り",IF(AND(AD7="もみ合い→",OR(AE7="25日戻り売り★",AE7="5日戻り売り○")),"○逆張り売り",IF(W7&gt;=70,IF(Z7&lt;0,"◎反落確認","△過熱・様子見"),"相場上昇・見送り"))),IF(AND(T7&gt;=12,AD7="下降トレンド▼"),"★強い売り",IF(T7&gt;=12,"★強い売り",IF(AND(T7&gt;=8,OR(AE7="25日戻り売り★",AE7="5日戻り売り○")),"◎戻り売り",IF(T7&gt;=10,"○売り候補",IF(T7&gt;=6,"△注目",IF(T7&gt;=3,"様子見","見送り"))))))))</f>
        <v/>
      </c>
      <c r="AG7">
        <f>IF(AND(T7&gt;=7,C7&lt;&gt;""),T7,0)</f>
        <v/>
      </c>
      <c r="AH7">
        <f>IF(AG7&gt;0,AG7*10000-ROW(A7),0)</f>
        <v/>
      </c>
      <c r="AI7" s="623">
        <f t="array" ref="AI7">IF(C7="","",IFERROR((INDEX(終値!$E:$E,MATCH(TEXT(C7,"0"),終値!$A:$A,0))-INDEX(終値!$E:$BL,MATCH(TEXT(C7,"0"),終値!$A:$A,0),$AN$2))/INDEX(終値!$E:$BL,MATCH(TEXT(C7,"0"),終値!$A:$A,0),$AN$2)*100,""))</f>
        <v/>
      </c>
      <c r="AJ7" s="623">
        <f t="array" ref="AJ7">IFERROR((終値!$E$5-INDEX(終値!$E$5:$BL$5,1,$AN$2))/INDEX(終値!$E$5:$BL$5,1,$AN$2)*100,"")</f>
        <v/>
      </c>
      <c r="AK7" s="624">
        <f>IF(OR(AI7="",AJ7=""),"",AI7-AJ7)</f>
        <v/>
      </c>
      <c r="AL7" s="394">
        <f>IF(AK7="","",IF(AK7&lt;-5,3,IF(AK7&lt;0,1,IF(AK7&lt;3,-1,-2))))</f>
        <v/>
      </c>
      <c r="AO7" s="398">
        <f>IF(OR($C7="",$E7="",$F7="",$H7="",$I7="",$H7-$I7&lt;=0),"-",IF(AND($H7-MAX($F7,$E7)&gt;=ABS($E7-$F7)*2,MIN($F7,$E7)-$I7&lt;=ABS($E7-$F7)*0.5,ABS($E7-$F7)&gt;0),"上ヒゲ陰線▼",IF(AND($E7&lt;$F7,ABS($E7-$F7)&gt;=($H7-$I7)*0.7),"大陰線▼",IF(AND(MIN($F7,$E7)-$I7&gt;=($H7-$I7)*0.5,$H7-MAX($F7,$E7)&lt;=($H7-$I7)*0.2),"長い下ヒゲ(反発警戒)","通常"))))</f>
        <v/>
      </c>
      <c r="AP7" s="625">
        <f>IF($AO7="上ヒゲ陰線▼",2,IF($AO7="大陰線▼",2,IF($AO7="長い下ヒゲ(反発警戒)",-2,0)))</f>
        <v/>
      </c>
      <c r="AQ7">
        <f>IF(C7&lt;&gt;"",始値!F84,"")</f>
        <v/>
      </c>
      <c r="AR7">
        <f>IF(C7&lt;&gt;"",高値!F84,"")</f>
        <v/>
      </c>
      <c r="AS7">
        <f>IF(C7&lt;&gt;"",安値!F84,"")</f>
        <v/>
      </c>
      <c r="AT7">
        <f>IF(OR(C7="",AQ7="",AR7="",AS7="",AR7-AS7&lt;=0),"-",IF(AND(AR7-MAX(G7,AQ7)&gt;=ABS(G7-AQ7)*2,MIN(G7,AQ7)-AS7&lt;=ABS(G7-AQ7)*0.5,ABS(G7-AQ7)&gt;0),"上ヒゲ陰線▼",IF(AND(G7&lt;AQ7,ABS(G7-AQ7)&gt;=(AR7-AS7)*0.7),"大陰線▼",IF(AND(MIN(G7,AQ7)-AS7&gt;=(AR7-AS7)*0.5,AR7-MAX(G7,AQ7)&lt;=(AR7-AS7)*0.2),"長い下ヒゲ(反発)","通常"))))</f>
        <v/>
      </c>
      <c r="AU7">
        <f>IF(AT7="上ヒゲ陰線▼",2,IF(AT7="大陰線▼",2,IF(AT7="長い下ヒゲ(反発)",-2,0)))</f>
        <v/>
      </c>
    </row>
    <row r="8" ht="14.25" customHeight="1" s="574">
      <c r="A8" s="352">
        <f>IF(銘柄管理!B112&lt;&gt;"",HYPERLINK("https://kabutan.jp/stock/?code="&amp;銘柄管理!B112,"株探"),"")</f>
        <v/>
      </c>
      <c r="B8" s="225" t="n"/>
      <c r="C8" s="225">
        <f>IF(銘柄管理!B112="","",銘柄管理!B112)</f>
        <v/>
      </c>
      <c r="D8" s="225">
        <f>IF(銘柄管理!C112="","",銘柄管理!C112)</f>
        <v/>
      </c>
      <c r="E8" s="353">
        <f>IF(C8&lt;&gt;"",_xll.RssMarket(C8,"現在値"),"")</f>
        <v/>
      </c>
      <c r="F8" s="353">
        <f>IF(C8&lt;&gt;"",_xll.RssMarket(C8,"始値"),"")</f>
        <v/>
      </c>
      <c r="G8" s="225">
        <f>IF(C8&lt;&gt;"",終値!F112,"")</f>
        <v/>
      </c>
      <c r="H8" s="353">
        <f>IF(C8&lt;&gt;"",_xll.RssMarket(C8,"高値"),"")</f>
        <v/>
      </c>
      <c r="I8" s="353">
        <f>IF(C8&lt;&gt;"",_xll.RssMarket(C8,"安値"),"")</f>
        <v/>
      </c>
      <c r="J8" s="353">
        <f>IF(C8&lt;&gt;"",_xll.RssMarket(C8,"出来高"),"")</f>
        <v/>
      </c>
      <c r="K8" s="353">
        <f>IF(C8&lt;&gt;"",_xll.RssMarket(C8,"年初来高値"),"")</f>
        <v/>
      </c>
      <c r="L8" s="626">
        <f>IF(AND(E8&lt;&gt;"",K8&lt;&gt;"",K8&lt;&gt;0),(E8-K8)/K8*100,"")</f>
        <v/>
      </c>
      <c r="M8" s="353">
        <f>IF(C8&lt;&gt;"",IFERROR(AVERAGE(出来高!E112:I112),""),"")</f>
        <v/>
      </c>
      <c r="N8" s="353">
        <f>IF(C8&lt;&gt;"",IFERROR(AVERAGE(出来高!E112:AC112),""),"")</f>
        <v/>
      </c>
      <c r="O8" s="627">
        <f>IF(AND(J8&lt;&gt;"",M8&lt;&gt;"",M8&lt;&gt;0),J8/M8,"")</f>
        <v/>
      </c>
      <c r="P8" s="225">
        <f>IF(O8="","",IF(O8&gt;=2,"急増↑↑",IF(O8&gt;=1.5,"増加↑",IF(O8&gt;=1,"普通→","減少↓"))))</f>
        <v/>
      </c>
      <c r="Q8" s="225">
        <f>IF(E8="","",IF(AND(E8&lt;G8,O8&gt;=1.5),"売り▼",IF(E8&gt;G8,"様子見▲","中立→")))</f>
        <v/>
      </c>
      <c r="R8" s="353">
        <f>IF(E8&lt;&gt;"",ROUND(E8*0.92,0),"")</f>
        <v/>
      </c>
      <c r="S8" s="353">
        <f>IF(E8&lt;&gt;"",ROUND(E8*1.04,0),"")</f>
        <v/>
      </c>
      <c r="T8" s="345">
        <f>IF(C8="","",IFERROR(IF(W8&gt;=70,3,IF(W8&gt;=60,2,IF(W8&gt;=50,1,0)))+IF(X8&lt;0,2,0)+IF(AD8="下降トレンド▼",3,IF(AD8="もみ合い→",1,0))+IF(V8="年初来安値圏●",3,IF(V8="安値圏",2,0))+IF(Q8="売り▼",2,0)+IF(P8="急増↑↑",2,IF(P8="増加↑",1,0))+IF(Z8&lt;0,1,0)+IF(L8&lt;=-30,2,IF(L8&lt;=-15,1,0))+IF(AE8="25日戻り売り★",2,IF(AE8="5日戻り売り○",1,0))+N(AL8)+N(AP8)+N(AU8),0))</f>
        <v/>
      </c>
      <c r="U8" s="225">
        <f>IF(T8="","",IF(AND(T8&gt;=3,O8&gt;=1.5),"有効",IF(T8&gt;=3,"要確認","除外")))</f>
        <v/>
      </c>
      <c r="V8" s="225">
        <f>IF(AND(I8&lt;&gt;"",K8&lt;&gt;""),IF(I8&lt;=K8*0.6,"年初来安値圏●",IF(I8&lt;=K8*0.75,"安値圏","通常")),"")</f>
        <v/>
      </c>
      <c r="W8" s="628">
        <f t="array" ref="W8">IFERROR(100-100/(1+SUMPRODUCT((終値!F112:R112&gt;終値!G112:S112)*(終値!F112:R112-終値!G112:S112))/SUMPRODUCT((終値!F112:R112&lt;終値!G112:S112)*(終値!G112:S112-終値!F112:R112))),50)</f>
        <v/>
      </c>
      <c r="X8" s="357">
        <f>IF(C8&lt;&gt;"",IFERROR(SUMPRODUCT(終値!E112:P112,{0.154,0.132,0.113,0.097,0.083,0.071,0.061,0.052,0.045,0.038,0.033,0.028})/SUMPRODUCT({0.154,0.132,0.113,0.097,0.083,0.071,0.061,0.052,0.045,0.038,0.033,0.028})-SUMPRODUCT(終値!E112:AD112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" s="225">
        <f>IF(AF8="","",AF8&amp;" | "&amp;AD8&amp;IF(AE8&lt;&gt;"なし"," "&amp;AE8,"")&amp;IF(X8&lt;0," MACD-"," MACD+")&amp;" RSI:"&amp;TEXT(W8,"0.0")&amp;IF(W8&gt;=70," [過熱]",IF(W8&lt;=30," [売られ過ぎ]",""))&amp;" 前日比:"&amp;TEXT(Z8,"+0.0;-0.0;0.0")&amp;"%"&amp;IF(V8="年初来安値圏●"," [年初来安値圏]",IF(V8="安値圏"," [安値圏]",""))&amp;IF(OR(AO8="通常",AO8="-"),""," ["&amp;AO8&amp;"]")&amp;IF(OR(AT8="通常",AT8="-"),"","前日["&amp;AT8&amp;"]")&amp;" ["&amp;T8&amp;"点]")</f>
        <v/>
      </c>
      <c r="Z8" s="629">
        <f>IF(AND(E8&lt;&gt;"",G8&lt;&gt;"",G8&lt;&gt;0),(E8-G8)/G8*100,"")</f>
        <v/>
      </c>
      <c r="AA8" s="225">
        <f>IF(OR(C8="",E8="",E8=0),"",IF(E8&gt;G8,"上昇▲",IF(E8&lt;G8,"下落▼","横ばい→")))</f>
        <v/>
      </c>
      <c r="AB8" s="353">
        <f>IF(OR(C8="",C8="TOPX",終値!E112=""),"",IFERROR(((終値!E112*0.333)+(終値!F112*0.222)+(終値!G112*0.148)+(終値!H112*0.099)+(終値!I112*0.066))/(0.333+0.222+0.148+0.099+0.066),""))</f>
        <v/>
      </c>
      <c r="AC8" s="353">
        <f>IF(OR(C8="",C8="TOPX",終値!E112=""),"",IFERROR(SUMPRODUCT((終値!E112:AC112)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" s="225">
        <f>IF(OR(C8="",AB8="",AC8="",AB8=0,AC8=0),"",IF(AND(E8&gt;AB8,AB8&gt;AC8),"パーフェクト▲",IF(E8&gt;AC8,"上昇トレンド▲",IF(AND(E8&lt;AB8,AB8&lt;AC8),"下降トレンド▼","もみ合い→"))))</f>
        <v/>
      </c>
      <c r="AE8" s="225">
        <f>IF(OR(C8="",AB8="",AC8=""),"",IF(AND(ABS(E8-AC8)/AC8&lt;=0.02,E8&lt;AC8),"25日戻り売り★",IF(AND(ABS(E8-AB8)/AB8&lt;=0.01,E8&lt;AB8),"5日戻り売り○","なし")))</f>
        <v/>
      </c>
      <c r="AF8">
        <f>IF(T8="","",IF(銘柄管理!$F$5="上昇▲",IF(AND(AD8="下降トレンド▼",OR(AE8="25日戻り売り★",AE8="5日戻り売り○")),"★逆張り売り",IF(AND(AD8="もみ合い→",OR(AE8="25日戻り売り★",AE8="5日戻り売り○")),"○逆張り売り",IF(W8&gt;=70,IF(Z8&lt;0,"◎反落確認","△過熱・様子見"),"相場上昇・見送り"))),IF(AND(T8&gt;=12,AD8="下降トレンド▼"),"★強い売り",IF(T8&gt;=12,"★強い売り",IF(AND(T8&gt;=8,OR(AE8="25日戻り売り★",AE8="5日戻り売り○")),"◎戻り売り",IF(T8&gt;=10,"○売り候補",IF(T8&gt;=6,"△注目",IF(T8&gt;=3,"様子見","見送り"))))))))</f>
        <v/>
      </c>
      <c r="AG8">
        <f>IF(AND(T8&gt;=7,C8&lt;&gt;""),T8,0)</f>
        <v/>
      </c>
      <c r="AH8">
        <f>IF(AG8&gt;0,AG8*10000-ROW(A8),0)</f>
        <v/>
      </c>
      <c r="AI8" s="623">
        <f t="array" ref="AI8">IF(C8="","",IFERROR((INDEX(終値!$E:$E,MATCH(TEXT(C8,"0"),終値!$A:$A,0))-INDEX(終値!$E:$BL,MATCH(TEXT(C8,"0"),終値!$A:$A,0),$AN$2))/INDEX(終値!$E:$BL,MATCH(TEXT(C8,"0"),終値!$A:$A,0),$AN$2)*100,""))</f>
        <v/>
      </c>
      <c r="AJ8" s="623">
        <f t="array" ref="AJ8">IFERROR((終値!$E$5-INDEX(終値!$E$5:$BL$5,1,$AN$2))/INDEX(終値!$E$5:$BL$5,1,$AN$2)*100,"")</f>
        <v/>
      </c>
      <c r="AK8" s="624">
        <f>IF(OR(AI8="",AJ8=""),"",AI8-AJ8)</f>
        <v/>
      </c>
      <c r="AL8" s="394">
        <f>IF(AK8="","",IF(AK8&lt;-5,3,IF(AK8&lt;0,1,IF(AK8&lt;3,-1,-2))))</f>
        <v/>
      </c>
      <c r="AO8" s="398">
        <f>IF(OR($C8="",$E8="",$F8="",$H8="",$I8="",$H8-$I8&lt;=0),"-",IF(AND($H8-MAX($F8,$E8)&gt;=ABS($E8-$F8)*2,MIN($F8,$E8)-$I8&lt;=ABS($E8-$F8)*0.5,ABS($E8-$F8)&gt;0),"上ヒゲ陰線▼",IF(AND($E8&lt;$F8,ABS($E8-$F8)&gt;=($H8-$I8)*0.7),"大陰線▼",IF(AND(MIN($F8,$E8)-$I8&gt;=($H8-$I8)*0.5,$H8-MAX($F8,$E8)&lt;=($H8-$I8)*0.2),"長い下ヒゲ(反発警戒)","通常"))))</f>
        <v/>
      </c>
      <c r="AP8" s="625">
        <f>IF($AO8="上ヒゲ陰線▼",2,IF($AO8="大陰線▼",2,IF($AO8="長い下ヒゲ(反発警戒)",-2,0)))</f>
        <v/>
      </c>
      <c r="AQ8">
        <f>IF(C8&lt;&gt;"",始値!F112,"")</f>
        <v/>
      </c>
      <c r="AR8">
        <f>IF(C8&lt;&gt;"",高値!F112,"")</f>
        <v/>
      </c>
      <c r="AS8">
        <f>IF(C8&lt;&gt;"",安値!F112,"")</f>
        <v/>
      </c>
      <c r="AT8">
        <f>IF(OR(C8="",AQ8="",AR8="",AS8="",AR8-AS8&lt;=0),"-",IF(AND(AR8-MAX(G8,AQ8)&gt;=ABS(G8-AQ8)*2,MIN(G8,AQ8)-AS8&lt;=ABS(G8-AQ8)*0.5,ABS(G8-AQ8)&gt;0),"上ヒゲ陰線▼",IF(AND(G8&lt;AQ8,ABS(G8-AQ8)&gt;=(AR8-AS8)*0.7),"大陰線▼",IF(AND(MIN(G8,AQ8)-AS8&gt;=(AR8-AS8)*0.5,AR8-MAX(G8,AQ8)&lt;=(AR8-AS8)*0.2),"長い下ヒゲ(反発)","通常"))))</f>
        <v/>
      </c>
      <c r="AU8">
        <f>IF(AT8="上ヒゲ陰線▼",2,IF(AT8="大陰線▼",2,IF(AT8="長い下ヒゲ(反発)",-2,0)))</f>
        <v/>
      </c>
    </row>
    <row r="9" ht="14.25" customHeight="1" s="574">
      <c r="A9" s="344">
        <f>IF(銘柄管理!B129&lt;&gt;"",HYPERLINK("https://kabutan.jp/stock/?code="&amp;銘柄管理!B129,"株探"),"")</f>
        <v/>
      </c>
      <c r="B9" s="345" t="n"/>
      <c r="C9" s="345">
        <f>IF(銘柄管理!B129="","",銘柄管理!B129)</f>
        <v/>
      </c>
      <c r="D9" s="345">
        <f>IF(銘柄管理!C129="","",銘柄管理!C129)</f>
        <v/>
      </c>
      <c r="E9" s="346">
        <f>IF(C9&lt;&gt;"",_xll.RssMarket(C9,"現在値"),"")</f>
        <v/>
      </c>
      <c r="F9" s="346">
        <f>IF(C9&lt;&gt;"",_xll.RssMarket(C9,"始値"),"")</f>
        <v/>
      </c>
      <c r="G9" s="345">
        <f>IF(C9&lt;&gt;"",終値!F129,"")</f>
        <v/>
      </c>
      <c r="H9" s="346">
        <f>IF(C9&lt;&gt;"",_xll.RssMarket(C9,"高値"),"")</f>
        <v/>
      </c>
      <c r="I9" s="346">
        <f>IF(C9&lt;&gt;"",_xll.RssMarket(C9,"安値"),"")</f>
        <v/>
      </c>
      <c r="J9" s="346">
        <f>IF(C9&lt;&gt;"",_xll.RssMarket(C9,"出来高"),"")</f>
        <v/>
      </c>
      <c r="K9" s="346">
        <f>IF(C9&lt;&gt;"",_xll.RssMarket(C9,"年初来高値"),"")</f>
        <v/>
      </c>
      <c r="L9" s="619">
        <f>IF(AND(E9&lt;&gt;"",K9&lt;&gt;"",K9&lt;&gt;0),(E9-K9)/K9*100,"")</f>
        <v/>
      </c>
      <c r="M9" s="346">
        <f>IF(C9&lt;&gt;"",IFERROR(AVERAGE(出来高!E129:I129),""),"")</f>
        <v/>
      </c>
      <c r="N9" s="346">
        <f>IF(C9&lt;&gt;"",IFERROR(AVERAGE(出来高!E129:AC129),""),"")</f>
        <v/>
      </c>
      <c r="O9" s="620">
        <f>IF(AND(J9&lt;&gt;"",M9&lt;&gt;"",M9&lt;&gt;0),J9/M9,"")</f>
        <v/>
      </c>
      <c r="P9" s="345">
        <f>IF(O9="","",IF(O9&gt;=2,"急増↑↑",IF(O9&gt;=1.5,"増加↑",IF(O9&gt;=1,"普通→","減少↓"))))</f>
        <v/>
      </c>
      <c r="Q9" s="345">
        <f>IF(E9="","",IF(AND(E9&lt;G9,O9&gt;=1.5),"売り▼",IF(E9&gt;G9,"様子見▲","中立→")))</f>
        <v/>
      </c>
      <c r="R9" s="346">
        <f>IF(E9&lt;&gt;"",ROUND(E9*0.92,0),"")</f>
        <v/>
      </c>
      <c r="S9" s="346">
        <f>IF(E9&lt;&gt;"",ROUND(E9*1.04,0),"")</f>
        <v/>
      </c>
      <c r="T9" s="345">
        <f>IF(C9="","",IFERROR(IF(W9&gt;=70,3,IF(W9&gt;=60,2,IF(W9&gt;=50,1,0)))+IF(X9&lt;0,2,0)+IF(AD9="下降トレンド▼",3,IF(AD9="もみ合い→",1,0))+IF(V9="年初来安値圏●",3,IF(V9="安値圏",2,0))+IF(Q9="売り▼",2,0)+IF(P9="急増↑↑",2,IF(P9="増加↑",1,0))+IF(Z9&lt;0,1,0)+IF(L9&lt;=-30,2,IF(L9&lt;=-15,1,0))+IF(AE9="25日戻り売り★",2,IF(AE9="5日戻り売り○",1,0))+N(AL9)+N(AP9)+N(AU9),0))</f>
        <v/>
      </c>
      <c r="U9" s="345">
        <f>IF(T9="","",IF(AND(T9&gt;=3,O9&gt;=1.5),"有効",IF(T9&gt;=3,"要確認","除外")))</f>
        <v/>
      </c>
      <c r="V9" s="345">
        <f>IF(AND(I9&lt;&gt;"",K9&lt;&gt;""),IF(I9&lt;=K9*0.6,"年初来安値圏●",IF(I9&lt;=K9*0.75,"安値圏","通常")),"")</f>
        <v/>
      </c>
      <c r="W9" s="621">
        <f t="array" ref="W9">IFERROR(100-100/(1+SUMPRODUCT((終値!F129:R129&gt;終値!G129:S129)*(終値!F129:R129-終値!G129:S129))/SUMPRODUCT((終値!F129:R129&lt;終値!G129:S129)*(終値!G129:S129-終値!F129:R129))),50)</f>
        <v/>
      </c>
      <c r="X9" s="350">
        <f>IF(C9&lt;&gt;"",IFERROR(SUMPRODUCT(終値!E129:P129,{0.154,0.132,0.113,0.097,0.083,0.071,0.061,0.052,0.045,0.038,0.033,0.028})/SUMPRODUCT({0.154,0.132,0.113,0.097,0.083,0.071,0.061,0.052,0.045,0.038,0.033,0.028})-SUMPRODUCT(終値!E129:AD129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" s="345">
        <f>IF(AF9="","",AF9&amp;" | "&amp;AD9&amp;IF(AE9&lt;&gt;"なし"," "&amp;AE9,"")&amp;IF(X9&lt;0," MACD-"," MACD+")&amp;" RSI:"&amp;TEXT(W9,"0.0")&amp;IF(W9&gt;=70," [過熱]",IF(W9&lt;=30," [売られ過ぎ]",""))&amp;" 前日比:"&amp;TEXT(Z9,"+0.0;-0.0;0.0")&amp;"%"&amp;IF(V9="年初来安値圏●"," [年初来安値圏]",IF(V9="安値圏"," [安値圏]",""))&amp;IF(OR(AO9="通常",AO9="-"),""," ["&amp;AO9&amp;"]")&amp;IF(OR(AT9="通常",AT9="-"),"","前日["&amp;AT9&amp;"]")&amp;" ["&amp;T9&amp;"点]")</f>
        <v/>
      </c>
      <c r="Z9" s="622">
        <f>IF(AND(E9&lt;&gt;"",G9&lt;&gt;"",G9&lt;&gt;0),(E9-G9)/G9*100,"")</f>
        <v/>
      </c>
      <c r="AA9" s="345">
        <f>IF(OR(C9="",E9="",E9=0),"",IF(E9&gt;G9,"上昇▲",IF(E9&lt;G9,"下落▼","横ばい→")))</f>
        <v/>
      </c>
      <c r="AB9" s="346">
        <f>IF(OR(C9="",C9="TOPX",終値!E129=""),"",IFERROR(((終値!E129*0.333)+(終値!F129*0.222)+(終値!G129*0.148)+(終値!H129*0.099)+(終値!I129*0.066))/(0.333+0.222+0.148+0.099+0.066),""))</f>
        <v/>
      </c>
      <c r="AC9" s="346">
        <f>IF(OR(C9="",C9="TOPX",終値!E129=""),"",IFERROR(SUMPRODUCT((終値!E129:AC129)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" s="345">
        <f>IF(OR(C9="",AB9="",AC9="",AB9=0,AC9=0),"",IF(AND(E9&gt;AB9,AB9&gt;AC9),"パーフェクト▲",IF(E9&gt;AC9,"上昇トレンド▲",IF(AND(E9&lt;AB9,AB9&lt;AC9),"下降トレンド▼","もみ合い→"))))</f>
        <v/>
      </c>
      <c r="AE9" s="345">
        <f>IF(OR(C9="",AB9="",AC9=""),"",IF(AND(ABS(E9-AC9)/AC9&lt;=0.02,E9&lt;AC9),"25日戻り売り★",IF(AND(ABS(E9-AB9)/AB9&lt;=0.01,E9&lt;AB9),"5日戻り売り○","なし")))</f>
        <v/>
      </c>
      <c r="AF9">
        <f>IF(T9="","",IF(銘柄管理!$F$5="上昇▲",IF(AND(AD9="下降トレンド▼",OR(AE9="25日戻り売り★",AE9="5日戻り売り○")),"★逆張り売り",IF(AND(AD9="もみ合い→",OR(AE9="25日戻り売り★",AE9="5日戻り売り○")),"○逆張り売り",IF(W9&gt;=70,IF(Z9&lt;0,"◎反落確認","△過熱・様子見"),"相場上昇・見送り"))),IF(AND(T9&gt;=12,AD9="下降トレンド▼"),"★強い売り",IF(T9&gt;=12,"★強い売り",IF(AND(T9&gt;=8,OR(AE9="25日戻り売り★",AE9="5日戻り売り○")),"◎戻り売り",IF(T9&gt;=10,"○売り候補",IF(T9&gt;=6,"△注目",IF(T9&gt;=3,"様子見","見送り"))))))))</f>
        <v/>
      </c>
      <c r="AG9">
        <f>IF(AND(T9&gt;=7,C9&lt;&gt;""),T9,0)</f>
        <v/>
      </c>
      <c r="AH9">
        <f>IF(AG9&gt;0,AG9*10000-ROW(A9),0)</f>
        <v/>
      </c>
      <c r="AI9" s="623">
        <f t="array" ref="AI9">IF(C9="","",IFERROR((INDEX(終値!$E:$E,MATCH(TEXT(C9,"0"),終値!$A:$A,0))-INDEX(終値!$E:$BL,MATCH(TEXT(C9,"0"),終値!$A:$A,0),$AN$2))/INDEX(終値!$E:$BL,MATCH(TEXT(C9,"0"),終値!$A:$A,0),$AN$2)*100,""))</f>
        <v/>
      </c>
      <c r="AJ9" s="623">
        <f t="array" ref="AJ9">IFERROR((終値!$E$5-INDEX(終値!$E$5:$BL$5,1,$AN$2))/INDEX(終値!$E$5:$BL$5,1,$AN$2)*100,"")</f>
        <v/>
      </c>
      <c r="AK9" s="624">
        <f>IF(OR(AI9="",AJ9=""),"",AI9-AJ9)</f>
        <v/>
      </c>
      <c r="AL9" s="394">
        <f>IF(AK9="","",IF(AK9&lt;-5,3,IF(AK9&lt;0,1,IF(AK9&lt;3,-1,-2))))</f>
        <v/>
      </c>
      <c r="AO9" s="398">
        <f>IF(OR($C9="",$E9="",$F9="",$H9="",$I9="",$H9-$I9&lt;=0),"-",IF(AND($H9-MAX($F9,$E9)&gt;=ABS($E9-$F9)*2,MIN($F9,$E9)-$I9&lt;=ABS($E9-$F9)*0.5,ABS($E9-$F9)&gt;0),"上ヒゲ陰線▼",IF(AND($E9&lt;$F9,ABS($E9-$F9)&gt;=($H9-$I9)*0.7),"大陰線▼",IF(AND(MIN($F9,$E9)-$I9&gt;=($H9-$I9)*0.5,$H9-MAX($F9,$E9)&lt;=($H9-$I9)*0.2),"長い下ヒゲ(反発警戒)","通常"))))</f>
        <v/>
      </c>
      <c r="AP9" s="625">
        <f>IF($AO9="上ヒゲ陰線▼",2,IF($AO9="大陰線▼",2,IF($AO9="長い下ヒゲ(反発警戒)",-2,0)))</f>
        <v/>
      </c>
      <c r="AQ9">
        <f>IF(C9&lt;&gt;"",始値!F129,"")</f>
        <v/>
      </c>
      <c r="AR9">
        <f>IF(C9&lt;&gt;"",高値!F129,"")</f>
        <v/>
      </c>
      <c r="AS9">
        <f>IF(C9&lt;&gt;"",安値!F129,"")</f>
        <v/>
      </c>
      <c r="AT9">
        <f>IF(OR(C9="",AQ9="",AR9="",AS9="",AR9-AS9&lt;=0),"-",IF(AND(AR9-MAX(G9,AQ9)&gt;=ABS(G9-AQ9)*2,MIN(G9,AQ9)-AS9&lt;=ABS(G9-AQ9)*0.5,ABS(G9-AQ9)&gt;0),"上ヒゲ陰線▼",IF(AND(G9&lt;AQ9,ABS(G9-AQ9)&gt;=(AR9-AS9)*0.7),"大陰線▼",IF(AND(MIN(G9,AQ9)-AS9&gt;=(AR9-AS9)*0.5,AR9-MAX(G9,AQ9)&lt;=(AR9-AS9)*0.2),"長い下ヒゲ(反発)","通常"))))</f>
        <v/>
      </c>
      <c r="AU9">
        <f>IF(AT9="上ヒゲ陰線▼",2,IF(AT9="大陰線▼",2,IF(AT9="長い下ヒゲ(反発)",-2,0)))</f>
        <v/>
      </c>
    </row>
    <row r="10" ht="14.25" customHeight="1" s="574">
      <c r="A10" s="352">
        <f>IF(銘柄管理!B145&lt;&gt;"",HYPERLINK("https://kabutan.jp/stock/?code="&amp;銘柄管理!B145,"株探"),"")</f>
        <v/>
      </c>
      <c r="B10" s="225" t="n"/>
      <c r="C10" s="225">
        <f>IF(銘柄管理!B145="","",銘柄管理!B145)</f>
        <v/>
      </c>
      <c r="D10" s="225">
        <f>IF(銘柄管理!C145="","",銘柄管理!C145)</f>
        <v/>
      </c>
      <c r="E10" s="353">
        <f>IF(C10&lt;&gt;"",_xll.RssMarket(C10,"現在値"),"")</f>
        <v/>
      </c>
      <c r="F10" s="353">
        <f>IF(C10&lt;&gt;"",_xll.RssMarket(C10,"始値"),"")</f>
        <v/>
      </c>
      <c r="G10" s="225">
        <f>IF(C10&lt;&gt;"",終値!F145,"")</f>
        <v/>
      </c>
      <c r="H10" s="353">
        <f>IF(C10&lt;&gt;"",_xll.RssMarket(C10,"高値"),"")</f>
        <v/>
      </c>
      <c r="I10" s="353">
        <f>IF(C10&lt;&gt;"",_xll.RssMarket(C10,"安値"),"")</f>
        <v/>
      </c>
      <c r="J10" s="353">
        <f>IF(C10&lt;&gt;"",_xll.RssMarket(C10,"出来高"),"")</f>
        <v/>
      </c>
      <c r="K10" s="353">
        <f>IF(C10&lt;&gt;"",_xll.RssMarket(C10,"年初来高値"),"")</f>
        <v/>
      </c>
      <c r="L10" s="626">
        <f>IF(AND(E10&lt;&gt;"",K10&lt;&gt;"",K10&lt;&gt;0),(E10-K10)/K10*100,"")</f>
        <v/>
      </c>
      <c r="M10" s="353">
        <f>IF(C10&lt;&gt;"",IFERROR(AVERAGE(出来高!E145:I145),""),"")</f>
        <v/>
      </c>
      <c r="N10" s="353">
        <f>IF(C10&lt;&gt;"",IFERROR(AVERAGE(出来高!E145:AC145),""),"")</f>
        <v/>
      </c>
      <c r="O10" s="627">
        <f>IF(AND(J10&lt;&gt;"",M10&lt;&gt;"",M10&lt;&gt;0),J10/M10,"")</f>
        <v/>
      </c>
      <c r="P10" s="225">
        <f>IF(O10="","",IF(O10&gt;=2,"急増↑↑",IF(O10&gt;=1.5,"増加↑",IF(O10&gt;=1,"普通→","減少↓"))))</f>
        <v/>
      </c>
      <c r="Q10" s="225">
        <f>IF(E10="","",IF(AND(E10&lt;G10,O10&gt;=1.5),"売り▼",IF(E10&gt;G10,"様子見▲","中立→")))</f>
        <v/>
      </c>
      <c r="R10" s="353">
        <f>IF(E10&lt;&gt;"",ROUND(E10*0.92,0),"")</f>
        <v/>
      </c>
      <c r="S10" s="353">
        <f>IF(E10&lt;&gt;"",ROUND(E10*1.04,0),"")</f>
        <v/>
      </c>
      <c r="T10" s="345">
        <f>IF(C10="","",IFERROR(IF(W10&gt;=70,3,IF(W10&gt;=60,2,IF(W10&gt;=50,1,0)))+IF(X10&lt;0,2,0)+IF(AD10="下降トレンド▼",3,IF(AD10="もみ合い→",1,0))+IF(V10="年初来安値圏●",3,IF(V10="安値圏",2,0))+IF(Q10="売り▼",2,0)+IF(P10="急増↑↑",2,IF(P10="増加↑",1,0))+IF(Z10&lt;0,1,0)+IF(L10&lt;=-30,2,IF(L10&lt;=-15,1,0))+IF(AE10="25日戻り売り★",2,IF(AE10="5日戻り売り○",1,0))+N(AL10)+N(AP10)+N(AU10),0))</f>
        <v/>
      </c>
      <c r="U10" s="225">
        <f>IF(T10="","",IF(AND(T10&gt;=3,O10&gt;=1.5),"有効",IF(T10&gt;=3,"要確認","除外")))</f>
        <v/>
      </c>
      <c r="V10" s="225">
        <f>IF(AND(I10&lt;&gt;"",K10&lt;&gt;""),IF(I10&lt;=K10*0.6,"年初来安値圏●",IF(I10&lt;=K10*0.75,"安値圏","通常")),"")</f>
        <v/>
      </c>
      <c r="W10" s="628">
        <f t="array" ref="W10">IFERROR(100-100/(1+SUMPRODUCT((終値!F145:R145&gt;終値!G145:S145)*(終値!F145:R145-終値!G145:S145))/SUMPRODUCT((終値!F145:R145&lt;終値!G145:S145)*(終値!G145:S145-終値!F145:R145))),50)</f>
        <v/>
      </c>
      <c r="X10" s="357">
        <f>IF(C10&lt;&gt;"",IFERROR(SUMPRODUCT(終値!E145:P145,{0.154,0.132,0.113,0.097,0.083,0.071,0.061,0.052,0.045,0.038,0.033,0.028})/SUMPRODUCT({0.154,0.132,0.113,0.097,0.083,0.071,0.061,0.052,0.045,0.038,0.033,0.028})-SUMPRODUCT(終値!E145:AD145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" s="225">
        <f>IF(AF10="","",AF10&amp;" | "&amp;AD10&amp;IF(AE10&lt;&gt;"なし"," "&amp;AE10,"")&amp;IF(X10&lt;0," MACD-"," MACD+")&amp;" RSI:"&amp;TEXT(W10,"0.0")&amp;IF(W10&gt;=70," [過熱]",IF(W10&lt;=30," [売られ過ぎ]",""))&amp;" 前日比:"&amp;TEXT(Z10,"+0.0;-0.0;0.0")&amp;"%"&amp;IF(V10="年初来安値圏●"," [年初来安値圏]",IF(V10="安値圏"," [安値圏]",""))&amp;IF(OR(AO10="通常",AO10="-"),""," ["&amp;AO10&amp;"]")&amp;IF(OR(AT10="通常",AT10="-"),"","前日["&amp;AT10&amp;"]")&amp;" ["&amp;T10&amp;"点]")</f>
        <v/>
      </c>
      <c r="Z10" s="629">
        <f>IF(AND(E10&lt;&gt;"",G10&lt;&gt;"",G10&lt;&gt;0),(E10-G10)/G10*100,"")</f>
        <v/>
      </c>
      <c r="AA10" s="225">
        <f>IF(OR(C10="",E10="",E10=0),"",IF(E10&gt;G10,"上昇▲",IF(E10&lt;G10,"下落▼","横ばい→")))</f>
        <v/>
      </c>
      <c r="AB10" s="353">
        <f>IF(OR(C10="",C10="TOPX",終値!E145=""),"",IFERROR(((終値!E145*0.333)+(終値!F145*0.222)+(終値!G145*0.148)+(終値!H145*0.099)+(終値!I145*0.066))/(0.333+0.222+0.148+0.099+0.066),""))</f>
        <v/>
      </c>
      <c r="AC10" s="353">
        <f>IF(OR(C10="",C10="TOPX",終値!E145=""),"",IFERROR(SUMPRODUCT((終値!E145:AC145)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" s="225">
        <f>IF(OR(C10="",AB10="",AC10="",AB10=0,AC10=0),"",IF(AND(E10&gt;AB10,AB10&gt;AC10),"パーフェクト▲",IF(E10&gt;AC10,"上昇トレンド▲",IF(AND(E10&lt;AB10,AB10&lt;AC10),"下降トレンド▼","もみ合い→"))))</f>
        <v/>
      </c>
      <c r="AE10" s="225">
        <f>IF(OR(C10="",AB10="",AC10=""),"",IF(AND(ABS(E10-AC10)/AC10&lt;=0.02,E10&lt;AC10),"25日戻り売り★",IF(AND(ABS(E10-AB10)/AB10&lt;=0.01,E10&lt;AB10),"5日戻り売り○","なし")))</f>
        <v/>
      </c>
      <c r="AF10">
        <f>IF(T10="","",IF(銘柄管理!$F$5="上昇▲",IF(AND(AD10="下降トレンド▼",OR(AE10="25日戻り売り★",AE10="5日戻り売り○")),"★逆張り売り",IF(AND(AD10="もみ合い→",OR(AE10="25日戻り売り★",AE10="5日戻り売り○")),"○逆張り売り",IF(W10&gt;=70,IF(Z10&lt;0,"◎反落確認","△過熱・様子見"),"相場上昇・見送り"))),IF(AND(T10&gt;=12,AD10="下降トレンド▼"),"★強い売り",IF(T10&gt;=12,"★強い売り",IF(AND(T10&gt;=8,OR(AE10="25日戻り売り★",AE10="5日戻り売り○")),"◎戻り売り",IF(T10&gt;=10,"○売り候補",IF(T10&gt;=6,"△注目",IF(T10&gt;=3,"様子見","見送り"))))))))</f>
        <v/>
      </c>
      <c r="AG10">
        <f>IF(AND(T10&gt;=7,C10&lt;&gt;""),T10,0)</f>
        <v/>
      </c>
      <c r="AH10">
        <f>IF(AG10&gt;0,AG10*10000-ROW(A10),0)</f>
        <v/>
      </c>
      <c r="AI10" s="623">
        <f t="array" ref="AI10">IF(C10="","",IFERROR((INDEX(終値!$E:$E,MATCH(TEXT(C10,"0"),終値!$A:$A,0))-INDEX(終値!$E:$BL,MATCH(TEXT(C10,"0"),終値!$A:$A,0),$AN$2))/INDEX(終値!$E:$BL,MATCH(TEXT(C10,"0"),終値!$A:$A,0),$AN$2)*100,""))</f>
        <v/>
      </c>
      <c r="AJ10" s="623">
        <f t="array" ref="AJ10">IFERROR((終値!$E$5-INDEX(終値!$E$5:$BL$5,1,$AN$2))/INDEX(終値!$E$5:$BL$5,1,$AN$2)*100,"")</f>
        <v/>
      </c>
      <c r="AK10" s="624">
        <f>IF(OR(AI10="",AJ10=""),"",AI10-AJ10)</f>
        <v/>
      </c>
      <c r="AL10" s="394">
        <f>IF(AK10="","",IF(AK10&lt;-5,3,IF(AK10&lt;0,1,IF(AK10&lt;3,-1,-2))))</f>
        <v/>
      </c>
      <c r="AO10" s="398">
        <f>IF(OR($C10="",$E10="",$F10="",$H10="",$I10="",$H10-$I10&lt;=0),"-",IF(AND($H10-MAX($F10,$E10)&gt;=ABS($E10-$F10)*2,MIN($F10,$E10)-$I10&lt;=ABS($E10-$F10)*0.5,ABS($E10-$F10)&gt;0),"上ヒゲ陰線▼",IF(AND($E10&lt;$F10,ABS($E10-$F10)&gt;=($H10-$I10)*0.7),"大陰線▼",IF(AND(MIN($F10,$E10)-$I10&gt;=($H10-$I10)*0.5,$H10-MAX($F10,$E10)&lt;=($H10-$I10)*0.2),"長い下ヒゲ(反発警戒)","通常"))))</f>
        <v/>
      </c>
      <c r="AP10" s="625">
        <f>IF($AO10="上ヒゲ陰線▼",2,IF($AO10="大陰線▼",2,IF($AO10="長い下ヒゲ(反発警戒)",-2,0)))</f>
        <v/>
      </c>
      <c r="AQ10">
        <f>IF(C10&lt;&gt;"",始値!F145,"")</f>
        <v/>
      </c>
      <c r="AR10">
        <f>IF(C10&lt;&gt;"",高値!F145,"")</f>
        <v/>
      </c>
      <c r="AS10">
        <f>IF(C10&lt;&gt;"",安値!F145,"")</f>
        <v/>
      </c>
      <c r="AT10">
        <f>IF(OR(C10="",AQ10="",AR10="",AS10="",AR10-AS10&lt;=0),"-",IF(AND(AR10-MAX(G10,AQ10)&gt;=ABS(G10-AQ10)*2,MIN(G10,AQ10)-AS10&lt;=ABS(G10-AQ10)*0.5,ABS(G10-AQ10)&gt;0),"上ヒゲ陰線▼",IF(AND(G10&lt;AQ10,ABS(G10-AQ10)&gt;=(AR10-AS10)*0.7),"大陰線▼",IF(AND(MIN(G10,AQ10)-AS10&gt;=(AR10-AS10)*0.5,AR10-MAX(G10,AQ10)&lt;=(AR10-AS10)*0.2),"長い下ヒゲ(反発)","通常"))))</f>
        <v/>
      </c>
      <c r="AU10">
        <f>IF(AT10="上ヒゲ陰線▼",2,IF(AT10="大陰線▼",2,IF(AT10="長い下ヒゲ(反発)",-2,0)))</f>
        <v/>
      </c>
    </row>
    <row r="11" ht="14.25" customHeight="1" s="574">
      <c r="A11" s="344">
        <f>IF(銘柄管理!B6&lt;&gt;"",HYPERLINK("https://kabutan.jp/stock/?code="&amp;銘柄管理!B6,"株探"),"")</f>
        <v/>
      </c>
      <c r="B11" s="345" t="n"/>
      <c r="C11" s="345">
        <f>IF(銘柄管理!B6="","",銘柄管理!B6)</f>
        <v/>
      </c>
      <c r="D11" s="345">
        <f>IF(銘柄管理!C6="","",銘柄管理!C6)</f>
        <v/>
      </c>
      <c r="E11" s="346">
        <f>IF(C11&lt;&gt;"",_xll.RssMarket(C11,"現在値"),"")</f>
        <v/>
      </c>
      <c r="F11" s="346">
        <f>IF(C11&lt;&gt;"",_xll.RssMarket(C11,"始値"),"")</f>
        <v/>
      </c>
      <c r="G11" s="345">
        <f>IF(C11&lt;&gt;"",終値!F6,"")</f>
        <v/>
      </c>
      <c r="H11" s="346">
        <f>IF(C11&lt;&gt;"",_xll.RssMarket(C11,"高値"),"")</f>
        <v/>
      </c>
      <c r="I11" s="346">
        <f>IF(C11&lt;&gt;"",_xll.RssMarket(C11,"安値"),"")</f>
        <v/>
      </c>
      <c r="J11" s="346">
        <f>IF(C11&lt;&gt;"",_xll.RssMarket(C11,"出来高"),"")</f>
        <v/>
      </c>
      <c r="K11" s="346">
        <f>IF(C11&lt;&gt;"",_xll.RssMarket(C11,"年初来高値"),"")</f>
        <v/>
      </c>
      <c r="L11" s="619">
        <f>IF(AND(E11&lt;&gt;"",K11&lt;&gt;"",K11&lt;&gt;0),(E11-K11)/K11*100,"")</f>
        <v/>
      </c>
      <c r="M11" s="346">
        <f>IF(C11&lt;&gt;"",IFERROR(AVERAGE(出来高!E6:I6),""),"")</f>
        <v/>
      </c>
      <c r="N11" s="346">
        <f>IF(C11&lt;&gt;"",IFERROR(AVERAGE(出来高!E6:AC6),""),"")</f>
        <v/>
      </c>
      <c r="O11" s="620">
        <f>IF(AND(J11&lt;&gt;"",M11&lt;&gt;"",M11&lt;&gt;0),J11/M11,"")</f>
        <v/>
      </c>
      <c r="P11" s="345">
        <f>IF(O11="","",IF(O11&gt;=2,"急増↑↑",IF(O11&gt;=1.5,"増加↑",IF(O11&gt;=1,"普通→","減少↓"))))</f>
        <v/>
      </c>
      <c r="Q11" s="345">
        <f>IF(E11="","",IF(AND(E11&lt;G11,O11&gt;=1.5),"売り▼",IF(E11&gt;G11,"様子見▲","中立→")))</f>
        <v/>
      </c>
      <c r="R11" s="346">
        <f>IF(E11&lt;&gt;"",ROUND(E11*0.92,0),"")</f>
        <v/>
      </c>
      <c r="S11" s="346">
        <f>IF(E11&lt;&gt;"",ROUND(E11*1.04,0),"")</f>
        <v/>
      </c>
      <c r="T11" s="345">
        <f>IF(C11="","",IFERROR(IF(W11&gt;=70,3,IF(W11&gt;=60,2,IF(W11&gt;=50,1,0)))+IF(X11&lt;0,2,0)+IF(AD11="下降トレンド▼",3,IF(AD11="もみ合い→",1,0))+IF(V11="年初来安値圏●",3,IF(V11="安値圏",2,0))+IF(Q11="売り▼",2,0)+IF(P11="急増↑↑",2,IF(P11="増加↑",1,0))+IF(Z11&lt;0,1,0)+IF(L11&lt;=-30,2,IF(L11&lt;=-15,1,0))+IF(AE11="25日戻り売り★",2,IF(AE11="5日戻り売り○",1,0))+N(AL11)+N(AP11)+N(AU11),0))</f>
        <v/>
      </c>
      <c r="U11" s="345">
        <f>IF(T11="","",IF(AND(T11&gt;=3,O11&gt;=1.5),"有効",IF(T11&gt;=3,"要確認","除外")))</f>
        <v/>
      </c>
      <c r="V11" s="345">
        <f>IF(AND(I11&lt;&gt;"",K11&lt;&gt;""),IF(I11&lt;=K11*0.6,"年初来安値圏●",IF(I11&lt;=K11*0.75,"安値圏","通常")),"")</f>
        <v/>
      </c>
      <c r="W11" s="621">
        <f t="array" ref="W11">IFERROR(100-100/(1+SUMPRODUCT((終値!F6:R6&gt;終値!G6:S6)*(終値!F6:R6-終値!G6:S6))/SUMPRODUCT((終値!F6:R6&lt;終値!G6:S6)*(終値!G6:S6-終値!F6:R6))),50)</f>
        <v/>
      </c>
      <c r="X11" s="350">
        <f>IF(C11&lt;&gt;"",IFERROR(SUMPRODUCT(終値!E6:P6,{0.154,0.132,0.113,0.097,0.083,0.071,0.061,0.052,0.045,0.038,0.033,0.028})/SUMPRODUCT({0.154,0.132,0.113,0.097,0.083,0.071,0.061,0.052,0.045,0.038,0.033,0.028})-SUMPRODUCT(終値!E6:AD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" s="345">
        <f>IF(AF11="","",AF11&amp;" | "&amp;AD11&amp;IF(AE11&lt;&gt;"なし"," "&amp;AE11,"")&amp;IF(X11&lt;0," MACD-"," MACD+")&amp;" RSI:"&amp;TEXT(W11,"0.0")&amp;IF(W11&gt;=70," [過熱]",IF(W11&lt;=30," [売られ過ぎ]",""))&amp;" 前日比:"&amp;TEXT(Z11,"+0.0;-0.0;0.0")&amp;"%"&amp;IF(V11="年初来安値圏●"," [年初来安値圏]",IF(V11="安値圏"," [安値圏]",""))&amp;IF(OR(AO11="通常",AO11="-"),""," ["&amp;AO11&amp;"]")&amp;IF(OR(AT11="通常",AT11="-"),"","前日["&amp;AT11&amp;"]")&amp;" ["&amp;T11&amp;"点]")</f>
        <v/>
      </c>
      <c r="Z11" s="622">
        <f>IF(AND(E11&lt;&gt;"",G11&lt;&gt;"",G11&lt;&gt;0),(E11-G11)/G11*100,"")</f>
        <v/>
      </c>
      <c r="AA11" s="345">
        <f>IF(OR(C11="",E11="",E11=0),"",IF(E11&gt;G11,"上昇▲",IF(E11&lt;G11,"下落▼","横ばい→")))</f>
        <v/>
      </c>
      <c r="AB11" s="346">
        <f>IF(OR(C11="",C11="TOPX",終値!E6=""),"",IFERROR(((終値!E6*0.333)+(終値!F6*0.222)+(終値!G6*0.148)+(終値!H6*0.099)+(終値!I6*0.066))/(0.333+0.222+0.148+0.099+0.066),""))</f>
        <v/>
      </c>
      <c r="AC11" s="346">
        <f>IF(OR(C11="",C11="TOPX",終値!E6=""),"",IFERROR(SUMPRODUCT((終値!E6:AC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" s="345">
        <f>IF(OR(C11="",AB11="",AC11="",AB11=0,AC11=0),"",IF(AND(E11&gt;AB11,AB11&gt;AC11),"パーフェクト▲",IF(E11&gt;AC11,"上昇トレンド▲",IF(AND(E11&lt;AB11,AB11&lt;AC11),"下降トレンド▼","もみ合い→"))))</f>
        <v/>
      </c>
      <c r="AE11" s="345">
        <f>IF(OR(C11="",AB11="",AC11=""),"",IF(AND(ABS(E11-AC11)/AC11&lt;=0.02,E11&lt;AC11),"25日戻り売り★",IF(AND(ABS(E11-AB11)/AB11&lt;=0.01,E11&lt;AB11),"5日戻り売り○","なし")))</f>
        <v/>
      </c>
      <c r="AF11">
        <f>IF(T11="","",IF(銘柄管理!$F$5="上昇▲",IF(AND(AD11="下降トレンド▼",OR(AE11="25日戻り売り★",AE11="5日戻り売り○")),"★逆張り売り",IF(AND(AD11="もみ合い→",OR(AE11="25日戻り売り★",AE11="5日戻り売り○")),"○逆張り売り",IF(W11&gt;=70,IF(Z11&lt;0,"◎反落確認","△過熱・様子見"),"相場上昇・見送り"))),IF(AND(T11&gt;=12,AD11="下降トレンド▼"),"★強い売り",IF(T11&gt;=12,"★強い売り",IF(AND(T11&gt;=8,OR(AE11="25日戻り売り★",AE11="5日戻り売り○")),"◎戻り売り",IF(T11&gt;=10,"○売り候補",IF(T11&gt;=6,"△注目",IF(T11&gt;=3,"様子見","見送り"))))))))</f>
        <v/>
      </c>
      <c r="AG11">
        <f>IF(AND(T11&gt;=7,C11&lt;&gt;""),T11,0)</f>
        <v/>
      </c>
      <c r="AH11">
        <f>IF(AG11&gt;0,AG11*10000-ROW(A11),0)</f>
        <v/>
      </c>
      <c r="AI11" s="623">
        <f t="array" ref="AI11">IF(C11="","",IFERROR((INDEX(終値!$E:$E,MATCH(TEXT(C11,"0"),終値!$A:$A,0))-INDEX(終値!$E:$BL,MATCH(TEXT(C11,"0"),終値!$A:$A,0),$AN$2))/INDEX(終値!$E:$BL,MATCH(TEXT(C11,"0"),終値!$A:$A,0),$AN$2)*100,""))</f>
        <v/>
      </c>
      <c r="AJ11" s="623">
        <f t="array" ref="AJ11">IFERROR((終値!$E$5-INDEX(終値!$E$5:$BL$5,1,$AN$2))/INDEX(終値!$E$5:$BL$5,1,$AN$2)*100,"")</f>
        <v/>
      </c>
      <c r="AK11" s="624">
        <f>IF(OR(AI11="",AJ11=""),"",AI11-AJ11)</f>
        <v/>
      </c>
      <c r="AL11" s="394">
        <f>IF(AK11="","",IF(AK11&lt;-5,3,IF(AK11&lt;0,1,IF(AK11&lt;3,-1,-2))))</f>
        <v/>
      </c>
      <c r="AO11" s="398">
        <f>IF(OR($C11="",$E11="",$F11="",$H11="",$I11="",$H11-$I11&lt;=0),"-",IF(AND($H11-MAX($F11,$E11)&gt;=ABS($E11-$F11)*2,MIN($F11,$E11)-$I11&lt;=ABS($E11-$F11)*0.5,ABS($E11-$F11)&gt;0),"上ヒゲ陰線▼",IF(AND($E11&lt;$F11,ABS($E11-$F11)&gt;=($H11-$I11)*0.7),"大陰線▼",IF(AND(MIN($F11,$E11)-$I11&gt;=($H11-$I11)*0.5,$H11-MAX($F11,$E11)&lt;=($H11-$I11)*0.2),"長い下ヒゲ(反発警戒)","通常"))))</f>
        <v/>
      </c>
      <c r="AP11" s="625">
        <f>IF($AO11="上ヒゲ陰線▼",2,IF($AO11="大陰線▼",2,IF($AO11="長い下ヒゲ(反発警戒)",-2,0)))</f>
        <v/>
      </c>
      <c r="AQ11">
        <f>IF(C11&lt;&gt;"",始値!F6,"")</f>
        <v/>
      </c>
      <c r="AR11">
        <f>IF(C11&lt;&gt;"",高値!F6,"")</f>
        <v/>
      </c>
      <c r="AS11">
        <f>IF(C11&lt;&gt;"",安値!F6,"")</f>
        <v/>
      </c>
      <c r="AT11">
        <f>IF(OR(C11="",AQ11="",AR11="",AS11="",AR11-AS11&lt;=0),"-",IF(AND(AR11-MAX(G11,AQ11)&gt;=ABS(G11-AQ11)*2,MIN(G11,AQ11)-AS11&lt;=ABS(G11-AQ11)*0.5,ABS(G11-AQ11)&gt;0),"上ヒゲ陰線▼",IF(AND(G11&lt;AQ11,ABS(G11-AQ11)&gt;=(AR11-AS11)*0.7),"大陰線▼",IF(AND(MIN(G11,AQ11)-AS11&gt;=(AR11-AS11)*0.5,AR11-MAX(G11,AQ11)&lt;=(AR11-AS11)*0.2),"長い下ヒゲ(反発)","通常"))))</f>
        <v/>
      </c>
      <c r="AU11">
        <f>IF(AT11="上ヒゲ陰線▼",2,IF(AT11="大陰線▼",2,IF(AT11="長い下ヒゲ(反発)",-2,0)))</f>
        <v/>
      </c>
    </row>
    <row r="12" ht="14.25" customHeight="1" s="574">
      <c r="A12" s="352">
        <f>IF(銘柄管理!B21&lt;&gt;"",HYPERLINK("https://kabutan.jp/stock/?code="&amp;銘柄管理!B21,"株探"),"")</f>
        <v/>
      </c>
      <c r="B12" s="225" t="n"/>
      <c r="C12" s="225">
        <f>IF(銘柄管理!B21="","",銘柄管理!B21)</f>
        <v/>
      </c>
      <c r="D12" s="225">
        <f>IF(銘柄管理!C21="","",銘柄管理!C21)</f>
        <v/>
      </c>
      <c r="E12" s="353">
        <f>IF(C12&lt;&gt;"",_xll.RssMarket(C12,"現在値"),"")</f>
        <v/>
      </c>
      <c r="F12" s="353">
        <f>IF(C12&lt;&gt;"",_xll.RssMarket(C12,"始値"),"")</f>
        <v/>
      </c>
      <c r="G12" s="225">
        <f>IF(C12&lt;&gt;"",終値!F21,"")</f>
        <v/>
      </c>
      <c r="H12" s="353">
        <f>IF(C12&lt;&gt;"",_xll.RssMarket(C12,"高値"),"")</f>
        <v/>
      </c>
      <c r="I12" s="353">
        <f>IF(C12&lt;&gt;"",_xll.RssMarket(C12,"安値"),"")</f>
        <v/>
      </c>
      <c r="J12" s="353">
        <f>IF(C12&lt;&gt;"",_xll.RssMarket(C12,"出来高"),"")</f>
        <v/>
      </c>
      <c r="K12" s="353">
        <f>IF(C12&lt;&gt;"",_xll.RssMarket(C12,"年初来高値"),"")</f>
        <v/>
      </c>
      <c r="L12" s="626">
        <f>IF(AND(E12&lt;&gt;"",K12&lt;&gt;"",K12&lt;&gt;0),(E12-K12)/K12*100,"")</f>
        <v/>
      </c>
      <c r="M12" s="353">
        <f>IF(C12&lt;&gt;"",IFERROR(AVERAGE(出来高!E21:I21),""),"")</f>
        <v/>
      </c>
      <c r="N12" s="353">
        <f>IF(C12&lt;&gt;"",IFERROR(AVERAGE(出来高!E21:AC21),""),"")</f>
        <v/>
      </c>
      <c r="O12" s="627">
        <f>IF(AND(J12&lt;&gt;"",M12&lt;&gt;"",M12&lt;&gt;0),J12/M12,"")</f>
        <v/>
      </c>
      <c r="P12" s="225">
        <f>IF(O12="","",IF(O12&gt;=2,"急増↑↑",IF(O12&gt;=1.5,"増加↑",IF(O12&gt;=1,"普通→","減少↓"))))</f>
        <v/>
      </c>
      <c r="Q12" s="225">
        <f>IF(E12="","",IF(AND(E12&lt;G12,O12&gt;=1.5),"売り▼",IF(E12&gt;G12,"様子見▲","中立→")))</f>
        <v/>
      </c>
      <c r="R12" s="353">
        <f>IF(E12&lt;&gt;"",ROUND(E12*0.92,0),"")</f>
        <v/>
      </c>
      <c r="S12" s="353">
        <f>IF(E12&lt;&gt;"",ROUND(E12*1.04,0),"")</f>
        <v/>
      </c>
      <c r="T12" s="345">
        <f>IF(C12="","",IFERROR(IF(W12&gt;=70,3,IF(W12&gt;=60,2,IF(W12&gt;=50,1,0)))+IF(X12&lt;0,2,0)+IF(AD12="下降トレンド▼",3,IF(AD12="もみ合い→",1,0))+IF(V12="年初来安値圏●",3,IF(V12="安値圏",2,0))+IF(Q12="売り▼",2,0)+IF(P12="急増↑↑",2,IF(P12="増加↑",1,0))+IF(Z12&lt;0,1,0)+IF(L12&lt;=-30,2,IF(L12&lt;=-15,1,0))+IF(AE12="25日戻り売り★",2,IF(AE12="5日戻り売り○",1,0))+N(AL12)+N(AP12)+N(AU12),0))</f>
        <v/>
      </c>
      <c r="U12" s="225">
        <f>IF(T12="","",IF(AND(T12&gt;=3,O12&gt;=1.5),"有効",IF(T12&gt;=3,"要確認","除外")))</f>
        <v/>
      </c>
      <c r="V12" s="225">
        <f>IF(AND(I12&lt;&gt;"",K12&lt;&gt;""),IF(I12&lt;=K12*0.6,"年初来安値圏●",IF(I12&lt;=K12*0.75,"安値圏","通常")),"")</f>
        <v/>
      </c>
      <c r="W12" s="628">
        <f t="array" ref="W12">IFERROR(100-100/(1+SUMPRODUCT((終値!F21:R21&gt;終値!G21:S21)*(終値!F21:R21-終値!G21:S21))/SUMPRODUCT((終値!F21:R21&lt;終値!G21:S21)*(終値!G21:S21-終値!F21:R21))),50)</f>
        <v/>
      </c>
      <c r="X12" s="357">
        <f>IF(C12&lt;&gt;"",IFERROR(SUMPRODUCT(終値!E21:P21,{0.154,0.132,0.113,0.097,0.083,0.071,0.061,0.052,0.045,0.038,0.033,0.028})/SUMPRODUCT({0.154,0.132,0.113,0.097,0.083,0.071,0.061,0.052,0.045,0.038,0.033,0.028})-SUMPRODUCT(終値!E21:AD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" s="225">
        <f>IF(AF12="","",AF12&amp;" | "&amp;AD12&amp;IF(AE12&lt;&gt;"なし"," "&amp;AE12,"")&amp;IF(X12&lt;0," MACD-"," MACD+")&amp;" RSI:"&amp;TEXT(W12,"0.0")&amp;IF(W12&gt;=70," [過熱]",IF(W12&lt;=30," [売られ過ぎ]",""))&amp;" 前日比:"&amp;TEXT(Z12,"+0.0;-0.0;0.0")&amp;"%"&amp;IF(V12="年初来安値圏●"," [年初来安値圏]",IF(V12="安値圏"," [安値圏]",""))&amp;IF(OR(AO12="通常",AO12="-"),""," ["&amp;AO12&amp;"]")&amp;IF(OR(AT12="通常",AT12="-"),"","前日["&amp;AT12&amp;"]")&amp;" ["&amp;T12&amp;"点]")</f>
        <v/>
      </c>
      <c r="Z12" s="629">
        <f>IF(AND(E12&lt;&gt;"",G12&lt;&gt;"",G12&lt;&gt;0),(E12-G12)/G12*100,"")</f>
        <v/>
      </c>
      <c r="AA12" s="225">
        <f>IF(OR(C12="",E12="",E12=0),"",IF(E12&gt;G12,"上昇▲",IF(E12&lt;G12,"下落▼","横ばい→")))</f>
        <v/>
      </c>
      <c r="AB12" s="353">
        <f>IF(OR(C12="",C12="TOPX",終値!E21=""),"",IFERROR(((終値!E21*0.333)+(終値!F21*0.222)+(終値!G21*0.148)+(終値!H21*0.099)+(終値!I21*0.066))/(0.333+0.222+0.148+0.099+0.066),""))</f>
        <v/>
      </c>
      <c r="AC12" s="353">
        <f>IF(OR(C12="",C12="TOPX",終値!E21=""),"",IFERROR(SUMPRODUCT((終値!E21:AC21)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" s="225">
        <f>IF(OR(C12="",AB12="",AC12="",AB12=0,AC12=0),"",IF(AND(E12&gt;AB12,AB12&gt;AC12),"パーフェクト▲",IF(E12&gt;AC12,"上昇トレンド▲",IF(AND(E12&lt;AB12,AB12&lt;AC12),"下降トレンド▼","もみ合い→"))))</f>
        <v/>
      </c>
      <c r="AE12" s="225">
        <f>IF(OR(C12="",AB12="",AC12=""),"",IF(AND(ABS(E12-AC12)/AC12&lt;=0.02,E12&lt;AC12),"25日戻り売り★",IF(AND(ABS(E12-AB12)/AB12&lt;=0.01,E12&lt;AB12),"5日戻り売り○","なし")))</f>
        <v/>
      </c>
      <c r="AF12">
        <f>IF(T12="","",IF(銘柄管理!$F$5="上昇▲",IF(AND(AD12="下降トレンド▼",OR(AE12="25日戻り売り★",AE12="5日戻り売り○")),"★逆張り売り",IF(AND(AD12="もみ合い→",OR(AE12="25日戻り売り★",AE12="5日戻り売り○")),"○逆張り売り",IF(W12&gt;=70,IF(Z12&lt;0,"◎反落確認","△過熱・様子見"),"相場上昇・見送り"))),IF(AND(T12&gt;=12,AD12="下降トレンド▼"),"★強い売り",IF(T12&gt;=12,"★強い売り",IF(AND(T12&gt;=8,OR(AE12="25日戻り売り★",AE12="5日戻り売り○")),"◎戻り売り",IF(T12&gt;=10,"○売り候補",IF(T12&gt;=6,"△注目",IF(T12&gt;=3,"様子見","見送り"))))))))</f>
        <v/>
      </c>
      <c r="AG12">
        <f>IF(AND(T12&gt;=7,C12&lt;&gt;""),T12,0)</f>
        <v/>
      </c>
      <c r="AH12">
        <f>IF(AG12&gt;0,AG12*10000-ROW(A12),0)</f>
        <v/>
      </c>
      <c r="AI12" s="623">
        <f t="array" ref="AI12">IF(C12="","",IFERROR((INDEX(終値!$E:$E,MATCH(TEXT(C12,"0"),終値!$A:$A,0))-INDEX(終値!$E:$BL,MATCH(TEXT(C12,"0"),終値!$A:$A,0),$AN$2))/INDEX(終値!$E:$BL,MATCH(TEXT(C12,"0"),終値!$A:$A,0),$AN$2)*100,""))</f>
        <v/>
      </c>
      <c r="AJ12" s="623">
        <f t="array" ref="AJ12">IFERROR((終値!$E$5-INDEX(終値!$E$5:$BL$5,1,$AN$2))/INDEX(終値!$E$5:$BL$5,1,$AN$2)*100,"")</f>
        <v/>
      </c>
      <c r="AK12" s="624">
        <f>IF(OR(AI12="",AJ12=""),"",AI12-AJ12)</f>
        <v/>
      </c>
      <c r="AL12" s="394">
        <f>IF(AK12="","",IF(AK12&lt;-5,3,IF(AK12&lt;0,1,IF(AK12&lt;3,-1,-2))))</f>
        <v/>
      </c>
      <c r="AO12" s="398">
        <f>IF(OR($C12="",$E12="",$F12="",$H12="",$I12="",$H12-$I12&lt;=0),"-",IF(AND($H12-MAX($F12,$E12)&gt;=ABS($E12-$F12)*2,MIN($F12,$E12)-$I12&lt;=ABS($E12-$F12)*0.5,ABS($E12-$F12)&gt;0),"上ヒゲ陰線▼",IF(AND($E12&lt;$F12,ABS($E12-$F12)&gt;=($H12-$I12)*0.7),"大陰線▼",IF(AND(MIN($F12,$E12)-$I12&gt;=($H12-$I12)*0.5,$H12-MAX($F12,$E12)&lt;=($H12-$I12)*0.2),"長い下ヒゲ(反発警戒)","通常"))))</f>
        <v/>
      </c>
      <c r="AP12" s="625">
        <f>IF($AO12="上ヒゲ陰線▼",2,IF($AO12="大陰線▼",2,IF($AO12="長い下ヒゲ(反発警戒)",-2,0)))</f>
        <v/>
      </c>
      <c r="AQ12">
        <f>IF(C12&lt;&gt;"",始値!F21,"")</f>
        <v/>
      </c>
      <c r="AR12">
        <f>IF(C12&lt;&gt;"",高値!F21,"")</f>
        <v/>
      </c>
      <c r="AS12">
        <f>IF(C12&lt;&gt;"",安値!F21,"")</f>
        <v/>
      </c>
      <c r="AT12">
        <f>IF(OR(C12="",AQ12="",AR12="",AS12="",AR12-AS12&lt;=0),"-",IF(AND(AR12-MAX(G12,AQ12)&gt;=ABS(G12-AQ12)*2,MIN(G12,AQ12)-AS12&lt;=ABS(G12-AQ12)*0.5,ABS(G12-AQ12)&gt;0),"上ヒゲ陰線▼",IF(AND(G12&lt;AQ12,ABS(G12-AQ12)&gt;=(AR12-AS12)*0.7),"大陰線▼",IF(AND(MIN(G12,AQ12)-AS12&gt;=(AR12-AS12)*0.5,AR12-MAX(G12,AQ12)&lt;=(AR12-AS12)*0.2),"長い下ヒゲ(反発)","通常"))))</f>
        <v/>
      </c>
      <c r="AU12">
        <f>IF(AT12="上ヒゲ陰線▼",2,IF(AT12="大陰線▼",2,IF(AT12="長い下ヒゲ(反発)",-2,0)))</f>
        <v/>
      </c>
    </row>
    <row r="13" ht="14.25" customHeight="1" s="574">
      <c r="A13" s="344">
        <f>IF(銘柄管理!B60&lt;&gt;"",HYPERLINK("https://kabutan.jp/stock/?code="&amp;銘柄管理!B60,"株探"),"")</f>
        <v/>
      </c>
      <c r="B13" s="345" t="n"/>
      <c r="C13" s="345">
        <f>IF(銘柄管理!B60="","",銘柄管理!B60)</f>
        <v/>
      </c>
      <c r="D13" s="345">
        <f>IF(銘柄管理!C60="","",銘柄管理!C60)</f>
        <v/>
      </c>
      <c r="E13" s="346">
        <f>IF(C13&lt;&gt;"",_xll.RssMarket(C13,"現在値"),"")</f>
        <v/>
      </c>
      <c r="F13" s="346">
        <f>IF(C13&lt;&gt;"",_xll.RssMarket(C13,"始値"),"")</f>
        <v/>
      </c>
      <c r="G13" s="345">
        <f>IF(C13&lt;&gt;"",終値!F60,"")</f>
        <v/>
      </c>
      <c r="H13" s="346">
        <f>IF(C13&lt;&gt;"",_xll.RssMarket(C13,"高値"),"")</f>
        <v/>
      </c>
      <c r="I13" s="346">
        <f>IF(C13&lt;&gt;"",_xll.RssMarket(C13,"安値"),"")</f>
        <v/>
      </c>
      <c r="J13" s="346">
        <f>IF(C13&lt;&gt;"",_xll.RssMarket(C13,"出来高"),"")</f>
        <v/>
      </c>
      <c r="K13" s="346">
        <f>IF(C13&lt;&gt;"",_xll.RssMarket(C13,"年初来高値"),"")</f>
        <v/>
      </c>
      <c r="L13" s="619">
        <f>IF(AND(E13&lt;&gt;"",K13&lt;&gt;"",K13&lt;&gt;0),(E13-K13)/K13*100,"")</f>
        <v/>
      </c>
      <c r="M13" s="346">
        <f>IF(C13&lt;&gt;"",IFERROR(AVERAGE(出来高!E60:I60),""),"")</f>
        <v/>
      </c>
      <c r="N13" s="346">
        <f>IF(C13&lt;&gt;"",IFERROR(AVERAGE(出来高!E60:AC60),""),"")</f>
        <v/>
      </c>
      <c r="O13" s="620">
        <f>IF(AND(J13&lt;&gt;"",M13&lt;&gt;"",M13&lt;&gt;0),J13/M13,"")</f>
        <v/>
      </c>
      <c r="P13" s="345">
        <f>IF(O13="","",IF(O13&gt;=2,"急増↑↑",IF(O13&gt;=1.5,"増加↑",IF(O13&gt;=1,"普通→","減少↓"))))</f>
        <v/>
      </c>
      <c r="Q13" s="345">
        <f>IF(E13="","",IF(AND(E13&lt;G13,O13&gt;=1.5),"売り▼",IF(E13&gt;G13,"様子見▲","中立→")))</f>
        <v/>
      </c>
      <c r="R13" s="346">
        <f>IF(E13&lt;&gt;"",ROUND(E13*0.92,0),"")</f>
        <v/>
      </c>
      <c r="S13" s="346">
        <f>IF(E13&lt;&gt;"",ROUND(E13*1.04,0),"")</f>
        <v/>
      </c>
      <c r="T13" s="345">
        <f>IF(C13="","",IFERROR(IF(W13&gt;=70,3,IF(W13&gt;=60,2,IF(W13&gt;=50,1,0)))+IF(X13&lt;0,2,0)+IF(AD13="下降トレンド▼",3,IF(AD13="もみ合い→",1,0))+IF(V13="年初来安値圏●",3,IF(V13="安値圏",2,0))+IF(Q13="売り▼",2,0)+IF(P13="急増↑↑",2,IF(P13="増加↑",1,0))+IF(Z13&lt;0,1,0)+IF(L13&lt;=-30,2,IF(L13&lt;=-15,1,0))+IF(AE13="25日戻り売り★",2,IF(AE13="5日戻り売り○",1,0))+N(AL13)+N(AP13)+N(AU13),0))</f>
        <v/>
      </c>
      <c r="U13" s="345">
        <f>IF(T13="","",IF(AND(T13&gt;=3,O13&gt;=1.5),"有効",IF(T13&gt;=3,"要確認","除外")))</f>
        <v/>
      </c>
      <c r="V13" s="345">
        <f>IF(AND(I13&lt;&gt;"",K13&lt;&gt;""),IF(I13&lt;=K13*0.6,"年初来安値圏●",IF(I13&lt;=K13*0.75,"安値圏","通常")),"")</f>
        <v/>
      </c>
      <c r="W13" s="621">
        <f t="array" ref="W13">IFERROR(100-100/(1+SUMPRODUCT((終値!F60:R60&gt;終値!G60:S60)*(終値!F60:R60-終値!G60:S60))/SUMPRODUCT((終値!F60:R60&lt;終値!G60:S60)*(終値!G60:S60-終値!F60:R60))),50)</f>
        <v/>
      </c>
      <c r="X13" s="350">
        <f>IF(C13&lt;&gt;"",IFERROR(SUMPRODUCT(終値!E60:P60,{0.154,0.132,0.113,0.097,0.083,0.071,0.061,0.052,0.045,0.038,0.033,0.028})/SUMPRODUCT({0.154,0.132,0.113,0.097,0.083,0.071,0.061,0.052,0.045,0.038,0.033,0.028})-SUMPRODUCT(終値!E60:AD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" s="345">
        <f>IF(AF13="","",AF13&amp;" | "&amp;AD13&amp;IF(AE13&lt;&gt;"なし"," "&amp;AE13,"")&amp;IF(X13&lt;0," MACD-"," MACD+")&amp;" RSI:"&amp;TEXT(W13,"0.0")&amp;IF(W13&gt;=70," [過熱]",IF(W13&lt;=30," [売られ過ぎ]",""))&amp;" 前日比:"&amp;TEXT(Z13,"+0.0;-0.0;0.0")&amp;"%"&amp;IF(V13="年初来安値圏●"," [年初来安値圏]",IF(V13="安値圏"," [安値圏]",""))&amp;IF(OR(AO13="通常",AO13="-"),""," ["&amp;AO13&amp;"]")&amp;IF(OR(AT13="通常",AT13="-"),"","前日["&amp;AT13&amp;"]")&amp;" ["&amp;T13&amp;"点]")</f>
        <v/>
      </c>
      <c r="Z13" s="622">
        <f>IF(AND(E13&lt;&gt;"",G13&lt;&gt;"",G13&lt;&gt;0),(E13-G13)/G13*100,"")</f>
        <v/>
      </c>
      <c r="AA13" s="345">
        <f>IF(OR(C13="",E13="",E13=0),"",IF(E13&gt;G13,"上昇▲",IF(E13&lt;G13,"下落▼","横ばい→")))</f>
        <v/>
      </c>
      <c r="AB13" s="346">
        <f>IF(OR(C13="",C13="TOPX",終値!E60=""),"",IFERROR(((終値!E60*0.333)+(終値!F60*0.222)+(終値!G60*0.148)+(終値!H60*0.099)+(終値!I60*0.066))/(0.333+0.222+0.148+0.099+0.066),""))</f>
        <v/>
      </c>
      <c r="AC13" s="346">
        <f>IF(OR(C13="",C13="TOPX",終値!E60=""),"",IFERROR(SUMPRODUCT((終値!E60:AC60)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" s="345">
        <f>IF(OR(C13="",AB13="",AC13="",AB13=0,AC13=0),"",IF(AND(E13&gt;AB13,AB13&gt;AC13),"パーフェクト▲",IF(E13&gt;AC13,"上昇トレンド▲",IF(AND(E13&lt;AB13,AB13&lt;AC13),"下降トレンド▼","もみ合い→"))))</f>
        <v/>
      </c>
      <c r="AE13" s="345">
        <f>IF(OR(C13="",AB13="",AC13=""),"",IF(AND(ABS(E13-AC13)/AC13&lt;=0.02,E13&lt;AC13),"25日戻り売り★",IF(AND(ABS(E13-AB13)/AB13&lt;=0.01,E13&lt;AB13),"5日戻り売り○","なし")))</f>
        <v/>
      </c>
      <c r="AF13">
        <f>IF(T13="","",IF(銘柄管理!$F$5="上昇▲",IF(AND(AD13="下降トレンド▼",OR(AE13="25日戻り売り★",AE13="5日戻り売り○")),"★逆張り売り",IF(AND(AD13="もみ合い→",OR(AE13="25日戻り売り★",AE13="5日戻り売り○")),"○逆張り売り",IF(W13&gt;=70,IF(Z13&lt;0,"◎反落確認","△過熱・様子見"),"相場上昇・見送り"))),IF(AND(T13&gt;=12,AD13="下降トレンド▼"),"★強い売り",IF(T13&gt;=12,"★強い売り",IF(AND(T13&gt;=8,OR(AE13="25日戻り売り★",AE13="5日戻り売り○")),"◎戻り売り",IF(T13&gt;=10,"○売り候補",IF(T13&gt;=6,"△注目",IF(T13&gt;=3,"様子見","見送り"))))))))</f>
        <v/>
      </c>
      <c r="AG13">
        <f>IF(AND(T13&gt;=7,C13&lt;&gt;""),T13,0)</f>
        <v/>
      </c>
      <c r="AH13">
        <f>IF(AG13&gt;0,AG13*10000-ROW(A13),0)</f>
        <v/>
      </c>
      <c r="AI13" s="623">
        <f t="array" ref="AI13">IF(C13="","",IFERROR((INDEX(終値!$E:$E,MATCH(TEXT(C13,"0"),終値!$A:$A,0))-INDEX(終値!$E:$BL,MATCH(TEXT(C13,"0"),終値!$A:$A,0),$AN$2))/INDEX(終値!$E:$BL,MATCH(TEXT(C13,"0"),終値!$A:$A,0),$AN$2)*100,""))</f>
        <v/>
      </c>
      <c r="AJ13" s="623">
        <f t="array" ref="AJ13">IFERROR((終値!$E$5-INDEX(終値!$E$5:$BL$5,1,$AN$2))/INDEX(終値!$E$5:$BL$5,1,$AN$2)*100,"")</f>
        <v/>
      </c>
      <c r="AK13" s="624">
        <f>IF(OR(AI13="",AJ13=""),"",AI13-AJ13)</f>
        <v/>
      </c>
      <c r="AL13" s="394">
        <f>IF(AK13="","",IF(AK13&lt;-5,3,IF(AK13&lt;0,1,IF(AK13&lt;3,-1,-2))))</f>
        <v/>
      </c>
      <c r="AO13" s="398">
        <f>IF(OR($C13="",$E13="",$F13="",$H13="",$I13="",$H13-$I13&lt;=0),"-",IF(AND($H13-MAX($F13,$E13)&gt;=ABS($E13-$F13)*2,MIN($F13,$E13)-$I13&lt;=ABS($E13-$F13)*0.5,ABS($E13-$F13)&gt;0),"上ヒゲ陰線▼",IF(AND($E13&lt;$F13,ABS($E13-$F13)&gt;=($H13-$I13)*0.7),"大陰線▼",IF(AND(MIN($F13,$E13)-$I13&gt;=($H13-$I13)*0.5,$H13-MAX($F13,$E13)&lt;=($H13-$I13)*0.2),"長い下ヒゲ(反発警戒)","通常"))))</f>
        <v/>
      </c>
      <c r="AP13" s="625">
        <f>IF($AO13="上ヒゲ陰線▼",2,IF($AO13="大陰線▼",2,IF($AO13="長い下ヒゲ(反発警戒)",-2,0)))</f>
        <v/>
      </c>
      <c r="AQ13">
        <f>IF(C13&lt;&gt;"",始値!F60,"")</f>
        <v/>
      </c>
      <c r="AR13">
        <f>IF(C13&lt;&gt;"",高値!F60,"")</f>
        <v/>
      </c>
      <c r="AS13">
        <f>IF(C13&lt;&gt;"",安値!F60,"")</f>
        <v/>
      </c>
      <c r="AT13">
        <f>IF(OR(C13="",AQ13="",AR13="",AS13="",AR13-AS13&lt;=0),"-",IF(AND(AR13-MAX(G13,AQ13)&gt;=ABS(G13-AQ13)*2,MIN(G13,AQ13)-AS13&lt;=ABS(G13-AQ13)*0.5,ABS(G13-AQ13)&gt;0),"上ヒゲ陰線▼",IF(AND(G13&lt;AQ13,ABS(G13-AQ13)&gt;=(AR13-AS13)*0.7),"大陰線▼",IF(AND(MIN(G13,AQ13)-AS13&gt;=(AR13-AS13)*0.5,AR13-MAX(G13,AQ13)&lt;=(AR13-AS13)*0.2),"長い下ヒゲ(反発)","通常"))))</f>
        <v/>
      </c>
      <c r="AU13">
        <f>IF(AT13="上ヒゲ陰線▼",2,IF(AT13="大陰線▼",2,IF(AT13="長い下ヒゲ(反発)",-2,0)))</f>
        <v/>
      </c>
    </row>
    <row r="14" ht="14.25" customHeight="1" s="574">
      <c r="A14" s="352">
        <f>IF(銘柄管理!B66&lt;&gt;"",HYPERLINK("https://kabutan.jp/stock/?code="&amp;銘柄管理!B66,"株探"),"")</f>
        <v/>
      </c>
      <c r="B14" s="225" t="n"/>
      <c r="C14" s="225">
        <f>IF(銘柄管理!B66="","",銘柄管理!B66)</f>
        <v/>
      </c>
      <c r="D14" s="225">
        <f>IF(銘柄管理!C66="","",銘柄管理!C66)</f>
        <v/>
      </c>
      <c r="E14" s="353">
        <f>IF(C14&lt;&gt;"",_xll.RssMarket(C14,"現在値"),"")</f>
        <v/>
      </c>
      <c r="F14" s="353">
        <f>IF(C14&lt;&gt;"",_xll.RssMarket(C14,"始値"),"")</f>
        <v/>
      </c>
      <c r="G14" s="225">
        <f>IF(C14&lt;&gt;"",終値!F66,"")</f>
        <v/>
      </c>
      <c r="H14" s="353">
        <f>IF(C14&lt;&gt;"",_xll.RssMarket(C14,"高値"),"")</f>
        <v/>
      </c>
      <c r="I14" s="353">
        <f>IF(C14&lt;&gt;"",_xll.RssMarket(C14,"安値"),"")</f>
        <v/>
      </c>
      <c r="J14" s="353">
        <f>IF(C14&lt;&gt;"",_xll.RssMarket(C14,"出来高"),"")</f>
        <v/>
      </c>
      <c r="K14" s="353">
        <f>IF(C14&lt;&gt;"",_xll.RssMarket(C14,"年初来高値"),"")</f>
        <v/>
      </c>
      <c r="L14" s="626">
        <f>IF(AND(E14&lt;&gt;"",K14&lt;&gt;"",K14&lt;&gt;0),(E14-K14)/K14*100,"")</f>
        <v/>
      </c>
      <c r="M14" s="353">
        <f>IF(C14&lt;&gt;"",IFERROR(AVERAGE(出来高!E66:I66),""),"")</f>
        <v/>
      </c>
      <c r="N14" s="353">
        <f>IF(C14&lt;&gt;"",IFERROR(AVERAGE(出来高!E66:AC66),""),"")</f>
        <v/>
      </c>
      <c r="O14" s="627">
        <f>IF(AND(J14&lt;&gt;"",M14&lt;&gt;"",M14&lt;&gt;0),J14/M14,"")</f>
        <v/>
      </c>
      <c r="P14" s="225">
        <f>IF(O14="","",IF(O14&gt;=2,"急増↑↑",IF(O14&gt;=1.5,"増加↑",IF(O14&gt;=1,"普通→","減少↓"))))</f>
        <v/>
      </c>
      <c r="Q14" s="225">
        <f>IF(E14="","",IF(AND(E14&lt;G14,O14&gt;=1.5),"売り▼",IF(E14&gt;G14,"様子見▲","中立→")))</f>
        <v/>
      </c>
      <c r="R14" s="353">
        <f>IF(E14&lt;&gt;"",ROUND(E14*0.92,0),"")</f>
        <v/>
      </c>
      <c r="S14" s="353">
        <f>IF(E14&lt;&gt;"",ROUND(E14*1.04,0),"")</f>
        <v/>
      </c>
      <c r="T14" s="345">
        <f>IF(C14="","",IFERROR(IF(W14&gt;=70,3,IF(W14&gt;=60,2,IF(W14&gt;=50,1,0)))+IF(X14&lt;0,2,0)+IF(AD14="下降トレンド▼",3,IF(AD14="もみ合い→",1,0))+IF(V14="年初来安値圏●",3,IF(V14="安値圏",2,0))+IF(Q14="売り▼",2,0)+IF(P14="急増↑↑",2,IF(P14="増加↑",1,0))+IF(Z14&lt;0,1,0)+IF(L14&lt;=-30,2,IF(L14&lt;=-15,1,0))+IF(AE14="25日戻り売り★",2,IF(AE14="5日戻り売り○",1,0))+N(AL14)+N(AP14)+N(AU14),0))</f>
        <v/>
      </c>
      <c r="U14" s="225">
        <f>IF(T14="","",IF(AND(T14&gt;=3,O14&gt;=1.5),"有効",IF(T14&gt;=3,"要確認","除外")))</f>
        <v/>
      </c>
      <c r="V14" s="225">
        <f>IF(AND(I14&lt;&gt;"",K14&lt;&gt;""),IF(I14&lt;=K14*0.6,"年初来安値圏●",IF(I14&lt;=K14*0.75,"安値圏","通常")),"")</f>
        <v/>
      </c>
      <c r="W14" s="628">
        <f t="array" ref="W14">IFERROR(100-100/(1+SUMPRODUCT((終値!F66:R66&gt;終値!G66:S66)*(終値!F66:R66-終値!G66:S66))/SUMPRODUCT((終値!F66:R66&lt;終値!G66:S66)*(終値!G66:S66-終値!F66:R66))),50)</f>
        <v/>
      </c>
      <c r="X14" s="357">
        <f>IF(C14&lt;&gt;"",IFERROR(SUMPRODUCT(終値!E66:P66,{0.154,0.132,0.113,0.097,0.083,0.071,0.061,0.052,0.045,0.038,0.033,0.028})/SUMPRODUCT({0.154,0.132,0.113,0.097,0.083,0.071,0.061,0.052,0.045,0.038,0.033,0.028})-SUMPRODUCT(終値!E66:AD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" s="225">
        <f>IF(AF14="","",AF14&amp;" | "&amp;AD14&amp;IF(AE14&lt;&gt;"なし"," "&amp;AE14,"")&amp;IF(X14&lt;0," MACD-"," MACD+")&amp;" RSI:"&amp;TEXT(W14,"0.0")&amp;IF(W14&gt;=70," [過熱]",IF(W14&lt;=30," [売られ過ぎ]",""))&amp;" 前日比:"&amp;TEXT(Z14,"+0.0;-0.0;0.0")&amp;"%"&amp;IF(V14="年初来安値圏●"," [年初来安値圏]",IF(V14="安値圏"," [安値圏]",""))&amp;IF(OR(AO14="通常",AO14="-"),""," ["&amp;AO14&amp;"]")&amp;IF(OR(AT14="通常",AT14="-"),"","前日["&amp;AT14&amp;"]")&amp;" ["&amp;T14&amp;"点]")</f>
        <v/>
      </c>
      <c r="Z14" s="629">
        <f>IF(AND(E14&lt;&gt;"",G14&lt;&gt;"",G14&lt;&gt;0),(E14-G14)/G14*100,"")</f>
        <v/>
      </c>
      <c r="AA14" s="225">
        <f>IF(OR(C14="",E14="",E14=0),"",IF(E14&gt;G14,"上昇▲",IF(E14&lt;G14,"下落▼","横ばい→")))</f>
        <v/>
      </c>
      <c r="AB14" s="353">
        <f>IF(OR(C14="",C14="TOPX",終値!E66=""),"",IFERROR(((終値!E66*0.333)+(終値!F66*0.222)+(終値!G66*0.148)+(終値!H66*0.099)+(終値!I66*0.066))/(0.333+0.222+0.148+0.099+0.066),""))</f>
        <v/>
      </c>
      <c r="AC14" s="353">
        <f>IF(OR(C14="",C14="TOPX",終値!E66=""),"",IFERROR(SUMPRODUCT((終値!E66:AC66)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" s="225">
        <f>IF(OR(C14="",AB14="",AC14="",AB14=0,AC14=0),"",IF(AND(E14&gt;AB14,AB14&gt;AC14),"パーフェクト▲",IF(E14&gt;AC14,"上昇トレンド▲",IF(AND(E14&lt;AB14,AB14&lt;AC14),"下降トレンド▼","もみ合い→"))))</f>
        <v/>
      </c>
      <c r="AE14" s="225">
        <f>IF(OR(C14="",AB14="",AC14=""),"",IF(AND(ABS(E14-AC14)/AC14&lt;=0.02,E14&lt;AC14),"25日戻り売り★",IF(AND(ABS(E14-AB14)/AB14&lt;=0.01,E14&lt;AB14),"5日戻り売り○","なし")))</f>
        <v/>
      </c>
      <c r="AF14">
        <f>IF(T14="","",IF(銘柄管理!$F$5="上昇▲",IF(AND(AD14="下降トレンド▼",OR(AE14="25日戻り売り★",AE14="5日戻り売り○")),"★逆張り売り",IF(AND(AD14="もみ合い→",OR(AE14="25日戻り売り★",AE14="5日戻り売り○")),"○逆張り売り",IF(W14&gt;=70,IF(Z14&lt;0,"◎反落確認","△過熱・様子見"),"相場上昇・見送り"))),IF(AND(T14&gt;=12,AD14="下降トレンド▼"),"★強い売り",IF(T14&gt;=12,"★強い売り",IF(AND(T14&gt;=8,OR(AE14="25日戻り売り★",AE14="5日戻り売り○")),"◎戻り売り",IF(T14&gt;=10,"○売り候補",IF(T14&gt;=6,"△注目",IF(T14&gt;=3,"様子見","見送り"))))))))</f>
        <v/>
      </c>
      <c r="AG14">
        <f>IF(AND(T14&gt;=7,C14&lt;&gt;""),T14,0)</f>
        <v/>
      </c>
      <c r="AH14">
        <f>IF(AG14&gt;0,AG14*10000-ROW(A14),0)</f>
        <v/>
      </c>
      <c r="AI14" s="623">
        <f t="array" ref="AI14">IF(C14="","",IFERROR((INDEX(終値!$E:$E,MATCH(TEXT(C14,"0"),終値!$A:$A,0))-INDEX(終値!$E:$BL,MATCH(TEXT(C14,"0"),終値!$A:$A,0),$AN$2))/INDEX(終値!$E:$BL,MATCH(TEXT(C14,"0"),終値!$A:$A,0),$AN$2)*100,""))</f>
        <v/>
      </c>
      <c r="AJ14" s="623">
        <f t="array" ref="AJ14">IFERROR((終値!$E$5-INDEX(終値!$E$5:$BL$5,1,$AN$2))/INDEX(終値!$E$5:$BL$5,1,$AN$2)*100,"")</f>
        <v/>
      </c>
      <c r="AK14" s="624">
        <f>IF(OR(AI14="",AJ14=""),"",AI14-AJ14)</f>
        <v/>
      </c>
      <c r="AL14" s="394">
        <f>IF(AK14="","",IF(AK14&lt;-5,3,IF(AK14&lt;0,1,IF(AK14&lt;3,-1,-2))))</f>
        <v/>
      </c>
      <c r="AO14" s="398">
        <f>IF(OR($C14="",$E14="",$F14="",$H14="",$I14="",$H14-$I14&lt;=0),"-",IF(AND($H14-MAX($F14,$E14)&gt;=ABS($E14-$F14)*2,MIN($F14,$E14)-$I14&lt;=ABS($E14-$F14)*0.5,ABS($E14-$F14)&gt;0),"上ヒゲ陰線▼",IF(AND($E14&lt;$F14,ABS($E14-$F14)&gt;=($H14-$I14)*0.7),"大陰線▼",IF(AND(MIN($F14,$E14)-$I14&gt;=($H14-$I14)*0.5,$H14-MAX($F14,$E14)&lt;=($H14-$I14)*0.2),"長い下ヒゲ(反発警戒)","通常"))))</f>
        <v/>
      </c>
      <c r="AP14" s="625">
        <f>IF($AO14="上ヒゲ陰線▼",2,IF($AO14="大陰線▼",2,IF($AO14="長い下ヒゲ(反発警戒)",-2,0)))</f>
        <v/>
      </c>
      <c r="AQ14">
        <f>IF(C14&lt;&gt;"",始値!F66,"")</f>
        <v/>
      </c>
      <c r="AR14">
        <f>IF(C14&lt;&gt;"",高値!F66,"")</f>
        <v/>
      </c>
      <c r="AS14">
        <f>IF(C14&lt;&gt;"",安値!F66,"")</f>
        <v/>
      </c>
      <c r="AT14">
        <f>IF(OR(C14="",AQ14="",AR14="",AS14="",AR14-AS14&lt;=0),"-",IF(AND(AR14-MAX(G14,AQ14)&gt;=ABS(G14-AQ14)*2,MIN(G14,AQ14)-AS14&lt;=ABS(G14-AQ14)*0.5,ABS(G14-AQ14)&gt;0),"上ヒゲ陰線▼",IF(AND(G14&lt;AQ14,ABS(G14-AQ14)&gt;=(AR14-AS14)*0.7),"大陰線▼",IF(AND(MIN(G14,AQ14)-AS14&gt;=(AR14-AS14)*0.5,AR14-MAX(G14,AQ14)&lt;=(AR14-AS14)*0.2),"長い下ヒゲ(反発)","通常"))))</f>
        <v/>
      </c>
      <c r="AU14">
        <f>IF(AT14="上ヒゲ陰線▼",2,IF(AT14="大陰線▼",2,IF(AT14="長い下ヒゲ(反発)",-2,0)))</f>
        <v/>
      </c>
    </row>
    <row r="15" ht="14.25" customHeight="1" s="574">
      <c r="A15" s="344">
        <f>IF(銘柄管理!B70&lt;&gt;"",HYPERLINK("https://kabutan.jp/stock/?code="&amp;銘柄管理!B70,"株探"),"")</f>
        <v/>
      </c>
      <c r="B15" s="345" t="n"/>
      <c r="C15" s="345">
        <f>IF(銘柄管理!B70="","",銘柄管理!B70)</f>
        <v/>
      </c>
      <c r="D15" s="345">
        <f>IF(銘柄管理!C70="","",銘柄管理!C70)</f>
        <v/>
      </c>
      <c r="E15" s="346">
        <f>IF(C15&lt;&gt;"",_xll.RssMarket(C15,"現在値"),"")</f>
        <v/>
      </c>
      <c r="F15" s="346">
        <f>IF(C15&lt;&gt;"",_xll.RssMarket(C15,"始値"),"")</f>
        <v/>
      </c>
      <c r="G15" s="345">
        <f>IF(C15&lt;&gt;"",終値!F70,"")</f>
        <v/>
      </c>
      <c r="H15" s="346">
        <f>IF(C15&lt;&gt;"",_xll.RssMarket(C15,"高値"),"")</f>
        <v/>
      </c>
      <c r="I15" s="346">
        <f>IF(C15&lt;&gt;"",_xll.RssMarket(C15,"安値"),"")</f>
        <v/>
      </c>
      <c r="J15" s="346">
        <f>IF(C15&lt;&gt;"",_xll.RssMarket(C15,"出来高"),"")</f>
        <v/>
      </c>
      <c r="K15" s="346">
        <f>IF(C15&lt;&gt;"",_xll.RssMarket(C15,"年初来高値"),"")</f>
        <v/>
      </c>
      <c r="L15" s="619">
        <f>IF(AND(E15&lt;&gt;"",K15&lt;&gt;"",K15&lt;&gt;0),(E15-K15)/K15*100,"")</f>
        <v/>
      </c>
      <c r="M15" s="346">
        <f>IF(C15&lt;&gt;"",IFERROR(AVERAGE(出来高!E70:I70),""),"")</f>
        <v/>
      </c>
      <c r="N15" s="346">
        <f>IF(C15&lt;&gt;"",IFERROR(AVERAGE(出来高!E70:AC70),""),"")</f>
        <v/>
      </c>
      <c r="O15" s="620">
        <f>IF(AND(J15&lt;&gt;"",M15&lt;&gt;"",M15&lt;&gt;0),J15/M15,"")</f>
        <v/>
      </c>
      <c r="P15" s="345">
        <f>IF(O15="","",IF(O15&gt;=2,"急増↑↑",IF(O15&gt;=1.5,"増加↑",IF(O15&gt;=1,"普通→","減少↓"))))</f>
        <v/>
      </c>
      <c r="Q15" s="345">
        <f>IF(E15="","",IF(AND(E15&lt;G15,O15&gt;=1.5),"売り▼",IF(E15&gt;G15,"様子見▲","中立→")))</f>
        <v/>
      </c>
      <c r="R15" s="346">
        <f>IF(E15&lt;&gt;"",ROUND(E15*0.92,0),"")</f>
        <v/>
      </c>
      <c r="S15" s="346">
        <f>IF(E15&lt;&gt;"",ROUND(E15*1.04,0),"")</f>
        <v/>
      </c>
      <c r="T15" s="345">
        <f>IF(C15="","",IFERROR(IF(W15&gt;=70,3,IF(W15&gt;=60,2,IF(W15&gt;=50,1,0)))+IF(X15&lt;0,2,0)+IF(AD15="下降トレンド▼",3,IF(AD15="もみ合い→",1,0))+IF(V15="年初来安値圏●",3,IF(V15="安値圏",2,0))+IF(Q15="売り▼",2,0)+IF(P15="急増↑↑",2,IF(P15="増加↑",1,0))+IF(Z15&lt;0,1,0)+IF(L15&lt;=-30,2,IF(L15&lt;=-15,1,0))+IF(AE15="25日戻り売り★",2,IF(AE15="5日戻り売り○",1,0))+N(AL15)+N(AP15)+N(AU15),0))</f>
        <v/>
      </c>
      <c r="U15" s="345">
        <f>IF(T15="","",IF(AND(T15&gt;=3,O15&gt;=1.5),"有効",IF(T15&gt;=3,"要確認","除外")))</f>
        <v/>
      </c>
      <c r="V15" s="345">
        <f>IF(AND(I15&lt;&gt;"",K15&lt;&gt;""),IF(I15&lt;=K15*0.6,"年初来安値圏●",IF(I15&lt;=K15*0.75,"安値圏","通常")),"")</f>
        <v/>
      </c>
      <c r="W15" s="621">
        <f t="array" ref="W15">IFERROR(100-100/(1+SUMPRODUCT((終値!F70:R70&gt;終値!G70:S70)*(終値!F70:R70-終値!G70:S70))/SUMPRODUCT((終値!F70:R70&lt;終値!G70:S70)*(終値!G70:S70-終値!F70:R70))),50)</f>
        <v/>
      </c>
      <c r="X15" s="350">
        <f>IF(C15&lt;&gt;"",IFERROR(SUMPRODUCT(終値!E70:P70,{0.154,0.132,0.113,0.097,0.083,0.071,0.061,0.052,0.045,0.038,0.033,0.028})/SUMPRODUCT({0.154,0.132,0.113,0.097,0.083,0.071,0.061,0.052,0.045,0.038,0.033,0.028})-SUMPRODUCT(終値!E70:AD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" s="345">
        <f>IF(AF15="","",AF15&amp;" | "&amp;AD15&amp;IF(AE15&lt;&gt;"なし"," "&amp;AE15,"")&amp;IF(X15&lt;0," MACD-"," MACD+")&amp;" RSI:"&amp;TEXT(W15,"0.0")&amp;IF(W15&gt;=70," [過熱]",IF(W15&lt;=30," [売られ過ぎ]",""))&amp;" 前日比:"&amp;TEXT(Z15,"+0.0;-0.0;0.0")&amp;"%"&amp;IF(V15="年初来安値圏●"," [年初来安値圏]",IF(V15="安値圏"," [安値圏]",""))&amp;IF(OR(AO15="通常",AO15="-"),""," ["&amp;AO15&amp;"]")&amp;IF(OR(AT15="通常",AT15="-"),"","前日["&amp;AT15&amp;"]")&amp;" ["&amp;T15&amp;"点]")</f>
        <v/>
      </c>
      <c r="Z15" s="622">
        <f>IF(AND(E15&lt;&gt;"",G15&lt;&gt;"",G15&lt;&gt;0),(E15-G15)/G15*100,"")</f>
        <v/>
      </c>
      <c r="AA15" s="345">
        <f>IF(OR(C15="",E15="",E15=0),"",IF(E15&gt;G15,"上昇▲",IF(E15&lt;G15,"下落▼","横ばい→")))</f>
        <v/>
      </c>
      <c r="AB15" s="346">
        <f>IF(OR(C15="",C15="TOPX",終値!E70=""),"",IFERROR(((終値!E70*0.333)+(終値!F70*0.222)+(終値!G70*0.148)+(終値!H70*0.099)+(終値!I70*0.066))/(0.333+0.222+0.148+0.099+0.066),""))</f>
        <v/>
      </c>
      <c r="AC15" s="346">
        <f>IF(OR(C15="",C15="TOPX",終値!E70=""),"",IFERROR(SUMPRODUCT((終値!E70:AC70)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" s="345">
        <f>IF(OR(C15="",AB15="",AC15="",AB15=0,AC15=0),"",IF(AND(E15&gt;AB15,AB15&gt;AC15),"パーフェクト▲",IF(E15&gt;AC15,"上昇トレンド▲",IF(AND(E15&lt;AB15,AB15&lt;AC15),"下降トレンド▼","もみ合い→"))))</f>
        <v/>
      </c>
      <c r="AE15" s="345">
        <f>IF(OR(C15="",AB15="",AC15=""),"",IF(AND(ABS(E15-AC15)/AC15&lt;=0.02,E15&lt;AC15),"25日戻り売り★",IF(AND(ABS(E15-AB15)/AB15&lt;=0.01,E15&lt;AB15),"5日戻り売り○","なし")))</f>
        <v/>
      </c>
      <c r="AF15">
        <f>IF(T15="","",IF(銘柄管理!$F$5="上昇▲",IF(AND(AD15="下降トレンド▼",OR(AE15="25日戻り売り★",AE15="5日戻り売り○")),"★逆張り売り",IF(AND(AD15="もみ合い→",OR(AE15="25日戻り売り★",AE15="5日戻り売り○")),"○逆張り売り",IF(W15&gt;=70,IF(Z15&lt;0,"◎反落確認","△過熱・様子見"),"相場上昇・見送り"))),IF(AND(T15&gt;=12,AD15="下降トレンド▼"),"★強い売り",IF(T15&gt;=12,"★強い売り",IF(AND(T15&gt;=8,OR(AE15="25日戻り売り★",AE15="5日戻り売り○")),"◎戻り売り",IF(T15&gt;=10,"○売り候補",IF(T15&gt;=6,"△注目",IF(T15&gt;=3,"様子見","見送り"))))))))</f>
        <v/>
      </c>
      <c r="AG15">
        <f>IF(AND(T15&gt;=7,C15&lt;&gt;""),T15,0)</f>
        <v/>
      </c>
      <c r="AH15">
        <f>IF(AG15&gt;0,AG15*10000-ROW(A15),0)</f>
        <v/>
      </c>
      <c r="AI15" s="623">
        <f t="array" ref="AI15">IF(C15="","",IFERROR((INDEX(終値!$E:$E,MATCH(TEXT(C15,"0"),終値!$A:$A,0))-INDEX(終値!$E:$BL,MATCH(TEXT(C15,"0"),終値!$A:$A,0),$AN$2))/INDEX(終値!$E:$BL,MATCH(TEXT(C15,"0"),終値!$A:$A,0),$AN$2)*100,""))</f>
        <v/>
      </c>
      <c r="AJ15" s="623">
        <f t="array" ref="AJ15">IFERROR((終値!$E$5-INDEX(終値!$E$5:$BL$5,1,$AN$2))/INDEX(終値!$E$5:$BL$5,1,$AN$2)*100,"")</f>
        <v/>
      </c>
      <c r="AK15" s="624">
        <f>IF(OR(AI15="",AJ15=""),"",AI15-AJ15)</f>
        <v/>
      </c>
      <c r="AL15" s="394">
        <f>IF(AK15="","",IF(AK15&lt;-5,3,IF(AK15&lt;0,1,IF(AK15&lt;3,-1,-2))))</f>
        <v/>
      </c>
      <c r="AO15" s="398">
        <f>IF(OR($C15="",$E15="",$F15="",$H15="",$I15="",$H15-$I15&lt;=0),"-",IF(AND($H15-MAX($F15,$E15)&gt;=ABS($E15-$F15)*2,MIN($F15,$E15)-$I15&lt;=ABS($E15-$F15)*0.5,ABS($E15-$F15)&gt;0),"上ヒゲ陰線▼",IF(AND($E15&lt;$F15,ABS($E15-$F15)&gt;=($H15-$I15)*0.7),"大陰線▼",IF(AND(MIN($F15,$E15)-$I15&gt;=($H15-$I15)*0.5,$H15-MAX($F15,$E15)&lt;=($H15-$I15)*0.2),"長い下ヒゲ(反発警戒)","通常"))))</f>
        <v/>
      </c>
      <c r="AP15" s="625">
        <f>IF($AO15="上ヒゲ陰線▼",2,IF($AO15="大陰線▼",2,IF($AO15="長い下ヒゲ(反発警戒)",-2,0)))</f>
        <v/>
      </c>
      <c r="AQ15">
        <f>IF(C15&lt;&gt;"",始値!F70,"")</f>
        <v/>
      </c>
      <c r="AR15">
        <f>IF(C15&lt;&gt;"",高値!F70,"")</f>
        <v/>
      </c>
      <c r="AS15">
        <f>IF(C15&lt;&gt;"",安値!F70,"")</f>
        <v/>
      </c>
      <c r="AT15">
        <f>IF(OR(C15="",AQ15="",AR15="",AS15="",AR15-AS15&lt;=0),"-",IF(AND(AR15-MAX(G15,AQ15)&gt;=ABS(G15-AQ15)*2,MIN(G15,AQ15)-AS15&lt;=ABS(G15-AQ15)*0.5,ABS(G15-AQ15)&gt;0),"上ヒゲ陰線▼",IF(AND(G15&lt;AQ15,ABS(G15-AQ15)&gt;=(AR15-AS15)*0.7),"大陰線▼",IF(AND(MIN(G15,AQ15)-AS15&gt;=(AR15-AS15)*0.5,AR15-MAX(G15,AQ15)&lt;=(AR15-AS15)*0.2),"長い下ヒゲ(反発)","通常"))))</f>
        <v/>
      </c>
      <c r="AU15">
        <f>IF(AT15="上ヒゲ陰線▼",2,IF(AT15="大陰線▼",2,IF(AT15="長い下ヒゲ(反発)",-2,0)))</f>
        <v/>
      </c>
    </row>
    <row r="16" ht="14.25" customHeight="1" s="574">
      <c r="A16" s="352">
        <f>IF(銘柄管理!B78&lt;&gt;"",HYPERLINK("https://kabutan.jp/stock/?code="&amp;銘柄管理!B78,"株探"),"")</f>
        <v/>
      </c>
      <c r="B16" s="225" t="n"/>
      <c r="C16" s="225">
        <f>IF(銘柄管理!B78="","",銘柄管理!B78)</f>
        <v/>
      </c>
      <c r="D16" s="225">
        <f>IF(銘柄管理!C78="","",銘柄管理!C78)</f>
        <v/>
      </c>
      <c r="E16" s="353">
        <f>IF(C16&lt;&gt;"",_xll.RssMarket(C16,"現在値"),"")</f>
        <v/>
      </c>
      <c r="F16" s="353">
        <f>IF(C16&lt;&gt;"",_xll.RssMarket(C16,"始値"),"")</f>
        <v/>
      </c>
      <c r="G16" s="225">
        <f>IF(C16&lt;&gt;"",終値!F78,"")</f>
        <v/>
      </c>
      <c r="H16" s="353">
        <f>IF(C16&lt;&gt;"",_xll.RssMarket(C16,"高値"),"")</f>
        <v/>
      </c>
      <c r="I16" s="353">
        <f>IF(C16&lt;&gt;"",_xll.RssMarket(C16,"安値"),"")</f>
        <v/>
      </c>
      <c r="J16" s="353">
        <f>IF(C16&lt;&gt;"",_xll.RssMarket(C16,"出来高"),"")</f>
        <v/>
      </c>
      <c r="K16" s="353">
        <f>IF(C16&lt;&gt;"",_xll.RssMarket(C16,"年初来高値"),"")</f>
        <v/>
      </c>
      <c r="L16" s="626">
        <f>IF(AND(E16&lt;&gt;"",K16&lt;&gt;"",K16&lt;&gt;0),(E16-K16)/K16*100,"")</f>
        <v/>
      </c>
      <c r="M16" s="353">
        <f>IF(C16&lt;&gt;"",IFERROR(AVERAGE(出来高!E78:I78),""),"")</f>
        <v/>
      </c>
      <c r="N16" s="353">
        <f>IF(C16&lt;&gt;"",IFERROR(AVERAGE(出来高!E78:AC78),""),"")</f>
        <v/>
      </c>
      <c r="O16" s="627">
        <f>IF(AND(J16&lt;&gt;"",M16&lt;&gt;"",M16&lt;&gt;0),J16/M16,"")</f>
        <v/>
      </c>
      <c r="P16" s="225">
        <f>IF(O16="","",IF(O16&gt;=2,"急増↑↑",IF(O16&gt;=1.5,"増加↑",IF(O16&gt;=1,"普通→","減少↓"))))</f>
        <v/>
      </c>
      <c r="Q16" s="225">
        <f>IF(E16="","",IF(AND(E16&lt;G16,O16&gt;=1.5),"売り▼",IF(E16&gt;G16,"様子見▲","中立→")))</f>
        <v/>
      </c>
      <c r="R16" s="353">
        <f>IF(E16&lt;&gt;"",ROUND(E16*0.92,0),"")</f>
        <v/>
      </c>
      <c r="S16" s="353">
        <f>IF(E16&lt;&gt;"",ROUND(E16*1.04,0),"")</f>
        <v/>
      </c>
      <c r="T16" s="345">
        <f>IF(C16="","",IFERROR(IF(W16&gt;=70,3,IF(W16&gt;=60,2,IF(W16&gt;=50,1,0)))+IF(X16&lt;0,2,0)+IF(AD16="下降トレンド▼",3,IF(AD16="もみ合い→",1,0))+IF(V16="年初来安値圏●",3,IF(V16="安値圏",2,0))+IF(Q16="売り▼",2,0)+IF(P16="急増↑↑",2,IF(P16="増加↑",1,0))+IF(Z16&lt;0,1,0)+IF(L16&lt;=-30,2,IF(L16&lt;=-15,1,0))+IF(AE16="25日戻り売り★",2,IF(AE16="5日戻り売り○",1,0))+N(AL16)+N(AP16)+N(AU16),0))</f>
        <v/>
      </c>
      <c r="U16" s="225">
        <f>IF(T16="","",IF(AND(T16&gt;=3,O16&gt;=1.5),"有効",IF(T16&gt;=3,"要確認","除外")))</f>
        <v/>
      </c>
      <c r="V16" s="225">
        <f>IF(AND(I16&lt;&gt;"",K16&lt;&gt;""),IF(I16&lt;=K16*0.6,"年初来安値圏●",IF(I16&lt;=K16*0.75,"安値圏","通常")),"")</f>
        <v/>
      </c>
      <c r="W16" s="628">
        <f t="array" ref="W16">IFERROR(100-100/(1+SUMPRODUCT((終値!F78:R78&gt;終値!G78:S78)*(終値!F78:R78-終値!G78:S78))/SUMPRODUCT((終値!F78:R78&lt;終値!G78:S78)*(終値!G78:S78-終値!F78:R78))),50)</f>
        <v/>
      </c>
      <c r="X16" s="357">
        <f>IF(C16&lt;&gt;"",IFERROR(SUMPRODUCT(終値!E78:P78,{0.154,0.132,0.113,0.097,0.083,0.071,0.061,0.052,0.045,0.038,0.033,0.028})/SUMPRODUCT({0.154,0.132,0.113,0.097,0.083,0.071,0.061,0.052,0.045,0.038,0.033,0.028})-SUMPRODUCT(終値!E78:AD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" s="225">
        <f>IF(AF16="","",AF16&amp;" | "&amp;AD16&amp;IF(AE16&lt;&gt;"なし"," "&amp;AE16,"")&amp;IF(X16&lt;0," MACD-"," MACD+")&amp;" RSI:"&amp;TEXT(W16,"0.0")&amp;IF(W16&gt;=70," [過熱]",IF(W16&lt;=30," [売られ過ぎ]",""))&amp;" 前日比:"&amp;TEXT(Z16,"+0.0;-0.0;0.0")&amp;"%"&amp;IF(V16="年初来安値圏●"," [年初来安値圏]",IF(V16="安値圏"," [安値圏]",""))&amp;IF(OR(AO16="通常",AO16="-"),""," ["&amp;AO16&amp;"]")&amp;IF(OR(AT16="通常",AT16="-"),"","前日["&amp;AT16&amp;"]")&amp;" ["&amp;T16&amp;"点]")</f>
        <v/>
      </c>
      <c r="Z16" s="629">
        <f>IF(AND(E16&lt;&gt;"",G16&lt;&gt;"",G16&lt;&gt;0),(E16-G16)/G16*100,"")</f>
        <v/>
      </c>
      <c r="AA16" s="225">
        <f>IF(OR(C16="",E16="",E16=0),"",IF(E16&gt;G16,"上昇▲",IF(E16&lt;G16,"下落▼","横ばい→")))</f>
        <v/>
      </c>
      <c r="AB16" s="353">
        <f>IF(OR(C16="",C16="TOPX",終値!E78=""),"",IFERROR(((終値!E78*0.333)+(終値!F78*0.222)+(終値!G78*0.148)+(終値!H78*0.099)+(終値!I78*0.066))/(0.333+0.222+0.148+0.099+0.066),""))</f>
        <v/>
      </c>
      <c r="AC16" s="353">
        <f>IF(OR(C16="",C16="TOPX",終値!E78=""),"",IFERROR(SUMPRODUCT((終値!E78:AC78)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" s="225">
        <f>IF(OR(C16="",AB16="",AC16="",AB16=0,AC16=0),"",IF(AND(E16&gt;AB16,AB16&gt;AC16),"パーフェクト▲",IF(E16&gt;AC16,"上昇トレンド▲",IF(AND(E16&lt;AB16,AB16&lt;AC16),"下降トレンド▼","もみ合い→"))))</f>
        <v/>
      </c>
      <c r="AE16" s="225">
        <f>IF(OR(C16="",AB16="",AC16=""),"",IF(AND(ABS(E16-AC16)/AC16&lt;=0.02,E16&lt;AC16),"25日戻り売り★",IF(AND(ABS(E16-AB16)/AB16&lt;=0.01,E16&lt;AB16),"5日戻り売り○","なし")))</f>
        <v/>
      </c>
      <c r="AF16">
        <f>IF(T16="","",IF(銘柄管理!$F$5="上昇▲",IF(AND(AD16="下降トレンド▼",OR(AE16="25日戻り売り★",AE16="5日戻り売り○")),"★逆張り売り",IF(AND(AD16="もみ合い→",OR(AE16="25日戻り売り★",AE16="5日戻り売り○")),"○逆張り売り",IF(W16&gt;=70,IF(Z16&lt;0,"◎反落確認","△過熱・様子見"),"相場上昇・見送り"))),IF(AND(T16&gt;=12,AD16="下降トレンド▼"),"★強い売り",IF(T16&gt;=12,"★強い売り",IF(AND(T16&gt;=8,OR(AE16="25日戻り売り★",AE16="5日戻り売り○")),"◎戻り売り",IF(T16&gt;=10,"○売り候補",IF(T16&gt;=6,"△注目",IF(T16&gt;=3,"様子見","見送り"))))))))</f>
        <v/>
      </c>
      <c r="AG16">
        <f>IF(AND(T16&gt;=7,C16&lt;&gt;""),T16,0)</f>
        <v/>
      </c>
      <c r="AH16">
        <f>IF(AG16&gt;0,AG16*10000-ROW(A16),0)</f>
        <v/>
      </c>
      <c r="AI16" s="623">
        <f t="array" ref="AI16">IF(C16="","",IFERROR((INDEX(終値!$E:$E,MATCH(TEXT(C16,"0"),終値!$A:$A,0))-INDEX(終値!$E:$BL,MATCH(TEXT(C16,"0"),終値!$A:$A,0),$AN$2))/INDEX(終値!$E:$BL,MATCH(TEXT(C16,"0"),終値!$A:$A,0),$AN$2)*100,""))</f>
        <v/>
      </c>
      <c r="AJ16" s="623">
        <f t="array" ref="AJ16">IFERROR((終値!$E$5-INDEX(終値!$E$5:$BL$5,1,$AN$2))/INDEX(終値!$E$5:$BL$5,1,$AN$2)*100,"")</f>
        <v/>
      </c>
      <c r="AK16" s="624">
        <f>IF(OR(AI16="",AJ16=""),"",AI16-AJ16)</f>
        <v/>
      </c>
      <c r="AL16" s="394">
        <f>IF(AK16="","",IF(AK16&lt;-5,3,IF(AK16&lt;0,1,IF(AK16&lt;3,-1,-2))))</f>
        <v/>
      </c>
      <c r="AO16" s="398">
        <f>IF(OR($C16="",$E16="",$F16="",$H16="",$I16="",$H16-$I16&lt;=0),"-",IF(AND($H16-MAX($F16,$E16)&gt;=ABS($E16-$F16)*2,MIN($F16,$E16)-$I16&lt;=ABS($E16-$F16)*0.5,ABS($E16-$F16)&gt;0),"上ヒゲ陰線▼",IF(AND($E16&lt;$F16,ABS($E16-$F16)&gt;=($H16-$I16)*0.7),"大陰線▼",IF(AND(MIN($F16,$E16)-$I16&gt;=($H16-$I16)*0.5,$H16-MAX($F16,$E16)&lt;=($H16-$I16)*0.2),"長い下ヒゲ(反発警戒)","通常"))))</f>
        <v/>
      </c>
      <c r="AP16" s="625">
        <f>IF($AO16="上ヒゲ陰線▼",2,IF($AO16="大陰線▼",2,IF($AO16="長い下ヒゲ(反発警戒)",-2,0)))</f>
        <v/>
      </c>
      <c r="AQ16">
        <f>IF(C16&lt;&gt;"",始値!F78,"")</f>
        <v/>
      </c>
      <c r="AR16">
        <f>IF(C16&lt;&gt;"",高値!F78,"")</f>
        <v/>
      </c>
      <c r="AS16">
        <f>IF(C16&lt;&gt;"",安値!F78,"")</f>
        <v/>
      </c>
      <c r="AT16">
        <f>IF(OR(C16="",AQ16="",AR16="",AS16="",AR16-AS16&lt;=0),"-",IF(AND(AR16-MAX(G16,AQ16)&gt;=ABS(G16-AQ16)*2,MIN(G16,AQ16)-AS16&lt;=ABS(G16-AQ16)*0.5,ABS(G16-AQ16)&gt;0),"上ヒゲ陰線▼",IF(AND(G16&lt;AQ16,ABS(G16-AQ16)&gt;=(AR16-AS16)*0.7),"大陰線▼",IF(AND(MIN(G16,AQ16)-AS16&gt;=(AR16-AS16)*0.5,AR16-MAX(G16,AQ16)&lt;=(AR16-AS16)*0.2),"長い下ヒゲ(反発)","通常"))))</f>
        <v/>
      </c>
      <c r="AU16">
        <f>IF(AT16="上ヒゲ陰線▼",2,IF(AT16="大陰線▼",2,IF(AT16="長い下ヒゲ(反発)",-2,0)))</f>
        <v/>
      </c>
    </row>
    <row r="17" ht="14.25" customHeight="1" s="574">
      <c r="A17" s="344">
        <f>IF(銘柄管理!B100&lt;&gt;"",HYPERLINK("https://kabutan.jp/stock/?code="&amp;銘柄管理!B100,"株探"),"")</f>
        <v/>
      </c>
      <c r="B17" s="345" t="n"/>
      <c r="C17" s="345">
        <f>IF(銘柄管理!B100="","",銘柄管理!B100)</f>
        <v/>
      </c>
      <c r="D17" s="345">
        <f>IF(銘柄管理!C100="","",銘柄管理!C100)</f>
        <v/>
      </c>
      <c r="E17" s="346">
        <f>IF(C17&lt;&gt;"",_xll.RssMarket(C17,"現在値"),"")</f>
        <v/>
      </c>
      <c r="F17" s="346">
        <f>IF(C17&lt;&gt;"",_xll.RssMarket(C17,"始値"),"")</f>
        <v/>
      </c>
      <c r="G17" s="345">
        <f>IF(C17&lt;&gt;"",終値!F100,"")</f>
        <v/>
      </c>
      <c r="H17" s="346">
        <f>IF(C17&lt;&gt;"",_xll.RssMarket(C17,"高値"),"")</f>
        <v/>
      </c>
      <c r="I17" s="346">
        <f>IF(C17&lt;&gt;"",_xll.RssMarket(C17,"安値"),"")</f>
        <v/>
      </c>
      <c r="J17" s="346">
        <f>IF(C17&lt;&gt;"",_xll.RssMarket(C17,"出来高"),"")</f>
        <v/>
      </c>
      <c r="K17" s="346">
        <f>IF(C17&lt;&gt;"",_xll.RssMarket(C17,"年初来高値"),"")</f>
        <v/>
      </c>
      <c r="L17" s="619">
        <f>IF(AND(E17&lt;&gt;"",K17&lt;&gt;"",K17&lt;&gt;0),(E17-K17)/K17*100,"")</f>
        <v/>
      </c>
      <c r="M17" s="346">
        <f>IF(C17&lt;&gt;"",IFERROR(AVERAGE(出来高!E100:I100),""),"")</f>
        <v/>
      </c>
      <c r="N17" s="346">
        <f>IF(C17&lt;&gt;"",IFERROR(AVERAGE(出来高!E100:AC100),""),"")</f>
        <v/>
      </c>
      <c r="O17" s="620">
        <f>IF(AND(J17&lt;&gt;"",M17&lt;&gt;"",M17&lt;&gt;0),J17/M17,"")</f>
        <v/>
      </c>
      <c r="P17" s="345">
        <f>IF(O17="","",IF(O17&gt;=2,"急増↑↑",IF(O17&gt;=1.5,"増加↑",IF(O17&gt;=1,"普通→","減少↓"))))</f>
        <v/>
      </c>
      <c r="Q17" s="345">
        <f>IF(E17="","",IF(AND(E17&lt;G17,O17&gt;=1.5),"売り▼",IF(E17&gt;G17,"様子見▲","中立→")))</f>
        <v/>
      </c>
      <c r="R17" s="346">
        <f>IF(E17&lt;&gt;"",ROUND(E17*0.92,0),"")</f>
        <v/>
      </c>
      <c r="S17" s="346">
        <f>IF(E17&lt;&gt;"",ROUND(E17*1.04,0),"")</f>
        <v/>
      </c>
      <c r="T17" s="345">
        <f>IF(C17="","",IFERROR(IF(W17&gt;=70,3,IF(W17&gt;=60,2,IF(W17&gt;=50,1,0)))+IF(X17&lt;0,2,0)+IF(AD17="下降トレンド▼",3,IF(AD17="もみ合い→",1,0))+IF(V17="年初来安値圏●",3,IF(V17="安値圏",2,0))+IF(Q17="売り▼",2,0)+IF(P17="急増↑↑",2,IF(P17="増加↑",1,0))+IF(Z17&lt;0,1,0)+IF(L17&lt;=-30,2,IF(L17&lt;=-15,1,0))+IF(AE17="25日戻り売り★",2,IF(AE17="5日戻り売り○",1,0))+N(AL17)+N(AP17)+N(AU17),0))</f>
        <v/>
      </c>
      <c r="U17" s="345">
        <f>IF(T17="","",IF(AND(T17&gt;=3,O17&gt;=1.5),"有効",IF(T17&gt;=3,"要確認","除外")))</f>
        <v/>
      </c>
      <c r="V17" s="345">
        <f>IF(AND(I17&lt;&gt;"",K17&lt;&gt;""),IF(I17&lt;=K17*0.6,"年初来安値圏●",IF(I17&lt;=K17*0.75,"安値圏","通常")),"")</f>
        <v/>
      </c>
      <c r="W17" s="621">
        <f t="array" ref="W17">IFERROR(100-100/(1+SUMPRODUCT((終値!F100:R100&gt;終値!G100:S100)*(終値!F100:R100-終値!G100:S100))/SUMPRODUCT((終値!F100:R100&lt;終値!G100:S100)*(終値!G100:S100-終値!F100:R100))),50)</f>
        <v/>
      </c>
      <c r="X17" s="350">
        <f>IF(C17&lt;&gt;"",IFERROR(SUMPRODUCT(終値!E100:P100,{0.154,0.132,0.113,0.097,0.083,0.071,0.061,0.052,0.045,0.038,0.033,0.028})/SUMPRODUCT({0.154,0.132,0.113,0.097,0.083,0.071,0.061,0.052,0.045,0.038,0.033,0.028})-SUMPRODUCT(終値!E100:AD100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" s="345">
        <f>IF(AF17="","",AF17&amp;" | "&amp;AD17&amp;IF(AE17&lt;&gt;"なし"," "&amp;AE17,"")&amp;IF(X17&lt;0," MACD-"," MACD+")&amp;" RSI:"&amp;TEXT(W17,"0.0")&amp;IF(W17&gt;=70," [過熱]",IF(W17&lt;=30," [売られ過ぎ]",""))&amp;" 前日比:"&amp;TEXT(Z17,"+0.0;-0.0;0.0")&amp;"%"&amp;IF(V17="年初来安値圏●"," [年初来安値圏]",IF(V17="安値圏"," [安値圏]",""))&amp;IF(OR(AO17="通常",AO17="-"),""," ["&amp;AO17&amp;"]")&amp;IF(OR(AT17="通常",AT17="-"),"","前日["&amp;AT17&amp;"]")&amp;" ["&amp;T17&amp;"点]")</f>
        <v/>
      </c>
      <c r="Z17" s="622">
        <f>IF(AND(E17&lt;&gt;"",G17&lt;&gt;"",G17&lt;&gt;0),(E17-G17)/G17*100,"")</f>
        <v/>
      </c>
      <c r="AA17" s="345">
        <f>IF(OR(C17="",E17="",E17=0),"",IF(E17&gt;G17,"上昇▲",IF(E17&lt;G17,"下落▼","横ばい→")))</f>
        <v/>
      </c>
      <c r="AB17" s="346">
        <f>IF(OR(C17="",C17="TOPX",終値!E100=""),"",IFERROR(((終値!E100*0.333)+(終値!F100*0.222)+(終値!G100*0.148)+(終値!H100*0.099)+(終値!I100*0.066))/(0.333+0.222+0.148+0.099+0.066),""))</f>
        <v/>
      </c>
      <c r="AC17" s="346">
        <f>IF(OR(C17="",C17="TOPX",終値!E100=""),"",IFERROR(SUMPRODUCT((終値!E100:AC100)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" s="345">
        <f>IF(OR(C17="",AB17="",AC17="",AB17=0,AC17=0),"",IF(AND(E17&gt;AB17,AB17&gt;AC17),"パーフェクト▲",IF(E17&gt;AC17,"上昇トレンド▲",IF(AND(E17&lt;AB17,AB17&lt;AC17),"下降トレンド▼","もみ合い→"))))</f>
        <v/>
      </c>
      <c r="AE17" s="345">
        <f>IF(OR(C17="",AB17="",AC17=""),"",IF(AND(ABS(E17-AC17)/AC17&lt;=0.02,E17&lt;AC17),"25日戻り売り★",IF(AND(ABS(E17-AB17)/AB17&lt;=0.01,E17&lt;AB17),"5日戻り売り○","なし")))</f>
        <v/>
      </c>
      <c r="AF17">
        <f>IF(T17="","",IF(銘柄管理!$F$5="上昇▲",IF(AND(AD17="下降トレンド▼",OR(AE17="25日戻り売り★",AE17="5日戻り売り○")),"★逆張り売り",IF(AND(AD17="もみ合い→",OR(AE17="25日戻り売り★",AE17="5日戻り売り○")),"○逆張り売り",IF(W17&gt;=70,IF(Z17&lt;0,"◎反落確認","△過熱・様子見"),"相場上昇・見送り"))),IF(AND(T17&gt;=12,AD17="下降トレンド▼"),"★強い売り",IF(T17&gt;=12,"★強い売り",IF(AND(T17&gt;=8,OR(AE17="25日戻り売り★",AE17="5日戻り売り○")),"◎戻り売り",IF(T17&gt;=10,"○売り候補",IF(T17&gt;=6,"△注目",IF(T17&gt;=3,"様子見","見送り"))))))))</f>
        <v/>
      </c>
      <c r="AG17">
        <f>IF(AND(T17&gt;=7,C17&lt;&gt;""),T17,0)</f>
        <v/>
      </c>
      <c r="AH17">
        <f>IF(AG17&gt;0,AG17*10000-ROW(A17),0)</f>
        <v/>
      </c>
      <c r="AI17" s="623">
        <f t="array" ref="AI17">IF(C17="","",IFERROR((INDEX(終値!$E:$E,MATCH(TEXT(C17,"0"),終値!$A:$A,0))-INDEX(終値!$E:$BL,MATCH(TEXT(C17,"0"),終値!$A:$A,0),$AN$2))/INDEX(終値!$E:$BL,MATCH(TEXT(C17,"0"),終値!$A:$A,0),$AN$2)*100,""))</f>
        <v/>
      </c>
      <c r="AJ17" s="623">
        <f t="array" ref="AJ17">IFERROR((終値!$E$5-INDEX(終値!$E$5:$BL$5,1,$AN$2))/INDEX(終値!$E$5:$BL$5,1,$AN$2)*100,"")</f>
        <v/>
      </c>
      <c r="AK17" s="624">
        <f>IF(OR(AI17="",AJ17=""),"",AI17-AJ17)</f>
        <v/>
      </c>
      <c r="AL17" s="394">
        <f>IF(AK17="","",IF(AK17&lt;-5,3,IF(AK17&lt;0,1,IF(AK17&lt;3,-1,-2))))</f>
        <v/>
      </c>
      <c r="AO17" s="398">
        <f>IF(OR($C17="",$E17="",$F17="",$H17="",$I17="",$H17-$I17&lt;=0),"-",IF(AND($H17-MAX($F17,$E17)&gt;=ABS($E17-$F17)*2,MIN($F17,$E17)-$I17&lt;=ABS($E17-$F17)*0.5,ABS($E17-$F17)&gt;0),"上ヒゲ陰線▼",IF(AND($E17&lt;$F17,ABS($E17-$F17)&gt;=($H17-$I17)*0.7),"大陰線▼",IF(AND(MIN($F17,$E17)-$I17&gt;=($H17-$I17)*0.5,$H17-MAX($F17,$E17)&lt;=($H17-$I17)*0.2),"長い下ヒゲ(反発警戒)","通常"))))</f>
        <v/>
      </c>
      <c r="AP17" s="625">
        <f>IF($AO17="上ヒゲ陰線▼",2,IF($AO17="大陰線▼",2,IF($AO17="長い下ヒゲ(反発警戒)",-2,0)))</f>
        <v/>
      </c>
      <c r="AQ17">
        <f>IF(C17&lt;&gt;"",始値!F100,"")</f>
        <v/>
      </c>
      <c r="AR17">
        <f>IF(C17&lt;&gt;"",高値!F100,"")</f>
        <v/>
      </c>
      <c r="AS17">
        <f>IF(C17&lt;&gt;"",安値!F100,"")</f>
        <v/>
      </c>
      <c r="AT17">
        <f>IF(OR(C17="",AQ17="",AR17="",AS17="",AR17-AS17&lt;=0),"-",IF(AND(AR17-MAX(G17,AQ17)&gt;=ABS(G17-AQ17)*2,MIN(G17,AQ17)-AS17&lt;=ABS(G17-AQ17)*0.5,ABS(G17-AQ17)&gt;0),"上ヒゲ陰線▼",IF(AND(G17&lt;AQ17,ABS(G17-AQ17)&gt;=(AR17-AS17)*0.7),"大陰線▼",IF(AND(MIN(G17,AQ17)-AS17&gt;=(AR17-AS17)*0.5,AR17-MAX(G17,AQ17)&lt;=(AR17-AS17)*0.2),"長い下ヒゲ(反発)","通常"))))</f>
        <v/>
      </c>
      <c r="AU17">
        <f>IF(AT17="上ヒゲ陰線▼",2,IF(AT17="大陰線▼",2,IF(AT17="長い下ヒゲ(反発)",-2,0)))</f>
        <v/>
      </c>
    </row>
    <row r="18" ht="14.25" customHeight="1" s="574">
      <c r="A18" s="352">
        <f>IF(銘柄管理!B107&lt;&gt;"",HYPERLINK("https://kabutan.jp/stock/?code="&amp;銘柄管理!B107,"株探"),"")</f>
        <v/>
      </c>
      <c r="B18" s="225" t="n"/>
      <c r="C18" s="225">
        <f>IF(銘柄管理!B107="","",銘柄管理!B107)</f>
        <v/>
      </c>
      <c r="D18" s="225">
        <f>IF(銘柄管理!C107="","",銘柄管理!C107)</f>
        <v/>
      </c>
      <c r="E18" s="353">
        <f>IF(C18&lt;&gt;"",_xll.RssMarket(C18,"現在値"),"")</f>
        <v/>
      </c>
      <c r="F18" s="353">
        <f>IF(C18&lt;&gt;"",_xll.RssMarket(C18,"始値"),"")</f>
        <v/>
      </c>
      <c r="G18" s="225">
        <f>IF(C18&lt;&gt;"",終値!F107,"")</f>
        <v/>
      </c>
      <c r="H18" s="353">
        <f>IF(C18&lt;&gt;"",_xll.RssMarket(C18,"高値"),"")</f>
        <v/>
      </c>
      <c r="I18" s="353">
        <f>IF(C18&lt;&gt;"",_xll.RssMarket(C18,"安値"),"")</f>
        <v/>
      </c>
      <c r="J18" s="353">
        <f>IF(C18&lt;&gt;"",_xll.RssMarket(C18,"出来高"),"")</f>
        <v/>
      </c>
      <c r="K18" s="353">
        <f>IF(C18&lt;&gt;"",_xll.RssMarket(C18,"年初来高値"),"")</f>
        <v/>
      </c>
      <c r="L18" s="626">
        <f>IF(AND(E18&lt;&gt;"",K18&lt;&gt;"",K18&lt;&gt;0),(E18-K18)/K18*100,"")</f>
        <v/>
      </c>
      <c r="M18" s="353">
        <f>IF(C18&lt;&gt;"",IFERROR(AVERAGE(出来高!E107:I107),""),"")</f>
        <v/>
      </c>
      <c r="N18" s="353">
        <f>IF(C18&lt;&gt;"",IFERROR(AVERAGE(出来高!E107:AC107),""),"")</f>
        <v/>
      </c>
      <c r="O18" s="627">
        <f>IF(AND(J18&lt;&gt;"",M18&lt;&gt;"",M18&lt;&gt;0),J18/M18,"")</f>
        <v/>
      </c>
      <c r="P18" s="225">
        <f>IF(O18="","",IF(O18&gt;=2,"急増↑↑",IF(O18&gt;=1.5,"増加↑",IF(O18&gt;=1,"普通→","減少↓"))))</f>
        <v/>
      </c>
      <c r="Q18" s="225">
        <f>IF(E18="","",IF(AND(E18&lt;G18,O18&gt;=1.5),"売り▼",IF(E18&gt;G18,"様子見▲","中立→")))</f>
        <v/>
      </c>
      <c r="R18" s="353">
        <f>IF(E18&lt;&gt;"",ROUND(E18*0.92,0),"")</f>
        <v/>
      </c>
      <c r="S18" s="353">
        <f>IF(E18&lt;&gt;"",ROUND(E18*1.04,0),"")</f>
        <v/>
      </c>
      <c r="T18" s="345">
        <f>IF(C18="","",IFERROR(IF(W18&gt;=70,3,IF(W18&gt;=60,2,IF(W18&gt;=50,1,0)))+IF(X18&lt;0,2,0)+IF(AD18="下降トレンド▼",3,IF(AD18="もみ合い→",1,0))+IF(V18="年初来安値圏●",3,IF(V18="安値圏",2,0))+IF(Q18="売り▼",2,0)+IF(P18="急増↑↑",2,IF(P18="増加↑",1,0))+IF(Z18&lt;0,1,0)+IF(L18&lt;=-30,2,IF(L18&lt;=-15,1,0))+IF(AE18="25日戻り売り★",2,IF(AE18="5日戻り売り○",1,0))+N(AL18)+N(AP18)+N(AU18),0))</f>
        <v/>
      </c>
      <c r="U18" s="225">
        <f>IF(T18="","",IF(AND(T18&gt;=3,O18&gt;=1.5),"有効",IF(T18&gt;=3,"要確認","除外")))</f>
        <v/>
      </c>
      <c r="V18" s="225">
        <f>IF(AND(I18&lt;&gt;"",K18&lt;&gt;""),IF(I18&lt;=K18*0.6,"年初来安値圏●",IF(I18&lt;=K18*0.75,"安値圏","通常")),"")</f>
        <v/>
      </c>
      <c r="W18" s="628">
        <f t="array" ref="W18">IFERROR(100-100/(1+SUMPRODUCT((終値!F107:R107&gt;終値!G107:S107)*(終値!F107:R107-終値!G107:S107))/SUMPRODUCT((終値!F107:R107&lt;終値!G107:S107)*(終値!G107:S107-終値!F107:R107))),50)</f>
        <v/>
      </c>
      <c r="X18" s="357">
        <f>IF(C18&lt;&gt;"",IFERROR(SUMPRODUCT(終値!E107:P107,{0.154,0.132,0.113,0.097,0.083,0.071,0.061,0.052,0.045,0.038,0.033,0.028})/SUMPRODUCT({0.154,0.132,0.113,0.097,0.083,0.071,0.061,0.052,0.045,0.038,0.033,0.028})-SUMPRODUCT(終値!E107:AD107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" s="225">
        <f>IF(AF18="","",AF18&amp;" | "&amp;AD18&amp;IF(AE18&lt;&gt;"なし"," "&amp;AE18,"")&amp;IF(X18&lt;0," MACD-"," MACD+")&amp;" RSI:"&amp;TEXT(W18,"0.0")&amp;IF(W18&gt;=70," [過熱]",IF(W18&lt;=30," [売られ過ぎ]",""))&amp;" 前日比:"&amp;TEXT(Z18,"+0.0;-0.0;0.0")&amp;"%"&amp;IF(V18="年初来安値圏●"," [年初来安値圏]",IF(V18="安値圏"," [安値圏]",""))&amp;IF(OR(AO18="通常",AO18="-"),""," ["&amp;AO18&amp;"]")&amp;IF(OR(AT18="通常",AT18="-"),"","前日["&amp;AT18&amp;"]")&amp;" ["&amp;T18&amp;"点]")</f>
        <v/>
      </c>
      <c r="Z18" s="629">
        <f>IF(AND(E18&lt;&gt;"",G18&lt;&gt;"",G18&lt;&gt;0),(E18-G18)/G18*100,"")</f>
        <v/>
      </c>
      <c r="AA18" s="225">
        <f>IF(OR(C18="",E18="",E18=0),"",IF(E18&gt;G18,"上昇▲",IF(E18&lt;G18,"下落▼","横ばい→")))</f>
        <v/>
      </c>
      <c r="AB18" s="353">
        <f>IF(OR(C18="",C18="TOPX",終値!E107=""),"",IFERROR(((終値!E107*0.333)+(終値!F107*0.222)+(終値!G107*0.148)+(終値!H107*0.099)+(終値!I107*0.066))/(0.333+0.222+0.148+0.099+0.066),""))</f>
        <v/>
      </c>
      <c r="AC18" s="353">
        <f>IF(OR(C18="",C18="TOPX",終値!E107=""),"",IFERROR(SUMPRODUCT((終値!E107:AC107)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" s="225">
        <f>IF(OR(C18="",AB18="",AC18="",AB18=0,AC18=0),"",IF(AND(E18&gt;AB18,AB18&gt;AC18),"パーフェクト▲",IF(E18&gt;AC18,"上昇トレンド▲",IF(AND(E18&lt;AB18,AB18&lt;AC18),"下降トレンド▼","もみ合い→"))))</f>
        <v/>
      </c>
      <c r="AE18" s="225">
        <f>IF(OR(C18="",AB18="",AC18=""),"",IF(AND(ABS(E18-AC18)/AC18&lt;=0.02,E18&lt;AC18),"25日戻り売り★",IF(AND(ABS(E18-AB18)/AB18&lt;=0.01,E18&lt;AB18),"5日戻り売り○","なし")))</f>
        <v/>
      </c>
      <c r="AF18">
        <f>IF(T18="","",IF(銘柄管理!$F$5="上昇▲",IF(AND(AD18="下降トレンド▼",OR(AE18="25日戻り売り★",AE18="5日戻り売り○")),"★逆張り売り",IF(AND(AD18="もみ合い→",OR(AE18="25日戻り売り★",AE18="5日戻り売り○")),"○逆張り売り",IF(W18&gt;=70,IF(Z18&lt;0,"◎反落確認","△過熱・様子見"),"相場上昇・見送り"))),IF(AND(T18&gt;=12,AD18="下降トレンド▼"),"★強い売り",IF(T18&gt;=12,"★強い売り",IF(AND(T18&gt;=8,OR(AE18="25日戻り売り★",AE18="5日戻り売り○")),"◎戻り売り",IF(T18&gt;=10,"○売り候補",IF(T18&gt;=6,"△注目",IF(T18&gt;=3,"様子見","見送り"))))))))</f>
        <v/>
      </c>
      <c r="AG18">
        <f>IF(AND(T18&gt;=7,C18&lt;&gt;""),T18,0)</f>
        <v/>
      </c>
      <c r="AH18">
        <f>IF(AG18&gt;0,AG18*10000-ROW(A18),0)</f>
        <v/>
      </c>
      <c r="AI18" s="623">
        <f t="array" ref="AI18">IF(C18="","",IFERROR((INDEX(終値!$E:$E,MATCH(TEXT(C18,"0"),終値!$A:$A,0))-INDEX(終値!$E:$BL,MATCH(TEXT(C18,"0"),終値!$A:$A,0),$AN$2))/INDEX(終値!$E:$BL,MATCH(TEXT(C18,"0"),終値!$A:$A,0),$AN$2)*100,""))</f>
        <v/>
      </c>
      <c r="AJ18" s="623">
        <f t="array" ref="AJ18">IFERROR((終値!$E$5-INDEX(終値!$E$5:$BL$5,1,$AN$2))/INDEX(終値!$E$5:$BL$5,1,$AN$2)*100,"")</f>
        <v/>
      </c>
      <c r="AK18" s="624">
        <f>IF(OR(AI18="",AJ18=""),"",AI18-AJ18)</f>
        <v/>
      </c>
      <c r="AL18" s="394">
        <f>IF(AK18="","",IF(AK18&lt;-5,3,IF(AK18&lt;0,1,IF(AK18&lt;3,-1,-2))))</f>
        <v/>
      </c>
      <c r="AO18" s="398">
        <f>IF(OR($C18="",$E18="",$F18="",$H18="",$I18="",$H18-$I18&lt;=0),"-",IF(AND($H18-MAX($F18,$E18)&gt;=ABS($E18-$F18)*2,MIN($F18,$E18)-$I18&lt;=ABS($E18-$F18)*0.5,ABS($E18-$F18)&gt;0),"上ヒゲ陰線▼",IF(AND($E18&lt;$F18,ABS($E18-$F18)&gt;=($H18-$I18)*0.7),"大陰線▼",IF(AND(MIN($F18,$E18)-$I18&gt;=($H18-$I18)*0.5,$H18-MAX($F18,$E18)&lt;=($H18-$I18)*0.2),"長い下ヒゲ(反発警戒)","通常"))))</f>
        <v/>
      </c>
      <c r="AP18" s="625">
        <f>IF($AO18="上ヒゲ陰線▼",2,IF($AO18="大陰線▼",2,IF($AO18="長い下ヒゲ(反発警戒)",-2,0)))</f>
        <v/>
      </c>
      <c r="AQ18">
        <f>IF(C18&lt;&gt;"",始値!F107,"")</f>
        <v/>
      </c>
      <c r="AR18">
        <f>IF(C18&lt;&gt;"",高値!F107,"")</f>
        <v/>
      </c>
      <c r="AS18">
        <f>IF(C18&lt;&gt;"",安値!F107,"")</f>
        <v/>
      </c>
      <c r="AT18">
        <f>IF(OR(C18="",AQ18="",AR18="",AS18="",AR18-AS18&lt;=0),"-",IF(AND(AR18-MAX(G18,AQ18)&gt;=ABS(G18-AQ18)*2,MIN(G18,AQ18)-AS18&lt;=ABS(G18-AQ18)*0.5,ABS(G18-AQ18)&gt;0),"上ヒゲ陰線▼",IF(AND(G18&lt;AQ18,ABS(G18-AQ18)&gt;=(AR18-AS18)*0.7),"大陰線▼",IF(AND(MIN(G18,AQ18)-AS18&gt;=(AR18-AS18)*0.5,AR18-MAX(G18,AQ18)&lt;=(AR18-AS18)*0.2),"長い下ヒゲ(反発)","通常"))))</f>
        <v/>
      </c>
      <c r="AU18">
        <f>IF(AT18="上ヒゲ陰線▼",2,IF(AT18="大陰線▼",2,IF(AT18="長い下ヒゲ(反発)",-2,0)))</f>
        <v/>
      </c>
    </row>
    <row r="19" ht="14.25" customHeight="1" s="574">
      <c r="A19" s="344">
        <f>IF(銘柄管理!B164&lt;&gt;"",HYPERLINK("https://kabutan.jp/stock/?code="&amp;銘柄管理!B164,"株探"),"")</f>
        <v/>
      </c>
      <c r="B19" s="345" t="n"/>
      <c r="C19" s="345">
        <f>IF(銘柄管理!B164="","",銘柄管理!B164)</f>
        <v/>
      </c>
      <c r="D19" s="345">
        <f>IF(銘柄管理!C164="","",銘柄管理!C164)</f>
        <v/>
      </c>
      <c r="E19" s="346">
        <f>IF(C19&lt;&gt;"",_xll.RssMarket(C19,"現在値"),"")</f>
        <v/>
      </c>
      <c r="F19" s="346">
        <f>IF(C19&lt;&gt;"",_xll.RssMarket(C19,"始値"),"")</f>
        <v/>
      </c>
      <c r="G19" s="345">
        <f>IF(C19&lt;&gt;"",終値!F164,"")</f>
        <v/>
      </c>
      <c r="H19" s="346">
        <f>IF(C19&lt;&gt;"",_xll.RssMarket(C19,"高値"),"")</f>
        <v/>
      </c>
      <c r="I19" s="346">
        <f>IF(C19&lt;&gt;"",_xll.RssMarket(C19,"安値"),"")</f>
        <v/>
      </c>
      <c r="J19" s="346">
        <f>IF(C19&lt;&gt;"",_xll.RssMarket(C19,"出来高"),"")</f>
        <v/>
      </c>
      <c r="K19" s="346">
        <f>IF(C19&lt;&gt;"",_xll.RssMarket(C19,"年初来高値"),"")</f>
        <v/>
      </c>
      <c r="L19" s="619">
        <f>IF(AND(E19&lt;&gt;"",K19&lt;&gt;"",K19&lt;&gt;0),(E19-K19)/K19*100,"")</f>
        <v/>
      </c>
      <c r="M19" s="346">
        <f>IF(C19&lt;&gt;"",IFERROR(AVERAGE(出来高!E164:I164),""),"")</f>
        <v/>
      </c>
      <c r="N19" s="346">
        <f>IF(C19&lt;&gt;"",IFERROR(AVERAGE(出来高!E164:AC164),""),"")</f>
        <v/>
      </c>
      <c r="O19" s="620">
        <f>IF(AND(J19&lt;&gt;"",M19&lt;&gt;"",M19&lt;&gt;0),J19/M19,"")</f>
        <v/>
      </c>
      <c r="P19" s="345">
        <f>IF(O19="","",IF(O19&gt;=2,"急増↑↑",IF(O19&gt;=1.5,"増加↑",IF(O19&gt;=1,"普通→","減少↓"))))</f>
        <v/>
      </c>
      <c r="Q19" s="345">
        <f>IF(E19="","",IF(AND(E19&lt;G19,O19&gt;=1.5),"売り▼",IF(E19&gt;G19,"様子見▲","中立→")))</f>
        <v/>
      </c>
      <c r="R19" s="346">
        <f>IF(E19&lt;&gt;"",ROUND(E19*0.92,0),"")</f>
        <v/>
      </c>
      <c r="S19" s="346">
        <f>IF(E19&lt;&gt;"",ROUND(E19*1.04,0),"")</f>
        <v/>
      </c>
      <c r="T19" s="345">
        <f>IF(C19="","",IFERROR(IF(W19&gt;=70,3,IF(W19&gt;=60,2,IF(W19&gt;=50,1,0)))+IF(X19&lt;0,2,0)+IF(AD19="下降トレンド▼",3,IF(AD19="もみ合い→",1,0))+IF(V19="年初来安値圏●",3,IF(V19="安値圏",2,0))+IF(Q19="売り▼",2,0)+IF(P19="急増↑↑",2,IF(P19="増加↑",1,0))+IF(Z19&lt;0,1,0)+IF(L19&lt;=-30,2,IF(L19&lt;=-15,1,0))+IF(AE19="25日戻り売り★",2,IF(AE19="5日戻り売り○",1,0))+N(AL19)+N(AP19)+N(AU19),0))</f>
        <v/>
      </c>
      <c r="U19" s="345">
        <f>IF(T19="","",IF(AND(T19&gt;=3,O19&gt;=1.5),"有効",IF(T19&gt;=3,"要確認","除外")))</f>
        <v/>
      </c>
      <c r="V19" s="345">
        <f>IF(AND(I19&lt;&gt;"",K19&lt;&gt;""),IF(I19&lt;=K19*0.6,"年初来安値圏●",IF(I19&lt;=K19*0.75,"安値圏","通常")),"")</f>
        <v/>
      </c>
      <c r="W19" s="621">
        <f t="array" ref="W19">IFERROR(100-100/(1+SUMPRODUCT((終値!F164:R164&gt;終値!G164:S164)*(終値!F164:R164-終値!G164:S164))/SUMPRODUCT((終値!F164:R164&lt;終値!G164:S164)*(終値!G164:S164-終値!F164:R164))),50)</f>
        <v/>
      </c>
      <c r="X19" s="350">
        <f>IF(C19&lt;&gt;"",IFERROR(SUMPRODUCT(終値!E164:P164,{0.154,0.132,0.113,0.097,0.083,0.071,0.061,0.052,0.045,0.038,0.033,0.028})/SUMPRODUCT({0.154,0.132,0.113,0.097,0.083,0.071,0.061,0.052,0.045,0.038,0.033,0.028})-SUMPRODUCT(終値!E164:AD164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" s="345">
        <f>IF(AF19="","",AF19&amp;" | "&amp;AD19&amp;IF(AE19&lt;&gt;"なし"," "&amp;AE19,"")&amp;IF(X19&lt;0," MACD-"," MACD+")&amp;" RSI:"&amp;TEXT(W19,"0.0")&amp;IF(W19&gt;=70," [過熱]",IF(W19&lt;=30," [売られ過ぎ]",""))&amp;" 前日比:"&amp;TEXT(Z19,"+0.0;-0.0;0.0")&amp;"%"&amp;IF(V19="年初来安値圏●"," [年初来安値圏]",IF(V19="安値圏"," [安値圏]",""))&amp;IF(OR(AO19="通常",AO19="-"),""," ["&amp;AO19&amp;"]")&amp;IF(OR(AT19="通常",AT19="-"),"","前日["&amp;AT19&amp;"]")&amp;" ["&amp;T19&amp;"点]")</f>
        <v/>
      </c>
      <c r="Z19" s="622">
        <f>IF(AND(E19&lt;&gt;"",G19&lt;&gt;"",G19&lt;&gt;0),(E19-G19)/G19*100,"")</f>
        <v/>
      </c>
      <c r="AA19" s="345">
        <f>IF(OR(C19="",E19="",E19=0),"",IF(E19&gt;G19,"上昇▲",IF(E19&lt;G19,"下落▼","横ばい→")))</f>
        <v/>
      </c>
      <c r="AB19" s="346">
        <f>IF(OR(C19="",C19="TOPX",終値!E164=""),"",IFERROR(((終値!E164*0.333)+(終値!F164*0.222)+(終値!G164*0.148)+(終値!H164*0.099)+(終値!I164*0.066))/(0.333+0.222+0.148+0.099+0.066),""))</f>
        <v/>
      </c>
      <c r="AC19" s="346">
        <f>IF(OR(C19="",C19="TOPX",終値!E164=""),"",IFERROR(SUMPRODUCT((終値!E164:AC164)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" s="345">
        <f>IF(OR(C19="",AB19="",AC19="",AB19=0,AC19=0),"",IF(AND(E19&gt;AB19,AB19&gt;AC19),"パーフェクト▲",IF(E19&gt;AC19,"上昇トレンド▲",IF(AND(E19&lt;AB19,AB19&lt;AC19),"下降トレンド▼","もみ合い→"))))</f>
        <v/>
      </c>
      <c r="AE19" s="345">
        <f>IF(OR(C19="",AB19="",AC19=""),"",IF(AND(ABS(E19-AC19)/AC19&lt;=0.02,E19&lt;AC19),"25日戻り売り★",IF(AND(ABS(E19-AB19)/AB19&lt;=0.01,E19&lt;AB19),"5日戻り売り○","なし")))</f>
        <v/>
      </c>
      <c r="AF19">
        <f>IF(T19="","",IF(銘柄管理!$F$5="上昇▲",IF(AND(AD19="下降トレンド▼",OR(AE19="25日戻り売り★",AE19="5日戻り売り○")),"★逆張り売り",IF(AND(AD19="もみ合い→",OR(AE19="25日戻り売り★",AE19="5日戻り売り○")),"○逆張り売り",IF(W19&gt;=70,IF(Z19&lt;0,"◎反落確認","△過熱・様子見"),"相場上昇・見送り"))),IF(AND(T19&gt;=12,AD19="下降トレンド▼"),"★強い売り",IF(T19&gt;=12,"★強い売り",IF(AND(T19&gt;=8,OR(AE19="25日戻り売り★",AE19="5日戻り売り○")),"◎戻り売り",IF(T19&gt;=10,"○売り候補",IF(T19&gt;=6,"△注目",IF(T19&gt;=3,"様子見","見送り"))))))))</f>
        <v/>
      </c>
      <c r="AG19">
        <f>IF(AND(T19&gt;=7,C19&lt;&gt;""),T19,0)</f>
        <v/>
      </c>
      <c r="AH19">
        <f>IF(AG19&gt;0,AG19*10000-ROW(A19),0)</f>
        <v/>
      </c>
      <c r="AI19" s="623">
        <f t="array" ref="AI19">IF(C19="","",IFERROR((INDEX(終値!$E:$E,MATCH(TEXT(C19,"0"),終値!$A:$A,0))-INDEX(終値!$E:$BL,MATCH(TEXT(C19,"0"),終値!$A:$A,0),$AN$2))/INDEX(終値!$E:$BL,MATCH(TEXT(C19,"0"),終値!$A:$A,0),$AN$2)*100,""))</f>
        <v/>
      </c>
      <c r="AJ19" s="623">
        <f t="array" ref="AJ19">IFERROR((終値!$E$5-INDEX(終値!$E$5:$BL$5,1,$AN$2))/INDEX(終値!$E$5:$BL$5,1,$AN$2)*100,"")</f>
        <v/>
      </c>
      <c r="AK19" s="624">
        <f>IF(OR(AI19="",AJ19=""),"",AI19-AJ19)</f>
        <v/>
      </c>
      <c r="AL19" s="394">
        <f>IF(AK19="","",IF(AK19&lt;-5,3,IF(AK19&lt;0,1,IF(AK19&lt;3,-1,-2))))</f>
        <v/>
      </c>
      <c r="AO19" s="398">
        <f>IF(OR($C19="",$E19="",$F19="",$H19="",$I19="",$H19-$I19&lt;=0),"-",IF(AND($H19-MAX($F19,$E19)&gt;=ABS($E19-$F19)*2,MIN($F19,$E19)-$I19&lt;=ABS($E19-$F19)*0.5,ABS($E19-$F19)&gt;0),"上ヒゲ陰線▼",IF(AND($E19&lt;$F19,ABS($E19-$F19)&gt;=($H19-$I19)*0.7),"大陰線▼",IF(AND(MIN($F19,$E19)-$I19&gt;=($H19-$I19)*0.5,$H19-MAX($F19,$E19)&lt;=($H19-$I19)*0.2),"長い下ヒゲ(反発警戒)","通常"))))</f>
        <v/>
      </c>
      <c r="AP19" s="625">
        <f>IF($AO19="上ヒゲ陰線▼",2,IF($AO19="大陰線▼",2,IF($AO19="長い下ヒゲ(反発警戒)",-2,0)))</f>
        <v/>
      </c>
      <c r="AQ19">
        <f>IF(C19&lt;&gt;"",始値!F164,"")</f>
        <v/>
      </c>
      <c r="AR19">
        <f>IF(C19&lt;&gt;"",高値!F164,"")</f>
        <v/>
      </c>
      <c r="AS19">
        <f>IF(C19&lt;&gt;"",安値!F164,"")</f>
        <v/>
      </c>
      <c r="AT19">
        <f>IF(OR(C19="",AQ19="",AR19="",AS19="",AR19-AS19&lt;=0),"-",IF(AND(AR19-MAX(G19,AQ19)&gt;=ABS(G19-AQ19)*2,MIN(G19,AQ19)-AS19&lt;=ABS(G19-AQ19)*0.5,ABS(G19-AQ19)&gt;0),"上ヒゲ陰線▼",IF(AND(G19&lt;AQ19,ABS(G19-AQ19)&gt;=(AR19-AS19)*0.7),"大陰線▼",IF(AND(MIN(G19,AQ19)-AS19&gt;=(AR19-AS19)*0.5,AR19-MAX(G19,AQ19)&lt;=(AR19-AS19)*0.2),"長い下ヒゲ(反発)","通常"))))</f>
        <v/>
      </c>
      <c r="AU19">
        <f>IF(AT19="上ヒゲ陰線▼",2,IF(AT19="大陰線▼",2,IF(AT19="長い下ヒゲ(反発)",-2,0)))</f>
        <v/>
      </c>
    </row>
    <row r="20" ht="14.25" customHeight="1" s="574">
      <c r="A20" s="352">
        <f>IF(銘柄管理!B201&lt;&gt;"",HYPERLINK("https://kabutan.jp/stock/?code="&amp;銘柄管理!B201,"株探"),"")</f>
        <v/>
      </c>
      <c r="B20" s="225" t="n"/>
      <c r="C20" s="225">
        <f>IF(銘柄管理!B201="","",銘柄管理!B201)</f>
        <v/>
      </c>
      <c r="D20" s="225">
        <f>IF(銘柄管理!C201="","",銘柄管理!C201)</f>
        <v/>
      </c>
      <c r="E20" s="353">
        <f>IF(C20&lt;&gt;"",_xll.RssMarket(C20,"現在値"),"")</f>
        <v/>
      </c>
      <c r="F20" s="353">
        <f>IF(C20&lt;&gt;"",_xll.RssMarket(C20,"始値"),"")</f>
        <v/>
      </c>
      <c r="G20" s="225">
        <f>IF(C20&lt;&gt;"",終値!F201,"")</f>
        <v/>
      </c>
      <c r="H20" s="353">
        <f>IF(C20&lt;&gt;"",_xll.RssMarket(C20,"高値"),"")</f>
        <v/>
      </c>
      <c r="I20" s="353">
        <f>IF(C20&lt;&gt;"",_xll.RssMarket(C20,"安値"),"")</f>
        <v/>
      </c>
      <c r="J20" s="353">
        <f>IF(C20&lt;&gt;"",_xll.RssMarket(C20,"出来高"),"")</f>
        <v/>
      </c>
      <c r="K20" s="353">
        <f>IF(C20&lt;&gt;"",_xll.RssMarket(C20,"年初来高値"),"")</f>
        <v/>
      </c>
      <c r="L20" s="626">
        <f>IF(AND(E20&lt;&gt;"",K20&lt;&gt;"",K20&lt;&gt;0),(E20-K20)/K20*100,"")</f>
        <v/>
      </c>
      <c r="M20" s="353">
        <f>IF(C20&lt;&gt;"",IFERROR(AVERAGE(出来高!E201:I201),""),"")</f>
        <v/>
      </c>
      <c r="N20" s="353">
        <f>IF(C20&lt;&gt;"",IFERROR(AVERAGE(出来高!E201:AC201),""),"")</f>
        <v/>
      </c>
      <c r="O20" s="627">
        <f>IF(AND(J20&lt;&gt;"",M20&lt;&gt;"",M20&lt;&gt;0),J20/M20,"")</f>
        <v/>
      </c>
      <c r="P20" s="225">
        <f>IF(O20="","",IF(O20&gt;=2,"急増↑↑",IF(O20&gt;=1.5,"増加↑",IF(O20&gt;=1,"普通→","減少↓"))))</f>
        <v/>
      </c>
      <c r="Q20" s="225">
        <f>IF(E20="","",IF(AND(E20&lt;G20,O20&gt;=1.5),"売り▼",IF(E20&gt;G20,"様子見▲","中立→")))</f>
        <v/>
      </c>
      <c r="R20" s="353">
        <f>IF(E20&lt;&gt;"",ROUND(E20*0.92,0),"")</f>
        <v/>
      </c>
      <c r="S20" s="353">
        <f>IF(E20&lt;&gt;"",ROUND(E20*1.04,0),"")</f>
        <v/>
      </c>
      <c r="T20" s="345">
        <f>IF(C20="","",IFERROR(IF(W20&gt;=70,3,IF(W20&gt;=60,2,IF(W20&gt;=50,1,0)))+IF(X20&lt;0,2,0)+IF(AD20="下降トレンド▼",3,IF(AD20="もみ合い→",1,0))+IF(V20="年初来安値圏●",3,IF(V20="安値圏",2,0))+IF(Q20="売り▼",2,0)+IF(P20="急増↑↑",2,IF(P20="増加↑",1,0))+IF(Z20&lt;0,1,0)+IF(L20&lt;=-30,2,IF(L20&lt;=-15,1,0))+IF(AE20="25日戻り売り★",2,IF(AE20="5日戻り売り○",1,0))+N(AL20)+N(AP20)+N(AU20),0))</f>
        <v/>
      </c>
      <c r="U20" s="225">
        <f>IF(T20="","",IF(AND(T20&gt;=3,O20&gt;=1.5),"有効",IF(T20&gt;=3,"要確認","除外")))</f>
        <v/>
      </c>
      <c r="V20" s="225">
        <f>IF(AND(I20&lt;&gt;"",K20&lt;&gt;""),IF(I20&lt;=K20*0.6,"年初来安値圏●",IF(I20&lt;=K20*0.75,"安値圏","通常")),"")</f>
        <v/>
      </c>
      <c r="W20" s="628">
        <f t="array" ref="W20">IFERROR(100-100/(1+SUMPRODUCT((終値!F201:R201&gt;終値!G201:S201)*(終値!F201:R201-終値!G201:S201))/SUMPRODUCT((終値!F201:R201&lt;終値!G201:S201)*(終値!G201:S201-終値!F201:R201))),50)</f>
        <v/>
      </c>
      <c r="X20" s="357">
        <f>IF(C20&lt;&gt;"",IFERROR(SUMPRODUCT(終値!E201:P201,{0.154,0.132,0.113,0.097,0.083,0.071,0.061,0.052,0.045,0.038,0.033,0.028})/SUMPRODUCT({0.154,0.132,0.113,0.097,0.083,0.071,0.061,0.052,0.045,0.038,0.033,0.028})-SUMPRODUCT(終値!E201:AD201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" s="225">
        <f>IF(AF20="","",AF20&amp;" | "&amp;AD20&amp;IF(AE20&lt;&gt;"なし"," "&amp;AE20,"")&amp;IF(X20&lt;0," MACD-"," MACD+")&amp;" RSI:"&amp;TEXT(W20,"0.0")&amp;IF(W20&gt;=70," [過熱]",IF(W20&lt;=30," [売られ過ぎ]",""))&amp;" 前日比:"&amp;TEXT(Z20,"+0.0;-0.0;0.0")&amp;"%"&amp;IF(V20="年初来安値圏●"," [年初来安値圏]",IF(V20="安値圏"," [安値圏]",""))&amp;IF(OR(AO20="通常",AO20="-"),""," ["&amp;AO20&amp;"]")&amp;IF(OR(AT20="通常",AT20="-"),"","前日["&amp;AT20&amp;"]")&amp;" ["&amp;T20&amp;"点]")</f>
        <v/>
      </c>
      <c r="Z20" s="629">
        <f>IF(AND(E20&lt;&gt;"",G20&lt;&gt;"",G20&lt;&gt;0),(E20-G20)/G20*100,"")</f>
        <v/>
      </c>
      <c r="AA20" s="225">
        <f>IF(OR(C20="",E20="",E20=0),"",IF(E20&gt;G20,"上昇▲",IF(E20&lt;G20,"下落▼","横ばい→")))</f>
        <v/>
      </c>
      <c r="AB20" s="353">
        <f>IF(OR(C20="",C20="TOPX",終値!E201=""),"",IFERROR(((終値!E201*0.333)+(終値!F201*0.222)+(終値!G201*0.148)+(終値!H201*0.099)+(終値!I201*0.066))/(0.333+0.222+0.148+0.099+0.066),""))</f>
        <v/>
      </c>
      <c r="AC20" s="353">
        <f>IF(OR(C20="",C20="TOPX",終値!E201=""),"",IFERROR(SUMPRODUCT((終値!E201:AC201)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" s="225">
        <f>IF(OR(C20="",AB20="",AC20="",AB20=0,AC20=0),"",IF(AND(E20&gt;AB20,AB20&gt;AC20),"パーフェクト▲",IF(E20&gt;AC20,"上昇トレンド▲",IF(AND(E20&lt;AB20,AB20&lt;AC20),"下降トレンド▼","もみ合い→"))))</f>
        <v/>
      </c>
      <c r="AE20" s="225">
        <f>IF(OR(C20="",AB20="",AC20=""),"",IF(AND(ABS(E20-AC20)/AC20&lt;=0.02,E20&lt;AC20),"25日戻り売り★",IF(AND(ABS(E20-AB20)/AB20&lt;=0.01,E20&lt;AB20),"5日戻り売り○","なし")))</f>
        <v/>
      </c>
      <c r="AF20">
        <f>IF(T20="","",IF(銘柄管理!$F$5="上昇▲",IF(AND(AD20="下降トレンド▼",OR(AE20="25日戻り売り★",AE20="5日戻り売り○")),"★逆張り売り",IF(AND(AD20="もみ合い→",OR(AE20="25日戻り売り★",AE20="5日戻り売り○")),"○逆張り売り",IF(W20&gt;=70,IF(Z20&lt;0,"◎反落確認","△過熱・様子見"),"相場上昇・見送り"))),IF(AND(T20&gt;=12,AD20="下降トレンド▼"),"★強い売り",IF(T20&gt;=12,"★強い売り",IF(AND(T20&gt;=8,OR(AE20="25日戻り売り★",AE20="5日戻り売り○")),"◎戻り売り",IF(T20&gt;=10,"○売り候補",IF(T20&gt;=6,"△注目",IF(T20&gt;=3,"様子見","見送り"))))))))</f>
        <v/>
      </c>
      <c r="AG20">
        <f>IF(AND(T20&gt;=7,C20&lt;&gt;""),T20,0)</f>
        <v/>
      </c>
      <c r="AH20">
        <f>IF(AG20&gt;0,AG20*10000-ROW(A20),0)</f>
        <v/>
      </c>
      <c r="AI20" s="623">
        <f t="array" ref="AI20">IF(C20="","",IFERROR((INDEX(終値!$E:$E,MATCH(TEXT(C20,"0"),終値!$A:$A,0))-INDEX(終値!$E:$BL,MATCH(TEXT(C20,"0"),終値!$A:$A,0),$AN$2))/INDEX(終値!$E:$BL,MATCH(TEXT(C20,"0"),終値!$A:$A,0),$AN$2)*100,""))</f>
        <v/>
      </c>
      <c r="AJ20" s="623">
        <f t="array" ref="AJ20">IFERROR((終値!$E$5-INDEX(終値!$E$5:$BL$5,1,$AN$2))/INDEX(終値!$E$5:$BL$5,1,$AN$2)*100,"")</f>
        <v/>
      </c>
      <c r="AK20" s="624">
        <f>IF(OR(AI20="",AJ20=""),"",AI20-AJ20)</f>
        <v/>
      </c>
      <c r="AL20" s="394">
        <f>IF(AK20="","",IF(AK20&lt;-5,3,IF(AK20&lt;0,1,IF(AK20&lt;3,-1,-2))))</f>
        <v/>
      </c>
      <c r="AO20" s="398">
        <f>IF(OR($C20="",$E20="",$F20="",$H20="",$I20="",$H20-$I20&lt;=0),"-",IF(AND($H20-MAX($F20,$E20)&gt;=ABS($E20-$F20)*2,MIN($F20,$E20)-$I20&lt;=ABS($E20-$F20)*0.5,ABS($E20-$F20)&gt;0),"上ヒゲ陰線▼",IF(AND($E20&lt;$F20,ABS($E20-$F20)&gt;=($H20-$I20)*0.7),"大陰線▼",IF(AND(MIN($F20,$E20)-$I20&gt;=($H20-$I20)*0.5,$H20-MAX($F20,$E20)&lt;=($H20-$I20)*0.2),"長い下ヒゲ(反発警戒)","通常"))))</f>
        <v/>
      </c>
      <c r="AP20" s="625">
        <f>IF($AO20="上ヒゲ陰線▼",2,IF($AO20="大陰線▼",2,IF($AO20="長い下ヒゲ(反発警戒)",-2,0)))</f>
        <v/>
      </c>
      <c r="AQ20">
        <f>IF(C20&lt;&gt;"",始値!F201,"")</f>
        <v/>
      </c>
      <c r="AR20">
        <f>IF(C20&lt;&gt;"",高値!F201,"")</f>
        <v/>
      </c>
      <c r="AS20">
        <f>IF(C20&lt;&gt;"",安値!F201,"")</f>
        <v/>
      </c>
      <c r="AT20">
        <f>IF(OR(C20="",AQ20="",AR20="",AS20="",AR20-AS20&lt;=0),"-",IF(AND(AR20-MAX(G20,AQ20)&gt;=ABS(G20-AQ20)*2,MIN(G20,AQ20)-AS20&lt;=ABS(G20-AQ20)*0.5,ABS(G20-AQ20)&gt;0),"上ヒゲ陰線▼",IF(AND(G20&lt;AQ20,ABS(G20-AQ20)&gt;=(AR20-AS20)*0.7),"大陰線▼",IF(AND(MIN(G20,AQ20)-AS20&gt;=(AR20-AS20)*0.5,AR20-MAX(G20,AQ20)&lt;=(AR20-AS20)*0.2),"長い下ヒゲ(反発)","通常"))))</f>
        <v/>
      </c>
      <c r="AU20">
        <f>IF(AT20="上ヒゲ陰線▼",2,IF(AT20="大陰線▼",2,IF(AT20="長い下ヒゲ(反発)",-2,0)))</f>
        <v/>
      </c>
    </row>
    <row r="21" ht="14.25" customHeight="1" s="574">
      <c r="A21" s="344">
        <f>IF(銘柄管理!B32&lt;&gt;"",HYPERLINK("https://kabutan.jp/stock/?code="&amp;銘柄管理!B32,"株探"),"")</f>
        <v/>
      </c>
      <c r="B21" s="345" t="n"/>
      <c r="C21" s="345">
        <f>IF(銘柄管理!B32="","",銘柄管理!B32)</f>
        <v/>
      </c>
      <c r="D21" s="345">
        <f>IF(銘柄管理!C32="","",銘柄管理!C32)</f>
        <v/>
      </c>
      <c r="E21" s="346">
        <f>IF(C21&lt;&gt;"",_xll.RssMarket(C21,"現在値"),"")</f>
        <v/>
      </c>
      <c r="F21" s="346">
        <f>IF(C21&lt;&gt;"",_xll.RssMarket(C21,"始値"),"")</f>
        <v/>
      </c>
      <c r="G21" s="345">
        <f>IF(C21&lt;&gt;"",終値!F32,"")</f>
        <v/>
      </c>
      <c r="H21" s="346">
        <f>IF(C21&lt;&gt;"",_xll.RssMarket(C21,"高値"),"")</f>
        <v/>
      </c>
      <c r="I21" s="346">
        <f>IF(C21&lt;&gt;"",_xll.RssMarket(C21,"安値"),"")</f>
        <v/>
      </c>
      <c r="J21" s="346">
        <f>IF(C21&lt;&gt;"",_xll.RssMarket(C21,"出来高"),"")</f>
        <v/>
      </c>
      <c r="K21" s="346">
        <f>IF(C21&lt;&gt;"",_xll.RssMarket(C21,"年初来高値"),"")</f>
        <v/>
      </c>
      <c r="L21" s="619">
        <f>IF(AND(E21&lt;&gt;"",K21&lt;&gt;"",K21&lt;&gt;0),(E21-K21)/K21*100,"")</f>
        <v/>
      </c>
      <c r="M21" s="346">
        <f>IF(C21&lt;&gt;"",IFERROR(AVERAGE(出来高!E32:I32),""),"")</f>
        <v/>
      </c>
      <c r="N21" s="346">
        <f>IF(C21&lt;&gt;"",IFERROR(AVERAGE(出来高!E32:AC32),""),"")</f>
        <v/>
      </c>
      <c r="O21" s="620">
        <f>IF(AND(J21&lt;&gt;"",M21&lt;&gt;"",M21&lt;&gt;0),J21/M21,"")</f>
        <v/>
      </c>
      <c r="P21" s="345">
        <f>IF(O21="","",IF(O21&gt;=2,"急増↑↑",IF(O21&gt;=1.5,"増加↑",IF(O21&gt;=1,"普通→","減少↓"))))</f>
        <v/>
      </c>
      <c r="Q21" s="345">
        <f>IF(E21="","",IF(AND(E21&lt;G21,O21&gt;=1.5),"売り▼",IF(E21&gt;G21,"様子見▲","中立→")))</f>
        <v/>
      </c>
      <c r="R21" s="346">
        <f>IF(E21&lt;&gt;"",ROUND(E21*0.92,0),"")</f>
        <v/>
      </c>
      <c r="S21" s="346">
        <f>IF(E21&lt;&gt;"",ROUND(E21*1.04,0),"")</f>
        <v/>
      </c>
      <c r="T21" s="345">
        <f>IF(C21="","",IFERROR(IF(W21&gt;=70,3,IF(W21&gt;=60,2,IF(W21&gt;=50,1,0)))+IF(X21&lt;0,2,0)+IF(AD21="下降トレンド▼",3,IF(AD21="もみ合い→",1,0))+IF(V21="年初来安値圏●",3,IF(V21="安値圏",2,0))+IF(Q21="売り▼",2,0)+IF(P21="急増↑↑",2,IF(P21="増加↑",1,0))+IF(Z21&lt;0,1,0)+IF(L21&lt;=-30,2,IF(L21&lt;=-15,1,0))+IF(AE21="25日戻り売り★",2,IF(AE21="5日戻り売り○",1,0))+N(AL21)+N(AP21)+N(AU21),0))</f>
        <v/>
      </c>
      <c r="U21" s="345">
        <f>IF(T21="","",IF(AND(T21&gt;=3,O21&gt;=1.5),"有効",IF(T21&gt;=3,"要確認","除外")))</f>
        <v/>
      </c>
      <c r="V21" s="345">
        <f>IF(AND(I21&lt;&gt;"",K21&lt;&gt;""),IF(I21&lt;=K21*0.6,"年初来安値圏●",IF(I21&lt;=K21*0.75,"安値圏","通常")),"")</f>
        <v/>
      </c>
      <c r="W21" s="621">
        <f t="array" ref="W21">IFERROR(100-100/(1+SUMPRODUCT((終値!F32:R32&gt;終値!G32:S32)*(終値!F32:R32-終値!G32:S32))/SUMPRODUCT((終値!F32:R32&lt;終値!G32:S32)*(終値!G32:S32-終値!F32:R32))),50)</f>
        <v/>
      </c>
      <c r="X21" s="350">
        <f>IF(C21&lt;&gt;"",IFERROR(SUMPRODUCT(終値!E32:P32,{0.154,0.132,0.113,0.097,0.083,0.071,0.061,0.052,0.045,0.038,0.033,0.028})/SUMPRODUCT({0.154,0.132,0.113,0.097,0.083,0.071,0.061,0.052,0.045,0.038,0.033,0.028})-SUMPRODUCT(終値!E32:AD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1" s="345">
        <f>IF(AF21="","",AF21&amp;" | "&amp;AD21&amp;IF(AE21&lt;&gt;"なし"," "&amp;AE21,"")&amp;IF(X21&lt;0," MACD-"," MACD+")&amp;" RSI:"&amp;TEXT(W21,"0.0")&amp;IF(W21&gt;=70," [過熱]",IF(W21&lt;=30," [売られ過ぎ]",""))&amp;" 前日比:"&amp;TEXT(Z21,"+0.0;-0.0;0.0")&amp;"%"&amp;IF(V21="年初来安値圏●"," [年初来安値圏]",IF(V21="安値圏"," [安値圏]",""))&amp;IF(OR(AO21="通常",AO21="-"),""," ["&amp;AO21&amp;"]")&amp;IF(OR(AT21="通常",AT21="-"),"","前日["&amp;AT21&amp;"]")&amp;" ["&amp;T21&amp;"点]")</f>
        <v/>
      </c>
      <c r="Z21" s="622">
        <f>IF(AND(E21&lt;&gt;"",G21&lt;&gt;"",G21&lt;&gt;0),(E21-G21)/G21*100,"")</f>
        <v/>
      </c>
      <c r="AA21" s="345">
        <f>IF(OR(C21="",E21="",E21=0),"",IF(E21&gt;G21,"上昇▲",IF(E21&lt;G21,"下落▼","横ばい→")))</f>
        <v/>
      </c>
      <c r="AB21" s="346">
        <f>IF(OR(C21="",C21="TOPX",終値!E32=""),"",IFERROR(((終値!E32*0.333)+(終値!F32*0.222)+(終値!G32*0.148)+(終値!H32*0.099)+(終値!I32*0.066))/(0.333+0.222+0.148+0.099+0.066),""))</f>
        <v/>
      </c>
      <c r="AC21" s="346">
        <f>IF(OR(C21="",C21="TOPX",終値!E32=""),"",IFERROR(SUMPRODUCT((終値!E32:AC32)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1" s="345">
        <f>IF(OR(C21="",AB21="",AC21="",AB21=0,AC21=0),"",IF(AND(E21&gt;AB21,AB21&gt;AC21),"パーフェクト▲",IF(E21&gt;AC21,"上昇トレンド▲",IF(AND(E21&lt;AB21,AB21&lt;AC21),"下降トレンド▼","もみ合い→"))))</f>
        <v/>
      </c>
      <c r="AE21" s="345">
        <f>IF(OR(C21="",AB21="",AC21=""),"",IF(AND(ABS(E21-AC21)/AC21&lt;=0.02,E21&lt;AC21),"25日戻り売り★",IF(AND(ABS(E21-AB21)/AB21&lt;=0.01,E21&lt;AB21),"5日戻り売り○","なし")))</f>
        <v/>
      </c>
      <c r="AF21">
        <f>IF(T21="","",IF(銘柄管理!$F$5="上昇▲",IF(AND(AD21="下降トレンド▼",OR(AE21="25日戻り売り★",AE21="5日戻り売り○")),"★逆張り売り",IF(AND(AD21="もみ合い→",OR(AE21="25日戻り売り★",AE21="5日戻り売り○")),"○逆張り売り",IF(W21&gt;=70,IF(Z21&lt;0,"◎反落確認","△過熱・様子見"),"相場上昇・見送り"))),IF(AND(T21&gt;=12,AD21="下降トレンド▼"),"★強い売り",IF(T21&gt;=12,"★強い売り",IF(AND(T21&gt;=8,OR(AE21="25日戻り売り★",AE21="5日戻り売り○")),"◎戻り売り",IF(T21&gt;=10,"○売り候補",IF(T21&gt;=6,"△注目",IF(T21&gt;=3,"様子見","見送り"))))))))</f>
        <v/>
      </c>
      <c r="AG21">
        <f>IF(AND(T21&gt;=7,C21&lt;&gt;""),T21,0)</f>
        <v/>
      </c>
      <c r="AH21">
        <f>IF(AG21&gt;0,AG21*10000-ROW(A21),0)</f>
        <v/>
      </c>
      <c r="AI21" s="623">
        <f t="array" ref="AI21">IF(C21="","",IFERROR((INDEX(終値!$E:$E,MATCH(TEXT(C21,"0"),終値!$A:$A,0))-INDEX(終値!$E:$BL,MATCH(TEXT(C21,"0"),終値!$A:$A,0),$AN$2))/INDEX(終値!$E:$BL,MATCH(TEXT(C21,"0"),終値!$A:$A,0),$AN$2)*100,""))</f>
        <v/>
      </c>
      <c r="AJ21" s="623">
        <f t="array" ref="AJ21">IFERROR((終値!$E$5-INDEX(終値!$E$5:$BL$5,1,$AN$2))/INDEX(終値!$E$5:$BL$5,1,$AN$2)*100,"")</f>
        <v/>
      </c>
      <c r="AK21" s="624">
        <f>IF(OR(AI21="",AJ21=""),"",AI21-AJ21)</f>
        <v/>
      </c>
      <c r="AL21" s="394">
        <f>IF(AK21="","",IF(AK21&lt;-5,3,IF(AK21&lt;0,1,IF(AK21&lt;3,-1,-2))))</f>
        <v/>
      </c>
      <c r="AO21" s="398">
        <f>IF(OR($C21="",$E21="",$F21="",$H21="",$I21="",$H21-$I21&lt;=0),"-",IF(AND($H21-MAX($F21,$E21)&gt;=ABS($E21-$F21)*2,MIN($F21,$E21)-$I21&lt;=ABS($E21-$F21)*0.5,ABS($E21-$F21)&gt;0),"上ヒゲ陰線▼",IF(AND($E21&lt;$F21,ABS($E21-$F21)&gt;=($H21-$I21)*0.7),"大陰線▼",IF(AND(MIN($F21,$E21)-$I21&gt;=($H21-$I21)*0.5,$H21-MAX($F21,$E21)&lt;=($H21-$I21)*0.2),"長い下ヒゲ(反発警戒)","通常"))))</f>
        <v/>
      </c>
      <c r="AP21" s="625">
        <f>IF($AO21="上ヒゲ陰線▼",2,IF($AO21="大陰線▼",2,IF($AO21="長い下ヒゲ(反発警戒)",-2,0)))</f>
        <v/>
      </c>
      <c r="AQ21">
        <f>IF(C21&lt;&gt;"",始値!F32,"")</f>
        <v/>
      </c>
      <c r="AR21">
        <f>IF(C21&lt;&gt;"",高値!F32,"")</f>
        <v/>
      </c>
      <c r="AS21">
        <f>IF(C21&lt;&gt;"",安値!F32,"")</f>
        <v/>
      </c>
      <c r="AT21">
        <f>IF(OR(C21="",AQ21="",AR21="",AS21="",AR21-AS21&lt;=0),"-",IF(AND(AR21-MAX(G21,AQ21)&gt;=ABS(G21-AQ21)*2,MIN(G21,AQ21)-AS21&lt;=ABS(G21-AQ21)*0.5,ABS(G21-AQ21)&gt;0),"上ヒゲ陰線▼",IF(AND(G21&lt;AQ21,ABS(G21-AQ21)&gt;=(AR21-AS21)*0.7),"大陰線▼",IF(AND(MIN(G21,AQ21)-AS21&gt;=(AR21-AS21)*0.5,AR21-MAX(G21,AQ21)&lt;=(AR21-AS21)*0.2),"長い下ヒゲ(反発)","通常"))))</f>
        <v/>
      </c>
      <c r="AU21">
        <f>IF(AT21="上ヒゲ陰線▼",2,IF(AT21="大陰線▼",2,IF(AT21="長い下ヒゲ(反発)",-2,0)))</f>
        <v/>
      </c>
    </row>
    <row r="22" ht="14.25" customHeight="1" s="574">
      <c r="A22" s="352">
        <f>IF(銘柄管理!B56&lt;&gt;"",HYPERLINK("https://kabutan.jp/stock/?code="&amp;銘柄管理!B56,"株探"),"")</f>
        <v/>
      </c>
      <c r="B22" s="225" t="n"/>
      <c r="C22" s="225">
        <f>IF(銘柄管理!B56="","",銘柄管理!B56)</f>
        <v/>
      </c>
      <c r="D22" s="225">
        <f>IF(銘柄管理!C56="","",銘柄管理!C56)</f>
        <v/>
      </c>
      <c r="E22" s="353">
        <f>IF(C22&lt;&gt;"",_xll.RssMarket(C22,"現在値"),"")</f>
        <v/>
      </c>
      <c r="F22" s="353">
        <f>IF(C22&lt;&gt;"",_xll.RssMarket(C22,"始値"),"")</f>
        <v/>
      </c>
      <c r="G22" s="225">
        <f>IF(C22&lt;&gt;"",終値!F56,"")</f>
        <v/>
      </c>
      <c r="H22" s="353">
        <f>IF(C22&lt;&gt;"",_xll.RssMarket(C22,"高値"),"")</f>
        <v/>
      </c>
      <c r="I22" s="353">
        <f>IF(C22&lt;&gt;"",_xll.RssMarket(C22,"安値"),"")</f>
        <v/>
      </c>
      <c r="J22" s="353">
        <f>IF(C22&lt;&gt;"",_xll.RssMarket(C22,"出来高"),"")</f>
        <v/>
      </c>
      <c r="K22" s="353">
        <f>IF(C22&lt;&gt;"",_xll.RssMarket(C22,"年初来高値"),"")</f>
        <v/>
      </c>
      <c r="L22" s="626">
        <f>IF(AND(E22&lt;&gt;"",K22&lt;&gt;"",K22&lt;&gt;0),(E22-K22)/K22*100,"")</f>
        <v/>
      </c>
      <c r="M22" s="353">
        <f>IF(C22&lt;&gt;"",IFERROR(AVERAGE(出来高!E56:I56),""),"")</f>
        <v/>
      </c>
      <c r="N22" s="353">
        <f>IF(C22&lt;&gt;"",IFERROR(AVERAGE(出来高!E56:AC56),""),"")</f>
        <v/>
      </c>
      <c r="O22" s="627">
        <f>IF(AND(J22&lt;&gt;"",M22&lt;&gt;"",M22&lt;&gt;0),J22/M22,"")</f>
        <v/>
      </c>
      <c r="P22" s="225">
        <f>IF(O22="","",IF(O22&gt;=2,"急増↑↑",IF(O22&gt;=1.5,"増加↑",IF(O22&gt;=1,"普通→","減少↓"))))</f>
        <v/>
      </c>
      <c r="Q22" s="225">
        <f>IF(E22="","",IF(AND(E22&lt;G22,O22&gt;=1.5),"売り▼",IF(E22&gt;G22,"様子見▲","中立→")))</f>
        <v/>
      </c>
      <c r="R22" s="353">
        <f>IF(E22&lt;&gt;"",ROUND(E22*0.92,0),"")</f>
        <v/>
      </c>
      <c r="S22" s="353">
        <f>IF(E22&lt;&gt;"",ROUND(E22*1.04,0),"")</f>
        <v/>
      </c>
      <c r="T22" s="345">
        <f>IF(C22="","",IFERROR(IF(W22&gt;=70,3,IF(W22&gt;=60,2,IF(W22&gt;=50,1,0)))+IF(X22&lt;0,2,0)+IF(AD22="下降トレンド▼",3,IF(AD22="もみ合い→",1,0))+IF(V22="年初来安値圏●",3,IF(V22="安値圏",2,0))+IF(Q22="売り▼",2,0)+IF(P22="急増↑↑",2,IF(P22="増加↑",1,0))+IF(Z22&lt;0,1,0)+IF(L22&lt;=-30,2,IF(L22&lt;=-15,1,0))+IF(AE22="25日戻り売り★",2,IF(AE22="5日戻り売り○",1,0))+N(AL22)+N(AP22)+N(AU22),0))</f>
        <v/>
      </c>
      <c r="U22" s="225">
        <f>IF(T22="","",IF(AND(T22&gt;=3,O22&gt;=1.5),"有効",IF(T22&gt;=3,"要確認","除外")))</f>
        <v/>
      </c>
      <c r="V22" s="225">
        <f>IF(AND(I22&lt;&gt;"",K22&lt;&gt;""),IF(I22&lt;=K22*0.6,"年初来安値圏●",IF(I22&lt;=K22*0.75,"安値圏","通常")),"")</f>
        <v/>
      </c>
      <c r="W22" s="628">
        <f t="array" ref="W22">IFERROR(100-100/(1+SUMPRODUCT((終値!F56:R56&gt;終値!G56:S56)*(終値!F56:R56-終値!G56:S56))/SUMPRODUCT((終値!F56:R56&lt;終値!G56:S56)*(終値!G56:S56-終値!F56:R56))),50)</f>
        <v/>
      </c>
      <c r="X22" s="357">
        <f>IF(C22&lt;&gt;"",IFERROR(SUMPRODUCT(終値!E56:P56,{0.154,0.132,0.113,0.097,0.083,0.071,0.061,0.052,0.045,0.038,0.033,0.028})/SUMPRODUCT({0.154,0.132,0.113,0.097,0.083,0.071,0.061,0.052,0.045,0.038,0.033,0.028})-SUMPRODUCT(終値!E56:AD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2" s="225">
        <f>IF(AF22="","",AF22&amp;" | "&amp;AD22&amp;IF(AE22&lt;&gt;"なし"," "&amp;AE22,"")&amp;IF(X22&lt;0," MACD-"," MACD+")&amp;" RSI:"&amp;TEXT(W22,"0.0")&amp;IF(W22&gt;=70," [過熱]",IF(W22&lt;=30," [売られ過ぎ]",""))&amp;" 前日比:"&amp;TEXT(Z22,"+0.0;-0.0;0.0")&amp;"%"&amp;IF(V22="年初来安値圏●"," [年初来安値圏]",IF(V22="安値圏"," [安値圏]",""))&amp;IF(OR(AO22="通常",AO22="-"),""," ["&amp;AO22&amp;"]")&amp;IF(OR(AT22="通常",AT22="-"),"","前日["&amp;AT22&amp;"]")&amp;" ["&amp;T22&amp;"点]")</f>
        <v/>
      </c>
      <c r="Z22" s="629">
        <f>IF(AND(E22&lt;&gt;"",G22&lt;&gt;"",G22&lt;&gt;0),(E22-G22)/G22*100,"")</f>
        <v/>
      </c>
      <c r="AA22" s="225">
        <f>IF(OR(C22="",E22="",E22=0),"",IF(E22&gt;G22,"上昇▲",IF(E22&lt;G22,"下落▼","横ばい→")))</f>
        <v/>
      </c>
      <c r="AB22" s="353">
        <f>IF(OR(C22="",C22="TOPX",終値!E56=""),"",IFERROR(((終値!E56*0.333)+(終値!F56*0.222)+(終値!G56*0.148)+(終値!H56*0.099)+(終値!I56*0.066))/(0.333+0.222+0.148+0.099+0.066),""))</f>
        <v/>
      </c>
      <c r="AC22" s="353">
        <f>IF(OR(C22="",C22="TOPX",終値!E56=""),"",IFERROR(SUMPRODUCT((終値!E56:AC56)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2" s="225">
        <f>IF(OR(C22="",AB22="",AC22="",AB22=0,AC22=0),"",IF(AND(E22&gt;AB22,AB22&gt;AC22),"パーフェクト▲",IF(E22&gt;AC22,"上昇トレンド▲",IF(AND(E22&lt;AB22,AB22&lt;AC22),"下降トレンド▼","もみ合い→"))))</f>
        <v/>
      </c>
      <c r="AE22" s="225">
        <f>IF(OR(C22="",AB22="",AC22=""),"",IF(AND(ABS(E22-AC22)/AC22&lt;=0.02,E22&lt;AC22),"25日戻り売り★",IF(AND(ABS(E22-AB22)/AB22&lt;=0.01,E22&lt;AB22),"5日戻り売り○","なし")))</f>
        <v/>
      </c>
      <c r="AF22">
        <f>IF(T22="","",IF(銘柄管理!$F$5="上昇▲",IF(AND(AD22="下降トレンド▼",OR(AE22="25日戻り売り★",AE22="5日戻り売り○")),"★逆張り売り",IF(AND(AD22="もみ合い→",OR(AE22="25日戻り売り★",AE22="5日戻り売り○")),"○逆張り売り",IF(W22&gt;=70,IF(Z22&lt;0,"◎反落確認","△過熱・様子見"),"相場上昇・見送り"))),IF(AND(T22&gt;=12,AD22="下降トレンド▼"),"★強い売り",IF(T22&gt;=12,"★強い売り",IF(AND(T22&gt;=8,OR(AE22="25日戻り売り★",AE22="5日戻り売り○")),"◎戻り売り",IF(T22&gt;=10,"○売り候補",IF(T22&gt;=6,"△注目",IF(T22&gt;=3,"様子見","見送り"))))))))</f>
        <v/>
      </c>
      <c r="AG22">
        <f>IF(AND(T22&gt;=7,C22&lt;&gt;""),T22,0)</f>
        <v/>
      </c>
      <c r="AH22">
        <f>IF(AG22&gt;0,AG22*10000-ROW(A22),0)</f>
        <v/>
      </c>
      <c r="AI22" s="623">
        <f t="array" ref="AI22">IF(C22="","",IFERROR((INDEX(終値!$E:$E,MATCH(TEXT(C22,"0"),終値!$A:$A,0))-INDEX(終値!$E:$BL,MATCH(TEXT(C22,"0"),終値!$A:$A,0),$AN$2))/INDEX(終値!$E:$BL,MATCH(TEXT(C22,"0"),終値!$A:$A,0),$AN$2)*100,""))</f>
        <v/>
      </c>
      <c r="AJ22" s="623">
        <f t="array" ref="AJ22">IFERROR((終値!$E$5-INDEX(終値!$E$5:$BL$5,1,$AN$2))/INDEX(終値!$E$5:$BL$5,1,$AN$2)*100,"")</f>
        <v/>
      </c>
      <c r="AK22" s="624">
        <f>IF(OR(AI22="",AJ22=""),"",AI22-AJ22)</f>
        <v/>
      </c>
      <c r="AL22" s="394">
        <f>IF(AK22="","",IF(AK22&lt;-5,3,IF(AK22&lt;0,1,IF(AK22&lt;3,-1,-2))))</f>
        <v/>
      </c>
      <c r="AO22" s="398">
        <f>IF(OR($C22="",$E22="",$F22="",$H22="",$I22="",$H22-$I22&lt;=0),"-",IF(AND($H22-MAX($F22,$E22)&gt;=ABS($E22-$F22)*2,MIN($F22,$E22)-$I22&lt;=ABS($E22-$F22)*0.5,ABS($E22-$F22)&gt;0),"上ヒゲ陰線▼",IF(AND($E22&lt;$F22,ABS($E22-$F22)&gt;=($H22-$I22)*0.7),"大陰線▼",IF(AND(MIN($F22,$E22)-$I22&gt;=($H22-$I22)*0.5,$H22-MAX($F22,$E22)&lt;=($H22-$I22)*0.2),"長い下ヒゲ(反発警戒)","通常"))))</f>
        <v/>
      </c>
      <c r="AP22" s="625">
        <f>IF($AO22="上ヒゲ陰線▼",2,IF($AO22="大陰線▼",2,IF($AO22="長い下ヒゲ(反発警戒)",-2,0)))</f>
        <v/>
      </c>
      <c r="AQ22">
        <f>IF(C22&lt;&gt;"",始値!F56,"")</f>
        <v/>
      </c>
      <c r="AR22">
        <f>IF(C22&lt;&gt;"",高値!F56,"")</f>
        <v/>
      </c>
      <c r="AS22">
        <f>IF(C22&lt;&gt;"",安値!F56,"")</f>
        <v/>
      </c>
      <c r="AT22">
        <f>IF(OR(C22="",AQ22="",AR22="",AS22="",AR22-AS22&lt;=0),"-",IF(AND(AR22-MAX(G22,AQ22)&gt;=ABS(G22-AQ22)*2,MIN(G22,AQ22)-AS22&lt;=ABS(G22-AQ22)*0.5,ABS(G22-AQ22)&gt;0),"上ヒゲ陰線▼",IF(AND(G22&lt;AQ22,ABS(G22-AQ22)&gt;=(AR22-AS22)*0.7),"大陰線▼",IF(AND(MIN(G22,AQ22)-AS22&gt;=(AR22-AS22)*0.5,AR22-MAX(G22,AQ22)&lt;=(AR22-AS22)*0.2),"長い下ヒゲ(反発)","通常"))))</f>
        <v/>
      </c>
      <c r="AU22">
        <f>IF(AT22="上ヒゲ陰線▼",2,IF(AT22="大陰線▼",2,IF(AT22="長い下ヒゲ(反発)",-2,0)))</f>
        <v/>
      </c>
    </row>
    <row r="23" ht="14.25" customHeight="1" s="574">
      <c r="A23" s="344">
        <f>IF(銘柄管理!B76&lt;&gt;"",HYPERLINK("https://kabutan.jp/stock/?code="&amp;銘柄管理!B76,"株探"),"")</f>
        <v/>
      </c>
      <c r="B23" s="345" t="n"/>
      <c r="C23" s="345">
        <f>IF(銘柄管理!B76="","",銘柄管理!B76)</f>
        <v/>
      </c>
      <c r="D23" s="345">
        <f>IF(銘柄管理!C76="","",銘柄管理!C76)</f>
        <v/>
      </c>
      <c r="E23" s="346">
        <f>IF(C23&lt;&gt;"",_xll.RssMarket(C23,"現在値"),"")</f>
        <v/>
      </c>
      <c r="F23" s="346">
        <f>IF(C23&lt;&gt;"",_xll.RssMarket(C23,"始値"),"")</f>
        <v/>
      </c>
      <c r="G23" s="345">
        <f>IF(C23&lt;&gt;"",終値!F76,"")</f>
        <v/>
      </c>
      <c r="H23" s="346">
        <f>IF(C23&lt;&gt;"",_xll.RssMarket(C23,"高値"),"")</f>
        <v/>
      </c>
      <c r="I23" s="346">
        <f>IF(C23&lt;&gt;"",_xll.RssMarket(C23,"安値"),"")</f>
        <v/>
      </c>
      <c r="J23" s="346">
        <f>IF(C23&lt;&gt;"",_xll.RssMarket(C23,"出来高"),"")</f>
        <v/>
      </c>
      <c r="K23" s="346">
        <f>IF(C23&lt;&gt;"",_xll.RssMarket(C23,"年初来高値"),"")</f>
        <v/>
      </c>
      <c r="L23" s="619">
        <f>IF(AND(E23&lt;&gt;"",K23&lt;&gt;"",K23&lt;&gt;0),(E23-K23)/K23*100,"")</f>
        <v/>
      </c>
      <c r="M23" s="346">
        <f>IF(C23&lt;&gt;"",IFERROR(AVERAGE(出来高!E76:I76),""),"")</f>
        <v/>
      </c>
      <c r="N23" s="346">
        <f>IF(C23&lt;&gt;"",IFERROR(AVERAGE(出来高!E76:AC76),""),"")</f>
        <v/>
      </c>
      <c r="O23" s="620">
        <f>IF(AND(J23&lt;&gt;"",M23&lt;&gt;"",M23&lt;&gt;0),J23/M23,"")</f>
        <v/>
      </c>
      <c r="P23" s="345">
        <f>IF(O23="","",IF(O23&gt;=2,"急増↑↑",IF(O23&gt;=1.5,"増加↑",IF(O23&gt;=1,"普通→","減少↓"))))</f>
        <v/>
      </c>
      <c r="Q23" s="345">
        <f>IF(E23="","",IF(AND(E23&lt;G23,O23&gt;=1.5),"売り▼",IF(E23&gt;G23,"様子見▲","中立→")))</f>
        <v/>
      </c>
      <c r="R23" s="346">
        <f>IF(E23&lt;&gt;"",ROUND(E23*0.92,0),"")</f>
        <v/>
      </c>
      <c r="S23" s="346">
        <f>IF(E23&lt;&gt;"",ROUND(E23*1.04,0),"")</f>
        <v/>
      </c>
      <c r="T23" s="345">
        <f>IF(C23="","",IFERROR(IF(W23&gt;=70,3,IF(W23&gt;=60,2,IF(W23&gt;=50,1,0)))+IF(X23&lt;0,2,0)+IF(AD23="下降トレンド▼",3,IF(AD23="もみ合い→",1,0))+IF(V23="年初来安値圏●",3,IF(V23="安値圏",2,0))+IF(Q23="売り▼",2,0)+IF(P23="急増↑↑",2,IF(P23="増加↑",1,0))+IF(Z23&lt;0,1,0)+IF(L23&lt;=-30,2,IF(L23&lt;=-15,1,0))+IF(AE23="25日戻り売り★",2,IF(AE23="5日戻り売り○",1,0))+N(AL23)+N(AP23)+N(AU23),0))</f>
        <v/>
      </c>
      <c r="U23" s="345">
        <f>IF(T23="","",IF(AND(T23&gt;=3,O23&gt;=1.5),"有効",IF(T23&gt;=3,"要確認","除外")))</f>
        <v/>
      </c>
      <c r="V23" s="345">
        <f>IF(AND(I23&lt;&gt;"",K23&lt;&gt;""),IF(I23&lt;=K23*0.6,"年初来安値圏●",IF(I23&lt;=K23*0.75,"安値圏","通常")),"")</f>
        <v/>
      </c>
      <c r="W23" s="621">
        <f t="array" ref="W23">IFERROR(100-100/(1+SUMPRODUCT((終値!F76:R76&gt;終値!G76:S76)*(終値!F76:R76-終値!G76:S76))/SUMPRODUCT((終値!F76:R76&lt;終値!G76:S76)*(終値!G76:S76-終値!F76:R76))),50)</f>
        <v/>
      </c>
      <c r="X23" s="350">
        <f>IF(C23&lt;&gt;"",IFERROR(SUMPRODUCT(終値!E76:P76,{0.154,0.132,0.113,0.097,0.083,0.071,0.061,0.052,0.045,0.038,0.033,0.028})/SUMPRODUCT({0.154,0.132,0.113,0.097,0.083,0.071,0.061,0.052,0.045,0.038,0.033,0.028})-SUMPRODUCT(終値!E76:AD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3" s="345">
        <f>IF(AF23="","",AF23&amp;" | "&amp;AD23&amp;IF(AE23&lt;&gt;"なし"," "&amp;AE23,"")&amp;IF(X23&lt;0," MACD-"," MACD+")&amp;" RSI:"&amp;TEXT(W23,"0.0")&amp;IF(W23&gt;=70," [過熱]",IF(W23&lt;=30," [売られ過ぎ]",""))&amp;" 前日比:"&amp;TEXT(Z23,"+0.0;-0.0;0.0")&amp;"%"&amp;IF(V23="年初来安値圏●"," [年初来安値圏]",IF(V23="安値圏"," [安値圏]",""))&amp;IF(OR(AO23="通常",AO23="-"),""," ["&amp;AO23&amp;"]")&amp;IF(OR(AT23="通常",AT23="-"),"","前日["&amp;AT23&amp;"]")&amp;" ["&amp;T23&amp;"点]")</f>
        <v/>
      </c>
      <c r="Z23" s="622">
        <f>IF(AND(E23&lt;&gt;"",G23&lt;&gt;"",G23&lt;&gt;0),(E23-G23)/G23*100,"")</f>
        <v/>
      </c>
      <c r="AA23" s="345">
        <f>IF(OR(C23="",E23="",E23=0),"",IF(E23&gt;G23,"上昇▲",IF(E23&lt;G23,"下落▼","横ばい→")))</f>
        <v/>
      </c>
      <c r="AB23" s="346">
        <f>IF(OR(C23="",C23="TOPX",終値!E76=""),"",IFERROR(((終値!E76*0.333)+(終値!F76*0.222)+(終値!G76*0.148)+(終値!H76*0.099)+(終値!I76*0.066))/(0.333+0.222+0.148+0.099+0.066),""))</f>
        <v/>
      </c>
      <c r="AC23" s="346">
        <f>IF(OR(C23="",C23="TOPX",終値!E76=""),"",IFERROR(SUMPRODUCT((終値!E76:AC76)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3" s="345">
        <f>IF(OR(C23="",AB23="",AC23="",AB23=0,AC23=0),"",IF(AND(E23&gt;AB23,AB23&gt;AC23),"パーフェクト▲",IF(E23&gt;AC23,"上昇トレンド▲",IF(AND(E23&lt;AB23,AB23&lt;AC23),"下降トレンド▼","もみ合い→"))))</f>
        <v/>
      </c>
      <c r="AE23" s="345">
        <f>IF(OR(C23="",AB23="",AC23=""),"",IF(AND(ABS(E23-AC23)/AC23&lt;=0.02,E23&lt;AC23),"25日戻り売り★",IF(AND(ABS(E23-AB23)/AB23&lt;=0.01,E23&lt;AB23),"5日戻り売り○","なし")))</f>
        <v/>
      </c>
      <c r="AF23">
        <f>IF(T23="","",IF(銘柄管理!$F$5="上昇▲",IF(AND(AD23="下降トレンド▼",OR(AE23="25日戻り売り★",AE23="5日戻り売り○")),"★逆張り売り",IF(AND(AD23="もみ合い→",OR(AE23="25日戻り売り★",AE23="5日戻り売り○")),"○逆張り売り",IF(W23&gt;=70,IF(Z23&lt;0,"◎反落確認","△過熱・様子見"),"相場上昇・見送り"))),IF(AND(T23&gt;=12,AD23="下降トレンド▼"),"★強い売り",IF(T23&gt;=12,"★強い売り",IF(AND(T23&gt;=8,OR(AE23="25日戻り売り★",AE23="5日戻り売り○")),"◎戻り売り",IF(T23&gt;=10,"○売り候補",IF(T23&gt;=6,"△注目",IF(T23&gt;=3,"様子見","見送り"))))))))</f>
        <v/>
      </c>
      <c r="AG23">
        <f>IF(AND(T23&gt;=7,C23&lt;&gt;""),T23,0)</f>
        <v/>
      </c>
      <c r="AH23">
        <f>IF(AG23&gt;0,AG23*10000-ROW(A23),0)</f>
        <v/>
      </c>
      <c r="AI23" s="623">
        <f t="array" ref="AI23">IF(C23="","",IFERROR((INDEX(終値!$E:$E,MATCH(TEXT(C23,"0"),終値!$A:$A,0))-INDEX(終値!$E:$BL,MATCH(TEXT(C23,"0"),終値!$A:$A,0),$AN$2))/INDEX(終値!$E:$BL,MATCH(TEXT(C23,"0"),終値!$A:$A,0),$AN$2)*100,""))</f>
        <v/>
      </c>
      <c r="AJ23" s="623">
        <f t="array" ref="AJ23">IFERROR((終値!$E$5-INDEX(終値!$E$5:$BL$5,1,$AN$2))/INDEX(終値!$E$5:$BL$5,1,$AN$2)*100,"")</f>
        <v/>
      </c>
      <c r="AK23" s="624">
        <f>IF(OR(AI23="",AJ23=""),"",AI23-AJ23)</f>
        <v/>
      </c>
      <c r="AL23" s="394">
        <f>IF(AK23="","",IF(AK23&lt;-5,3,IF(AK23&lt;0,1,IF(AK23&lt;3,-1,-2))))</f>
        <v/>
      </c>
      <c r="AO23" s="398">
        <f>IF(OR($C23="",$E23="",$F23="",$H23="",$I23="",$H23-$I23&lt;=0),"-",IF(AND($H23-MAX($F23,$E23)&gt;=ABS($E23-$F23)*2,MIN($F23,$E23)-$I23&lt;=ABS($E23-$F23)*0.5,ABS($E23-$F23)&gt;0),"上ヒゲ陰線▼",IF(AND($E23&lt;$F23,ABS($E23-$F23)&gt;=($H23-$I23)*0.7),"大陰線▼",IF(AND(MIN($F23,$E23)-$I23&gt;=($H23-$I23)*0.5,$H23-MAX($F23,$E23)&lt;=($H23-$I23)*0.2),"長い下ヒゲ(反発警戒)","通常"))))</f>
        <v/>
      </c>
      <c r="AP23" s="625">
        <f>IF($AO23="上ヒゲ陰線▼",2,IF($AO23="大陰線▼",2,IF($AO23="長い下ヒゲ(反発警戒)",-2,0)))</f>
        <v/>
      </c>
      <c r="AQ23">
        <f>IF(C23&lt;&gt;"",始値!F76,"")</f>
        <v/>
      </c>
      <c r="AR23">
        <f>IF(C23&lt;&gt;"",高値!F76,"")</f>
        <v/>
      </c>
      <c r="AS23">
        <f>IF(C23&lt;&gt;"",安値!F76,"")</f>
        <v/>
      </c>
      <c r="AT23">
        <f>IF(OR(C23="",AQ23="",AR23="",AS23="",AR23-AS23&lt;=0),"-",IF(AND(AR23-MAX(G23,AQ23)&gt;=ABS(G23-AQ23)*2,MIN(G23,AQ23)-AS23&lt;=ABS(G23-AQ23)*0.5,ABS(G23-AQ23)&gt;0),"上ヒゲ陰線▼",IF(AND(G23&lt;AQ23,ABS(G23-AQ23)&gt;=(AR23-AS23)*0.7),"大陰線▼",IF(AND(MIN(G23,AQ23)-AS23&gt;=(AR23-AS23)*0.5,AR23-MAX(G23,AQ23)&lt;=(AR23-AS23)*0.2),"長い下ヒゲ(反発)","通常"))))</f>
        <v/>
      </c>
      <c r="AU23">
        <f>IF(AT23="上ヒゲ陰線▼",2,IF(AT23="大陰線▼",2,IF(AT23="長い下ヒゲ(反発)",-2,0)))</f>
        <v/>
      </c>
    </row>
    <row r="24" ht="14.25" customHeight="1" s="574">
      <c r="A24" s="352">
        <f>IF(銘柄管理!B79&lt;&gt;"",HYPERLINK("https://kabutan.jp/stock/?code="&amp;銘柄管理!B79,"株探"),"")</f>
        <v/>
      </c>
      <c r="B24" s="225" t="n"/>
      <c r="C24" s="225">
        <f>IF(銘柄管理!B79="","",銘柄管理!B79)</f>
        <v/>
      </c>
      <c r="D24" s="225">
        <f>IF(銘柄管理!C79="","",銘柄管理!C79)</f>
        <v/>
      </c>
      <c r="E24" s="353">
        <f>IF(C24&lt;&gt;"",_xll.RssMarket(C24,"現在値"),"")</f>
        <v/>
      </c>
      <c r="F24" s="353">
        <f>IF(C24&lt;&gt;"",_xll.RssMarket(C24,"始値"),"")</f>
        <v/>
      </c>
      <c r="G24" s="225">
        <f>IF(C24&lt;&gt;"",終値!F79,"")</f>
        <v/>
      </c>
      <c r="H24" s="353">
        <f>IF(C24&lt;&gt;"",_xll.RssMarket(C24,"高値"),"")</f>
        <v/>
      </c>
      <c r="I24" s="353">
        <f>IF(C24&lt;&gt;"",_xll.RssMarket(C24,"安値"),"")</f>
        <v/>
      </c>
      <c r="J24" s="353">
        <f>IF(C24&lt;&gt;"",_xll.RssMarket(C24,"出来高"),"")</f>
        <v/>
      </c>
      <c r="K24" s="353">
        <f>IF(C24&lt;&gt;"",_xll.RssMarket(C24,"年初来高値"),"")</f>
        <v/>
      </c>
      <c r="L24" s="626">
        <f>IF(AND(E24&lt;&gt;"",K24&lt;&gt;"",K24&lt;&gt;0),(E24-K24)/K24*100,"")</f>
        <v/>
      </c>
      <c r="M24" s="353">
        <f>IF(C24&lt;&gt;"",IFERROR(AVERAGE(出来高!E79:I79),""),"")</f>
        <v/>
      </c>
      <c r="N24" s="353">
        <f>IF(C24&lt;&gt;"",IFERROR(AVERAGE(出来高!E79:AC79),""),"")</f>
        <v/>
      </c>
      <c r="O24" s="627">
        <f>IF(AND(J24&lt;&gt;"",M24&lt;&gt;"",M24&lt;&gt;0),J24/M24,"")</f>
        <v/>
      </c>
      <c r="P24" s="225">
        <f>IF(O24="","",IF(O24&gt;=2,"急増↑↑",IF(O24&gt;=1.5,"増加↑",IF(O24&gt;=1,"普通→","減少↓"))))</f>
        <v/>
      </c>
      <c r="Q24" s="225">
        <f>IF(E24="","",IF(AND(E24&lt;G24,O24&gt;=1.5),"売り▼",IF(E24&gt;G24,"様子見▲","中立→")))</f>
        <v/>
      </c>
      <c r="R24" s="353">
        <f>IF(E24&lt;&gt;"",ROUND(E24*0.92,0),"")</f>
        <v/>
      </c>
      <c r="S24" s="353">
        <f>IF(E24&lt;&gt;"",ROUND(E24*1.04,0),"")</f>
        <v/>
      </c>
      <c r="T24" s="345">
        <f>IF(C24="","",IFERROR(IF(W24&gt;=70,3,IF(W24&gt;=60,2,IF(W24&gt;=50,1,0)))+IF(X24&lt;0,2,0)+IF(AD24="下降トレンド▼",3,IF(AD24="もみ合い→",1,0))+IF(V24="年初来安値圏●",3,IF(V24="安値圏",2,0))+IF(Q24="売り▼",2,0)+IF(P24="急増↑↑",2,IF(P24="増加↑",1,0))+IF(Z24&lt;0,1,0)+IF(L24&lt;=-30,2,IF(L24&lt;=-15,1,0))+IF(AE24="25日戻り売り★",2,IF(AE24="5日戻り売り○",1,0))+N(AL24)+N(AP24)+N(AU24),0))</f>
        <v/>
      </c>
      <c r="U24" s="225">
        <f>IF(T24="","",IF(AND(T24&gt;=3,O24&gt;=1.5),"有効",IF(T24&gt;=3,"要確認","除外")))</f>
        <v/>
      </c>
      <c r="V24" s="225">
        <f>IF(AND(I24&lt;&gt;"",K24&lt;&gt;""),IF(I24&lt;=K24*0.6,"年初来安値圏●",IF(I24&lt;=K24*0.75,"安値圏","通常")),"")</f>
        <v/>
      </c>
      <c r="W24" s="628">
        <f t="array" ref="W24">IFERROR(100-100/(1+SUMPRODUCT((終値!F79:R79&gt;終値!G79:S79)*(終値!F79:R79-終値!G79:S79))/SUMPRODUCT((終値!F79:R79&lt;終値!G79:S79)*(終値!G79:S79-終値!F79:R79))),50)</f>
        <v/>
      </c>
      <c r="X24" s="357">
        <f>IF(C24&lt;&gt;"",IFERROR(SUMPRODUCT(終値!E79:P79,{0.154,0.132,0.113,0.097,0.083,0.071,0.061,0.052,0.045,0.038,0.033,0.028})/SUMPRODUCT({0.154,0.132,0.113,0.097,0.083,0.071,0.061,0.052,0.045,0.038,0.033,0.028})-SUMPRODUCT(終値!E79:AD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4" s="225">
        <f>IF(AF24="","",AF24&amp;" | "&amp;AD24&amp;IF(AE24&lt;&gt;"なし"," "&amp;AE24,"")&amp;IF(X24&lt;0," MACD-"," MACD+")&amp;" RSI:"&amp;TEXT(W24,"0.0")&amp;IF(W24&gt;=70," [過熱]",IF(W24&lt;=30," [売られ過ぎ]",""))&amp;" 前日比:"&amp;TEXT(Z24,"+0.0;-0.0;0.0")&amp;"%"&amp;IF(V24="年初来安値圏●"," [年初来安値圏]",IF(V24="安値圏"," [安値圏]",""))&amp;IF(OR(AO24="通常",AO24="-"),""," ["&amp;AO24&amp;"]")&amp;IF(OR(AT24="通常",AT24="-"),"","前日["&amp;AT24&amp;"]")&amp;" ["&amp;T24&amp;"点]")</f>
        <v/>
      </c>
      <c r="Z24" s="629">
        <f>IF(AND(E24&lt;&gt;"",G24&lt;&gt;"",G24&lt;&gt;0),(E24-G24)/G24*100,"")</f>
        <v/>
      </c>
      <c r="AA24" s="225">
        <f>IF(OR(C24="",E24="",E24=0),"",IF(E24&gt;G24,"上昇▲",IF(E24&lt;G24,"下落▼","横ばい→")))</f>
        <v/>
      </c>
      <c r="AB24" s="353">
        <f>IF(OR(C24="",C24="TOPX",終値!E79=""),"",IFERROR(((終値!E79*0.333)+(終値!F79*0.222)+(終値!G79*0.148)+(終値!H79*0.099)+(終値!I79*0.066))/(0.333+0.222+0.148+0.099+0.066),""))</f>
        <v/>
      </c>
      <c r="AC24" s="353">
        <f>IF(OR(C24="",C24="TOPX",終値!E79=""),"",IFERROR(SUMPRODUCT((終値!E79:AC79)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4" s="225">
        <f>IF(OR(C24="",AB24="",AC24="",AB24=0,AC24=0),"",IF(AND(E24&gt;AB24,AB24&gt;AC24),"パーフェクト▲",IF(E24&gt;AC24,"上昇トレンド▲",IF(AND(E24&lt;AB24,AB24&lt;AC24),"下降トレンド▼","もみ合い→"))))</f>
        <v/>
      </c>
      <c r="AE24" s="225">
        <f>IF(OR(C24="",AB24="",AC24=""),"",IF(AND(ABS(E24-AC24)/AC24&lt;=0.02,E24&lt;AC24),"25日戻り売り★",IF(AND(ABS(E24-AB24)/AB24&lt;=0.01,E24&lt;AB24),"5日戻り売り○","なし")))</f>
        <v/>
      </c>
      <c r="AF24">
        <f>IF(T24="","",IF(銘柄管理!$F$5="上昇▲",IF(AND(AD24="下降トレンド▼",OR(AE24="25日戻り売り★",AE24="5日戻り売り○")),"★逆張り売り",IF(AND(AD24="もみ合い→",OR(AE24="25日戻り売り★",AE24="5日戻り売り○")),"○逆張り売り",IF(W24&gt;=70,IF(Z24&lt;0,"◎反落確認","△過熱・様子見"),"相場上昇・見送り"))),IF(AND(T24&gt;=12,AD24="下降トレンド▼"),"★強い売り",IF(T24&gt;=12,"★強い売り",IF(AND(T24&gt;=8,OR(AE24="25日戻り売り★",AE24="5日戻り売り○")),"◎戻り売り",IF(T24&gt;=10,"○売り候補",IF(T24&gt;=6,"△注目",IF(T24&gt;=3,"様子見","見送り"))))))))</f>
        <v/>
      </c>
      <c r="AG24">
        <f>IF(AND(T24&gt;=7,C24&lt;&gt;""),T24,0)</f>
        <v/>
      </c>
      <c r="AH24">
        <f>IF(AG24&gt;0,AG24*10000-ROW(A24),0)</f>
        <v/>
      </c>
      <c r="AI24" s="623">
        <f t="array" ref="AI24">IF(C24="","",IFERROR((INDEX(終値!$E:$E,MATCH(TEXT(C24,"0"),終値!$A:$A,0))-INDEX(終値!$E:$BL,MATCH(TEXT(C24,"0"),終値!$A:$A,0),$AN$2))/INDEX(終値!$E:$BL,MATCH(TEXT(C24,"0"),終値!$A:$A,0),$AN$2)*100,""))</f>
        <v/>
      </c>
      <c r="AJ24" s="623">
        <f t="array" ref="AJ24">IFERROR((終値!$E$5-INDEX(終値!$E$5:$BL$5,1,$AN$2))/INDEX(終値!$E$5:$BL$5,1,$AN$2)*100,"")</f>
        <v/>
      </c>
      <c r="AK24" s="624">
        <f>IF(OR(AI24="",AJ24=""),"",AI24-AJ24)</f>
        <v/>
      </c>
      <c r="AL24" s="394">
        <f>IF(AK24="","",IF(AK24&lt;-5,3,IF(AK24&lt;0,1,IF(AK24&lt;3,-1,-2))))</f>
        <v/>
      </c>
      <c r="AO24" s="398">
        <f>IF(OR($C24="",$E24="",$F24="",$H24="",$I24="",$H24-$I24&lt;=0),"-",IF(AND($H24-MAX($F24,$E24)&gt;=ABS($E24-$F24)*2,MIN($F24,$E24)-$I24&lt;=ABS($E24-$F24)*0.5,ABS($E24-$F24)&gt;0),"上ヒゲ陰線▼",IF(AND($E24&lt;$F24,ABS($E24-$F24)&gt;=($H24-$I24)*0.7),"大陰線▼",IF(AND(MIN($F24,$E24)-$I24&gt;=($H24-$I24)*0.5,$H24-MAX($F24,$E24)&lt;=($H24-$I24)*0.2),"長い下ヒゲ(反発警戒)","通常"))))</f>
        <v/>
      </c>
      <c r="AP24" s="625">
        <f>IF($AO24="上ヒゲ陰線▼",2,IF($AO24="大陰線▼",2,IF($AO24="長い下ヒゲ(反発警戒)",-2,0)))</f>
        <v/>
      </c>
      <c r="AQ24">
        <f>IF(C24&lt;&gt;"",始値!F79,"")</f>
        <v/>
      </c>
      <c r="AR24">
        <f>IF(C24&lt;&gt;"",高値!F79,"")</f>
        <v/>
      </c>
      <c r="AS24">
        <f>IF(C24&lt;&gt;"",安値!F79,"")</f>
        <v/>
      </c>
      <c r="AT24">
        <f>IF(OR(C24="",AQ24="",AR24="",AS24="",AR24-AS24&lt;=0),"-",IF(AND(AR24-MAX(G24,AQ24)&gt;=ABS(G24-AQ24)*2,MIN(G24,AQ24)-AS24&lt;=ABS(G24-AQ24)*0.5,ABS(G24-AQ24)&gt;0),"上ヒゲ陰線▼",IF(AND(G24&lt;AQ24,ABS(G24-AQ24)&gt;=(AR24-AS24)*0.7),"大陰線▼",IF(AND(MIN(G24,AQ24)-AS24&gt;=(AR24-AS24)*0.5,AR24-MAX(G24,AQ24)&lt;=(AR24-AS24)*0.2),"長い下ヒゲ(反発)","通常"))))</f>
        <v/>
      </c>
      <c r="AU24">
        <f>IF(AT24="上ヒゲ陰線▼",2,IF(AT24="大陰線▼",2,IF(AT24="長い下ヒゲ(反発)",-2,0)))</f>
        <v/>
      </c>
    </row>
    <row r="25" ht="14.25" customHeight="1" s="574">
      <c r="A25" s="344">
        <f>IF(銘柄管理!B92&lt;&gt;"",HYPERLINK("https://kabutan.jp/stock/?code="&amp;銘柄管理!B92,"株探"),"")</f>
        <v/>
      </c>
      <c r="B25" s="345" t="n"/>
      <c r="C25" s="345">
        <f>IF(銘柄管理!B92="","",銘柄管理!B92)</f>
        <v/>
      </c>
      <c r="D25" s="345">
        <f>IF(銘柄管理!C92="","",銘柄管理!C92)</f>
        <v/>
      </c>
      <c r="E25" s="346">
        <f>IF(C25&lt;&gt;"",_xll.RssMarket(C25,"現在値"),"")</f>
        <v/>
      </c>
      <c r="F25" s="346">
        <f>IF(C25&lt;&gt;"",_xll.RssMarket(C25,"始値"),"")</f>
        <v/>
      </c>
      <c r="G25" s="345">
        <f>IF(C25&lt;&gt;"",終値!F92,"")</f>
        <v/>
      </c>
      <c r="H25" s="346">
        <f>IF(C25&lt;&gt;"",_xll.RssMarket(C25,"高値"),"")</f>
        <v/>
      </c>
      <c r="I25" s="346">
        <f>IF(C25&lt;&gt;"",_xll.RssMarket(C25,"安値"),"")</f>
        <v/>
      </c>
      <c r="J25" s="346">
        <f>IF(C25&lt;&gt;"",_xll.RssMarket(C25,"出来高"),"")</f>
        <v/>
      </c>
      <c r="K25" s="346">
        <f>IF(C25&lt;&gt;"",_xll.RssMarket(C25,"年初来高値"),"")</f>
        <v/>
      </c>
      <c r="L25" s="619">
        <f>IF(AND(E25&lt;&gt;"",K25&lt;&gt;"",K25&lt;&gt;0),(E25-K25)/K25*100,"")</f>
        <v/>
      </c>
      <c r="M25" s="346">
        <f>IF(C25&lt;&gt;"",IFERROR(AVERAGE(出来高!E92:I92),""),"")</f>
        <v/>
      </c>
      <c r="N25" s="346">
        <f>IF(C25&lt;&gt;"",IFERROR(AVERAGE(出来高!E92:AC92),""),"")</f>
        <v/>
      </c>
      <c r="O25" s="620">
        <f>IF(AND(J25&lt;&gt;"",M25&lt;&gt;"",M25&lt;&gt;0),J25/M25,"")</f>
        <v/>
      </c>
      <c r="P25" s="345">
        <f>IF(O25="","",IF(O25&gt;=2,"急増↑↑",IF(O25&gt;=1.5,"増加↑",IF(O25&gt;=1,"普通→","減少↓"))))</f>
        <v/>
      </c>
      <c r="Q25" s="345">
        <f>IF(E25="","",IF(AND(E25&lt;G25,O25&gt;=1.5),"売り▼",IF(E25&gt;G25,"様子見▲","中立→")))</f>
        <v/>
      </c>
      <c r="R25" s="346">
        <f>IF(E25&lt;&gt;"",ROUND(E25*0.92,0),"")</f>
        <v/>
      </c>
      <c r="S25" s="346">
        <f>IF(E25&lt;&gt;"",ROUND(E25*1.04,0),"")</f>
        <v/>
      </c>
      <c r="T25" s="345">
        <f>IF(C25="","",IFERROR(IF(W25&gt;=70,3,IF(W25&gt;=60,2,IF(W25&gt;=50,1,0)))+IF(X25&lt;0,2,0)+IF(AD25="下降トレンド▼",3,IF(AD25="もみ合い→",1,0))+IF(V25="年初来安値圏●",3,IF(V25="安値圏",2,0))+IF(Q25="売り▼",2,0)+IF(P25="急増↑↑",2,IF(P25="増加↑",1,0))+IF(Z25&lt;0,1,0)+IF(L25&lt;=-30,2,IF(L25&lt;=-15,1,0))+IF(AE25="25日戻り売り★",2,IF(AE25="5日戻り売り○",1,0))+N(AL25)+N(AP25)+N(AU25),0))</f>
        <v/>
      </c>
      <c r="U25" s="345">
        <f>IF(T25="","",IF(AND(T25&gt;=3,O25&gt;=1.5),"有効",IF(T25&gt;=3,"要確認","除外")))</f>
        <v/>
      </c>
      <c r="V25" s="345">
        <f>IF(AND(I25&lt;&gt;"",K25&lt;&gt;""),IF(I25&lt;=K25*0.6,"年初来安値圏●",IF(I25&lt;=K25*0.75,"安値圏","通常")),"")</f>
        <v/>
      </c>
      <c r="W25" s="621">
        <f t="array" ref="W25">IFERROR(100-100/(1+SUMPRODUCT((終値!F92:R92&gt;終値!G92:S92)*(終値!F92:R92-終値!G92:S92))/SUMPRODUCT((終値!F92:R92&lt;終値!G92:S92)*(終値!G92:S92-終値!F92:R92))),50)</f>
        <v/>
      </c>
      <c r="X25" s="350">
        <f>IF(C25&lt;&gt;"",IFERROR(SUMPRODUCT(終値!E92:P92,{0.154,0.132,0.113,0.097,0.083,0.071,0.061,0.052,0.045,0.038,0.033,0.028})/SUMPRODUCT({0.154,0.132,0.113,0.097,0.083,0.071,0.061,0.052,0.045,0.038,0.033,0.028})-SUMPRODUCT(終値!E92:AD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5" s="345">
        <f>IF(AF25="","",AF25&amp;" | "&amp;AD25&amp;IF(AE25&lt;&gt;"なし"," "&amp;AE25,"")&amp;IF(X25&lt;0," MACD-"," MACD+")&amp;" RSI:"&amp;TEXT(W25,"0.0")&amp;IF(W25&gt;=70," [過熱]",IF(W25&lt;=30," [売られ過ぎ]",""))&amp;" 前日比:"&amp;TEXT(Z25,"+0.0;-0.0;0.0")&amp;"%"&amp;IF(V25="年初来安値圏●"," [年初来安値圏]",IF(V25="安値圏"," [安値圏]",""))&amp;IF(OR(AO25="通常",AO25="-"),""," ["&amp;AO25&amp;"]")&amp;IF(OR(AT25="通常",AT25="-"),"","前日["&amp;AT25&amp;"]")&amp;" ["&amp;T25&amp;"点]")</f>
        <v/>
      </c>
      <c r="Z25" s="622">
        <f>IF(AND(E25&lt;&gt;"",G25&lt;&gt;"",G25&lt;&gt;0),(E25-G25)/G25*100,"")</f>
        <v/>
      </c>
      <c r="AA25" s="345">
        <f>IF(OR(C25="",E25="",E25=0),"",IF(E25&gt;G25,"上昇▲",IF(E25&lt;G25,"下落▼","横ばい→")))</f>
        <v/>
      </c>
      <c r="AB25" s="346">
        <f>IF(OR(C25="",C25="TOPX",終値!E92=""),"",IFERROR(((終値!E92*0.333)+(終値!F92*0.222)+(終値!G92*0.148)+(終値!H92*0.099)+(終値!I92*0.066))/(0.333+0.222+0.148+0.099+0.066),""))</f>
        <v/>
      </c>
      <c r="AC25" s="346">
        <f>IF(OR(C25="",C25="TOPX",終値!E92=""),"",IFERROR(SUMPRODUCT((終値!E92:AC92)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5" s="345">
        <f>IF(OR(C25="",AB25="",AC25="",AB25=0,AC25=0),"",IF(AND(E25&gt;AB25,AB25&gt;AC25),"パーフェクト▲",IF(E25&gt;AC25,"上昇トレンド▲",IF(AND(E25&lt;AB25,AB25&lt;AC25),"下降トレンド▼","もみ合い→"))))</f>
        <v/>
      </c>
      <c r="AE25" s="345">
        <f>IF(OR(C25="",AB25="",AC25=""),"",IF(AND(ABS(E25-AC25)/AC25&lt;=0.02,E25&lt;AC25),"25日戻り売り★",IF(AND(ABS(E25-AB25)/AB25&lt;=0.01,E25&lt;AB25),"5日戻り売り○","なし")))</f>
        <v/>
      </c>
      <c r="AF25">
        <f>IF(T25="","",IF(銘柄管理!$F$5="上昇▲",IF(AND(AD25="下降トレンド▼",OR(AE25="25日戻り売り★",AE25="5日戻り売り○")),"★逆張り売り",IF(AND(AD25="もみ合い→",OR(AE25="25日戻り売り★",AE25="5日戻り売り○")),"○逆張り売り",IF(W25&gt;=70,IF(Z25&lt;0,"◎反落確認","△過熱・様子見"),"相場上昇・見送り"))),IF(AND(T25&gt;=12,AD25="下降トレンド▼"),"★強い売り",IF(T25&gt;=12,"★強い売り",IF(AND(T25&gt;=8,OR(AE25="25日戻り売り★",AE25="5日戻り売り○")),"◎戻り売り",IF(T25&gt;=10,"○売り候補",IF(T25&gt;=6,"△注目",IF(T25&gt;=3,"様子見","見送り"))))))))</f>
        <v/>
      </c>
      <c r="AG25">
        <f>IF(AND(T25&gt;=7,C25&lt;&gt;""),T25,0)</f>
        <v/>
      </c>
      <c r="AH25">
        <f>IF(AG25&gt;0,AG25*10000-ROW(A25),0)</f>
        <v/>
      </c>
      <c r="AI25" s="623">
        <f t="array" ref="AI25">IF(C25="","",IFERROR((INDEX(終値!$E:$E,MATCH(TEXT(C25,"0"),終値!$A:$A,0))-INDEX(終値!$E:$BL,MATCH(TEXT(C25,"0"),終値!$A:$A,0),$AN$2))/INDEX(終値!$E:$BL,MATCH(TEXT(C25,"0"),終値!$A:$A,0),$AN$2)*100,""))</f>
        <v/>
      </c>
      <c r="AJ25" s="623">
        <f t="array" ref="AJ25">IFERROR((終値!$E$5-INDEX(終値!$E$5:$BL$5,1,$AN$2))/INDEX(終値!$E$5:$BL$5,1,$AN$2)*100,"")</f>
        <v/>
      </c>
      <c r="AK25" s="624">
        <f>IF(OR(AI25="",AJ25=""),"",AI25-AJ25)</f>
        <v/>
      </c>
      <c r="AL25" s="394">
        <f>IF(AK25="","",IF(AK25&lt;-5,3,IF(AK25&lt;0,1,IF(AK25&lt;3,-1,-2))))</f>
        <v/>
      </c>
      <c r="AO25" s="398">
        <f>IF(OR($C25="",$E25="",$F25="",$H25="",$I25="",$H25-$I25&lt;=0),"-",IF(AND($H25-MAX($F25,$E25)&gt;=ABS($E25-$F25)*2,MIN($F25,$E25)-$I25&lt;=ABS($E25-$F25)*0.5,ABS($E25-$F25)&gt;0),"上ヒゲ陰線▼",IF(AND($E25&lt;$F25,ABS($E25-$F25)&gt;=($H25-$I25)*0.7),"大陰線▼",IF(AND(MIN($F25,$E25)-$I25&gt;=($H25-$I25)*0.5,$H25-MAX($F25,$E25)&lt;=($H25-$I25)*0.2),"長い下ヒゲ(反発警戒)","通常"))))</f>
        <v/>
      </c>
      <c r="AP25" s="625">
        <f>IF($AO25="上ヒゲ陰線▼",2,IF($AO25="大陰線▼",2,IF($AO25="長い下ヒゲ(反発警戒)",-2,0)))</f>
        <v/>
      </c>
      <c r="AQ25">
        <f>IF(C25&lt;&gt;"",始値!F92,"")</f>
        <v/>
      </c>
      <c r="AR25">
        <f>IF(C25&lt;&gt;"",高値!F92,"")</f>
        <v/>
      </c>
      <c r="AS25">
        <f>IF(C25&lt;&gt;"",安値!F92,"")</f>
        <v/>
      </c>
      <c r="AT25">
        <f>IF(OR(C25="",AQ25="",AR25="",AS25="",AR25-AS25&lt;=0),"-",IF(AND(AR25-MAX(G25,AQ25)&gt;=ABS(G25-AQ25)*2,MIN(G25,AQ25)-AS25&lt;=ABS(G25-AQ25)*0.5,ABS(G25-AQ25)&gt;0),"上ヒゲ陰線▼",IF(AND(G25&lt;AQ25,ABS(G25-AQ25)&gt;=(AR25-AS25)*0.7),"大陰線▼",IF(AND(MIN(G25,AQ25)-AS25&gt;=(AR25-AS25)*0.5,AR25-MAX(G25,AQ25)&lt;=(AR25-AS25)*0.2),"長い下ヒゲ(反発)","通常"))))</f>
        <v/>
      </c>
      <c r="AU25">
        <f>IF(AT25="上ヒゲ陰線▼",2,IF(AT25="大陰線▼",2,IF(AT25="長い下ヒゲ(反発)",-2,0)))</f>
        <v/>
      </c>
    </row>
    <row r="26" ht="14.25" customHeight="1" s="574">
      <c r="A26" s="352">
        <f>IF(銘柄管理!B123&lt;&gt;"",HYPERLINK("https://kabutan.jp/stock/?code="&amp;銘柄管理!B123,"株探"),"")</f>
        <v/>
      </c>
      <c r="B26" s="225" t="n"/>
      <c r="C26" s="225">
        <f>IF(銘柄管理!B123="","",銘柄管理!B123)</f>
        <v/>
      </c>
      <c r="D26" s="225">
        <f>IF(銘柄管理!C123="","",銘柄管理!C123)</f>
        <v/>
      </c>
      <c r="E26" s="353">
        <f>IF(C26&lt;&gt;"",_xll.RssMarket(C26,"現在値"),"")</f>
        <v/>
      </c>
      <c r="F26" s="353">
        <f>IF(C26&lt;&gt;"",_xll.RssMarket(C26,"始値"),"")</f>
        <v/>
      </c>
      <c r="G26" s="225">
        <f>IF(C26&lt;&gt;"",終値!F123,"")</f>
        <v/>
      </c>
      <c r="H26" s="353">
        <f>IF(C26&lt;&gt;"",_xll.RssMarket(C26,"高値"),"")</f>
        <v/>
      </c>
      <c r="I26" s="353">
        <f>IF(C26&lt;&gt;"",_xll.RssMarket(C26,"安値"),"")</f>
        <v/>
      </c>
      <c r="J26" s="353">
        <f>IF(C26&lt;&gt;"",_xll.RssMarket(C26,"出来高"),"")</f>
        <v/>
      </c>
      <c r="K26" s="353">
        <f>IF(C26&lt;&gt;"",_xll.RssMarket(C26,"年初来高値"),"")</f>
        <v/>
      </c>
      <c r="L26" s="626">
        <f>IF(AND(E26&lt;&gt;"",K26&lt;&gt;"",K26&lt;&gt;0),(E26-K26)/K26*100,"")</f>
        <v/>
      </c>
      <c r="M26" s="353">
        <f>IF(C26&lt;&gt;"",IFERROR(AVERAGE(出来高!E123:I123),""),"")</f>
        <v/>
      </c>
      <c r="N26" s="353">
        <f>IF(C26&lt;&gt;"",IFERROR(AVERAGE(出来高!E123:AC123),""),"")</f>
        <v/>
      </c>
      <c r="O26" s="627">
        <f>IF(AND(J26&lt;&gt;"",M26&lt;&gt;"",M26&lt;&gt;0),J26/M26,"")</f>
        <v/>
      </c>
      <c r="P26" s="225">
        <f>IF(O26="","",IF(O26&gt;=2,"急増↑↑",IF(O26&gt;=1.5,"増加↑",IF(O26&gt;=1,"普通→","減少↓"))))</f>
        <v/>
      </c>
      <c r="Q26" s="225">
        <f>IF(E26="","",IF(AND(E26&lt;G26,O26&gt;=1.5),"売り▼",IF(E26&gt;G26,"様子見▲","中立→")))</f>
        <v/>
      </c>
      <c r="R26" s="353">
        <f>IF(E26&lt;&gt;"",ROUND(E26*0.92,0),"")</f>
        <v/>
      </c>
      <c r="S26" s="353">
        <f>IF(E26&lt;&gt;"",ROUND(E26*1.04,0),"")</f>
        <v/>
      </c>
      <c r="T26" s="345">
        <f>IF(C26="","",IFERROR(IF(W26&gt;=70,3,IF(W26&gt;=60,2,IF(W26&gt;=50,1,0)))+IF(X26&lt;0,2,0)+IF(AD26="下降トレンド▼",3,IF(AD26="もみ合い→",1,0))+IF(V26="年初来安値圏●",3,IF(V26="安値圏",2,0))+IF(Q26="売り▼",2,0)+IF(P26="急増↑↑",2,IF(P26="増加↑",1,0))+IF(Z26&lt;0,1,0)+IF(L26&lt;=-30,2,IF(L26&lt;=-15,1,0))+IF(AE26="25日戻り売り★",2,IF(AE26="5日戻り売り○",1,0))+N(AL26)+N(AP26)+N(AU26),0))</f>
        <v/>
      </c>
      <c r="U26" s="225">
        <f>IF(T26="","",IF(AND(T26&gt;=3,O26&gt;=1.5),"有効",IF(T26&gt;=3,"要確認","除外")))</f>
        <v/>
      </c>
      <c r="V26" s="225">
        <f>IF(AND(I26&lt;&gt;"",K26&lt;&gt;""),IF(I26&lt;=K26*0.6,"年初来安値圏●",IF(I26&lt;=K26*0.75,"安値圏","通常")),"")</f>
        <v/>
      </c>
      <c r="W26" s="628">
        <f t="array" ref="W26">IFERROR(100-100/(1+SUMPRODUCT((終値!F123:R123&gt;終値!G123:S123)*(終値!F123:R123-終値!G123:S123))/SUMPRODUCT((終値!F123:R123&lt;終値!G123:S123)*(終値!G123:S123-終値!F123:R123))),50)</f>
        <v/>
      </c>
      <c r="X26" s="357">
        <f>IF(C26&lt;&gt;"",IFERROR(SUMPRODUCT(終値!E123:P123,{0.154,0.132,0.113,0.097,0.083,0.071,0.061,0.052,0.045,0.038,0.033,0.028})/SUMPRODUCT({0.154,0.132,0.113,0.097,0.083,0.071,0.061,0.052,0.045,0.038,0.033,0.028})-SUMPRODUCT(終値!E123:AD123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6" s="225">
        <f>IF(AF26="","",AF26&amp;" | "&amp;AD26&amp;IF(AE26&lt;&gt;"なし"," "&amp;AE26,"")&amp;IF(X26&lt;0," MACD-"," MACD+")&amp;" RSI:"&amp;TEXT(W26,"0.0")&amp;IF(W26&gt;=70," [過熱]",IF(W26&lt;=30," [売られ過ぎ]",""))&amp;" 前日比:"&amp;TEXT(Z26,"+0.0;-0.0;0.0")&amp;"%"&amp;IF(V26="年初来安値圏●"," [年初来安値圏]",IF(V26="安値圏"," [安値圏]",""))&amp;IF(OR(AO26="通常",AO26="-"),""," ["&amp;AO26&amp;"]")&amp;IF(OR(AT26="通常",AT26="-"),"","前日["&amp;AT26&amp;"]")&amp;" ["&amp;T26&amp;"点]")</f>
        <v/>
      </c>
      <c r="Z26" s="629">
        <f>IF(AND(E26&lt;&gt;"",G26&lt;&gt;"",G26&lt;&gt;0),(E26-G26)/G26*100,"")</f>
        <v/>
      </c>
      <c r="AA26" s="225">
        <f>IF(OR(C26="",E26="",E26=0),"",IF(E26&gt;G26,"上昇▲",IF(E26&lt;G26,"下落▼","横ばい→")))</f>
        <v/>
      </c>
      <c r="AB26" s="353">
        <f>IF(OR(C26="",C26="TOPX",終値!E123=""),"",IFERROR(((終値!E123*0.333)+(終値!F123*0.222)+(終値!G123*0.148)+(終値!H123*0.099)+(終値!I123*0.066))/(0.333+0.222+0.148+0.099+0.066),""))</f>
        <v/>
      </c>
      <c r="AC26" s="353">
        <f>IF(OR(C26="",C26="TOPX",終値!E123=""),"",IFERROR(SUMPRODUCT((終値!E123:AC123)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6" s="225">
        <f>IF(OR(C26="",AB26="",AC26="",AB26=0,AC26=0),"",IF(AND(E26&gt;AB26,AB26&gt;AC26),"パーフェクト▲",IF(E26&gt;AC26,"上昇トレンド▲",IF(AND(E26&lt;AB26,AB26&lt;AC26),"下降トレンド▼","もみ合い→"))))</f>
        <v/>
      </c>
      <c r="AE26" s="225">
        <f>IF(OR(C26="",AB26="",AC26=""),"",IF(AND(ABS(E26-AC26)/AC26&lt;=0.02,E26&lt;AC26),"25日戻り売り★",IF(AND(ABS(E26-AB26)/AB26&lt;=0.01,E26&lt;AB26),"5日戻り売り○","なし")))</f>
        <v/>
      </c>
      <c r="AF26">
        <f>IF(T26="","",IF(銘柄管理!$F$5="上昇▲",IF(AND(AD26="下降トレンド▼",OR(AE26="25日戻り売り★",AE26="5日戻り売り○")),"★逆張り売り",IF(AND(AD26="もみ合い→",OR(AE26="25日戻り売り★",AE26="5日戻り売り○")),"○逆張り売り",IF(W26&gt;=70,IF(Z26&lt;0,"◎反落確認","△過熱・様子見"),"相場上昇・見送り"))),IF(AND(T26&gt;=12,AD26="下降トレンド▼"),"★強い売り",IF(T26&gt;=12,"★強い売り",IF(AND(T26&gt;=8,OR(AE26="25日戻り売り★",AE26="5日戻り売り○")),"◎戻り売り",IF(T26&gt;=10,"○売り候補",IF(T26&gt;=6,"△注目",IF(T26&gt;=3,"様子見","見送り"))))))))</f>
        <v/>
      </c>
      <c r="AG26">
        <f>IF(AND(T26&gt;=7,C26&lt;&gt;""),T26,0)</f>
        <v/>
      </c>
      <c r="AH26">
        <f>IF(AG26&gt;0,AG26*10000-ROW(A26),0)</f>
        <v/>
      </c>
      <c r="AI26" s="623">
        <f t="array" ref="AI26">IF(C26="","",IFERROR((INDEX(終値!$E:$E,MATCH(TEXT(C26,"0"),終値!$A:$A,0))-INDEX(終値!$E:$BL,MATCH(TEXT(C26,"0"),終値!$A:$A,0),$AN$2))/INDEX(終値!$E:$BL,MATCH(TEXT(C26,"0"),終値!$A:$A,0),$AN$2)*100,""))</f>
        <v/>
      </c>
      <c r="AJ26" s="623">
        <f t="array" ref="AJ26">IFERROR((終値!$E$5-INDEX(終値!$E$5:$BL$5,1,$AN$2))/INDEX(終値!$E$5:$BL$5,1,$AN$2)*100,"")</f>
        <v/>
      </c>
      <c r="AK26" s="624">
        <f>IF(OR(AI26="",AJ26=""),"",AI26-AJ26)</f>
        <v/>
      </c>
      <c r="AL26" s="394">
        <f>IF(AK26="","",IF(AK26&lt;-5,3,IF(AK26&lt;0,1,IF(AK26&lt;3,-1,-2))))</f>
        <v/>
      </c>
      <c r="AO26" s="398">
        <f>IF(OR($C26="",$E26="",$F26="",$H26="",$I26="",$H26-$I26&lt;=0),"-",IF(AND($H26-MAX($F26,$E26)&gt;=ABS($E26-$F26)*2,MIN($F26,$E26)-$I26&lt;=ABS($E26-$F26)*0.5,ABS($E26-$F26)&gt;0),"上ヒゲ陰線▼",IF(AND($E26&lt;$F26,ABS($E26-$F26)&gt;=($H26-$I26)*0.7),"大陰線▼",IF(AND(MIN($F26,$E26)-$I26&gt;=($H26-$I26)*0.5,$H26-MAX($F26,$E26)&lt;=($H26-$I26)*0.2),"長い下ヒゲ(反発警戒)","通常"))))</f>
        <v/>
      </c>
      <c r="AP26" s="625">
        <f>IF($AO26="上ヒゲ陰線▼",2,IF($AO26="大陰線▼",2,IF($AO26="長い下ヒゲ(反発警戒)",-2,0)))</f>
        <v/>
      </c>
      <c r="AQ26">
        <f>IF(C26&lt;&gt;"",始値!F123,"")</f>
        <v/>
      </c>
      <c r="AR26">
        <f>IF(C26&lt;&gt;"",高値!F123,"")</f>
        <v/>
      </c>
      <c r="AS26">
        <f>IF(C26&lt;&gt;"",安値!F123,"")</f>
        <v/>
      </c>
      <c r="AT26">
        <f>IF(OR(C26="",AQ26="",AR26="",AS26="",AR26-AS26&lt;=0),"-",IF(AND(AR26-MAX(G26,AQ26)&gt;=ABS(G26-AQ26)*2,MIN(G26,AQ26)-AS26&lt;=ABS(G26-AQ26)*0.5,ABS(G26-AQ26)&gt;0),"上ヒゲ陰線▼",IF(AND(G26&lt;AQ26,ABS(G26-AQ26)&gt;=(AR26-AS26)*0.7),"大陰線▼",IF(AND(MIN(G26,AQ26)-AS26&gt;=(AR26-AS26)*0.5,AR26-MAX(G26,AQ26)&lt;=(AR26-AS26)*0.2),"長い下ヒゲ(反発)","通常"))))</f>
        <v/>
      </c>
      <c r="AU26">
        <f>IF(AT26="上ヒゲ陰線▼",2,IF(AT26="大陰線▼",2,IF(AT26="長い下ヒゲ(反発)",-2,0)))</f>
        <v/>
      </c>
    </row>
    <row r="27" ht="14.25" customHeight="1" s="574">
      <c r="A27" s="344">
        <f>IF(銘柄管理!B133&lt;&gt;"",HYPERLINK("https://kabutan.jp/stock/?code="&amp;銘柄管理!B133,"株探"),"")</f>
        <v/>
      </c>
      <c r="B27" s="345" t="n"/>
      <c r="C27" s="345">
        <f>IF(銘柄管理!B133="","",銘柄管理!B133)</f>
        <v/>
      </c>
      <c r="D27" s="345">
        <f>IF(銘柄管理!C133="","",銘柄管理!C133)</f>
        <v/>
      </c>
      <c r="E27" s="346">
        <f>IF(C27&lt;&gt;"",_xll.RssMarket(C27,"現在値"),"")</f>
        <v/>
      </c>
      <c r="F27" s="346">
        <f>IF(C27&lt;&gt;"",_xll.RssMarket(C27,"始値"),"")</f>
        <v/>
      </c>
      <c r="G27" s="345">
        <f>IF(C27&lt;&gt;"",終値!F133,"")</f>
        <v/>
      </c>
      <c r="H27" s="346">
        <f>IF(C27&lt;&gt;"",_xll.RssMarket(C27,"高値"),"")</f>
        <v/>
      </c>
      <c r="I27" s="346">
        <f>IF(C27&lt;&gt;"",_xll.RssMarket(C27,"安値"),"")</f>
        <v/>
      </c>
      <c r="J27" s="346">
        <f>IF(C27&lt;&gt;"",_xll.RssMarket(C27,"出来高"),"")</f>
        <v/>
      </c>
      <c r="K27" s="346">
        <f>IF(C27&lt;&gt;"",_xll.RssMarket(C27,"年初来高値"),"")</f>
        <v/>
      </c>
      <c r="L27" s="619">
        <f>IF(AND(E27&lt;&gt;"",K27&lt;&gt;"",K27&lt;&gt;0),(E27-K27)/K27*100,"")</f>
        <v/>
      </c>
      <c r="M27" s="346">
        <f>IF(C27&lt;&gt;"",IFERROR(AVERAGE(出来高!E133:I133),""),"")</f>
        <v/>
      </c>
      <c r="N27" s="346">
        <f>IF(C27&lt;&gt;"",IFERROR(AVERAGE(出来高!E133:AC133),""),"")</f>
        <v/>
      </c>
      <c r="O27" s="620">
        <f>IF(AND(J27&lt;&gt;"",M27&lt;&gt;"",M27&lt;&gt;0),J27/M27,"")</f>
        <v/>
      </c>
      <c r="P27" s="345">
        <f>IF(O27="","",IF(O27&gt;=2,"急増↑↑",IF(O27&gt;=1.5,"増加↑",IF(O27&gt;=1,"普通→","減少↓"))))</f>
        <v/>
      </c>
      <c r="Q27" s="345">
        <f>IF(E27="","",IF(AND(E27&lt;G27,O27&gt;=1.5),"売り▼",IF(E27&gt;G27,"様子見▲","中立→")))</f>
        <v/>
      </c>
      <c r="R27" s="346">
        <f>IF(E27&lt;&gt;"",ROUND(E27*0.92,0),"")</f>
        <v/>
      </c>
      <c r="S27" s="346">
        <f>IF(E27&lt;&gt;"",ROUND(E27*1.04,0),"")</f>
        <v/>
      </c>
      <c r="T27" s="345">
        <f>IF(C27="","",IFERROR(IF(W27&gt;=70,3,IF(W27&gt;=60,2,IF(W27&gt;=50,1,0)))+IF(X27&lt;0,2,0)+IF(AD27="下降トレンド▼",3,IF(AD27="もみ合い→",1,0))+IF(V27="年初来安値圏●",3,IF(V27="安値圏",2,0))+IF(Q27="売り▼",2,0)+IF(P27="急増↑↑",2,IF(P27="増加↑",1,0))+IF(Z27&lt;0,1,0)+IF(L27&lt;=-30,2,IF(L27&lt;=-15,1,0))+IF(AE27="25日戻り売り★",2,IF(AE27="5日戻り売り○",1,0))+N(AL27)+N(AP27)+N(AU27),0))</f>
        <v/>
      </c>
      <c r="U27" s="345">
        <f>IF(T27="","",IF(AND(T27&gt;=3,O27&gt;=1.5),"有効",IF(T27&gt;=3,"要確認","除外")))</f>
        <v/>
      </c>
      <c r="V27" s="345">
        <f>IF(AND(I27&lt;&gt;"",K27&lt;&gt;""),IF(I27&lt;=K27*0.6,"年初来安値圏●",IF(I27&lt;=K27*0.75,"安値圏","通常")),"")</f>
        <v/>
      </c>
      <c r="W27" s="621">
        <f t="array" ref="W27">IFERROR(100-100/(1+SUMPRODUCT((終値!F133:R133&gt;終値!G133:S133)*(終値!F133:R133-終値!G133:S133))/SUMPRODUCT((終値!F133:R133&lt;終値!G133:S133)*(終値!G133:S133-終値!F133:R133))),50)</f>
        <v/>
      </c>
      <c r="X27" s="350">
        <f>IF(C27&lt;&gt;"",IFERROR(SUMPRODUCT(終値!E133:P133,{0.154,0.132,0.113,0.097,0.083,0.071,0.061,0.052,0.045,0.038,0.033,0.028})/SUMPRODUCT({0.154,0.132,0.113,0.097,0.083,0.071,0.061,0.052,0.045,0.038,0.033,0.028})-SUMPRODUCT(終値!E133:AD133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7" s="345">
        <f>IF(AF27="","",AF27&amp;" | "&amp;AD27&amp;IF(AE27&lt;&gt;"なし"," "&amp;AE27,"")&amp;IF(X27&lt;0," MACD-"," MACD+")&amp;" RSI:"&amp;TEXT(W27,"0.0")&amp;IF(W27&gt;=70," [過熱]",IF(W27&lt;=30," [売られ過ぎ]",""))&amp;" 前日比:"&amp;TEXT(Z27,"+0.0;-0.0;0.0")&amp;"%"&amp;IF(V27="年初来安値圏●"," [年初来安値圏]",IF(V27="安値圏"," [安値圏]",""))&amp;IF(OR(AO27="通常",AO27="-"),""," ["&amp;AO27&amp;"]")&amp;IF(OR(AT27="通常",AT27="-"),"","前日["&amp;AT27&amp;"]")&amp;" ["&amp;T27&amp;"点]")</f>
        <v/>
      </c>
      <c r="Z27" s="622">
        <f>IF(AND(E27&lt;&gt;"",G27&lt;&gt;"",G27&lt;&gt;0),(E27-G27)/G27*100,"")</f>
        <v/>
      </c>
      <c r="AA27" s="345">
        <f>IF(OR(C27="",E27="",E27=0),"",IF(E27&gt;G27,"上昇▲",IF(E27&lt;G27,"下落▼","横ばい→")))</f>
        <v/>
      </c>
      <c r="AB27" s="346">
        <f>IF(OR(C27="",C27="TOPX",終値!E133=""),"",IFERROR(((終値!E133*0.333)+(終値!F133*0.222)+(終値!G133*0.148)+(終値!H133*0.099)+(終値!I133*0.066))/(0.333+0.222+0.148+0.099+0.066),""))</f>
        <v/>
      </c>
      <c r="AC27" s="346">
        <f>IF(OR(C27="",C27="TOPX",終値!E133=""),"",IFERROR(SUMPRODUCT((終値!E133:AC133)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7" s="345">
        <f>IF(OR(C27="",AB27="",AC27="",AB27=0,AC27=0),"",IF(AND(E27&gt;AB27,AB27&gt;AC27),"パーフェクト▲",IF(E27&gt;AC27,"上昇トレンド▲",IF(AND(E27&lt;AB27,AB27&lt;AC27),"下降トレンド▼","もみ合い→"))))</f>
        <v/>
      </c>
      <c r="AE27" s="345">
        <f>IF(OR(C27="",AB27="",AC27=""),"",IF(AND(ABS(E27-AC27)/AC27&lt;=0.02,E27&lt;AC27),"25日戻り売り★",IF(AND(ABS(E27-AB27)/AB27&lt;=0.01,E27&lt;AB27),"5日戻り売り○","なし")))</f>
        <v/>
      </c>
      <c r="AF27">
        <f>IF(T27="","",IF(銘柄管理!$F$5="上昇▲",IF(AND(AD27="下降トレンド▼",OR(AE27="25日戻り売り★",AE27="5日戻り売り○")),"★逆張り売り",IF(AND(AD27="もみ合い→",OR(AE27="25日戻り売り★",AE27="5日戻り売り○")),"○逆張り売り",IF(W27&gt;=70,IF(Z27&lt;0,"◎反落確認","△過熱・様子見"),"相場上昇・見送り"))),IF(AND(T27&gt;=12,AD27="下降トレンド▼"),"★強い売り",IF(T27&gt;=12,"★強い売り",IF(AND(T27&gt;=8,OR(AE27="25日戻り売り★",AE27="5日戻り売り○")),"◎戻り売り",IF(T27&gt;=10,"○売り候補",IF(T27&gt;=6,"△注目",IF(T27&gt;=3,"様子見","見送り"))))))))</f>
        <v/>
      </c>
      <c r="AG27">
        <f>IF(AND(T27&gt;=7,C27&lt;&gt;""),T27,0)</f>
        <v/>
      </c>
      <c r="AH27">
        <f>IF(AG27&gt;0,AG27*10000-ROW(A27),0)</f>
        <v/>
      </c>
      <c r="AI27" s="623">
        <f t="array" ref="AI27">IF(C27="","",IFERROR((INDEX(終値!$E:$E,MATCH(TEXT(C27,"0"),終値!$A:$A,0))-INDEX(終値!$E:$BL,MATCH(TEXT(C27,"0"),終値!$A:$A,0),$AN$2))/INDEX(終値!$E:$BL,MATCH(TEXT(C27,"0"),終値!$A:$A,0),$AN$2)*100,""))</f>
        <v/>
      </c>
      <c r="AJ27" s="623">
        <f t="array" ref="AJ27">IFERROR((終値!$E$5-INDEX(終値!$E$5:$BL$5,1,$AN$2))/INDEX(終値!$E$5:$BL$5,1,$AN$2)*100,"")</f>
        <v/>
      </c>
      <c r="AK27" s="624">
        <f>IF(OR(AI27="",AJ27=""),"",AI27-AJ27)</f>
        <v/>
      </c>
      <c r="AL27" s="394">
        <f>IF(AK27="","",IF(AK27&lt;-5,3,IF(AK27&lt;0,1,IF(AK27&lt;3,-1,-2))))</f>
        <v/>
      </c>
      <c r="AO27" s="398">
        <f>IF(OR($C27="",$E27="",$F27="",$H27="",$I27="",$H27-$I27&lt;=0),"-",IF(AND($H27-MAX($F27,$E27)&gt;=ABS($E27-$F27)*2,MIN($F27,$E27)-$I27&lt;=ABS($E27-$F27)*0.5,ABS($E27-$F27)&gt;0),"上ヒゲ陰線▼",IF(AND($E27&lt;$F27,ABS($E27-$F27)&gt;=($H27-$I27)*0.7),"大陰線▼",IF(AND(MIN($F27,$E27)-$I27&gt;=($H27-$I27)*0.5,$H27-MAX($F27,$E27)&lt;=($H27-$I27)*0.2),"長い下ヒゲ(反発警戒)","通常"))))</f>
        <v/>
      </c>
      <c r="AP27" s="625">
        <f>IF($AO27="上ヒゲ陰線▼",2,IF($AO27="大陰線▼",2,IF($AO27="長い下ヒゲ(反発警戒)",-2,0)))</f>
        <v/>
      </c>
      <c r="AQ27">
        <f>IF(C27&lt;&gt;"",始値!F133,"")</f>
        <v/>
      </c>
      <c r="AR27">
        <f>IF(C27&lt;&gt;"",高値!F133,"")</f>
        <v/>
      </c>
      <c r="AS27">
        <f>IF(C27&lt;&gt;"",安値!F133,"")</f>
        <v/>
      </c>
      <c r="AT27">
        <f>IF(OR(C27="",AQ27="",AR27="",AS27="",AR27-AS27&lt;=0),"-",IF(AND(AR27-MAX(G27,AQ27)&gt;=ABS(G27-AQ27)*2,MIN(G27,AQ27)-AS27&lt;=ABS(G27-AQ27)*0.5,ABS(G27-AQ27)&gt;0),"上ヒゲ陰線▼",IF(AND(G27&lt;AQ27,ABS(G27-AQ27)&gt;=(AR27-AS27)*0.7),"大陰線▼",IF(AND(MIN(G27,AQ27)-AS27&gt;=(AR27-AS27)*0.5,AR27-MAX(G27,AQ27)&lt;=(AR27-AS27)*0.2),"長い下ヒゲ(反発)","通常"))))</f>
        <v/>
      </c>
      <c r="AU27">
        <f>IF(AT27="上ヒゲ陰線▼",2,IF(AT27="大陰線▼",2,IF(AT27="長い下ヒゲ(反発)",-2,0)))</f>
        <v/>
      </c>
    </row>
    <row r="28" ht="14.25" customHeight="1" s="574">
      <c r="A28" s="352">
        <f>IF(銘柄管理!B135&lt;&gt;"",HYPERLINK("https://kabutan.jp/stock/?code="&amp;銘柄管理!B135,"株探"),"")</f>
        <v/>
      </c>
      <c r="B28" s="225" t="n"/>
      <c r="C28" s="225">
        <f>IF(銘柄管理!B135="","",銘柄管理!B135)</f>
        <v/>
      </c>
      <c r="D28" s="225">
        <f>IF(銘柄管理!C135="","",銘柄管理!C135)</f>
        <v/>
      </c>
      <c r="E28" s="353">
        <f>IF(C28&lt;&gt;"",_xll.RssMarket(C28,"現在値"),"")</f>
        <v/>
      </c>
      <c r="F28" s="353">
        <f>IF(C28&lt;&gt;"",_xll.RssMarket(C28,"始値"),"")</f>
        <v/>
      </c>
      <c r="G28" s="225">
        <f>IF(C28&lt;&gt;"",終値!F135,"")</f>
        <v/>
      </c>
      <c r="H28" s="353">
        <f>IF(C28&lt;&gt;"",_xll.RssMarket(C28,"高値"),"")</f>
        <v/>
      </c>
      <c r="I28" s="353">
        <f>IF(C28&lt;&gt;"",_xll.RssMarket(C28,"安値"),"")</f>
        <v/>
      </c>
      <c r="J28" s="353">
        <f>IF(C28&lt;&gt;"",_xll.RssMarket(C28,"出来高"),"")</f>
        <v/>
      </c>
      <c r="K28" s="353">
        <f>IF(C28&lt;&gt;"",_xll.RssMarket(C28,"年初来高値"),"")</f>
        <v/>
      </c>
      <c r="L28" s="626">
        <f>IF(AND(E28&lt;&gt;"",K28&lt;&gt;"",K28&lt;&gt;0),(E28-K28)/K28*100,"")</f>
        <v/>
      </c>
      <c r="M28" s="353">
        <f>IF(C28&lt;&gt;"",IFERROR(AVERAGE(出来高!E135:I135),""),"")</f>
        <v/>
      </c>
      <c r="N28" s="353">
        <f>IF(C28&lt;&gt;"",IFERROR(AVERAGE(出来高!E135:AC135),""),"")</f>
        <v/>
      </c>
      <c r="O28" s="627">
        <f>IF(AND(J28&lt;&gt;"",M28&lt;&gt;"",M28&lt;&gt;0),J28/M28,"")</f>
        <v/>
      </c>
      <c r="P28" s="225">
        <f>IF(O28="","",IF(O28&gt;=2,"急増↑↑",IF(O28&gt;=1.5,"増加↑",IF(O28&gt;=1,"普通→","減少↓"))))</f>
        <v/>
      </c>
      <c r="Q28" s="225">
        <f>IF(E28="","",IF(AND(E28&lt;G28,O28&gt;=1.5),"売り▼",IF(E28&gt;G28,"様子見▲","中立→")))</f>
        <v/>
      </c>
      <c r="R28" s="353">
        <f>IF(E28&lt;&gt;"",ROUND(E28*0.92,0),"")</f>
        <v/>
      </c>
      <c r="S28" s="353">
        <f>IF(E28&lt;&gt;"",ROUND(E28*1.04,0),"")</f>
        <v/>
      </c>
      <c r="T28" s="345">
        <f>IF(C28="","",IFERROR(IF(W28&gt;=70,3,IF(W28&gt;=60,2,IF(W28&gt;=50,1,0)))+IF(X28&lt;0,2,0)+IF(AD28="下降トレンド▼",3,IF(AD28="もみ合い→",1,0))+IF(V28="年初来安値圏●",3,IF(V28="安値圏",2,0))+IF(Q28="売り▼",2,0)+IF(P28="急増↑↑",2,IF(P28="増加↑",1,0))+IF(Z28&lt;0,1,0)+IF(L28&lt;=-30,2,IF(L28&lt;=-15,1,0))+IF(AE28="25日戻り売り★",2,IF(AE28="5日戻り売り○",1,0))+N(AL28)+N(AP28)+N(AU28),0))</f>
        <v/>
      </c>
      <c r="U28" s="225">
        <f>IF(T28="","",IF(AND(T28&gt;=3,O28&gt;=1.5),"有効",IF(T28&gt;=3,"要確認","除外")))</f>
        <v/>
      </c>
      <c r="V28" s="225">
        <f>IF(AND(I28&lt;&gt;"",K28&lt;&gt;""),IF(I28&lt;=K28*0.6,"年初来安値圏●",IF(I28&lt;=K28*0.75,"安値圏","通常")),"")</f>
        <v/>
      </c>
      <c r="W28" s="628">
        <f t="array" ref="W28">IFERROR(100-100/(1+SUMPRODUCT((終値!F135:R135&gt;終値!G135:S135)*(終値!F135:R135-終値!G135:S135))/SUMPRODUCT((終値!F135:R135&lt;終値!G135:S135)*(終値!G135:S135-終値!F135:R135))),50)</f>
        <v/>
      </c>
      <c r="X28" s="357">
        <f>IF(C28&lt;&gt;"",IFERROR(SUMPRODUCT(終値!E135:P135,{0.154,0.132,0.113,0.097,0.083,0.071,0.061,0.052,0.045,0.038,0.033,0.028})/SUMPRODUCT({0.154,0.132,0.113,0.097,0.083,0.071,0.061,0.052,0.045,0.038,0.033,0.028})-SUMPRODUCT(終値!E135:AD135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8" s="225">
        <f>IF(AF28="","",AF28&amp;" | "&amp;AD28&amp;IF(AE28&lt;&gt;"なし"," "&amp;AE28,"")&amp;IF(X28&lt;0," MACD-"," MACD+")&amp;" RSI:"&amp;TEXT(W28,"0.0")&amp;IF(W28&gt;=70," [過熱]",IF(W28&lt;=30," [売られ過ぎ]",""))&amp;" 前日比:"&amp;TEXT(Z28,"+0.0;-0.0;0.0")&amp;"%"&amp;IF(V28="年初来安値圏●"," [年初来安値圏]",IF(V28="安値圏"," [安値圏]",""))&amp;IF(OR(AO28="通常",AO28="-"),""," ["&amp;AO28&amp;"]")&amp;IF(OR(AT28="通常",AT28="-"),"","前日["&amp;AT28&amp;"]")&amp;" ["&amp;T28&amp;"点]")</f>
        <v/>
      </c>
      <c r="Z28" s="629">
        <f>IF(AND(E28&lt;&gt;"",G28&lt;&gt;"",G28&lt;&gt;0),(E28-G28)/G28*100,"")</f>
        <v/>
      </c>
      <c r="AA28" s="225">
        <f>IF(OR(C28="",E28="",E28=0),"",IF(E28&gt;G28,"上昇▲",IF(E28&lt;G28,"下落▼","横ばい→")))</f>
        <v/>
      </c>
      <c r="AB28" s="353">
        <f>IF(OR(C28="",C28="TOPX",終値!E135=""),"",IFERROR(((終値!E135*0.333)+(終値!F135*0.222)+(終値!G135*0.148)+(終値!H135*0.099)+(終値!I135*0.066))/(0.333+0.222+0.148+0.099+0.066),""))</f>
        <v/>
      </c>
      <c r="AC28" s="353">
        <f>IF(OR(C28="",C28="TOPX",終値!E135=""),"",IFERROR(SUMPRODUCT((終値!E135:AC135)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8" s="225">
        <f>IF(OR(C28="",AB28="",AC28="",AB28=0,AC28=0),"",IF(AND(E28&gt;AB28,AB28&gt;AC28),"パーフェクト▲",IF(E28&gt;AC28,"上昇トレンド▲",IF(AND(E28&lt;AB28,AB28&lt;AC28),"下降トレンド▼","もみ合い→"))))</f>
        <v/>
      </c>
      <c r="AE28" s="225">
        <f>IF(OR(C28="",AB28="",AC28=""),"",IF(AND(ABS(E28-AC28)/AC28&lt;=0.02,E28&lt;AC28),"25日戻り売り★",IF(AND(ABS(E28-AB28)/AB28&lt;=0.01,E28&lt;AB28),"5日戻り売り○","なし")))</f>
        <v/>
      </c>
      <c r="AF28">
        <f>IF(T28="","",IF(銘柄管理!$F$5="上昇▲",IF(AND(AD28="下降トレンド▼",OR(AE28="25日戻り売り★",AE28="5日戻り売り○")),"★逆張り売り",IF(AND(AD28="もみ合い→",OR(AE28="25日戻り売り★",AE28="5日戻り売り○")),"○逆張り売り",IF(W28&gt;=70,IF(Z28&lt;0,"◎反落確認","△過熱・様子見"),"相場上昇・見送り"))),IF(AND(T28&gt;=12,AD28="下降トレンド▼"),"★強い売り",IF(T28&gt;=12,"★強い売り",IF(AND(T28&gt;=8,OR(AE28="25日戻り売り★",AE28="5日戻り売り○")),"◎戻り売り",IF(T28&gt;=10,"○売り候補",IF(T28&gt;=6,"△注目",IF(T28&gt;=3,"様子見","見送り"))))))))</f>
        <v/>
      </c>
      <c r="AG28">
        <f>IF(AND(T28&gt;=7,C28&lt;&gt;""),T28,0)</f>
        <v/>
      </c>
      <c r="AH28">
        <f>IF(AG28&gt;0,AG28*10000-ROW(A28),0)</f>
        <v/>
      </c>
      <c r="AI28" s="623">
        <f t="array" ref="AI28">IF(C28="","",IFERROR((INDEX(終値!$E:$E,MATCH(TEXT(C28,"0"),終値!$A:$A,0))-INDEX(終値!$E:$BL,MATCH(TEXT(C28,"0"),終値!$A:$A,0),$AN$2))/INDEX(終値!$E:$BL,MATCH(TEXT(C28,"0"),終値!$A:$A,0),$AN$2)*100,""))</f>
        <v/>
      </c>
      <c r="AJ28" s="623">
        <f t="array" ref="AJ28">IFERROR((終値!$E$5-INDEX(終値!$E$5:$BL$5,1,$AN$2))/INDEX(終値!$E$5:$BL$5,1,$AN$2)*100,"")</f>
        <v/>
      </c>
      <c r="AK28" s="624">
        <f>IF(OR(AI28="",AJ28=""),"",AI28-AJ28)</f>
        <v/>
      </c>
      <c r="AL28" s="394">
        <f>IF(AK28="","",IF(AK28&lt;-5,3,IF(AK28&lt;0,1,IF(AK28&lt;3,-1,-2))))</f>
        <v/>
      </c>
      <c r="AO28" s="398">
        <f>IF(OR($C28="",$E28="",$F28="",$H28="",$I28="",$H28-$I28&lt;=0),"-",IF(AND($H28-MAX($F28,$E28)&gt;=ABS($E28-$F28)*2,MIN($F28,$E28)-$I28&lt;=ABS($E28-$F28)*0.5,ABS($E28-$F28)&gt;0),"上ヒゲ陰線▼",IF(AND($E28&lt;$F28,ABS($E28-$F28)&gt;=($H28-$I28)*0.7),"大陰線▼",IF(AND(MIN($F28,$E28)-$I28&gt;=($H28-$I28)*0.5,$H28-MAX($F28,$E28)&lt;=($H28-$I28)*0.2),"長い下ヒゲ(反発警戒)","通常"))))</f>
        <v/>
      </c>
      <c r="AP28" s="625">
        <f>IF($AO28="上ヒゲ陰線▼",2,IF($AO28="大陰線▼",2,IF($AO28="長い下ヒゲ(反発警戒)",-2,0)))</f>
        <v/>
      </c>
      <c r="AQ28">
        <f>IF(C28&lt;&gt;"",始値!F135,"")</f>
        <v/>
      </c>
      <c r="AR28">
        <f>IF(C28&lt;&gt;"",高値!F135,"")</f>
        <v/>
      </c>
      <c r="AS28">
        <f>IF(C28&lt;&gt;"",安値!F135,"")</f>
        <v/>
      </c>
      <c r="AT28">
        <f>IF(OR(C28="",AQ28="",AR28="",AS28="",AR28-AS28&lt;=0),"-",IF(AND(AR28-MAX(G28,AQ28)&gt;=ABS(G28-AQ28)*2,MIN(G28,AQ28)-AS28&lt;=ABS(G28-AQ28)*0.5,ABS(G28-AQ28)&gt;0),"上ヒゲ陰線▼",IF(AND(G28&lt;AQ28,ABS(G28-AQ28)&gt;=(AR28-AS28)*0.7),"大陰線▼",IF(AND(MIN(G28,AQ28)-AS28&gt;=(AR28-AS28)*0.5,AR28-MAX(G28,AQ28)&lt;=(AR28-AS28)*0.2),"長い下ヒゲ(反発)","通常"))))</f>
        <v/>
      </c>
      <c r="AU28">
        <f>IF(AT28="上ヒゲ陰線▼",2,IF(AT28="大陰線▼",2,IF(AT28="長い下ヒゲ(反発)",-2,0)))</f>
        <v/>
      </c>
    </row>
    <row r="29" ht="14.25" customHeight="1" s="574">
      <c r="A29" s="344">
        <f>IF(銘柄管理!B151&lt;&gt;"",HYPERLINK("https://kabutan.jp/stock/?code="&amp;銘柄管理!B151,"株探"),"")</f>
        <v/>
      </c>
      <c r="B29" s="345" t="n"/>
      <c r="C29" s="345">
        <f>IF(銘柄管理!B151="","",銘柄管理!B151)</f>
        <v/>
      </c>
      <c r="D29" s="345">
        <f>IF(銘柄管理!C151="","",銘柄管理!C151)</f>
        <v/>
      </c>
      <c r="E29" s="346">
        <f>IF(C29&lt;&gt;"",_xll.RssMarket(C29,"現在値"),"")</f>
        <v/>
      </c>
      <c r="F29" s="346">
        <f>IF(C29&lt;&gt;"",_xll.RssMarket(C29,"始値"),"")</f>
        <v/>
      </c>
      <c r="G29" s="345">
        <f>IF(C29&lt;&gt;"",終値!F151,"")</f>
        <v/>
      </c>
      <c r="H29" s="346">
        <f>IF(C29&lt;&gt;"",_xll.RssMarket(C29,"高値"),"")</f>
        <v/>
      </c>
      <c r="I29" s="346">
        <f>IF(C29&lt;&gt;"",_xll.RssMarket(C29,"安値"),"")</f>
        <v/>
      </c>
      <c r="J29" s="346">
        <f>IF(C29&lt;&gt;"",_xll.RssMarket(C29,"出来高"),"")</f>
        <v/>
      </c>
      <c r="K29" s="346">
        <f>IF(C29&lt;&gt;"",_xll.RssMarket(C29,"年初来高値"),"")</f>
        <v/>
      </c>
      <c r="L29" s="619">
        <f>IF(AND(E29&lt;&gt;"",K29&lt;&gt;"",K29&lt;&gt;0),(E29-K29)/K29*100,"")</f>
        <v/>
      </c>
      <c r="M29" s="346">
        <f>IF(C29&lt;&gt;"",IFERROR(AVERAGE(出来高!E151:I151),""),"")</f>
        <v/>
      </c>
      <c r="N29" s="346">
        <f>IF(C29&lt;&gt;"",IFERROR(AVERAGE(出来高!E151:AC151),""),"")</f>
        <v/>
      </c>
      <c r="O29" s="620">
        <f>IF(AND(J29&lt;&gt;"",M29&lt;&gt;"",M29&lt;&gt;0),J29/M29,"")</f>
        <v/>
      </c>
      <c r="P29" s="345">
        <f>IF(O29="","",IF(O29&gt;=2,"急増↑↑",IF(O29&gt;=1.5,"増加↑",IF(O29&gt;=1,"普通→","減少↓"))))</f>
        <v/>
      </c>
      <c r="Q29" s="345">
        <f>IF(E29="","",IF(AND(E29&lt;G29,O29&gt;=1.5),"売り▼",IF(E29&gt;G29,"様子見▲","中立→")))</f>
        <v/>
      </c>
      <c r="R29" s="346">
        <f>IF(E29&lt;&gt;"",ROUND(E29*0.92,0),"")</f>
        <v/>
      </c>
      <c r="S29" s="346">
        <f>IF(E29&lt;&gt;"",ROUND(E29*1.04,0),"")</f>
        <v/>
      </c>
      <c r="T29" s="345">
        <f>IF(C29="","",IFERROR(IF(W29&gt;=70,3,IF(W29&gt;=60,2,IF(W29&gt;=50,1,0)))+IF(X29&lt;0,2,0)+IF(AD29="下降トレンド▼",3,IF(AD29="もみ合い→",1,0))+IF(V29="年初来安値圏●",3,IF(V29="安値圏",2,0))+IF(Q29="売り▼",2,0)+IF(P29="急増↑↑",2,IF(P29="増加↑",1,0))+IF(Z29&lt;0,1,0)+IF(L29&lt;=-30,2,IF(L29&lt;=-15,1,0))+IF(AE29="25日戻り売り★",2,IF(AE29="5日戻り売り○",1,0))+N(AL29)+N(AP29)+N(AU29),0))</f>
        <v/>
      </c>
      <c r="U29" s="345">
        <f>IF(T29="","",IF(AND(T29&gt;=3,O29&gt;=1.5),"有効",IF(T29&gt;=3,"要確認","除外")))</f>
        <v/>
      </c>
      <c r="V29" s="345">
        <f>IF(AND(I29&lt;&gt;"",K29&lt;&gt;""),IF(I29&lt;=K29*0.6,"年初来安値圏●",IF(I29&lt;=K29*0.75,"安値圏","通常")),"")</f>
        <v/>
      </c>
      <c r="W29" s="621">
        <f t="array" ref="W29">IFERROR(100-100/(1+SUMPRODUCT((終値!F151:R151&gt;終値!G151:S151)*(終値!F151:R151-終値!G151:S151))/SUMPRODUCT((終値!F151:R151&lt;終値!G151:S151)*(終値!G151:S151-終値!F151:R151))),50)</f>
        <v/>
      </c>
      <c r="X29" s="350">
        <f>IF(C29&lt;&gt;"",IFERROR(SUMPRODUCT(終値!E151:P151,{0.154,0.132,0.113,0.097,0.083,0.071,0.061,0.052,0.045,0.038,0.033,0.028})/SUMPRODUCT({0.154,0.132,0.113,0.097,0.083,0.071,0.061,0.052,0.045,0.038,0.033,0.028})-SUMPRODUCT(終値!E151:AD151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9" s="345">
        <f>IF(AF29="","",AF29&amp;" | "&amp;AD29&amp;IF(AE29&lt;&gt;"なし"," "&amp;AE29,"")&amp;IF(X29&lt;0," MACD-"," MACD+")&amp;" RSI:"&amp;TEXT(W29,"0.0")&amp;IF(W29&gt;=70," [過熱]",IF(W29&lt;=30," [売られ過ぎ]",""))&amp;" 前日比:"&amp;TEXT(Z29,"+0.0;-0.0;0.0")&amp;"%"&amp;IF(V29="年初来安値圏●"," [年初来安値圏]",IF(V29="安値圏"," [安値圏]",""))&amp;IF(OR(AO29="通常",AO29="-"),""," ["&amp;AO29&amp;"]")&amp;IF(OR(AT29="通常",AT29="-"),"","前日["&amp;AT29&amp;"]")&amp;" ["&amp;T29&amp;"点]")</f>
        <v/>
      </c>
      <c r="Z29" s="622">
        <f>IF(AND(E29&lt;&gt;"",G29&lt;&gt;"",G29&lt;&gt;0),(E29-G29)/G29*100,"")</f>
        <v/>
      </c>
      <c r="AA29" s="345">
        <f>IF(OR(C29="",E29="",E29=0),"",IF(E29&gt;G29,"上昇▲",IF(E29&lt;G29,"下落▼","横ばい→")))</f>
        <v/>
      </c>
      <c r="AB29" s="346">
        <f>IF(OR(C29="",C29="TOPX",終値!E151=""),"",IFERROR(((終値!E151*0.333)+(終値!F151*0.222)+(終値!G151*0.148)+(終値!H151*0.099)+(終値!I151*0.066))/(0.333+0.222+0.148+0.099+0.066),""))</f>
        <v/>
      </c>
      <c r="AC29" s="346">
        <f>IF(OR(C29="",C29="TOPX",終値!E151=""),"",IFERROR(SUMPRODUCT((終値!E151:AC151)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9" s="345">
        <f>IF(OR(C29="",AB29="",AC29="",AB29=0,AC29=0),"",IF(AND(E29&gt;AB29,AB29&gt;AC29),"パーフェクト▲",IF(E29&gt;AC29,"上昇トレンド▲",IF(AND(E29&lt;AB29,AB29&lt;AC29),"下降トレンド▼","もみ合い→"))))</f>
        <v/>
      </c>
      <c r="AE29" s="345">
        <f>IF(OR(C29="",AB29="",AC29=""),"",IF(AND(ABS(E29-AC29)/AC29&lt;=0.02,E29&lt;AC29),"25日戻り売り★",IF(AND(ABS(E29-AB29)/AB29&lt;=0.01,E29&lt;AB29),"5日戻り売り○","なし")))</f>
        <v/>
      </c>
      <c r="AF29">
        <f>IF(T29="","",IF(銘柄管理!$F$5="上昇▲",IF(AND(AD29="下降トレンド▼",OR(AE29="25日戻り売り★",AE29="5日戻り売り○")),"★逆張り売り",IF(AND(AD29="もみ合い→",OR(AE29="25日戻り売り★",AE29="5日戻り売り○")),"○逆張り売り",IF(W29&gt;=70,IF(Z29&lt;0,"◎反落確認","△過熱・様子見"),"相場上昇・見送り"))),IF(AND(T29&gt;=12,AD29="下降トレンド▼"),"★強い売り",IF(T29&gt;=12,"★強い売り",IF(AND(T29&gt;=8,OR(AE29="25日戻り売り★",AE29="5日戻り売り○")),"◎戻り売り",IF(T29&gt;=10,"○売り候補",IF(T29&gt;=6,"△注目",IF(T29&gt;=3,"様子見","見送り"))))))))</f>
        <v/>
      </c>
      <c r="AG29">
        <f>IF(AND(T29&gt;=7,C29&lt;&gt;""),T29,0)</f>
        <v/>
      </c>
      <c r="AH29">
        <f>IF(AG29&gt;0,AG29*10000-ROW(A29),0)</f>
        <v/>
      </c>
      <c r="AI29" s="623">
        <f t="array" ref="AI29">IF(C29="","",IFERROR((INDEX(終値!$E:$E,MATCH(TEXT(C29,"0"),終値!$A:$A,0))-INDEX(終値!$E:$BL,MATCH(TEXT(C29,"0"),終値!$A:$A,0),$AN$2))/INDEX(終値!$E:$BL,MATCH(TEXT(C29,"0"),終値!$A:$A,0),$AN$2)*100,""))</f>
        <v/>
      </c>
      <c r="AJ29" s="623">
        <f t="array" ref="AJ29">IFERROR((終値!$E$5-INDEX(終値!$E$5:$BL$5,1,$AN$2))/INDEX(終値!$E$5:$BL$5,1,$AN$2)*100,"")</f>
        <v/>
      </c>
      <c r="AK29" s="624">
        <f>IF(OR(AI29="",AJ29=""),"",AI29-AJ29)</f>
        <v/>
      </c>
      <c r="AL29" s="394">
        <f>IF(AK29="","",IF(AK29&lt;-5,3,IF(AK29&lt;0,1,IF(AK29&lt;3,-1,-2))))</f>
        <v/>
      </c>
      <c r="AO29" s="398">
        <f>IF(OR($C29="",$E29="",$F29="",$H29="",$I29="",$H29-$I29&lt;=0),"-",IF(AND($H29-MAX($F29,$E29)&gt;=ABS($E29-$F29)*2,MIN($F29,$E29)-$I29&lt;=ABS($E29-$F29)*0.5,ABS($E29-$F29)&gt;0),"上ヒゲ陰線▼",IF(AND($E29&lt;$F29,ABS($E29-$F29)&gt;=($H29-$I29)*0.7),"大陰線▼",IF(AND(MIN($F29,$E29)-$I29&gt;=($H29-$I29)*0.5,$H29-MAX($F29,$E29)&lt;=($H29-$I29)*0.2),"長い下ヒゲ(反発警戒)","通常"))))</f>
        <v/>
      </c>
      <c r="AP29" s="625">
        <f>IF($AO29="上ヒゲ陰線▼",2,IF($AO29="大陰線▼",2,IF($AO29="長い下ヒゲ(反発警戒)",-2,0)))</f>
        <v/>
      </c>
      <c r="AQ29">
        <f>IF(C29&lt;&gt;"",始値!F151,"")</f>
        <v/>
      </c>
      <c r="AR29">
        <f>IF(C29&lt;&gt;"",高値!F151,"")</f>
        <v/>
      </c>
      <c r="AS29">
        <f>IF(C29&lt;&gt;"",安値!F151,"")</f>
        <v/>
      </c>
      <c r="AT29">
        <f>IF(OR(C29="",AQ29="",AR29="",AS29="",AR29-AS29&lt;=0),"-",IF(AND(AR29-MAX(G29,AQ29)&gt;=ABS(G29-AQ29)*2,MIN(G29,AQ29)-AS29&lt;=ABS(G29-AQ29)*0.5,ABS(G29-AQ29)&gt;0),"上ヒゲ陰線▼",IF(AND(G29&lt;AQ29,ABS(G29-AQ29)&gt;=(AR29-AS29)*0.7),"大陰線▼",IF(AND(MIN(G29,AQ29)-AS29&gt;=(AR29-AS29)*0.5,AR29-MAX(G29,AQ29)&lt;=(AR29-AS29)*0.2),"長い下ヒゲ(反発)","通常"))))</f>
        <v/>
      </c>
      <c r="AU29">
        <f>IF(AT29="上ヒゲ陰線▼",2,IF(AT29="大陰線▼",2,IF(AT29="長い下ヒゲ(反発)",-2,0)))</f>
        <v/>
      </c>
    </row>
    <row r="30" ht="14.25" customHeight="1" s="574">
      <c r="A30" s="352">
        <f>IF(銘柄管理!B154&lt;&gt;"",HYPERLINK("https://kabutan.jp/stock/?code="&amp;銘柄管理!B154,"株探"),"")</f>
        <v/>
      </c>
      <c r="B30" s="225" t="n"/>
      <c r="C30" s="225">
        <f>IF(銘柄管理!B154="","",銘柄管理!B154)</f>
        <v/>
      </c>
      <c r="D30" s="225">
        <f>IF(銘柄管理!C154="","",銘柄管理!C154)</f>
        <v/>
      </c>
      <c r="E30" s="353">
        <f>IF(C30&lt;&gt;"",_xll.RssMarket(C30,"現在値"),"")</f>
        <v/>
      </c>
      <c r="F30" s="353">
        <f>IF(C30&lt;&gt;"",_xll.RssMarket(C30,"始値"),"")</f>
        <v/>
      </c>
      <c r="G30" s="225">
        <f>IF(C30&lt;&gt;"",終値!F154,"")</f>
        <v/>
      </c>
      <c r="H30" s="353">
        <f>IF(C30&lt;&gt;"",_xll.RssMarket(C30,"高値"),"")</f>
        <v/>
      </c>
      <c r="I30" s="353">
        <f>IF(C30&lt;&gt;"",_xll.RssMarket(C30,"安値"),"")</f>
        <v/>
      </c>
      <c r="J30" s="353">
        <f>IF(C30&lt;&gt;"",_xll.RssMarket(C30,"出来高"),"")</f>
        <v/>
      </c>
      <c r="K30" s="353">
        <f>IF(C30&lt;&gt;"",_xll.RssMarket(C30,"年初来高値"),"")</f>
        <v/>
      </c>
      <c r="L30" s="626">
        <f>IF(AND(E30&lt;&gt;"",K30&lt;&gt;"",K30&lt;&gt;0),(E30-K30)/K30*100,"")</f>
        <v/>
      </c>
      <c r="M30" s="353">
        <f>IF(C30&lt;&gt;"",IFERROR(AVERAGE(出来高!E154:I154),""),"")</f>
        <v/>
      </c>
      <c r="N30" s="353">
        <f>IF(C30&lt;&gt;"",IFERROR(AVERAGE(出来高!E154:AC154),""),"")</f>
        <v/>
      </c>
      <c r="O30" s="627">
        <f>IF(AND(J30&lt;&gt;"",M30&lt;&gt;"",M30&lt;&gt;0),J30/M30,"")</f>
        <v/>
      </c>
      <c r="P30" s="225">
        <f>IF(O30="","",IF(O30&gt;=2,"急増↑↑",IF(O30&gt;=1.5,"増加↑",IF(O30&gt;=1,"普通→","減少↓"))))</f>
        <v/>
      </c>
      <c r="Q30" s="225">
        <f>IF(E30="","",IF(AND(E30&lt;G30,O30&gt;=1.5),"売り▼",IF(E30&gt;G30,"様子見▲","中立→")))</f>
        <v/>
      </c>
      <c r="R30" s="353">
        <f>IF(E30&lt;&gt;"",ROUND(E30*0.92,0),"")</f>
        <v/>
      </c>
      <c r="S30" s="353">
        <f>IF(E30&lt;&gt;"",ROUND(E30*1.04,0),"")</f>
        <v/>
      </c>
      <c r="T30" s="345">
        <f>IF(C30="","",IFERROR(IF(W30&gt;=70,3,IF(W30&gt;=60,2,IF(W30&gt;=50,1,0)))+IF(X30&lt;0,2,0)+IF(AD30="下降トレンド▼",3,IF(AD30="もみ合い→",1,0))+IF(V30="年初来安値圏●",3,IF(V30="安値圏",2,0))+IF(Q30="売り▼",2,0)+IF(P30="急増↑↑",2,IF(P30="増加↑",1,0))+IF(Z30&lt;0,1,0)+IF(L30&lt;=-30,2,IF(L30&lt;=-15,1,0))+IF(AE30="25日戻り売り★",2,IF(AE30="5日戻り売り○",1,0))+N(AL30)+N(AP30)+N(AU30),0))</f>
        <v/>
      </c>
      <c r="U30" s="225">
        <f>IF(T30="","",IF(AND(T30&gt;=3,O30&gt;=1.5),"有効",IF(T30&gt;=3,"要確認","除外")))</f>
        <v/>
      </c>
      <c r="V30" s="225">
        <f>IF(AND(I30&lt;&gt;"",K30&lt;&gt;""),IF(I30&lt;=K30*0.6,"年初来安値圏●",IF(I30&lt;=K30*0.75,"安値圏","通常")),"")</f>
        <v/>
      </c>
      <c r="W30" s="628">
        <f t="array" ref="W30">IFERROR(100-100/(1+SUMPRODUCT((終値!F154:R154&gt;終値!G154:S154)*(終値!F154:R154-終値!G154:S154))/SUMPRODUCT((終値!F154:R154&lt;終値!G154:S154)*(終値!G154:S154-終値!F154:R154))),50)</f>
        <v/>
      </c>
      <c r="X30" s="357">
        <f>IF(C30&lt;&gt;"",IFERROR(SUMPRODUCT(終値!E154:P154,{0.154,0.132,0.113,0.097,0.083,0.071,0.061,0.052,0.045,0.038,0.033,0.028})/SUMPRODUCT({0.154,0.132,0.113,0.097,0.083,0.071,0.061,0.052,0.045,0.038,0.033,0.028})-SUMPRODUCT(終値!E154:AD154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0" s="225">
        <f>IF(AF30="","",AF30&amp;" | "&amp;AD30&amp;IF(AE30&lt;&gt;"なし"," "&amp;AE30,"")&amp;IF(X30&lt;0," MACD-"," MACD+")&amp;" RSI:"&amp;TEXT(W30,"0.0")&amp;IF(W30&gt;=70," [過熱]",IF(W30&lt;=30," [売られ過ぎ]",""))&amp;" 前日比:"&amp;TEXT(Z30,"+0.0;-0.0;0.0")&amp;"%"&amp;IF(V30="年初来安値圏●"," [年初来安値圏]",IF(V30="安値圏"," [安値圏]",""))&amp;IF(OR(AO30="通常",AO30="-"),""," ["&amp;AO30&amp;"]")&amp;IF(OR(AT30="通常",AT30="-"),"","前日["&amp;AT30&amp;"]")&amp;" ["&amp;T30&amp;"点]")</f>
        <v/>
      </c>
      <c r="Z30" s="629">
        <f>IF(AND(E30&lt;&gt;"",G30&lt;&gt;"",G30&lt;&gt;0),(E30-G30)/G30*100,"")</f>
        <v/>
      </c>
      <c r="AA30" s="225">
        <f>IF(OR(C30="",E30="",E30=0),"",IF(E30&gt;G30,"上昇▲",IF(E30&lt;G30,"下落▼","横ばい→")))</f>
        <v/>
      </c>
      <c r="AB30" s="353">
        <f>IF(OR(C30="",C30="TOPX",終値!E154=""),"",IFERROR(((終値!E154*0.333)+(終値!F154*0.222)+(終値!G154*0.148)+(終値!H154*0.099)+(終値!I154*0.066))/(0.333+0.222+0.148+0.099+0.066),""))</f>
        <v/>
      </c>
      <c r="AC30" s="353">
        <f>IF(OR(C30="",C30="TOPX",終値!E154=""),"",IFERROR(SUMPRODUCT((終値!E154:AC154)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0" s="225">
        <f>IF(OR(C30="",AB30="",AC30="",AB30=0,AC30=0),"",IF(AND(E30&gt;AB30,AB30&gt;AC30),"パーフェクト▲",IF(E30&gt;AC30,"上昇トレンド▲",IF(AND(E30&lt;AB30,AB30&lt;AC30),"下降トレンド▼","もみ合い→"))))</f>
        <v/>
      </c>
      <c r="AE30" s="225">
        <f>IF(OR(C30="",AB30="",AC30=""),"",IF(AND(ABS(E30-AC30)/AC30&lt;=0.02,E30&lt;AC30),"25日戻り売り★",IF(AND(ABS(E30-AB30)/AB30&lt;=0.01,E30&lt;AB30),"5日戻り売り○","なし")))</f>
        <v/>
      </c>
      <c r="AF30">
        <f>IF(T30="","",IF(銘柄管理!$F$5="上昇▲",IF(AND(AD30="下降トレンド▼",OR(AE30="25日戻り売り★",AE30="5日戻り売り○")),"★逆張り売り",IF(AND(AD30="もみ合い→",OR(AE30="25日戻り売り★",AE30="5日戻り売り○")),"○逆張り売り",IF(W30&gt;=70,IF(Z30&lt;0,"◎反落確認","△過熱・様子見"),"相場上昇・見送り"))),IF(AND(T30&gt;=12,AD30="下降トレンド▼"),"★強い売り",IF(T30&gt;=12,"★強い売り",IF(AND(T30&gt;=8,OR(AE30="25日戻り売り★",AE30="5日戻り売り○")),"◎戻り売り",IF(T30&gt;=10,"○売り候補",IF(T30&gt;=6,"△注目",IF(T30&gt;=3,"様子見","見送り"))))))))</f>
        <v/>
      </c>
      <c r="AG30">
        <f>IF(AND(T30&gt;=7,C30&lt;&gt;""),T30,0)</f>
        <v/>
      </c>
      <c r="AH30">
        <f>IF(AG30&gt;0,AG30*10000-ROW(A30),0)</f>
        <v/>
      </c>
      <c r="AI30" s="623">
        <f t="array" ref="AI30">IF(C30="","",IFERROR((INDEX(終値!$E:$E,MATCH(TEXT(C30,"0"),終値!$A:$A,0))-INDEX(終値!$E:$BL,MATCH(TEXT(C30,"0"),終値!$A:$A,0),$AN$2))/INDEX(終値!$E:$BL,MATCH(TEXT(C30,"0"),終値!$A:$A,0),$AN$2)*100,""))</f>
        <v/>
      </c>
      <c r="AJ30" s="623">
        <f t="array" ref="AJ30">IFERROR((終値!$E$5-INDEX(終値!$E$5:$BL$5,1,$AN$2))/INDEX(終値!$E$5:$BL$5,1,$AN$2)*100,"")</f>
        <v/>
      </c>
      <c r="AK30" s="624">
        <f>IF(OR(AI30="",AJ30=""),"",AI30-AJ30)</f>
        <v/>
      </c>
      <c r="AL30" s="394">
        <f>IF(AK30="","",IF(AK30&lt;-5,3,IF(AK30&lt;0,1,IF(AK30&lt;3,-1,-2))))</f>
        <v/>
      </c>
      <c r="AO30" s="398">
        <f>IF(OR($C30="",$E30="",$F30="",$H30="",$I30="",$H30-$I30&lt;=0),"-",IF(AND($H30-MAX($F30,$E30)&gt;=ABS($E30-$F30)*2,MIN($F30,$E30)-$I30&lt;=ABS($E30-$F30)*0.5,ABS($E30-$F30)&gt;0),"上ヒゲ陰線▼",IF(AND($E30&lt;$F30,ABS($E30-$F30)&gt;=($H30-$I30)*0.7),"大陰線▼",IF(AND(MIN($F30,$E30)-$I30&gt;=($H30-$I30)*0.5,$H30-MAX($F30,$E30)&lt;=($H30-$I30)*0.2),"長い下ヒゲ(反発警戒)","通常"))))</f>
        <v/>
      </c>
      <c r="AP30" s="625">
        <f>IF($AO30="上ヒゲ陰線▼",2,IF($AO30="大陰線▼",2,IF($AO30="長い下ヒゲ(反発警戒)",-2,0)))</f>
        <v/>
      </c>
      <c r="AQ30">
        <f>IF(C30&lt;&gt;"",始値!F154,"")</f>
        <v/>
      </c>
      <c r="AR30">
        <f>IF(C30&lt;&gt;"",高値!F154,"")</f>
        <v/>
      </c>
      <c r="AS30">
        <f>IF(C30&lt;&gt;"",安値!F154,"")</f>
        <v/>
      </c>
      <c r="AT30">
        <f>IF(OR(C30="",AQ30="",AR30="",AS30="",AR30-AS30&lt;=0),"-",IF(AND(AR30-MAX(G30,AQ30)&gt;=ABS(G30-AQ30)*2,MIN(G30,AQ30)-AS30&lt;=ABS(G30-AQ30)*0.5,ABS(G30-AQ30)&gt;0),"上ヒゲ陰線▼",IF(AND(G30&lt;AQ30,ABS(G30-AQ30)&gt;=(AR30-AS30)*0.7),"大陰線▼",IF(AND(MIN(G30,AQ30)-AS30&gt;=(AR30-AS30)*0.5,AR30-MAX(G30,AQ30)&lt;=(AR30-AS30)*0.2),"長い下ヒゲ(反発)","通常"))))</f>
        <v/>
      </c>
      <c r="AU30">
        <f>IF(AT30="上ヒゲ陰線▼",2,IF(AT30="大陰線▼",2,IF(AT30="長い下ヒゲ(反発)",-2,0)))</f>
        <v/>
      </c>
    </row>
    <row r="31" ht="14.25" customHeight="1" s="574">
      <c r="A31" s="344">
        <f>IF(銘柄管理!B155&lt;&gt;"",HYPERLINK("https://kabutan.jp/stock/?code="&amp;銘柄管理!B155,"株探"),"")</f>
        <v/>
      </c>
      <c r="B31" s="345" t="n"/>
      <c r="C31" s="345">
        <f>IF(銘柄管理!B155="","",銘柄管理!B155)</f>
        <v/>
      </c>
      <c r="D31" s="345">
        <f>IF(銘柄管理!C155="","",銘柄管理!C155)</f>
        <v/>
      </c>
      <c r="E31" s="346">
        <f>IF(C31&lt;&gt;"",_xll.RssMarket(C31,"現在値"),"")</f>
        <v/>
      </c>
      <c r="F31" s="346">
        <f>IF(C31&lt;&gt;"",_xll.RssMarket(C31,"始値"),"")</f>
        <v/>
      </c>
      <c r="G31" s="345">
        <f>IF(C31&lt;&gt;"",終値!F155,"")</f>
        <v/>
      </c>
      <c r="H31" s="346">
        <f>IF(C31&lt;&gt;"",_xll.RssMarket(C31,"高値"),"")</f>
        <v/>
      </c>
      <c r="I31" s="346">
        <f>IF(C31&lt;&gt;"",_xll.RssMarket(C31,"安値"),"")</f>
        <v/>
      </c>
      <c r="J31" s="346">
        <f>IF(C31&lt;&gt;"",_xll.RssMarket(C31,"出来高"),"")</f>
        <v/>
      </c>
      <c r="K31" s="346">
        <f>IF(C31&lt;&gt;"",_xll.RssMarket(C31,"年初来高値"),"")</f>
        <v/>
      </c>
      <c r="L31" s="619">
        <f>IF(AND(E31&lt;&gt;"",K31&lt;&gt;"",K31&lt;&gt;0),(E31-K31)/K31*100,"")</f>
        <v/>
      </c>
      <c r="M31" s="346">
        <f>IF(C31&lt;&gt;"",IFERROR(AVERAGE(出来高!E155:I155),""),"")</f>
        <v/>
      </c>
      <c r="N31" s="346">
        <f>IF(C31&lt;&gt;"",IFERROR(AVERAGE(出来高!E155:AC155),""),"")</f>
        <v/>
      </c>
      <c r="O31" s="620">
        <f>IF(AND(J31&lt;&gt;"",M31&lt;&gt;"",M31&lt;&gt;0),J31/M31,"")</f>
        <v/>
      </c>
      <c r="P31" s="345">
        <f>IF(O31="","",IF(O31&gt;=2,"急増↑↑",IF(O31&gt;=1.5,"増加↑",IF(O31&gt;=1,"普通→","減少↓"))))</f>
        <v/>
      </c>
      <c r="Q31" s="345">
        <f>IF(E31="","",IF(AND(E31&lt;G31,O31&gt;=1.5),"売り▼",IF(E31&gt;G31,"様子見▲","中立→")))</f>
        <v/>
      </c>
      <c r="R31" s="346">
        <f>IF(E31&lt;&gt;"",ROUND(E31*0.92,0),"")</f>
        <v/>
      </c>
      <c r="S31" s="346">
        <f>IF(E31&lt;&gt;"",ROUND(E31*1.04,0),"")</f>
        <v/>
      </c>
      <c r="T31" s="345">
        <f>IF(C31="","",IFERROR(IF(W31&gt;=70,3,IF(W31&gt;=60,2,IF(W31&gt;=50,1,0)))+IF(X31&lt;0,2,0)+IF(AD31="下降トレンド▼",3,IF(AD31="もみ合い→",1,0))+IF(V31="年初来安値圏●",3,IF(V31="安値圏",2,0))+IF(Q31="売り▼",2,0)+IF(P31="急増↑↑",2,IF(P31="増加↑",1,0))+IF(Z31&lt;0,1,0)+IF(L31&lt;=-30,2,IF(L31&lt;=-15,1,0))+IF(AE31="25日戻り売り★",2,IF(AE31="5日戻り売り○",1,0))+N(AL31)+N(AP31)+N(AU31),0))</f>
        <v/>
      </c>
      <c r="U31" s="345">
        <f>IF(T31="","",IF(AND(T31&gt;=3,O31&gt;=1.5),"有効",IF(T31&gt;=3,"要確認","除外")))</f>
        <v/>
      </c>
      <c r="V31" s="345">
        <f>IF(AND(I31&lt;&gt;"",K31&lt;&gt;""),IF(I31&lt;=K31*0.6,"年初来安値圏●",IF(I31&lt;=K31*0.75,"安値圏","通常")),"")</f>
        <v/>
      </c>
      <c r="W31" s="621">
        <f t="array" ref="W31">IFERROR(100-100/(1+SUMPRODUCT((終値!F155:R155&gt;終値!G155:S155)*(終値!F155:R155-終値!G155:S155))/SUMPRODUCT((終値!F155:R155&lt;終値!G155:S155)*(終値!G155:S155-終値!F155:R155))),50)</f>
        <v/>
      </c>
      <c r="X31" s="350">
        <f>IF(C31&lt;&gt;"",IFERROR(SUMPRODUCT(終値!E155:P155,{0.154,0.132,0.113,0.097,0.083,0.071,0.061,0.052,0.045,0.038,0.033,0.028})/SUMPRODUCT({0.154,0.132,0.113,0.097,0.083,0.071,0.061,0.052,0.045,0.038,0.033,0.028})-SUMPRODUCT(終値!E155:AD155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1" s="345">
        <f>IF(AF31="","",AF31&amp;" | "&amp;AD31&amp;IF(AE31&lt;&gt;"なし"," "&amp;AE31,"")&amp;IF(X31&lt;0," MACD-"," MACD+")&amp;" RSI:"&amp;TEXT(W31,"0.0")&amp;IF(W31&gt;=70," [過熱]",IF(W31&lt;=30," [売られ過ぎ]",""))&amp;" 前日比:"&amp;TEXT(Z31,"+0.0;-0.0;0.0")&amp;"%"&amp;IF(V31="年初来安値圏●"," [年初来安値圏]",IF(V31="安値圏"," [安値圏]",""))&amp;IF(OR(AO31="通常",AO31="-"),""," ["&amp;AO31&amp;"]")&amp;IF(OR(AT31="通常",AT31="-"),"","前日["&amp;AT31&amp;"]")&amp;" ["&amp;T31&amp;"点]")</f>
        <v/>
      </c>
      <c r="Z31" s="622">
        <f>IF(AND(E31&lt;&gt;"",G31&lt;&gt;"",G31&lt;&gt;0),(E31-G31)/G31*100,"")</f>
        <v/>
      </c>
      <c r="AA31" s="345">
        <f>IF(OR(C31="",E31="",E31=0),"",IF(E31&gt;G31,"上昇▲",IF(E31&lt;G31,"下落▼","横ばい→")))</f>
        <v/>
      </c>
      <c r="AB31" s="346">
        <f>IF(OR(C31="",C31="TOPX",終値!E155=""),"",IFERROR(((終値!E155*0.333)+(終値!F155*0.222)+(終値!G155*0.148)+(終値!H155*0.099)+(終値!I155*0.066))/(0.333+0.222+0.148+0.099+0.066),""))</f>
        <v/>
      </c>
      <c r="AC31" s="346">
        <f>IF(OR(C31="",C31="TOPX",終値!E155=""),"",IFERROR(SUMPRODUCT((終値!E155:AC155)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1" s="345">
        <f>IF(OR(C31="",AB31="",AC31="",AB31=0,AC31=0),"",IF(AND(E31&gt;AB31,AB31&gt;AC31),"パーフェクト▲",IF(E31&gt;AC31,"上昇トレンド▲",IF(AND(E31&lt;AB31,AB31&lt;AC31),"下降トレンド▼","もみ合い→"))))</f>
        <v/>
      </c>
      <c r="AE31" s="345">
        <f>IF(OR(C31="",AB31="",AC31=""),"",IF(AND(ABS(E31-AC31)/AC31&lt;=0.02,E31&lt;AC31),"25日戻り売り★",IF(AND(ABS(E31-AB31)/AB31&lt;=0.01,E31&lt;AB31),"5日戻り売り○","なし")))</f>
        <v/>
      </c>
      <c r="AF31">
        <f>IF(T31="","",IF(銘柄管理!$F$5="上昇▲",IF(AND(AD31="下降トレンド▼",OR(AE31="25日戻り売り★",AE31="5日戻り売り○")),"★逆張り売り",IF(AND(AD31="もみ合い→",OR(AE31="25日戻り売り★",AE31="5日戻り売り○")),"○逆張り売り",IF(W31&gt;=70,IF(Z31&lt;0,"◎反落確認","△過熱・様子見"),"相場上昇・見送り"))),IF(AND(T31&gt;=12,AD31="下降トレンド▼"),"★強い売り",IF(T31&gt;=12,"★強い売り",IF(AND(T31&gt;=8,OR(AE31="25日戻り売り★",AE31="5日戻り売り○")),"◎戻り売り",IF(T31&gt;=10,"○売り候補",IF(T31&gt;=6,"△注目",IF(T31&gt;=3,"様子見","見送り"))))))))</f>
        <v/>
      </c>
      <c r="AG31">
        <f>IF(AND(T31&gt;=7,C31&lt;&gt;""),T31,0)</f>
        <v/>
      </c>
      <c r="AH31">
        <f>IF(AG31&gt;0,AG31*10000-ROW(A31),0)</f>
        <v/>
      </c>
      <c r="AI31" s="623">
        <f t="array" ref="AI31">IF(C31="","",IFERROR((INDEX(終値!$E:$E,MATCH(TEXT(C31,"0"),終値!$A:$A,0))-INDEX(終値!$E:$BL,MATCH(TEXT(C31,"0"),終値!$A:$A,0),$AN$2))/INDEX(終値!$E:$BL,MATCH(TEXT(C31,"0"),終値!$A:$A,0),$AN$2)*100,""))</f>
        <v/>
      </c>
      <c r="AJ31" s="623">
        <f t="array" ref="AJ31">IFERROR((終値!$E$5-INDEX(終値!$E$5:$BL$5,1,$AN$2))/INDEX(終値!$E$5:$BL$5,1,$AN$2)*100,"")</f>
        <v/>
      </c>
      <c r="AK31" s="624">
        <f>IF(OR(AI31="",AJ31=""),"",AI31-AJ31)</f>
        <v/>
      </c>
      <c r="AL31" s="394">
        <f>IF(AK31="","",IF(AK31&lt;-5,3,IF(AK31&lt;0,1,IF(AK31&lt;3,-1,-2))))</f>
        <v/>
      </c>
      <c r="AO31" s="398">
        <f>IF(OR($C31="",$E31="",$F31="",$H31="",$I31="",$H31-$I31&lt;=0),"-",IF(AND($H31-MAX($F31,$E31)&gt;=ABS($E31-$F31)*2,MIN($F31,$E31)-$I31&lt;=ABS($E31-$F31)*0.5,ABS($E31-$F31)&gt;0),"上ヒゲ陰線▼",IF(AND($E31&lt;$F31,ABS($E31-$F31)&gt;=($H31-$I31)*0.7),"大陰線▼",IF(AND(MIN($F31,$E31)-$I31&gt;=($H31-$I31)*0.5,$H31-MAX($F31,$E31)&lt;=($H31-$I31)*0.2),"長い下ヒゲ(反発警戒)","通常"))))</f>
        <v/>
      </c>
      <c r="AP31" s="625">
        <f>IF($AO31="上ヒゲ陰線▼",2,IF($AO31="大陰線▼",2,IF($AO31="長い下ヒゲ(反発警戒)",-2,0)))</f>
        <v/>
      </c>
      <c r="AQ31">
        <f>IF(C31&lt;&gt;"",始値!F155,"")</f>
        <v/>
      </c>
      <c r="AR31">
        <f>IF(C31&lt;&gt;"",高値!F155,"")</f>
        <v/>
      </c>
      <c r="AS31">
        <f>IF(C31&lt;&gt;"",安値!F155,"")</f>
        <v/>
      </c>
      <c r="AT31">
        <f>IF(OR(C31="",AQ31="",AR31="",AS31="",AR31-AS31&lt;=0),"-",IF(AND(AR31-MAX(G31,AQ31)&gt;=ABS(G31-AQ31)*2,MIN(G31,AQ31)-AS31&lt;=ABS(G31-AQ31)*0.5,ABS(G31-AQ31)&gt;0),"上ヒゲ陰線▼",IF(AND(G31&lt;AQ31,ABS(G31-AQ31)&gt;=(AR31-AS31)*0.7),"大陰線▼",IF(AND(MIN(G31,AQ31)-AS31&gt;=(AR31-AS31)*0.5,AR31-MAX(G31,AQ31)&lt;=(AR31-AS31)*0.2),"長い下ヒゲ(反発)","通常"))))</f>
        <v/>
      </c>
      <c r="AU31">
        <f>IF(AT31="上ヒゲ陰線▼",2,IF(AT31="大陰線▼",2,IF(AT31="長い下ヒゲ(反発)",-2,0)))</f>
        <v/>
      </c>
    </row>
    <row r="32" ht="14.25" customHeight="1" s="574">
      <c r="A32" s="352">
        <f>IF(銘柄管理!B175&lt;&gt;"",HYPERLINK("https://kabutan.jp/stock/?code="&amp;銘柄管理!B175,"株探"),"")</f>
        <v/>
      </c>
      <c r="B32" s="225" t="n"/>
      <c r="C32" s="225">
        <f>IF(銘柄管理!B175="","",銘柄管理!B175)</f>
        <v/>
      </c>
      <c r="D32" s="225">
        <f>IF(銘柄管理!C175="","",銘柄管理!C175)</f>
        <v/>
      </c>
      <c r="E32" s="353">
        <f>IF(C32&lt;&gt;"",_xll.RssMarket(C32,"現在値"),"")</f>
        <v/>
      </c>
      <c r="F32" s="353">
        <f>IF(C32&lt;&gt;"",_xll.RssMarket(C32,"始値"),"")</f>
        <v/>
      </c>
      <c r="G32" s="225">
        <f>IF(C32&lt;&gt;"",終値!F175,"")</f>
        <v/>
      </c>
      <c r="H32" s="353">
        <f>IF(C32&lt;&gt;"",_xll.RssMarket(C32,"高値"),"")</f>
        <v/>
      </c>
      <c r="I32" s="353">
        <f>IF(C32&lt;&gt;"",_xll.RssMarket(C32,"安値"),"")</f>
        <v/>
      </c>
      <c r="J32" s="353">
        <f>IF(C32&lt;&gt;"",_xll.RssMarket(C32,"出来高"),"")</f>
        <v/>
      </c>
      <c r="K32" s="353">
        <f>IF(C32&lt;&gt;"",_xll.RssMarket(C32,"年初来高値"),"")</f>
        <v/>
      </c>
      <c r="L32" s="626">
        <f>IF(AND(E32&lt;&gt;"",K32&lt;&gt;"",K32&lt;&gt;0),(E32-K32)/K32*100,"")</f>
        <v/>
      </c>
      <c r="M32" s="353">
        <f>IF(C32&lt;&gt;"",IFERROR(AVERAGE(出来高!E175:I175),""),"")</f>
        <v/>
      </c>
      <c r="N32" s="353">
        <f>IF(C32&lt;&gt;"",IFERROR(AVERAGE(出来高!E175:AC175),""),"")</f>
        <v/>
      </c>
      <c r="O32" s="627">
        <f>IF(AND(J32&lt;&gt;"",M32&lt;&gt;"",M32&lt;&gt;0),J32/M32,"")</f>
        <v/>
      </c>
      <c r="P32" s="225">
        <f>IF(O32="","",IF(O32&gt;=2,"急増↑↑",IF(O32&gt;=1.5,"増加↑",IF(O32&gt;=1,"普通→","減少↓"))))</f>
        <v/>
      </c>
      <c r="Q32" s="225">
        <f>IF(E32="","",IF(AND(E32&lt;G32,O32&gt;=1.5),"売り▼",IF(E32&gt;G32,"様子見▲","中立→")))</f>
        <v/>
      </c>
      <c r="R32" s="353">
        <f>IF(E32&lt;&gt;"",ROUND(E32*0.92,0),"")</f>
        <v/>
      </c>
      <c r="S32" s="353">
        <f>IF(E32&lt;&gt;"",ROUND(E32*1.04,0),"")</f>
        <v/>
      </c>
      <c r="T32" s="345">
        <f>IF(C32="","",IFERROR(IF(W32&gt;=70,3,IF(W32&gt;=60,2,IF(W32&gt;=50,1,0)))+IF(X32&lt;0,2,0)+IF(AD32="下降トレンド▼",3,IF(AD32="もみ合い→",1,0))+IF(V32="年初来安値圏●",3,IF(V32="安値圏",2,0))+IF(Q32="売り▼",2,0)+IF(P32="急増↑↑",2,IF(P32="増加↑",1,0))+IF(Z32&lt;0,1,0)+IF(L32&lt;=-30,2,IF(L32&lt;=-15,1,0))+IF(AE32="25日戻り売り★",2,IF(AE32="5日戻り売り○",1,0))+N(AL32)+N(AP32)+N(AU32),0))</f>
        <v/>
      </c>
      <c r="U32" s="225">
        <f>IF(T32="","",IF(AND(T32&gt;=3,O32&gt;=1.5),"有効",IF(T32&gt;=3,"要確認","除外")))</f>
        <v/>
      </c>
      <c r="V32" s="225">
        <f>IF(AND(I32&lt;&gt;"",K32&lt;&gt;""),IF(I32&lt;=K32*0.6,"年初来安値圏●",IF(I32&lt;=K32*0.75,"安値圏","通常")),"")</f>
        <v/>
      </c>
      <c r="W32" s="628">
        <f t="array" ref="W32">IFERROR(100-100/(1+SUMPRODUCT((終値!F175:R175&gt;終値!G175:S175)*(終値!F175:R175-終値!G175:S175))/SUMPRODUCT((終値!F175:R175&lt;終値!G175:S175)*(終値!G175:S175-終値!F175:R175))),50)</f>
        <v/>
      </c>
      <c r="X32" s="357">
        <f>IF(C32&lt;&gt;"",IFERROR(SUMPRODUCT(終値!E175:P175,{0.154,0.132,0.113,0.097,0.083,0.071,0.061,0.052,0.045,0.038,0.033,0.028})/SUMPRODUCT({0.154,0.132,0.113,0.097,0.083,0.071,0.061,0.052,0.045,0.038,0.033,0.028})-SUMPRODUCT(終値!E175:AD175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2" s="225">
        <f>IF(AF32="","",AF32&amp;" | "&amp;AD32&amp;IF(AE32&lt;&gt;"なし"," "&amp;AE32,"")&amp;IF(X32&lt;0," MACD-"," MACD+")&amp;" RSI:"&amp;TEXT(W32,"0.0")&amp;IF(W32&gt;=70," [過熱]",IF(W32&lt;=30," [売られ過ぎ]",""))&amp;" 前日比:"&amp;TEXT(Z32,"+0.0;-0.0;0.0")&amp;"%"&amp;IF(V32="年初来安値圏●"," [年初来安値圏]",IF(V32="安値圏"," [安値圏]",""))&amp;IF(OR(AO32="通常",AO32="-"),""," ["&amp;AO32&amp;"]")&amp;IF(OR(AT32="通常",AT32="-"),"","前日["&amp;AT32&amp;"]")&amp;" ["&amp;T32&amp;"点]")</f>
        <v/>
      </c>
      <c r="Z32" s="629">
        <f>IF(AND(E32&lt;&gt;"",G32&lt;&gt;"",G32&lt;&gt;0),(E32-G32)/G32*100,"")</f>
        <v/>
      </c>
      <c r="AA32" s="225">
        <f>IF(OR(C32="",E32="",E32=0),"",IF(E32&gt;G32,"上昇▲",IF(E32&lt;G32,"下落▼","横ばい→")))</f>
        <v/>
      </c>
      <c r="AB32" s="353">
        <f>IF(OR(C32="",C32="TOPX",終値!E175=""),"",IFERROR(((終値!E175*0.333)+(終値!F175*0.222)+(終値!G175*0.148)+(終値!H175*0.099)+(終値!I175*0.066))/(0.333+0.222+0.148+0.099+0.066),""))</f>
        <v/>
      </c>
      <c r="AC32" s="353">
        <f>IF(OR(C32="",C32="TOPX",終値!E175=""),"",IFERROR(SUMPRODUCT((終値!E175:AC175)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2" s="225">
        <f>IF(OR(C32="",AB32="",AC32="",AB32=0,AC32=0),"",IF(AND(E32&gt;AB32,AB32&gt;AC32),"パーフェクト▲",IF(E32&gt;AC32,"上昇トレンド▲",IF(AND(E32&lt;AB32,AB32&lt;AC32),"下降トレンド▼","もみ合い→"))))</f>
        <v/>
      </c>
      <c r="AE32" s="225">
        <f>IF(OR(C32="",AB32="",AC32=""),"",IF(AND(ABS(E32-AC32)/AC32&lt;=0.02,E32&lt;AC32),"25日戻り売り★",IF(AND(ABS(E32-AB32)/AB32&lt;=0.01,E32&lt;AB32),"5日戻り売り○","なし")))</f>
        <v/>
      </c>
      <c r="AF32">
        <f>IF(T32="","",IF(銘柄管理!$F$5="上昇▲",IF(AND(AD32="下降トレンド▼",OR(AE32="25日戻り売り★",AE32="5日戻り売り○")),"★逆張り売り",IF(AND(AD32="もみ合い→",OR(AE32="25日戻り売り★",AE32="5日戻り売り○")),"○逆張り売り",IF(W32&gt;=70,IF(Z32&lt;0,"◎反落確認","△過熱・様子見"),"相場上昇・見送り"))),IF(AND(T32&gt;=12,AD32="下降トレンド▼"),"★強い売り",IF(T32&gt;=12,"★強い売り",IF(AND(T32&gt;=8,OR(AE32="25日戻り売り★",AE32="5日戻り売り○")),"◎戻り売り",IF(T32&gt;=10,"○売り候補",IF(T32&gt;=6,"△注目",IF(T32&gt;=3,"様子見","見送り"))))))))</f>
        <v/>
      </c>
      <c r="AG32">
        <f>IF(AND(T32&gt;=7,C32&lt;&gt;""),T32,0)</f>
        <v/>
      </c>
      <c r="AH32">
        <f>IF(AG32&gt;0,AG32*10000-ROW(A32),0)</f>
        <v/>
      </c>
      <c r="AI32" s="623">
        <f t="array" ref="AI32">IF(C32="","",IFERROR((INDEX(終値!$E:$E,MATCH(TEXT(C32,"0"),終値!$A:$A,0))-INDEX(終値!$E:$BL,MATCH(TEXT(C32,"0"),終値!$A:$A,0),$AN$2))/INDEX(終値!$E:$BL,MATCH(TEXT(C32,"0"),終値!$A:$A,0),$AN$2)*100,""))</f>
        <v/>
      </c>
      <c r="AJ32" s="623">
        <f t="array" ref="AJ32">IFERROR((終値!$E$5-INDEX(終値!$E$5:$BL$5,1,$AN$2))/INDEX(終値!$E$5:$BL$5,1,$AN$2)*100,"")</f>
        <v/>
      </c>
      <c r="AK32" s="624">
        <f>IF(OR(AI32="",AJ32=""),"",AI32-AJ32)</f>
        <v/>
      </c>
      <c r="AL32" s="394">
        <f>IF(AK32="","",IF(AK32&lt;-5,3,IF(AK32&lt;0,1,IF(AK32&lt;3,-1,-2))))</f>
        <v/>
      </c>
      <c r="AO32" s="398">
        <f>IF(OR($C32="",$E32="",$F32="",$H32="",$I32="",$H32-$I32&lt;=0),"-",IF(AND($H32-MAX($F32,$E32)&gt;=ABS($E32-$F32)*2,MIN($F32,$E32)-$I32&lt;=ABS($E32-$F32)*0.5,ABS($E32-$F32)&gt;0),"上ヒゲ陰線▼",IF(AND($E32&lt;$F32,ABS($E32-$F32)&gt;=($H32-$I32)*0.7),"大陰線▼",IF(AND(MIN($F32,$E32)-$I32&gt;=($H32-$I32)*0.5,$H32-MAX($F32,$E32)&lt;=($H32-$I32)*0.2),"長い下ヒゲ(反発警戒)","通常"))))</f>
        <v/>
      </c>
      <c r="AP32" s="625">
        <f>IF($AO32="上ヒゲ陰線▼",2,IF($AO32="大陰線▼",2,IF($AO32="長い下ヒゲ(反発警戒)",-2,0)))</f>
        <v/>
      </c>
      <c r="AQ32">
        <f>IF(C32&lt;&gt;"",始値!F175,"")</f>
        <v/>
      </c>
      <c r="AR32">
        <f>IF(C32&lt;&gt;"",高値!F175,"")</f>
        <v/>
      </c>
      <c r="AS32">
        <f>IF(C32&lt;&gt;"",安値!F175,"")</f>
        <v/>
      </c>
      <c r="AT32">
        <f>IF(OR(C32="",AQ32="",AR32="",AS32="",AR32-AS32&lt;=0),"-",IF(AND(AR32-MAX(G32,AQ32)&gt;=ABS(G32-AQ32)*2,MIN(G32,AQ32)-AS32&lt;=ABS(G32-AQ32)*0.5,ABS(G32-AQ32)&gt;0),"上ヒゲ陰線▼",IF(AND(G32&lt;AQ32,ABS(G32-AQ32)&gt;=(AR32-AS32)*0.7),"大陰線▼",IF(AND(MIN(G32,AQ32)-AS32&gt;=(AR32-AS32)*0.5,AR32-MAX(G32,AQ32)&lt;=(AR32-AS32)*0.2),"長い下ヒゲ(反発)","通常"))))</f>
        <v/>
      </c>
      <c r="AU32">
        <f>IF(AT32="上ヒゲ陰線▼",2,IF(AT32="大陰線▼",2,IF(AT32="長い下ヒゲ(反発)",-2,0)))</f>
        <v/>
      </c>
    </row>
    <row r="33" ht="14.25" customHeight="1" s="574">
      <c r="A33" s="344">
        <f>IF(銘柄管理!B195&lt;&gt;"",HYPERLINK("https://kabutan.jp/stock/?code="&amp;銘柄管理!B195,"株探"),"")</f>
        <v/>
      </c>
      <c r="B33" s="345" t="n"/>
      <c r="C33" s="345">
        <f>IF(銘柄管理!B195="","",銘柄管理!B195)</f>
        <v/>
      </c>
      <c r="D33" s="345">
        <f>IF(銘柄管理!C195="","",銘柄管理!C195)</f>
        <v/>
      </c>
      <c r="E33" s="346">
        <f>IF(C33&lt;&gt;"",_xll.RssMarket(C33,"現在値"),"")</f>
        <v/>
      </c>
      <c r="F33" s="346">
        <f>IF(C33&lt;&gt;"",_xll.RssMarket(C33,"始値"),"")</f>
        <v/>
      </c>
      <c r="G33" s="345">
        <f>IF(C33&lt;&gt;"",終値!F195,"")</f>
        <v/>
      </c>
      <c r="H33" s="346">
        <f>IF(C33&lt;&gt;"",_xll.RssMarket(C33,"高値"),"")</f>
        <v/>
      </c>
      <c r="I33" s="346">
        <f>IF(C33&lt;&gt;"",_xll.RssMarket(C33,"安値"),"")</f>
        <v/>
      </c>
      <c r="J33" s="346">
        <f>IF(C33&lt;&gt;"",_xll.RssMarket(C33,"出来高"),"")</f>
        <v/>
      </c>
      <c r="K33" s="346">
        <f>IF(C33&lt;&gt;"",_xll.RssMarket(C33,"年初来高値"),"")</f>
        <v/>
      </c>
      <c r="L33" s="619">
        <f>IF(AND(E33&lt;&gt;"",K33&lt;&gt;"",K33&lt;&gt;0),(E33-K33)/K33*100,"")</f>
        <v/>
      </c>
      <c r="M33" s="346">
        <f>IF(C33&lt;&gt;"",IFERROR(AVERAGE(出来高!E195:I195),""),"")</f>
        <v/>
      </c>
      <c r="N33" s="346">
        <f>IF(C33&lt;&gt;"",IFERROR(AVERAGE(出来高!E195:AC195),""),"")</f>
        <v/>
      </c>
      <c r="O33" s="620">
        <f>IF(AND(J33&lt;&gt;"",M33&lt;&gt;"",M33&lt;&gt;0),J33/M33,"")</f>
        <v/>
      </c>
      <c r="P33" s="345">
        <f>IF(O33="","",IF(O33&gt;=2,"急増↑↑",IF(O33&gt;=1.5,"増加↑",IF(O33&gt;=1,"普通→","減少↓"))))</f>
        <v/>
      </c>
      <c r="Q33" s="345">
        <f>IF(E33="","",IF(AND(E33&lt;G33,O33&gt;=1.5),"売り▼",IF(E33&gt;G33,"様子見▲","中立→")))</f>
        <v/>
      </c>
      <c r="R33" s="346">
        <f>IF(E33&lt;&gt;"",ROUND(E33*0.92,0),"")</f>
        <v/>
      </c>
      <c r="S33" s="346">
        <f>IF(E33&lt;&gt;"",ROUND(E33*1.04,0),"")</f>
        <v/>
      </c>
      <c r="T33" s="345">
        <f>IF(C33="","",IFERROR(IF(W33&gt;=70,3,IF(W33&gt;=60,2,IF(W33&gt;=50,1,0)))+IF(X33&lt;0,2,0)+IF(AD33="下降トレンド▼",3,IF(AD33="もみ合い→",1,0))+IF(V33="年初来安値圏●",3,IF(V33="安値圏",2,0))+IF(Q33="売り▼",2,0)+IF(P33="急増↑↑",2,IF(P33="増加↑",1,0))+IF(Z33&lt;0,1,0)+IF(L33&lt;=-30,2,IF(L33&lt;=-15,1,0))+IF(AE33="25日戻り売り★",2,IF(AE33="5日戻り売り○",1,0))+N(AL33)+N(AP33)+N(AU33),0))</f>
        <v/>
      </c>
      <c r="U33" s="345">
        <f>IF(T33="","",IF(AND(T33&gt;=3,O33&gt;=1.5),"有効",IF(T33&gt;=3,"要確認","除外")))</f>
        <v/>
      </c>
      <c r="V33" s="345">
        <f>IF(AND(I33&lt;&gt;"",K33&lt;&gt;""),IF(I33&lt;=K33*0.6,"年初来安値圏●",IF(I33&lt;=K33*0.75,"安値圏","通常")),"")</f>
        <v/>
      </c>
      <c r="W33" s="621">
        <f t="array" ref="W33">IFERROR(100-100/(1+SUMPRODUCT((終値!F195:R195&gt;終値!G195:S195)*(終値!F195:R195-終値!G195:S195))/SUMPRODUCT((終値!F195:R195&lt;終値!G195:S195)*(終値!G195:S195-終値!F195:R195))),50)</f>
        <v/>
      </c>
      <c r="X33" s="350">
        <f>IF(C33&lt;&gt;"",IFERROR(SUMPRODUCT(終値!E195:P195,{0.154,0.132,0.113,0.097,0.083,0.071,0.061,0.052,0.045,0.038,0.033,0.028})/SUMPRODUCT({0.154,0.132,0.113,0.097,0.083,0.071,0.061,0.052,0.045,0.038,0.033,0.028})-SUMPRODUCT(終値!E195:AD195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3" s="345">
        <f>IF(AF33="","",AF33&amp;" | "&amp;AD33&amp;IF(AE33&lt;&gt;"なし"," "&amp;AE33,"")&amp;IF(X33&lt;0," MACD-"," MACD+")&amp;" RSI:"&amp;TEXT(W33,"0.0")&amp;IF(W33&gt;=70," [過熱]",IF(W33&lt;=30," [売られ過ぎ]",""))&amp;" 前日比:"&amp;TEXT(Z33,"+0.0;-0.0;0.0")&amp;"%"&amp;IF(V33="年初来安値圏●"," [年初来安値圏]",IF(V33="安値圏"," [安値圏]",""))&amp;IF(OR(AO33="通常",AO33="-"),""," ["&amp;AO33&amp;"]")&amp;IF(OR(AT33="通常",AT33="-"),"","前日["&amp;AT33&amp;"]")&amp;" ["&amp;T33&amp;"点]")</f>
        <v/>
      </c>
      <c r="Z33" s="622">
        <f>IF(AND(E33&lt;&gt;"",G33&lt;&gt;"",G33&lt;&gt;0),(E33-G33)/G33*100,"")</f>
        <v/>
      </c>
      <c r="AA33" s="345">
        <f>IF(OR(C33="",E33="",E33=0),"",IF(E33&gt;G33,"上昇▲",IF(E33&lt;G33,"下落▼","横ばい→")))</f>
        <v/>
      </c>
      <c r="AB33" s="346">
        <f>IF(OR(C33="",C33="TOPX",終値!E195=""),"",IFERROR(((終値!E195*0.333)+(終値!F195*0.222)+(終値!G195*0.148)+(終値!H195*0.099)+(終値!I195*0.066))/(0.333+0.222+0.148+0.099+0.066),""))</f>
        <v/>
      </c>
      <c r="AC33" s="346">
        <f>IF(OR(C33="",C33="TOPX",終値!E195=""),"",IFERROR(SUMPRODUCT((終値!E195:AC195)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3" s="345">
        <f>IF(OR(C33="",AB33="",AC33="",AB33=0,AC33=0),"",IF(AND(E33&gt;AB33,AB33&gt;AC33),"パーフェクト▲",IF(E33&gt;AC33,"上昇トレンド▲",IF(AND(E33&lt;AB33,AB33&lt;AC33),"下降トレンド▼","もみ合い→"))))</f>
        <v/>
      </c>
      <c r="AE33" s="345">
        <f>IF(OR(C33="",AB33="",AC33=""),"",IF(AND(ABS(E33-AC33)/AC33&lt;=0.02,E33&lt;AC33),"25日戻り売り★",IF(AND(ABS(E33-AB33)/AB33&lt;=0.01,E33&lt;AB33),"5日戻り売り○","なし")))</f>
        <v/>
      </c>
      <c r="AF33">
        <f>IF(T33="","",IF(銘柄管理!$F$5="上昇▲",IF(AND(AD33="下降トレンド▼",OR(AE33="25日戻り売り★",AE33="5日戻り売り○")),"★逆張り売り",IF(AND(AD33="もみ合い→",OR(AE33="25日戻り売り★",AE33="5日戻り売り○")),"○逆張り売り",IF(W33&gt;=70,IF(Z33&lt;0,"◎反落確認","△過熱・様子見"),"相場上昇・見送り"))),IF(AND(T33&gt;=12,AD33="下降トレンド▼"),"★強い売り",IF(T33&gt;=12,"★強い売り",IF(AND(T33&gt;=8,OR(AE33="25日戻り売り★",AE33="5日戻り売り○")),"◎戻り売り",IF(T33&gt;=10,"○売り候補",IF(T33&gt;=6,"△注目",IF(T33&gt;=3,"様子見","見送り"))))))))</f>
        <v/>
      </c>
      <c r="AG33">
        <f>IF(AND(T33&gt;=7,C33&lt;&gt;""),T33,0)</f>
        <v/>
      </c>
      <c r="AH33">
        <f>IF(AG33&gt;0,AG33*10000-ROW(A33),0)</f>
        <v/>
      </c>
      <c r="AI33" s="623">
        <f t="array" ref="AI33">IF(C33="","",IFERROR((INDEX(終値!$E:$E,MATCH(TEXT(C33,"0"),終値!$A:$A,0))-INDEX(終値!$E:$BL,MATCH(TEXT(C33,"0"),終値!$A:$A,0),$AN$2))/INDEX(終値!$E:$BL,MATCH(TEXT(C33,"0"),終値!$A:$A,0),$AN$2)*100,""))</f>
        <v/>
      </c>
      <c r="AJ33" s="623">
        <f t="array" ref="AJ33">IFERROR((終値!$E$5-INDEX(終値!$E$5:$BL$5,1,$AN$2))/INDEX(終値!$E$5:$BL$5,1,$AN$2)*100,"")</f>
        <v/>
      </c>
      <c r="AK33" s="624">
        <f>IF(OR(AI33="",AJ33=""),"",AI33-AJ33)</f>
        <v/>
      </c>
      <c r="AL33" s="394">
        <f>IF(AK33="","",IF(AK33&lt;-5,3,IF(AK33&lt;0,1,IF(AK33&lt;3,-1,-2))))</f>
        <v/>
      </c>
      <c r="AO33" s="398">
        <f>IF(OR($C33="",$E33="",$F33="",$H33="",$I33="",$H33-$I33&lt;=0),"-",IF(AND($H33-MAX($F33,$E33)&gt;=ABS($E33-$F33)*2,MIN($F33,$E33)-$I33&lt;=ABS($E33-$F33)*0.5,ABS($E33-$F33)&gt;0),"上ヒゲ陰線▼",IF(AND($E33&lt;$F33,ABS($E33-$F33)&gt;=($H33-$I33)*0.7),"大陰線▼",IF(AND(MIN($F33,$E33)-$I33&gt;=($H33-$I33)*0.5,$H33-MAX($F33,$E33)&lt;=($H33-$I33)*0.2),"長い下ヒゲ(反発警戒)","通常"))))</f>
        <v/>
      </c>
      <c r="AP33" s="625">
        <f>IF($AO33="上ヒゲ陰線▼",2,IF($AO33="大陰線▼",2,IF($AO33="長い下ヒゲ(反発警戒)",-2,0)))</f>
        <v/>
      </c>
      <c r="AQ33">
        <f>IF(C33&lt;&gt;"",始値!F195,"")</f>
        <v/>
      </c>
      <c r="AR33">
        <f>IF(C33&lt;&gt;"",高値!F195,"")</f>
        <v/>
      </c>
      <c r="AS33">
        <f>IF(C33&lt;&gt;"",安値!F195,"")</f>
        <v/>
      </c>
      <c r="AT33">
        <f>IF(OR(C33="",AQ33="",AR33="",AS33="",AR33-AS33&lt;=0),"-",IF(AND(AR33-MAX(G33,AQ33)&gt;=ABS(G33-AQ33)*2,MIN(G33,AQ33)-AS33&lt;=ABS(G33-AQ33)*0.5,ABS(G33-AQ33)&gt;0),"上ヒゲ陰線▼",IF(AND(G33&lt;AQ33,ABS(G33-AQ33)&gt;=(AR33-AS33)*0.7),"大陰線▼",IF(AND(MIN(G33,AQ33)-AS33&gt;=(AR33-AS33)*0.5,AR33-MAX(G33,AQ33)&lt;=(AR33-AS33)*0.2),"長い下ヒゲ(反発)","通常"))))</f>
        <v/>
      </c>
      <c r="AU33">
        <f>IF(AT33="上ヒゲ陰線▼",2,IF(AT33="大陰線▼",2,IF(AT33="長い下ヒゲ(反発)",-2,0)))</f>
        <v/>
      </c>
    </row>
    <row r="34" ht="14.25" customHeight="1" s="574">
      <c r="A34" s="352">
        <f>IF(銘柄管理!B196&lt;&gt;"",HYPERLINK("https://kabutan.jp/stock/?code="&amp;銘柄管理!B196,"株探"),"")</f>
        <v/>
      </c>
      <c r="B34" s="225" t="n"/>
      <c r="C34" s="225">
        <f>IF(銘柄管理!B196="","",銘柄管理!B196)</f>
        <v/>
      </c>
      <c r="D34" s="225">
        <f>IF(銘柄管理!C196="","",銘柄管理!C196)</f>
        <v/>
      </c>
      <c r="E34" s="353">
        <f>IF(C34&lt;&gt;"",_xll.RssMarket(C34,"現在値"),"")</f>
        <v/>
      </c>
      <c r="F34" s="353">
        <f>IF(C34&lt;&gt;"",_xll.RssMarket(C34,"始値"),"")</f>
        <v/>
      </c>
      <c r="G34" s="225">
        <f>IF(C34&lt;&gt;"",終値!F196,"")</f>
        <v/>
      </c>
      <c r="H34" s="353">
        <f>IF(C34&lt;&gt;"",_xll.RssMarket(C34,"高値"),"")</f>
        <v/>
      </c>
      <c r="I34" s="353">
        <f>IF(C34&lt;&gt;"",_xll.RssMarket(C34,"安値"),"")</f>
        <v/>
      </c>
      <c r="J34" s="353">
        <f>IF(C34&lt;&gt;"",_xll.RssMarket(C34,"出来高"),"")</f>
        <v/>
      </c>
      <c r="K34" s="353">
        <f>IF(C34&lt;&gt;"",_xll.RssMarket(C34,"年初来高値"),"")</f>
        <v/>
      </c>
      <c r="L34" s="626">
        <f>IF(AND(E34&lt;&gt;"",K34&lt;&gt;"",K34&lt;&gt;0),(E34-K34)/K34*100,"")</f>
        <v/>
      </c>
      <c r="M34" s="353">
        <f>IF(C34&lt;&gt;"",IFERROR(AVERAGE(出来高!E196:I196),""),"")</f>
        <v/>
      </c>
      <c r="N34" s="353">
        <f>IF(C34&lt;&gt;"",IFERROR(AVERAGE(出来高!E196:AC196),""),"")</f>
        <v/>
      </c>
      <c r="O34" s="627">
        <f>IF(AND(J34&lt;&gt;"",M34&lt;&gt;"",M34&lt;&gt;0),J34/M34,"")</f>
        <v/>
      </c>
      <c r="P34" s="225">
        <f>IF(O34="","",IF(O34&gt;=2,"急増↑↑",IF(O34&gt;=1.5,"増加↑",IF(O34&gt;=1,"普通→","減少↓"))))</f>
        <v/>
      </c>
      <c r="Q34" s="225">
        <f>IF(E34="","",IF(AND(E34&lt;G34,O34&gt;=1.5),"売り▼",IF(E34&gt;G34,"様子見▲","中立→")))</f>
        <v/>
      </c>
      <c r="R34" s="353">
        <f>IF(E34&lt;&gt;"",ROUND(E34*0.92,0),"")</f>
        <v/>
      </c>
      <c r="S34" s="353">
        <f>IF(E34&lt;&gt;"",ROUND(E34*1.04,0),"")</f>
        <v/>
      </c>
      <c r="T34" s="345">
        <f>IF(C34="","",IFERROR(IF(W34&gt;=70,3,IF(W34&gt;=60,2,IF(W34&gt;=50,1,0)))+IF(X34&lt;0,2,0)+IF(AD34="下降トレンド▼",3,IF(AD34="もみ合い→",1,0))+IF(V34="年初来安値圏●",3,IF(V34="安値圏",2,0))+IF(Q34="売り▼",2,0)+IF(P34="急増↑↑",2,IF(P34="増加↑",1,0))+IF(Z34&lt;0,1,0)+IF(L34&lt;=-30,2,IF(L34&lt;=-15,1,0))+IF(AE34="25日戻り売り★",2,IF(AE34="5日戻り売り○",1,0))+N(AL34)+N(AP34)+N(AU34),0))</f>
        <v/>
      </c>
      <c r="U34" s="225">
        <f>IF(T34="","",IF(AND(T34&gt;=3,O34&gt;=1.5),"有効",IF(T34&gt;=3,"要確認","除外")))</f>
        <v/>
      </c>
      <c r="V34" s="225">
        <f>IF(AND(I34&lt;&gt;"",K34&lt;&gt;""),IF(I34&lt;=K34*0.6,"年初来安値圏●",IF(I34&lt;=K34*0.75,"安値圏","通常")),"")</f>
        <v/>
      </c>
      <c r="W34" s="628">
        <f t="array" ref="W34">IFERROR(100-100/(1+SUMPRODUCT((終値!F196:R196&gt;終値!G196:S196)*(終値!F196:R196-終値!G196:S196))/SUMPRODUCT((終値!F196:R196&lt;終値!G196:S196)*(終値!G196:S196-終値!F196:R196))),50)</f>
        <v/>
      </c>
      <c r="X34" s="357">
        <f>IF(C34&lt;&gt;"",IFERROR(SUMPRODUCT(終値!E196:P196,{0.154,0.132,0.113,0.097,0.083,0.071,0.061,0.052,0.045,0.038,0.033,0.028})/SUMPRODUCT({0.154,0.132,0.113,0.097,0.083,0.071,0.061,0.052,0.045,0.038,0.033,0.028})-SUMPRODUCT(終値!E196:AD196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4" s="225">
        <f>IF(AF34="","",AF34&amp;" | "&amp;AD34&amp;IF(AE34&lt;&gt;"なし"," "&amp;AE34,"")&amp;IF(X34&lt;0," MACD-"," MACD+")&amp;" RSI:"&amp;TEXT(W34,"0.0")&amp;IF(W34&gt;=70," [過熱]",IF(W34&lt;=30," [売られ過ぎ]",""))&amp;" 前日比:"&amp;TEXT(Z34,"+0.0;-0.0;0.0")&amp;"%"&amp;IF(V34="年初来安値圏●"," [年初来安値圏]",IF(V34="安値圏"," [安値圏]",""))&amp;IF(OR(AO34="通常",AO34="-"),""," ["&amp;AO34&amp;"]")&amp;IF(OR(AT34="通常",AT34="-"),"","前日["&amp;AT34&amp;"]")&amp;" ["&amp;T34&amp;"点]")</f>
        <v/>
      </c>
      <c r="Z34" s="629">
        <f>IF(AND(E34&lt;&gt;"",G34&lt;&gt;"",G34&lt;&gt;0),(E34-G34)/G34*100,"")</f>
        <v/>
      </c>
      <c r="AA34" s="225">
        <f>IF(OR(C34="",E34="",E34=0),"",IF(E34&gt;G34,"上昇▲",IF(E34&lt;G34,"下落▼","横ばい→")))</f>
        <v/>
      </c>
      <c r="AB34" s="353">
        <f>IF(OR(C34="",C34="TOPX",終値!E196=""),"",IFERROR(((終値!E196*0.333)+(終値!F196*0.222)+(終値!G196*0.148)+(終値!H196*0.099)+(終値!I196*0.066))/(0.333+0.222+0.148+0.099+0.066),""))</f>
        <v/>
      </c>
      <c r="AC34" s="353">
        <f>IF(OR(C34="",C34="TOPX",終値!E196=""),"",IFERROR(SUMPRODUCT((終値!E196:AC196)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4" s="225">
        <f>IF(OR(C34="",AB34="",AC34="",AB34=0,AC34=0),"",IF(AND(E34&gt;AB34,AB34&gt;AC34),"パーフェクト▲",IF(E34&gt;AC34,"上昇トレンド▲",IF(AND(E34&lt;AB34,AB34&lt;AC34),"下降トレンド▼","もみ合い→"))))</f>
        <v/>
      </c>
      <c r="AE34" s="225">
        <f>IF(OR(C34="",AB34="",AC34=""),"",IF(AND(ABS(E34-AC34)/AC34&lt;=0.02,E34&lt;AC34),"25日戻り売り★",IF(AND(ABS(E34-AB34)/AB34&lt;=0.01,E34&lt;AB34),"5日戻り売り○","なし")))</f>
        <v/>
      </c>
      <c r="AF34">
        <f>IF(T34="","",IF(銘柄管理!$F$5="上昇▲",IF(AND(AD34="下降トレンド▼",OR(AE34="25日戻り売り★",AE34="5日戻り売り○")),"★逆張り売り",IF(AND(AD34="もみ合い→",OR(AE34="25日戻り売り★",AE34="5日戻り売り○")),"○逆張り売り",IF(W34&gt;=70,IF(Z34&lt;0,"◎反落確認","△過熱・様子見"),"相場上昇・見送り"))),IF(AND(T34&gt;=12,AD34="下降トレンド▼"),"★強い売り",IF(T34&gt;=12,"★強い売り",IF(AND(T34&gt;=8,OR(AE34="25日戻り売り★",AE34="5日戻り売り○")),"◎戻り売り",IF(T34&gt;=10,"○売り候補",IF(T34&gt;=6,"△注目",IF(T34&gt;=3,"様子見","見送り"))))))))</f>
        <v/>
      </c>
      <c r="AG34">
        <f>IF(AND(T34&gt;=7,C34&lt;&gt;""),T34,0)</f>
        <v/>
      </c>
      <c r="AH34">
        <f>IF(AG34&gt;0,AG34*10000-ROW(A34),0)</f>
        <v/>
      </c>
      <c r="AI34" s="623">
        <f t="array" ref="AI34">IF(C34="","",IFERROR((INDEX(終値!$E:$E,MATCH(TEXT(C34,"0"),終値!$A:$A,0))-INDEX(終値!$E:$BL,MATCH(TEXT(C34,"0"),終値!$A:$A,0),$AN$2))/INDEX(終値!$E:$BL,MATCH(TEXT(C34,"0"),終値!$A:$A,0),$AN$2)*100,""))</f>
        <v/>
      </c>
      <c r="AJ34" s="623">
        <f t="array" ref="AJ34">IFERROR((終値!$E$5-INDEX(終値!$E$5:$BL$5,1,$AN$2))/INDEX(終値!$E$5:$BL$5,1,$AN$2)*100,"")</f>
        <v/>
      </c>
      <c r="AK34" s="624">
        <f>IF(OR(AI34="",AJ34=""),"",AI34-AJ34)</f>
        <v/>
      </c>
      <c r="AL34" s="394">
        <f>IF(AK34="","",IF(AK34&lt;-5,3,IF(AK34&lt;0,1,IF(AK34&lt;3,-1,-2))))</f>
        <v/>
      </c>
      <c r="AO34" s="398">
        <f>IF(OR($C34="",$E34="",$F34="",$H34="",$I34="",$H34-$I34&lt;=0),"-",IF(AND($H34-MAX($F34,$E34)&gt;=ABS($E34-$F34)*2,MIN($F34,$E34)-$I34&lt;=ABS($E34-$F34)*0.5,ABS($E34-$F34)&gt;0),"上ヒゲ陰線▼",IF(AND($E34&lt;$F34,ABS($E34-$F34)&gt;=($H34-$I34)*0.7),"大陰線▼",IF(AND(MIN($F34,$E34)-$I34&gt;=($H34-$I34)*0.5,$H34-MAX($F34,$E34)&lt;=($H34-$I34)*0.2),"長い下ヒゲ(反発警戒)","通常"))))</f>
        <v/>
      </c>
      <c r="AP34" s="625">
        <f>IF($AO34="上ヒゲ陰線▼",2,IF($AO34="大陰線▼",2,IF($AO34="長い下ヒゲ(反発警戒)",-2,0)))</f>
        <v/>
      </c>
      <c r="AQ34">
        <f>IF(C34&lt;&gt;"",始値!F196,"")</f>
        <v/>
      </c>
      <c r="AR34">
        <f>IF(C34&lt;&gt;"",高値!F196,"")</f>
        <v/>
      </c>
      <c r="AS34">
        <f>IF(C34&lt;&gt;"",安値!F196,"")</f>
        <v/>
      </c>
      <c r="AT34">
        <f>IF(OR(C34="",AQ34="",AR34="",AS34="",AR34-AS34&lt;=0),"-",IF(AND(AR34-MAX(G34,AQ34)&gt;=ABS(G34-AQ34)*2,MIN(G34,AQ34)-AS34&lt;=ABS(G34-AQ34)*0.5,ABS(G34-AQ34)&gt;0),"上ヒゲ陰線▼",IF(AND(G34&lt;AQ34,ABS(G34-AQ34)&gt;=(AR34-AS34)*0.7),"大陰線▼",IF(AND(MIN(G34,AQ34)-AS34&gt;=(AR34-AS34)*0.5,AR34-MAX(G34,AQ34)&lt;=(AR34-AS34)*0.2),"長い下ヒゲ(反発)","通常"))))</f>
        <v/>
      </c>
      <c r="AU34">
        <f>IF(AT34="上ヒゲ陰線▼",2,IF(AT34="大陰線▼",2,IF(AT34="長い下ヒゲ(反発)",-2,0)))</f>
        <v/>
      </c>
    </row>
    <row r="35" ht="14.25" customHeight="1" s="574">
      <c r="A35" s="344">
        <f>IF(銘柄管理!B198&lt;&gt;"",HYPERLINK("https://kabutan.jp/stock/?code="&amp;銘柄管理!B198,"株探"),"")</f>
        <v/>
      </c>
      <c r="B35" s="345" t="n"/>
      <c r="C35" s="345">
        <f>IF(銘柄管理!B198="","",銘柄管理!B198)</f>
        <v/>
      </c>
      <c r="D35" s="345">
        <f>IF(銘柄管理!C198="","",銘柄管理!C198)</f>
        <v/>
      </c>
      <c r="E35" s="346">
        <f>IF(C35&lt;&gt;"",_xll.RssMarket(C35,"現在値"),"")</f>
        <v/>
      </c>
      <c r="F35" s="346">
        <f>IF(C35&lt;&gt;"",_xll.RssMarket(C35,"始値"),"")</f>
        <v/>
      </c>
      <c r="G35" s="345">
        <f>IF(C35&lt;&gt;"",終値!F198,"")</f>
        <v/>
      </c>
      <c r="H35" s="346">
        <f>IF(C35&lt;&gt;"",_xll.RssMarket(C35,"高値"),"")</f>
        <v/>
      </c>
      <c r="I35" s="346">
        <f>IF(C35&lt;&gt;"",_xll.RssMarket(C35,"安値"),"")</f>
        <v/>
      </c>
      <c r="J35" s="346">
        <f>IF(C35&lt;&gt;"",_xll.RssMarket(C35,"出来高"),"")</f>
        <v/>
      </c>
      <c r="K35" s="346">
        <f>IF(C35&lt;&gt;"",_xll.RssMarket(C35,"年初来高値"),"")</f>
        <v/>
      </c>
      <c r="L35" s="619">
        <f>IF(AND(E35&lt;&gt;"",K35&lt;&gt;"",K35&lt;&gt;0),(E35-K35)/K35*100,"")</f>
        <v/>
      </c>
      <c r="M35" s="346">
        <f>IF(C35&lt;&gt;"",IFERROR(AVERAGE(出来高!E198:I198),""),"")</f>
        <v/>
      </c>
      <c r="N35" s="346">
        <f>IF(C35&lt;&gt;"",IFERROR(AVERAGE(出来高!E198:AC198),""),"")</f>
        <v/>
      </c>
      <c r="O35" s="620">
        <f>IF(AND(J35&lt;&gt;"",M35&lt;&gt;"",M35&lt;&gt;0),J35/M35,"")</f>
        <v/>
      </c>
      <c r="P35" s="345">
        <f>IF(O35="","",IF(O35&gt;=2,"急増↑↑",IF(O35&gt;=1.5,"増加↑",IF(O35&gt;=1,"普通→","減少↓"))))</f>
        <v/>
      </c>
      <c r="Q35" s="345">
        <f>IF(E35="","",IF(AND(E35&lt;G35,O35&gt;=1.5),"売り▼",IF(E35&gt;G35,"様子見▲","中立→")))</f>
        <v/>
      </c>
      <c r="R35" s="346">
        <f>IF(E35&lt;&gt;"",ROUND(E35*0.92,0),"")</f>
        <v/>
      </c>
      <c r="S35" s="346">
        <f>IF(E35&lt;&gt;"",ROUND(E35*1.04,0),"")</f>
        <v/>
      </c>
      <c r="T35" s="345">
        <f>IF(C35="","",IFERROR(IF(W35&gt;=70,3,IF(W35&gt;=60,2,IF(W35&gt;=50,1,0)))+IF(X35&lt;0,2,0)+IF(AD35="下降トレンド▼",3,IF(AD35="もみ合い→",1,0))+IF(V35="年初来安値圏●",3,IF(V35="安値圏",2,0))+IF(Q35="売り▼",2,0)+IF(P35="急増↑↑",2,IF(P35="増加↑",1,0))+IF(Z35&lt;0,1,0)+IF(L35&lt;=-30,2,IF(L35&lt;=-15,1,0))+IF(AE35="25日戻り売り★",2,IF(AE35="5日戻り売り○",1,0))+N(AL35)+N(AP35)+N(AU35),0))</f>
        <v/>
      </c>
      <c r="U35" s="345">
        <f>IF(T35="","",IF(AND(T35&gt;=3,O35&gt;=1.5),"有効",IF(T35&gt;=3,"要確認","除外")))</f>
        <v/>
      </c>
      <c r="V35" s="345">
        <f>IF(AND(I35&lt;&gt;"",K35&lt;&gt;""),IF(I35&lt;=K35*0.6,"年初来安値圏●",IF(I35&lt;=K35*0.75,"安値圏","通常")),"")</f>
        <v/>
      </c>
      <c r="W35" s="621">
        <f t="array" ref="W35">IFERROR(100-100/(1+SUMPRODUCT((終値!F198:R198&gt;終値!G198:S198)*(終値!F198:R198-終値!G198:S198))/SUMPRODUCT((終値!F198:R198&lt;終値!G198:S198)*(終値!G198:S198-終値!F198:R198))),50)</f>
        <v/>
      </c>
      <c r="X35" s="350">
        <f>IF(C35&lt;&gt;"",IFERROR(SUMPRODUCT(終値!E198:P198,{0.154,0.132,0.113,0.097,0.083,0.071,0.061,0.052,0.045,0.038,0.033,0.028})/SUMPRODUCT({0.154,0.132,0.113,0.097,0.083,0.071,0.061,0.052,0.045,0.038,0.033,0.028})-SUMPRODUCT(終値!E198:AD198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5" s="345">
        <f>IF(AF35="","",AF35&amp;" | "&amp;AD35&amp;IF(AE35&lt;&gt;"なし"," "&amp;AE35,"")&amp;IF(X35&lt;0," MACD-"," MACD+")&amp;" RSI:"&amp;TEXT(W35,"0.0")&amp;IF(W35&gt;=70," [過熱]",IF(W35&lt;=30," [売られ過ぎ]",""))&amp;" 前日比:"&amp;TEXT(Z35,"+0.0;-0.0;0.0")&amp;"%"&amp;IF(V35="年初来安値圏●"," [年初来安値圏]",IF(V35="安値圏"," [安値圏]",""))&amp;IF(OR(AO35="通常",AO35="-"),""," ["&amp;AO35&amp;"]")&amp;IF(OR(AT35="通常",AT35="-"),"","前日["&amp;AT35&amp;"]")&amp;" ["&amp;T35&amp;"点]")</f>
        <v/>
      </c>
      <c r="Z35" s="622">
        <f>IF(AND(E35&lt;&gt;"",G35&lt;&gt;"",G35&lt;&gt;0),(E35-G35)/G35*100,"")</f>
        <v/>
      </c>
      <c r="AA35" s="345">
        <f>IF(OR(C35="",E35="",E35=0),"",IF(E35&gt;G35,"上昇▲",IF(E35&lt;G35,"下落▼","横ばい→")))</f>
        <v/>
      </c>
      <c r="AB35" s="346">
        <f>IF(OR(C35="",C35="TOPX",終値!E198=""),"",IFERROR(((終値!E198*0.333)+(終値!F198*0.222)+(終値!G198*0.148)+(終値!H198*0.099)+(終値!I198*0.066))/(0.333+0.222+0.148+0.099+0.066),""))</f>
        <v/>
      </c>
      <c r="AC35" s="346">
        <f>IF(OR(C35="",C35="TOPX",終値!E198=""),"",IFERROR(SUMPRODUCT((終値!E198:AC198)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5" s="345">
        <f>IF(OR(C35="",AB35="",AC35="",AB35=0,AC35=0),"",IF(AND(E35&gt;AB35,AB35&gt;AC35),"パーフェクト▲",IF(E35&gt;AC35,"上昇トレンド▲",IF(AND(E35&lt;AB35,AB35&lt;AC35),"下降トレンド▼","もみ合い→"))))</f>
        <v/>
      </c>
      <c r="AE35" s="345">
        <f>IF(OR(C35="",AB35="",AC35=""),"",IF(AND(ABS(E35-AC35)/AC35&lt;=0.02,E35&lt;AC35),"25日戻り売り★",IF(AND(ABS(E35-AB35)/AB35&lt;=0.01,E35&lt;AB35),"5日戻り売り○","なし")))</f>
        <v/>
      </c>
      <c r="AF35">
        <f>IF(T35="","",IF(銘柄管理!$F$5="上昇▲",IF(AND(AD35="下降トレンド▼",OR(AE35="25日戻り売り★",AE35="5日戻り売り○")),"★逆張り売り",IF(AND(AD35="もみ合い→",OR(AE35="25日戻り売り★",AE35="5日戻り売り○")),"○逆張り売り",IF(W35&gt;=70,IF(Z35&lt;0,"◎反落確認","△過熱・様子見"),"相場上昇・見送り"))),IF(AND(T35&gt;=12,AD35="下降トレンド▼"),"★強い売り",IF(T35&gt;=12,"★強い売り",IF(AND(T35&gt;=8,OR(AE35="25日戻り売り★",AE35="5日戻り売り○")),"◎戻り売り",IF(T35&gt;=10,"○売り候補",IF(T35&gt;=6,"△注目",IF(T35&gt;=3,"様子見","見送り"))))))))</f>
        <v/>
      </c>
      <c r="AG35">
        <f>IF(AND(T35&gt;=7,C35&lt;&gt;""),T35,0)</f>
        <v/>
      </c>
      <c r="AH35">
        <f>IF(AG35&gt;0,AG35*10000-ROW(A35),0)</f>
        <v/>
      </c>
      <c r="AI35" s="623">
        <f t="array" ref="AI35">IF(C35="","",IFERROR((INDEX(終値!$E:$E,MATCH(TEXT(C35,"0"),終値!$A:$A,0))-INDEX(終値!$E:$BL,MATCH(TEXT(C35,"0"),終値!$A:$A,0),$AN$2))/INDEX(終値!$E:$BL,MATCH(TEXT(C35,"0"),終値!$A:$A,0),$AN$2)*100,""))</f>
        <v/>
      </c>
      <c r="AJ35" s="623">
        <f t="array" ref="AJ35">IFERROR((終値!$E$5-INDEX(終値!$E$5:$BL$5,1,$AN$2))/INDEX(終値!$E$5:$BL$5,1,$AN$2)*100,"")</f>
        <v/>
      </c>
      <c r="AK35" s="624">
        <f>IF(OR(AI35="",AJ35=""),"",AI35-AJ35)</f>
        <v/>
      </c>
      <c r="AL35" s="394">
        <f>IF(AK35="","",IF(AK35&lt;-5,3,IF(AK35&lt;0,1,IF(AK35&lt;3,-1,-2))))</f>
        <v/>
      </c>
      <c r="AO35" s="398">
        <f>IF(OR($C35="",$E35="",$F35="",$H35="",$I35="",$H35-$I35&lt;=0),"-",IF(AND($H35-MAX($F35,$E35)&gt;=ABS($E35-$F35)*2,MIN($F35,$E35)-$I35&lt;=ABS($E35-$F35)*0.5,ABS($E35-$F35)&gt;0),"上ヒゲ陰線▼",IF(AND($E35&lt;$F35,ABS($E35-$F35)&gt;=($H35-$I35)*0.7),"大陰線▼",IF(AND(MIN($F35,$E35)-$I35&gt;=($H35-$I35)*0.5,$H35-MAX($F35,$E35)&lt;=($H35-$I35)*0.2),"長い下ヒゲ(反発警戒)","通常"))))</f>
        <v/>
      </c>
      <c r="AP35" s="625">
        <f>IF($AO35="上ヒゲ陰線▼",2,IF($AO35="大陰線▼",2,IF($AO35="長い下ヒゲ(反発警戒)",-2,0)))</f>
        <v/>
      </c>
      <c r="AQ35">
        <f>IF(C35&lt;&gt;"",始値!F198,"")</f>
        <v/>
      </c>
      <c r="AR35">
        <f>IF(C35&lt;&gt;"",高値!F198,"")</f>
        <v/>
      </c>
      <c r="AS35">
        <f>IF(C35&lt;&gt;"",安値!F198,"")</f>
        <v/>
      </c>
      <c r="AT35">
        <f>IF(OR(C35="",AQ35="",AR35="",AS35="",AR35-AS35&lt;=0),"-",IF(AND(AR35-MAX(G35,AQ35)&gt;=ABS(G35-AQ35)*2,MIN(G35,AQ35)-AS35&lt;=ABS(G35-AQ35)*0.5,ABS(G35-AQ35)&gt;0),"上ヒゲ陰線▼",IF(AND(G35&lt;AQ35,ABS(G35-AQ35)&gt;=(AR35-AS35)*0.7),"大陰線▼",IF(AND(MIN(G35,AQ35)-AS35&gt;=(AR35-AS35)*0.5,AR35-MAX(G35,AQ35)&lt;=(AR35-AS35)*0.2),"長い下ヒゲ(反発)","通常"))))</f>
        <v/>
      </c>
      <c r="AU35">
        <f>IF(AT35="上ヒゲ陰線▼",2,IF(AT35="大陰線▼",2,IF(AT35="長い下ヒゲ(反発)",-2,0)))</f>
        <v/>
      </c>
    </row>
    <row r="36" ht="14.25" customHeight="1" s="574">
      <c r="A36" s="352">
        <f>IF(銘柄管理!B5&lt;&gt;"",HYPERLINK("https://kabutan.jp/stock/?code="&amp;銘柄管理!B5,"株探"),"")</f>
        <v/>
      </c>
      <c r="B36" s="225" t="n"/>
      <c r="C36" s="225">
        <f>IF(銘柄管理!B5="","",銘柄管理!B5)</f>
        <v/>
      </c>
      <c r="D36" s="225">
        <f>IF(銘柄管理!C5="","",銘柄管理!C5)</f>
        <v/>
      </c>
      <c r="E36" s="353">
        <f>IF(C36&lt;&gt;"",_xll.RssMarket(C36,"現在値"),"")</f>
        <v/>
      </c>
      <c r="F36" s="353">
        <f>IF(C36&lt;&gt;"",_xll.RssMarket(C36,"始値"),"")</f>
        <v/>
      </c>
      <c r="G36" s="225">
        <f>IF(C36&lt;&gt;"",終値!F5,"")</f>
        <v/>
      </c>
      <c r="H36" s="353">
        <f>IF(C36&lt;&gt;"",_xll.RssMarket(C36,"高値"),"")</f>
        <v/>
      </c>
      <c r="I36" s="353">
        <f>IF(C36&lt;&gt;"",_xll.RssMarket(C36,"安値"),"")</f>
        <v/>
      </c>
      <c r="J36" s="353">
        <f>IF(C36&lt;&gt;"",_xll.RssMarket(C36,"出来高"),"")</f>
        <v/>
      </c>
      <c r="K36" s="353">
        <f>IF(C36&lt;&gt;"",_xll.RssMarket(C36,"年初来高値"),"")</f>
        <v/>
      </c>
      <c r="L36" s="626">
        <f>IF(AND(E36&lt;&gt;"",K36&lt;&gt;"",K36&lt;&gt;0),(E36-K36)/K36*100,"")</f>
        <v/>
      </c>
      <c r="M36" s="353">
        <f>IF(C36&lt;&gt;"",IFERROR(AVERAGE(出来高!E5:I5),""),"")</f>
        <v/>
      </c>
      <c r="N36" s="353">
        <f>IF(C36&lt;&gt;"",IFERROR(AVERAGE(出来高!E5:AC5),""),"")</f>
        <v/>
      </c>
      <c r="O36" s="627">
        <f>IF(AND(J36&lt;&gt;"",M36&lt;&gt;"",M36&lt;&gt;0),J36/M36,"")</f>
        <v/>
      </c>
      <c r="P36" s="225">
        <f>IF(O36="","",IF(O36&gt;=2,"急増↑↑",IF(O36&gt;=1.5,"増加↑",IF(O36&gt;=1,"普通→","減少↓"))))</f>
        <v/>
      </c>
      <c r="Q36" s="225">
        <f>IF(E36="","",IF(AND(E36&lt;G36,O36&gt;=1.5),"売り▼",IF(E36&gt;G36,"様子見▲","中立→")))</f>
        <v/>
      </c>
      <c r="R36" s="353">
        <f>IF(E36&lt;&gt;"",ROUND(E36*0.92,0),"")</f>
        <v/>
      </c>
      <c r="S36" s="353">
        <f>IF(E36&lt;&gt;"",ROUND(E36*1.04,0),"")</f>
        <v/>
      </c>
      <c r="T36" s="345">
        <f>IF(C36="","",IFERROR(IF(W36&gt;=70,3,IF(W36&gt;=60,2,IF(W36&gt;=50,1,0)))+IF(X36&lt;0,2,0)+IF(AD36="下降トレンド▼",3,IF(AD36="もみ合い→",1,0))+IF(V36="年初来安値圏●",3,IF(V36="安値圏",2,0))+IF(Q36="売り▼",2,0)+IF(P36="急増↑↑",2,IF(P36="増加↑",1,0))+IF(Z36&lt;0,1,0)+IF(L36&lt;=-30,2,IF(L36&lt;=-15,1,0))+IF(AE36="25日戻り売り★",2,IF(AE36="5日戻り売り○",1,0))+N(AL36)+N(AP36)+N(AU36),0))</f>
        <v/>
      </c>
      <c r="U36" s="225">
        <f>IF(T36="","",IF(AND(T36&gt;=3,O36&gt;=1.5),"有効",IF(T36&gt;=3,"要確認","除外")))</f>
        <v/>
      </c>
      <c r="V36" s="225">
        <f>IF(AND(I36&lt;&gt;"",K36&lt;&gt;""),IF(I36&lt;=K36*0.6,"年初来安値圏●",IF(I36&lt;=K36*0.75,"安値圏","通常")),"")</f>
        <v/>
      </c>
      <c r="W36" s="628">
        <f t="array" ref="W36">IFERROR(100-100/(1+SUMPRODUCT((終値!F5:R5&gt;終値!G5:S5)*(終値!F5:R5-終値!G5:S5))/SUMPRODUCT((終値!F5:R5&lt;終値!G5:S5)*(終値!G5:S5-終値!F5:R5))),50)</f>
        <v/>
      </c>
      <c r="X36" s="357">
        <f>IF(C36&lt;&gt;"",IFERROR(SUMPRODUCT(終値!E5:P5,{0.154,0.132,0.113,0.097,0.083,0.071,0.061,0.052,0.045,0.038,0.033,0.028})/SUMPRODUCT({0.154,0.132,0.113,0.097,0.083,0.071,0.061,0.052,0.045,0.038,0.033,0.028})-SUMPRODUCT(終値!E5:AD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6" s="225">
        <f>IF(AF36="","",AF36&amp;" | "&amp;AD36&amp;IF(AE36&lt;&gt;"なし"," "&amp;AE36,"")&amp;IF(X36&lt;0," MACD-"," MACD+")&amp;" RSI:"&amp;TEXT(W36,"0.0")&amp;IF(W36&gt;=70," [過熱]",IF(W36&lt;=30," [売られ過ぎ]",""))&amp;" 前日比:"&amp;TEXT(Z36,"+0.0;-0.0;0.0")&amp;"%"&amp;IF(V36="年初来安値圏●"," [年初来安値圏]",IF(V36="安値圏"," [安値圏]",""))&amp;IF(OR(AO36="通常",AO36="-"),""," ["&amp;AO36&amp;"]")&amp;IF(OR(AT36="通常",AT36="-"),"","前日["&amp;AT36&amp;"]")&amp;" ["&amp;T36&amp;"点]")</f>
        <v/>
      </c>
      <c r="Z36" s="629">
        <f>IF(AND(E36&lt;&gt;"",G36&lt;&gt;"",G36&lt;&gt;0),(E36-G36)/G36*100,"")</f>
        <v/>
      </c>
      <c r="AA36" s="225">
        <f>IF(OR(C36="",E36="",E36=0),"",IF(E36&gt;G36,"上昇▲",IF(E36&lt;G36,"下落▼","横ばい→")))</f>
        <v/>
      </c>
      <c r="AB36" s="353">
        <f>IF(OR(C36="",C36="TOPX",終値!E5=""),"",IFERROR(((終値!E5*0.333)+(終値!F5*0.222)+(終値!G5*0.148)+(終値!H5*0.099)+(終値!I5*0.066))/(0.333+0.222+0.148+0.099+0.066),""))</f>
        <v/>
      </c>
      <c r="AC36" s="353">
        <f>IF(OR(C36="",C36="TOPX",終値!E5=""),"",IFERROR(SUMPRODUCT((終値!E5:AC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6" s="225">
        <f>IF(OR(C36="",AB36="",AC36="",AB36=0,AC36=0),"",IF(AND(E36&gt;AB36,AB36&gt;AC36),"パーフェクト▲",IF(E36&gt;AC36,"上昇トレンド▲",IF(AND(E36&lt;AB36,AB36&lt;AC36),"下降トレンド▼","もみ合い→"))))</f>
        <v/>
      </c>
      <c r="AE36" s="225">
        <f>IF(OR(C36="",AB36="",AC36=""),"",IF(AND(ABS(E36-AC36)/AC36&lt;=0.02,E36&lt;AC36),"25日戻り売り★",IF(AND(ABS(E36-AB36)/AB36&lt;=0.01,E36&lt;AB36),"5日戻り売り○","なし")))</f>
        <v/>
      </c>
      <c r="AF36">
        <f>IF(T36="","",IF(銘柄管理!$F$5="上昇▲",IF(AND(AD36="下降トレンド▼",OR(AE36="25日戻り売り★",AE36="5日戻り売り○")),"★逆張り売り",IF(AND(AD36="もみ合い→",OR(AE36="25日戻り売り★",AE36="5日戻り売り○")),"○逆張り売り",IF(W36&gt;=70,IF(Z36&lt;0,"◎反落確認","△過熱・様子見"),"相場上昇・見送り"))),IF(AND(T36&gt;=12,AD36="下降トレンド▼"),"★強い売り",IF(T36&gt;=12,"★強い売り",IF(AND(T36&gt;=8,OR(AE36="25日戻り売り★",AE36="5日戻り売り○")),"◎戻り売り",IF(T36&gt;=10,"○売り候補",IF(T36&gt;=6,"△注目",IF(T36&gt;=3,"様子見","見送り"))))))))</f>
        <v/>
      </c>
      <c r="AG36">
        <f>IF(AND(T36&gt;=7,C36&lt;&gt;""),T36,0)</f>
        <v/>
      </c>
      <c r="AH36">
        <f>IF(AG36&gt;0,AG36*10000-ROW(A36),0)</f>
        <v/>
      </c>
      <c r="AI36" s="623">
        <f t="array" ref="AI36">IF(C36="","",IFERROR((INDEX(終値!$E:$E,MATCH(TEXT(C36,"0"),終値!$A:$A,0))-INDEX(終値!$E:$BL,MATCH(TEXT(C36,"0"),終値!$A:$A,0),$AN$2))/INDEX(終値!$E:$BL,MATCH(TEXT(C36,"0"),終値!$A:$A,0),$AN$2)*100,""))</f>
        <v/>
      </c>
      <c r="AJ36" s="623">
        <f t="array" ref="AJ36">IFERROR((終値!$E$5-INDEX(終値!$E$5:$BL$5,1,$AN$2))/INDEX(終値!$E$5:$BL$5,1,$AN$2)*100,"")</f>
        <v/>
      </c>
      <c r="AK36" s="624">
        <f>IF(OR(AI36="",AJ36=""),"",AI36-AJ36)</f>
        <v/>
      </c>
      <c r="AL36" s="394">
        <f>IF(AK36="","",IF(AK36&lt;-5,3,IF(AK36&lt;0,1,IF(AK36&lt;3,-1,-2))))</f>
        <v/>
      </c>
      <c r="AO36" s="398">
        <f>IF(OR($C36="",$E36="",$F36="",$H36="",$I36="",$H36-$I36&lt;=0),"-",IF(AND($H36-MAX($F36,$E36)&gt;=ABS($E36-$F36)*2,MIN($F36,$E36)-$I36&lt;=ABS($E36-$F36)*0.5,ABS($E36-$F36)&gt;0),"上ヒゲ陰線▼",IF(AND($E36&lt;$F36,ABS($E36-$F36)&gt;=($H36-$I36)*0.7),"大陰線▼",IF(AND(MIN($F36,$E36)-$I36&gt;=($H36-$I36)*0.5,$H36-MAX($F36,$E36)&lt;=($H36-$I36)*0.2),"長い下ヒゲ(反発警戒)","通常"))))</f>
        <v/>
      </c>
      <c r="AP36" s="625">
        <f>IF($AO36="上ヒゲ陰線▼",2,IF($AO36="大陰線▼",2,IF($AO36="長い下ヒゲ(反発警戒)",-2,0)))</f>
        <v/>
      </c>
      <c r="AQ36">
        <f>IF(C36&lt;&gt;"",始値!F5,"")</f>
        <v/>
      </c>
      <c r="AR36">
        <f>IF(C36&lt;&gt;"",高値!F5,"")</f>
        <v/>
      </c>
      <c r="AS36">
        <f>IF(C36&lt;&gt;"",安値!F5,"")</f>
        <v/>
      </c>
      <c r="AT36">
        <f>IF(OR(C36="",AQ36="",AR36="",AS36="",AR36-AS36&lt;=0),"-",IF(AND(AR36-MAX(G36,AQ36)&gt;=ABS(G36-AQ36)*2,MIN(G36,AQ36)-AS36&lt;=ABS(G36-AQ36)*0.5,ABS(G36-AQ36)&gt;0),"上ヒゲ陰線▼",IF(AND(G36&lt;AQ36,ABS(G36-AQ36)&gt;=(AR36-AS36)*0.7),"大陰線▼",IF(AND(MIN(G36,AQ36)-AS36&gt;=(AR36-AS36)*0.5,AR36-MAX(G36,AQ36)&lt;=(AR36-AS36)*0.2),"長い下ヒゲ(反発)","通常"))))</f>
        <v/>
      </c>
      <c r="AU36">
        <f>IF(AT36="上ヒゲ陰線▼",2,IF(AT36="大陰線▼",2,IF(AT36="長い下ヒゲ(反発)",-2,0)))</f>
        <v/>
      </c>
    </row>
    <row r="37" ht="14.25" customHeight="1" s="574">
      <c r="A37" s="344">
        <f>IF(銘柄管理!B17&lt;&gt;"",HYPERLINK("https://kabutan.jp/stock/?code="&amp;銘柄管理!B17,"株探"),"")</f>
        <v/>
      </c>
      <c r="B37" s="345" t="n"/>
      <c r="C37" s="345">
        <f>IF(銘柄管理!B17="","",銘柄管理!B17)</f>
        <v/>
      </c>
      <c r="D37" s="345">
        <f>IF(銘柄管理!C17="","",銘柄管理!C17)</f>
        <v/>
      </c>
      <c r="E37" s="346">
        <f>IF(C37&lt;&gt;"",_xll.RssMarket(C37,"現在値"),"")</f>
        <v/>
      </c>
      <c r="F37" s="346">
        <f>IF(C37&lt;&gt;"",_xll.RssMarket(C37,"始値"),"")</f>
        <v/>
      </c>
      <c r="G37" s="345">
        <f>IF(C37&lt;&gt;"",終値!F17,"")</f>
        <v/>
      </c>
      <c r="H37" s="346">
        <f>IF(C37&lt;&gt;"",_xll.RssMarket(C37,"高値"),"")</f>
        <v/>
      </c>
      <c r="I37" s="346">
        <f>IF(C37&lt;&gt;"",_xll.RssMarket(C37,"安値"),"")</f>
        <v/>
      </c>
      <c r="J37" s="346">
        <f>IF(C37&lt;&gt;"",_xll.RssMarket(C37,"出来高"),"")</f>
        <v/>
      </c>
      <c r="K37" s="346">
        <f>IF(C37&lt;&gt;"",_xll.RssMarket(C37,"年初来高値"),"")</f>
        <v/>
      </c>
      <c r="L37" s="619">
        <f>IF(AND(E37&lt;&gt;"",K37&lt;&gt;"",K37&lt;&gt;0),(E37-K37)/K37*100,"")</f>
        <v/>
      </c>
      <c r="M37" s="346">
        <f>IF(C37&lt;&gt;"",IFERROR(AVERAGE(出来高!E17:I17),""),"")</f>
        <v/>
      </c>
      <c r="N37" s="346">
        <f>IF(C37&lt;&gt;"",IFERROR(AVERAGE(出来高!E17:AC17),""),"")</f>
        <v/>
      </c>
      <c r="O37" s="620">
        <f>IF(AND(J37&lt;&gt;"",M37&lt;&gt;"",M37&lt;&gt;0),J37/M37,"")</f>
        <v/>
      </c>
      <c r="P37" s="345">
        <f>IF(O37="","",IF(O37&gt;=2,"急増↑↑",IF(O37&gt;=1.5,"増加↑",IF(O37&gt;=1,"普通→","減少↓"))))</f>
        <v/>
      </c>
      <c r="Q37" s="345">
        <f>IF(E37="","",IF(AND(E37&lt;G37,O37&gt;=1.5),"売り▼",IF(E37&gt;G37,"様子見▲","中立→")))</f>
        <v/>
      </c>
      <c r="R37" s="346">
        <f>IF(E37&lt;&gt;"",ROUND(E37*0.92,0),"")</f>
        <v/>
      </c>
      <c r="S37" s="346">
        <f>IF(E37&lt;&gt;"",ROUND(E37*1.04,0),"")</f>
        <v/>
      </c>
      <c r="T37" s="345">
        <f>IF(C37="","",IFERROR(IF(W37&gt;=70,3,IF(W37&gt;=60,2,IF(W37&gt;=50,1,0)))+IF(X37&lt;0,2,0)+IF(AD37="下降トレンド▼",3,IF(AD37="もみ合い→",1,0))+IF(V37="年初来安値圏●",3,IF(V37="安値圏",2,0))+IF(Q37="売り▼",2,0)+IF(P37="急増↑↑",2,IF(P37="増加↑",1,0))+IF(Z37&lt;0,1,0)+IF(L37&lt;=-30,2,IF(L37&lt;=-15,1,0))+IF(AE37="25日戻り売り★",2,IF(AE37="5日戻り売り○",1,0))+N(AL37)+N(AP37)+N(AU37),0))</f>
        <v/>
      </c>
      <c r="U37" s="345">
        <f>IF(T37="","",IF(AND(T37&gt;=3,O37&gt;=1.5),"有効",IF(T37&gt;=3,"要確認","除外")))</f>
        <v/>
      </c>
      <c r="V37" s="345">
        <f>IF(AND(I37&lt;&gt;"",K37&lt;&gt;""),IF(I37&lt;=K37*0.6,"年初来安値圏●",IF(I37&lt;=K37*0.75,"安値圏","通常")),"")</f>
        <v/>
      </c>
      <c r="W37" s="621">
        <f t="array" ref="W37">IFERROR(100-100/(1+SUMPRODUCT((終値!F17:R17&gt;終値!G17:S17)*(終値!F17:R17-終値!G17:S17))/SUMPRODUCT((終値!F17:R17&lt;終値!G17:S17)*(終値!G17:S17-終値!F17:R17))),50)</f>
        <v/>
      </c>
      <c r="X37" s="350">
        <f>IF(C37&lt;&gt;"",IFERROR(SUMPRODUCT(終値!E17:P17,{0.154,0.132,0.113,0.097,0.083,0.071,0.061,0.052,0.045,0.038,0.033,0.028})/SUMPRODUCT({0.154,0.132,0.113,0.097,0.083,0.071,0.061,0.052,0.045,0.038,0.033,0.028})-SUMPRODUCT(終値!E17:AD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7" s="345">
        <f>IF(AF37="","",AF37&amp;" | "&amp;AD37&amp;IF(AE37&lt;&gt;"なし"," "&amp;AE37,"")&amp;IF(X37&lt;0," MACD-"," MACD+")&amp;" RSI:"&amp;TEXT(W37,"0.0")&amp;IF(W37&gt;=70," [過熱]",IF(W37&lt;=30," [売られ過ぎ]",""))&amp;" 前日比:"&amp;TEXT(Z37,"+0.0;-0.0;0.0")&amp;"%"&amp;IF(V37="年初来安値圏●"," [年初来安値圏]",IF(V37="安値圏"," [安値圏]",""))&amp;IF(OR(AO37="通常",AO37="-"),""," ["&amp;AO37&amp;"]")&amp;IF(OR(AT37="通常",AT37="-"),"","前日["&amp;AT37&amp;"]")&amp;" ["&amp;T37&amp;"点]")</f>
        <v/>
      </c>
      <c r="Z37" s="622">
        <f>IF(AND(E37&lt;&gt;"",G37&lt;&gt;"",G37&lt;&gt;0),(E37-G37)/G37*100,"")</f>
        <v/>
      </c>
      <c r="AA37" s="345">
        <f>IF(OR(C37="",E37="",E37=0),"",IF(E37&gt;G37,"上昇▲",IF(E37&lt;G37,"下落▼","横ばい→")))</f>
        <v/>
      </c>
      <c r="AB37" s="346">
        <f>IF(OR(C37="",C37="TOPX",終値!E17=""),"",IFERROR(((終値!E17*0.333)+(終値!F17*0.222)+(終値!G17*0.148)+(終値!H17*0.099)+(終値!I17*0.066))/(0.333+0.222+0.148+0.099+0.066),""))</f>
        <v/>
      </c>
      <c r="AC37" s="346">
        <f>IF(OR(C37="",C37="TOPX",終値!E17=""),"",IFERROR(SUMPRODUCT((終値!E17:AC17)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7" s="345">
        <f>IF(OR(C37="",AB37="",AC37="",AB37=0,AC37=0),"",IF(AND(E37&gt;AB37,AB37&gt;AC37),"パーフェクト▲",IF(E37&gt;AC37,"上昇トレンド▲",IF(AND(E37&lt;AB37,AB37&lt;AC37),"下降トレンド▼","もみ合い→"))))</f>
        <v/>
      </c>
      <c r="AE37" s="345">
        <f>IF(OR(C37="",AB37="",AC37=""),"",IF(AND(ABS(E37-AC37)/AC37&lt;=0.02,E37&lt;AC37),"25日戻り売り★",IF(AND(ABS(E37-AB37)/AB37&lt;=0.01,E37&lt;AB37),"5日戻り売り○","なし")))</f>
        <v/>
      </c>
      <c r="AF37">
        <f>IF(T37="","",IF(銘柄管理!$F$5="上昇▲",IF(AND(AD37="下降トレンド▼",OR(AE37="25日戻り売り★",AE37="5日戻り売り○")),"★逆張り売り",IF(AND(AD37="もみ合い→",OR(AE37="25日戻り売り★",AE37="5日戻り売り○")),"○逆張り売り",IF(W37&gt;=70,IF(Z37&lt;0,"◎反落確認","△過熱・様子見"),"相場上昇・見送り"))),IF(AND(T37&gt;=12,AD37="下降トレンド▼"),"★強い売り",IF(T37&gt;=12,"★強い売り",IF(AND(T37&gt;=8,OR(AE37="25日戻り売り★",AE37="5日戻り売り○")),"◎戻り売り",IF(T37&gt;=10,"○売り候補",IF(T37&gt;=6,"△注目",IF(T37&gt;=3,"様子見","見送り"))))))))</f>
        <v/>
      </c>
      <c r="AG37">
        <f>IF(AND(T37&gt;=7,C37&lt;&gt;""),T37,0)</f>
        <v/>
      </c>
      <c r="AH37">
        <f>IF(AG37&gt;0,AG37*10000-ROW(A37),0)</f>
        <v/>
      </c>
      <c r="AI37" s="623">
        <f t="array" ref="AI37">IF(C37="","",IFERROR((INDEX(終値!$E:$E,MATCH(TEXT(C37,"0"),終値!$A:$A,0))-INDEX(終値!$E:$BL,MATCH(TEXT(C37,"0"),終値!$A:$A,0),$AN$2))/INDEX(終値!$E:$BL,MATCH(TEXT(C37,"0"),終値!$A:$A,0),$AN$2)*100,""))</f>
        <v/>
      </c>
      <c r="AJ37" s="623">
        <f t="array" ref="AJ37">IFERROR((終値!$E$5-INDEX(終値!$E$5:$BL$5,1,$AN$2))/INDEX(終値!$E$5:$BL$5,1,$AN$2)*100,"")</f>
        <v/>
      </c>
      <c r="AK37" s="624">
        <f>IF(OR(AI37="",AJ37=""),"",AI37-AJ37)</f>
        <v/>
      </c>
      <c r="AL37" s="394">
        <f>IF(AK37="","",IF(AK37&lt;-5,3,IF(AK37&lt;0,1,IF(AK37&lt;3,-1,-2))))</f>
        <v/>
      </c>
      <c r="AO37" s="398">
        <f>IF(OR($C37="",$E37="",$F37="",$H37="",$I37="",$H37-$I37&lt;=0),"-",IF(AND($H37-MAX($F37,$E37)&gt;=ABS($E37-$F37)*2,MIN($F37,$E37)-$I37&lt;=ABS($E37-$F37)*0.5,ABS($E37-$F37)&gt;0),"上ヒゲ陰線▼",IF(AND($E37&lt;$F37,ABS($E37-$F37)&gt;=($H37-$I37)*0.7),"大陰線▼",IF(AND(MIN($F37,$E37)-$I37&gt;=($H37-$I37)*0.5,$H37-MAX($F37,$E37)&lt;=($H37-$I37)*0.2),"長い下ヒゲ(反発警戒)","通常"))))</f>
        <v/>
      </c>
      <c r="AP37" s="625">
        <f>IF($AO37="上ヒゲ陰線▼",2,IF($AO37="大陰線▼",2,IF($AO37="長い下ヒゲ(反発警戒)",-2,0)))</f>
        <v/>
      </c>
      <c r="AQ37">
        <f>IF(C37&lt;&gt;"",始値!F17,"")</f>
        <v/>
      </c>
      <c r="AR37">
        <f>IF(C37&lt;&gt;"",高値!F17,"")</f>
        <v/>
      </c>
      <c r="AS37">
        <f>IF(C37&lt;&gt;"",安値!F17,"")</f>
        <v/>
      </c>
      <c r="AT37">
        <f>IF(OR(C37="",AQ37="",AR37="",AS37="",AR37-AS37&lt;=0),"-",IF(AND(AR37-MAX(G37,AQ37)&gt;=ABS(G37-AQ37)*2,MIN(G37,AQ37)-AS37&lt;=ABS(G37-AQ37)*0.5,ABS(G37-AQ37)&gt;0),"上ヒゲ陰線▼",IF(AND(G37&lt;AQ37,ABS(G37-AQ37)&gt;=(AR37-AS37)*0.7),"大陰線▼",IF(AND(MIN(G37,AQ37)-AS37&gt;=(AR37-AS37)*0.5,AR37-MAX(G37,AQ37)&lt;=(AR37-AS37)*0.2),"長い下ヒゲ(反発)","通常"))))</f>
        <v/>
      </c>
      <c r="AU37">
        <f>IF(AT37="上ヒゲ陰線▼",2,IF(AT37="大陰線▼",2,IF(AT37="長い下ヒゲ(反発)",-2,0)))</f>
        <v/>
      </c>
    </row>
    <row r="38" ht="14.25" customHeight="1" s="574">
      <c r="A38" s="352">
        <f>IF(銘柄管理!B47&lt;&gt;"",HYPERLINK("https://kabutan.jp/stock/?code="&amp;銘柄管理!B47,"株探"),"")</f>
        <v/>
      </c>
      <c r="B38" s="225" t="n"/>
      <c r="C38" s="225">
        <f>IF(銘柄管理!B47="","",銘柄管理!B47)</f>
        <v/>
      </c>
      <c r="D38" s="225">
        <f>IF(銘柄管理!C47="","",銘柄管理!C47)</f>
        <v/>
      </c>
      <c r="E38" s="353">
        <f>IF(C38&lt;&gt;"",_xll.RssMarket(C38,"現在値"),"")</f>
        <v/>
      </c>
      <c r="F38" s="353">
        <f>IF(C38&lt;&gt;"",_xll.RssMarket(C38,"始値"),"")</f>
        <v/>
      </c>
      <c r="G38" s="225">
        <f>IF(C38&lt;&gt;"",終値!F47,"")</f>
        <v/>
      </c>
      <c r="H38" s="353">
        <f>IF(C38&lt;&gt;"",_xll.RssMarket(C38,"高値"),"")</f>
        <v/>
      </c>
      <c r="I38" s="353">
        <f>IF(C38&lt;&gt;"",_xll.RssMarket(C38,"安値"),"")</f>
        <v/>
      </c>
      <c r="J38" s="353">
        <f>IF(C38&lt;&gt;"",_xll.RssMarket(C38,"出来高"),"")</f>
        <v/>
      </c>
      <c r="K38" s="353">
        <f>IF(C38&lt;&gt;"",_xll.RssMarket(C38,"年初来高値"),"")</f>
        <v/>
      </c>
      <c r="L38" s="626">
        <f>IF(AND(E38&lt;&gt;"",K38&lt;&gt;"",K38&lt;&gt;0),(E38-K38)/K38*100,"")</f>
        <v/>
      </c>
      <c r="M38" s="353">
        <f>IF(C38&lt;&gt;"",IFERROR(AVERAGE(出来高!E47:I47),""),"")</f>
        <v/>
      </c>
      <c r="N38" s="353">
        <f>IF(C38&lt;&gt;"",IFERROR(AVERAGE(出来高!E47:AC47),""),"")</f>
        <v/>
      </c>
      <c r="O38" s="627">
        <f>IF(AND(J38&lt;&gt;"",M38&lt;&gt;"",M38&lt;&gt;0),J38/M38,"")</f>
        <v/>
      </c>
      <c r="P38" s="225">
        <f>IF(O38="","",IF(O38&gt;=2,"急増↑↑",IF(O38&gt;=1.5,"増加↑",IF(O38&gt;=1,"普通→","減少↓"))))</f>
        <v/>
      </c>
      <c r="Q38" s="225">
        <f>IF(E38="","",IF(AND(E38&lt;G38,O38&gt;=1.5),"売り▼",IF(E38&gt;G38,"様子見▲","中立→")))</f>
        <v/>
      </c>
      <c r="R38" s="353">
        <f>IF(E38&lt;&gt;"",ROUND(E38*0.92,0),"")</f>
        <v/>
      </c>
      <c r="S38" s="353">
        <f>IF(E38&lt;&gt;"",ROUND(E38*1.04,0),"")</f>
        <v/>
      </c>
      <c r="T38" s="345">
        <f>IF(C38="","",IFERROR(IF(W38&gt;=70,3,IF(W38&gt;=60,2,IF(W38&gt;=50,1,0)))+IF(X38&lt;0,2,0)+IF(AD38="下降トレンド▼",3,IF(AD38="もみ合い→",1,0))+IF(V38="年初来安値圏●",3,IF(V38="安値圏",2,0))+IF(Q38="売り▼",2,0)+IF(P38="急増↑↑",2,IF(P38="増加↑",1,0))+IF(Z38&lt;0,1,0)+IF(L38&lt;=-30,2,IF(L38&lt;=-15,1,0))+IF(AE38="25日戻り売り★",2,IF(AE38="5日戻り売り○",1,0))+N(AL38)+N(AP38)+N(AU38),0))</f>
        <v/>
      </c>
      <c r="U38" s="225">
        <f>IF(T38="","",IF(AND(T38&gt;=3,O38&gt;=1.5),"有効",IF(T38&gt;=3,"要確認","除外")))</f>
        <v/>
      </c>
      <c r="V38" s="225">
        <f>IF(AND(I38&lt;&gt;"",K38&lt;&gt;""),IF(I38&lt;=K38*0.6,"年初来安値圏●",IF(I38&lt;=K38*0.75,"安値圏","通常")),"")</f>
        <v/>
      </c>
      <c r="W38" s="628">
        <f t="array" ref="W38">IFERROR(100-100/(1+SUMPRODUCT((終値!F47:R47&gt;終値!G47:S47)*(終値!F47:R47-終値!G47:S47))/SUMPRODUCT((終値!F47:R47&lt;終値!G47:S47)*(終値!G47:S47-終値!F47:R47))),50)</f>
        <v/>
      </c>
      <c r="X38" s="357">
        <f>IF(C38&lt;&gt;"",IFERROR(SUMPRODUCT(終値!E47:P47,{0.154,0.132,0.113,0.097,0.083,0.071,0.061,0.052,0.045,0.038,0.033,0.028})/SUMPRODUCT({0.154,0.132,0.113,0.097,0.083,0.071,0.061,0.052,0.045,0.038,0.033,0.028})-SUMPRODUCT(終値!E47:AD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8" s="225">
        <f>IF(AF38="","",AF38&amp;" | "&amp;AD38&amp;IF(AE38&lt;&gt;"なし"," "&amp;AE38,"")&amp;IF(X38&lt;0," MACD-"," MACD+")&amp;" RSI:"&amp;TEXT(W38,"0.0")&amp;IF(W38&gt;=70," [過熱]",IF(W38&lt;=30," [売られ過ぎ]",""))&amp;" 前日比:"&amp;TEXT(Z38,"+0.0;-0.0;0.0")&amp;"%"&amp;IF(V38="年初来安値圏●"," [年初来安値圏]",IF(V38="安値圏"," [安値圏]",""))&amp;IF(OR(AO38="通常",AO38="-"),""," ["&amp;AO38&amp;"]")&amp;IF(OR(AT38="通常",AT38="-"),"","前日["&amp;AT38&amp;"]")&amp;" ["&amp;T38&amp;"点]")</f>
        <v/>
      </c>
      <c r="Z38" s="629">
        <f>IF(AND(E38&lt;&gt;"",G38&lt;&gt;"",G38&lt;&gt;0),(E38-G38)/G38*100,"")</f>
        <v/>
      </c>
      <c r="AA38" s="225">
        <f>IF(OR(C38="",E38="",E38=0),"",IF(E38&gt;G38,"上昇▲",IF(E38&lt;G38,"下落▼","横ばい→")))</f>
        <v/>
      </c>
      <c r="AB38" s="353">
        <f>IF(OR(C38="",C38="TOPX",終値!E47=""),"",IFERROR(((終値!E47*0.333)+(終値!F47*0.222)+(終値!G47*0.148)+(終値!H47*0.099)+(終値!I47*0.066))/(0.333+0.222+0.148+0.099+0.066),""))</f>
        <v/>
      </c>
      <c r="AC38" s="353">
        <f>IF(OR(C38="",C38="TOPX",終値!E47=""),"",IFERROR(SUMPRODUCT((終値!E47:AC47)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8" s="225">
        <f>IF(OR(C38="",AB38="",AC38="",AB38=0,AC38=0),"",IF(AND(E38&gt;AB38,AB38&gt;AC38),"パーフェクト▲",IF(E38&gt;AC38,"上昇トレンド▲",IF(AND(E38&lt;AB38,AB38&lt;AC38),"下降トレンド▼","もみ合い→"))))</f>
        <v/>
      </c>
      <c r="AE38" s="225">
        <f>IF(OR(C38="",AB38="",AC38=""),"",IF(AND(ABS(E38-AC38)/AC38&lt;=0.02,E38&lt;AC38),"25日戻り売り★",IF(AND(ABS(E38-AB38)/AB38&lt;=0.01,E38&lt;AB38),"5日戻り売り○","なし")))</f>
        <v/>
      </c>
      <c r="AF38">
        <f>IF(T38="","",IF(銘柄管理!$F$5="上昇▲",IF(AND(AD38="下降トレンド▼",OR(AE38="25日戻り売り★",AE38="5日戻り売り○")),"★逆張り売り",IF(AND(AD38="もみ合い→",OR(AE38="25日戻り売り★",AE38="5日戻り売り○")),"○逆張り売り",IF(W38&gt;=70,IF(Z38&lt;0,"◎反落確認","△過熱・様子見"),"相場上昇・見送り"))),IF(AND(T38&gt;=12,AD38="下降トレンド▼"),"★強い売り",IF(T38&gt;=12,"★強い売り",IF(AND(T38&gt;=8,OR(AE38="25日戻り売り★",AE38="5日戻り売り○")),"◎戻り売り",IF(T38&gt;=10,"○売り候補",IF(T38&gt;=6,"△注目",IF(T38&gt;=3,"様子見","見送り"))))))))</f>
        <v/>
      </c>
      <c r="AG38">
        <f>IF(AND(T38&gt;=7,C38&lt;&gt;""),T38,0)</f>
        <v/>
      </c>
      <c r="AH38">
        <f>IF(AG38&gt;0,AG38*10000-ROW(A38),0)</f>
        <v/>
      </c>
      <c r="AI38" s="623">
        <f t="array" ref="AI38">IF(C38="","",IFERROR((INDEX(終値!$E:$E,MATCH(TEXT(C38,"0"),終値!$A:$A,0))-INDEX(終値!$E:$BL,MATCH(TEXT(C38,"0"),終値!$A:$A,0),$AN$2))/INDEX(終値!$E:$BL,MATCH(TEXT(C38,"0"),終値!$A:$A,0),$AN$2)*100,""))</f>
        <v/>
      </c>
      <c r="AJ38" s="623">
        <f t="array" ref="AJ38">IFERROR((終値!$E$5-INDEX(終値!$E$5:$BL$5,1,$AN$2))/INDEX(終値!$E$5:$BL$5,1,$AN$2)*100,"")</f>
        <v/>
      </c>
      <c r="AK38" s="624">
        <f>IF(OR(AI38="",AJ38=""),"",AI38-AJ38)</f>
        <v/>
      </c>
      <c r="AL38" s="394">
        <f>IF(AK38="","",IF(AK38&lt;-5,3,IF(AK38&lt;0,1,IF(AK38&lt;3,-1,-2))))</f>
        <v/>
      </c>
      <c r="AO38" s="398">
        <f>IF(OR($C38="",$E38="",$F38="",$H38="",$I38="",$H38-$I38&lt;=0),"-",IF(AND($H38-MAX($F38,$E38)&gt;=ABS($E38-$F38)*2,MIN($F38,$E38)-$I38&lt;=ABS($E38-$F38)*0.5,ABS($E38-$F38)&gt;0),"上ヒゲ陰線▼",IF(AND($E38&lt;$F38,ABS($E38-$F38)&gt;=($H38-$I38)*0.7),"大陰線▼",IF(AND(MIN($F38,$E38)-$I38&gt;=($H38-$I38)*0.5,$H38-MAX($F38,$E38)&lt;=($H38-$I38)*0.2),"長い下ヒゲ(反発警戒)","通常"))))</f>
        <v/>
      </c>
      <c r="AP38" s="625">
        <f>IF($AO38="上ヒゲ陰線▼",2,IF($AO38="大陰線▼",2,IF($AO38="長い下ヒゲ(反発警戒)",-2,0)))</f>
        <v/>
      </c>
      <c r="AQ38">
        <f>IF(C38&lt;&gt;"",始値!F47,"")</f>
        <v/>
      </c>
      <c r="AR38">
        <f>IF(C38&lt;&gt;"",高値!F47,"")</f>
        <v/>
      </c>
      <c r="AS38">
        <f>IF(C38&lt;&gt;"",安値!F47,"")</f>
        <v/>
      </c>
      <c r="AT38">
        <f>IF(OR(C38="",AQ38="",AR38="",AS38="",AR38-AS38&lt;=0),"-",IF(AND(AR38-MAX(G38,AQ38)&gt;=ABS(G38-AQ38)*2,MIN(G38,AQ38)-AS38&lt;=ABS(G38-AQ38)*0.5,ABS(G38-AQ38)&gt;0),"上ヒゲ陰線▼",IF(AND(G38&lt;AQ38,ABS(G38-AQ38)&gt;=(AR38-AS38)*0.7),"大陰線▼",IF(AND(MIN(G38,AQ38)-AS38&gt;=(AR38-AS38)*0.5,AR38-MAX(G38,AQ38)&lt;=(AR38-AS38)*0.2),"長い下ヒゲ(反発)","通常"))))</f>
        <v/>
      </c>
      <c r="AU38">
        <f>IF(AT38="上ヒゲ陰線▼",2,IF(AT38="大陰線▼",2,IF(AT38="長い下ヒゲ(反発)",-2,0)))</f>
        <v/>
      </c>
    </row>
    <row r="39" ht="14.25" customHeight="1" s="574">
      <c r="A39" s="344">
        <f>IF(銘柄管理!B68&lt;&gt;"",HYPERLINK("https://kabutan.jp/stock/?code="&amp;銘柄管理!B68,"株探"),"")</f>
        <v/>
      </c>
      <c r="B39" s="345" t="n"/>
      <c r="C39" s="345">
        <f>IF(銘柄管理!B68="","",銘柄管理!B68)</f>
        <v/>
      </c>
      <c r="D39" s="345">
        <f>IF(銘柄管理!C68="","",銘柄管理!C68)</f>
        <v/>
      </c>
      <c r="E39" s="346">
        <f>IF(C39&lt;&gt;"",_xll.RssMarket(C39,"現在値"),"")</f>
        <v/>
      </c>
      <c r="F39" s="346">
        <f>IF(C39&lt;&gt;"",_xll.RssMarket(C39,"始値"),"")</f>
        <v/>
      </c>
      <c r="G39" s="345">
        <f>IF(C39&lt;&gt;"",終値!F68,"")</f>
        <v/>
      </c>
      <c r="H39" s="346">
        <f>IF(C39&lt;&gt;"",_xll.RssMarket(C39,"高値"),"")</f>
        <v/>
      </c>
      <c r="I39" s="346">
        <f>IF(C39&lt;&gt;"",_xll.RssMarket(C39,"安値"),"")</f>
        <v/>
      </c>
      <c r="J39" s="346">
        <f>IF(C39&lt;&gt;"",_xll.RssMarket(C39,"出来高"),"")</f>
        <v/>
      </c>
      <c r="K39" s="346">
        <f>IF(C39&lt;&gt;"",_xll.RssMarket(C39,"年初来高値"),"")</f>
        <v/>
      </c>
      <c r="L39" s="619">
        <f>IF(AND(E39&lt;&gt;"",K39&lt;&gt;"",K39&lt;&gt;0),(E39-K39)/K39*100,"")</f>
        <v/>
      </c>
      <c r="M39" s="346">
        <f>IF(C39&lt;&gt;"",IFERROR(AVERAGE(出来高!E68:I68),""),"")</f>
        <v/>
      </c>
      <c r="N39" s="346">
        <f>IF(C39&lt;&gt;"",IFERROR(AVERAGE(出来高!E68:AC68),""),"")</f>
        <v/>
      </c>
      <c r="O39" s="620">
        <f>IF(AND(J39&lt;&gt;"",M39&lt;&gt;"",M39&lt;&gt;0),J39/M39,"")</f>
        <v/>
      </c>
      <c r="P39" s="345">
        <f>IF(O39="","",IF(O39&gt;=2,"急増↑↑",IF(O39&gt;=1.5,"増加↑",IF(O39&gt;=1,"普通→","減少↓"))))</f>
        <v/>
      </c>
      <c r="Q39" s="345">
        <f>IF(E39="","",IF(AND(E39&lt;G39,O39&gt;=1.5),"売り▼",IF(E39&gt;G39,"様子見▲","中立→")))</f>
        <v/>
      </c>
      <c r="R39" s="346">
        <f>IF(E39&lt;&gt;"",ROUND(E39*0.92,0),"")</f>
        <v/>
      </c>
      <c r="S39" s="346">
        <f>IF(E39&lt;&gt;"",ROUND(E39*1.04,0),"")</f>
        <v/>
      </c>
      <c r="T39" s="345">
        <f>IF(C39="","",IFERROR(IF(W39&gt;=70,3,IF(W39&gt;=60,2,IF(W39&gt;=50,1,0)))+IF(X39&lt;0,2,0)+IF(AD39="下降トレンド▼",3,IF(AD39="もみ合い→",1,0))+IF(V39="年初来安値圏●",3,IF(V39="安値圏",2,0))+IF(Q39="売り▼",2,0)+IF(P39="急増↑↑",2,IF(P39="増加↑",1,0))+IF(Z39&lt;0,1,0)+IF(L39&lt;=-30,2,IF(L39&lt;=-15,1,0))+IF(AE39="25日戻り売り★",2,IF(AE39="5日戻り売り○",1,0))+N(AL39)+N(AP39)+N(AU39),0))</f>
        <v/>
      </c>
      <c r="U39" s="345">
        <f>IF(T39="","",IF(AND(T39&gt;=3,O39&gt;=1.5),"有効",IF(T39&gt;=3,"要確認","除外")))</f>
        <v/>
      </c>
      <c r="V39" s="345">
        <f>IF(AND(I39&lt;&gt;"",K39&lt;&gt;""),IF(I39&lt;=K39*0.6,"年初来安値圏●",IF(I39&lt;=K39*0.75,"安値圏","通常")),"")</f>
        <v/>
      </c>
      <c r="W39" s="621">
        <f t="array" ref="W39">IFERROR(100-100/(1+SUMPRODUCT((終値!F68:R68&gt;終値!G68:S68)*(終値!F68:R68-終値!G68:S68))/SUMPRODUCT((終値!F68:R68&lt;終値!G68:S68)*(終値!G68:S68-終値!F68:R68))),50)</f>
        <v/>
      </c>
      <c r="X39" s="350">
        <f>IF(C39&lt;&gt;"",IFERROR(SUMPRODUCT(終値!E68:P68,{0.154,0.132,0.113,0.097,0.083,0.071,0.061,0.052,0.045,0.038,0.033,0.028})/SUMPRODUCT({0.154,0.132,0.113,0.097,0.083,0.071,0.061,0.052,0.045,0.038,0.033,0.028})-SUMPRODUCT(終値!E68:AD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9" s="345">
        <f>IF(AF39="","",AF39&amp;" | "&amp;AD39&amp;IF(AE39&lt;&gt;"なし"," "&amp;AE39,"")&amp;IF(X39&lt;0," MACD-"," MACD+")&amp;" RSI:"&amp;TEXT(W39,"0.0")&amp;IF(W39&gt;=70," [過熱]",IF(W39&lt;=30," [売られ過ぎ]",""))&amp;" 前日比:"&amp;TEXT(Z39,"+0.0;-0.0;0.0")&amp;"%"&amp;IF(V39="年初来安値圏●"," [年初来安値圏]",IF(V39="安値圏"," [安値圏]",""))&amp;IF(OR(AO39="通常",AO39="-"),""," ["&amp;AO39&amp;"]")&amp;IF(OR(AT39="通常",AT39="-"),"","前日["&amp;AT39&amp;"]")&amp;" ["&amp;T39&amp;"点]")</f>
        <v/>
      </c>
      <c r="Z39" s="622">
        <f>IF(AND(E39&lt;&gt;"",G39&lt;&gt;"",G39&lt;&gt;0),(E39-G39)/G39*100,"")</f>
        <v/>
      </c>
      <c r="AA39" s="345">
        <f>IF(OR(C39="",E39="",E39=0),"",IF(E39&gt;G39,"上昇▲",IF(E39&lt;G39,"下落▼","横ばい→")))</f>
        <v/>
      </c>
      <c r="AB39" s="346">
        <f>IF(OR(C39="",C39="TOPX",終値!E68=""),"",IFERROR(((終値!E68*0.333)+(終値!F68*0.222)+(終値!G68*0.148)+(終値!H68*0.099)+(終値!I68*0.066))/(0.333+0.222+0.148+0.099+0.066),""))</f>
        <v/>
      </c>
      <c r="AC39" s="346">
        <f>IF(OR(C39="",C39="TOPX",終値!E68=""),"",IFERROR(SUMPRODUCT((終値!E68:AC68)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9" s="345">
        <f>IF(OR(C39="",AB39="",AC39="",AB39=0,AC39=0),"",IF(AND(E39&gt;AB39,AB39&gt;AC39),"パーフェクト▲",IF(E39&gt;AC39,"上昇トレンド▲",IF(AND(E39&lt;AB39,AB39&lt;AC39),"下降トレンド▼","もみ合い→"))))</f>
        <v/>
      </c>
      <c r="AE39" s="345">
        <f>IF(OR(C39="",AB39="",AC39=""),"",IF(AND(ABS(E39-AC39)/AC39&lt;=0.02,E39&lt;AC39),"25日戻り売り★",IF(AND(ABS(E39-AB39)/AB39&lt;=0.01,E39&lt;AB39),"5日戻り売り○","なし")))</f>
        <v/>
      </c>
      <c r="AF39">
        <f>IF(T39="","",IF(銘柄管理!$F$5="上昇▲",IF(AND(AD39="下降トレンド▼",OR(AE39="25日戻り売り★",AE39="5日戻り売り○")),"★逆張り売り",IF(AND(AD39="もみ合い→",OR(AE39="25日戻り売り★",AE39="5日戻り売り○")),"○逆張り売り",IF(W39&gt;=70,IF(Z39&lt;0,"◎反落確認","△過熱・様子見"),"相場上昇・見送り"))),IF(AND(T39&gt;=12,AD39="下降トレンド▼"),"★強い売り",IF(T39&gt;=12,"★強い売り",IF(AND(T39&gt;=8,OR(AE39="25日戻り売り★",AE39="5日戻り売り○")),"◎戻り売り",IF(T39&gt;=10,"○売り候補",IF(T39&gt;=6,"△注目",IF(T39&gt;=3,"様子見","見送り"))))))))</f>
        <v/>
      </c>
      <c r="AG39">
        <f>IF(AND(T39&gt;=7,C39&lt;&gt;""),T39,0)</f>
        <v/>
      </c>
      <c r="AH39">
        <f>IF(AG39&gt;0,AG39*10000-ROW(A39),0)</f>
        <v/>
      </c>
      <c r="AI39" s="623">
        <f t="array" ref="AI39">IF(C39="","",IFERROR((INDEX(終値!$E:$E,MATCH(TEXT(C39,"0"),終値!$A:$A,0))-INDEX(終値!$E:$BL,MATCH(TEXT(C39,"0"),終値!$A:$A,0),$AN$2))/INDEX(終値!$E:$BL,MATCH(TEXT(C39,"0"),終値!$A:$A,0),$AN$2)*100,""))</f>
        <v/>
      </c>
      <c r="AJ39" s="623">
        <f t="array" ref="AJ39">IFERROR((終値!$E$5-INDEX(終値!$E$5:$BL$5,1,$AN$2))/INDEX(終値!$E$5:$BL$5,1,$AN$2)*100,"")</f>
        <v/>
      </c>
      <c r="AK39" s="624">
        <f>IF(OR(AI39="",AJ39=""),"",AI39-AJ39)</f>
        <v/>
      </c>
      <c r="AL39" s="394">
        <f>IF(AK39="","",IF(AK39&lt;-5,3,IF(AK39&lt;0,1,IF(AK39&lt;3,-1,-2))))</f>
        <v/>
      </c>
      <c r="AO39" s="398">
        <f>IF(OR($C39="",$E39="",$F39="",$H39="",$I39="",$H39-$I39&lt;=0),"-",IF(AND($H39-MAX($F39,$E39)&gt;=ABS($E39-$F39)*2,MIN($F39,$E39)-$I39&lt;=ABS($E39-$F39)*0.5,ABS($E39-$F39)&gt;0),"上ヒゲ陰線▼",IF(AND($E39&lt;$F39,ABS($E39-$F39)&gt;=($H39-$I39)*0.7),"大陰線▼",IF(AND(MIN($F39,$E39)-$I39&gt;=($H39-$I39)*0.5,$H39-MAX($F39,$E39)&lt;=($H39-$I39)*0.2),"長い下ヒゲ(反発警戒)","通常"))))</f>
        <v/>
      </c>
      <c r="AP39" s="625">
        <f>IF($AO39="上ヒゲ陰線▼",2,IF($AO39="大陰線▼",2,IF($AO39="長い下ヒゲ(反発警戒)",-2,0)))</f>
        <v/>
      </c>
      <c r="AQ39">
        <f>IF(C39&lt;&gt;"",始値!F68,"")</f>
        <v/>
      </c>
      <c r="AR39">
        <f>IF(C39&lt;&gt;"",高値!F68,"")</f>
        <v/>
      </c>
      <c r="AS39">
        <f>IF(C39&lt;&gt;"",安値!F68,"")</f>
        <v/>
      </c>
      <c r="AT39">
        <f>IF(OR(C39="",AQ39="",AR39="",AS39="",AR39-AS39&lt;=0),"-",IF(AND(AR39-MAX(G39,AQ39)&gt;=ABS(G39-AQ39)*2,MIN(G39,AQ39)-AS39&lt;=ABS(G39-AQ39)*0.5,ABS(G39-AQ39)&gt;0),"上ヒゲ陰線▼",IF(AND(G39&lt;AQ39,ABS(G39-AQ39)&gt;=(AR39-AS39)*0.7),"大陰線▼",IF(AND(MIN(G39,AQ39)-AS39&gt;=(AR39-AS39)*0.5,AR39-MAX(G39,AQ39)&lt;=(AR39-AS39)*0.2),"長い下ヒゲ(反発)","通常"))))</f>
        <v/>
      </c>
      <c r="AU39">
        <f>IF(AT39="上ヒゲ陰線▼",2,IF(AT39="大陰線▼",2,IF(AT39="長い下ヒゲ(反発)",-2,0)))</f>
        <v/>
      </c>
    </row>
    <row r="40" ht="14.25" customHeight="1" s="574">
      <c r="A40" s="352">
        <f>IF(銘柄管理!B86&lt;&gt;"",HYPERLINK("https://kabutan.jp/stock/?code="&amp;銘柄管理!B86,"株探"),"")</f>
        <v/>
      </c>
      <c r="B40" s="225" t="n"/>
      <c r="C40" s="225">
        <f>IF(銘柄管理!B86="","",銘柄管理!B86)</f>
        <v/>
      </c>
      <c r="D40" s="225">
        <f>IF(銘柄管理!C86="","",銘柄管理!C86)</f>
        <v/>
      </c>
      <c r="E40" s="353">
        <f>IF(C40&lt;&gt;"",_xll.RssMarket(C40,"現在値"),"")</f>
        <v/>
      </c>
      <c r="F40" s="353">
        <f>IF(C40&lt;&gt;"",_xll.RssMarket(C40,"始値"),"")</f>
        <v/>
      </c>
      <c r="G40" s="225">
        <f>IF(C40&lt;&gt;"",終値!F86,"")</f>
        <v/>
      </c>
      <c r="H40" s="353">
        <f>IF(C40&lt;&gt;"",_xll.RssMarket(C40,"高値"),"")</f>
        <v/>
      </c>
      <c r="I40" s="353">
        <f>IF(C40&lt;&gt;"",_xll.RssMarket(C40,"安値"),"")</f>
        <v/>
      </c>
      <c r="J40" s="353">
        <f>IF(C40&lt;&gt;"",_xll.RssMarket(C40,"出来高"),"")</f>
        <v/>
      </c>
      <c r="K40" s="353">
        <f>IF(C40&lt;&gt;"",_xll.RssMarket(C40,"年初来高値"),"")</f>
        <v/>
      </c>
      <c r="L40" s="626">
        <f>IF(AND(E40&lt;&gt;"",K40&lt;&gt;"",K40&lt;&gt;0),(E40-K40)/K40*100,"")</f>
        <v/>
      </c>
      <c r="M40" s="353">
        <f>IF(C40&lt;&gt;"",IFERROR(AVERAGE(出来高!E86:I86),""),"")</f>
        <v/>
      </c>
      <c r="N40" s="353">
        <f>IF(C40&lt;&gt;"",IFERROR(AVERAGE(出来高!E86:AC86),""),"")</f>
        <v/>
      </c>
      <c r="O40" s="627">
        <f>IF(AND(J40&lt;&gt;"",M40&lt;&gt;"",M40&lt;&gt;0),J40/M40,"")</f>
        <v/>
      </c>
      <c r="P40" s="225">
        <f>IF(O40="","",IF(O40&gt;=2,"急増↑↑",IF(O40&gt;=1.5,"増加↑",IF(O40&gt;=1,"普通→","減少↓"))))</f>
        <v/>
      </c>
      <c r="Q40" s="225">
        <f>IF(E40="","",IF(AND(E40&lt;G40,O40&gt;=1.5),"売り▼",IF(E40&gt;G40,"様子見▲","中立→")))</f>
        <v/>
      </c>
      <c r="R40" s="353">
        <f>IF(E40&lt;&gt;"",ROUND(E40*0.92,0),"")</f>
        <v/>
      </c>
      <c r="S40" s="353">
        <f>IF(E40&lt;&gt;"",ROUND(E40*1.04,0),"")</f>
        <v/>
      </c>
      <c r="T40" s="345">
        <f>IF(C40="","",IFERROR(IF(W40&gt;=70,3,IF(W40&gt;=60,2,IF(W40&gt;=50,1,0)))+IF(X40&lt;0,2,0)+IF(AD40="下降トレンド▼",3,IF(AD40="もみ合い→",1,0))+IF(V40="年初来安値圏●",3,IF(V40="安値圏",2,0))+IF(Q40="売り▼",2,0)+IF(P40="急増↑↑",2,IF(P40="増加↑",1,0))+IF(Z40&lt;0,1,0)+IF(L40&lt;=-30,2,IF(L40&lt;=-15,1,0))+IF(AE40="25日戻り売り★",2,IF(AE40="5日戻り売り○",1,0))+N(AL40)+N(AP40)+N(AU40),0))</f>
        <v/>
      </c>
      <c r="U40" s="225">
        <f>IF(T40="","",IF(AND(T40&gt;=3,O40&gt;=1.5),"有効",IF(T40&gt;=3,"要確認","除外")))</f>
        <v/>
      </c>
      <c r="V40" s="225">
        <f>IF(AND(I40&lt;&gt;"",K40&lt;&gt;""),IF(I40&lt;=K40*0.6,"年初来安値圏●",IF(I40&lt;=K40*0.75,"安値圏","通常")),"")</f>
        <v/>
      </c>
      <c r="W40" s="628">
        <f t="array" ref="W40">IFERROR(100-100/(1+SUMPRODUCT((終値!F86:R86&gt;終値!G86:S86)*(終値!F86:R86-終値!G86:S86))/SUMPRODUCT((終値!F86:R86&lt;終値!G86:S86)*(終値!G86:S86-終値!F86:R86))),50)</f>
        <v/>
      </c>
      <c r="X40" s="357">
        <f>IF(C40&lt;&gt;"",IFERROR(SUMPRODUCT(終値!E86:P86,{0.154,0.132,0.113,0.097,0.083,0.071,0.061,0.052,0.045,0.038,0.033,0.028})/SUMPRODUCT({0.154,0.132,0.113,0.097,0.083,0.071,0.061,0.052,0.045,0.038,0.033,0.028})-SUMPRODUCT(終値!E86:AD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0" s="225">
        <f>IF(AF40="","",AF40&amp;" | "&amp;AD40&amp;IF(AE40&lt;&gt;"なし"," "&amp;AE40,"")&amp;IF(X40&lt;0," MACD-"," MACD+")&amp;" RSI:"&amp;TEXT(W40,"0.0")&amp;IF(W40&gt;=70," [過熱]",IF(W40&lt;=30," [売られ過ぎ]",""))&amp;" 前日比:"&amp;TEXT(Z40,"+0.0;-0.0;0.0")&amp;"%"&amp;IF(V40="年初来安値圏●"," [年初来安値圏]",IF(V40="安値圏"," [安値圏]",""))&amp;IF(OR(AO40="通常",AO40="-"),""," ["&amp;AO40&amp;"]")&amp;IF(OR(AT40="通常",AT40="-"),"","前日["&amp;AT40&amp;"]")&amp;" ["&amp;T40&amp;"点]")</f>
        <v/>
      </c>
      <c r="Z40" s="629">
        <f>IF(AND(E40&lt;&gt;"",G40&lt;&gt;"",G40&lt;&gt;0),(E40-G40)/G40*100,"")</f>
        <v/>
      </c>
      <c r="AA40" s="225">
        <f>IF(OR(C40="",E40="",E40=0),"",IF(E40&gt;G40,"上昇▲",IF(E40&lt;G40,"下落▼","横ばい→")))</f>
        <v/>
      </c>
      <c r="AB40" s="353">
        <f>IF(OR(C40="",C40="TOPX",終値!E86=""),"",IFERROR(((終値!E86*0.333)+(終値!F86*0.222)+(終値!G86*0.148)+(終値!H86*0.099)+(終値!I86*0.066))/(0.333+0.222+0.148+0.099+0.066),""))</f>
        <v/>
      </c>
      <c r="AC40" s="353">
        <f>IF(OR(C40="",C40="TOPX",終値!E86=""),"",IFERROR(SUMPRODUCT((終値!E86:AC86)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0" s="225">
        <f>IF(OR(C40="",AB40="",AC40="",AB40=0,AC40=0),"",IF(AND(E40&gt;AB40,AB40&gt;AC40),"パーフェクト▲",IF(E40&gt;AC40,"上昇トレンド▲",IF(AND(E40&lt;AB40,AB40&lt;AC40),"下降トレンド▼","もみ合い→"))))</f>
        <v/>
      </c>
      <c r="AE40" s="225">
        <f>IF(OR(C40="",AB40="",AC40=""),"",IF(AND(ABS(E40-AC40)/AC40&lt;=0.02,E40&lt;AC40),"25日戻り売り★",IF(AND(ABS(E40-AB40)/AB40&lt;=0.01,E40&lt;AB40),"5日戻り売り○","なし")))</f>
        <v/>
      </c>
      <c r="AF40">
        <f>IF(T40="","",IF(銘柄管理!$F$5="上昇▲",IF(AND(AD40="下降トレンド▼",OR(AE40="25日戻り売り★",AE40="5日戻り売り○")),"★逆張り売り",IF(AND(AD40="もみ合い→",OR(AE40="25日戻り売り★",AE40="5日戻り売り○")),"○逆張り売り",IF(W40&gt;=70,IF(Z40&lt;0,"◎反落確認","△過熱・様子見"),"相場上昇・見送り"))),IF(AND(T40&gt;=12,AD40="下降トレンド▼"),"★強い売り",IF(T40&gt;=12,"★強い売り",IF(AND(T40&gt;=8,OR(AE40="25日戻り売り★",AE40="5日戻り売り○")),"◎戻り売り",IF(T40&gt;=10,"○売り候補",IF(T40&gt;=6,"△注目",IF(T40&gt;=3,"様子見","見送り"))))))))</f>
        <v/>
      </c>
      <c r="AG40">
        <f>IF(AND(T40&gt;=7,C40&lt;&gt;""),T40,0)</f>
        <v/>
      </c>
      <c r="AH40">
        <f>IF(AG40&gt;0,AG40*10000-ROW(A40),0)</f>
        <v/>
      </c>
      <c r="AI40" s="623">
        <f t="array" ref="AI40">IF(C40="","",IFERROR((INDEX(終値!$E:$E,MATCH(TEXT(C40,"0"),終値!$A:$A,0))-INDEX(終値!$E:$BL,MATCH(TEXT(C40,"0"),終値!$A:$A,0),$AN$2))/INDEX(終値!$E:$BL,MATCH(TEXT(C40,"0"),終値!$A:$A,0),$AN$2)*100,""))</f>
        <v/>
      </c>
      <c r="AJ40" s="623">
        <f t="array" ref="AJ40">IFERROR((終値!$E$5-INDEX(終値!$E$5:$BL$5,1,$AN$2))/INDEX(終値!$E$5:$BL$5,1,$AN$2)*100,"")</f>
        <v/>
      </c>
      <c r="AK40" s="624">
        <f>IF(OR(AI40="",AJ40=""),"",AI40-AJ40)</f>
        <v/>
      </c>
      <c r="AL40" s="394">
        <f>IF(AK40="","",IF(AK40&lt;-5,3,IF(AK40&lt;0,1,IF(AK40&lt;3,-1,-2))))</f>
        <v/>
      </c>
      <c r="AO40" s="398">
        <f>IF(OR($C40="",$E40="",$F40="",$H40="",$I40="",$H40-$I40&lt;=0),"-",IF(AND($H40-MAX($F40,$E40)&gt;=ABS($E40-$F40)*2,MIN($F40,$E40)-$I40&lt;=ABS($E40-$F40)*0.5,ABS($E40-$F40)&gt;0),"上ヒゲ陰線▼",IF(AND($E40&lt;$F40,ABS($E40-$F40)&gt;=($H40-$I40)*0.7),"大陰線▼",IF(AND(MIN($F40,$E40)-$I40&gt;=($H40-$I40)*0.5,$H40-MAX($F40,$E40)&lt;=($H40-$I40)*0.2),"長い下ヒゲ(反発警戒)","通常"))))</f>
        <v/>
      </c>
      <c r="AP40" s="625">
        <f>IF($AO40="上ヒゲ陰線▼",2,IF($AO40="大陰線▼",2,IF($AO40="長い下ヒゲ(反発警戒)",-2,0)))</f>
        <v/>
      </c>
      <c r="AQ40">
        <f>IF(C40&lt;&gt;"",始値!F86,"")</f>
        <v/>
      </c>
      <c r="AR40">
        <f>IF(C40&lt;&gt;"",高値!F86,"")</f>
        <v/>
      </c>
      <c r="AS40">
        <f>IF(C40&lt;&gt;"",安値!F86,"")</f>
        <v/>
      </c>
      <c r="AT40">
        <f>IF(OR(C40="",AQ40="",AR40="",AS40="",AR40-AS40&lt;=0),"-",IF(AND(AR40-MAX(G40,AQ40)&gt;=ABS(G40-AQ40)*2,MIN(G40,AQ40)-AS40&lt;=ABS(G40-AQ40)*0.5,ABS(G40-AQ40)&gt;0),"上ヒゲ陰線▼",IF(AND(G40&lt;AQ40,ABS(G40-AQ40)&gt;=(AR40-AS40)*0.7),"大陰線▼",IF(AND(MIN(G40,AQ40)-AS40&gt;=(AR40-AS40)*0.5,AR40-MAX(G40,AQ40)&lt;=(AR40-AS40)*0.2),"長い下ヒゲ(反発)","通常"))))</f>
        <v/>
      </c>
      <c r="AU40">
        <f>IF(AT40="上ヒゲ陰線▼",2,IF(AT40="大陰線▼",2,IF(AT40="長い下ヒゲ(反発)",-2,0)))</f>
        <v/>
      </c>
    </row>
    <row r="41" ht="14.25" customHeight="1" s="574">
      <c r="A41" s="344">
        <f>IF(銘柄管理!B90&lt;&gt;"",HYPERLINK("https://kabutan.jp/stock/?code="&amp;銘柄管理!B90,"株探"),"")</f>
        <v/>
      </c>
      <c r="B41" s="345" t="n"/>
      <c r="C41" s="345">
        <f>IF(銘柄管理!B90="","",銘柄管理!B90)</f>
        <v/>
      </c>
      <c r="D41" s="345">
        <f>IF(銘柄管理!C90="","",銘柄管理!C90)</f>
        <v/>
      </c>
      <c r="E41" s="346">
        <f>IF(C41&lt;&gt;"",_xll.RssMarket(C41,"現在値"),"")</f>
        <v/>
      </c>
      <c r="F41" s="346">
        <f>IF(C41&lt;&gt;"",_xll.RssMarket(C41,"始値"),"")</f>
        <v/>
      </c>
      <c r="G41" s="345">
        <f>IF(C41&lt;&gt;"",終値!F90,"")</f>
        <v/>
      </c>
      <c r="H41" s="346">
        <f>IF(C41&lt;&gt;"",_xll.RssMarket(C41,"高値"),"")</f>
        <v/>
      </c>
      <c r="I41" s="346">
        <f>IF(C41&lt;&gt;"",_xll.RssMarket(C41,"安値"),"")</f>
        <v/>
      </c>
      <c r="J41" s="346">
        <f>IF(C41&lt;&gt;"",_xll.RssMarket(C41,"出来高"),"")</f>
        <v/>
      </c>
      <c r="K41" s="346">
        <f>IF(C41&lt;&gt;"",_xll.RssMarket(C41,"年初来高値"),"")</f>
        <v/>
      </c>
      <c r="L41" s="619">
        <f>IF(AND(E41&lt;&gt;"",K41&lt;&gt;"",K41&lt;&gt;0),(E41-K41)/K41*100,"")</f>
        <v/>
      </c>
      <c r="M41" s="346">
        <f>IF(C41&lt;&gt;"",IFERROR(AVERAGE(出来高!E90:I90),""),"")</f>
        <v/>
      </c>
      <c r="N41" s="346">
        <f>IF(C41&lt;&gt;"",IFERROR(AVERAGE(出来高!E90:AC90),""),"")</f>
        <v/>
      </c>
      <c r="O41" s="620">
        <f>IF(AND(J41&lt;&gt;"",M41&lt;&gt;"",M41&lt;&gt;0),J41/M41,"")</f>
        <v/>
      </c>
      <c r="P41" s="345">
        <f>IF(O41="","",IF(O41&gt;=2,"急増↑↑",IF(O41&gt;=1.5,"増加↑",IF(O41&gt;=1,"普通→","減少↓"))))</f>
        <v/>
      </c>
      <c r="Q41" s="345">
        <f>IF(E41="","",IF(AND(E41&lt;G41,O41&gt;=1.5),"売り▼",IF(E41&gt;G41,"様子見▲","中立→")))</f>
        <v/>
      </c>
      <c r="R41" s="346">
        <f>IF(E41&lt;&gt;"",ROUND(E41*0.92,0),"")</f>
        <v/>
      </c>
      <c r="S41" s="346">
        <f>IF(E41&lt;&gt;"",ROUND(E41*1.04,0),"")</f>
        <v/>
      </c>
      <c r="T41" s="345">
        <f>IF(C41="","",IFERROR(IF(W41&gt;=70,3,IF(W41&gt;=60,2,IF(W41&gt;=50,1,0)))+IF(X41&lt;0,2,0)+IF(AD41="下降トレンド▼",3,IF(AD41="もみ合い→",1,0))+IF(V41="年初来安値圏●",3,IF(V41="安値圏",2,0))+IF(Q41="売り▼",2,0)+IF(P41="急増↑↑",2,IF(P41="増加↑",1,0))+IF(Z41&lt;0,1,0)+IF(L41&lt;=-30,2,IF(L41&lt;=-15,1,0))+IF(AE41="25日戻り売り★",2,IF(AE41="5日戻り売り○",1,0))+N(AL41)+N(AP41)+N(AU41),0))</f>
        <v/>
      </c>
      <c r="U41" s="345">
        <f>IF(T41="","",IF(AND(T41&gt;=3,O41&gt;=1.5),"有効",IF(T41&gt;=3,"要確認","除外")))</f>
        <v/>
      </c>
      <c r="V41" s="345">
        <f>IF(AND(I41&lt;&gt;"",K41&lt;&gt;""),IF(I41&lt;=K41*0.6,"年初来安値圏●",IF(I41&lt;=K41*0.75,"安値圏","通常")),"")</f>
        <v/>
      </c>
      <c r="W41" s="621">
        <f t="array" ref="W41">IFERROR(100-100/(1+SUMPRODUCT((終値!F90:R90&gt;終値!G90:S90)*(終値!F90:R90-終値!G90:S90))/SUMPRODUCT((終値!F90:R90&lt;終値!G90:S90)*(終値!G90:S90-終値!F90:R90))),50)</f>
        <v/>
      </c>
      <c r="X41" s="350">
        <f>IF(C41&lt;&gt;"",IFERROR(SUMPRODUCT(終値!E90:P90,{0.154,0.132,0.113,0.097,0.083,0.071,0.061,0.052,0.045,0.038,0.033,0.028})/SUMPRODUCT({0.154,0.132,0.113,0.097,0.083,0.071,0.061,0.052,0.045,0.038,0.033,0.028})-SUMPRODUCT(終値!E90:AD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1" s="345">
        <f>IF(AF41="","",AF41&amp;" | "&amp;AD41&amp;IF(AE41&lt;&gt;"なし"," "&amp;AE41,"")&amp;IF(X41&lt;0," MACD-"," MACD+")&amp;" RSI:"&amp;TEXT(W41,"0.0")&amp;IF(W41&gt;=70," [過熱]",IF(W41&lt;=30," [売られ過ぎ]",""))&amp;" 前日比:"&amp;TEXT(Z41,"+0.0;-0.0;0.0")&amp;"%"&amp;IF(V41="年初来安値圏●"," [年初来安値圏]",IF(V41="安値圏"," [安値圏]",""))&amp;IF(OR(AO41="通常",AO41="-"),""," ["&amp;AO41&amp;"]")&amp;IF(OR(AT41="通常",AT41="-"),"","前日["&amp;AT41&amp;"]")&amp;" ["&amp;T41&amp;"点]")</f>
        <v/>
      </c>
      <c r="Z41" s="622">
        <f>IF(AND(E41&lt;&gt;"",G41&lt;&gt;"",G41&lt;&gt;0),(E41-G41)/G41*100,"")</f>
        <v/>
      </c>
      <c r="AA41" s="345">
        <f>IF(OR(C41="",E41="",E41=0),"",IF(E41&gt;G41,"上昇▲",IF(E41&lt;G41,"下落▼","横ばい→")))</f>
        <v/>
      </c>
      <c r="AB41" s="346">
        <f>IF(OR(C41="",C41="TOPX",終値!E90=""),"",IFERROR(((終値!E90*0.333)+(終値!F90*0.222)+(終値!G90*0.148)+(終値!H90*0.099)+(終値!I90*0.066))/(0.333+0.222+0.148+0.099+0.066),""))</f>
        <v/>
      </c>
      <c r="AC41" s="346">
        <f>IF(OR(C41="",C41="TOPX",終値!E90=""),"",IFERROR(SUMPRODUCT((終値!E90:AC90)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1" s="345">
        <f>IF(OR(C41="",AB41="",AC41="",AB41=0,AC41=0),"",IF(AND(E41&gt;AB41,AB41&gt;AC41),"パーフェクト▲",IF(E41&gt;AC41,"上昇トレンド▲",IF(AND(E41&lt;AB41,AB41&lt;AC41),"下降トレンド▼","もみ合い→"))))</f>
        <v/>
      </c>
      <c r="AE41" s="345">
        <f>IF(OR(C41="",AB41="",AC41=""),"",IF(AND(ABS(E41-AC41)/AC41&lt;=0.02,E41&lt;AC41),"25日戻り売り★",IF(AND(ABS(E41-AB41)/AB41&lt;=0.01,E41&lt;AB41),"5日戻り売り○","なし")))</f>
        <v/>
      </c>
      <c r="AF41">
        <f>IF(T41="","",IF(銘柄管理!$F$5="上昇▲",IF(AND(AD41="下降トレンド▼",OR(AE41="25日戻り売り★",AE41="5日戻り売り○")),"★逆張り売り",IF(AND(AD41="もみ合い→",OR(AE41="25日戻り売り★",AE41="5日戻り売り○")),"○逆張り売り",IF(W41&gt;=70,IF(Z41&lt;0,"◎反落確認","△過熱・様子見"),"相場上昇・見送り"))),IF(AND(T41&gt;=12,AD41="下降トレンド▼"),"★強い売り",IF(T41&gt;=12,"★強い売り",IF(AND(T41&gt;=8,OR(AE41="25日戻り売り★",AE41="5日戻り売り○")),"◎戻り売り",IF(T41&gt;=10,"○売り候補",IF(T41&gt;=6,"△注目",IF(T41&gt;=3,"様子見","見送り"))))))))</f>
        <v/>
      </c>
      <c r="AG41">
        <f>IF(AND(T41&gt;=7,C41&lt;&gt;""),T41,0)</f>
        <v/>
      </c>
      <c r="AH41">
        <f>IF(AG41&gt;0,AG41*10000-ROW(A41),0)</f>
        <v/>
      </c>
      <c r="AI41" s="623">
        <f t="array" ref="AI41">IF(C41="","",IFERROR((INDEX(終値!$E:$E,MATCH(TEXT(C41,"0"),終値!$A:$A,0))-INDEX(終値!$E:$BL,MATCH(TEXT(C41,"0"),終値!$A:$A,0),$AN$2))/INDEX(終値!$E:$BL,MATCH(TEXT(C41,"0"),終値!$A:$A,0),$AN$2)*100,""))</f>
        <v/>
      </c>
      <c r="AJ41" s="623">
        <f t="array" ref="AJ41">IFERROR((終値!$E$5-INDEX(終値!$E$5:$BL$5,1,$AN$2))/INDEX(終値!$E$5:$BL$5,1,$AN$2)*100,"")</f>
        <v/>
      </c>
      <c r="AK41" s="624">
        <f>IF(OR(AI41="",AJ41=""),"",AI41-AJ41)</f>
        <v/>
      </c>
      <c r="AL41" s="394">
        <f>IF(AK41="","",IF(AK41&lt;-5,3,IF(AK41&lt;0,1,IF(AK41&lt;3,-1,-2))))</f>
        <v/>
      </c>
      <c r="AO41" s="398">
        <f>IF(OR($C41="",$E41="",$F41="",$H41="",$I41="",$H41-$I41&lt;=0),"-",IF(AND($H41-MAX($F41,$E41)&gt;=ABS($E41-$F41)*2,MIN($F41,$E41)-$I41&lt;=ABS($E41-$F41)*0.5,ABS($E41-$F41)&gt;0),"上ヒゲ陰線▼",IF(AND($E41&lt;$F41,ABS($E41-$F41)&gt;=($H41-$I41)*0.7),"大陰線▼",IF(AND(MIN($F41,$E41)-$I41&gt;=($H41-$I41)*0.5,$H41-MAX($F41,$E41)&lt;=($H41-$I41)*0.2),"長い下ヒゲ(反発警戒)","通常"))))</f>
        <v/>
      </c>
      <c r="AP41" s="625">
        <f>IF($AO41="上ヒゲ陰線▼",2,IF($AO41="大陰線▼",2,IF($AO41="長い下ヒゲ(反発警戒)",-2,0)))</f>
        <v/>
      </c>
      <c r="AQ41">
        <f>IF(C41&lt;&gt;"",始値!F90,"")</f>
        <v/>
      </c>
      <c r="AR41">
        <f>IF(C41&lt;&gt;"",高値!F90,"")</f>
        <v/>
      </c>
      <c r="AS41">
        <f>IF(C41&lt;&gt;"",安値!F90,"")</f>
        <v/>
      </c>
      <c r="AT41">
        <f>IF(OR(C41="",AQ41="",AR41="",AS41="",AR41-AS41&lt;=0),"-",IF(AND(AR41-MAX(G41,AQ41)&gt;=ABS(G41-AQ41)*2,MIN(G41,AQ41)-AS41&lt;=ABS(G41-AQ41)*0.5,ABS(G41-AQ41)&gt;0),"上ヒゲ陰線▼",IF(AND(G41&lt;AQ41,ABS(G41-AQ41)&gt;=(AR41-AS41)*0.7),"大陰線▼",IF(AND(MIN(G41,AQ41)-AS41&gt;=(AR41-AS41)*0.5,AR41-MAX(G41,AQ41)&lt;=(AR41-AS41)*0.2),"長い下ヒゲ(反発)","通常"))))</f>
        <v/>
      </c>
      <c r="AU41">
        <f>IF(AT41="上ヒゲ陰線▼",2,IF(AT41="大陰線▼",2,IF(AT41="長い下ヒゲ(反発)",-2,0)))</f>
        <v/>
      </c>
    </row>
    <row r="42" ht="14.25" customHeight="1" s="574">
      <c r="A42" s="352">
        <f>IF(銘柄管理!B105&lt;&gt;"",HYPERLINK("https://kabutan.jp/stock/?code="&amp;銘柄管理!B105,"株探"),"")</f>
        <v/>
      </c>
      <c r="B42" s="225" t="n"/>
      <c r="C42" s="225">
        <f>IF(銘柄管理!B105="","",銘柄管理!B105)</f>
        <v/>
      </c>
      <c r="D42" s="225">
        <f>IF(銘柄管理!C105="","",銘柄管理!C105)</f>
        <v/>
      </c>
      <c r="E42" s="353">
        <f>IF(C42&lt;&gt;"",_xll.RssMarket(C42,"現在値"),"")</f>
        <v/>
      </c>
      <c r="F42" s="353">
        <f>IF(C42&lt;&gt;"",_xll.RssMarket(C42,"始値"),"")</f>
        <v/>
      </c>
      <c r="G42" s="225">
        <f>IF(C42&lt;&gt;"",終値!F105,"")</f>
        <v/>
      </c>
      <c r="H42" s="353">
        <f>IF(C42&lt;&gt;"",_xll.RssMarket(C42,"高値"),"")</f>
        <v/>
      </c>
      <c r="I42" s="353">
        <f>IF(C42&lt;&gt;"",_xll.RssMarket(C42,"安値"),"")</f>
        <v/>
      </c>
      <c r="J42" s="353">
        <f>IF(C42&lt;&gt;"",_xll.RssMarket(C42,"出来高"),"")</f>
        <v/>
      </c>
      <c r="K42" s="353">
        <f>IF(C42&lt;&gt;"",_xll.RssMarket(C42,"年初来高値"),"")</f>
        <v/>
      </c>
      <c r="L42" s="626">
        <f>IF(AND(E42&lt;&gt;"",K42&lt;&gt;"",K42&lt;&gt;0),(E42-K42)/K42*100,"")</f>
        <v/>
      </c>
      <c r="M42" s="353">
        <f>IF(C42&lt;&gt;"",IFERROR(AVERAGE(出来高!E105:I105),""),"")</f>
        <v/>
      </c>
      <c r="N42" s="353">
        <f>IF(C42&lt;&gt;"",IFERROR(AVERAGE(出来高!E105:AC105),""),"")</f>
        <v/>
      </c>
      <c r="O42" s="627">
        <f>IF(AND(J42&lt;&gt;"",M42&lt;&gt;"",M42&lt;&gt;0),J42/M42,"")</f>
        <v/>
      </c>
      <c r="P42" s="225">
        <f>IF(O42="","",IF(O42&gt;=2,"急増↑↑",IF(O42&gt;=1.5,"増加↑",IF(O42&gt;=1,"普通→","減少↓"))))</f>
        <v/>
      </c>
      <c r="Q42" s="225">
        <f>IF(E42="","",IF(AND(E42&lt;G42,O42&gt;=1.5),"売り▼",IF(E42&gt;G42,"様子見▲","中立→")))</f>
        <v/>
      </c>
      <c r="R42" s="353">
        <f>IF(E42&lt;&gt;"",ROUND(E42*0.92,0),"")</f>
        <v/>
      </c>
      <c r="S42" s="353">
        <f>IF(E42&lt;&gt;"",ROUND(E42*1.04,0),"")</f>
        <v/>
      </c>
      <c r="T42" s="345">
        <f>IF(C42="","",IFERROR(IF(W42&gt;=70,3,IF(W42&gt;=60,2,IF(W42&gt;=50,1,0)))+IF(X42&lt;0,2,0)+IF(AD42="下降トレンド▼",3,IF(AD42="もみ合い→",1,0))+IF(V42="年初来安値圏●",3,IF(V42="安値圏",2,0))+IF(Q42="売り▼",2,0)+IF(P42="急増↑↑",2,IF(P42="増加↑",1,0))+IF(Z42&lt;0,1,0)+IF(L42&lt;=-30,2,IF(L42&lt;=-15,1,0))+IF(AE42="25日戻り売り★",2,IF(AE42="5日戻り売り○",1,0))+N(AL42)+N(AP42)+N(AU42),0))</f>
        <v/>
      </c>
      <c r="U42" s="225">
        <f>IF(T42="","",IF(AND(T42&gt;=3,O42&gt;=1.5),"有効",IF(T42&gt;=3,"要確認","除外")))</f>
        <v/>
      </c>
      <c r="V42" s="225">
        <f>IF(AND(I42&lt;&gt;"",K42&lt;&gt;""),IF(I42&lt;=K42*0.6,"年初来安値圏●",IF(I42&lt;=K42*0.75,"安値圏","通常")),"")</f>
        <v/>
      </c>
      <c r="W42" s="628">
        <f t="array" ref="W42">IFERROR(100-100/(1+SUMPRODUCT((終値!F105:R105&gt;終値!G105:S105)*(終値!F105:R105-終値!G105:S105))/SUMPRODUCT((終値!F105:R105&lt;終値!G105:S105)*(終値!G105:S105-終値!F105:R105))),50)</f>
        <v/>
      </c>
      <c r="X42" s="357">
        <f>IF(C42&lt;&gt;"",IFERROR(SUMPRODUCT(終値!E105:P105,{0.154,0.132,0.113,0.097,0.083,0.071,0.061,0.052,0.045,0.038,0.033,0.028})/SUMPRODUCT({0.154,0.132,0.113,0.097,0.083,0.071,0.061,0.052,0.045,0.038,0.033,0.028})-SUMPRODUCT(終値!E105:AD105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2" s="225">
        <f>IF(AF42="","",AF42&amp;" | "&amp;AD42&amp;IF(AE42&lt;&gt;"なし"," "&amp;AE42,"")&amp;IF(X42&lt;0," MACD-"," MACD+")&amp;" RSI:"&amp;TEXT(W42,"0.0")&amp;IF(W42&gt;=70," [過熱]",IF(W42&lt;=30," [売られ過ぎ]",""))&amp;" 前日比:"&amp;TEXT(Z42,"+0.0;-0.0;0.0")&amp;"%"&amp;IF(V42="年初来安値圏●"," [年初来安値圏]",IF(V42="安値圏"," [安値圏]",""))&amp;IF(OR(AO42="通常",AO42="-"),""," ["&amp;AO42&amp;"]")&amp;IF(OR(AT42="通常",AT42="-"),"","前日["&amp;AT42&amp;"]")&amp;" ["&amp;T42&amp;"点]")</f>
        <v/>
      </c>
      <c r="Z42" s="629">
        <f>IF(AND(E42&lt;&gt;"",G42&lt;&gt;"",G42&lt;&gt;0),(E42-G42)/G42*100,"")</f>
        <v/>
      </c>
      <c r="AA42" s="225">
        <f>IF(OR(C42="",E42="",E42=0),"",IF(E42&gt;G42,"上昇▲",IF(E42&lt;G42,"下落▼","横ばい→")))</f>
        <v/>
      </c>
      <c r="AB42" s="353">
        <f>IF(OR(C42="",C42="TOPX",終値!E105=""),"",IFERROR(((終値!E105*0.333)+(終値!F105*0.222)+(終値!G105*0.148)+(終値!H105*0.099)+(終値!I105*0.066))/(0.333+0.222+0.148+0.099+0.066),""))</f>
        <v/>
      </c>
      <c r="AC42" s="353">
        <f>IF(OR(C42="",C42="TOPX",終値!E105=""),"",IFERROR(SUMPRODUCT((終値!E105:AC105)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2" s="225">
        <f>IF(OR(C42="",AB42="",AC42="",AB42=0,AC42=0),"",IF(AND(E42&gt;AB42,AB42&gt;AC42),"パーフェクト▲",IF(E42&gt;AC42,"上昇トレンド▲",IF(AND(E42&lt;AB42,AB42&lt;AC42),"下降トレンド▼","もみ合い→"))))</f>
        <v/>
      </c>
      <c r="AE42" s="225">
        <f>IF(OR(C42="",AB42="",AC42=""),"",IF(AND(ABS(E42-AC42)/AC42&lt;=0.02,E42&lt;AC42),"25日戻り売り★",IF(AND(ABS(E42-AB42)/AB42&lt;=0.01,E42&lt;AB42),"5日戻り売り○","なし")))</f>
        <v/>
      </c>
      <c r="AF42">
        <f>IF(T42="","",IF(銘柄管理!$F$5="上昇▲",IF(AND(AD42="下降トレンド▼",OR(AE42="25日戻り売り★",AE42="5日戻り売り○")),"★逆張り売り",IF(AND(AD42="もみ合い→",OR(AE42="25日戻り売り★",AE42="5日戻り売り○")),"○逆張り売り",IF(W42&gt;=70,IF(Z42&lt;0,"◎反落確認","△過熱・様子見"),"相場上昇・見送り"))),IF(AND(T42&gt;=12,AD42="下降トレンド▼"),"★強い売り",IF(T42&gt;=12,"★強い売り",IF(AND(T42&gt;=8,OR(AE42="25日戻り売り★",AE42="5日戻り売り○")),"◎戻り売り",IF(T42&gt;=10,"○売り候補",IF(T42&gt;=6,"△注目",IF(T42&gt;=3,"様子見","見送り"))))))))</f>
        <v/>
      </c>
      <c r="AG42">
        <f>IF(AND(T42&gt;=7,C42&lt;&gt;""),T42,0)</f>
        <v/>
      </c>
      <c r="AH42">
        <f>IF(AG42&gt;0,AG42*10000-ROW(A42),0)</f>
        <v/>
      </c>
      <c r="AI42" s="623">
        <f t="array" ref="AI42">IF(C42="","",IFERROR((INDEX(終値!$E:$E,MATCH(TEXT(C42,"0"),終値!$A:$A,0))-INDEX(終値!$E:$BL,MATCH(TEXT(C42,"0"),終値!$A:$A,0),$AN$2))/INDEX(終値!$E:$BL,MATCH(TEXT(C42,"0"),終値!$A:$A,0),$AN$2)*100,""))</f>
        <v/>
      </c>
      <c r="AJ42" s="623">
        <f t="array" ref="AJ42">IFERROR((終値!$E$5-INDEX(終値!$E$5:$BL$5,1,$AN$2))/INDEX(終値!$E$5:$BL$5,1,$AN$2)*100,"")</f>
        <v/>
      </c>
      <c r="AK42" s="624">
        <f>IF(OR(AI42="",AJ42=""),"",AI42-AJ42)</f>
        <v/>
      </c>
      <c r="AL42" s="394">
        <f>IF(AK42="","",IF(AK42&lt;-5,3,IF(AK42&lt;0,1,IF(AK42&lt;3,-1,-2))))</f>
        <v/>
      </c>
      <c r="AO42" s="398">
        <f>IF(OR($C42="",$E42="",$F42="",$H42="",$I42="",$H42-$I42&lt;=0),"-",IF(AND($H42-MAX($F42,$E42)&gt;=ABS($E42-$F42)*2,MIN($F42,$E42)-$I42&lt;=ABS($E42-$F42)*0.5,ABS($E42-$F42)&gt;0),"上ヒゲ陰線▼",IF(AND($E42&lt;$F42,ABS($E42-$F42)&gt;=($H42-$I42)*0.7),"大陰線▼",IF(AND(MIN($F42,$E42)-$I42&gt;=($H42-$I42)*0.5,$H42-MAX($F42,$E42)&lt;=($H42-$I42)*0.2),"長い下ヒゲ(反発警戒)","通常"))))</f>
        <v/>
      </c>
      <c r="AP42" s="625">
        <f>IF($AO42="上ヒゲ陰線▼",2,IF($AO42="大陰線▼",2,IF($AO42="長い下ヒゲ(反発警戒)",-2,0)))</f>
        <v/>
      </c>
      <c r="AQ42">
        <f>IF(C42&lt;&gt;"",始値!F105,"")</f>
        <v/>
      </c>
      <c r="AR42">
        <f>IF(C42&lt;&gt;"",高値!F105,"")</f>
        <v/>
      </c>
      <c r="AS42">
        <f>IF(C42&lt;&gt;"",安値!F105,"")</f>
        <v/>
      </c>
      <c r="AT42">
        <f>IF(OR(C42="",AQ42="",AR42="",AS42="",AR42-AS42&lt;=0),"-",IF(AND(AR42-MAX(G42,AQ42)&gt;=ABS(G42-AQ42)*2,MIN(G42,AQ42)-AS42&lt;=ABS(G42-AQ42)*0.5,ABS(G42-AQ42)&gt;0),"上ヒゲ陰線▼",IF(AND(G42&lt;AQ42,ABS(G42-AQ42)&gt;=(AR42-AS42)*0.7),"大陰線▼",IF(AND(MIN(G42,AQ42)-AS42&gt;=(AR42-AS42)*0.5,AR42-MAX(G42,AQ42)&lt;=(AR42-AS42)*0.2),"長い下ヒゲ(反発)","通常"))))</f>
        <v/>
      </c>
      <c r="AU42">
        <f>IF(AT42="上ヒゲ陰線▼",2,IF(AT42="大陰線▼",2,IF(AT42="長い下ヒゲ(反発)",-2,0)))</f>
        <v/>
      </c>
    </row>
    <row r="43" ht="14.25" customHeight="1" s="574">
      <c r="A43" s="344">
        <f>IF(銘柄管理!B159&lt;&gt;"",HYPERLINK("https://kabutan.jp/stock/?code="&amp;銘柄管理!B159,"株探"),"")</f>
        <v/>
      </c>
      <c r="B43" s="345" t="n"/>
      <c r="C43" s="345">
        <f>IF(銘柄管理!B159="","",銘柄管理!B159)</f>
        <v/>
      </c>
      <c r="D43" s="345">
        <f>IF(銘柄管理!C159="","",銘柄管理!C159)</f>
        <v/>
      </c>
      <c r="E43" s="346">
        <f>IF(C43&lt;&gt;"",_xll.RssMarket(C43,"現在値"),"")</f>
        <v/>
      </c>
      <c r="F43" s="346">
        <f>IF(C43&lt;&gt;"",_xll.RssMarket(C43,"始値"),"")</f>
        <v/>
      </c>
      <c r="G43" s="345">
        <f>IF(C43&lt;&gt;"",終値!F159,"")</f>
        <v/>
      </c>
      <c r="H43" s="346">
        <f>IF(C43&lt;&gt;"",_xll.RssMarket(C43,"高値"),"")</f>
        <v/>
      </c>
      <c r="I43" s="346">
        <f>IF(C43&lt;&gt;"",_xll.RssMarket(C43,"安値"),"")</f>
        <v/>
      </c>
      <c r="J43" s="346">
        <f>IF(C43&lt;&gt;"",_xll.RssMarket(C43,"出来高"),"")</f>
        <v/>
      </c>
      <c r="K43" s="346">
        <f>IF(C43&lt;&gt;"",_xll.RssMarket(C43,"年初来高値"),"")</f>
        <v/>
      </c>
      <c r="L43" s="619">
        <f>IF(AND(E43&lt;&gt;"",K43&lt;&gt;"",K43&lt;&gt;0),(E43-K43)/K43*100,"")</f>
        <v/>
      </c>
      <c r="M43" s="346">
        <f>IF(C43&lt;&gt;"",IFERROR(AVERAGE(出来高!E159:I159),""),"")</f>
        <v/>
      </c>
      <c r="N43" s="346">
        <f>IF(C43&lt;&gt;"",IFERROR(AVERAGE(出来高!E159:AC159),""),"")</f>
        <v/>
      </c>
      <c r="O43" s="620">
        <f>IF(AND(J43&lt;&gt;"",M43&lt;&gt;"",M43&lt;&gt;0),J43/M43,"")</f>
        <v/>
      </c>
      <c r="P43" s="345">
        <f>IF(O43="","",IF(O43&gt;=2,"急増↑↑",IF(O43&gt;=1.5,"増加↑",IF(O43&gt;=1,"普通→","減少↓"))))</f>
        <v/>
      </c>
      <c r="Q43" s="345">
        <f>IF(E43="","",IF(AND(E43&lt;G43,O43&gt;=1.5),"売り▼",IF(E43&gt;G43,"様子見▲","中立→")))</f>
        <v/>
      </c>
      <c r="R43" s="346">
        <f>IF(E43&lt;&gt;"",ROUND(E43*0.92,0),"")</f>
        <v/>
      </c>
      <c r="S43" s="346">
        <f>IF(E43&lt;&gt;"",ROUND(E43*1.04,0),"")</f>
        <v/>
      </c>
      <c r="T43" s="345">
        <f>IF(C43="","",IFERROR(IF(W43&gt;=70,3,IF(W43&gt;=60,2,IF(W43&gt;=50,1,0)))+IF(X43&lt;0,2,0)+IF(AD43="下降トレンド▼",3,IF(AD43="もみ合い→",1,0))+IF(V43="年初来安値圏●",3,IF(V43="安値圏",2,0))+IF(Q43="売り▼",2,0)+IF(P43="急増↑↑",2,IF(P43="増加↑",1,0))+IF(Z43&lt;0,1,0)+IF(L43&lt;=-30,2,IF(L43&lt;=-15,1,0))+IF(AE43="25日戻り売り★",2,IF(AE43="5日戻り売り○",1,0))+N(AL43)+N(AP43)+N(AU43),0))</f>
        <v/>
      </c>
      <c r="U43" s="345">
        <f>IF(T43="","",IF(AND(T43&gt;=3,O43&gt;=1.5),"有効",IF(T43&gt;=3,"要確認","除外")))</f>
        <v/>
      </c>
      <c r="V43" s="345">
        <f>IF(AND(I43&lt;&gt;"",K43&lt;&gt;""),IF(I43&lt;=K43*0.6,"年初来安値圏●",IF(I43&lt;=K43*0.75,"安値圏","通常")),"")</f>
        <v/>
      </c>
      <c r="W43" s="621">
        <f t="array" ref="W43">IFERROR(100-100/(1+SUMPRODUCT((終値!F159:R159&gt;終値!G159:S159)*(終値!F159:R159-終値!G159:S159))/SUMPRODUCT((終値!F159:R159&lt;終値!G159:S159)*(終値!G159:S159-終値!F159:R159))),50)</f>
        <v/>
      </c>
      <c r="X43" s="350">
        <f>IF(C43&lt;&gt;"",IFERROR(SUMPRODUCT(終値!E159:P159,{0.154,0.132,0.113,0.097,0.083,0.071,0.061,0.052,0.045,0.038,0.033,0.028})/SUMPRODUCT({0.154,0.132,0.113,0.097,0.083,0.071,0.061,0.052,0.045,0.038,0.033,0.028})-SUMPRODUCT(終値!E159:AD159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3" s="345">
        <f>IF(AF43="","",AF43&amp;" | "&amp;AD43&amp;IF(AE43&lt;&gt;"なし"," "&amp;AE43,"")&amp;IF(X43&lt;0," MACD-"," MACD+")&amp;" RSI:"&amp;TEXT(W43,"0.0")&amp;IF(W43&gt;=70," [過熱]",IF(W43&lt;=30," [売られ過ぎ]",""))&amp;" 前日比:"&amp;TEXT(Z43,"+0.0;-0.0;0.0")&amp;"%"&amp;IF(V43="年初来安値圏●"," [年初来安値圏]",IF(V43="安値圏"," [安値圏]",""))&amp;IF(OR(AO43="通常",AO43="-"),""," ["&amp;AO43&amp;"]")&amp;IF(OR(AT43="通常",AT43="-"),"","前日["&amp;AT43&amp;"]")&amp;" ["&amp;T43&amp;"点]")</f>
        <v/>
      </c>
      <c r="Z43" s="622">
        <f>IF(AND(E43&lt;&gt;"",G43&lt;&gt;"",G43&lt;&gt;0),(E43-G43)/G43*100,"")</f>
        <v/>
      </c>
      <c r="AA43" s="345">
        <f>IF(OR(C43="",E43="",E43=0),"",IF(E43&gt;G43,"上昇▲",IF(E43&lt;G43,"下落▼","横ばい→")))</f>
        <v/>
      </c>
      <c r="AB43" s="346">
        <f>IF(OR(C43="",C43="TOPX",終値!E159=""),"",IFERROR(((終値!E159*0.333)+(終値!F159*0.222)+(終値!G159*0.148)+(終値!H159*0.099)+(終値!I159*0.066))/(0.333+0.222+0.148+0.099+0.066),""))</f>
        <v/>
      </c>
      <c r="AC43" s="346">
        <f>IF(OR(C43="",C43="TOPX",終値!E159=""),"",IFERROR(SUMPRODUCT((終値!E159:AC159)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3" s="345">
        <f>IF(OR(C43="",AB43="",AC43="",AB43=0,AC43=0),"",IF(AND(E43&gt;AB43,AB43&gt;AC43),"パーフェクト▲",IF(E43&gt;AC43,"上昇トレンド▲",IF(AND(E43&lt;AB43,AB43&lt;AC43),"下降トレンド▼","もみ合い→"))))</f>
        <v/>
      </c>
      <c r="AE43" s="345">
        <f>IF(OR(C43="",AB43="",AC43=""),"",IF(AND(ABS(E43-AC43)/AC43&lt;=0.02,E43&lt;AC43),"25日戻り売り★",IF(AND(ABS(E43-AB43)/AB43&lt;=0.01,E43&lt;AB43),"5日戻り売り○","なし")))</f>
        <v/>
      </c>
      <c r="AF43">
        <f>IF(T43="","",IF(銘柄管理!$F$5="上昇▲",IF(AND(AD43="下降トレンド▼",OR(AE43="25日戻り売り★",AE43="5日戻り売り○")),"★逆張り売り",IF(AND(AD43="もみ合い→",OR(AE43="25日戻り売り★",AE43="5日戻り売り○")),"○逆張り売り",IF(W43&gt;=70,IF(Z43&lt;0,"◎反落確認","△過熱・様子見"),"相場上昇・見送り"))),IF(AND(T43&gt;=12,AD43="下降トレンド▼"),"★強い売り",IF(T43&gt;=12,"★強い売り",IF(AND(T43&gt;=8,OR(AE43="25日戻り売り★",AE43="5日戻り売り○")),"◎戻り売り",IF(T43&gt;=10,"○売り候補",IF(T43&gt;=6,"△注目",IF(T43&gt;=3,"様子見","見送り"))))))))</f>
        <v/>
      </c>
      <c r="AG43">
        <f>IF(AND(T43&gt;=7,C43&lt;&gt;""),T43,0)</f>
        <v/>
      </c>
      <c r="AH43">
        <f>IF(AG43&gt;0,AG43*10000-ROW(A43),0)</f>
        <v/>
      </c>
      <c r="AI43" s="623">
        <f t="array" ref="AI43">IF(C43="","",IFERROR((INDEX(終値!$E:$E,MATCH(TEXT(C43,"0"),終値!$A:$A,0))-INDEX(終値!$E:$BL,MATCH(TEXT(C43,"0"),終値!$A:$A,0),$AN$2))/INDEX(終値!$E:$BL,MATCH(TEXT(C43,"0"),終値!$A:$A,0),$AN$2)*100,""))</f>
        <v/>
      </c>
      <c r="AJ43" s="623">
        <f t="array" ref="AJ43">IFERROR((終値!$E$5-INDEX(終値!$E$5:$BL$5,1,$AN$2))/INDEX(終値!$E$5:$BL$5,1,$AN$2)*100,"")</f>
        <v/>
      </c>
      <c r="AK43" s="624">
        <f>IF(OR(AI43="",AJ43=""),"",AI43-AJ43)</f>
        <v/>
      </c>
      <c r="AL43" s="394">
        <f>IF(AK43="","",IF(AK43&lt;-5,3,IF(AK43&lt;0,1,IF(AK43&lt;3,-1,-2))))</f>
        <v/>
      </c>
      <c r="AO43" s="398">
        <f>IF(OR($C43="",$E43="",$F43="",$H43="",$I43="",$H43-$I43&lt;=0),"-",IF(AND($H43-MAX($F43,$E43)&gt;=ABS($E43-$F43)*2,MIN($F43,$E43)-$I43&lt;=ABS($E43-$F43)*0.5,ABS($E43-$F43)&gt;0),"上ヒゲ陰線▼",IF(AND($E43&lt;$F43,ABS($E43-$F43)&gt;=($H43-$I43)*0.7),"大陰線▼",IF(AND(MIN($F43,$E43)-$I43&gt;=($H43-$I43)*0.5,$H43-MAX($F43,$E43)&lt;=($H43-$I43)*0.2),"長い下ヒゲ(反発警戒)","通常"))))</f>
        <v/>
      </c>
      <c r="AP43" s="625">
        <f>IF($AO43="上ヒゲ陰線▼",2,IF($AO43="大陰線▼",2,IF($AO43="長い下ヒゲ(反発警戒)",-2,0)))</f>
        <v/>
      </c>
      <c r="AQ43">
        <f>IF(C43&lt;&gt;"",始値!F159,"")</f>
        <v/>
      </c>
      <c r="AR43">
        <f>IF(C43&lt;&gt;"",高値!F159,"")</f>
        <v/>
      </c>
      <c r="AS43">
        <f>IF(C43&lt;&gt;"",安値!F159,"")</f>
        <v/>
      </c>
      <c r="AT43">
        <f>IF(OR(C43="",AQ43="",AR43="",AS43="",AR43-AS43&lt;=0),"-",IF(AND(AR43-MAX(G43,AQ43)&gt;=ABS(G43-AQ43)*2,MIN(G43,AQ43)-AS43&lt;=ABS(G43-AQ43)*0.5,ABS(G43-AQ43)&gt;0),"上ヒゲ陰線▼",IF(AND(G43&lt;AQ43,ABS(G43-AQ43)&gt;=(AR43-AS43)*0.7),"大陰線▼",IF(AND(MIN(G43,AQ43)-AS43&gt;=(AR43-AS43)*0.5,AR43-MAX(G43,AQ43)&lt;=(AR43-AS43)*0.2),"長い下ヒゲ(反発)","通常"))))</f>
        <v/>
      </c>
      <c r="AU43">
        <f>IF(AT43="上ヒゲ陰線▼",2,IF(AT43="大陰線▼",2,IF(AT43="長い下ヒゲ(反発)",-2,0)))</f>
        <v/>
      </c>
    </row>
    <row r="44" ht="14.25" customHeight="1" s="574">
      <c r="A44" s="352">
        <f>IF(銘柄管理!B162&lt;&gt;"",HYPERLINK("https://kabutan.jp/stock/?code="&amp;銘柄管理!B162,"株探"),"")</f>
        <v/>
      </c>
      <c r="B44" s="225" t="n"/>
      <c r="C44" s="225">
        <f>IF(銘柄管理!B162="","",銘柄管理!B162)</f>
        <v/>
      </c>
      <c r="D44" s="225">
        <f>IF(銘柄管理!C162="","",銘柄管理!C162)</f>
        <v/>
      </c>
      <c r="E44" s="353">
        <f>IF(C44&lt;&gt;"",_xll.RssMarket(C44,"現在値"),"")</f>
        <v/>
      </c>
      <c r="F44" s="353">
        <f>IF(C44&lt;&gt;"",_xll.RssMarket(C44,"始値"),"")</f>
        <v/>
      </c>
      <c r="G44" s="225">
        <f>IF(C44&lt;&gt;"",終値!F162,"")</f>
        <v/>
      </c>
      <c r="H44" s="353">
        <f>IF(C44&lt;&gt;"",_xll.RssMarket(C44,"高値"),"")</f>
        <v/>
      </c>
      <c r="I44" s="353">
        <f>IF(C44&lt;&gt;"",_xll.RssMarket(C44,"安値"),"")</f>
        <v/>
      </c>
      <c r="J44" s="353">
        <f>IF(C44&lt;&gt;"",_xll.RssMarket(C44,"出来高"),"")</f>
        <v/>
      </c>
      <c r="K44" s="353">
        <f>IF(C44&lt;&gt;"",_xll.RssMarket(C44,"年初来高値"),"")</f>
        <v/>
      </c>
      <c r="L44" s="626">
        <f>IF(AND(E44&lt;&gt;"",K44&lt;&gt;"",K44&lt;&gt;0),(E44-K44)/K44*100,"")</f>
        <v/>
      </c>
      <c r="M44" s="353">
        <f>IF(C44&lt;&gt;"",IFERROR(AVERAGE(出来高!E162:I162),""),"")</f>
        <v/>
      </c>
      <c r="N44" s="353">
        <f>IF(C44&lt;&gt;"",IFERROR(AVERAGE(出来高!E162:AC162),""),"")</f>
        <v/>
      </c>
      <c r="O44" s="627">
        <f>IF(AND(J44&lt;&gt;"",M44&lt;&gt;"",M44&lt;&gt;0),J44/M44,"")</f>
        <v/>
      </c>
      <c r="P44" s="225">
        <f>IF(O44="","",IF(O44&gt;=2,"急増↑↑",IF(O44&gt;=1.5,"増加↑",IF(O44&gt;=1,"普通→","減少↓"))))</f>
        <v/>
      </c>
      <c r="Q44" s="225">
        <f>IF(E44="","",IF(AND(E44&lt;G44,O44&gt;=1.5),"売り▼",IF(E44&gt;G44,"様子見▲","中立→")))</f>
        <v/>
      </c>
      <c r="R44" s="353">
        <f>IF(E44&lt;&gt;"",ROUND(E44*0.92,0),"")</f>
        <v/>
      </c>
      <c r="S44" s="353">
        <f>IF(E44&lt;&gt;"",ROUND(E44*1.04,0),"")</f>
        <v/>
      </c>
      <c r="T44" s="345">
        <f>IF(C44="","",IFERROR(IF(W44&gt;=70,3,IF(W44&gt;=60,2,IF(W44&gt;=50,1,0)))+IF(X44&lt;0,2,0)+IF(AD44="下降トレンド▼",3,IF(AD44="もみ合い→",1,0))+IF(V44="年初来安値圏●",3,IF(V44="安値圏",2,0))+IF(Q44="売り▼",2,0)+IF(P44="急増↑↑",2,IF(P44="増加↑",1,0))+IF(Z44&lt;0,1,0)+IF(L44&lt;=-30,2,IF(L44&lt;=-15,1,0))+IF(AE44="25日戻り売り★",2,IF(AE44="5日戻り売り○",1,0))+N(AL44)+N(AP44)+N(AU44),0))</f>
        <v/>
      </c>
      <c r="U44" s="225">
        <f>IF(T44="","",IF(AND(T44&gt;=3,O44&gt;=1.5),"有効",IF(T44&gt;=3,"要確認","除外")))</f>
        <v/>
      </c>
      <c r="V44" s="225">
        <f>IF(AND(I44&lt;&gt;"",K44&lt;&gt;""),IF(I44&lt;=K44*0.6,"年初来安値圏●",IF(I44&lt;=K44*0.75,"安値圏","通常")),"")</f>
        <v/>
      </c>
      <c r="W44" s="628">
        <f t="array" ref="W44">IFERROR(100-100/(1+SUMPRODUCT((終値!F162:R162&gt;終値!G162:S162)*(終値!F162:R162-終値!G162:S162))/SUMPRODUCT((終値!F162:R162&lt;終値!G162:S162)*(終値!G162:S162-終値!F162:R162))),50)</f>
        <v/>
      </c>
      <c r="X44" s="357">
        <f>IF(C44&lt;&gt;"",IFERROR(SUMPRODUCT(終値!E162:P162,{0.154,0.132,0.113,0.097,0.083,0.071,0.061,0.052,0.045,0.038,0.033,0.028})/SUMPRODUCT({0.154,0.132,0.113,0.097,0.083,0.071,0.061,0.052,0.045,0.038,0.033,0.028})-SUMPRODUCT(終値!E162:AD162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4" s="225">
        <f>IF(AF44="","",AF44&amp;" | "&amp;AD44&amp;IF(AE44&lt;&gt;"なし"," "&amp;AE44,"")&amp;IF(X44&lt;0," MACD-"," MACD+")&amp;" RSI:"&amp;TEXT(W44,"0.0")&amp;IF(W44&gt;=70," [過熱]",IF(W44&lt;=30," [売られ過ぎ]",""))&amp;" 前日比:"&amp;TEXT(Z44,"+0.0;-0.0;0.0")&amp;"%"&amp;IF(V44="年初来安値圏●"," [年初来安値圏]",IF(V44="安値圏"," [安値圏]",""))&amp;IF(OR(AO44="通常",AO44="-"),""," ["&amp;AO44&amp;"]")&amp;IF(OR(AT44="通常",AT44="-"),"","前日["&amp;AT44&amp;"]")&amp;" ["&amp;T44&amp;"点]")</f>
        <v/>
      </c>
      <c r="Z44" s="629">
        <f>IF(AND(E44&lt;&gt;"",G44&lt;&gt;"",G44&lt;&gt;0),(E44-G44)/G44*100,"")</f>
        <v/>
      </c>
      <c r="AA44" s="225">
        <f>IF(OR(C44="",E44="",E44=0),"",IF(E44&gt;G44,"上昇▲",IF(E44&lt;G44,"下落▼","横ばい→")))</f>
        <v/>
      </c>
      <c r="AB44" s="353">
        <f>IF(OR(C44="",C44="TOPX",終値!E162=""),"",IFERROR(((終値!E162*0.333)+(終値!F162*0.222)+(終値!G162*0.148)+(終値!H162*0.099)+(終値!I162*0.066))/(0.333+0.222+0.148+0.099+0.066),""))</f>
        <v/>
      </c>
      <c r="AC44" s="353">
        <f>IF(OR(C44="",C44="TOPX",終値!E162=""),"",IFERROR(SUMPRODUCT((終値!E162:AC162)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4" s="225">
        <f>IF(OR(C44="",AB44="",AC44="",AB44=0,AC44=0),"",IF(AND(E44&gt;AB44,AB44&gt;AC44),"パーフェクト▲",IF(E44&gt;AC44,"上昇トレンド▲",IF(AND(E44&lt;AB44,AB44&lt;AC44),"下降トレンド▼","もみ合い→"))))</f>
        <v/>
      </c>
      <c r="AE44" s="225">
        <f>IF(OR(C44="",AB44="",AC44=""),"",IF(AND(ABS(E44-AC44)/AC44&lt;=0.02,E44&lt;AC44),"25日戻り売り★",IF(AND(ABS(E44-AB44)/AB44&lt;=0.01,E44&lt;AB44),"5日戻り売り○","なし")))</f>
        <v/>
      </c>
      <c r="AF44">
        <f>IF(T44="","",IF(銘柄管理!$F$5="上昇▲",IF(AND(AD44="下降トレンド▼",OR(AE44="25日戻り売り★",AE44="5日戻り売り○")),"★逆張り売り",IF(AND(AD44="もみ合い→",OR(AE44="25日戻り売り★",AE44="5日戻り売り○")),"○逆張り売り",IF(W44&gt;=70,IF(Z44&lt;0,"◎反落確認","△過熱・様子見"),"相場上昇・見送り"))),IF(AND(T44&gt;=12,AD44="下降トレンド▼"),"★強い売り",IF(T44&gt;=12,"★強い売り",IF(AND(T44&gt;=8,OR(AE44="25日戻り売り★",AE44="5日戻り売り○")),"◎戻り売り",IF(T44&gt;=10,"○売り候補",IF(T44&gt;=6,"△注目",IF(T44&gt;=3,"様子見","見送り"))))))))</f>
        <v/>
      </c>
      <c r="AG44">
        <f>IF(AND(T44&gt;=7,C44&lt;&gt;""),T44,0)</f>
        <v/>
      </c>
      <c r="AH44">
        <f>IF(AG44&gt;0,AG44*10000-ROW(A44),0)</f>
        <v/>
      </c>
      <c r="AI44" s="623">
        <f t="array" ref="AI44">IF(C44="","",IFERROR((INDEX(終値!$E:$E,MATCH(TEXT(C44,"0"),終値!$A:$A,0))-INDEX(終値!$E:$BL,MATCH(TEXT(C44,"0"),終値!$A:$A,0),$AN$2))/INDEX(終値!$E:$BL,MATCH(TEXT(C44,"0"),終値!$A:$A,0),$AN$2)*100,""))</f>
        <v/>
      </c>
      <c r="AJ44" s="623">
        <f t="array" ref="AJ44">IFERROR((終値!$E$5-INDEX(終値!$E$5:$BL$5,1,$AN$2))/INDEX(終値!$E$5:$BL$5,1,$AN$2)*100,"")</f>
        <v/>
      </c>
      <c r="AK44" s="624">
        <f>IF(OR(AI44="",AJ44=""),"",AI44-AJ44)</f>
        <v/>
      </c>
      <c r="AL44" s="394">
        <f>IF(AK44="","",IF(AK44&lt;-5,3,IF(AK44&lt;0,1,IF(AK44&lt;3,-1,-2))))</f>
        <v/>
      </c>
      <c r="AO44" s="398">
        <f>IF(OR($C44="",$E44="",$F44="",$H44="",$I44="",$H44-$I44&lt;=0),"-",IF(AND($H44-MAX($F44,$E44)&gt;=ABS($E44-$F44)*2,MIN($F44,$E44)-$I44&lt;=ABS($E44-$F44)*0.5,ABS($E44-$F44)&gt;0),"上ヒゲ陰線▼",IF(AND($E44&lt;$F44,ABS($E44-$F44)&gt;=($H44-$I44)*0.7),"大陰線▼",IF(AND(MIN($F44,$E44)-$I44&gt;=($H44-$I44)*0.5,$H44-MAX($F44,$E44)&lt;=($H44-$I44)*0.2),"長い下ヒゲ(反発警戒)","通常"))))</f>
        <v/>
      </c>
      <c r="AP44" s="625">
        <f>IF($AO44="上ヒゲ陰線▼",2,IF($AO44="大陰線▼",2,IF($AO44="長い下ヒゲ(反発警戒)",-2,0)))</f>
        <v/>
      </c>
      <c r="AQ44">
        <f>IF(C44&lt;&gt;"",始値!F162,"")</f>
        <v/>
      </c>
      <c r="AR44">
        <f>IF(C44&lt;&gt;"",高値!F162,"")</f>
        <v/>
      </c>
      <c r="AS44">
        <f>IF(C44&lt;&gt;"",安値!F162,"")</f>
        <v/>
      </c>
      <c r="AT44">
        <f>IF(OR(C44="",AQ44="",AR44="",AS44="",AR44-AS44&lt;=0),"-",IF(AND(AR44-MAX(G44,AQ44)&gt;=ABS(G44-AQ44)*2,MIN(G44,AQ44)-AS44&lt;=ABS(G44-AQ44)*0.5,ABS(G44-AQ44)&gt;0),"上ヒゲ陰線▼",IF(AND(G44&lt;AQ44,ABS(G44-AQ44)&gt;=(AR44-AS44)*0.7),"大陰線▼",IF(AND(MIN(G44,AQ44)-AS44&gt;=(AR44-AS44)*0.5,AR44-MAX(G44,AQ44)&lt;=(AR44-AS44)*0.2),"長い下ヒゲ(反発)","通常"))))</f>
        <v/>
      </c>
      <c r="AU44">
        <f>IF(AT44="上ヒゲ陰線▼",2,IF(AT44="大陰線▼",2,IF(AT44="長い下ヒゲ(反発)",-2,0)))</f>
        <v/>
      </c>
    </row>
    <row r="45" ht="14.25" customHeight="1" s="574">
      <c r="A45" s="344">
        <f>IF(銘柄管理!B200&lt;&gt;"",HYPERLINK("https://kabutan.jp/stock/?code="&amp;銘柄管理!B200,"株探"),"")</f>
        <v/>
      </c>
      <c r="B45" s="345" t="n"/>
      <c r="C45" s="345">
        <f>IF(銘柄管理!B200="","",銘柄管理!B200)</f>
        <v/>
      </c>
      <c r="D45" s="345">
        <f>IF(銘柄管理!C200="","",銘柄管理!C200)</f>
        <v/>
      </c>
      <c r="E45" s="346">
        <f>IF(C45&lt;&gt;"",_xll.RssMarket(C45,"現在値"),"")</f>
        <v/>
      </c>
      <c r="F45" s="346">
        <f>IF(C45&lt;&gt;"",_xll.RssMarket(C45,"始値"),"")</f>
        <v/>
      </c>
      <c r="G45" s="345">
        <f>IF(C45&lt;&gt;"",終値!F200,"")</f>
        <v/>
      </c>
      <c r="H45" s="346">
        <f>IF(C45&lt;&gt;"",_xll.RssMarket(C45,"高値"),"")</f>
        <v/>
      </c>
      <c r="I45" s="346">
        <f>IF(C45&lt;&gt;"",_xll.RssMarket(C45,"安値"),"")</f>
        <v/>
      </c>
      <c r="J45" s="346">
        <f>IF(C45&lt;&gt;"",_xll.RssMarket(C45,"出来高"),"")</f>
        <v/>
      </c>
      <c r="K45" s="346">
        <f>IF(C45&lt;&gt;"",_xll.RssMarket(C45,"年初来高値"),"")</f>
        <v/>
      </c>
      <c r="L45" s="619">
        <f>IF(AND(E45&lt;&gt;"",K45&lt;&gt;"",K45&lt;&gt;0),(E45-K45)/K45*100,"")</f>
        <v/>
      </c>
      <c r="M45" s="346">
        <f>IF(C45&lt;&gt;"",IFERROR(AVERAGE(出来高!E200:I200),""),"")</f>
        <v/>
      </c>
      <c r="N45" s="346">
        <f>IF(C45&lt;&gt;"",IFERROR(AVERAGE(出来高!E200:AC200),""),"")</f>
        <v/>
      </c>
      <c r="O45" s="620">
        <f>IF(AND(J45&lt;&gt;"",M45&lt;&gt;"",M45&lt;&gt;0),J45/M45,"")</f>
        <v/>
      </c>
      <c r="P45" s="345">
        <f>IF(O45="","",IF(O45&gt;=2,"急増↑↑",IF(O45&gt;=1.5,"増加↑",IF(O45&gt;=1,"普通→","減少↓"))))</f>
        <v/>
      </c>
      <c r="Q45" s="345">
        <f>IF(E45="","",IF(AND(E45&lt;G45,O45&gt;=1.5),"売り▼",IF(E45&gt;G45,"様子見▲","中立→")))</f>
        <v/>
      </c>
      <c r="R45" s="346">
        <f>IF(E45&lt;&gt;"",ROUND(E45*0.92,0),"")</f>
        <v/>
      </c>
      <c r="S45" s="346">
        <f>IF(E45&lt;&gt;"",ROUND(E45*1.04,0),"")</f>
        <v/>
      </c>
      <c r="T45" s="345">
        <f>IF(C45="","",IFERROR(IF(W45&gt;=70,3,IF(W45&gt;=60,2,IF(W45&gt;=50,1,0)))+IF(X45&lt;0,2,0)+IF(AD45="下降トレンド▼",3,IF(AD45="もみ合い→",1,0))+IF(V45="年初来安値圏●",3,IF(V45="安値圏",2,0))+IF(Q45="売り▼",2,0)+IF(P45="急増↑↑",2,IF(P45="増加↑",1,0))+IF(Z45&lt;0,1,0)+IF(L45&lt;=-30,2,IF(L45&lt;=-15,1,0))+IF(AE45="25日戻り売り★",2,IF(AE45="5日戻り売り○",1,0))+N(AL45)+N(AP45)+N(AU45),0))</f>
        <v/>
      </c>
      <c r="U45" s="345">
        <f>IF(T45="","",IF(AND(T45&gt;=3,O45&gt;=1.5),"有効",IF(T45&gt;=3,"要確認","除外")))</f>
        <v/>
      </c>
      <c r="V45" s="345">
        <f>IF(AND(I45&lt;&gt;"",K45&lt;&gt;""),IF(I45&lt;=K45*0.6,"年初来安値圏●",IF(I45&lt;=K45*0.75,"安値圏","通常")),"")</f>
        <v/>
      </c>
      <c r="W45" s="621">
        <f t="array" ref="W45">IFERROR(100-100/(1+SUMPRODUCT((終値!F200:R200&gt;終値!G200:S200)*(終値!F200:R200-終値!G200:S200))/SUMPRODUCT((終値!F200:R200&lt;終値!G200:S200)*(終値!G200:S200-終値!F200:R200))),50)</f>
        <v/>
      </c>
      <c r="X45" s="350">
        <f>IF(C45&lt;&gt;"",IFERROR(SUMPRODUCT(終値!E200:P200,{0.154,0.132,0.113,0.097,0.083,0.071,0.061,0.052,0.045,0.038,0.033,0.028})/SUMPRODUCT({0.154,0.132,0.113,0.097,0.083,0.071,0.061,0.052,0.045,0.038,0.033,0.028})-SUMPRODUCT(終値!E200:AD200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5" s="345">
        <f>IF(AF45="","",AF45&amp;" | "&amp;AD45&amp;IF(AE45&lt;&gt;"なし"," "&amp;AE45,"")&amp;IF(X45&lt;0," MACD-"," MACD+")&amp;" RSI:"&amp;TEXT(W45,"0.0")&amp;IF(W45&gt;=70," [過熱]",IF(W45&lt;=30," [売られ過ぎ]",""))&amp;" 前日比:"&amp;TEXT(Z45,"+0.0;-0.0;0.0")&amp;"%"&amp;IF(V45="年初来安値圏●"," [年初来安値圏]",IF(V45="安値圏"," [安値圏]",""))&amp;IF(OR(AO45="通常",AO45="-"),""," ["&amp;AO45&amp;"]")&amp;IF(OR(AT45="通常",AT45="-"),"","前日["&amp;AT45&amp;"]")&amp;" ["&amp;T45&amp;"点]")</f>
        <v/>
      </c>
      <c r="Z45" s="622">
        <f>IF(AND(E45&lt;&gt;"",G45&lt;&gt;"",G45&lt;&gt;0),(E45-G45)/G45*100,"")</f>
        <v/>
      </c>
      <c r="AA45" s="345">
        <f>IF(OR(C45="",E45="",E45=0),"",IF(E45&gt;G45,"上昇▲",IF(E45&lt;G45,"下落▼","横ばい→")))</f>
        <v/>
      </c>
      <c r="AB45" s="346">
        <f>IF(OR(C45="",C45="TOPX",終値!E200=""),"",IFERROR(((終値!E200*0.333)+(終値!F200*0.222)+(終値!G200*0.148)+(終値!H200*0.099)+(終値!I200*0.066))/(0.333+0.222+0.148+0.099+0.066),""))</f>
        <v/>
      </c>
      <c r="AC45" s="346">
        <f>IF(OR(C45="",C45="TOPX",終値!E200=""),"",IFERROR(SUMPRODUCT((終値!E200:AC200)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5" s="345">
        <f>IF(OR(C45="",AB45="",AC45="",AB45=0,AC45=0),"",IF(AND(E45&gt;AB45,AB45&gt;AC45),"パーフェクト▲",IF(E45&gt;AC45,"上昇トレンド▲",IF(AND(E45&lt;AB45,AB45&lt;AC45),"下降トレンド▼","もみ合い→"))))</f>
        <v/>
      </c>
      <c r="AE45" s="345">
        <f>IF(OR(C45="",AB45="",AC45=""),"",IF(AND(ABS(E45-AC45)/AC45&lt;=0.02,E45&lt;AC45),"25日戻り売り★",IF(AND(ABS(E45-AB45)/AB45&lt;=0.01,E45&lt;AB45),"5日戻り売り○","なし")))</f>
        <v/>
      </c>
      <c r="AF45">
        <f>IF(T45="","",IF(銘柄管理!$F$5="上昇▲",IF(AND(AD45="下降トレンド▼",OR(AE45="25日戻り売り★",AE45="5日戻り売り○")),"★逆張り売り",IF(AND(AD45="もみ合い→",OR(AE45="25日戻り売り★",AE45="5日戻り売り○")),"○逆張り売り",IF(W45&gt;=70,IF(Z45&lt;0,"◎反落確認","△過熱・様子見"),"相場上昇・見送り"))),IF(AND(T45&gt;=12,AD45="下降トレンド▼"),"★強い売り",IF(T45&gt;=12,"★強い売り",IF(AND(T45&gt;=8,OR(AE45="25日戻り売り★",AE45="5日戻り売り○")),"◎戻り売り",IF(T45&gt;=10,"○売り候補",IF(T45&gt;=6,"△注目",IF(T45&gt;=3,"様子見","見送り"))))))))</f>
        <v/>
      </c>
      <c r="AG45">
        <f>IF(AND(T45&gt;=7,C45&lt;&gt;""),T45,0)</f>
        <v/>
      </c>
      <c r="AH45">
        <f>IF(AG45&gt;0,AG45*10000-ROW(A45),0)</f>
        <v/>
      </c>
      <c r="AI45" s="623">
        <f t="array" ref="AI45">IF(C45="","",IFERROR((INDEX(終値!$E:$E,MATCH(TEXT(C45,"0"),終値!$A:$A,0))-INDEX(終値!$E:$BL,MATCH(TEXT(C45,"0"),終値!$A:$A,0),$AN$2))/INDEX(終値!$E:$BL,MATCH(TEXT(C45,"0"),終値!$A:$A,0),$AN$2)*100,""))</f>
        <v/>
      </c>
      <c r="AJ45" s="623">
        <f t="array" ref="AJ45">IFERROR((終値!$E$5-INDEX(終値!$E$5:$BL$5,1,$AN$2))/INDEX(終値!$E$5:$BL$5,1,$AN$2)*100,"")</f>
        <v/>
      </c>
      <c r="AK45" s="624">
        <f>IF(OR(AI45="",AJ45=""),"",AI45-AJ45)</f>
        <v/>
      </c>
      <c r="AL45" s="394">
        <f>IF(AK45="","",IF(AK45&lt;-5,3,IF(AK45&lt;0,1,IF(AK45&lt;3,-1,-2))))</f>
        <v/>
      </c>
      <c r="AO45" s="398">
        <f>IF(OR($C45="",$E45="",$F45="",$H45="",$I45="",$H45-$I45&lt;=0),"-",IF(AND($H45-MAX($F45,$E45)&gt;=ABS($E45-$F45)*2,MIN($F45,$E45)-$I45&lt;=ABS($E45-$F45)*0.5,ABS($E45-$F45)&gt;0),"上ヒゲ陰線▼",IF(AND($E45&lt;$F45,ABS($E45-$F45)&gt;=($H45-$I45)*0.7),"大陰線▼",IF(AND(MIN($F45,$E45)-$I45&gt;=($H45-$I45)*0.5,$H45-MAX($F45,$E45)&lt;=($H45-$I45)*0.2),"長い下ヒゲ(反発警戒)","通常"))))</f>
        <v/>
      </c>
      <c r="AP45" s="625">
        <f>IF($AO45="上ヒゲ陰線▼",2,IF($AO45="大陰線▼",2,IF($AO45="長い下ヒゲ(反発警戒)",-2,0)))</f>
        <v/>
      </c>
      <c r="AQ45">
        <f>IF(C45&lt;&gt;"",始値!F200,"")</f>
        <v/>
      </c>
      <c r="AR45">
        <f>IF(C45&lt;&gt;"",高値!F200,"")</f>
        <v/>
      </c>
      <c r="AS45">
        <f>IF(C45&lt;&gt;"",安値!F200,"")</f>
        <v/>
      </c>
      <c r="AT45">
        <f>IF(OR(C45="",AQ45="",AR45="",AS45="",AR45-AS45&lt;=0),"-",IF(AND(AR45-MAX(G45,AQ45)&gt;=ABS(G45-AQ45)*2,MIN(G45,AQ45)-AS45&lt;=ABS(G45-AQ45)*0.5,ABS(G45-AQ45)&gt;0),"上ヒゲ陰線▼",IF(AND(G45&lt;AQ45,ABS(G45-AQ45)&gt;=(AR45-AS45)*0.7),"大陰線▼",IF(AND(MIN(G45,AQ45)-AS45&gt;=(AR45-AS45)*0.5,AR45-MAX(G45,AQ45)&lt;=(AR45-AS45)*0.2),"長い下ヒゲ(反発)","通常"))))</f>
        <v/>
      </c>
      <c r="AU45">
        <f>IF(AT45="上ヒゲ陰線▼",2,IF(AT45="大陰線▼",2,IF(AT45="長い下ヒゲ(反発)",-2,0)))</f>
        <v/>
      </c>
    </row>
    <row r="46" ht="14.25" customHeight="1" s="574">
      <c r="A46" s="352">
        <f>IF(銘柄管理!B8&lt;&gt;"",HYPERLINK("https://kabutan.jp/stock/?code="&amp;銘柄管理!B8,"株探"),"")</f>
        <v/>
      </c>
      <c r="B46" s="225" t="n"/>
      <c r="C46" s="225">
        <f>IF(銘柄管理!B8="","",銘柄管理!B8)</f>
        <v/>
      </c>
      <c r="D46" s="225">
        <f>IF(銘柄管理!C8="","",銘柄管理!C8)</f>
        <v/>
      </c>
      <c r="E46" s="353">
        <f>IF(C46&lt;&gt;"",_xll.RssMarket(C46,"現在値"),"")</f>
        <v/>
      </c>
      <c r="F46" s="353">
        <f>IF(C46&lt;&gt;"",_xll.RssMarket(C46,"始値"),"")</f>
        <v/>
      </c>
      <c r="G46" s="225">
        <f>IF(C46&lt;&gt;"",終値!F8,"")</f>
        <v/>
      </c>
      <c r="H46" s="353">
        <f>IF(C46&lt;&gt;"",_xll.RssMarket(C46,"高値"),"")</f>
        <v/>
      </c>
      <c r="I46" s="353">
        <f>IF(C46&lt;&gt;"",_xll.RssMarket(C46,"安値"),"")</f>
        <v/>
      </c>
      <c r="J46" s="353">
        <f>IF(C46&lt;&gt;"",_xll.RssMarket(C46,"出来高"),"")</f>
        <v/>
      </c>
      <c r="K46" s="353">
        <f>IF(C46&lt;&gt;"",_xll.RssMarket(C46,"年初来高値"),"")</f>
        <v/>
      </c>
      <c r="L46" s="626">
        <f>IF(AND(E46&lt;&gt;"",K46&lt;&gt;"",K46&lt;&gt;0),(E46-K46)/K46*100,"")</f>
        <v/>
      </c>
      <c r="M46" s="353">
        <f>IF(C46&lt;&gt;"",IFERROR(AVERAGE(出来高!E8:I8),""),"")</f>
        <v/>
      </c>
      <c r="N46" s="353">
        <f>IF(C46&lt;&gt;"",IFERROR(AVERAGE(出来高!E8:AC8),""),"")</f>
        <v/>
      </c>
      <c r="O46" s="627">
        <f>IF(AND(J46&lt;&gt;"",M46&lt;&gt;"",M46&lt;&gt;0),J46/M46,"")</f>
        <v/>
      </c>
      <c r="P46" s="225">
        <f>IF(O46="","",IF(O46&gt;=2,"急増↑↑",IF(O46&gt;=1.5,"増加↑",IF(O46&gt;=1,"普通→","減少↓"))))</f>
        <v/>
      </c>
      <c r="Q46" s="225">
        <f>IF(E46="","",IF(AND(E46&lt;G46,O46&gt;=1.5),"売り▼",IF(E46&gt;G46,"様子見▲","中立→")))</f>
        <v/>
      </c>
      <c r="R46" s="353">
        <f>IF(E46&lt;&gt;"",ROUND(E46*0.92,0),"")</f>
        <v/>
      </c>
      <c r="S46" s="353">
        <f>IF(E46&lt;&gt;"",ROUND(E46*1.04,0),"")</f>
        <v/>
      </c>
      <c r="T46" s="345">
        <f>IF(C46="","",IFERROR(IF(W46&gt;=70,3,IF(W46&gt;=60,2,IF(W46&gt;=50,1,0)))+IF(X46&lt;0,2,0)+IF(AD46="下降トレンド▼",3,IF(AD46="もみ合い→",1,0))+IF(V46="年初来安値圏●",3,IF(V46="安値圏",2,0))+IF(Q46="売り▼",2,0)+IF(P46="急増↑↑",2,IF(P46="増加↑",1,0))+IF(Z46&lt;0,1,0)+IF(L46&lt;=-30,2,IF(L46&lt;=-15,1,0))+IF(AE46="25日戻り売り★",2,IF(AE46="5日戻り売り○",1,0))+N(AL46)+N(AP46)+N(AU46),0))</f>
        <v/>
      </c>
      <c r="U46" s="225">
        <f>IF(T46="","",IF(AND(T46&gt;=3,O46&gt;=1.5),"有効",IF(T46&gt;=3,"要確認","除外")))</f>
        <v/>
      </c>
      <c r="V46" s="225">
        <f>IF(AND(I46&lt;&gt;"",K46&lt;&gt;""),IF(I46&lt;=K46*0.6,"年初来安値圏●",IF(I46&lt;=K46*0.75,"安値圏","通常")),"")</f>
        <v/>
      </c>
      <c r="W46" s="628">
        <f t="array" ref="W46">IFERROR(100-100/(1+SUMPRODUCT((終値!F8:R8&gt;終値!G8:S8)*(終値!F8:R8-終値!G8:S8))/SUMPRODUCT((終値!F8:R8&lt;終値!G8:S8)*(終値!G8:S8-終値!F8:R8))),50)</f>
        <v/>
      </c>
      <c r="X46" s="357">
        <f>IF(C46&lt;&gt;"",IFERROR(SUMPRODUCT(終値!E8:P8,{0.154,0.132,0.113,0.097,0.083,0.071,0.061,0.052,0.045,0.038,0.033,0.028})/SUMPRODUCT({0.154,0.132,0.113,0.097,0.083,0.071,0.061,0.052,0.045,0.038,0.033,0.028})-SUMPRODUCT(終値!E8:AD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6" s="225">
        <f>IF(AF46="","",AF46&amp;" | "&amp;AD46&amp;IF(AE46&lt;&gt;"なし"," "&amp;AE46,"")&amp;IF(X46&lt;0," MACD-"," MACD+")&amp;" RSI:"&amp;TEXT(W46,"0.0")&amp;IF(W46&gt;=70," [過熱]",IF(W46&lt;=30," [売られ過ぎ]",""))&amp;" 前日比:"&amp;TEXT(Z46,"+0.0;-0.0;0.0")&amp;"%"&amp;IF(V46="年初来安値圏●"," [年初来安値圏]",IF(V46="安値圏"," [安値圏]",""))&amp;IF(OR(AO46="通常",AO46="-"),""," ["&amp;AO46&amp;"]")&amp;IF(OR(AT46="通常",AT46="-"),"","前日["&amp;AT46&amp;"]")&amp;" ["&amp;T46&amp;"点]")</f>
        <v/>
      </c>
      <c r="Z46" s="629">
        <f>IF(AND(E46&lt;&gt;"",G46&lt;&gt;"",G46&lt;&gt;0),(E46-G46)/G46*100,"")</f>
        <v/>
      </c>
      <c r="AA46" s="225">
        <f>IF(OR(C46="",E46="",E46=0),"",IF(E46&gt;G46,"上昇▲",IF(E46&lt;G46,"下落▼","横ばい→")))</f>
        <v/>
      </c>
      <c r="AB46" s="353">
        <f>IF(OR(C46="",C46="TOPX",終値!E8=""),"",IFERROR(((終値!E8*0.333)+(終値!F8*0.222)+(終値!G8*0.148)+(終値!H8*0.099)+(終値!I8*0.066))/(0.333+0.222+0.148+0.099+0.066),""))</f>
        <v/>
      </c>
      <c r="AC46" s="353">
        <f>IF(OR(C46="",C46="TOPX",終値!E8=""),"",IFERROR(SUMPRODUCT((終値!E8:AC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6" s="225">
        <f>IF(OR(C46="",AB46="",AC46="",AB46=0,AC46=0),"",IF(AND(E46&gt;AB46,AB46&gt;AC46),"パーフェクト▲",IF(E46&gt;AC46,"上昇トレンド▲",IF(AND(E46&lt;AB46,AB46&lt;AC46),"下降トレンド▼","もみ合い→"))))</f>
        <v/>
      </c>
      <c r="AE46" s="225">
        <f>IF(OR(C46="",AB46="",AC46=""),"",IF(AND(ABS(E46-AC46)/AC46&lt;=0.02,E46&lt;AC46),"25日戻り売り★",IF(AND(ABS(E46-AB46)/AB46&lt;=0.01,E46&lt;AB46),"5日戻り売り○","なし")))</f>
        <v/>
      </c>
      <c r="AF46">
        <f>IF(T46="","",IF(銘柄管理!$F$5="上昇▲",IF(AND(AD46="下降トレンド▼",OR(AE46="25日戻り売り★",AE46="5日戻り売り○")),"★逆張り売り",IF(AND(AD46="もみ合い→",OR(AE46="25日戻り売り★",AE46="5日戻り売り○")),"○逆張り売り",IF(W46&gt;=70,IF(Z46&lt;0,"◎反落確認","△過熱・様子見"),"相場上昇・見送り"))),IF(AND(T46&gt;=12,AD46="下降トレンド▼"),"★強い売り",IF(T46&gt;=12,"★強い売り",IF(AND(T46&gt;=8,OR(AE46="25日戻り売り★",AE46="5日戻り売り○")),"◎戻り売り",IF(T46&gt;=10,"○売り候補",IF(T46&gt;=6,"△注目",IF(T46&gt;=3,"様子見","見送り"))))))))</f>
        <v/>
      </c>
      <c r="AG46">
        <f>IF(AND(T46&gt;=7,C46&lt;&gt;""),T46,0)</f>
        <v/>
      </c>
      <c r="AH46">
        <f>IF(AG46&gt;0,AG46*10000-ROW(A46),0)</f>
        <v/>
      </c>
      <c r="AI46" s="623">
        <f t="array" ref="AI46">IF(C46="","",IFERROR((INDEX(終値!$E:$E,MATCH(TEXT(C46,"0"),終値!$A:$A,0))-INDEX(終値!$E:$BL,MATCH(TEXT(C46,"0"),終値!$A:$A,0),$AN$2))/INDEX(終値!$E:$BL,MATCH(TEXT(C46,"0"),終値!$A:$A,0),$AN$2)*100,""))</f>
        <v/>
      </c>
      <c r="AJ46" s="623">
        <f t="array" ref="AJ46">IFERROR((終値!$E$5-INDEX(終値!$E$5:$BL$5,1,$AN$2))/INDEX(終値!$E$5:$BL$5,1,$AN$2)*100,"")</f>
        <v/>
      </c>
      <c r="AK46" s="624">
        <f>IF(OR(AI46="",AJ46=""),"",AI46-AJ46)</f>
        <v/>
      </c>
      <c r="AL46" s="394">
        <f>IF(AK46="","",IF(AK46&lt;-5,3,IF(AK46&lt;0,1,IF(AK46&lt;3,-1,-2))))</f>
        <v/>
      </c>
      <c r="AO46" s="398">
        <f>IF(OR($C46="",$E46="",$F46="",$H46="",$I46="",$H46-$I46&lt;=0),"-",IF(AND($H46-MAX($F46,$E46)&gt;=ABS($E46-$F46)*2,MIN($F46,$E46)-$I46&lt;=ABS($E46-$F46)*0.5,ABS($E46-$F46)&gt;0),"上ヒゲ陰線▼",IF(AND($E46&lt;$F46,ABS($E46-$F46)&gt;=($H46-$I46)*0.7),"大陰線▼",IF(AND(MIN($F46,$E46)-$I46&gt;=($H46-$I46)*0.5,$H46-MAX($F46,$E46)&lt;=($H46-$I46)*0.2),"長い下ヒゲ(反発警戒)","通常"))))</f>
        <v/>
      </c>
      <c r="AP46" s="625">
        <f>IF($AO46="上ヒゲ陰線▼",2,IF($AO46="大陰線▼",2,IF($AO46="長い下ヒゲ(反発警戒)",-2,0)))</f>
        <v/>
      </c>
      <c r="AQ46">
        <f>IF(C46&lt;&gt;"",始値!F8,"")</f>
        <v/>
      </c>
      <c r="AR46">
        <f>IF(C46&lt;&gt;"",高値!F8,"")</f>
        <v/>
      </c>
      <c r="AS46">
        <f>IF(C46&lt;&gt;"",安値!F8,"")</f>
        <v/>
      </c>
      <c r="AT46">
        <f>IF(OR(C46="",AQ46="",AR46="",AS46="",AR46-AS46&lt;=0),"-",IF(AND(AR46-MAX(G46,AQ46)&gt;=ABS(G46-AQ46)*2,MIN(G46,AQ46)-AS46&lt;=ABS(G46-AQ46)*0.5,ABS(G46-AQ46)&gt;0),"上ヒゲ陰線▼",IF(AND(G46&lt;AQ46,ABS(G46-AQ46)&gt;=(AR46-AS46)*0.7),"大陰線▼",IF(AND(MIN(G46,AQ46)-AS46&gt;=(AR46-AS46)*0.5,AR46-MAX(G46,AQ46)&lt;=(AR46-AS46)*0.2),"長い下ヒゲ(反発)","通常"))))</f>
        <v/>
      </c>
      <c r="AU46">
        <f>IF(AT46="上ヒゲ陰線▼",2,IF(AT46="大陰線▼",2,IF(AT46="長い下ヒゲ(反発)",-2,0)))</f>
        <v/>
      </c>
    </row>
    <row r="47" ht="14.25" customHeight="1" s="574">
      <c r="A47" s="344">
        <f>IF(銘柄管理!B10&lt;&gt;"",HYPERLINK("https://kabutan.jp/stock/?code="&amp;銘柄管理!B10,"株探"),"")</f>
        <v/>
      </c>
      <c r="B47" s="345" t="n"/>
      <c r="C47" s="345">
        <f>IF(銘柄管理!B10="","",銘柄管理!B10)</f>
        <v/>
      </c>
      <c r="D47" s="345">
        <f>IF(銘柄管理!C10="","",銘柄管理!C10)</f>
        <v/>
      </c>
      <c r="E47" s="346">
        <f>IF(C47&lt;&gt;"",_xll.RssMarket(C47,"現在値"),"")</f>
        <v/>
      </c>
      <c r="F47" s="346">
        <f>IF(C47&lt;&gt;"",_xll.RssMarket(C47,"始値"),"")</f>
        <v/>
      </c>
      <c r="G47" s="345">
        <f>IF(C47&lt;&gt;"",終値!F10,"")</f>
        <v/>
      </c>
      <c r="H47" s="346">
        <f>IF(C47&lt;&gt;"",_xll.RssMarket(C47,"高値"),"")</f>
        <v/>
      </c>
      <c r="I47" s="346">
        <f>IF(C47&lt;&gt;"",_xll.RssMarket(C47,"安値"),"")</f>
        <v/>
      </c>
      <c r="J47" s="346">
        <f>IF(C47&lt;&gt;"",_xll.RssMarket(C47,"出来高"),"")</f>
        <v/>
      </c>
      <c r="K47" s="346">
        <f>IF(C47&lt;&gt;"",_xll.RssMarket(C47,"年初来高値"),"")</f>
        <v/>
      </c>
      <c r="L47" s="619">
        <f>IF(AND(E47&lt;&gt;"",K47&lt;&gt;"",K47&lt;&gt;0),(E47-K47)/K47*100,"")</f>
        <v/>
      </c>
      <c r="M47" s="346">
        <f>IF(C47&lt;&gt;"",IFERROR(AVERAGE(出来高!E10:I10),""),"")</f>
        <v/>
      </c>
      <c r="N47" s="346">
        <f>IF(C47&lt;&gt;"",IFERROR(AVERAGE(出来高!E10:AC10),""),"")</f>
        <v/>
      </c>
      <c r="O47" s="620">
        <f>IF(AND(J47&lt;&gt;"",M47&lt;&gt;"",M47&lt;&gt;0),J47/M47,"")</f>
        <v/>
      </c>
      <c r="P47" s="345">
        <f>IF(O47="","",IF(O47&gt;=2,"急増↑↑",IF(O47&gt;=1.5,"増加↑",IF(O47&gt;=1,"普通→","減少↓"))))</f>
        <v/>
      </c>
      <c r="Q47" s="345">
        <f>IF(E47="","",IF(AND(E47&lt;G47,O47&gt;=1.5),"売り▼",IF(E47&gt;G47,"様子見▲","中立→")))</f>
        <v/>
      </c>
      <c r="R47" s="346">
        <f>IF(E47&lt;&gt;"",ROUND(E47*0.92,0),"")</f>
        <v/>
      </c>
      <c r="S47" s="346">
        <f>IF(E47&lt;&gt;"",ROUND(E47*1.04,0),"")</f>
        <v/>
      </c>
      <c r="T47" s="345">
        <f>IF(C47="","",IFERROR(IF(W47&gt;=70,3,IF(W47&gt;=60,2,IF(W47&gt;=50,1,0)))+IF(X47&lt;0,2,0)+IF(AD47="下降トレンド▼",3,IF(AD47="もみ合い→",1,0))+IF(V47="年初来安値圏●",3,IF(V47="安値圏",2,0))+IF(Q47="売り▼",2,0)+IF(P47="急増↑↑",2,IF(P47="増加↑",1,0))+IF(Z47&lt;0,1,0)+IF(L47&lt;=-30,2,IF(L47&lt;=-15,1,0))+IF(AE47="25日戻り売り★",2,IF(AE47="5日戻り売り○",1,0))+N(AL47)+N(AP47)+N(AU47),0))</f>
        <v/>
      </c>
      <c r="U47" s="345">
        <f>IF(T47="","",IF(AND(T47&gt;=3,O47&gt;=1.5),"有効",IF(T47&gt;=3,"要確認","除外")))</f>
        <v/>
      </c>
      <c r="V47" s="345">
        <f>IF(AND(I47&lt;&gt;"",K47&lt;&gt;""),IF(I47&lt;=K47*0.6,"年初来安値圏●",IF(I47&lt;=K47*0.75,"安値圏","通常")),"")</f>
        <v/>
      </c>
      <c r="W47" s="621">
        <f t="array" ref="W47">IFERROR(100-100/(1+SUMPRODUCT((終値!F10:R10&gt;終値!G10:S10)*(終値!F10:R10-終値!G10:S10))/SUMPRODUCT((終値!F10:R10&lt;終値!G10:S10)*(終値!G10:S10-終値!F10:R10))),50)</f>
        <v/>
      </c>
      <c r="X47" s="350">
        <f>IF(C47&lt;&gt;"",IFERROR(SUMPRODUCT(終値!E10:P10,{0.154,0.132,0.113,0.097,0.083,0.071,0.061,0.052,0.045,0.038,0.033,0.028})/SUMPRODUCT({0.154,0.132,0.113,0.097,0.083,0.071,0.061,0.052,0.045,0.038,0.033,0.028})-SUMPRODUCT(終値!E10:AD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7" s="345">
        <f>IF(AF47="","",AF47&amp;" | "&amp;AD47&amp;IF(AE47&lt;&gt;"なし"," "&amp;AE47,"")&amp;IF(X47&lt;0," MACD-"," MACD+")&amp;" RSI:"&amp;TEXT(W47,"0.0")&amp;IF(W47&gt;=70," [過熱]",IF(W47&lt;=30," [売られ過ぎ]",""))&amp;" 前日比:"&amp;TEXT(Z47,"+0.0;-0.0;0.0")&amp;"%"&amp;IF(V47="年初来安値圏●"," [年初来安値圏]",IF(V47="安値圏"," [安値圏]",""))&amp;IF(OR(AO47="通常",AO47="-"),""," ["&amp;AO47&amp;"]")&amp;IF(OR(AT47="通常",AT47="-"),"","前日["&amp;AT47&amp;"]")&amp;" ["&amp;T47&amp;"点]")</f>
        <v/>
      </c>
      <c r="Z47" s="622">
        <f>IF(AND(E47&lt;&gt;"",G47&lt;&gt;"",G47&lt;&gt;0),(E47-G47)/G47*100,"")</f>
        <v/>
      </c>
      <c r="AA47" s="345">
        <f>IF(OR(C47="",E47="",E47=0),"",IF(E47&gt;G47,"上昇▲",IF(E47&lt;G47,"下落▼","横ばい→")))</f>
        <v/>
      </c>
      <c r="AB47" s="346">
        <f>IF(OR(C47="",C47="TOPX",終値!E10=""),"",IFERROR(((終値!E10*0.333)+(終値!F10*0.222)+(終値!G10*0.148)+(終値!H10*0.099)+(終値!I10*0.066))/(0.333+0.222+0.148+0.099+0.066),""))</f>
        <v/>
      </c>
      <c r="AC47" s="346">
        <f>IF(OR(C47="",C47="TOPX",終値!E10=""),"",IFERROR(SUMPRODUCT((終値!E10:AC10)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7" s="345">
        <f>IF(OR(C47="",AB47="",AC47="",AB47=0,AC47=0),"",IF(AND(E47&gt;AB47,AB47&gt;AC47),"パーフェクト▲",IF(E47&gt;AC47,"上昇トレンド▲",IF(AND(E47&lt;AB47,AB47&lt;AC47),"下降トレンド▼","もみ合い→"))))</f>
        <v/>
      </c>
      <c r="AE47" s="345">
        <f>IF(OR(C47="",AB47="",AC47=""),"",IF(AND(ABS(E47-AC47)/AC47&lt;=0.02,E47&lt;AC47),"25日戻り売り★",IF(AND(ABS(E47-AB47)/AB47&lt;=0.01,E47&lt;AB47),"5日戻り売り○","なし")))</f>
        <v/>
      </c>
      <c r="AF47">
        <f>IF(T47="","",IF(銘柄管理!$F$5="上昇▲",IF(AND(AD47="下降トレンド▼",OR(AE47="25日戻り売り★",AE47="5日戻り売り○")),"★逆張り売り",IF(AND(AD47="もみ合い→",OR(AE47="25日戻り売り★",AE47="5日戻り売り○")),"○逆張り売り",IF(W47&gt;=70,IF(Z47&lt;0,"◎反落確認","△過熱・様子見"),"相場上昇・見送り"))),IF(AND(T47&gt;=12,AD47="下降トレンド▼"),"★強い売り",IF(T47&gt;=12,"★強い売り",IF(AND(T47&gt;=8,OR(AE47="25日戻り売り★",AE47="5日戻り売り○")),"◎戻り売り",IF(T47&gt;=10,"○売り候補",IF(T47&gt;=6,"△注目",IF(T47&gt;=3,"様子見","見送り"))))))))</f>
        <v/>
      </c>
      <c r="AG47">
        <f>IF(AND(T47&gt;=7,C47&lt;&gt;""),T47,0)</f>
        <v/>
      </c>
      <c r="AH47">
        <f>IF(AG47&gt;0,AG47*10000-ROW(A47),0)</f>
        <v/>
      </c>
      <c r="AI47" s="623">
        <f t="array" ref="AI47">IF(C47="","",IFERROR((INDEX(終値!$E:$E,MATCH(TEXT(C47,"0"),終値!$A:$A,0))-INDEX(終値!$E:$BL,MATCH(TEXT(C47,"0"),終値!$A:$A,0),$AN$2))/INDEX(終値!$E:$BL,MATCH(TEXT(C47,"0"),終値!$A:$A,0),$AN$2)*100,""))</f>
        <v/>
      </c>
      <c r="AJ47" s="623">
        <f t="array" ref="AJ47">IFERROR((終値!$E$5-INDEX(終値!$E$5:$BL$5,1,$AN$2))/INDEX(終値!$E$5:$BL$5,1,$AN$2)*100,"")</f>
        <v/>
      </c>
      <c r="AK47" s="624">
        <f>IF(OR(AI47="",AJ47=""),"",AI47-AJ47)</f>
        <v/>
      </c>
      <c r="AL47" s="394">
        <f>IF(AK47="","",IF(AK47&lt;-5,3,IF(AK47&lt;0,1,IF(AK47&lt;3,-1,-2))))</f>
        <v/>
      </c>
      <c r="AO47" s="398">
        <f>IF(OR($C47="",$E47="",$F47="",$H47="",$I47="",$H47-$I47&lt;=0),"-",IF(AND($H47-MAX($F47,$E47)&gt;=ABS($E47-$F47)*2,MIN($F47,$E47)-$I47&lt;=ABS($E47-$F47)*0.5,ABS($E47-$F47)&gt;0),"上ヒゲ陰線▼",IF(AND($E47&lt;$F47,ABS($E47-$F47)&gt;=($H47-$I47)*0.7),"大陰線▼",IF(AND(MIN($F47,$E47)-$I47&gt;=($H47-$I47)*0.5,$H47-MAX($F47,$E47)&lt;=($H47-$I47)*0.2),"長い下ヒゲ(反発警戒)","通常"))))</f>
        <v/>
      </c>
      <c r="AP47" s="625">
        <f>IF($AO47="上ヒゲ陰線▼",2,IF($AO47="大陰線▼",2,IF($AO47="長い下ヒゲ(反発警戒)",-2,0)))</f>
        <v/>
      </c>
      <c r="AQ47">
        <f>IF(C47&lt;&gt;"",始値!F10,"")</f>
        <v/>
      </c>
      <c r="AR47">
        <f>IF(C47&lt;&gt;"",高値!F10,"")</f>
        <v/>
      </c>
      <c r="AS47">
        <f>IF(C47&lt;&gt;"",安値!F10,"")</f>
        <v/>
      </c>
      <c r="AT47">
        <f>IF(OR(C47="",AQ47="",AR47="",AS47="",AR47-AS47&lt;=0),"-",IF(AND(AR47-MAX(G47,AQ47)&gt;=ABS(G47-AQ47)*2,MIN(G47,AQ47)-AS47&lt;=ABS(G47-AQ47)*0.5,ABS(G47-AQ47)&gt;0),"上ヒゲ陰線▼",IF(AND(G47&lt;AQ47,ABS(G47-AQ47)&gt;=(AR47-AS47)*0.7),"大陰線▼",IF(AND(MIN(G47,AQ47)-AS47&gt;=(AR47-AS47)*0.5,AR47-MAX(G47,AQ47)&lt;=(AR47-AS47)*0.2),"長い下ヒゲ(反発)","通常"))))</f>
        <v/>
      </c>
      <c r="AU47">
        <f>IF(AT47="上ヒゲ陰線▼",2,IF(AT47="大陰線▼",2,IF(AT47="長い下ヒゲ(反発)",-2,0)))</f>
        <v/>
      </c>
    </row>
    <row r="48" ht="14.25" customHeight="1" s="574">
      <c r="A48" s="352">
        <f>IF(銘柄管理!B13&lt;&gt;"",HYPERLINK("https://kabutan.jp/stock/?code="&amp;銘柄管理!B13,"株探"),"")</f>
        <v/>
      </c>
      <c r="B48" s="225" t="n"/>
      <c r="C48" s="225">
        <f>IF(銘柄管理!B13="","",銘柄管理!B13)</f>
        <v/>
      </c>
      <c r="D48" s="225">
        <f>IF(銘柄管理!C13="","",銘柄管理!C13)</f>
        <v/>
      </c>
      <c r="E48" s="353">
        <f>IF(C48&lt;&gt;"",_xll.RssMarket(C48,"現在値"),"")</f>
        <v/>
      </c>
      <c r="F48" s="353">
        <f>IF(C48&lt;&gt;"",_xll.RssMarket(C48,"始値"),"")</f>
        <v/>
      </c>
      <c r="G48" s="225">
        <f>IF(C48&lt;&gt;"",終値!F13,"")</f>
        <v/>
      </c>
      <c r="H48" s="353">
        <f>IF(C48&lt;&gt;"",_xll.RssMarket(C48,"高値"),"")</f>
        <v/>
      </c>
      <c r="I48" s="353">
        <f>IF(C48&lt;&gt;"",_xll.RssMarket(C48,"安値"),"")</f>
        <v/>
      </c>
      <c r="J48" s="353">
        <f>IF(C48&lt;&gt;"",_xll.RssMarket(C48,"出来高"),"")</f>
        <v/>
      </c>
      <c r="K48" s="353">
        <f>IF(C48&lt;&gt;"",_xll.RssMarket(C48,"年初来高値"),"")</f>
        <v/>
      </c>
      <c r="L48" s="626">
        <f>IF(AND(E48&lt;&gt;"",K48&lt;&gt;"",K48&lt;&gt;0),(E48-K48)/K48*100,"")</f>
        <v/>
      </c>
      <c r="M48" s="353">
        <f>IF(C48&lt;&gt;"",IFERROR(AVERAGE(出来高!E13:I13),""),"")</f>
        <v/>
      </c>
      <c r="N48" s="353">
        <f>IF(C48&lt;&gt;"",IFERROR(AVERAGE(出来高!E13:AC13),""),"")</f>
        <v/>
      </c>
      <c r="O48" s="627">
        <f>IF(AND(J48&lt;&gt;"",M48&lt;&gt;"",M48&lt;&gt;0),J48/M48,"")</f>
        <v/>
      </c>
      <c r="P48" s="225">
        <f>IF(O48="","",IF(O48&gt;=2,"急増↑↑",IF(O48&gt;=1.5,"増加↑",IF(O48&gt;=1,"普通→","減少↓"))))</f>
        <v/>
      </c>
      <c r="Q48" s="225">
        <f>IF(E48="","",IF(AND(E48&lt;G48,O48&gt;=1.5),"売り▼",IF(E48&gt;G48,"様子見▲","中立→")))</f>
        <v/>
      </c>
      <c r="R48" s="353">
        <f>IF(E48&lt;&gt;"",ROUND(E48*0.92,0),"")</f>
        <v/>
      </c>
      <c r="S48" s="353">
        <f>IF(E48&lt;&gt;"",ROUND(E48*1.04,0),"")</f>
        <v/>
      </c>
      <c r="T48" s="345">
        <f>IF(C48="","",IFERROR(IF(W48&gt;=70,3,IF(W48&gt;=60,2,IF(W48&gt;=50,1,0)))+IF(X48&lt;0,2,0)+IF(AD48="下降トレンド▼",3,IF(AD48="もみ合い→",1,0))+IF(V48="年初来安値圏●",3,IF(V48="安値圏",2,0))+IF(Q48="売り▼",2,0)+IF(P48="急増↑↑",2,IF(P48="増加↑",1,0))+IF(Z48&lt;0,1,0)+IF(L48&lt;=-30,2,IF(L48&lt;=-15,1,0))+IF(AE48="25日戻り売り★",2,IF(AE48="5日戻り売り○",1,0))+N(AL48)+N(AP48)+N(AU48),0))</f>
        <v/>
      </c>
      <c r="U48" s="225">
        <f>IF(T48="","",IF(AND(T48&gt;=3,O48&gt;=1.5),"有効",IF(T48&gt;=3,"要確認","除外")))</f>
        <v/>
      </c>
      <c r="V48" s="225">
        <f>IF(AND(I48&lt;&gt;"",K48&lt;&gt;""),IF(I48&lt;=K48*0.6,"年初来安値圏●",IF(I48&lt;=K48*0.75,"安値圏","通常")),"")</f>
        <v/>
      </c>
      <c r="W48" s="628">
        <f t="array" ref="W48">IFERROR(100-100/(1+SUMPRODUCT((終値!F13:R13&gt;終値!G13:S13)*(終値!F13:R13-終値!G13:S13))/SUMPRODUCT((終値!F13:R13&lt;終値!G13:S13)*(終値!G13:S13-終値!F13:R13))),50)</f>
        <v/>
      </c>
      <c r="X48" s="357">
        <f>IF(C48&lt;&gt;"",IFERROR(SUMPRODUCT(終値!E13:P13,{0.154,0.132,0.113,0.097,0.083,0.071,0.061,0.052,0.045,0.038,0.033,0.028})/SUMPRODUCT({0.154,0.132,0.113,0.097,0.083,0.071,0.061,0.052,0.045,0.038,0.033,0.028})-SUMPRODUCT(終値!E13:AD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8" s="225">
        <f>IF(AF48="","",AF48&amp;" | "&amp;AD48&amp;IF(AE48&lt;&gt;"なし"," "&amp;AE48,"")&amp;IF(X48&lt;0," MACD-"," MACD+")&amp;" RSI:"&amp;TEXT(W48,"0.0")&amp;IF(W48&gt;=70," [過熱]",IF(W48&lt;=30," [売られ過ぎ]",""))&amp;" 前日比:"&amp;TEXT(Z48,"+0.0;-0.0;0.0")&amp;"%"&amp;IF(V48="年初来安値圏●"," [年初来安値圏]",IF(V48="安値圏"," [安値圏]",""))&amp;IF(OR(AO48="通常",AO48="-"),""," ["&amp;AO48&amp;"]")&amp;IF(OR(AT48="通常",AT48="-"),"","前日["&amp;AT48&amp;"]")&amp;" ["&amp;T48&amp;"点]")</f>
        <v/>
      </c>
      <c r="Z48" s="629">
        <f>IF(AND(E48&lt;&gt;"",G48&lt;&gt;"",G48&lt;&gt;0),(E48-G48)/G48*100,"")</f>
        <v/>
      </c>
      <c r="AA48" s="225">
        <f>IF(OR(C48="",E48="",E48=0),"",IF(E48&gt;G48,"上昇▲",IF(E48&lt;G48,"下落▼","横ばい→")))</f>
        <v/>
      </c>
      <c r="AB48" s="353">
        <f>IF(OR(C48="",C48="TOPX",終値!E13=""),"",IFERROR(((終値!E13*0.333)+(終値!F13*0.222)+(終値!G13*0.148)+(終値!H13*0.099)+(終値!I13*0.066))/(0.333+0.222+0.148+0.099+0.066),""))</f>
        <v/>
      </c>
      <c r="AC48" s="353">
        <f>IF(OR(C48="",C48="TOPX",終値!E13=""),"",IFERROR(SUMPRODUCT((終値!E13:AC13)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8" s="225">
        <f>IF(OR(C48="",AB48="",AC48="",AB48=0,AC48=0),"",IF(AND(E48&gt;AB48,AB48&gt;AC48),"パーフェクト▲",IF(E48&gt;AC48,"上昇トレンド▲",IF(AND(E48&lt;AB48,AB48&lt;AC48),"下降トレンド▼","もみ合い→"))))</f>
        <v/>
      </c>
      <c r="AE48" s="225">
        <f>IF(OR(C48="",AB48="",AC48=""),"",IF(AND(ABS(E48-AC48)/AC48&lt;=0.02,E48&lt;AC48),"25日戻り売り★",IF(AND(ABS(E48-AB48)/AB48&lt;=0.01,E48&lt;AB48),"5日戻り売り○","なし")))</f>
        <v/>
      </c>
      <c r="AF48">
        <f>IF(T48="","",IF(銘柄管理!$F$5="上昇▲",IF(AND(AD48="下降トレンド▼",OR(AE48="25日戻り売り★",AE48="5日戻り売り○")),"★逆張り売り",IF(AND(AD48="もみ合い→",OR(AE48="25日戻り売り★",AE48="5日戻り売り○")),"○逆張り売り",IF(W48&gt;=70,IF(Z48&lt;0,"◎反落確認","△過熱・様子見"),"相場上昇・見送り"))),IF(AND(T48&gt;=12,AD48="下降トレンド▼"),"★強い売り",IF(T48&gt;=12,"★強い売り",IF(AND(T48&gt;=8,OR(AE48="25日戻り売り★",AE48="5日戻り売り○")),"◎戻り売り",IF(T48&gt;=10,"○売り候補",IF(T48&gt;=6,"△注目",IF(T48&gt;=3,"様子見","見送り"))))))))</f>
        <v/>
      </c>
      <c r="AG48">
        <f>IF(AND(T48&gt;=7,C48&lt;&gt;""),T48,0)</f>
        <v/>
      </c>
      <c r="AH48">
        <f>IF(AG48&gt;0,AG48*10000-ROW(A48),0)</f>
        <v/>
      </c>
      <c r="AI48" s="623">
        <f t="array" ref="AI48">IF(C48="","",IFERROR((INDEX(終値!$E:$E,MATCH(TEXT(C48,"0"),終値!$A:$A,0))-INDEX(終値!$E:$BL,MATCH(TEXT(C48,"0"),終値!$A:$A,0),$AN$2))/INDEX(終値!$E:$BL,MATCH(TEXT(C48,"0"),終値!$A:$A,0),$AN$2)*100,""))</f>
        <v/>
      </c>
      <c r="AJ48" s="623">
        <f t="array" ref="AJ48">IFERROR((終値!$E$5-INDEX(終値!$E$5:$BL$5,1,$AN$2))/INDEX(終値!$E$5:$BL$5,1,$AN$2)*100,"")</f>
        <v/>
      </c>
      <c r="AK48" s="624">
        <f>IF(OR(AI48="",AJ48=""),"",AI48-AJ48)</f>
        <v/>
      </c>
      <c r="AL48" s="394">
        <f>IF(AK48="","",IF(AK48&lt;-5,3,IF(AK48&lt;0,1,IF(AK48&lt;3,-1,-2))))</f>
        <v/>
      </c>
      <c r="AO48" s="398">
        <f>IF(OR($C48="",$E48="",$F48="",$H48="",$I48="",$H48-$I48&lt;=0),"-",IF(AND($H48-MAX($F48,$E48)&gt;=ABS($E48-$F48)*2,MIN($F48,$E48)-$I48&lt;=ABS($E48-$F48)*0.5,ABS($E48-$F48)&gt;0),"上ヒゲ陰線▼",IF(AND($E48&lt;$F48,ABS($E48-$F48)&gt;=($H48-$I48)*0.7),"大陰線▼",IF(AND(MIN($F48,$E48)-$I48&gt;=($H48-$I48)*0.5,$H48-MAX($F48,$E48)&lt;=($H48-$I48)*0.2),"長い下ヒゲ(反発警戒)","通常"))))</f>
        <v/>
      </c>
      <c r="AP48" s="625">
        <f>IF($AO48="上ヒゲ陰線▼",2,IF($AO48="大陰線▼",2,IF($AO48="長い下ヒゲ(反発警戒)",-2,0)))</f>
        <v/>
      </c>
      <c r="AQ48">
        <f>IF(C48&lt;&gt;"",始値!F13,"")</f>
        <v/>
      </c>
      <c r="AR48">
        <f>IF(C48&lt;&gt;"",高値!F13,"")</f>
        <v/>
      </c>
      <c r="AS48">
        <f>IF(C48&lt;&gt;"",安値!F13,"")</f>
        <v/>
      </c>
      <c r="AT48">
        <f>IF(OR(C48="",AQ48="",AR48="",AS48="",AR48-AS48&lt;=0),"-",IF(AND(AR48-MAX(G48,AQ48)&gt;=ABS(G48-AQ48)*2,MIN(G48,AQ48)-AS48&lt;=ABS(G48-AQ48)*0.5,ABS(G48-AQ48)&gt;0),"上ヒゲ陰線▼",IF(AND(G48&lt;AQ48,ABS(G48-AQ48)&gt;=(AR48-AS48)*0.7),"大陰線▼",IF(AND(MIN(G48,AQ48)-AS48&gt;=(AR48-AS48)*0.5,AR48-MAX(G48,AQ48)&lt;=(AR48-AS48)*0.2),"長い下ヒゲ(反発)","通常"))))</f>
        <v/>
      </c>
      <c r="AU48">
        <f>IF(AT48="上ヒゲ陰線▼",2,IF(AT48="大陰線▼",2,IF(AT48="長い下ヒゲ(反発)",-2,0)))</f>
        <v/>
      </c>
    </row>
    <row r="49" ht="14.25" customHeight="1" s="574">
      <c r="A49" s="344">
        <f>IF(銘柄管理!B25&lt;&gt;"",HYPERLINK("https://kabutan.jp/stock/?code="&amp;銘柄管理!B25,"株探"),"")</f>
        <v/>
      </c>
      <c r="B49" s="345" t="n"/>
      <c r="C49" s="345">
        <f>IF(銘柄管理!B25="","",銘柄管理!B25)</f>
        <v/>
      </c>
      <c r="D49" s="345">
        <f>IF(銘柄管理!C25="","",銘柄管理!C25)</f>
        <v/>
      </c>
      <c r="E49" s="346">
        <f>IF(C49&lt;&gt;"",_xll.RssMarket(C49,"現在値"),"")</f>
        <v/>
      </c>
      <c r="F49" s="346">
        <f>IF(C49&lt;&gt;"",_xll.RssMarket(C49,"始値"),"")</f>
        <v/>
      </c>
      <c r="G49" s="345">
        <f>IF(C49&lt;&gt;"",終値!F25,"")</f>
        <v/>
      </c>
      <c r="H49" s="346">
        <f>IF(C49&lt;&gt;"",_xll.RssMarket(C49,"高値"),"")</f>
        <v/>
      </c>
      <c r="I49" s="346">
        <f>IF(C49&lt;&gt;"",_xll.RssMarket(C49,"安値"),"")</f>
        <v/>
      </c>
      <c r="J49" s="346">
        <f>IF(C49&lt;&gt;"",_xll.RssMarket(C49,"出来高"),"")</f>
        <v/>
      </c>
      <c r="K49" s="346">
        <f>IF(C49&lt;&gt;"",_xll.RssMarket(C49,"年初来高値"),"")</f>
        <v/>
      </c>
      <c r="L49" s="619">
        <f>IF(AND(E49&lt;&gt;"",K49&lt;&gt;"",K49&lt;&gt;0),(E49-K49)/K49*100,"")</f>
        <v/>
      </c>
      <c r="M49" s="346">
        <f>IF(C49&lt;&gt;"",IFERROR(AVERAGE(出来高!E25:I25),""),"")</f>
        <v/>
      </c>
      <c r="N49" s="346">
        <f>IF(C49&lt;&gt;"",IFERROR(AVERAGE(出来高!E25:AC25),""),"")</f>
        <v/>
      </c>
      <c r="O49" s="620">
        <f>IF(AND(J49&lt;&gt;"",M49&lt;&gt;"",M49&lt;&gt;0),J49/M49,"")</f>
        <v/>
      </c>
      <c r="P49" s="345">
        <f>IF(O49="","",IF(O49&gt;=2,"急増↑↑",IF(O49&gt;=1.5,"増加↑",IF(O49&gt;=1,"普通→","減少↓"))))</f>
        <v/>
      </c>
      <c r="Q49" s="345">
        <f>IF(E49="","",IF(AND(E49&lt;G49,O49&gt;=1.5),"売り▼",IF(E49&gt;G49,"様子見▲","中立→")))</f>
        <v/>
      </c>
      <c r="R49" s="346">
        <f>IF(E49&lt;&gt;"",ROUND(E49*0.92,0),"")</f>
        <v/>
      </c>
      <c r="S49" s="346">
        <f>IF(E49&lt;&gt;"",ROUND(E49*1.04,0),"")</f>
        <v/>
      </c>
      <c r="T49" s="345">
        <f>IF(C49="","",IFERROR(IF(W49&gt;=70,3,IF(W49&gt;=60,2,IF(W49&gt;=50,1,0)))+IF(X49&lt;0,2,0)+IF(AD49="下降トレンド▼",3,IF(AD49="もみ合い→",1,0))+IF(V49="年初来安値圏●",3,IF(V49="安値圏",2,0))+IF(Q49="売り▼",2,0)+IF(P49="急増↑↑",2,IF(P49="増加↑",1,0))+IF(Z49&lt;0,1,0)+IF(L49&lt;=-30,2,IF(L49&lt;=-15,1,0))+IF(AE49="25日戻り売り★",2,IF(AE49="5日戻り売り○",1,0))+N(AL49)+N(AP49)+N(AU49),0))</f>
        <v/>
      </c>
      <c r="U49" s="345">
        <f>IF(T49="","",IF(AND(T49&gt;=3,O49&gt;=1.5),"有効",IF(T49&gt;=3,"要確認","除外")))</f>
        <v/>
      </c>
      <c r="V49" s="345">
        <f>IF(AND(I49&lt;&gt;"",K49&lt;&gt;""),IF(I49&lt;=K49*0.6,"年初来安値圏●",IF(I49&lt;=K49*0.75,"安値圏","通常")),"")</f>
        <v/>
      </c>
      <c r="W49" s="621">
        <f t="array" ref="W49">IFERROR(100-100/(1+SUMPRODUCT((終値!F25:R25&gt;終値!G25:S25)*(終値!F25:R25-終値!G25:S25))/SUMPRODUCT((終値!F25:R25&lt;終値!G25:S25)*(終値!G25:S25-終値!F25:R25))),50)</f>
        <v/>
      </c>
      <c r="X49" s="350">
        <f>IF(C49&lt;&gt;"",IFERROR(SUMPRODUCT(終値!E25:P25,{0.154,0.132,0.113,0.097,0.083,0.071,0.061,0.052,0.045,0.038,0.033,0.028})/SUMPRODUCT({0.154,0.132,0.113,0.097,0.083,0.071,0.061,0.052,0.045,0.038,0.033,0.028})-SUMPRODUCT(終値!E25:AD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9" s="345">
        <f>IF(AF49="","",AF49&amp;" | "&amp;AD49&amp;IF(AE49&lt;&gt;"なし"," "&amp;AE49,"")&amp;IF(X49&lt;0," MACD-"," MACD+")&amp;" RSI:"&amp;TEXT(W49,"0.0")&amp;IF(W49&gt;=70," [過熱]",IF(W49&lt;=30," [売られ過ぎ]",""))&amp;" 前日比:"&amp;TEXT(Z49,"+0.0;-0.0;0.0")&amp;"%"&amp;IF(V49="年初来安値圏●"," [年初来安値圏]",IF(V49="安値圏"," [安値圏]",""))&amp;IF(OR(AO49="通常",AO49="-"),""," ["&amp;AO49&amp;"]")&amp;IF(OR(AT49="通常",AT49="-"),"","前日["&amp;AT49&amp;"]")&amp;" ["&amp;T49&amp;"点]")</f>
        <v/>
      </c>
      <c r="Z49" s="622">
        <f>IF(AND(E49&lt;&gt;"",G49&lt;&gt;"",G49&lt;&gt;0),(E49-G49)/G49*100,"")</f>
        <v/>
      </c>
      <c r="AA49" s="345">
        <f>IF(OR(C49="",E49="",E49=0),"",IF(E49&gt;G49,"上昇▲",IF(E49&lt;G49,"下落▼","横ばい→")))</f>
        <v/>
      </c>
      <c r="AB49" s="346">
        <f>IF(OR(C49="",C49="TOPX",終値!E25=""),"",IFERROR(((終値!E25*0.333)+(終値!F25*0.222)+(終値!G25*0.148)+(終値!H25*0.099)+(終値!I25*0.066))/(0.333+0.222+0.148+0.099+0.066),""))</f>
        <v/>
      </c>
      <c r="AC49" s="346">
        <f>IF(OR(C49="",C49="TOPX",終値!E25=""),"",IFERROR(SUMPRODUCT((終値!E25:AC25)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9" s="345">
        <f>IF(OR(C49="",AB49="",AC49="",AB49=0,AC49=0),"",IF(AND(E49&gt;AB49,AB49&gt;AC49),"パーフェクト▲",IF(E49&gt;AC49,"上昇トレンド▲",IF(AND(E49&lt;AB49,AB49&lt;AC49),"下降トレンド▼","もみ合い→"))))</f>
        <v/>
      </c>
      <c r="AE49" s="345">
        <f>IF(OR(C49="",AB49="",AC49=""),"",IF(AND(ABS(E49-AC49)/AC49&lt;=0.02,E49&lt;AC49),"25日戻り売り★",IF(AND(ABS(E49-AB49)/AB49&lt;=0.01,E49&lt;AB49),"5日戻り売り○","なし")))</f>
        <v/>
      </c>
      <c r="AF49">
        <f>IF(T49="","",IF(銘柄管理!$F$5="上昇▲",IF(AND(AD49="下降トレンド▼",OR(AE49="25日戻り売り★",AE49="5日戻り売り○")),"★逆張り売り",IF(AND(AD49="もみ合い→",OR(AE49="25日戻り売り★",AE49="5日戻り売り○")),"○逆張り売り",IF(W49&gt;=70,IF(Z49&lt;0,"◎反落確認","△過熱・様子見"),"相場上昇・見送り"))),IF(AND(T49&gt;=12,AD49="下降トレンド▼"),"★強い売り",IF(T49&gt;=12,"★強い売り",IF(AND(T49&gt;=8,OR(AE49="25日戻り売り★",AE49="5日戻り売り○")),"◎戻り売り",IF(T49&gt;=10,"○売り候補",IF(T49&gt;=6,"△注目",IF(T49&gt;=3,"様子見","見送り"))))))))</f>
        <v/>
      </c>
      <c r="AG49">
        <f>IF(AND(T49&gt;=7,C49&lt;&gt;""),T49,0)</f>
        <v/>
      </c>
      <c r="AH49">
        <f>IF(AG49&gt;0,AG49*10000-ROW(A49),0)</f>
        <v/>
      </c>
      <c r="AI49" s="623">
        <f t="array" ref="AI49">IF(C49="","",IFERROR((INDEX(終値!$E:$E,MATCH(TEXT(C49,"0"),終値!$A:$A,0))-INDEX(終値!$E:$BL,MATCH(TEXT(C49,"0"),終値!$A:$A,0),$AN$2))/INDEX(終値!$E:$BL,MATCH(TEXT(C49,"0"),終値!$A:$A,0),$AN$2)*100,""))</f>
        <v/>
      </c>
      <c r="AJ49" s="623">
        <f t="array" ref="AJ49">IFERROR((終値!$E$5-INDEX(終値!$E$5:$BL$5,1,$AN$2))/INDEX(終値!$E$5:$BL$5,1,$AN$2)*100,"")</f>
        <v/>
      </c>
      <c r="AK49" s="624">
        <f>IF(OR(AI49="",AJ49=""),"",AI49-AJ49)</f>
        <v/>
      </c>
      <c r="AL49" s="394">
        <f>IF(AK49="","",IF(AK49&lt;-5,3,IF(AK49&lt;0,1,IF(AK49&lt;3,-1,-2))))</f>
        <v/>
      </c>
      <c r="AO49" s="398">
        <f>IF(OR($C49="",$E49="",$F49="",$H49="",$I49="",$H49-$I49&lt;=0),"-",IF(AND($H49-MAX($F49,$E49)&gt;=ABS($E49-$F49)*2,MIN($F49,$E49)-$I49&lt;=ABS($E49-$F49)*0.5,ABS($E49-$F49)&gt;0),"上ヒゲ陰線▼",IF(AND($E49&lt;$F49,ABS($E49-$F49)&gt;=($H49-$I49)*0.7),"大陰線▼",IF(AND(MIN($F49,$E49)-$I49&gt;=($H49-$I49)*0.5,$H49-MAX($F49,$E49)&lt;=($H49-$I49)*0.2),"長い下ヒゲ(反発警戒)","通常"))))</f>
        <v/>
      </c>
      <c r="AP49" s="625">
        <f>IF($AO49="上ヒゲ陰線▼",2,IF($AO49="大陰線▼",2,IF($AO49="長い下ヒゲ(反発警戒)",-2,0)))</f>
        <v/>
      </c>
      <c r="AQ49">
        <f>IF(C49&lt;&gt;"",始値!F25,"")</f>
        <v/>
      </c>
      <c r="AR49">
        <f>IF(C49&lt;&gt;"",高値!F25,"")</f>
        <v/>
      </c>
      <c r="AS49">
        <f>IF(C49&lt;&gt;"",安値!F25,"")</f>
        <v/>
      </c>
      <c r="AT49">
        <f>IF(OR(C49="",AQ49="",AR49="",AS49="",AR49-AS49&lt;=0),"-",IF(AND(AR49-MAX(G49,AQ49)&gt;=ABS(G49-AQ49)*2,MIN(G49,AQ49)-AS49&lt;=ABS(G49-AQ49)*0.5,ABS(G49-AQ49)&gt;0),"上ヒゲ陰線▼",IF(AND(G49&lt;AQ49,ABS(G49-AQ49)&gt;=(AR49-AS49)*0.7),"大陰線▼",IF(AND(MIN(G49,AQ49)-AS49&gt;=(AR49-AS49)*0.5,AR49-MAX(G49,AQ49)&lt;=(AR49-AS49)*0.2),"長い下ヒゲ(反発)","通常"))))</f>
        <v/>
      </c>
      <c r="AU49">
        <f>IF(AT49="上ヒゲ陰線▼",2,IF(AT49="大陰線▼",2,IF(AT49="長い下ヒゲ(反発)",-2,0)))</f>
        <v/>
      </c>
    </row>
    <row r="50" ht="14.25" customHeight="1" s="574">
      <c r="A50" s="352">
        <f>IF(銘柄管理!B57&lt;&gt;"",HYPERLINK("https://kabutan.jp/stock/?code="&amp;銘柄管理!B57,"株探"),"")</f>
        <v/>
      </c>
      <c r="B50" s="225" t="n"/>
      <c r="C50" s="225">
        <f>IF(銘柄管理!B57="","",銘柄管理!B57)</f>
        <v/>
      </c>
      <c r="D50" s="225">
        <f>IF(銘柄管理!C57="","",銘柄管理!C57)</f>
        <v/>
      </c>
      <c r="E50" s="353">
        <f>IF(C50&lt;&gt;"",_xll.RssMarket(C50,"現在値"),"")</f>
        <v/>
      </c>
      <c r="F50" s="353">
        <f>IF(C50&lt;&gt;"",_xll.RssMarket(C50,"始値"),"")</f>
        <v/>
      </c>
      <c r="G50" s="225">
        <f>IF(C50&lt;&gt;"",終値!F57,"")</f>
        <v/>
      </c>
      <c r="H50" s="353">
        <f>IF(C50&lt;&gt;"",_xll.RssMarket(C50,"高値"),"")</f>
        <v/>
      </c>
      <c r="I50" s="353">
        <f>IF(C50&lt;&gt;"",_xll.RssMarket(C50,"安値"),"")</f>
        <v/>
      </c>
      <c r="J50" s="353">
        <f>IF(C50&lt;&gt;"",_xll.RssMarket(C50,"出来高"),"")</f>
        <v/>
      </c>
      <c r="K50" s="353">
        <f>IF(C50&lt;&gt;"",_xll.RssMarket(C50,"年初来高値"),"")</f>
        <v/>
      </c>
      <c r="L50" s="626">
        <f>IF(AND(E50&lt;&gt;"",K50&lt;&gt;"",K50&lt;&gt;0),(E50-K50)/K50*100,"")</f>
        <v/>
      </c>
      <c r="M50" s="353">
        <f>IF(C50&lt;&gt;"",IFERROR(AVERAGE(出来高!E57:I57),""),"")</f>
        <v/>
      </c>
      <c r="N50" s="353">
        <f>IF(C50&lt;&gt;"",IFERROR(AVERAGE(出来高!E57:AC57),""),"")</f>
        <v/>
      </c>
      <c r="O50" s="627">
        <f>IF(AND(J50&lt;&gt;"",M50&lt;&gt;"",M50&lt;&gt;0),J50/M50,"")</f>
        <v/>
      </c>
      <c r="P50" s="225">
        <f>IF(O50="","",IF(O50&gt;=2,"急増↑↑",IF(O50&gt;=1.5,"増加↑",IF(O50&gt;=1,"普通→","減少↓"))))</f>
        <v/>
      </c>
      <c r="Q50" s="225">
        <f>IF(E50="","",IF(AND(E50&lt;G50,O50&gt;=1.5),"売り▼",IF(E50&gt;G50,"様子見▲","中立→")))</f>
        <v/>
      </c>
      <c r="R50" s="353">
        <f>IF(E50&lt;&gt;"",ROUND(E50*0.92,0),"")</f>
        <v/>
      </c>
      <c r="S50" s="353">
        <f>IF(E50&lt;&gt;"",ROUND(E50*1.04,0),"")</f>
        <v/>
      </c>
      <c r="T50" s="345">
        <f>IF(C50="","",IFERROR(IF(W50&gt;=70,3,IF(W50&gt;=60,2,IF(W50&gt;=50,1,0)))+IF(X50&lt;0,2,0)+IF(AD50="下降トレンド▼",3,IF(AD50="もみ合い→",1,0))+IF(V50="年初来安値圏●",3,IF(V50="安値圏",2,0))+IF(Q50="売り▼",2,0)+IF(P50="急増↑↑",2,IF(P50="増加↑",1,0))+IF(Z50&lt;0,1,0)+IF(L50&lt;=-30,2,IF(L50&lt;=-15,1,0))+IF(AE50="25日戻り売り★",2,IF(AE50="5日戻り売り○",1,0))+N(AL50)+N(AP50)+N(AU50),0))</f>
        <v/>
      </c>
      <c r="U50" s="225">
        <f>IF(T50="","",IF(AND(T50&gt;=3,O50&gt;=1.5),"有効",IF(T50&gt;=3,"要確認","除外")))</f>
        <v/>
      </c>
      <c r="V50" s="225">
        <f>IF(AND(I50&lt;&gt;"",K50&lt;&gt;""),IF(I50&lt;=K50*0.6,"年初来安値圏●",IF(I50&lt;=K50*0.75,"安値圏","通常")),"")</f>
        <v/>
      </c>
      <c r="W50" s="628">
        <f t="array" ref="W50">IFERROR(100-100/(1+SUMPRODUCT((終値!F57:R57&gt;終値!G57:S57)*(終値!F57:R57-終値!G57:S57))/SUMPRODUCT((終値!F57:R57&lt;終値!G57:S57)*(終値!G57:S57-終値!F57:R57))),50)</f>
        <v/>
      </c>
      <c r="X50" s="357">
        <f>IF(C50&lt;&gt;"",IFERROR(SUMPRODUCT(終値!E57:P57,{0.154,0.132,0.113,0.097,0.083,0.071,0.061,0.052,0.045,0.038,0.033,0.028})/SUMPRODUCT({0.154,0.132,0.113,0.097,0.083,0.071,0.061,0.052,0.045,0.038,0.033,0.028})-SUMPRODUCT(終値!E57:AD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0" s="225">
        <f>IF(AF50="","",AF50&amp;" | "&amp;AD50&amp;IF(AE50&lt;&gt;"なし"," "&amp;AE50,"")&amp;IF(X50&lt;0," MACD-"," MACD+")&amp;" RSI:"&amp;TEXT(W50,"0.0")&amp;IF(W50&gt;=70," [過熱]",IF(W50&lt;=30," [売られ過ぎ]",""))&amp;" 前日比:"&amp;TEXT(Z50,"+0.0;-0.0;0.0")&amp;"%"&amp;IF(V50="年初来安値圏●"," [年初来安値圏]",IF(V50="安値圏"," [安値圏]",""))&amp;IF(OR(AO50="通常",AO50="-"),""," ["&amp;AO50&amp;"]")&amp;IF(OR(AT50="通常",AT50="-"),"","前日["&amp;AT50&amp;"]")&amp;" ["&amp;T50&amp;"点]")</f>
        <v/>
      </c>
      <c r="Z50" s="629">
        <f>IF(AND(E50&lt;&gt;"",G50&lt;&gt;"",G50&lt;&gt;0),(E50-G50)/G50*100,"")</f>
        <v/>
      </c>
      <c r="AA50" s="225">
        <f>IF(OR(C50="",E50="",E50=0),"",IF(E50&gt;G50,"上昇▲",IF(E50&lt;G50,"下落▼","横ばい→")))</f>
        <v/>
      </c>
      <c r="AB50" s="353">
        <f>IF(OR(C50="",C50="TOPX",終値!E57=""),"",IFERROR(((終値!E57*0.333)+(終値!F57*0.222)+(終値!G57*0.148)+(終値!H57*0.099)+(終値!I57*0.066))/(0.333+0.222+0.148+0.099+0.066),""))</f>
        <v/>
      </c>
      <c r="AC50" s="353">
        <f>IF(OR(C50="",C50="TOPX",終値!E57=""),"",IFERROR(SUMPRODUCT((終値!E57:AC57)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0" s="225">
        <f>IF(OR(C50="",AB50="",AC50="",AB50=0,AC50=0),"",IF(AND(E50&gt;AB50,AB50&gt;AC50),"パーフェクト▲",IF(E50&gt;AC50,"上昇トレンド▲",IF(AND(E50&lt;AB50,AB50&lt;AC50),"下降トレンド▼","もみ合い→"))))</f>
        <v/>
      </c>
      <c r="AE50" s="225">
        <f>IF(OR(C50="",AB50="",AC50=""),"",IF(AND(ABS(E50-AC50)/AC50&lt;=0.02,E50&lt;AC50),"25日戻り売り★",IF(AND(ABS(E50-AB50)/AB50&lt;=0.01,E50&lt;AB50),"5日戻り売り○","なし")))</f>
        <v/>
      </c>
      <c r="AF50">
        <f>IF(T50="","",IF(銘柄管理!$F$5="上昇▲",IF(AND(AD50="下降トレンド▼",OR(AE50="25日戻り売り★",AE50="5日戻り売り○")),"★逆張り売り",IF(AND(AD50="もみ合い→",OR(AE50="25日戻り売り★",AE50="5日戻り売り○")),"○逆張り売り",IF(W50&gt;=70,IF(Z50&lt;0,"◎反落確認","△過熱・様子見"),"相場上昇・見送り"))),IF(AND(T50&gt;=12,AD50="下降トレンド▼"),"★強い売り",IF(T50&gt;=12,"★強い売り",IF(AND(T50&gt;=8,OR(AE50="25日戻り売り★",AE50="5日戻り売り○")),"◎戻り売り",IF(T50&gt;=10,"○売り候補",IF(T50&gt;=6,"△注目",IF(T50&gt;=3,"様子見","見送り"))))))))</f>
        <v/>
      </c>
      <c r="AG50">
        <f>IF(AND(T50&gt;=7,C50&lt;&gt;""),T50,0)</f>
        <v/>
      </c>
      <c r="AH50">
        <f>IF(AG50&gt;0,AG50*10000-ROW(A50),0)</f>
        <v/>
      </c>
      <c r="AI50" s="623">
        <f t="array" ref="AI50">IF(C50="","",IFERROR((INDEX(終値!$E:$E,MATCH(TEXT(C50,"0"),終値!$A:$A,0))-INDEX(終値!$E:$BL,MATCH(TEXT(C50,"0"),終値!$A:$A,0),$AN$2))/INDEX(終値!$E:$BL,MATCH(TEXT(C50,"0"),終値!$A:$A,0),$AN$2)*100,""))</f>
        <v/>
      </c>
      <c r="AJ50" s="623">
        <f t="array" ref="AJ50">IFERROR((終値!$E$5-INDEX(終値!$E$5:$BL$5,1,$AN$2))/INDEX(終値!$E$5:$BL$5,1,$AN$2)*100,"")</f>
        <v/>
      </c>
      <c r="AK50" s="624">
        <f>IF(OR(AI50="",AJ50=""),"",AI50-AJ50)</f>
        <v/>
      </c>
      <c r="AL50" s="394">
        <f>IF(AK50="","",IF(AK50&lt;-5,3,IF(AK50&lt;0,1,IF(AK50&lt;3,-1,-2))))</f>
        <v/>
      </c>
      <c r="AO50" s="398">
        <f>IF(OR($C50="",$E50="",$F50="",$H50="",$I50="",$H50-$I50&lt;=0),"-",IF(AND($H50-MAX($F50,$E50)&gt;=ABS($E50-$F50)*2,MIN($F50,$E50)-$I50&lt;=ABS($E50-$F50)*0.5,ABS($E50-$F50)&gt;0),"上ヒゲ陰線▼",IF(AND($E50&lt;$F50,ABS($E50-$F50)&gt;=($H50-$I50)*0.7),"大陰線▼",IF(AND(MIN($F50,$E50)-$I50&gt;=($H50-$I50)*0.5,$H50-MAX($F50,$E50)&lt;=($H50-$I50)*0.2),"長い下ヒゲ(反発警戒)","通常"))))</f>
        <v/>
      </c>
      <c r="AP50" s="625">
        <f>IF($AO50="上ヒゲ陰線▼",2,IF($AO50="大陰線▼",2,IF($AO50="長い下ヒゲ(反発警戒)",-2,0)))</f>
        <v/>
      </c>
      <c r="AQ50">
        <f>IF(C50&lt;&gt;"",始値!F57,"")</f>
        <v/>
      </c>
      <c r="AR50">
        <f>IF(C50&lt;&gt;"",高値!F57,"")</f>
        <v/>
      </c>
      <c r="AS50">
        <f>IF(C50&lt;&gt;"",安値!F57,"")</f>
        <v/>
      </c>
      <c r="AT50">
        <f>IF(OR(C50="",AQ50="",AR50="",AS50="",AR50-AS50&lt;=0),"-",IF(AND(AR50-MAX(G50,AQ50)&gt;=ABS(G50-AQ50)*2,MIN(G50,AQ50)-AS50&lt;=ABS(G50-AQ50)*0.5,ABS(G50-AQ50)&gt;0),"上ヒゲ陰線▼",IF(AND(G50&lt;AQ50,ABS(G50-AQ50)&gt;=(AR50-AS50)*0.7),"大陰線▼",IF(AND(MIN(G50,AQ50)-AS50&gt;=(AR50-AS50)*0.5,AR50-MAX(G50,AQ50)&lt;=(AR50-AS50)*0.2),"長い下ヒゲ(反発)","通常"))))</f>
        <v/>
      </c>
      <c r="AU50">
        <f>IF(AT50="上ヒゲ陰線▼",2,IF(AT50="大陰線▼",2,IF(AT50="長い下ヒゲ(反発)",-2,0)))</f>
        <v/>
      </c>
    </row>
    <row r="51" ht="14.25" customHeight="1" s="574">
      <c r="A51" s="344">
        <f>IF(銘柄管理!B59&lt;&gt;"",HYPERLINK("https://kabutan.jp/stock/?code="&amp;銘柄管理!B59,"株探"),"")</f>
        <v/>
      </c>
      <c r="B51" s="345" t="n"/>
      <c r="C51" s="345">
        <f>IF(銘柄管理!B59="","",銘柄管理!B59)</f>
        <v/>
      </c>
      <c r="D51" s="345">
        <f>IF(銘柄管理!C59="","",銘柄管理!C59)</f>
        <v/>
      </c>
      <c r="E51" s="346">
        <f>IF(C51&lt;&gt;"",_xll.RssMarket(C51,"現在値"),"")</f>
        <v/>
      </c>
      <c r="F51" s="346">
        <f>IF(C51&lt;&gt;"",_xll.RssMarket(C51,"始値"),"")</f>
        <v/>
      </c>
      <c r="G51" s="345">
        <f>IF(C51&lt;&gt;"",終値!F59,"")</f>
        <v/>
      </c>
      <c r="H51" s="346">
        <f>IF(C51&lt;&gt;"",_xll.RssMarket(C51,"高値"),"")</f>
        <v/>
      </c>
      <c r="I51" s="346">
        <f>IF(C51&lt;&gt;"",_xll.RssMarket(C51,"安値"),"")</f>
        <v/>
      </c>
      <c r="J51" s="346">
        <f>IF(C51&lt;&gt;"",_xll.RssMarket(C51,"出来高"),"")</f>
        <v/>
      </c>
      <c r="K51" s="346">
        <f>IF(C51&lt;&gt;"",_xll.RssMarket(C51,"年初来高値"),"")</f>
        <v/>
      </c>
      <c r="L51" s="619">
        <f>IF(AND(E51&lt;&gt;"",K51&lt;&gt;"",K51&lt;&gt;0),(E51-K51)/K51*100,"")</f>
        <v/>
      </c>
      <c r="M51" s="346">
        <f>IF(C51&lt;&gt;"",IFERROR(AVERAGE(出来高!E59:I59),""),"")</f>
        <v/>
      </c>
      <c r="N51" s="346">
        <f>IF(C51&lt;&gt;"",IFERROR(AVERAGE(出来高!E59:AC59),""),"")</f>
        <v/>
      </c>
      <c r="O51" s="620">
        <f>IF(AND(J51&lt;&gt;"",M51&lt;&gt;"",M51&lt;&gt;0),J51/M51,"")</f>
        <v/>
      </c>
      <c r="P51" s="345">
        <f>IF(O51="","",IF(O51&gt;=2,"急増↑↑",IF(O51&gt;=1.5,"増加↑",IF(O51&gt;=1,"普通→","減少↓"))))</f>
        <v/>
      </c>
      <c r="Q51" s="345">
        <f>IF(E51="","",IF(AND(E51&lt;G51,O51&gt;=1.5),"売り▼",IF(E51&gt;G51,"様子見▲","中立→")))</f>
        <v/>
      </c>
      <c r="R51" s="346">
        <f>IF(E51&lt;&gt;"",ROUND(E51*0.92,0),"")</f>
        <v/>
      </c>
      <c r="S51" s="346">
        <f>IF(E51&lt;&gt;"",ROUND(E51*1.04,0),"")</f>
        <v/>
      </c>
      <c r="T51" s="345">
        <f>IF(C51="","",IFERROR(IF(W51&gt;=70,3,IF(W51&gt;=60,2,IF(W51&gt;=50,1,0)))+IF(X51&lt;0,2,0)+IF(AD51="下降トレンド▼",3,IF(AD51="もみ合い→",1,0))+IF(V51="年初来安値圏●",3,IF(V51="安値圏",2,0))+IF(Q51="売り▼",2,0)+IF(P51="急増↑↑",2,IF(P51="増加↑",1,0))+IF(Z51&lt;0,1,0)+IF(L51&lt;=-30,2,IF(L51&lt;=-15,1,0))+IF(AE51="25日戻り売り★",2,IF(AE51="5日戻り売り○",1,0))+N(AL51)+N(AP51)+N(AU51),0))</f>
        <v/>
      </c>
      <c r="U51" s="345">
        <f>IF(T51="","",IF(AND(T51&gt;=3,O51&gt;=1.5),"有効",IF(T51&gt;=3,"要確認","除外")))</f>
        <v/>
      </c>
      <c r="V51" s="345">
        <f>IF(AND(I51&lt;&gt;"",K51&lt;&gt;""),IF(I51&lt;=K51*0.6,"年初来安値圏●",IF(I51&lt;=K51*0.75,"安値圏","通常")),"")</f>
        <v/>
      </c>
      <c r="W51" s="621">
        <f t="array" ref="W51">IFERROR(100-100/(1+SUMPRODUCT((終値!F59:R59&gt;終値!G59:S59)*(終値!F59:R59-終値!G59:S59))/SUMPRODUCT((終値!F59:R59&lt;終値!G59:S59)*(終値!G59:S59-終値!F59:R59))),50)</f>
        <v/>
      </c>
      <c r="X51" s="350">
        <f>IF(C51&lt;&gt;"",IFERROR(SUMPRODUCT(終値!E59:P59,{0.154,0.132,0.113,0.097,0.083,0.071,0.061,0.052,0.045,0.038,0.033,0.028})/SUMPRODUCT({0.154,0.132,0.113,0.097,0.083,0.071,0.061,0.052,0.045,0.038,0.033,0.028})-SUMPRODUCT(終値!E59:AD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1" s="345">
        <f>IF(AF51="","",AF51&amp;" | "&amp;AD51&amp;IF(AE51&lt;&gt;"なし"," "&amp;AE51,"")&amp;IF(X51&lt;0," MACD-"," MACD+")&amp;" RSI:"&amp;TEXT(W51,"0.0")&amp;IF(W51&gt;=70," [過熱]",IF(W51&lt;=30," [売られ過ぎ]",""))&amp;" 前日比:"&amp;TEXT(Z51,"+0.0;-0.0;0.0")&amp;"%"&amp;IF(V51="年初来安値圏●"," [年初来安値圏]",IF(V51="安値圏"," [安値圏]",""))&amp;IF(OR(AO51="通常",AO51="-"),""," ["&amp;AO51&amp;"]")&amp;IF(OR(AT51="通常",AT51="-"),"","前日["&amp;AT51&amp;"]")&amp;" ["&amp;T51&amp;"点]")</f>
        <v/>
      </c>
      <c r="Z51" s="622">
        <f>IF(AND(E51&lt;&gt;"",G51&lt;&gt;"",G51&lt;&gt;0),(E51-G51)/G51*100,"")</f>
        <v/>
      </c>
      <c r="AA51" s="345">
        <f>IF(OR(C51="",E51="",E51=0),"",IF(E51&gt;G51,"上昇▲",IF(E51&lt;G51,"下落▼","横ばい→")))</f>
        <v/>
      </c>
      <c r="AB51" s="346">
        <f>IF(OR(C51="",C51="TOPX",終値!E59=""),"",IFERROR(((終値!E59*0.333)+(終値!F59*0.222)+(終値!G59*0.148)+(終値!H59*0.099)+(終値!I59*0.066))/(0.333+0.222+0.148+0.099+0.066),""))</f>
        <v/>
      </c>
      <c r="AC51" s="346">
        <f>IF(OR(C51="",C51="TOPX",終値!E59=""),"",IFERROR(SUMPRODUCT((終値!E59:AC59)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1" s="345">
        <f>IF(OR(C51="",AB51="",AC51="",AB51=0,AC51=0),"",IF(AND(E51&gt;AB51,AB51&gt;AC51),"パーフェクト▲",IF(E51&gt;AC51,"上昇トレンド▲",IF(AND(E51&lt;AB51,AB51&lt;AC51),"下降トレンド▼","もみ合い→"))))</f>
        <v/>
      </c>
      <c r="AE51" s="345">
        <f>IF(OR(C51="",AB51="",AC51=""),"",IF(AND(ABS(E51-AC51)/AC51&lt;=0.02,E51&lt;AC51),"25日戻り売り★",IF(AND(ABS(E51-AB51)/AB51&lt;=0.01,E51&lt;AB51),"5日戻り売り○","なし")))</f>
        <v/>
      </c>
      <c r="AF51">
        <f>IF(T51="","",IF(銘柄管理!$F$5="上昇▲",IF(AND(AD51="下降トレンド▼",OR(AE51="25日戻り売り★",AE51="5日戻り売り○")),"★逆張り売り",IF(AND(AD51="もみ合い→",OR(AE51="25日戻り売り★",AE51="5日戻り売り○")),"○逆張り売り",IF(W51&gt;=70,IF(Z51&lt;0,"◎反落確認","△過熱・様子見"),"相場上昇・見送り"))),IF(AND(T51&gt;=12,AD51="下降トレンド▼"),"★強い売り",IF(T51&gt;=12,"★強い売り",IF(AND(T51&gt;=8,OR(AE51="25日戻り売り★",AE51="5日戻り売り○")),"◎戻り売り",IF(T51&gt;=10,"○売り候補",IF(T51&gt;=6,"△注目",IF(T51&gt;=3,"様子見","見送り"))))))))</f>
        <v/>
      </c>
      <c r="AG51">
        <f>IF(AND(T51&gt;=7,C51&lt;&gt;""),T51,0)</f>
        <v/>
      </c>
      <c r="AH51">
        <f>IF(AG51&gt;0,AG51*10000-ROW(A51),0)</f>
        <v/>
      </c>
      <c r="AI51" s="623">
        <f t="array" ref="AI51">IF(C51="","",IFERROR((INDEX(終値!$E:$E,MATCH(TEXT(C51,"0"),終値!$A:$A,0))-INDEX(終値!$E:$BL,MATCH(TEXT(C51,"0"),終値!$A:$A,0),$AN$2))/INDEX(終値!$E:$BL,MATCH(TEXT(C51,"0"),終値!$A:$A,0),$AN$2)*100,""))</f>
        <v/>
      </c>
      <c r="AJ51" s="623">
        <f t="array" ref="AJ51">IFERROR((終値!$E$5-INDEX(終値!$E$5:$BL$5,1,$AN$2))/INDEX(終値!$E$5:$BL$5,1,$AN$2)*100,"")</f>
        <v/>
      </c>
      <c r="AK51" s="624">
        <f>IF(OR(AI51="",AJ51=""),"",AI51-AJ51)</f>
        <v/>
      </c>
      <c r="AL51" s="394">
        <f>IF(AK51="","",IF(AK51&lt;-5,3,IF(AK51&lt;0,1,IF(AK51&lt;3,-1,-2))))</f>
        <v/>
      </c>
      <c r="AO51" s="398">
        <f>IF(OR($C51="",$E51="",$F51="",$H51="",$I51="",$H51-$I51&lt;=0),"-",IF(AND($H51-MAX($F51,$E51)&gt;=ABS($E51-$F51)*2,MIN($F51,$E51)-$I51&lt;=ABS($E51-$F51)*0.5,ABS($E51-$F51)&gt;0),"上ヒゲ陰線▼",IF(AND($E51&lt;$F51,ABS($E51-$F51)&gt;=($H51-$I51)*0.7),"大陰線▼",IF(AND(MIN($F51,$E51)-$I51&gt;=($H51-$I51)*0.5,$H51-MAX($F51,$E51)&lt;=($H51-$I51)*0.2),"長い下ヒゲ(反発警戒)","通常"))))</f>
        <v/>
      </c>
      <c r="AP51" s="625">
        <f>IF($AO51="上ヒゲ陰線▼",2,IF($AO51="大陰線▼",2,IF($AO51="長い下ヒゲ(反発警戒)",-2,0)))</f>
        <v/>
      </c>
      <c r="AQ51">
        <f>IF(C51&lt;&gt;"",始値!F59,"")</f>
        <v/>
      </c>
      <c r="AR51">
        <f>IF(C51&lt;&gt;"",高値!F59,"")</f>
        <v/>
      </c>
      <c r="AS51">
        <f>IF(C51&lt;&gt;"",安値!F59,"")</f>
        <v/>
      </c>
      <c r="AT51">
        <f>IF(OR(C51="",AQ51="",AR51="",AS51="",AR51-AS51&lt;=0),"-",IF(AND(AR51-MAX(G51,AQ51)&gt;=ABS(G51-AQ51)*2,MIN(G51,AQ51)-AS51&lt;=ABS(G51-AQ51)*0.5,ABS(G51-AQ51)&gt;0),"上ヒゲ陰線▼",IF(AND(G51&lt;AQ51,ABS(G51-AQ51)&gt;=(AR51-AS51)*0.7),"大陰線▼",IF(AND(MIN(G51,AQ51)-AS51&gt;=(AR51-AS51)*0.5,AR51-MAX(G51,AQ51)&lt;=(AR51-AS51)*0.2),"長い下ヒゲ(反発)","通常"))))</f>
        <v/>
      </c>
      <c r="AU51">
        <f>IF(AT51="上ヒゲ陰線▼",2,IF(AT51="大陰線▼",2,IF(AT51="長い下ヒゲ(反発)",-2,0)))</f>
        <v/>
      </c>
    </row>
    <row r="52" ht="14.25" customHeight="1" s="574">
      <c r="A52" s="352">
        <f>IF(銘柄管理!B62&lt;&gt;"",HYPERLINK("https://kabutan.jp/stock/?code="&amp;銘柄管理!B62,"株探"),"")</f>
        <v/>
      </c>
      <c r="B52" s="225" t="n"/>
      <c r="C52" s="225">
        <f>IF(銘柄管理!B62="","",銘柄管理!B62)</f>
        <v/>
      </c>
      <c r="D52" s="225">
        <f>IF(銘柄管理!C62="","",銘柄管理!C62)</f>
        <v/>
      </c>
      <c r="E52" s="353">
        <f>IF(C52&lt;&gt;"",_xll.RssMarket(C52,"現在値"),"")</f>
        <v/>
      </c>
      <c r="F52" s="353">
        <f>IF(C52&lt;&gt;"",_xll.RssMarket(C52,"始値"),"")</f>
        <v/>
      </c>
      <c r="G52" s="225">
        <f>IF(C52&lt;&gt;"",終値!F62,"")</f>
        <v/>
      </c>
      <c r="H52" s="353">
        <f>IF(C52&lt;&gt;"",_xll.RssMarket(C52,"高値"),"")</f>
        <v/>
      </c>
      <c r="I52" s="353">
        <f>IF(C52&lt;&gt;"",_xll.RssMarket(C52,"安値"),"")</f>
        <v/>
      </c>
      <c r="J52" s="353">
        <f>IF(C52&lt;&gt;"",_xll.RssMarket(C52,"出来高"),"")</f>
        <v/>
      </c>
      <c r="K52" s="353">
        <f>IF(C52&lt;&gt;"",_xll.RssMarket(C52,"年初来高値"),"")</f>
        <v/>
      </c>
      <c r="L52" s="626">
        <f>IF(AND(E52&lt;&gt;"",K52&lt;&gt;"",K52&lt;&gt;0),(E52-K52)/K52*100,"")</f>
        <v/>
      </c>
      <c r="M52" s="353">
        <f>IF(C52&lt;&gt;"",IFERROR(AVERAGE(出来高!E62:I62),""),"")</f>
        <v/>
      </c>
      <c r="N52" s="353">
        <f>IF(C52&lt;&gt;"",IFERROR(AVERAGE(出来高!E62:AC62),""),"")</f>
        <v/>
      </c>
      <c r="O52" s="627">
        <f>IF(AND(J52&lt;&gt;"",M52&lt;&gt;"",M52&lt;&gt;0),J52/M52,"")</f>
        <v/>
      </c>
      <c r="P52" s="225">
        <f>IF(O52="","",IF(O52&gt;=2,"急増↑↑",IF(O52&gt;=1.5,"増加↑",IF(O52&gt;=1,"普通→","減少↓"))))</f>
        <v/>
      </c>
      <c r="Q52" s="225">
        <f>IF(E52="","",IF(AND(E52&lt;G52,O52&gt;=1.5),"売り▼",IF(E52&gt;G52,"様子見▲","中立→")))</f>
        <v/>
      </c>
      <c r="R52" s="353">
        <f>IF(E52&lt;&gt;"",ROUND(E52*0.92,0),"")</f>
        <v/>
      </c>
      <c r="S52" s="353">
        <f>IF(E52&lt;&gt;"",ROUND(E52*1.04,0),"")</f>
        <v/>
      </c>
      <c r="T52" s="345">
        <f>IF(C52="","",IFERROR(IF(W52&gt;=70,3,IF(W52&gt;=60,2,IF(W52&gt;=50,1,0)))+IF(X52&lt;0,2,0)+IF(AD52="下降トレンド▼",3,IF(AD52="もみ合い→",1,0))+IF(V52="年初来安値圏●",3,IF(V52="安値圏",2,0))+IF(Q52="売り▼",2,0)+IF(P52="急増↑↑",2,IF(P52="増加↑",1,0))+IF(Z52&lt;0,1,0)+IF(L52&lt;=-30,2,IF(L52&lt;=-15,1,0))+IF(AE52="25日戻り売り★",2,IF(AE52="5日戻り売り○",1,0))+N(AL52)+N(AP52)+N(AU52),0))</f>
        <v/>
      </c>
      <c r="U52" s="225">
        <f>IF(T52="","",IF(AND(T52&gt;=3,O52&gt;=1.5),"有効",IF(T52&gt;=3,"要確認","除外")))</f>
        <v/>
      </c>
      <c r="V52" s="225">
        <f>IF(AND(I52&lt;&gt;"",K52&lt;&gt;""),IF(I52&lt;=K52*0.6,"年初来安値圏●",IF(I52&lt;=K52*0.75,"安値圏","通常")),"")</f>
        <v/>
      </c>
      <c r="W52" s="628">
        <f t="array" ref="W52">IFERROR(100-100/(1+SUMPRODUCT((終値!F62:R62&gt;終値!G62:S62)*(終値!F62:R62-終値!G62:S62))/SUMPRODUCT((終値!F62:R62&lt;終値!G62:S62)*(終値!G62:S62-終値!F62:R62))),50)</f>
        <v/>
      </c>
      <c r="X52" s="357">
        <f>IF(C52&lt;&gt;"",IFERROR(SUMPRODUCT(終値!E62:P62,{0.154,0.132,0.113,0.097,0.083,0.071,0.061,0.052,0.045,0.038,0.033,0.028})/SUMPRODUCT({0.154,0.132,0.113,0.097,0.083,0.071,0.061,0.052,0.045,0.038,0.033,0.028})-SUMPRODUCT(終値!E62:AD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2" s="225">
        <f>IF(AF52="","",AF52&amp;" | "&amp;AD52&amp;IF(AE52&lt;&gt;"なし"," "&amp;AE52,"")&amp;IF(X52&lt;0," MACD-"," MACD+")&amp;" RSI:"&amp;TEXT(W52,"0.0")&amp;IF(W52&gt;=70," [過熱]",IF(W52&lt;=30," [売られ過ぎ]",""))&amp;" 前日比:"&amp;TEXT(Z52,"+0.0;-0.0;0.0")&amp;"%"&amp;IF(V52="年初来安値圏●"," [年初来安値圏]",IF(V52="安値圏"," [安値圏]",""))&amp;IF(OR(AO52="通常",AO52="-"),""," ["&amp;AO52&amp;"]")&amp;IF(OR(AT52="通常",AT52="-"),"","前日["&amp;AT52&amp;"]")&amp;" ["&amp;T52&amp;"点]")</f>
        <v/>
      </c>
      <c r="Z52" s="629">
        <f>IF(AND(E52&lt;&gt;"",G52&lt;&gt;"",G52&lt;&gt;0),(E52-G52)/G52*100,"")</f>
        <v/>
      </c>
      <c r="AA52" s="225">
        <f>IF(OR(C52="",E52="",E52=0),"",IF(E52&gt;G52,"上昇▲",IF(E52&lt;G52,"下落▼","横ばい→")))</f>
        <v/>
      </c>
      <c r="AB52" s="353">
        <f>IF(OR(C52="",C52="TOPX",終値!E62=""),"",IFERROR(((終値!E62*0.333)+(終値!F62*0.222)+(終値!G62*0.148)+(終値!H62*0.099)+(終値!I62*0.066))/(0.333+0.222+0.148+0.099+0.066),""))</f>
        <v/>
      </c>
      <c r="AC52" s="353">
        <f>IF(OR(C52="",C52="TOPX",終値!E62=""),"",IFERROR(SUMPRODUCT((終値!E62:AC62)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2" s="225">
        <f>IF(OR(C52="",AB52="",AC52="",AB52=0,AC52=0),"",IF(AND(E52&gt;AB52,AB52&gt;AC52),"パーフェクト▲",IF(E52&gt;AC52,"上昇トレンド▲",IF(AND(E52&lt;AB52,AB52&lt;AC52),"下降トレンド▼","もみ合い→"))))</f>
        <v/>
      </c>
      <c r="AE52" s="225">
        <f>IF(OR(C52="",AB52="",AC52=""),"",IF(AND(ABS(E52-AC52)/AC52&lt;=0.02,E52&lt;AC52),"25日戻り売り★",IF(AND(ABS(E52-AB52)/AB52&lt;=0.01,E52&lt;AB52),"5日戻り売り○","なし")))</f>
        <v/>
      </c>
      <c r="AF52">
        <f>IF(T52="","",IF(銘柄管理!$F$5="上昇▲",IF(AND(AD52="下降トレンド▼",OR(AE52="25日戻り売り★",AE52="5日戻り売り○")),"★逆張り売り",IF(AND(AD52="もみ合い→",OR(AE52="25日戻り売り★",AE52="5日戻り売り○")),"○逆張り売り",IF(W52&gt;=70,IF(Z52&lt;0,"◎反落確認","△過熱・様子見"),"相場上昇・見送り"))),IF(AND(T52&gt;=12,AD52="下降トレンド▼"),"★強い売り",IF(T52&gt;=12,"★強い売り",IF(AND(T52&gt;=8,OR(AE52="25日戻り売り★",AE52="5日戻り売り○")),"◎戻り売り",IF(T52&gt;=10,"○売り候補",IF(T52&gt;=6,"△注目",IF(T52&gt;=3,"様子見","見送り"))))))))</f>
        <v/>
      </c>
      <c r="AG52">
        <f>IF(AND(T52&gt;=7,C52&lt;&gt;""),T52,0)</f>
        <v/>
      </c>
      <c r="AH52">
        <f>IF(AG52&gt;0,AG52*10000-ROW(A52),0)</f>
        <v/>
      </c>
      <c r="AI52" s="623">
        <f t="array" ref="AI52">IF(C52="","",IFERROR((INDEX(終値!$E:$E,MATCH(TEXT(C52,"0"),終値!$A:$A,0))-INDEX(終値!$E:$BL,MATCH(TEXT(C52,"0"),終値!$A:$A,0),$AN$2))/INDEX(終値!$E:$BL,MATCH(TEXT(C52,"0"),終値!$A:$A,0),$AN$2)*100,""))</f>
        <v/>
      </c>
      <c r="AJ52" s="623">
        <f t="array" ref="AJ52">IFERROR((終値!$E$5-INDEX(終値!$E$5:$BL$5,1,$AN$2))/INDEX(終値!$E$5:$BL$5,1,$AN$2)*100,"")</f>
        <v/>
      </c>
      <c r="AK52" s="624">
        <f>IF(OR(AI52="",AJ52=""),"",AI52-AJ52)</f>
        <v/>
      </c>
      <c r="AL52" s="394">
        <f>IF(AK52="","",IF(AK52&lt;-5,3,IF(AK52&lt;0,1,IF(AK52&lt;3,-1,-2))))</f>
        <v/>
      </c>
      <c r="AO52" s="398">
        <f>IF(OR($C52="",$E52="",$F52="",$H52="",$I52="",$H52-$I52&lt;=0),"-",IF(AND($H52-MAX($F52,$E52)&gt;=ABS($E52-$F52)*2,MIN($F52,$E52)-$I52&lt;=ABS($E52-$F52)*0.5,ABS($E52-$F52)&gt;0),"上ヒゲ陰線▼",IF(AND($E52&lt;$F52,ABS($E52-$F52)&gt;=($H52-$I52)*0.7),"大陰線▼",IF(AND(MIN($F52,$E52)-$I52&gt;=($H52-$I52)*0.5,$H52-MAX($F52,$E52)&lt;=($H52-$I52)*0.2),"長い下ヒゲ(反発警戒)","通常"))))</f>
        <v/>
      </c>
      <c r="AP52" s="625">
        <f>IF($AO52="上ヒゲ陰線▼",2,IF($AO52="大陰線▼",2,IF($AO52="長い下ヒゲ(反発警戒)",-2,0)))</f>
        <v/>
      </c>
      <c r="AQ52">
        <f>IF(C52&lt;&gt;"",始値!F62,"")</f>
        <v/>
      </c>
      <c r="AR52">
        <f>IF(C52&lt;&gt;"",高値!F62,"")</f>
        <v/>
      </c>
      <c r="AS52">
        <f>IF(C52&lt;&gt;"",安値!F62,"")</f>
        <v/>
      </c>
      <c r="AT52">
        <f>IF(OR(C52="",AQ52="",AR52="",AS52="",AR52-AS52&lt;=0),"-",IF(AND(AR52-MAX(G52,AQ52)&gt;=ABS(G52-AQ52)*2,MIN(G52,AQ52)-AS52&lt;=ABS(G52-AQ52)*0.5,ABS(G52-AQ52)&gt;0),"上ヒゲ陰線▼",IF(AND(G52&lt;AQ52,ABS(G52-AQ52)&gt;=(AR52-AS52)*0.7),"大陰線▼",IF(AND(MIN(G52,AQ52)-AS52&gt;=(AR52-AS52)*0.5,AR52-MAX(G52,AQ52)&lt;=(AR52-AS52)*0.2),"長い下ヒゲ(反発)","通常"))))</f>
        <v/>
      </c>
      <c r="AU52">
        <f>IF(AT52="上ヒゲ陰線▼",2,IF(AT52="大陰線▼",2,IF(AT52="長い下ヒゲ(反発)",-2,0)))</f>
        <v/>
      </c>
    </row>
    <row r="53" ht="14.25" customHeight="1" s="574">
      <c r="A53" s="344">
        <f>IF(銘柄管理!B65&lt;&gt;"",HYPERLINK("https://kabutan.jp/stock/?code="&amp;銘柄管理!B65,"株探"),"")</f>
        <v/>
      </c>
      <c r="B53" s="345" t="n"/>
      <c r="C53" s="345">
        <f>IF(銘柄管理!B65="","",銘柄管理!B65)</f>
        <v/>
      </c>
      <c r="D53" s="345">
        <f>IF(銘柄管理!C65="","",銘柄管理!C65)</f>
        <v/>
      </c>
      <c r="E53" s="346">
        <f>IF(C53&lt;&gt;"",_xll.RssMarket(C53,"現在値"),"")</f>
        <v/>
      </c>
      <c r="F53" s="346">
        <f>IF(C53&lt;&gt;"",_xll.RssMarket(C53,"始値"),"")</f>
        <v/>
      </c>
      <c r="G53" s="345">
        <f>IF(C53&lt;&gt;"",終値!F65,"")</f>
        <v/>
      </c>
      <c r="H53" s="346">
        <f>IF(C53&lt;&gt;"",_xll.RssMarket(C53,"高値"),"")</f>
        <v/>
      </c>
      <c r="I53" s="346">
        <f>IF(C53&lt;&gt;"",_xll.RssMarket(C53,"安値"),"")</f>
        <v/>
      </c>
      <c r="J53" s="346">
        <f>IF(C53&lt;&gt;"",_xll.RssMarket(C53,"出来高"),"")</f>
        <v/>
      </c>
      <c r="K53" s="346">
        <f>IF(C53&lt;&gt;"",_xll.RssMarket(C53,"年初来高値"),"")</f>
        <v/>
      </c>
      <c r="L53" s="619">
        <f>IF(AND(E53&lt;&gt;"",K53&lt;&gt;"",K53&lt;&gt;0),(E53-K53)/K53*100,"")</f>
        <v/>
      </c>
      <c r="M53" s="346">
        <f>IF(C53&lt;&gt;"",IFERROR(AVERAGE(出来高!E65:I65),""),"")</f>
        <v/>
      </c>
      <c r="N53" s="346">
        <f>IF(C53&lt;&gt;"",IFERROR(AVERAGE(出来高!E65:AC65),""),"")</f>
        <v/>
      </c>
      <c r="O53" s="620">
        <f>IF(AND(J53&lt;&gt;"",M53&lt;&gt;"",M53&lt;&gt;0),J53/M53,"")</f>
        <v/>
      </c>
      <c r="P53" s="345">
        <f>IF(O53="","",IF(O53&gt;=2,"急増↑↑",IF(O53&gt;=1.5,"増加↑",IF(O53&gt;=1,"普通→","減少↓"))))</f>
        <v/>
      </c>
      <c r="Q53" s="345">
        <f>IF(E53="","",IF(AND(E53&lt;G53,O53&gt;=1.5),"売り▼",IF(E53&gt;G53,"様子見▲","中立→")))</f>
        <v/>
      </c>
      <c r="R53" s="346">
        <f>IF(E53&lt;&gt;"",ROUND(E53*0.92,0),"")</f>
        <v/>
      </c>
      <c r="S53" s="346">
        <f>IF(E53&lt;&gt;"",ROUND(E53*1.04,0),"")</f>
        <v/>
      </c>
      <c r="T53" s="345">
        <f>IF(C53="","",IFERROR(IF(W53&gt;=70,3,IF(W53&gt;=60,2,IF(W53&gt;=50,1,0)))+IF(X53&lt;0,2,0)+IF(AD53="下降トレンド▼",3,IF(AD53="もみ合い→",1,0))+IF(V53="年初来安値圏●",3,IF(V53="安値圏",2,0))+IF(Q53="売り▼",2,0)+IF(P53="急増↑↑",2,IF(P53="増加↑",1,0))+IF(Z53&lt;0,1,0)+IF(L53&lt;=-30,2,IF(L53&lt;=-15,1,0))+IF(AE53="25日戻り売り★",2,IF(AE53="5日戻り売り○",1,0))+N(AL53)+N(AP53)+N(AU53),0))</f>
        <v/>
      </c>
      <c r="U53" s="345">
        <f>IF(T53="","",IF(AND(T53&gt;=3,O53&gt;=1.5),"有効",IF(T53&gt;=3,"要確認","除外")))</f>
        <v/>
      </c>
      <c r="V53" s="345">
        <f>IF(AND(I53&lt;&gt;"",K53&lt;&gt;""),IF(I53&lt;=K53*0.6,"年初来安値圏●",IF(I53&lt;=K53*0.75,"安値圏","通常")),"")</f>
        <v/>
      </c>
      <c r="W53" s="621">
        <f t="array" ref="W53">IFERROR(100-100/(1+SUMPRODUCT((終値!F65:R65&gt;終値!G65:S65)*(終値!F65:R65-終値!G65:S65))/SUMPRODUCT((終値!F65:R65&lt;終値!G65:S65)*(終値!G65:S65-終値!F65:R65))),50)</f>
        <v/>
      </c>
      <c r="X53" s="350">
        <f>IF(C53&lt;&gt;"",IFERROR(SUMPRODUCT(終値!E65:P65,{0.154,0.132,0.113,0.097,0.083,0.071,0.061,0.052,0.045,0.038,0.033,0.028})/SUMPRODUCT({0.154,0.132,0.113,0.097,0.083,0.071,0.061,0.052,0.045,0.038,0.033,0.028})-SUMPRODUCT(終値!E65:AD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3" s="345">
        <f>IF(AF53="","",AF53&amp;" | "&amp;AD53&amp;IF(AE53&lt;&gt;"なし"," "&amp;AE53,"")&amp;IF(X53&lt;0," MACD-"," MACD+")&amp;" RSI:"&amp;TEXT(W53,"0.0")&amp;IF(W53&gt;=70," [過熱]",IF(W53&lt;=30," [売られ過ぎ]",""))&amp;" 前日比:"&amp;TEXT(Z53,"+0.0;-0.0;0.0")&amp;"%"&amp;IF(V53="年初来安値圏●"," [年初来安値圏]",IF(V53="安値圏"," [安値圏]",""))&amp;IF(OR(AO53="通常",AO53="-"),""," ["&amp;AO53&amp;"]")&amp;IF(OR(AT53="通常",AT53="-"),"","前日["&amp;AT53&amp;"]")&amp;" ["&amp;T53&amp;"点]")</f>
        <v/>
      </c>
      <c r="Z53" s="622">
        <f>IF(AND(E53&lt;&gt;"",G53&lt;&gt;"",G53&lt;&gt;0),(E53-G53)/G53*100,"")</f>
        <v/>
      </c>
      <c r="AA53" s="345">
        <f>IF(OR(C53="",E53="",E53=0),"",IF(E53&gt;G53,"上昇▲",IF(E53&lt;G53,"下落▼","横ばい→")))</f>
        <v/>
      </c>
      <c r="AB53" s="346">
        <f>IF(OR(C53="",C53="TOPX",終値!E65=""),"",IFERROR(((終値!E65*0.333)+(終値!F65*0.222)+(終値!G65*0.148)+(終値!H65*0.099)+(終値!I65*0.066))/(0.333+0.222+0.148+0.099+0.066),""))</f>
        <v/>
      </c>
      <c r="AC53" s="346">
        <f>IF(OR(C53="",C53="TOPX",終値!E65=""),"",IFERROR(SUMPRODUCT((終値!E65:AC65)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3" s="345">
        <f>IF(OR(C53="",AB53="",AC53="",AB53=0,AC53=0),"",IF(AND(E53&gt;AB53,AB53&gt;AC53),"パーフェクト▲",IF(E53&gt;AC53,"上昇トレンド▲",IF(AND(E53&lt;AB53,AB53&lt;AC53),"下降トレンド▼","もみ合い→"))))</f>
        <v/>
      </c>
      <c r="AE53" s="345">
        <f>IF(OR(C53="",AB53="",AC53=""),"",IF(AND(ABS(E53-AC53)/AC53&lt;=0.02,E53&lt;AC53),"25日戻り売り★",IF(AND(ABS(E53-AB53)/AB53&lt;=0.01,E53&lt;AB53),"5日戻り売り○","なし")))</f>
        <v/>
      </c>
      <c r="AF53">
        <f>IF(T53="","",IF(銘柄管理!$F$5="上昇▲",IF(AND(AD53="下降トレンド▼",OR(AE53="25日戻り売り★",AE53="5日戻り売り○")),"★逆張り売り",IF(AND(AD53="もみ合い→",OR(AE53="25日戻り売り★",AE53="5日戻り売り○")),"○逆張り売り",IF(W53&gt;=70,IF(Z53&lt;0,"◎反落確認","△過熱・様子見"),"相場上昇・見送り"))),IF(AND(T53&gt;=12,AD53="下降トレンド▼"),"★強い売り",IF(T53&gt;=12,"★強い売り",IF(AND(T53&gt;=8,OR(AE53="25日戻り売り★",AE53="5日戻り売り○")),"◎戻り売り",IF(T53&gt;=10,"○売り候補",IF(T53&gt;=6,"△注目",IF(T53&gt;=3,"様子見","見送り"))))))))</f>
        <v/>
      </c>
      <c r="AG53">
        <f>IF(AND(T53&gt;=7,C53&lt;&gt;""),T53,0)</f>
        <v/>
      </c>
      <c r="AH53">
        <f>IF(AG53&gt;0,AG53*10000-ROW(A53),0)</f>
        <v/>
      </c>
      <c r="AI53" s="623">
        <f t="array" ref="AI53">IF(C53="","",IFERROR((INDEX(終値!$E:$E,MATCH(TEXT(C53,"0"),終値!$A:$A,0))-INDEX(終値!$E:$BL,MATCH(TEXT(C53,"0"),終値!$A:$A,0),$AN$2))/INDEX(終値!$E:$BL,MATCH(TEXT(C53,"0"),終値!$A:$A,0),$AN$2)*100,""))</f>
        <v/>
      </c>
      <c r="AJ53" s="623">
        <f t="array" ref="AJ53">IFERROR((終値!$E$5-INDEX(終値!$E$5:$BL$5,1,$AN$2))/INDEX(終値!$E$5:$BL$5,1,$AN$2)*100,"")</f>
        <v/>
      </c>
      <c r="AK53" s="624">
        <f>IF(OR(AI53="",AJ53=""),"",AI53-AJ53)</f>
        <v/>
      </c>
      <c r="AL53" s="394">
        <f>IF(AK53="","",IF(AK53&lt;-5,3,IF(AK53&lt;0,1,IF(AK53&lt;3,-1,-2))))</f>
        <v/>
      </c>
      <c r="AO53" s="398">
        <f>IF(OR($C53="",$E53="",$F53="",$H53="",$I53="",$H53-$I53&lt;=0),"-",IF(AND($H53-MAX($F53,$E53)&gt;=ABS($E53-$F53)*2,MIN($F53,$E53)-$I53&lt;=ABS($E53-$F53)*0.5,ABS($E53-$F53)&gt;0),"上ヒゲ陰線▼",IF(AND($E53&lt;$F53,ABS($E53-$F53)&gt;=($H53-$I53)*0.7),"大陰線▼",IF(AND(MIN($F53,$E53)-$I53&gt;=($H53-$I53)*0.5,$H53-MAX($F53,$E53)&lt;=($H53-$I53)*0.2),"長い下ヒゲ(反発警戒)","通常"))))</f>
        <v/>
      </c>
      <c r="AP53" s="625">
        <f>IF($AO53="上ヒゲ陰線▼",2,IF($AO53="大陰線▼",2,IF($AO53="長い下ヒゲ(反発警戒)",-2,0)))</f>
        <v/>
      </c>
      <c r="AQ53">
        <f>IF(C53&lt;&gt;"",始値!F65,"")</f>
        <v/>
      </c>
      <c r="AR53">
        <f>IF(C53&lt;&gt;"",高値!F65,"")</f>
        <v/>
      </c>
      <c r="AS53">
        <f>IF(C53&lt;&gt;"",安値!F65,"")</f>
        <v/>
      </c>
      <c r="AT53">
        <f>IF(OR(C53="",AQ53="",AR53="",AS53="",AR53-AS53&lt;=0),"-",IF(AND(AR53-MAX(G53,AQ53)&gt;=ABS(G53-AQ53)*2,MIN(G53,AQ53)-AS53&lt;=ABS(G53-AQ53)*0.5,ABS(G53-AQ53)&gt;0),"上ヒゲ陰線▼",IF(AND(G53&lt;AQ53,ABS(G53-AQ53)&gt;=(AR53-AS53)*0.7),"大陰線▼",IF(AND(MIN(G53,AQ53)-AS53&gt;=(AR53-AS53)*0.5,AR53-MAX(G53,AQ53)&lt;=(AR53-AS53)*0.2),"長い下ヒゲ(反発)","通常"))))</f>
        <v/>
      </c>
      <c r="AU53">
        <f>IF(AT53="上ヒゲ陰線▼",2,IF(AT53="大陰線▼",2,IF(AT53="長い下ヒゲ(反発)",-2,0)))</f>
        <v/>
      </c>
    </row>
    <row r="54" ht="14.25" customHeight="1" s="574">
      <c r="A54" s="352">
        <f>IF(銘柄管理!B71&lt;&gt;"",HYPERLINK("https://kabutan.jp/stock/?code="&amp;銘柄管理!B71,"株探"),"")</f>
        <v/>
      </c>
      <c r="B54" s="225" t="n"/>
      <c r="C54" s="225">
        <f>IF(銘柄管理!B71="","",銘柄管理!B71)</f>
        <v/>
      </c>
      <c r="D54" s="225">
        <f>IF(銘柄管理!C71="","",銘柄管理!C71)</f>
        <v/>
      </c>
      <c r="E54" s="353">
        <f>IF(C54&lt;&gt;"",_xll.RssMarket(C54,"現在値"),"")</f>
        <v/>
      </c>
      <c r="F54" s="353">
        <f>IF(C54&lt;&gt;"",_xll.RssMarket(C54,"始値"),"")</f>
        <v/>
      </c>
      <c r="G54" s="225">
        <f>IF(C54&lt;&gt;"",終値!F71,"")</f>
        <v/>
      </c>
      <c r="H54" s="353">
        <f>IF(C54&lt;&gt;"",_xll.RssMarket(C54,"高値"),"")</f>
        <v/>
      </c>
      <c r="I54" s="353">
        <f>IF(C54&lt;&gt;"",_xll.RssMarket(C54,"安値"),"")</f>
        <v/>
      </c>
      <c r="J54" s="353">
        <f>IF(C54&lt;&gt;"",_xll.RssMarket(C54,"出来高"),"")</f>
        <v/>
      </c>
      <c r="K54" s="353">
        <f>IF(C54&lt;&gt;"",_xll.RssMarket(C54,"年初来高値"),"")</f>
        <v/>
      </c>
      <c r="L54" s="626">
        <f>IF(AND(E54&lt;&gt;"",K54&lt;&gt;"",K54&lt;&gt;0),(E54-K54)/K54*100,"")</f>
        <v/>
      </c>
      <c r="M54" s="353">
        <f>IF(C54&lt;&gt;"",IFERROR(AVERAGE(出来高!E71:I71),""),"")</f>
        <v/>
      </c>
      <c r="N54" s="353">
        <f>IF(C54&lt;&gt;"",IFERROR(AVERAGE(出来高!E71:AC71),""),"")</f>
        <v/>
      </c>
      <c r="O54" s="627">
        <f>IF(AND(J54&lt;&gt;"",M54&lt;&gt;"",M54&lt;&gt;0),J54/M54,"")</f>
        <v/>
      </c>
      <c r="P54" s="225">
        <f>IF(O54="","",IF(O54&gt;=2,"急増↑↑",IF(O54&gt;=1.5,"増加↑",IF(O54&gt;=1,"普通→","減少↓"))))</f>
        <v/>
      </c>
      <c r="Q54" s="225">
        <f>IF(E54="","",IF(AND(E54&lt;G54,O54&gt;=1.5),"売り▼",IF(E54&gt;G54,"様子見▲","中立→")))</f>
        <v/>
      </c>
      <c r="R54" s="353">
        <f>IF(E54&lt;&gt;"",ROUND(E54*0.92,0),"")</f>
        <v/>
      </c>
      <c r="S54" s="353">
        <f>IF(E54&lt;&gt;"",ROUND(E54*1.04,0),"")</f>
        <v/>
      </c>
      <c r="T54" s="345">
        <f>IF(C54="","",IFERROR(IF(W54&gt;=70,3,IF(W54&gt;=60,2,IF(W54&gt;=50,1,0)))+IF(X54&lt;0,2,0)+IF(AD54="下降トレンド▼",3,IF(AD54="もみ合い→",1,0))+IF(V54="年初来安値圏●",3,IF(V54="安値圏",2,0))+IF(Q54="売り▼",2,0)+IF(P54="急増↑↑",2,IF(P54="増加↑",1,0))+IF(Z54&lt;0,1,0)+IF(L54&lt;=-30,2,IF(L54&lt;=-15,1,0))+IF(AE54="25日戻り売り★",2,IF(AE54="5日戻り売り○",1,0))+N(AL54)+N(AP54)+N(AU54),0))</f>
        <v/>
      </c>
      <c r="U54" s="225">
        <f>IF(T54="","",IF(AND(T54&gt;=3,O54&gt;=1.5),"有効",IF(T54&gt;=3,"要確認","除外")))</f>
        <v/>
      </c>
      <c r="V54" s="225">
        <f>IF(AND(I54&lt;&gt;"",K54&lt;&gt;""),IF(I54&lt;=K54*0.6,"年初来安値圏●",IF(I54&lt;=K54*0.75,"安値圏","通常")),"")</f>
        <v/>
      </c>
      <c r="W54" s="628">
        <f t="array" ref="W54">IFERROR(100-100/(1+SUMPRODUCT((終値!F71:R71&gt;終値!G71:S71)*(終値!F71:R71-終値!G71:S71))/SUMPRODUCT((終値!F71:R71&lt;終値!G71:S71)*(終値!G71:S71-終値!F71:R71))),50)</f>
        <v/>
      </c>
      <c r="X54" s="357">
        <f>IF(C54&lt;&gt;"",IFERROR(SUMPRODUCT(終値!E71:P71,{0.154,0.132,0.113,0.097,0.083,0.071,0.061,0.052,0.045,0.038,0.033,0.028})/SUMPRODUCT({0.154,0.132,0.113,0.097,0.083,0.071,0.061,0.052,0.045,0.038,0.033,0.028})-SUMPRODUCT(終値!E71:AD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4" s="225">
        <f>IF(AF54="","",AF54&amp;" | "&amp;AD54&amp;IF(AE54&lt;&gt;"なし"," "&amp;AE54,"")&amp;IF(X54&lt;0," MACD-"," MACD+")&amp;" RSI:"&amp;TEXT(W54,"0.0")&amp;IF(W54&gt;=70," [過熱]",IF(W54&lt;=30," [売られ過ぎ]",""))&amp;" 前日比:"&amp;TEXT(Z54,"+0.0;-0.0;0.0")&amp;"%"&amp;IF(V54="年初来安値圏●"," [年初来安値圏]",IF(V54="安値圏"," [安値圏]",""))&amp;IF(OR(AO54="通常",AO54="-"),""," ["&amp;AO54&amp;"]")&amp;IF(OR(AT54="通常",AT54="-"),"","前日["&amp;AT54&amp;"]")&amp;" ["&amp;T54&amp;"点]")</f>
        <v/>
      </c>
      <c r="Z54" s="629">
        <f>IF(AND(E54&lt;&gt;"",G54&lt;&gt;"",G54&lt;&gt;0),(E54-G54)/G54*100,"")</f>
        <v/>
      </c>
      <c r="AA54" s="225">
        <f>IF(OR(C54="",E54="",E54=0),"",IF(E54&gt;G54,"上昇▲",IF(E54&lt;G54,"下落▼","横ばい→")))</f>
        <v/>
      </c>
      <c r="AB54" s="353">
        <f>IF(OR(C54="",C54="TOPX",終値!E71=""),"",IFERROR(((終値!E71*0.333)+(終値!F71*0.222)+(終値!G71*0.148)+(終値!H71*0.099)+(終値!I71*0.066))/(0.333+0.222+0.148+0.099+0.066),""))</f>
        <v/>
      </c>
      <c r="AC54" s="353">
        <f>IF(OR(C54="",C54="TOPX",終値!E71=""),"",IFERROR(SUMPRODUCT((終値!E71:AC71)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4" s="225">
        <f>IF(OR(C54="",AB54="",AC54="",AB54=0,AC54=0),"",IF(AND(E54&gt;AB54,AB54&gt;AC54),"パーフェクト▲",IF(E54&gt;AC54,"上昇トレンド▲",IF(AND(E54&lt;AB54,AB54&lt;AC54),"下降トレンド▼","もみ合い→"))))</f>
        <v/>
      </c>
      <c r="AE54" s="225">
        <f>IF(OR(C54="",AB54="",AC54=""),"",IF(AND(ABS(E54-AC54)/AC54&lt;=0.02,E54&lt;AC54),"25日戻り売り★",IF(AND(ABS(E54-AB54)/AB54&lt;=0.01,E54&lt;AB54),"5日戻り売り○","なし")))</f>
        <v/>
      </c>
      <c r="AF54">
        <f>IF(T54="","",IF(銘柄管理!$F$5="上昇▲",IF(AND(AD54="下降トレンド▼",OR(AE54="25日戻り売り★",AE54="5日戻り売り○")),"★逆張り売り",IF(AND(AD54="もみ合い→",OR(AE54="25日戻り売り★",AE54="5日戻り売り○")),"○逆張り売り",IF(W54&gt;=70,IF(Z54&lt;0,"◎反落確認","△過熱・様子見"),"相場上昇・見送り"))),IF(AND(T54&gt;=12,AD54="下降トレンド▼"),"★強い売り",IF(T54&gt;=12,"★強い売り",IF(AND(T54&gt;=8,OR(AE54="25日戻り売り★",AE54="5日戻り売り○")),"◎戻り売り",IF(T54&gt;=10,"○売り候補",IF(T54&gt;=6,"△注目",IF(T54&gt;=3,"様子見","見送り"))))))))</f>
        <v/>
      </c>
      <c r="AG54">
        <f>IF(AND(T54&gt;=7,C54&lt;&gt;""),T54,0)</f>
        <v/>
      </c>
      <c r="AH54">
        <f>IF(AG54&gt;0,AG54*10000-ROW(A54),0)</f>
        <v/>
      </c>
      <c r="AI54" s="623">
        <f t="array" ref="AI54">IF(C54="","",IFERROR((INDEX(終値!$E:$E,MATCH(TEXT(C54,"0"),終値!$A:$A,0))-INDEX(終値!$E:$BL,MATCH(TEXT(C54,"0"),終値!$A:$A,0),$AN$2))/INDEX(終値!$E:$BL,MATCH(TEXT(C54,"0"),終値!$A:$A,0),$AN$2)*100,""))</f>
        <v/>
      </c>
      <c r="AJ54" s="623">
        <f t="array" ref="AJ54">IFERROR((終値!$E$5-INDEX(終値!$E$5:$BL$5,1,$AN$2))/INDEX(終値!$E$5:$BL$5,1,$AN$2)*100,"")</f>
        <v/>
      </c>
      <c r="AK54" s="624">
        <f>IF(OR(AI54="",AJ54=""),"",AI54-AJ54)</f>
        <v/>
      </c>
      <c r="AL54" s="394">
        <f>IF(AK54="","",IF(AK54&lt;-5,3,IF(AK54&lt;0,1,IF(AK54&lt;3,-1,-2))))</f>
        <v/>
      </c>
      <c r="AO54" s="398">
        <f>IF(OR($C54="",$E54="",$F54="",$H54="",$I54="",$H54-$I54&lt;=0),"-",IF(AND($H54-MAX($F54,$E54)&gt;=ABS($E54-$F54)*2,MIN($F54,$E54)-$I54&lt;=ABS($E54-$F54)*0.5,ABS($E54-$F54)&gt;0),"上ヒゲ陰線▼",IF(AND($E54&lt;$F54,ABS($E54-$F54)&gt;=($H54-$I54)*0.7),"大陰線▼",IF(AND(MIN($F54,$E54)-$I54&gt;=($H54-$I54)*0.5,$H54-MAX($F54,$E54)&lt;=($H54-$I54)*0.2),"長い下ヒゲ(反発警戒)","通常"))))</f>
        <v/>
      </c>
      <c r="AP54" s="625">
        <f>IF($AO54="上ヒゲ陰線▼",2,IF($AO54="大陰線▼",2,IF($AO54="長い下ヒゲ(反発警戒)",-2,0)))</f>
        <v/>
      </c>
      <c r="AQ54">
        <f>IF(C54&lt;&gt;"",始値!F71,"")</f>
        <v/>
      </c>
      <c r="AR54">
        <f>IF(C54&lt;&gt;"",高値!F71,"")</f>
        <v/>
      </c>
      <c r="AS54">
        <f>IF(C54&lt;&gt;"",安値!F71,"")</f>
        <v/>
      </c>
      <c r="AT54">
        <f>IF(OR(C54="",AQ54="",AR54="",AS54="",AR54-AS54&lt;=0),"-",IF(AND(AR54-MAX(G54,AQ54)&gt;=ABS(G54-AQ54)*2,MIN(G54,AQ54)-AS54&lt;=ABS(G54-AQ54)*0.5,ABS(G54-AQ54)&gt;0),"上ヒゲ陰線▼",IF(AND(G54&lt;AQ54,ABS(G54-AQ54)&gt;=(AR54-AS54)*0.7),"大陰線▼",IF(AND(MIN(G54,AQ54)-AS54&gt;=(AR54-AS54)*0.5,AR54-MAX(G54,AQ54)&lt;=(AR54-AS54)*0.2),"長い下ヒゲ(反発)","通常"))))</f>
        <v/>
      </c>
      <c r="AU54">
        <f>IF(AT54="上ヒゲ陰線▼",2,IF(AT54="大陰線▼",2,IF(AT54="長い下ヒゲ(反発)",-2,0)))</f>
        <v/>
      </c>
    </row>
    <row r="55" ht="14.25" customHeight="1" s="574">
      <c r="A55" s="344">
        <f>IF(銘柄管理!B73&lt;&gt;"",HYPERLINK("https://kabutan.jp/stock/?code="&amp;銘柄管理!B73,"株探"),"")</f>
        <v/>
      </c>
      <c r="B55" s="345" t="n"/>
      <c r="C55" s="345">
        <f>IF(銘柄管理!B73="","",銘柄管理!B73)</f>
        <v/>
      </c>
      <c r="D55" s="345">
        <f>IF(銘柄管理!C73="","",銘柄管理!C73)</f>
        <v/>
      </c>
      <c r="E55" s="346">
        <f>IF(C55&lt;&gt;"",_xll.RssMarket(C55,"現在値"),"")</f>
        <v/>
      </c>
      <c r="F55" s="346">
        <f>IF(C55&lt;&gt;"",_xll.RssMarket(C55,"始値"),"")</f>
        <v/>
      </c>
      <c r="G55" s="345">
        <f>IF(C55&lt;&gt;"",終値!F73,"")</f>
        <v/>
      </c>
      <c r="H55" s="346">
        <f>IF(C55&lt;&gt;"",_xll.RssMarket(C55,"高値"),"")</f>
        <v/>
      </c>
      <c r="I55" s="346">
        <f>IF(C55&lt;&gt;"",_xll.RssMarket(C55,"安値"),"")</f>
        <v/>
      </c>
      <c r="J55" s="346">
        <f>IF(C55&lt;&gt;"",_xll.RssMarket(C55,"出来高"),"")</f>
        <v/>
      </c>
      <c r="K55" s="346">
        <f>IF(C55&lt;&gt;"",_xll.RssMarket(C55,"年初来高値"),"")</f>
        <v/>
      </c>
      <c r="L55" s="619">
        <f>IF(AND(E55&lt;&gt;"",K55&lt;&gt;"",K55&lt;&gt;0),(E55-K55)/K55*100,"")</f>
        <v/>
      </c>
      <c r="M55" s="346">
        <f>IF(C55&lt;&gt;"",IFERROR(AVERAGE(出来高!E73:I73),""),"")</f>
        <v/>
      </c>
      <c r="N55" s="346">
        <f>IF(C55&lt;&gt;"",IFERROR(AVERAGE(出来高!E73:AC73),""),"")</f>
        <v/>
      </c>
      <c r="O55" s="620">
        <f>IF(AND(J55&lt;&gt;"",M55&lt;&gt;"",M55&lt;&gt;0),J55/M55,"")</f>
        <v/>
      </c>
      <c r="P55" s="345">
        <f>IF(O55="","",IF(O55&gt;=2,"急増↑↑",IF(O55&gt;=1.5,"増加↑",IF(O55&gt;=1,"普通→","減少↓"))))</f>
        <v/>
      </c>
      <c r="Q55" s="345">
        <f>IF(E55="","",IF(AND(E55&lt;G55,O55&gt;=1.5),"売り▼",IF(E55&gt;G55,"様子見▲","中立→")))</f>
        <v/>
      </c>
      <c r="R55" s="346">
        <f>IF(E55&lt;&gt;"",ROUND(E55*0.92,0),"")</f>
        <v/>
      </c>
      <c r="S55" s="346">
        <f>IF(E55&lt;&gt;"",ROUND(E55*1.04,0),"")</f>
        <v/>
      </c>
      <c r="T55" s="345">
        <f>IF(C55="","",IFERROR(IF(W55&gt;=70,3,IF(W55&gt;=60,2,IF(W55&gt;=50,1,0)))+IF(X55&lt;0,2,0)+IF(AD55="下降トレンド▼",3,IF(AD55="もみ合い→",1,0))+IF(V55="年初来安値圏●",3,IF(V55="安値圏",2,0))+IF(Q55="売り▼",2,0)+IF(P55="急増↑↑",2,IF(P55="増加↑",1,0))+IF(Z55&lt;0,1,0)+IF(L55&lt;=-30,2,IF(L55&lt;=-15,1,0))+IF(AE55="25日戻り売り★",2,IF(AE55="5日戻り売り○",1,0))+N(AL55)+N(AP55)+N(AU55),0))</f>
        <v/>
      </c>
      <c r="U55" s="345">
        <f>IF(T55="","",IF(AND(T55&gt;=3,O55&gt;=1.5),"有効",IF(T55&gt;=3,"要確認","除外")))</f>
        <v/>
      </c>
      <c r="V55" s="345">
        <f>IF(AND(I55&lt;&gt;"",K55&lt;&gt;""),IF(I55&lt;=K55*0.6,"年初来安値圏●",IF(I55&lt;=K55*0.75,"安値圏","通常")),"")</f>
        <v/>
      </c>
      <c r="W55" s="621">
        <f t="array" ref="W55">IFERROR(100-100/(1+SUMPRODUCT((終値!F73:R73&gt;終値!G73:S73)*(終値!F73:R73-終値!G73:S73))/SUMPRODUCT((終値!F73:R73&lt;終値!G73:S73)*(終値!G73:S73-終値!F73:R73))),50)</f>
        <v/>
      </c>
      <c r="X55" s="350">
        <f>IF(C55&lt;&gt;"",IFERROR(SUMPRODUCT(終値!E73:P73,{0.154,0.132,0.113,0.097,0.083,0.071,0.061,0.052,0.045,0.038,0.033,0.028})/SUMPRODUCT({0.154,0.132,0.113,0.097,0.083,0.071,0.061,0.052,0.045,0.038,0.033,0.028})-SUMPRODUCT(終値!E73:AD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5" s="345">
        <f>IF(AF55="","",AF55&amp;" | "&amp;AD55&amp;IF(AE55&lt;&gt;"なし"," "&amp;AE55,"")&amp;IF(X55&lt;0," MACD-"," MACD+")&amp;" RSI:"&amp;TEXT(W55,"0.0")&amp;IF(W55&gt;=70," [過熱]",IF(W55&lt;=30," [売られ過ぎ]",""))&amp;" 前日比:"&amp;TEXT(Z55,"+0.0;-0.0;0.0")&amp;"%"&amp;IF(V55="年初来安値圏●"," [年初来安値圏]",IF(V55="安値圏"," [安値圏]",""))&amp;IF(OR(AO55="通常",AO55="-"),""," ["&amp;AO55&amp;"]")&amp;IF(OR(AT55="通常",AT55="-"),"","前日["&amp;AT55&amp;"]")&amp;" ["&amp;T55&amp;"点]")</f>
        <v/>
      </c>
      <c r="Z55" s="622">
        <f>IF(AND(E55&lt;&gt;"",G55&lt;&gt;"",G55&lt;&gt;0),(E55-G55)/G55*100,"")</f>
        <v/>
      </c>
      <c r="AA55" s="345">
        <f>IF(OR(C55="",E55="",E55=0),"",IF(E55&gt;G55,"上昇▲",IF(E55&lt;G55,"下落▼","横ばい→")))</f>
        <v/>
      </c>
      <c r="AB55" s="346">
        <f>IF(OR(C55="",C55="TOPX",終値!E73=""),"",IFERROR(((終値!E73*0.333)+(終値!F73*0.222)+(終値!G73*0.148)+(終値!H73*0.099)+(終値!I73*0.066))/(0.333+0.222+0.148+0.099+0.066),""))</f>
        <v/>
      </c>
      <c r="AC55" s="346">
        <f>IF(OR(C55="",C55="TOPX",終値!E73=""),"",IFERROR(SUMPRODUCT((終値!E73:AC73)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5" s="345">
        <f>IF(OR(C55="",AB55="",AC55="",AB55=0,AC55=0),"",IF(AND(E55&gt;AB55,AB55&gt;AC55),"パーフェクト▲",IF(E55&gt;AC55,"上昇トレンド▲",IF(AND(E55&lt;AB55,AB55&lt;AC55),"下降トレンド▼","もみ合い→"))))</f>
        <v/>
      </c>
      <c r="AE55" s="345">
        <f>IF(OR(C55="",AB55="",AC55=""),"",IF(AND(ABS(E55-AC55)/AC55&lt;=0.02,E55&lt;AC55),"25日戻り売り★",IF(AND(ABS(E55-AB55)/AB55&lt;=0.01,E55&lt;AB55),"5日戻り売り○","なし")))</f>
        <v/>
      </c>
      <c r="AF55">
        <f>IF(T55="","",IF(銘柄管理!$F$5="上昇▲",IF(AND(AD55="下降トレンド▼",OR(AE55="25日戻り売り★",AE55="5日戻り売り○")),"★逆張り売り",IF(AND(AD55="もみ合い→",OR(AE55="25日戻り売り★",AE55="5日戻り売り○")),"○逆張り売り",IF(W55&gt;=70,IF(Z55&lt;0,"◎反落確認","△過熱・様子見"),"相場上昇・見送り"))),IF(AND(T55&gt;=12,AD55="下降トレンド▼"),"★強い売り",IF(T55&gt;=12,"★強い売り",IF(AND(T55&gt;=8,OR(AE55="25日戻り売り★",AE55="5日戻り売り○")),"◎戻り売り",IF(T55&gt;=10,"○売り候補",IF(T55&gt;=6,"△注目",IF(T55&gt;=3,"様子見","見送り"))))))))</f>
        <v/>
      </c>
      <c r="AG55">
        <f>IF(AND(T55&gt;=7,C55&lt;&gt;""),T55,0)</f>
        <v/>
      </c>
      <c r="AH55">
        <f>IF(AG55&gt;0,AG55*10000-ROW(A55),0)</f>
        <v/>
      </c>
      <c r="AI55" s="623">
        <f t="array" ref="AI55">IF(C55="","",IFERROR((INDEX(終値!$E:$E,MATCH(TEXT(C55,"0"),終値!$A:$A,0))-INDEX(終値!$E:$BL,MATCH(TEXT(C55,"0"),終値!$A:$A,0),$AN$2))/INDEX(終値!$E:$BL,MATCH(TEXT(C55,"0"),終値!$A:$A,0),$AN$2)*100,""))</f>
        <v/>
      </c>
      <c r="AJ55" s="623">
        <f t="array" ref="AJ55">IFERROR((終値!$E$5-INDEX(終値!$E$5:$BL$5,1,$AN$2))/INDEX(終値!$E$5:$BL$5,1,$AN$2)*100,"")</f>
        <v/>
      </c>
      <c r="AK55" s="624">
        <f>IF(OR(AI55="",AJ55=""),"",AI55-AJ55)</f>
        <v/>
      </c>
      <c r="AL55" s="394">
        <f>IF(AK55="","",IF(AK55&lt;-5,3,IF(AK55&lt;0,1,IF(AK55&lt;3,-1,-2))))</f>
        <v/>
      </c>
      <c r="AO55" s="398">
        <f>IF(OR($C55="",$E55="",$F55="",$H55="",$I55="",$H55-$I55&lt;=0),"-",IF(AND($H55-MAX($F55,$E55)&gt;=ABS($E55-$F55)*2,MIN($F55,$E55)-$I55&lt;=ABS($E55-$F55)*0.5,ABS($E55-$F55)&gt;0),"上ヒゲ陰線▼",IF(AND($E55&lt;$F55,ABS($E55-$F55)&gt;=($H55-$I55)*0.7),"大陰線▼",IF(AND(MIN($F55,$E55)-$I55&gt;=($H55-$I55)*0.5,$H55-MAX($F55,$E55)&lt;=($H55-$I55)*0.2),"長い下ヒゲ(反発警戒)","通常"))))</f>
        <v/>
      </c>
      <c r="AP55" s="625">
        <f>IF($AO55="上ヒゲ陰線▼",2,IF($AO55="大陰線▼",2,IF($AO55="長い下ヒゲ(反発警戒)",-2,0)))</f>
        <v/>
      </c>
      <c r="AQ55">
        <f>IF(C55&lt;&gt;"",始値!F73,"")</f>
        <v/>
      </c>
      <c r="AR55">
        <f>IF(C55&lt;&gt;"",高値!F73,"")</f>
        <v/>
      </c>
      <c r="AS55">
        <f>IF(C55&lt;&gt;"",安値!F73,"")</f>
        <v/>
      </c>
      <c r="AT55">
        <f>IF(OR(C55="",AQ55="",AR55="",AS55="",AR55-AS55&lt;=0),"-",IF(AND(AR55-MAX(G55,AQ55)&gt;=ABS(G55-AQ55)*2,MIN(G55,AQ55)-AS55&lt;=ABS(G55-AQ55)*0.5,ABS(G55-AQ55)&gt;0),"上ヒゲ陰線▼",IF(AND(G55&lt;AQ55,ABS(G55-AQ55)&gt;=(AR55-AS55)*0.7),"大陰線▼",IF(AND(MIN(G55,AQ55)-AS55&gt;=(AR55-AS55)*0.5,AR55-MAX(G55,AQ55)&lt;=(AR55-AS55)*0.2),"長い下ヒゲ(反発)","通常"))))</f>
        <v/>
      </c>
      <c r="AU55">
        <f>IF(AT55="上ヒゲ陰線▼",2,IF(AT55="大陰線▼",2,IF(AT55="長い下ヒゲ(反発)",-2,0)))</f>
        <v/>
      </c>
    </row>
    <row r="56" ht="14.25" customHeight="1" s="574">
      <c r="A56" s="352">
        <f>IF(銘柄管理!B96&lt;&gt;"",HYPERLINK("https://kabutan.jp/stock/?code="&amp;銘柄管理!B96,"株探"),"")</f>
        <v/>
      </c>
      <c r="B56" s="225" t="n"/>
      <c r="C56" s="225">
        <f>IF(銘柄管理!B96="","",銘柄管理!B96)</f>
        <v/>
      </c>
      <c r="D56" s="225">
        <f>IF(銘柄管理!C96="","",銘柄管理!C96)</f>
        <v/>
      </c>
      <c r="E56" s="353">
        <f>IF(C56&lt;&gt;"",_xll.RssMarket(C56,"現在値"),"")</f>
        <v/>
      </c>
      <c r="F56" s="353">
        <f>IF(C56&lt;&gt;"",_xll.RssMarket(C56,"始値"),"")</f>
        <v/>
      </c>
      <c r="G56" s="225">
        <f>IF(C56&lt;&gt;"",終値!F96,"")</f>
        <v/>
      </c>
      <c r="H56" s="353">
        <f>IF(C56&lt;&gt;"",_xll.RssMarket(C56,"高値"),"")</f>
        <v/>
      </c>
      <c r="I56" s="353">
        <f>IF(C56&lt;&gt;"",_xll.RssMarket(C56,"安値"),"")</f>
        <v/>
      </c>
      <c r="J56" s="353">
        <f>IF(C56&lt;&gt;"",_xll.RssMarket(C56,"出来高"),"")</f>
        <v/>
      </c>
      <c r="K56" s="353">
        <f>IF(C56&lt;&gt;"",_xll.RssMarket(C56,"年初来高値"),"")</f>
        <v/>
      </c>
      <c r="L56" s="626">
        <f>IF(AND(E56&lt;&gt;"",K56&lt;&gt;"",K56&lt;&gt;0),(E56-K56)/K56*100,"")</f>
        <v/>
      </c>
      <c r="M56" s="353">
        <f>IF(C56&lt;&gt;"",IFERROR(AVERAGE(出来高!E96:I96),""),"")</f>
        <v/>
      </c>
      <c r="N56" s="353">
        <f>IF(C56&lt;&gt;"",IFERROR(AVERAGE(出来高!E96:AC96),""),"")</f>
        <v/>
      </c>
      <c r="O56" s="627">
        <f>IF(AND(J56&lt;&gt;"",M56&lt;&gt;"",M56&lt;&gt;0),J56/M56,"")</f>
        <v/>
      </c>
      <c r="P56" s="225">
        <f>IF(O56="","",IF(O56&gt;=2,"急増↑↑",IF(O56&gt;=1.5,"増加↑",IF(O56&gt;=1,"普通→","減少↓"))))</f>
        <v/>
      </c>
      <c r="Q56" s="225">
        <f>IF(E56="","",IF(AND(E56&lt;G56,O56&gt;=1.5),"売り▼",IF(E56&gt;G56,"様子見▲","中立→")))</f>
        <v/>
      </c>
      <c r="R56" s="353">
        <f>IF(E56&lt;&gt;"",ROUND(E56*0.92,0),"")</f>
        <v/>
      </c>
      <c r="S56" s="353">
        <f>IF(E56&lt;&gt;"",ROUND(E56*1.04,0),"")</f>
        <v/>
      </c>
      <c r="T56" s="345">
        <f>IF(C56="","",IFERROR(IF(W56&gt;=70,3,IF(W56&gt;=60,2,IF(W56&gt;=50,1,0)))+IF(X56&lt;0,2,0)+IF(AD56="下降トレンド▼",3,IF(AD56="もみ合い→",1,0))+IF(V56="年初来安値圏●",3,IF(V56="安値圏",2,0))+IF(Q56="売り▼",2,0)+IF(P56="急増↑↑",2,IF(P56="増加↑",1,0))+IF(Z56&lt;0,1,0)+IF(L56&lt;=-30,2,IF(L56&lt;=-15,1,0))+IF(AE56="25日戻り売り★",2,IF(AE56="5日戻り売り○",1,0))+N(AL56)+N(AP56)+N(AU56),0))</f>
        <v/>
      </c>
      <c r="U56" s="225">
        <f>IF(T56="","",IF(AND(T56&gt;=3,O56&gt;=1.5),"有効",IF(T56&gt;=3,"要確認","除外")))</f>
        <v/>
      </c>
      <c r="V56" s="225">
        <f>IF(AND(I56&lt;&gt;"",K56&lt;&gt;""),IF(I56&lt;=K56*0.6,"年初来安値圏●",IF(I56&lt;=K56*0.75,"安値圏","通常")),"")</f>
        <v/>
      </c>
      <c r="W56" s="628">
        <f t="array" ref="W56">IFERROR(100-100/(1+SUMPRODUCT((終値!F96:R96&gt;終値!G96:S96)*(終値!F96:R96-終値!G96:S96))/SUMPRODUCT((終値!F96:R96&lt;終値!G96:S96)*(終値!G96:S96-終値!F96:R96))),50)</f>
        <v/>
      </c>
      <c r="X56" s="357">
        <f>IF(C56&lt;&gt;"",IFERROR(SUMPRODUCT(終値!E96:P96,{0.154,0.132,0.113,0.097,0.083,0.071,0.061,0.052,0.045,0.038,0.033,0.028})/SUMPRODUCT({0.154,0.132,0.113,0.097,0.083,0.071,0.061,0.052,0.045,0.038,0.033,0.028})-SUMPRODUCT(終値!E96:AD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6" s="225">
        <f>IF(AF56="","",AF56&amp;" | "&amp;AD56&amp;IF(AE56&lt;&gt;"なし"," "&amp;AE56,"")&amp;IF(X56&lt;0," MACD-"," MACD+")&amp;" RSI:"&amp;TEXT(W56,"0.0")&amp;IF(W56&gt;=70," [過熱]",IF(W56&lt;=30," [売られ過ぎ]",""))&amp;" 前日比:"&amp;TEXT(Z56,"+0.0;-0.0;0.0")&amp;"%"&amp;IF(V56="年初来安値圏●"," [年初来安値圏]",IF(V56="安値圏"," [安値圏]",""))&amp;IF(OR(AO56="通常",AO56="-"),""," ["&amp;AO56&amp;"]")&amp;IF(OR(AT56="通常",AT56="-"),"","前日["&amp;AT56&amp;"]")&amp;" ["&amp;T56&amp;"点]")</f>
        <v/>
      </c>
      <c r="Z56" s="629">
        <f>IF(AND(E56&lt;&gt;"",G56&lt;&gt;"",G56&lt;&gt;0),(E56-G56)/G56*100,"")</f>
        <v/>
      </c>
      <c r="AA56" s="225">
        <f>IF(OR(C56="",E56="",E56=0),"",IF(E56&gt;G56,"上昇▲",IF(E56&lt;G56,"下落▼","横ばい→")))</f>
        <v/>
      </c>
      <c r="AB56" s="353">
        <f>IF(OR(C56="",C56="TOPX",終値!E96=""),"",IFERROR(((終値!E96*0.333)+(終値!F96*0.222)+(終値!G96*0.148)+(終値!H96*0.099)+(終値!I96*0.066))/(0.333+0.222+0.148+0.099+0.066),""))</f>
        <v/>
      </c>
      <c r="AC56" s="353">
        <f>IF(OR(C56="",C56="TOPX",終値!E96=""),"",IFERROR(SUMPRODUCT((終値!E96:AC96)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6" s="225">
        <f>IF(OR(C56="",AB56="",AC56="",AB56=0,AC56=0),"",IF(AND(E56&gt;AB56,AB56&gt;AC56),"パーフェクト▲",IF(E56&gt;AC56,"上昇トレンド▲",IF(AND(E56&lt;AB56,AB56&lt;AC56),"下降トレンド▼","もみ合い→"))))</f>
        <v/>
      </c>
      <c r="AE56" s="225">
        <f>IF(OR(C56="",AB56="",AC56=""),"",IF(AND(ABS(E56-AC56)/AC56&lt;=0.02,E56&lt;AC56),"25日戻り売り★",IF(AND(ABS(E56-AB56)/AB56&lt;=0.01,E56&lt;AB56),"5日戻り売り○","なし")))</f>
        <v/>
      </c>
      <c r="AF56">
        <f>IF(T56="","",IF(銘柄管理!$F$5="上昇▲",IF(AND(AD56="下降トレンド▼",OR(AE56="25日戻り売り★",AE56="5日戻り売り○")),"★逆張り売り",IF(AND(AD56="もみ合い→",OR(AE56="25日戻り売り★",AE56="5日戻り売り○")),"○逆張り売り",IF(W56&gt;=70,IF(Z56&lt;0,"◎反落確認","△過熱・様子見"),"相場上昇・見送り"))),IF(AND(T56&gt;=12,AD56="下降トレンド▼"),"★強い売り",IF(T56&gt;=12,"★強い売り",IF(AND(T56&gt;=8,OR(AE56="25日戻り売り★",AE56="5日戻り売り○")),"◎戻り売り",IF(T56&gt;=10,"○売り候補",IF(T56&gt;=6,"△注目",IF(T56&gt;=3,"様子見","見送り"))))))))</f>
        <v/>
      </c>
      <c r="AG56">
        <f>IF(AND(T56&gt;=7,C56&lt;&gt;""),T56,0)</f>
        <v/>
      </c>
      <c r="AH56">
        <f>IF(AG56&gt;0,AG56*10000-ROW(A56),0)</f>
        <v/>
      </c>
      <c r="AI56" s="623">
        <f t="array" ref="AI56">IF(C56="","",IFERROR((INDEX(終値!$E:$E,MATCH(TEXT(C56,"0"),終値!$A:$A,0))-INDEX(終値!$E:$BL,MATCH(TEXT(C56,"0"),終値!$A:$A,0),$AN$2))/INDEX(終値!$E:$BL,MATCH(TEXT(C56,"0"),終値!$A:$A,0),$AN$2)*100,""))</f>
        <v/>
      </c>
      <c r="AJ56" s="623">
        <f t="array" ref="AJ56">IFERROR((終値!$E$5-INDEX(終値!$E$5:$BL$5,1,$AN$2))/INDEX(終値!$E$5:$BL$5,1,$AN$2)*100,"")</f>
        <v/>
      </c>
      <c r="AK56" s="624">
        <f>IF(OR(AI56="",AJ56=""),"",AI56-AJ56)</f>
        <v/>
      </c>
      <c r="AL56" s="394">
        <f>IF(AK56="","",IF(AK56&lt;-5,3,IF(AK56&lt;0,1,IF(AK56&lt;3,-1,-2))))</f>
        <v/>
      </c>
      <c r="AO56" s="398">
        <f>IF(OR($C56="",$E56="",$F56="",$H56="",$I56="",$H56-$I56&lt;=0),"-",IF(AND($H56-MAX($F56,$E56)&gt;=ABS($E56-$F56)*2,MIN($F56,$E56)-$I56&lt;=ABS($E56-$F56)*0.5,ABS($E56-$F56)&gt;0),"上ヒゲ陰線▼",IF(AND($E56&lt;$F56,ABS($E56-$F56)&gt;=($H56-$I56)*0.7),"大陰線▼",IF(AND(MIN($F56,$E56)-$I56&gt;=($H56-$I56)*0.5,$H56-MAX($F56,$E56)&lt;=($H56-$I56)*0.2),"長い下ヒゲ(反発警戒)","通常"))))</f>
        <v/>
      </c>
      <c r="AP56" s="625">
        <f>IF($AO56="上ヒゲ陰線▼",2,IF($AO56="大陰線▼",2,IF($AO56="長い下ヒゲ(反発警戒)",-2,0)))</f>
        <v/>
      </c>
      <c r="AQ56">
        <f>IF(C56&lt;&gt;"",始値!F96,"")</f>
        <v/>
      </c>
      <c r="AR56">
        <f>IF(C56&lt;&gt;"",高値!F96,"")</f>
        <v/>
      </c>
      <c r="AS56">
        <f>IF(C56&lt;&gt;"",安値!F96,"")</f>
        <v/>
      </c>
      <c r="AT56">
        <f>IF(OR(C56="",AQ56="",AR56="",AS56="",AR56-AS56&lt;=0),"-",IF(AND(AR56-MAX(G56,AQ56)&gt;=ABS(G56-AQ56)*2,MIN(G56,AQ56)-AS56&lt;=ABS(G56-AQ56)*0.5,ABS(G56-AQ56)&gt;0),"上ヒゲ陰線▼",IF(AND(G56&lt;AQ56,ABS(G56-AQ56)&gt;=(AR56-AS56)*0.7),"大陰線▼",IF(AND(MIN(G56,AQ56)-AS56&gt;=(AR56-AS56)*0.5,AR56-MAX(G56,AQ56)&lt;=(AR56-AS56)*0.2),"長い下ヒゲ(反発)","通常"))))</f>
        <v/>
      </c>
      <c r="AU56">
        <f>IF(AT56="上ヒゲ陰線▼",2,IF(AT56="大陰線▼",2,IF(AT56="長い下ヒゲ(反発)",-2,0)))</f>
        <v/>
      </c>
    </row>
    <row r="57" ht="14.25" customHeight="1" s="574">
      <c r="A57" s="344">
        <f>IF(銘柄管理!B102&lt;&gt;"",HYPERLINK("https://kabutan.jp/stock/?code="&amp;銘柄管理!B102,"株探"),"")</f>
        <v/>
      </c>
      <c r="B57" s="345" t="n"/>
      <c r="C57" s="345">
        <f>IF(銘柄管理!B102="","",銘柄管理!B102)</f>
        <v/>
      </c>
      <c r="D57" s="345">
        <f>IF(銘柄管理!C102="","",銘柄管理!C102)</f>
        <v/>
      </c>
      <c r="E57" s="346">
        <f>IF(C57&lt;&gt;"",_xll.RssMarket(C57,"現在値"),"")</f>
        <v/>
      </c>
      <c r="F57" s="346">
        <f>IF(C57&lt;&gt;"",_xll.RssMarket(C57,"始値"),"")</f>
        <v/>
      </c>
      <c r="G57" s="345">
        <f>IF(C57&lt;&gt;"",終値!F102,"")</f>
        <v/>
      </c>
      <c r="H57" s="346">
        <f>IF(C57&lt;&gt;"",_xll.RssMarket(C57,"高値"),"")</f>
        <v/>
      </c>
      <c r="I57" s="346">
        <f>IF(C57&lt;&gt;"",_xll.RssMarket(C57,"安値"),"")</f>
        <v/>
      </c>
      <c r="J57" s="346">
        <f>IF(C57&lt;&gt;"",_xll.RssMarket(C57,"出来高"),"")</f>
        <v/>
      </c>
      <c r="K57" s="346">
        <f>IF(C57&lt;&gt;"",_xll.RssMarket(C57,"年初来高値"),"")</f>
        <v/>
      </c>
      <c r="L57" s="619">
        <f>IF(AND(E57&lt;&gt;"",K57&lt;&gt;"",K57&lt;&gt;0),(E57-K57)/K57*100,"")</f>
        <v/>
      </c>
      <c r="M57" s="346">
        <f>IF(C57&lt;&gt;"",IFERROR(AVERAGE(出来高!E102:I102),""),"")</f>
        <v/>
      </c>
      <c r="N57" s="346">
        <f>IF(C57&lt;&gt;"",IFERROR(AVERAGE(出来高!E102:AC102),""),"")</f>
        <v/>
      </c>
      <c r="O57" s="620">
        <f>IF(AND(J57&lt;&gt;"",M57&lt;&gt;"",M57&lt;&gt;0),J57/M57,"")</f>
        <v/>
      </c>
      <c r="P57" s="345">
        <f>IF(O57="","",IF(O57&gt;=2,"急増↑↑",IF(O57&gt;=1.5,"増加↑",IF(O57&gt;=1,"普通→","減少↓"))))</f>
        <v/>
      </c>
      <c r="Q57" s="345">
        <f>IF(E57="","",IF(AND(E57&lt;G57,O57&gt;=1.5),"売り▼",IF(E57&gt;G57,"様子見▲","中立→")))</f>
        <v/>
      </c>
      <c r="R57" s="346">
        <f>IF(E57&lt;&gt;"",ROUND(E57*0.92,0),"")</f>
        <v/>
      </c>
      <c r="S57" s="346">
        <f>IF(E57&lt;&gt;"",ROUND(E57*1.04,0),"")</f>
        <v/>
      </c>
      <c r="T57" s="345">
        <f>IF(C57="","",IFERROR(IF(W57&gt;=70,3,IF(W57&gt;=60,2,IF(W57&gt;=50,1,0)))+IF(X57&lt;0,2,0)+IF(AD57="下降トレンド▼",3,IF(AD57="もみ合い→",1,0))+IF(V57="年初来安値圏●",3,IF(V57="安値圏",2,0))+IF(Q57="売り▼",2,0)+IF(P57="急増↑↑",2,IF(P57="増加↑",1,0))+IF(Z57&lt;0,1,0)+IF(L57&lt;=-30,2,IF(L57&lt;=-15,1,0))+IF(AE57="25日戻り売り★",2,IF(AE57="5日戻り売り○",1,0))+N(AL57)+N(AP57)+N(AU57),0))</f>
        <v/>
      </c>
      <c r="U57" s="345">
        <f>IF(T57="","",IF(AND(T57&gt;=3,O57&gt;=1.5),"有効",IF(T57&gt;=3,"要確認","除外")))</f>
        <v/>
      </c>
      <c r="V57" s="345">
        <f>IF(AND(I57&lt;&gt;"",K57&lt;&gt;""),IF(I57&lt;=K57*0.6,"年初来安値圏●",IF(I57&lt;=K57*0.75,"安値圏","通常")),"")</f>
        <v/>
      </c>
      <c r="W57" s="621">
        <f t="array" ref="W57">IFERROR(100-100/(1+SUMPRODUCT((終値!F102:R102&gt;終値!G102:S102)*(終値!F102:R102-終値!G102:S102))/SUMPRODUCT((終値!F102:R102&lt;終値!G102:S102)*(終値!G102:S102-終値!F102:R102))),50)</f>
        <v/>
      </c>
      <c r="X57" s="350">
        <f>IF(C57&lt;&gt;"",IFERROR(SUMPRODUCT(終値!E102:P102,{0.154,0.132,0.113,0.097,0.083,0.071,0.061,0.052,0.045,0.038,0.033,0.028})/SUMPRODUCT({0.154,0.132,0.113,0.097,0.083,0.071,0.061,0.052,0.045,0.038,0.033,0.028})-SUMPRODUCT(終値!E102:AD102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7" s="345">
        <f>IF(AF57="","",AF57&amp;" | "&amp;AD57&amp;IF(AE57&lt;&gt;"なし"," "&amp;AE57,"")&amp;IF(X57&lt;0," MACD-"," MACD+")&amp;" RSI:"&amp;TEXT(W57,"0.0")&amp;IF(W57&gt;=70," [過熱]",IF(W57&lt;=30," [売られ過ぎ]",""))&amp;" 前日比:"&amp;TEXT(Z57,"+0.0;-0.0;0.0")&amp;"%"&amp;IF(V57="年初来安値圏●"," [年初来安値圏]",IF(V57="安値圏"," [安値圏]",""))&amp;IF(OR(AO57="通常",AO57="-"),""," ["&amp;AO57&amp;"]")&amp;IF(OR(AT57="通常",AT57="-"),"","前日["&amp;AT57&amp;"]")&amp;" ["&amp;T57&amp;"点]")</f>
        <v/>
      </c>
      <c r="Z57" s="622">
        <f>IF(AND(E57&lt;&gt;"",G57&lt;&gt;"",G57&lt;&gt;0),(E57-G57)/G57*100,"")</f>
        <v/>
      </c>
      <c r="AA57" s="345">
        <f>IF(OR(C57="",E57="",E57=0),"",IF(E57&gt;G57,"上昇▲",IF(E57&lt;G57,"下落▼","横ばい→")))</f>
        <v/>
      </c>
      <c r="AB57" s="346">
        <f>IF(OR(C57="",C57="TOPX",終値!E102=""),"",IFERROR(((終値!E102*0.333)+(終値!F102*0.222)+(終値!G102*0.148)+(終値!H102*0.099)+(終値!I102*0.066))/(0.333+0.222+0.148+0.099+0.066),""))</f>
        <v/>
      </c>
      <c r="AC57" s="346">
        <f>IF(OR(C57="",C57="TOPX",終値!E102=""),"",IFERROR(SUMPRODUCT((終値!E102:AC102)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7" s="345">
        <f>IF(OR(C57="",AB57="",AC57="",AB57=0,AC57=0),"",IF(AND(E57&gt;AB57,AB57&gt;AC57),"パーフェクト▲",IF(E57&gt;AC57,"上昇トレンド▲",IF(AND(E57&lt;AB57,AB57&lt;AC57),"下降トレンド▼","もみ合い→"))))</f>
        <v/>
      </c>
      <c r="AE57" s="345">
        <f>IF(OR(C57="",AB57="",AC57=""),"",IF(AND(ABS(E57-AC57)/AC57&lt;=0.02,E57&lt;AC57),"25日戻り売り★",IF(AND(ABS(E57-AB57)/AB57&lt;=0.01,E57&lt;AB57),"5日戻り売り○","なし")))</f>
        <v/>
      </c>
      <c r="AF57">
        <f>IF(T57="","",IF(銘柄管理!$F$5="上昇▲",IF(AND(AD57="下降トレンド▼",OR(AE57="25日戻り売り★",AE57="5日戻り売り○")),"★逆張り売り",IF(AND(AD57="もみ合い→",OR(AE57="25日戻り売り★",AE57="5日戻り売り○")),"○逆張り売り",IF(W57&gt;=70,IF(Z57&lt;0,"◎反落確認","△過熱・様子見"),"相場上昇・見送り"))),IF(AND(T57&gt;=12,AD57="下降トレンド▼"),"★強い売り",IF(T57&gt;=12,"★強い売り",IF(AND(T57&gt;=8,OR(AE57="25日戻り売り★",AE57="5日戻り売り○")),"◎戻り売り",IF(T57&gt;=10,"○売り候補",IF(T57&gt;=6,"△注目",IF(T57&gt;=3,"様子見","見送り"))))))))</f>
        <v/>
      </c>
      <c r="AG57">
        <f>IF(AND(T57&gt;=7,C57&lt;&gt;""),T57,0)</f>
        <v/>
      </c>
      <c r="AH57">
        <f>IF(AG57&gt;0,AG57*10000-ROW(A57),0)</f>
        <v/>
      </c>
      <c r="AI57" s="623">
        <f t="array" ref="AI57">IF(C57="","",IFERROR((INDEX(終値!$E:$E,MATCH(TEXT(C57,"0"),終値!$A:$A,0))-INDEX(終値!$E:$BL,MATCH(TEXT(C57,"0"),終値!$A:$A,0),$AN$2))/INDEX(終値!$E:$BL,MATCH(TEXT(C57,"0"),終値!$A:$A,0),$AN$2)*100,""))</f>
        <v/>
      </c>
      <c r="AJ57" s="623">
        <f t="array" ref="AJ57">IFERROR((終値!$E$5-INDEX(終値!$E$5:$BL$5,1,$AN$2))/INDEX(終値!$E$5:$BL$5,1,$AN$2)*100,"")</f>
        <v/>
      </c>
      <c r="AK57" s="624">
        <f>IF(OR(AI57="",AJ57=""),"",AI57-AJ57)</f>
        <v/>
      </c>
      <c r="AL57" s="394">
        <f>IF(AK57="","",IF(AK57&lt;-5,3,IF(AK57&lt;0,1,IF(AK57&lt;3,-1,-2))))</f>
        <v/>
      </c>
      <c r="AO57" s="398">
        <f>IF(OR($C57="",$E57="",$F57="",$H57="",$I57="",$H57-$I57&lt;=0),"-",IF(AND($H57-MAX($F57,$E57)&gt;=ABS($E57-$F57)*2,MIN($F57,$E57)-$I57&lt;=ABS($E57-$F57)*0.5,ABS($E57-$F57)&gt;0),"上ヒゲ陰線▼",IF(AND($E57&lt;$F57,ABS($E57-$F57)&gt;=($H57-$I57)*0.7),"大陰線▼",IF(AND(MIN($F57,$E57)-$I57&gt;=($H57-$I57)*0.5,$H57-MAX($F57,$E57)&lt;=($H57-$I57)*0.2),"長い下ヒゲ(反発警戒)","通常"))))</f>
        <v/>
      </c>
      <c r="AP57" s="625">
        <f>IF($AO57="上ヒゲ陰線▼",2,IF($AO57="大陰線▼",2,IF($AO57="長い下ヒゲ(反発警戒)",-2,0)))</f>
        <v/>
      </c>
      <c r="AQ57">
        <f>IF(C57&lt;&gt;"",始値!F102,"")</f>
        <v/>
      </c>
      <c r="AR57">
        <f>IF(C57&lt;&gt;"",高値!F102,"")</f>
        <v/>
      </c>
      <c r="AS57">
        <f>IF(C57&lt;&gt;"",安値!F102,"")</f>
        <v/>
      </c>
      <c r="AT57">
        <f>IF(OR(C57="",AQ57="",AR57="",AS57="",AR57-AS57&lt;=0),"-",IF(AND(AR57-MAX(G57,AQ57)&gt;=ABS(G57-AQ57)*2,MIN(G57,AQ57)-AS57&lt;=ABS(G57-AQ57)*0.5,ABS(G57-AQ57)&gt;0),"上ヒゲ陰線▼",IF(AND(G57&lt;AQ57,ABS(G57-AQ57)&gt;=(AR57-AS57)*0.7),"大陰線▼",IF(AND(MIN(G57,AQ57)-AS57&gt;=(AR57-AS57)*0.5,AR57-MAX(G57,AQ57)&lt;=(AR57-AS57)*0.2),"長い下ヒゲ(反発)","通常"))))</f>
        <v/>
      </c>
      <c r="AU57">
        <f>IF(AT57="上ヒゲ陰線▼",2,IF(AT57="大陰線▼",2,IF(AT57="長い下ヒゲ(反発)",-2,0)))</f>
        <v/>
      </c>
    </row>
    <row r="58" ht="14.25" customHeight="1" s="574">
      <c r="A58" s="352">
        <f>IF(銘柄管理!B103&lt;&gt;"",HYPERLINK("https://kabutan.jp/stock/?code="&amp;銘柄管理!B103,"株探"),"")</f>
        <v/>
      </c>
      <c r="B58" s="225" t="n"/>
      <c r="C58" s="225">
        <f>IF(銘柄管理!B103="","",銘柄管理!B103)</f>
        <v/>
      </c>
      <c r="D58" s="225">
        <f>IF(銘柄管理!C103="","",銘柄管理!C103)</f>
        <v/>
      </c>
      <c r="E58" s="353">
        <f>IF(C58&lt;&gt;"",_xll.RssMarket(C58,"現在値"),"")</f>
        <v/>
      </c>
      <c r="F58" s="353">
        <f>IF(C58&lt;&gt;"",_xll.RssMarket(C58,"始値"),"")</f>
        <v/>
      </c>
      <c r="G58" s="225">
        <f>IF(C58&lt;&gt;"",終値!F103,"")</f>
        <v/>
      </c>
      <c r="H58" s="353">
        <f>IF(C58&lt;&gt;"",_xll.RssMarket(C58,"高値"),"")</f>
        <v/>
      </c>
      <c r="I58" s="353">
        <f>IF(C58&lt;&gt;"",_xll.RssMarket(C58,"安値"),"")</f>
        <v/>
      </c>
      <c r="J58" s="353">
        <f>IF(C58&lt;&gt;"",_xll.RssMarket(C58,"出来高"),"")</f>
        <v/>
      </c>
      <c r="K58" s="353">
        <f>IF(C58&lt;&gt;"",_xll.RssMarket(C58,"年初来高値"),"")</f>
        <v/>
      </c>
      <c r="L58" s="626">
        <f>IF(AND(E58&lt;&gt;"",K58&lt;&gt;"",K58&lt;&gt;0),(E58-K58)/K58*100,"")</f>
        <v/>
      </c>
      <c r="M58" s="353">
        <f>IF(C58&lt;&gt;"",IFERROR(AVERAGE(出来高!E103:I103),""),"")</f>
        <v/>
      </c>
      <c r="N58" s="353">
        <f>IF(C58&lt;&gt;"",IFERROR(AVERAGE(出来高!E103:AC103),""),"")</f>
        <v/>
      </c>
      <c r="O58" s="627">
        <f>IF(AND(J58&lt;&gt;"",M58&lt;&gt;"",M58&lt;&gt;0),J58/M58,"")</f>
        <v/>
      </c>
      <c r="P58" s="225">
        <f>IF(O58="","",IF(O58&gt;=2,"急増↑↑",IF(O58&gt;=1.5,"増加↑",IF(O58&gt;=1,"普通→","減少↓"))))</f>
        <v/>
      </c>
      <c r="Q58" s="225">
        <f>IF(E58="","",IF(AND(E58&lt;G58,O58&gt;=1.5),"売り▼",IF(E58&gt;G58,"様子見▲","中立→")))</f>
        <v/>
      </c>
      <c r="R58" s="353">
        <f>IF(E58&lt;&gt;"",ROUND(E58*0.92,0),"")</f>
        <v/>
      </c>
      <c r="S58" s="353">
        <f>IF(E58&lt;&gt;"",ROUND(E58*1.04,0),"")</f>
        <v/>
      </c>
      <c r="T58" s="345">
        <f>IF(C58="","",IFERROR(IF(W58&gt;=70,3,IF(W58&gt;=60,2,IF(W58&gt;=50,1,0)))+IF(X58&lt;0,2,0)+IF(AD58="下降トレンド▼",3,IF(AD58="もみ合い→",1,0))+IF(V58="年初来安値圏●",3,IF(V58="安値圏",2,0))+IF(Q58="売り▼",2,0)+IF(P58="急増↑↑",2,IF(P58="増加↑",1,0))+IF(Z58&lt;0,1,0)+IF(L58&lt;=-30,2,IF(L58&lt;=-15,1,0))+IF(AE58="25日戻り売り★",2,IF(AE58="5日戻り売り○",1,0))+N(AL58)+N(AP58)+N(AU58),0))</f>
        <v/>
      </c>
      <c r="U58" s="225">
        <f>IF(T58="","",IF(AND(T58&gt;=3,O58&gt;=1.5),"有効",IF(T58&gt;=3,"要確認","除外")))</f>
        <v/>
      </c>
      <c r="V58" s="225">
        <f>IF(AND(I58&lt;&gt;"",K58&lt;&gt;""),IF(I58&lt;=K58*0.6,"年初来安値圏●",IF(I58&lt;=K58*0.75,"安値圏","通常")),"")</f>
        <v/>
      </c>
      <c r="W58" s="628">
        <f t="array" ref="W58">IFERROR(100-100/(1+SUMPRODUCT((終値!F103:R103&gt;終値!G103:S103)*(終値!F103:R103-終値!G103:S103))/SUMPRODUCT((終値!F103:R103&lt;終値!G103:S103)*(終値!G103:S103-終値!F103:R103))),50)</f>
        <v/>
      </c>
      <c r="X58" s="357">
        <f>IF(C58&lt;&gt;"",IFERROR(SUMPRODUCT(終値!E103:P103,{0.154,0.132,0.113,0.097,0.083,0.071,0.061,0.052,0.045,0.038,0.033,0.028})/SUMPRODUCT({0.154,0.132,0.113,0.097,0.083,0.071,0.061,0.052,0.045,0.038,0.033,0.028})-SUMPRODUCT(終値!E103:AD103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8" s="225">
        <f>IF(AF58="","",AF58&amp;" | "&amp;AD58&amp;IF(AE58&lt;&gt;"なし"," "&amp;AE58,"")&amp;IF(X58&lt;0," MACD-"," MACD+")&amp;" RSI:"&amp;TEXT(W58,"0.0")&amp;IF(W58&gt;=70," [過熱]",IF(W58&lt;=30," [売られ過ぎ]",""))&amp;" 前日比:"&amp;TEXT(Z58,"+0.0;-0.0;0.0")&amp;"%"&amp;IF(V58="年初来安値圏●"," [年初来安値圏]",IF(V58="安値圏"," [安値圏]",""))&amp;IF(OR(AO58="通常",AO58="-"),""," ["&amp;AO58&amp;"]")&amp;IF(OR(AT58="通常",AT58="-"),"","前日["&amp;AT58&amp;"]")&amp;" ["&amp;T58&amp;"点]")</f>
        <v/>
      </c>
      <c r="Z58" s="629">
        <f>IF(AND(E58&lt;&gt;"",G58&lt;&gt;"",G58&lt;&gt;0),(E58-G58)/G58*100,"")</f>
        <v/>
      </c>
      <c r="AA58" s="225">
        <f>IF(OR(C58="",E58="",E58=0),"",IF(E58&gt;G58,"上昇▲",IF(E58&lt;G58,"下落▼","横ばい→")))</f>
        <v/>
      </c>
      <c r="AB58" s="353">
        <f>IF(OR(C58="",C58="TOPX",終値!E103=""),"",IFERROR(((終値!E103*0.333)+(終値!F103*0.222)+(終値!G103*0.148)+(終値!H103*0.099)+(終値!I103*0.066))/(0.333+0.222+0.148+0.099+0.066),""))</f>
        <v/>
      </c>
      <c r="AC58" s="353">
        <f>IF(OR(C58="",C58="TOPX",終値!E103=""),"",IFERROR(SUMPRODUCT((終値!E103:AC103)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8" s="225">
        <f>IF(OR(C58="",AB58="",AC58="",AB58=0,AC58=0),"",IF(AND(E58&gt;AB58,AB58&gt;AC58),"パーフェクト▲",IF(E58&gt;AC58,"上昇トレンド▲",IF(AND(E58&lt;AB58,AB58&lt;AC58),"下降トレンド▼","もみ合い→"))))</f>
        <v/>
      </c>
      <c r="AE58" s="225">
        <f>IF(OR(C58="",AB58="",AC58=""),"",IF(AND(ABS(E58-AC58)/AC58&lt;=0.02,E58&lt;AC58),"25日戻り売り★",IF(AND(ABS(E58-AB58)/AB58&lt;=0.01,E58&lt;AB58),"5日戻り売り○","なし")))</f>
        <v/>
      </c>
      <c r="AF58">
        <f>IF(T58="","",IF(銘柄管理!$F$5="上昇▲",IF(AND(AD58="下降トレンド▼",OR(AE58="25日戻り売り★",AE58="5日戻り売り○")),"★逆張り売り",IF(AND(AD58="もみ合い→",OR(AE58="25日戻り売り★",AE58="5日戻り売り○")),"○逆張り売り",IF(W58&gt;=70,IF(Z58&lt;0,"◎反落確認","△過熱・様子見"),"相場上昇・見送り"))),IF(AND(T58&gt;=12,AD58="下降トレンド▼"),"★強い売り",IF(T58&gt;=12,"★強い売り",IF(AND(T58&gt;=8,OR(AE58="25日戻り売り★",AE58="5日戻り売り○")),"◎戻り売り",IF(T58&gt;=10,"○売り候補",IF(T58&gt;=6,"△注目",IF(T58&gt;=3,"様子見","見送り"))))))))</f>
        <v/>
      </c>
      <c r="AG58">
        <f>IF(AND(T58&gt;=7,C58&lt;&gt;""),T58,0)</f>
        <v/>
      </c>
      <c r="AH58">
        <f>IF(AG58&gt;0,AG58*10000-ROW(A58),0)</f>
        <v/>
      </c>
      <c r="AI58" s="623">
        <f t="array" ref="AI58">IF(C58="","",IFERROR((INDEX(終値!$E:$E,MATCH(TEXT(C58,"0"),終値!$A:$A,0))-INDEX(終値!$E:$BL,MATCH(TEXT(C58,"0"),終値!$A:$A,0),$AN$2))/INDEX(終値!$E:$BL,MATCH(TEXT(C58,"0"),終値!$A:$A,0),$AN$2)*100,""))</f>
        <v/>
      </c>
      <c r="AJ58" s="623">
        <f t="array" ref="AJ58">IFERROR((終値!$E$5-INDEX(終値!$E$5:$BL$5,1,$AN$2))/INDEX(終値!$E$5:$BL$5,1,$AN$2)*100,"")</f>
        <v/>
      </c>
      <c r="AK58" s="624">
        <f>IF(OR(AI58="",AJ58=""),"",AI58-AJ58)</f>
        <v/>
      </c>
      <c r="AL58" s="394">
        <f>IF(AK58="","",IF(AK58&lt;-5,3,IF(AK58&lt;0,1,IF(AK58&lt;3,-1,-2))))</f>
        <v/>
      </c>
      <c r="AO58" s="398">
        <f>IF(OR($C58="",$E58="",$F58="",$H58="",$I58="",$H58-$I58&lt;=0),"-",IF(AND($H58-MAX($F58,$E58)&gt;=ABS($E58-$F58)*2,MIN($F58,$E58)-$I58&lt;=ABS($E58-$F58)*0.5,ABS($E58-$F58)&gt;0),"上ヒゲ陰線▼",IF(AND($E58&lt;$F58,ABS($E58-$F58)&gt;=($H58-$I58)*0.7),"大陰線▼",IF(AND(MIN($F58,$E58)-$I58&gt;=($H58-$I58)*0.5,$H58-MAX($F58,$E58)&lt;=($H58-$I58)*0.2),"長い下ヒゲ(反発警戒)","通常"))))</f>
        <v/>
      </c>
      <c r="AP58" s="625">
        <f>IF($AO58="上ヒゲ陰線▼",2,IF($AO58="大陰線▼",2,IF($AO58="長い下ヒゲ(反発警戒)",-2,0)))</f>
        <v/>
      </c>
      <c r="AQ58">
        <f>IF(C58&lt;&gt;"",始値!F103,"")</f>
        <v/>
      </c>
      <c r="AR58">
        <f>IF(C58&lt;&gt;"",高値!F103,"")</f>
        <v/>
      </c>
      <c r="AS58">
        <f>IF(C58&lt;&gt;"",安値!F103,"")</f>
        <v/>
      </c>
      <c r="AT58">
        <f>IF(OR(C58="",AQ58="",AR58="",AS58="",AR58-AS58&lt;=0),"-",IF(AND(AR58-MAX(G58,AQ58)&gt;=ABS(G58-AQ58)*2,MIN(G58,AQ58)-AS58&lt;=ABS(G58-AQ58)*0.5,ABS(G58-AQ58)&gt;0),"上ヒゲ陰線▼",IF(AND(G58&lt;AQ58,ABS(G58-AQ58)&gt;=(AR58-AS58)*0.7),"大陰線▼",IF(AND(MIN(G58,AQ58)-AS58&gt;=(AR58-AS58)*0.5,AR58-MAX(G58,AQ58)&lt;=(AR58-AS58)*0.2),"長い下ヒゲ(反発)","通常"))))</f>
        <v/>
      </c>
      <c r="AU58">
        <f>IF(AT58="上ヒゲ陰線▼",2,IF(AT58="大陰線▼",2,IF(AT58="長い下ヒゲ(反発)",-2,0)))</f>
        <v/>
      </c>
    </row>
    <row r="59" ht="14.25" customHeight="1" s="574">
      <c r="A59" s="344">
        <f>IF(銘柄管理!B104&lt;&gt;"",HYPERLINK("https://kabutan.jp/stock/?code="&amp;銘柄管理!B104,"株探"),"")</f>
        <v/>
      </c>
      <c r="B59" s="345" t="n"/>
      <c r="C59" s="345">
        <f>IF(銘柄管理!B104="","",銘柄管理!B104)</f>
        <v/>
      </c>
      <c r="D59" s="345">
        <f>IF(銘柄管理!C104="","",銘柄管理!C104)</f>
        <v/>
      </c>
      <c r="E59" s="346">
        <f>IF(C59&lt;&gt;"",_xll.RssMarket(C59,"現在値"),"")</f>
        <v/>
      </c>
      <c r="F59" s="346">
        <f>IF(C59&lt;&gt;"",_xll.RssMarket(C59,"始値"),"")</f>
        <v/>
      </c>
      <c r="G59" s="345">
        <f>IF(C59&lt;&gt;"",終値!F104,"")</f>
        <v/>
      </c>
      <c r="H59" s="346">
        <f>IF(C59&lt;&gt;"",_xll.RssMarket(C59,"高値"),"")</f>
        <v/>
      </c>
      <c r="I59" s="346">
        <f>IF(C59&lt;&gt;"",_xll.RssMarket(C59,"安値"),"")</f>
        <v/>
      </c>
      <c r="J59" s="346">
        <f>IF(C59&lt;&gt;"",_xll.RssMarket(C59,"出来高"),"")</f>
        <v/>
      </c>
      <c r="K59" s="346">
        <f>IF(C59&lt;&gt;"",_xll.RssMarket(C59,"年初来高値"),"")</f>
        <v/>
      </c>
      <c r="L59" s="619">
        <f>IF(AND(E59&lt;&gt;"",K59&lt;&gt;"",K59&lt;&gt;0),(E59-K59)/K59*100,"")</f>
        <v/>
      </c>
      <c r="M59" s="346">
        <f>IF(C59&lt;&gt;"",IFERROR(AVERAGE(出来高!E104:I104),""),"")</f>
        <v/>
      </c>
      <c r="N59" s="346">
        <f>IF(C59&lt;&gt;"",IFERROR(AVERAGE(出来高!E104:AC104),""),"")</f>
        <v/>
      </c>
      <c r="O59" s="620">
        <f>IF(AND(J59&lt;&gt;"",M59&lt;&gt;"",M59&lt;&gt;0),J59/M59,"")</f>
        <v/>
      </c>
      <c r="P59" s="345">
        <f>IF(O59="","",IF(O59&gt;=2,"急増↑↑",IF(O59&gt;=1.5,"増加↑",IF(O59&gt;=1,"普通→","減少↓"))))</f>
        <v/>
      </c>
      <c r="Q59" s="345">
        <f>IF(E59="","",IF(AND(E59&lt;G59,O59&gt;=1.5),"売り▼",IF(E59&gt;G59,"様子見▲","中立→")))</f>
        <v/>
      </c>
      <c r="R59" s="346">
        <f>IF(E59&lt;&gt;"",ROUND(E59*0.92,0),"")</f>
        <v/>
      </c>
      <c r="S59" s="346">
        <f>IF(E59&lt;&gt;"",ROUND(E59*1.04,0),"")</f>
        <v/>
      </c>
      <c r="T59" s="345">
        <f>IF(C59="","",IFERROR(IF(W59&gt;=70,3,IF(W59&gt;=60,2,IF(W59&gt;=50,1,0)))+IF(X59&lt;0,2,0)+IF(AD59="下降トレンド▼",3,IF(AD59="もみ合い→",1,0))+IF(V59="年初来安値圏●",3,IF(V59="安値圏",2,0))+IF(Q59="売り▼",2,0)+IF(P59="急増↑↑",2,IF(P59="増加↑",1,0))+IF(Z59&lt;0,1,0)+IF(L59&lt;=-30,2,IF(L59&lt;=-15,1,0))+IF(AE59="25日戻り売り★",2,IF(AE59="5日戻り売り○",1,0))+N(AL59)+N(AP59)+N(AU59),0))</f>
        <v/>
      </c>
      <c r="U59" s="345">
        <f>IF(T59="","",IF(AND(T59&gt;=3,O59&gt;=1.5),"有効",IF(T59&gt;=3,"要確認","除外")))</f>
        <v/>
      </c>
      <c r="V59" s="345">
        <f>IF(AND(I59&lt;&gt;"",K59&lt;&gt;""),IF(I59&lt;=K59*0.6,"年初来安値圏●",IF(I59&lt;=K59*0.75,"安値圏","通常")),"")</f>
        <v/>
      </c>
      <c r="W59" s="621">
        <f t="array" ref="W59">IFERROR(100-100/(1+SUMPRODUCT((終値!F104:R104&gt;終値!G104:S104)*(終値!F104:R104-終値!G104:S104))/SUMPRODUCT((終値!F104:R104&lt;終値!G104:S104)*(終値!G104:S104-終値!F104:R104))),50)</f>
        <v/>
      </c>
      <c r="X59" s="350">
        <f>IF(C59&lt;&gt;"",IFERROR(SUMPRODUCT(終値!E104:P104,{0.154,0.132,0.113,0.097,0.083,0.071,0.061,0.052,0.045,0.038,0.033,0.028})/SUMPRODUCT({0.154,0.132,0.113,0.097,0.083,0.071,0.061,0.052,0.045,0.038,0.033,0.028})-SUMPRODUCT(終値!E104:AD104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9" s="345">
        <f>IF(AF59="","",AF59&amp;" | "&amp;AD59&amp;IF(AE59&lt;&gt;"なし"," "&amp;AE59,"")&amp;IF(X59&lt;0," MACD-"," MACD+")&amp;" RSI:"&amp;TEXT(W59,"0.0")&amp;IF(W59&gt;=70," [過熱]",IF(W59&lt;=30," [売られ過ぎ]",""))&amp;" 前日比:"&amp;TEXT(Z59,"+0.0;-0.0;0.0")&amp;"%"&amp;IF(V59="年初来安値圏●"," [年初来安値圏]",IF(V59="安値圏"," [安値圏]",""))&amp;IF(OR(AO59="通常",AO59="-"),""," ["&amp;AO59&amp;"]")&amp;IF(OR(AT59="通常",AT59="-"),"","前日["&amp;AT59&amp;"]")&amp;" ["&amp;T59&amp;"点]")</f>
        <v/>
      </c>
      <c r="Z59" s="622">
        <f>IF(AND(E59&lt;&gt;"",G59&lt;&gt;"",G59&lt;&gt;0),(E59-G59)/G59*100,"")</f>
        <v/>
      </c>
      <c r="AA59" s="345">
        <f>IF(OR(C59="",E59="",E59=0),"",IF(E59&gt;G59,"上昇▲",IF(E59&lt;G59,"下落▼","横ばい→")))</f>
        <v/>
      </c>
      <c r="AB59" s="346">
        <f>IF(OR(C59="",C59="TOPX",終値!E104=""),"",IFERROR(((終値!E104*0.333)+(終値!F104*0.222)+(終値!G104*0.148)+(終値!H104*0.099)+(終値!I104*0.066))/(0.333+0.222+0.148+0.099+0.066),""))</f>
        <v/>
      </c>
      <c r="AC59" s="346">
        <f>IF(OR(C59="",C59="TOPX",終値!E104=""),"",IFERROR(SUMPRODUCT((終値!E104:AC104)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9" s="345">
        <f>IF(OR(C59="",AB59="",AC59="",AB59=0,AC59=0),"",IF(AND(E59&gt;AB59,AB59&gt;AC59),"パーフェクト▲",IF(E59&gt;AC59,"上昇トレンド▲",IF(AND(E59&lt;AB59,AB59&lt;AC59),"下降トレンド▼","もみ合い→"))))</f>
        <v/>
      </c>
      <c r="AE59" s="345">
        <f>IF(OR(C59="",AB59="",AC59=""),"",IF(AND(ABS(E59-AC59)/AC59&lt;=0.02,E59&lt;AC59),"25日戻り売り★",IF(AND(ABS(E59-AB59)/AB59&lt;=0.01,E59&lt;AB59),"5日戻り売り○","なし")))</f>
        <v/>
      </c>
      <c r="AF59">
        <f>IF(T59="","",IF(銘柄管理!$F$5="上昇▲",IF(AND(AD59="下降トレンド▼",OR(AE59="25日戻り売り★",AE59="5日戻り売り○")),"★逆張り売り",IF(AND(AD59="もみ合い→",OR(AE59="25日戻り売り★",AE59="5日戻り売り○")),"○逆張り売り",IF(W59&gt;=70,IF(Z59&lt;0,"◎反落確認","△過熱・様子見"),"相場上昇・見送り"))),IF(AND(T59&gt;=12,AD59="下降トレンド▼"),"★強い売り",IF(T59&gt;=12,"★強い売り",IF(AND(T59&gt;=8,OR(AE59="25日戻り売り★",AE59="5日戻り売り○")),"◎戻り売り",IF(T59&gt;=10,"○売り候補",IF(T59&gt;=6,"△注目",IF(T59&gt;=3,"様子見","見送り"))))))))</f>
        <v/>
      </c>
      <c r="AG59">
        <f>IF(AND(T59&gt;=7,C59&lt;&gt;""),T59,0)</f>
        <v/>
      </c>
      <c r="AH59">
        <f>IF(AG59&gt;0,AG59*10000-ROW(A59),0)</f>
        <v/>
      </c>
      <c r="AI59" s="623">
        <f t="array" ref="AI59">IF(C59="","",IFERROR((INDEX(終値!$E:$E,MATCH(TEXT(C59,"0"),終値!$A:$A,0))-INDEX(終値!$E:$BL,MATCH(TEXT(C59,"0"),終値!$A:$A,0),$AN$2))/INDEX(終値!$E:$BL,MATCH(TEXT(C59,"0"),終値!$A:$A,0),$AN$2)*100,""))</f>
        <v/>
      </c>
      <c r="AJ59" s="623">
        <f t="array" ref="AJ59">IFERROR((終値!$E$5-INDEX(終値!$E$5:$BL$5,1,$AN$2))/INDEX(終値!$E$5:$BL$5,1,$AN$2)*100,"")</f>
        <v/>
      </c>
      <c r="AK59" s="624">
        <f>IF(OR(AI59="",AJ59=""),"",AI59-AJ59)</f>
        <v/>
      </c>
      <c r="AL59" s="394">
        <f>IF(AK59="","",IF(AK59&lt;-5,3,IF(AK59&lt;0,1,IF(AK59&lt;3,-1,-2))))</f>
        <v/>
      </c>
      <c r="AO59" s="398">
        <f>IF(OR($C59="",$E59="",$F59="",$H59="",$I59="",$H59-$I59&lt;=0),"-",IF(AND($H59-MAX($F59,$E59)&gt;=ABS($E59-$F59)*2,MIN($F59,$E59)-$I59&lt;=ABS($E59-$F59)*0.5,ABS($E59-$F59)&gt;0),"上ヒゲ陰線▼",IF(AND($E59&lt;$F59,ABS($E59-$F59)&gt;=($H59-$I59)*0.7),"大陰線▼",IF(AND(MIN($F59,$E59)-$I59&gt;=($H59-$I59)*0.5,$H59-MAX($F59,$E59)&lt;=($H59-$I59)*0.2),"長い下ヒゲ(反発警戒)","通常"))))</f>
        <v/>
      </c>
      <c r="AP59" s="625">
        <f>IF($AO59="上ヒゲ陰線▼",2,IF($AO59="大陰線▼",2,IF($AO59="長い下ヒゲ(反発警戒)",-2,0)))</f>
        <v/>
      </c>
      <c r="AQ59">
        <f>IF(C59&lt;&gt;"",始値!F104,"")</f>
        <v/>
      </c>
      <c r="AR59">
        <f>IF(C59&lt;&gt;"",高値!F104,"")</f>
        <v/>
      </c>
      <c r="AS59">
        <f>IF(C59&lt;&gt;"",安値!F104,"")</f>
        <v/>
      </c>
      <c r="AT59">
        <f>IF(OR(C59="",AQ59="",AR59="",AS59="",AR59-AS59&lt;=0),"-",IF(AND(AR59-MAX(G59,AQ59)&gt;=ABS(G59-AQ59)*2,MIN(G59,AQ59)-AS59&lt;=ABS(G59-AQ59)*0.5,ABS(G59-AQ59)&gt;0),"上ヒゲ陰線▼",IF(AND(G59&lt;AQ59,ABS(G59-AQ59)&gt;=(AR59-AS59)*0.7),"大陰線▼",IF(AND(MIN(G59,AQ59)-AS59&gt;=(AR59-AS59)*0.5,AR59-MAX(G59,AQ59)&lt;=(AR59-AS59)*0.2),"長い下ヒゲ(反発)","通常"))))</f>
        <v/>
      </c>
      <c r="AU59">
        <f>IF(AT59="上ヒゲ陰線▼",2,IF(AT59="大陰線▼",2,IF(AT59="長い下ヒゲ(反発)",-2,0)))</f>
        <v/>
      </c>
    </row>
    <row r="60" ht="14.25" customHeight="1" s="574">
      <c r="A60" s="352">
        <f>IF(銘柄管理!B110&lt;&gt;"",HYPERLINK("https://kabutan.jp/stock/?code="&amp;銘柄管理!B110,"株探"),"")</f>
        <v/>
      </c>
      <c r="B60" s="225" t="n"/>
      <c r="C60" s="225">
        <f>IF(銘柄管理!B110="","",銘柄管理!B110)</f>
        <v/>
      </c>
      <c r="D60" s="225">
        <f>IF(銘柄管理!C110="","",銘柄管理!C110)</f>
        <v/>
      </c>
      <c r="E60" s="353">
        <f>IF(C60&lt;&gt;"",_xll.RssMarket(C60,"現在値"),"")</f>
        <v/>
      </c>
      <c r="F60" s="353">
        <f>IF(C60&lt;&gt;"",_xll.RssMarket(C60,"始値"),"")</f>
        <v/>
      </c>
      <c r="G60" s="225">
        <f>IF(C60&lt;&gt;"",終値!F110,"")</f>
        <v/>
      </c>
      <c r="H60" s="353">
        <f>IF(C60&lt;&gt;"",_xll.RssMarket(C60,"高値"),"")</f>
        <v/>
      </c>
      <c r="I60" s="353">
        <f>IF(C60&lt;&gt;"",_xll.RssMarket(C60,"安値"),"")</f>
        <v/>
      </c>
      <c r="J60" s="353">
        <f>IF(C60&lt;&gt;"",_xll.RssMarket(C60,"出来高"),"")</f>
        <v/>
      </c>
      <c r="K60" s="353">
        <f>IF(C60&lt;&gt;"",_xll.RssMarket(C60,"年初来高値"),"")</f>
        <v/>
      </c>
      <c r="L60" s="626">
        <f>IF(AND(E60&lt;&gt;"",K60&lt;&gt;"",K60&lt;&gt;0),(E60-K60)/K60*100,"")</f>
        <v/>
      </c>
      <c r="M60" s="353">
        <f>IF(C60&lt;&gt;"",IFERROR(AVERAGE(出来高!E110:I110),""),"")</f>
        <v/>
      </c>
      <c r="N60" s="353">
        <f>IF(C60&lt;&gt;"",IFERROR(AVERAGE(出来高!E110:AC110),""),"")</f>
        <v/>
      </c>
      <c r="O60" s="627">
        <f>IF(AND(J60&lt;&gt;"",M60&lt;&gt;"",M60&lt;&gt;0),J60/M60,"")</f>
        <v/>
      </c>
      <c r="P60" s="225">
        <f>IF(O60="","",IF(O60&gt;=2,"急増↑↑",IF(O60&gt;=1.5,"増加↑",IF(O60&gt;=1,"普通→","減少↓"))))</f>
        <v/>
      </c>
      <c r="Q60" s="225">
        <f>IF(E60="","",IF(AND(E60&lt;G60,O60&gt;=1.5),"売り▼",IF(E60&gt;G60,"様子見▲","中立→")))</f>
        <v/>
      </c>
      <c r="R60" s="353">
        <f>IF(E60&lt;&gt;"",ROUND(E60*0.92,0),"")</f>
        <v/>
      </c>
      <c r="S60" s="353">
        <f>IF(E60&lt;&gt;"",ROUND(E60*1.04,0),"")</f>
        <v/>
      </c>
      <c r="T60" s="345">
        <f>IF(C60="","",IFERROR(IF(W60&gt;=70,3,IF(W60&gt;=60,2,IF(W60&gt;=50,1,0)))+IF(X60&lt;0,2,0)+IF(AD60="下降トレンド▼",3,IF(AD60="もみ合い→",1,0))+IF(V60="年初来安値圏●",3,IF(V60="安値圏",2,0))+IF(Q60="売り▼",2,0)+IF(P60="急増↑↑",2,IF(P60="増加↑",1,0))+IF(Z60&lt;0,1,0)+IF(L60&lt;=-30,2,IF(L60&lt;=-15,1,0))+IF(AE60="25日戻り売り★",2,IF(AE60="5日戻り売り○",1,0))+N(AL60)+N(AP60)+N(AU60),0))</f>
        <v/>
      </c>
      <c r="U60" s="225">
        <f>IF(T60="","",IF(AND(T60&gt;=3,O60&gt;=1.5),"有効",IF(T60&gt;=3,"要確認","除外")))</f>
        <v/>
      </c>
      <c r="V60" s="225">
        <f>IF(AND(I60&lt;&gt;"",K60&lt;&gt;""),IF(I60&lt;=K60*0.6,"年初来安値圏●",IF(I60&lt;=K60*0.75,"安値圏","通常")),"")</f>
        <v/>
      </c>
      <c r="W60" s="628">
        <f t="array" ref="W60">IFERROR(100-100/(1+SUMPRODUCT((終値!F110:R110&gt;終値!G110:S110)*(終値!F110:R110-終値!G110:S110))/SUMPRODUCT((終値!F110:R110&lt;終値!G110:S110)*(終値!G110:S110-終値!F110:R110))),50)</f>
        <v/>
      </c>
      <c r="X60" s="357">
        <f>IF(C60&lt;&gt;"",IFERROR(SUMPRODUCT(終値!E110:P110,{0.154,0.132,0.113,0.097,0.083,0.071,0.061,0.052,0.045,0.038,0.033,0.028})/SUMPRODUCT({0.154,0.132,0.113,0.097,0.083,0.071,0.061,0.052,0.045,0.038,0.033,0.028})-SUMPRODUCT(終値!E110:AD110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0" s="225">
        <f>IF(AF60="","",AF60&amp;" | "&amp;AD60&amp;IF(AE60&lt;&gt;"なし"," "&amp;AE60,"")&amp;IF(X60&lt;0," MACD-"," MACD+")&amp;" RSI:"&amp;TEXT(W60,"0.0")&amp;IF(W60&gt;=70," [過熱]",IF(W60&lt;=30," [売られ過ぎ]",""))&amp;" 前日比:"&amp;TEXT(Z60,"+0.0;-0.0;0.0")&amp;"%"&amp;IF(V60="年初来安値圏●"," [年初来安値圏]",IF(V60="安値圏"," [安値圏]",""))&amp;IF(OR(AO60="通常",AO60="-"),""," ["&amp;AO60&amp;"]")&amp;IF(OR(AT60="通常",AT60="-"),"","前日["&amp;AT60&amp;"]")&amp;" ["&amp;T60&amp;"点]")</f>
        <v/>
      </c>
      <c r="Z60" s="629">
        <f>IF(AND(E60&lt;&gt;"",G60&lt;&gt;"",G60&lt;&gt;0),(E60-G60)/G60*100,"")</f>
        <v/>
      </c>
      <c r="AA60" s="225">
        <f>IF(OR(C60="",E60="",E60=0),"",IF(E60&gt;G60,"上昇▲",IF(E60&lt;G60,"下落▼","横ばい→")))</f>
        <v/>
      </c>
      <c r="AB60" s="353">
        <f>IF(OR(C60="",C60="TOPX",終値!E110=""),"",IFERROR(((終値!E110*0.333)+(終値!F110*0.222)+(終値!G110*0.148)+(終値!H110*0.099)+(終値!I110*0.066))/(0.333+0.222+0.148+0.099+0.066),""))</f>
        <v/>
      </c>
      <c r="AC60" s="353">
        <f>IF(OR(C60="",C60="TOPX",終値!E110=""),"",IFERROR(SUMPRODUCT((終値!E110:AC110)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0" s="225">
        <f>IF(OR(C60="",AB60="",AC60="",AB60=0,AC60=0),"",IF(AND(E60&gt;AB60,AB60&gt;AC60),"パーフェクト▲",IF(E60&gt;AC60,"上昇トレンド▲",IF(AND(E60&lt;AB60,AB60&lt;AC60),"下降トレンド▼","もみ合い→"))))</f>
        <v/>
      </c>
      <c r="AE60" s="225">
        <f>IF(OR(C60="",AB60="",AC60=""),"",IF(AND(ABS(E60-AC60)/AC60&lt;=0.02,E60&lt;AC60),"25日戻り売り★",IF(AND(ABS(E60-AB60)/AB60&lt;=0.01,E60&lt;AB60),"5日戻り売り○","なし")))</f>
        <v/>
      </c>
      <c r="AF60">
        <f>IF(T60="","",IF(銘柄管理!$F$5="上昇▲",IF(AND(AD60="下降トレンド▼",OR(AE60="25日戻り売り★",AE60="5日戻り売り○")),"★逆張り売り",IF(AND(AD60="もみ合い→",OR(AE60="25日戻り売り★",AE60="5日戻り売り○")),"○逆張り売り",IF(W60&gt;=70,IF(Z60&lt;0,"◎反落確認","△過熱・様子見"),"相場上昇・見送り"))),IF(AND(T60&gt;=12,AD60="下降トレンド▼"),"★強い売り",IF(T60&gt;=12,"★強い売り",IF(AND(T60&gt;=8,OR(AE60="25日戻り売り★",AE60="5日戻り売り○")),"◎戻り売り",IF(T60&gt;=10,"○売り候補",IF(T60&gt;=6,"△注目",IF(T60&gt;=3,"様子見","見送り"))))))))</f>
        <v/>
      </c>
      <c r="AG60">
        <f>IF(AND(T60&gt;=7,C60&lt;&gt;""),T60,0)</f>
        <v/>
      </c>
      <c r="AH60">
        <f>IF(AG60&gt;0,AG60*10000-ROW(A60),0)</f>
        <v/>
      </c>
      <c r="AI60" s="623">
        <f t="array" ref="AI60">IF(C60="","",IFERROR((INDEX(終値!$E:$E,MATCH(TEXT(C60,"0"),終値!$A:$A,0))-INDEX(終値!$E:$BL,MATCH(TEXT(C60,"0"),終値!$A:$A,0),$AN$2))/INDEX(終値!$E:$BL,MATCH(TEXT(C60,"0"),終値!$A:$A,0),$AN$2)*100,""))</f>
        <v/>
      </c>
      <c r="AJ60" s="623">
        <f t="array" ref="AJ60">IFERROR((終値!$E$5-INDEX(終値!$E$5:$BL$5,1,$AN$2))/INDEX(終値!$E$5:$BL$5,1,$AN$2)*100,"")</f>
        <v/>
      </c>
      <c r="AK60" s="624">
        <f>IF(OR(AI60="",AJ60=""),"",AI60-AJ60)</f>
        <v/>
      </c>
      <c r="AL60" s="394">
        <f>IF(AK60="","",IF(AK60&lt;-5,3,IF(AK60&lt;0,1,IF(AK60&lt;3,-1,-2))))</f>
        <v/>
      </c>
      <c r="AO60" s="398">
        <f>IF(OR($C60="",$E60="",$F60="",$H60="",$I60="",$H60-$I60&lt;=0),"-",IF(AND($H60-MAX($F60,$E60)&gt;=ABS($E60-$F60)*2,MIN($F60,$E60)-$I60&lt;=ABS($E60-$F60)*0.5,ABS($E60-$F60)&gt;0),"上ヒゲ陰線▼",IF(AND($E60&lt;$F60,ABS($E60-$F60)&gt;=($H60-$I60)*0.7),"大陰線▼",IF(AND(MIN($F60,$E60)-$I60&gt;=($H60-$I60)*0.5,$H60-MAX($F60,$E60)&lt;=($H60-$I60)*0.2),"長い下ヒゲ(反発警戒)","通常"))))</f>
        <v/>
      </c>
      <c r="AP60" s="625">
        <f>IF($AO60="上ヒゲ陰線▼",2,IF($AO60="大陰線▼",2,IF($AO60="長い下ヒゲ(反発警戒)",-2,0)))</f>
        <v/>
      </c>
      <c r="AQ60">
        <f>IF(C60&lt;&gt;"",始値!F110,"")</f>
        <v/>
      </c>
      <c r="AR60">
        <f>IF(C60&lt;&gt;"",高値!F110,"")</f>
        <v/>
      </c>
      <c r="AS60">
        <f>IF(C60&lt;&gt;"",安値!F110,"")</f>
        <v/>
      </c>
      <c r="AT60">
        <f>IF(OR(C60="",AQ60="",AR60="",AS60="",AR60-AS60&lt;=0),"-",IF(AND(AR60-MAX(G60,AQ60)&gt;=ABS(G60-AQ60)*2,MIN(G60,AQ60)-AS60&lt;=ABS(G60-AQ60)*0.5,ABS(G60-AQ60)&gt;0),"上ヒゲ陰線▼",IF(AND(G60&lt;AQ60,ABS(G60-AQ60)&gt;=(AR60-AS60)*0.7),"大陰線▼",IF(AND(MIN(G60,AQ60)-AS60&gt;=(AR60-AS60)*0.5,AR60-MAX(G60,AQ60)&lt;=(AR60-AS60)*0.2),"長い下ヒゲ(反発)","通常"))))</f>
        <v/>
      </c>
      <c r="AU60">
        <f>IF(AT60="上ヒゲ陰線▼",2,IF(AT60="大陰線▼",2,IF(AT60="長い下ヒゲ(反発)",-2,0)))</f>
        <v/>
      </c>
    </row>
    <row r="61" ht="14.25" customHeight="1" s="574">
      <c r="A61" s="344">
        <f>IF(銘柄管理!B118&lt;&gt;"",HYPERLINK("https://kabutan.jp/stock/?code="&amp;銘柄管理!B118,"株探"),"")</f>
        <v/>
      </c>
      <c r="B61" s="345" t="n"/>
      <c r="C61" s="345">
        <f>IF(銘柄管理!B118="","",銘柄管理!B118)</f>
        <v/>
      </c>
      <c r="D61" s="345">
        <f>IF(銘柄管理!C118="","",銘柄管理!C118)</f>
        <v/>
      </c>
      <c r="E61" s="346">
        <f>IF(C61&lt;&gt;"",_xll.RssMarket(C61,"現在値"),"")</f>
        <v/>
      </c>
      <c r="F61" s="346">
        <f>IF(C61&lt;&gt;"",_xll.RssMarket(C61,"始値"),"")</f>
        <v/>
      </c>
      <c r="G61" s="345">
        <f>IF(C61&lt;&gt;"",終値!F118,"")</f>
        <v/>
      </c>
      <c r="H61" s="346">
        <f>IF(C61&lt;&gt;"",_xll.RssMarket(C61,"高値"),"")</f>
        <v/>
      </c>
      <c r="I61" s="346">
        <f>IF(C61&lt;&gt;"",_xll.RssMarket(C61,"安値"),"")</f>
        <v/>
      </c>
      <c r="J61" s="346">
        <f>IF(C61&lt;&gt;"",_xll.RssMarket(C61,"出来高"),"")</f>
        <v/>
      </c>
      <c r="K61" s="346">
        <f>IF(C61&lt;&gt;"",_xll.RssMarket(C61,"年初来高値"),"")</f>
        <v/>
      </c>
      <c r="L61" s="619">
        <f>IF(AND(E61&lt;&gt;"",K61&lt;&gt;"",K61&lt;&gt;0),(E61-K61)/K61*100,"")</f>
        <v/>
      </c>
      <c r="M61" s="346">
        <f>IF(C61&lt;&gt;"",IFERROR(AVERAGE(出来高!E118:I118),""),"")</f>
        <v/>
      </c>
      <c r="N61" s="346">
        <f>IF(C61&lt;&gt;"",IFERROR(AVERAGE(出来高!E118:AC118),""),"")</f>
        <v/>
      </c>
      <c r="O61" s="620">
        <f>IF(AND(J61&lt;&gt;"",M61&lt;&gt;"",M61&lt;&gt;0),J61/M61,"")</f>
        <v/>
      </c>
      <c r="P61" s="345">
        <f>IF(O61="","",IF(O61&gt;=2,"急増↑↑",IF(O61&gt;=1.5,"増加↑",IF(O61&gt;=1,"普通→","減少↓"))))</f>
        <v/>
      </c>
      <c r="Q61" s="345">
        <f>IF(E61="","",IF(AND(E61&lt;G61,O61&gt;=1.5),"売り▼",IF(E61&gt;G61,"様子見▲","中立→")))</f>
        <v/>
      </c>
      <c r="R61" s="346">
        <f>IF(E61&lt;&gt;"",ROUND(E61*0.92,0),"")</f>
        <v/>
      </c>
      <c r="S61" s="346">
        <f>IF(E61&lt;&gt;"",ROUND(E61*1.04,0),"")</f>
        <v/>
      </c>
      <c r="T61" s="345">
        <f>IF(C61="","",IFERROR(IF(W61&gt;=70,3,IF(W61&gt;=60,2,IF(W61&gt;=50,1,0)))+IF(X61&lt;0,2,0)+IF(AD61="下降トレンド▼",3,IF(AD61="もみ合い→",1,0))+IF(V61="年初来安値圏●",3,IF(V61="安値圏",2,0))+IF(Q61="売り▼",2,0)+IF(P61="急増↑↑",2,IF(P61="増加↑",1,0))+IF(Z61&lt;0,1,0)+IF(L61&lt;=-30,2,IF(L61&lt;=-15,1,0))+IF(AE61="25日戻り売り★",2,IF(AE61="5日戻り売り○",1,0))+N(AL61)+N(AP61)+N(AU61),0))</f>
        <v/>
      </c>
      <c r="U61" s="345">
        <f>IF(T61="","",IF(AND(T61&gt;=3,O61&gt;=1.5),"有効",IF(T61&gt;=3,"要確認","除外")))</f>
        <v/>
      </c>
      <c r="V61" s="345">
        <f>IF(AND(I61&lt;&gt;"",K61&lt;&gt;""),IF(I61&lt;=K61*0.6,"年初来安値圏●",IF(I61&lt;=K61*0.75,"安値圏","通常")),"")</f>
        <v/>
      </c>
      <c r="W61" s="621">
        <f t="array" ref="W61">IFERROR(100-100/(1+SUMPRODUCT((終値!F118:R118&gt;終値!G118:S118)*(終値!F118:R118-終値!G118:S118))/SUMPRODUCT((終値!F118:R118&lt;終値!G118:S118)*(終値!G118:S118-終値!F118:R118))),50)</f>
        <v/>
      </c>
      <c r="X61" s="350">
        <f>IF(C61&lt;&gt;"",IFERROR(SUMPRODUCT(終値!E118:P118,{0.154,0.132,0.113,0.097,0.083,0.071,0.061,0.052,0.045,0.038,0.033,0.028})/SUMPRODUCT({0.154,0.132,0.113,0.097,0.083,0.071,0.061,0.052,0.045,0.038,0.033,0.028})-SUMPRODUCT(終値!E118:AD118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1" s="345">
        <f>IF(AF61="","",AF61&amp;" | "&amp;AD61&amp;IF(AE61&lt;&gt;"なし"," "&amp;AE61,"")&amp;IF(X61&lt;0," MACD-"," MACD+")&amp;" RSI:"&amp;TEXT(W61,"0.0")&amp;IF(W61&gt;=70," [過熱]",IF(W61&lt;=30," [売られ過ぎ]",""))&amp;" 前日比:"&amp;TEXT(Z61,"+0.0;-0.0;0.0")&amp;"%"&amp;IF(V61="年初来安値圏●"," [年初来安値圏]",IF(V61="安値圏"," [安値圏]",""))&amp;IF(OR(AO61="通常",AO61="-"),""," ["&amp;AO61&amp;"]")&amp;IF(OR(AT61="通常",AT61="-"),"","前日["&amp;AT61&amp;"]")&amp;" ["&amp;T61&amp;"点]")</f>
        <v/>
      </c>
      <c r="Z61" s="622">
        <f>IF(AND(E61&lt;&gt;"",G61&lt;&gt;"",G61&lt;&gt;0),(E61-G61)/G61*100,"")</f>
        <v/>
      </c>
      <c r="AA61" s="345">
        <f>IF(OR(C61="",E61="",E61=0),"",IF(E61&gt;G61,"上昇▲",IF(E61&lt;G61,"下落▼","横ばい→")))</f>
        <v/>
      </c>
      <c r="AB61" s="346">
        <f>IF(OR(C61="",C61="TOPX",終値!E118=""),"",IFERROR(((終値!E118*0.333)+(終値!F118*0.222)+(終値!G118*0.148)+(終値!H118*0.099)+(終値!I118*0.066))/(0.333+0.222+0.148+0.099+0.066),""))</f>
        <v/>
      </c>
      <c r="AC61" s="346">
        <f>IF(OR(C61="",C61="TOPX",終値!E118=""),"",IFERROR(SUMPRODUCT((終値!E118:AC118)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1" s="345">
        <f>IF(OR(C61="",AB61="",AC61="",AB61=0,AC61=0),"",IF(AND(E61&gt;AB61,AB61&gt;AC61),"パーフェクト▲",IF(E61&gt;AC61,"上昇トレンド▲",IF(AND(E61&lt;AB61,AB61&lt;AC61),"下降トレンド▼","もみ合い→"))))</f>
        <v/>
      </c>
      <c r="AE61" s="345">
        <f>IF(OR(C61="",AB61="",AC61=""),"",IF(AND(ABS(E61-AC61)/AC61&lt;=0.02,E61&lt;AC61),"25日戻り売り★",IF(AND(ABS(E61-AB61)/AB61&lt;=0.01,E61&lt;AB61),"5日戻り売り○","なし")))</f>
        <v/>
      </c>
      <c r="AF61">
        <f>IF(T61="","",IF(銘柄管理!$F$5="上昇▲",IF(AND(AD61="下降トレンド▼",OR(AE61="25日戻り売り★",AE61="5日戻り売り○")),"★逆張り売り",IF(AND(AD61="もみ合い→",OR(AE61="25日戻り売り★",AE61="5日戻り売り○")),"○逆張り売り",IF(W61&gt;=70,IF(Z61&lt;0,"◎反落確認","△過熱・様子見"),"相場上昇・見送り"))),IF(AND(T61&gt;=12,AD61="下降トレンド▼"),"★強い売り",IF(T61&gt;=12,"★強い売り",IF(AND(T61&gt;=8,OR(AE61="25日戻り売り★",AE61="5日戻り売り○")),"◎戻り売り",IF(T61&gt;=10,"○売り候補",IF(T61&gt;=6,"△注目",IF(T61&gt;=3,"様子見","見送り"))))))))</f>
        <v/>
      </c>
      <c r="AG61">
        <f>IF(AND(T61&gt;=7,C61&lt;&gt;""),T61,0)</f>
        <v/>
      </c>
      <c r="AH61">
        <f>IF(AG61&gt;0,AG61*10000-ROW(A61),0)</f>
        <v/>
      </c>
      <c r="AI61" s="623">
        <f t="array" ref="AI61">IF(C61="","",IFERROR((INDEX(終値!$E:$E,MATCH(TEXT(C61,"0"),終値!$A:$A,0))-INDEX(終値!$E:$BL,MATCH(TEXT(C61,"0"),終値!$A:$A,0),$AN$2))/INDEX(終値!$E:$BL,MATCH(TEXT(C61,"0"),終値!$A:$A,0),$AN$2)*100,""))</f>
        <v/>
      </c>
      <c r="AJ61" s="623">
        <f t="array" ref="AJ61">IFERROR((終値!$E$5-INDEX(終値!$E$5:$BL$5,1,$AN$2))/INDEX(終値!$E$5:$BL$5,1,$AN$2)*100,"")</f>
        <v/>
      </c>
      <c r="AK61" s="624">
        <f>IF(OR(AI61="",AJ61=""),"",AI61-AJ61)</f>
        <v/>
      </c>
      <c r="AL61" s="394">
        <f>IF(AK61="","",IF(AK61&lt;-5,3,IF(AK61&lt;0,1,IF(AK61&lt;3,-1,-2))))</f>
        <v/>
      </c>
      <c r="AO61" s="398">
        <f>IF(OR($C61="",$E61="",$F61="",$H61="",$I61="",$H61-$I61&lt;=0),"-",IF(AND($H61-MAX($F61,$E61)&gt;=ABS($E61-$F61)*2,MIN($F61,$E61)-$I61&lt;=ABS($E61-$F61)*0.5,ABS($E61-$F61)&gt;0),"上ヒゲ陰線▼",IF(AND($E61&lt;$F61,ABS($E61-$F61)&gt;=($H61-$I61)*0.7),"大陰線▼",IF(AND(MIN($F61,$E61)-$I61&gt;=($H61-$I61)*0.5,$H61-MAX($F61,$E61)&lt;=($H61-$I61)*0.2),"長い下ヒゲ(反発警戒)","通常"))))</f>
        <v/>
      </c>
      <c r="AP61" s="625">
        <f>IF($AO61="上ヒゲ陰線▼",2,IF($AO61="大陰線▼",2,IF($AO61="長い下ヒゲ(反発警戒)",-2,0)))</f>
        <v/>
      </c>
      <c r="AQ61">
        <f>IF(C61&lt;&gt;"",始値!F118,"")</f>
        <v/>
      </c>
      <c r="AR61">
        <f>IF(C61&lt;&gt;"",高値!F118,"")</f>
        <v/>
      </c>
      <c r="AS61">
        <f>IF(C61&lt;&gt;"",安値!F118,"")</f>
        <v/>
      </c>
      <c r="AT61">
        <f>IF(OR(C61="",AQ61="",AR61="",AS61="",AR61-AS61&lt;=0),"-",IF(AND(AR61-MAX(G61,AQ61)&gt;=ABS(G61-AQ61)*2,MIN(G61,AQ61)-AS61&lt;=ABS(G61-AQ61)*0.5,ABS(G61-AQ61)&gt;0),"上ヒゲ陰線▼",IF(AND(G61&lt;AQ61,ABS(G61-AQ61)&gt;=(AR61-AS61)*0.7),"大陰線▼",IF(AND(MIN(G61,AQ61)-AS61&gt;=(AR61-AS61)*0.5,AR61-MAX(G61,AQ61)&lt;=(AR61-AS61)*0.2),"長い下ヒゲ(反発)","通常"))))</f>
        <v/>
      </c>
      <c r="AU61">
        <f>IF(AT61="上ヒゲ陰線▼",2,IF(AT61="大陰線▼",2,IF(AT61="長い下ヒゲ(反発)",-2,0)))</f>
        <v/>
      </c>
    </row>
    <row r="62" ht="14.25" customHeight="1" s="574">
      <c r="A62" s="352">
        <f>IF(銘柄管理!B147&lt;&gt;"",HYPERLINK("https://kabutan.jp/stock/?code="&amp;銘柄管理!B147,"株探"),"")</f>
        <v/>
      </c>
      <c r="B62" s="225" t="n"/>
      <c r="C62" s="225">
        <f>IF(銘柄管理!B147="","",銘柄管理!B147)</f>
        <v/>
      </c>
      <c r="D62" s="225">
        <f>IF(銘柄管理!C147="","",銘柄管理!C147)</f>
        <v/>
      </c>
      <c r="E62" s="353">
        <f>IF(C62&lt;&gt;"",_xll.RssMarket(C62,"現在値"),"")</f>
        <v/>
      </c>
      <c r="F62" s="353">
        <f>IF(C62&lt;&gt;"",_xll.RssMarket(C62,"始値"),"")</f>
        <v/>
      </c>
      <c r="G62" s="225">
        <f>IF(C62&lt;&gt;"",終値!F147,"")</f>
        <v/>
      </c>
      <c r="H62" s="353">
        <f>IF(C62&lt;&gt;"",_xll.RssMarket(C62,"高値"),"")</f>
        <v/>
      </c>
      <c r="I62" s="353">
        <f>IF(C62&lt;&gt;"",_xll.RssMarket(C62,"安値"),"")</f>
        <v/>
      </c>
      <c r="J62" s="353">
        <f>IF(C62&lt;&gt;"",_xll.RssMarket(C62,"出来高"),"")</f>
        <v/>
      </c>
      <c r="K62" s="353">
        <f>IF(C62&lt;&gt;"",_xll.RssMarket(C62,"年初来高値"),"")</f>
        <v/>
      </c>
      <c r="L62" s="626">
        <f>IF(AND(E62&lt;&gt;"",K62&lt;&gt;"",K62&lt;&gt;0),(E62-K62)/K62*100,"")</f>
        <v/>
      </c>
      <c r="M62" s="353">
        <f>IF(C62&lt;&gt;"",IFERROR(AVERAGE(出来高!E147:I147),""),"")</f>
        <v/>
      </c>
      <c r="N62" s="353">
        <f>IF(C62&lt;&gt;"",IFERROR(AVERAGE(出来高!E147:AC147),""),"")</f>
        <v/>
      </c>
      <c r="O62" s="627">
        <f>IF(AND(J62&lt;&gt;"",M62&lt;&gt;"",M62&lt;&gt;0),J62/M62,"")</f>
        <v/>
      </c>
      <c r="P62" s="225">
        <f>IF(O62="","",IF(O62&gt;=2,"急増↑↑",IF(O62&gt;=1.5,"増加↑",IF(O62&gt;=1,"普通→","減少↓"))))</f>
        <v/>
      </c>
      <c r="Q62" s="225">
        <f>IF(E62="","",IF(AND(E62&lt;G62,O62&gt;=1.5),"売り▼",IF(E62&gt;G62,"様子見▲","中立→")))</f>
        <v/>
      </c>
      <c r="R62" s="353">
        <f>IF(E62&lt;&gt;"",ROUND(E62*0.92,0),"")</f>
        <v/>
      </c>
      <c r="S62" s="353">
        <f>IF(E62&lt;&gt;"",ROUND(E62*1.04,0),"")</f>
        <v/>
      </c>
      <c r="T62" s="345">
        <f>IF(C62="","",IFERROR(IF(W62&gt;=70,3,IF(W62&gt;=60,2,IF(W62&gt;=50,1,0)))+IF(X62&lt;0,2,0)+IF(AD62="下降トレンド▼",3,IF(AD62="もみ合い→",1,0))+IF(V62="年初来安値圏●",3,IF(V62="安値圏",2,0))+IF(Q62="売り▼",2,0)+IF(P62="急増↑↑",2,IF(P62="増加↑",1,0))+IF(Z62&lt;0,1,0)+IF(L62&lt;=-30,2,IF(L62&lt;=-15,1,0))+IF(AE62="25日戻り売り★",2,IF(AE62="5日戻り売り○",1,0))+N(AL62)+N(AP62)+N(AU62),0))</f>
        <v/>
      </c>
      <c r="U62" s="225">
        <f>IF(T62="","",IF(AND(T62&gt;=3,O62&gt;=1.5),"有効",IF(T62&gt;=3,"要確認","除外")))</f>
        <v/>
      </c>
      <c r="V62" s="225">
        <f>IF(AND(I62&lt;&gt;"",K62&lt;&gt;""),IF(I62&lt;=K62*0.6,"年初来安値圏●",IF(I62&lt;=K62*0.75,"安値圏","通常")),"")</f>
        <v/>
      </c>
      <c r="W62" s="628">
        <f t="array" ref="W62">IFERROR(100-100/(1+SUMPRODUCT((終値!F147:R147&gt;終値!G147:S147)*(終値!F147:R147-終値!G147:S147))/SUMPRODUCT((終値!F147:R147&lt;終値!G147:S147)*(終値!G147:S147-終値!F147:R147))),50)</f>
        <v/>
      </c>
      <c r="X62" s="357">
        <f>IF(C62&lt;&gt;"",IFERROR(SUMPRODUCT(終値!E147:P147,{0.154,0.132,0.113,0.097,0.083,0.071,0.061,0.052,0.045,0.038,0.033,0.028})/SUMPRODUCT({0.154,0.132,0.113,0.097,0.083,0.071,0.061,0.052,0.045,0.038,0.033,0.028})-SUMPRODUCT(終値!E147:AD147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2" s="225">
        <f>IF(AF62="","",AF62&amp;" | "&amp;AD62&amp;IF(AE62&lt;&gt;"なし"," "&amp;AE62,"")&amp;IF(X62&lt;0," MACD-"," MACD+")&amp;" RSI:"&amp;TEXT(W62,"0.0")&amp;IF(W62&gt;=70," [過熱]",IF(W62&lt;=30," [売られ過ぎ]",""))&amp;" 前日比:"&amp;TEXT(Z62,"+0.0;-0.0;0.0")&amp;"%"&amp;IF(V62="年初来安値圏●"," [年初来安値圏]",IF(V62="安値圏"," [安値圏]",""))&amp;IF(OR(AO62="通常",AO62="-"),""," ["&amp;AO62&amp;"]")&amp;IF(OR(AT62="通常",AT62="-"),"","前日["&amp;AT62&amp;"]")&amp;" ["&amp;T62&amp;"点]")</f>
        <v/>
      </c>
      <c r="Z62" s="629">
        <f>IF(AND(E62&lt;&gt;"",G62&lt;&gt;"",G62&lt;&gt;0),(E62-G62)/G62*100,"")</f>
        <v/>
      </c>
      <c r="AA62" s="225">
        <f>IF(OR(C62="",E62="",E62=0),"",IF(E62&gt;G62,"上昇▲",IF(E62&lt;G62,"下落▼","横ばい→")))</f>
        <v/>
      </c>
      <c r="AB62" s="353">
        <f>IF(OR(C62="",C62="TOPX",終値!E147=""),"",IFERROR(((終値!E147*0.333)+(終値!F147*0.222)+(終値!G147*0.148)+(終値!H147*0.099)+(終値!I147*0.066))/(0.333+0.222+0.148+0.099+0.066),""))</f>
        <v/>
      </c>
      <c r="AC62" s="353">
        <f>IF(OR(C62="",C62="TOPX",終値!E147=""),"",IFERROR(SUMPRODUCT((終値!E147:AC147)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2" s="225">
        <f>IF(OR(C62="",AB62="",AC62="",AB62=0,AC62=0),"",IF(AND(E62&gt;AB62,AB62&gt;AC62),"パーフェクト▲",IF(E62&gt;AC62,"上昇トレンド▲",IF(AND(E62&lt;AB62,AB62&lt;AC62),"下降トレンド▼","もみ合い→"))))</f>
        <v/>
      </c>
      <c r="AE62" s="225">
        <f>IF(OR(C62="",AB62="",AC62=""),"",IF(AND(ABS(E62-AC62)/AC62&lt;=0.02,E62&lt;AC62),"25日戻り売り★",IF(AND(ABS(E62-AB62)/AB62&lt;=0.01,E62&lt;AB62),"5日戻り売り○","なし")))</f>
        <v/>
      </c>
      <c r="AF62">
        <f>IF(T62="","",IF(銘柄管理!$F$5="上昇▲",IF(AND(AD62="下降トレンド▼",OR(AE62="25日戻り売り★",AE62="5日戻り売り○")),"★逆張り売り",IF(AND(AD62="もみ合い→",OR(AE62="25日戻り売り★",AE62="5日戻り売り○")),"○逆張り売り",IF(W62&gt;=70,IF(Z62&lt;0,"◎反落確認","△過熱・様子見"),"相場上昇・見送り"))),IF(AND(T62&gt;=12,AD62="下降トレンド▼"),"★強い売り",IF(T62&gt;=12,"★強い売り",IF(AND(T62&gt;=8,OR(AE62="25日戻り売り★",AE62="5日戻り売り○")),"◎戻り売り",IF(T62&gt;=10,"○売り候補",IF(T62&gt;=6,"△注目",IF(T62&gt;=3,"様子見","見送り"))))))))</f>
        <v/>
      </c>
      <c r="AG62">
        <f>IF(AND(T62&gt;=7,C62&lt;&gt;""),T62,0)</f>
        <v/>
      </c>
      <c r="AH62">
        <f>IF(AG62&gt;0,AG62*10000-ROW(A62),0)</f>
        <v/>
      </c>
      <c r="AI62" s="623">
        <f t="array" ref="AI62">IF(C62="","",IFERROR((INDEX(終値!$E:$E,MATCH(TEXT(C62,"0"),終値!$A:$A,0))-INDEX(終値!$E:$BL,MATCH(TEXT(C62,"0"),終値!$A:$A,0),$AN$2))/INDEX(終値!$E:$BL,MATCH(TEXT(C62,"0"),終値!$A:$A,0),$AN$2)*100,""))</f>
        <v/>
      </c>
      <c r="AJ62" s="623">
        <f t="array" ref="AJ62">IFERROR((終値!$E$5-INDEX(終値!$E$5:$BL$5,1,$AN$2))/INDEX(終値!$E$5:$BL$5,1,$AN$2)*100,"")</f>
        <v/>
      </c>
      <c r="AK62" s="624">
        <f>IF(OR(AI62="",AJ62=""),"",AI62-AJ62)</f>
        <v/>
      </c>
      <c r="AL62" s="394">
        <f>IF(AK62="","",IF(AK62&lt;-5,3,IF(AK62&lt;0,1,IF(AK62&lt;3,-1,-2))))</f>
        <v/>
      </c>
      <c r="AO62" s="398">
        <f>IF(OR($C62="",$E62="",$F62="",$H62="",$I62="",$H62-$I62&lt;=0),"-",IF(AND($H62-MAX($F62,$E62)&gt;=ABS($E62-$F62)*2,MIN($F62,$E62)-$I62&lt;=ABS($E62-$F62)*0.5,ABS($E62-$F62)&gt;0),"上ヒゲ陰線▼",IF(AND($E62&lt;$F62,ABS($E62-$F62)&gt;=($H62-$I62)*0.7),"大陰線▼",IF(AND(MIN($F62,$E62)-$I62&gt;=($H62-$I62)*0.5,$H62-MAX($F62,$E62)&lt;=($H62-$I62)*0.2),"長い下ヒゲ(反発警戒)","通常"))))</f>
        <v/>
      </c>
      <c r="AP62" s="625">
        <f>IF($AO62="上ヒゲ陰線▼",2,IF($AO62="大陰線▼",2,IF($AO62="長い下ヒゲ(反発警戒)",-2,0)))</f>
        <v/>
      </c>
      <c r="AQ62">
        <f>IF(C62&lt;&gt;"",始値!F147,"")</f>
        <v/>
      </c>
      <c r="AR62">
        <f>IF(C62&lt;&gt;"",高値!F147,"")</f>
        <v/>
      </c>
      <c r="AS62">
        <f>IF(C62&lt;&gt;"",安値!F147,"")</f>
        <v/>
      </c>
      <c r="AT62">
        <f>IF(OR(C62="",AQ62="",AR62="",AS62="",AR62-AS62&lt;=0),"-",IF(AND(AR62-MAX(G62,AQ62)&gt;=ABS(G62-AQ62)*2,MIN(G62,AQ62)-AS62&lt;=ABS(G62-AQ62)*0.5,ABS(G62-AQ62)&gt;0),"上ヒゲ陰線▼",IF(AND(G62&lt;AQ62,ABS(G62-AQ62)&gt;=(AR62-AS62)*0.7),"大陰線▼",IF(AND(MIN(G62,AQ62)-AS62&gt;=(AR62-AS62)*0.5,AR62-MAX(G62,AQ62)&lt;=(AR62-AS62)*0.2),"長い下ヒゲ(反発)","通常"))))</f>
        <v/>
      </c>
      <c r="AU62">
        <f>IF(AT62="上ヒゲ陰線▼",2,IF(AT62="大陰線▼",2,IF(AT62="長い下ヒゲ(反発)",-2,0)))</f>
        <v/>
      </c>
    </row>
    <row r="63" ht="14.25" customHeight="1" s="574">
      <c r="A63" s="344">
        <f>IF(銘柄管理!B152&lt;&gt;"",HYPERLINK("https://kabutan.jp/stock/?code="&amp;銘柄管理!B152,"株探"),"")</f>
        <v/>
      </c>
      <c r="B63" s="345" t="n"/>
      <c r="C63" s="345">
        <f>IF(銘柄管理!B152="","",銘柄管理!B152)</f>
        <v/>
      </c>
      <c r="D63" s="345">
        <f>IF(銘柄管理!C152="","",銘柄管理!C152)</f>
        <v/>
      </c>
      <c r="E63" s="346">
        <f>IF(C63&lt;&gt;"",_xll.RssMarket(C63,"現在値"),"")</f>
        <v/>
      </c>
      <c r="F63" s="346">
        <f>IF(C63&lt;&gt;"",_xll.RssMarket(C63,"始値"),"")</f>
        <v/>
      </c>
      <c r="G63" s="345">
        <f>IF(C63&lt;&gt;"",終値!F152,"")</f>
        <v/>
      </c>
      <c r="H63" s="346">
        <f>IF(C63&lt;&gt;"",_xll.RssMarket(C63,"高値"),"")</f>
        <v/>
      </c>
      <c r="I63" s="346">
        <f>IF(C63&lt;&gt;"",_xll.RssMarket(C63,"安値"),"")</f>
        <v/>
      </c>
      <c r="J63" s="346">
        <f>IF(C63&lt;&gt;"",_xll.RssMarket(C63,"出来高"),"")</f>
        <v/>
      </c>
      <c r="K63" s="346">
        <f>IF(C63&lt;&gt;"",_xll.RssMarket(C63,"年初来高値"),"")</f>
        <v/>
      </c>
      <c r="L63" s="619">
        <f>IF(AND(E63&lt;&gt;"",K63&lt;&gt;"",K63&lt;&gt;0),(E63-K63)/K63*100,"")</f>
        <v/>
      </c>
      <c r="M63" s="346">
        <f>IF(C63&lt;&gt;"",IFERROR(AVERAGE(出来高!E152:I152),""),"")</f>
        <v/>
      </c>
      <c r="N63" s="346">
        <f>IF(C63&lt;&gt;"",IFERROR(AVERAGE(出来高!E152:AC152),""),"")</f>
        <v/>
      </c>
      <c r="O63" s="620">
        <f>IF(AND(J63&lt;&gt;"",M63&lt;&gt;"",M63&lt;&gt;0),J63/M63,"")</f>
        <v/>
      </c>
      <c r="P63" s="345">
        <f>IF(O63="","",IF(O63&gt;=2,"急増↑↑",IF(O63&gt;=1.5,"増加↑",IF(O63&gt;=1,"普通→","減少↓"))))</f>
        <v/>
      </c>
      <c r="Q63" s="345">
        <f>IF(E63="","",IF(AND(E63&lt;G63,O63&gt;=1.5),"売り▼",IF(E63&gt;G63,"様子見▲","中立→")))</f>
        <v/>
      </c>
      <c r="R63" s="346">
        <f>IF(E63&lt;&gt;"",ROUND(E63*0.92,0),"")</f>
        <v/>
      </c>
      <c r="S63" s="346">
        <f>IF(E63&lt;&gt;"",ROUND(E63*1.04,0),"")</f>
        <v/>
      </c>
      <c r="T63" s="345">
        <f>IF(C63="","",IFERROR(IF(W63&gt;=70,3,IF(W63&gt;=60,2,IF(W63&gt;=50,1,0)))+IF(X63&lt;0,2,0)+IF(AD63="下降トレンド▼",3,IF(AD63="もみ合い→",1,0))+IF(V63="年初来安値圏●",3,IF(V63="安値圏",2,0))+IF(Q63="売り▼",2,0)+IF(P63="急増↑↑",2,IF(P63="増加↑",1,0))+IF(Z63&lt;0,1,0)+IF(L63&lt;=-30,2,IF(L63&lt;=-15,1,0))+IF(AE63="25日戻り売り★",2,IF(AE63="5日戻り売り○",1,0))+N(AL63)+N(AP63)+N(AU63),0))</f>
        <v/>
      </c>
      <c r="U63" s="345">
        <f>IF(T63="","",IF(AND(T63&gt;=3,O63&gt;=1.5),"有効",IF(T63&gt;=3,"要確認","除外")))</f>
        <v/>
      </c>
      <c r="V63" s="345">
        <f>IF(AND(I63&lt;&gt;"",K63&lt;&gt;""),IF(I63&lt;=K63*0.6,"年初来安値圏●",IF(I63&lt;=K63*0.75,"安値圏","通常")),"")</f>
        <v/>
      </c>
      <c r="W63" s="621">
        <f t="array" ref="W63">IFERROR(100-100/(1+SUMPRODUCT((終値!F152:R152&gt;終値!G152:S152)*(終値!F152:R152-終値!G152:S152))/SUMPRODUCT((終値!F152:R152&lt;終値!G152:S152)*(終値!G152:S152-終値!F152:R152))),50)</f>
        <v/>
      </c>
      <c r="X63" s="350">
        <f>IF(C63&lt;&gt;"",IFERROR(SUMPRODUCT(終値!E152:P152,{0.154,0.132,0.113,0.097,0.083,0.071,0.061,0.052,0.045,0.038,0.033,0.028})/SUMPRODUCT({0.154,0.132,0.113,0.097,0.083,0.071,0.061,0.052,0.045,0.038,0.033,0.028})-SUMPRODUCT(終値!E152:AD152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3" s="345">
        <f>IF(AF63="","",AF63&amp;" | "&amp;AD63&amp;IF(AE63&lt;&gt;"なし"," "&amp;AE63,"")&amp;IF(X63&lt;0," MACD-"," MACD+")&amp;" RSI:"&amp;TEXT(W63,"0.0")&amp;IF(W63&gt;=70," [過熱]",IF(W63&lt;=30," [売られ過ぎ]",""))&amp;" 前日比:"&amp;TEXT(Z63,"+0.0;-0.0;0.0")&amp;"%"&amp;IF(V63="年初来安値圏●"," [年初来安値圏]",IF(V63="安値圏"," [安値圏]",""))&amp;IF(OR(AO63="通常",AO63="-"),""," ["&amp;AO63&amp;"]")&amp;IF(OR(AT63="通常",AT63="-"),"","前日["&amp;AT63&amp;"]")&amp;" ["&amp;T63&amp;"点]")</f>
        <v/>
      </c>
      <c r="Z63" s="622">
        <f>IF(AND(E63&lt;&gt;"",G63&lt;&gt;"",G63&lt;&gt;0),(E63-G63)/G63*100,"")</f>
        <v/>
      </c>
      <c r="AA63" s="345">
        <f>IF(OR(C63="",E63="",E63=0),"",IF(E63&gt;G63,"上昇▲",IF(E63&lt;G63,"下落▼","横ばい→")))</f>
        <v/>
      </c>
      <c r="AB63" s="346">
        <f>IF(OR(C63="",C63="TOPX",終値!E152=""),"",IFERROR(((終値!E152*0.333)+(終値!F152*0.222)+(終値!G152*0.148)+(終値!H152*0.099)+(終値!I152*0.066))/(0.333+0.222+0.148+0.099+0.066),""))</f>
        <v/>
      </c>
      <c r="AC63" s="346">
        <f>IF(OR(C63="",C63="TOPX",終値!E152=""),"",IFERROR(SUMPRODUCT((終値!E152:AC152)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3" s="345">
        <f>IF(OR(C63="",AB63="",AC63="",AB63=0,AC63=0),"",IF(AND(E63&gt;AB63,AB63&gt;AC63),"パーフェクト▲",IF(E63&gt;AC63,"上昇トレンド▲",IF(AND(E63&lt;AB63,AB63&lt;AC63),"下降トレンド▼","もみ合い→"))))</f>
        <v/>
      </c>
      <c r="AE63" s="345">
        <f>IF(OR(C63="",AB63="",AC63=""),"",IF(AND(ABS(E63-AC63)/AC63&lt;=0.02,E63&lt;AC63),"25日戻り売り★",IF(AND(ABS(E63-AB63)/AB63&lt;=0.01,E63&lt;AB63),"5日戻り売り○","なし")))</f>
        <v/>
      </c>
      <c r="AF63">
        <f>IF(T63="","",IF(銘柄管理!$F$5="上昇▲",IF(AND(AD63="下降トレンド▼",OR(AE63="25日戻り売り★",AE63="5日戻り売り○")),"★逆張り売り",IF(AND(AD63="もみ合い→",OR(AE63="25日戻り売り★",AE63="5日戻り売り○")),"○逆張り売り",IF(W63&gt;=70,IF(Z63&lt;0,"◎反落確認","△過熱・様子見"),"相場上昇・見送り"))),IF(AND(T63&gt;=12,AD63="下降トレンド▼"),"★強い売り",IF(T63&gt;=12,"★強い売り",IF(AND(T63&gt;=8,OR(AE63="25日戻り売り★",AE63="5日戻り売り○")),"◎戻り売り",IF(T63&gt;=10,"○売り候補",IF(T63&gt;=6,"△注目",IF(T63&gt;=3,"様子見","見送り"))))))))</f>
        <v/>
      </c>
      <c r="AG63">
        <f>IF(AND(T63&gt;=7,C63&lt;&gt;""),T63,0)</f>
        <v/>
      </c>
      <c r="AH63">
        <f>IF(AG63&gt;0,AG63*10000-ROW(A63),0)</f>
        <v/>
      </c>
      <c r="AI63" s="623">
        <f t="array" ref="AI63">IF(C63="","",IFERROR((INDEX(終値!$E:$E,MATCH(TEXT(C63,"0"),終値!$A:$A,0))-INDEX(終値!$E:$BL,MATCH(TEXT(C63,"0"),終値!$A:$A,0),$AN$2))/INDEX(終値!$E:$BL,MATCH(TEXT(C63,"0"),終値!$A:$A,0),$AN$2)*100,""))</f>
        <v/>
      </c>
      <c r="AJ63" s="623">
        <f t="array" ref="AJ63">IFERROR((終値!$E$5-INDEX(終値!$E$5:$BL$5,1,$AN$2))/INDEX(終値!$E$5:$BL$5,1,$AN$2)*100,"")</f>
        <v/>
      </c>
      <c r="AK63" s="624">
        <f>IF(OR(AI63="",AJ63=""),"",AI63-AJ63)</f>
        <v/>
      </c>
      <c r="AL63" s="394">
        <f>IF(AK63="","",IF(AK63&lt;-5,3,IF(AK63&lt;0,1,IF(AK63&lt;3,-1,-2))))</f>
        <v/>
      </c>
      <c r="AO63" s="398">
        <f>IF(OR($C63="",$E63="",$F63="",$H63="",$I63="",$H63-$I63&lt;=0),"-",IF(AND($H63-MAX($F63,$E63)&gt;=ABS($E63-$F63)*2,MIN($F63,$E63)-$I63&lt;=ABS($E63-$F63)*0.5,ABS($E63-$F63)&gt;0),"上ヒゲ陰線▼",IF(AND($E63&lt;$F63,ABS($E63-$F63)&gt;=($H63-$I63)*0.7),"大陰線▼",IF(AND(MIN($F63,$E63)-$I63&gt;=($H63-$I63)*0.5,$H63-MAX($F63,$E63)&lt;=($H63-$I63)*0.2),"長い下ヒゲ(反発警戒)","通常"))))</f>
        <v/>
      </c>
      <c r="AP63" s="625">
        <f>IF($AO63="上ヒゲ陰線▼",2,IF($AO63="大陰線▼",2,IF($AO63="長い下ヒゲ(反発警戒)",-2,0)))</f>
        <v/>
      </c>
      <c r="AQ63">
        <f>IF(C63&lt;&gt;"",始値!F152,"")</f>
        <v/>
      </c>
      <c r="AR63">
        <f>IF(C63&lt;&gt;"",高値!F152,"")</f>
        <v/>
      </c>
      <c r="AS63">
        <f>IF(C63&lt;&gt;"",安値!F152,"")</f>
        <v/>
      </c>
      <c r="AT63">
        <f>IF(OR(C63="",AQ63="",AR63="",AS63="",AR63-AS63&lt;=0),"-",IF(AND(AR63-MAX(G63,AQ63)&gt;=ABS(G63-AQ63)*2,MIN(G63,AQ63)-AS63&lt;=ABS(G63-AQ63)*0.5,ABS(G63-AQ63)&gt;0),"上ヒゲ陰線▼",IF(AND(G63&lt;AQ63,ABS(G63-AQ63)&gt;=(AR63-AS63)*0.7),"大陰線▼",IF(AND(MIN(G63,AQ63)-AS63&gt;=(AR63-AS63)*0.5,AR63-MAX(G63,AQ63)&lt;=(AR63-AS63)*0.2),"長い下ヒゲ(反発)","通常"))))</f>
        <v/>
      </c>
      <c r="AU63">
        <f>IF(AT63="上ヒゲ陰線▼",2,IF(AT63="大陰線▼",2,IF(AT63="長い下ヒゲ(反発)",-2,0)))</f>
        <v/>
      </c>
    </row>
    <row r="64" ht="14.25" customHeight="1" s="574">
      <c r="A64" s="352">
        <f>IF(銘柄管理!B183&lt;&gt;"",HYPERLINK("https://kabutan.jp/stock/?code="&amp;銘柄管理!B183,"株探"),"")</f>
        <v/>
      </c>
      <c r="B64" s="225" t="n"/>
      <c r="C64" s="225">
        <f>IF(銘柄管理!B183="","",銘柄管理!B183)</f>
        <v/>
      </c>
      <c r="D64" s="225">
        <f>IF(銘柄管理!C183="","",銘柄管理!C183)</f>
        <v/>
      </c>
      <c r="E64" s="353">
        <f>IF(C64&lt;&gt;"",_xll.RssMarket(C64,"現在値"),"")</f>
        <v/>
      </c>
      <c r="F64" s="353">
        <f>IF(C64&lt;&gt;"",_xll.RssMarket(C64,"始値"),"")</f>
        <v/>
      </c>
      <c r="G64" s="225">
        <f>IF(C64&lt;&gt;"",終値!F183,"")</f>
        <v/>
      </c>
      <c r="H64" s="353">
        <f>IF(C64&lt;&gt;"",_xll.RssMarket(C64,"高値"),"")</f>
        <v/>
      </c>
      <c r="I64" s="353">
        <f>IF(C64&lt;&gt;"",_xll.RssMarket(C64,"安値"),"")</f>
        <v/>
      </c>
      <c r="J64" s="353">
        <f>IF(C64&lt;&gt;"",_xll.RssMarket(C64,"出来高"),"")</f>
        <v/>
      </c>
      <c r="K64" s="353">
        <f>IF(C64&lt;&gt;"",_xll.RssMarket(C64,"年初来高値"),"")</f>
        <v/>
      </c>
      <c r="L64" s="626">
        <f>IF(AND(E64&lt;&gt;"",K64&lt;&gt;"",K64&lt;&gt;0),(E64-K64)/K64*100,"")</f>
        <v/>
      </c>
      <c r="M64" s="353">
        <f>IF(C64&lt;&gt;"",IFERROR(AVERAGE(出来高!E183:I183),""),"")</f>
        <v/>
      </c>
      <c r="N64" s="353">
        <f>IF(C64&lt;&gt;"",IFERROR(AVERAGE(出来高!E183:AC183),""),"")</f>
        <v/>
      </c>
      <c r="O64" s="627">
        <f>IF(AND(J64&lt;&gt;"",M64&lt;&gt;"",M64&lt;&gt;0),J64/M64,"")</f>
        <v/>
      </c>
      <c r="P64" s="225">
        <f>IF(O64="","",IF(O64&gt;=2,"急増↑↑",IF(O64&gt;=1.5,"増加↑",IF(O64&gt;=1,"普通→","減少↓"))))</f>
        <v/>
      </c>
      <c r="Q64" s="225">
        <f>IF(E64="","",IF(AND(E64&lt;G64,O64&gt;=1.5),"売り▼",IF(E64&gt;G64,"様子見▲","中立→")))</f>
        <v/>
      </c>
      <c r="R64" s="353">
        <f>IF(E64&lt;&gt;"",ROUND(E64*0.92,0),"")</f>
        <v/>
      </c>
      <c r="S64" s="353">
        <f>IF(E64&lt;&gt;"",ROUND(E64*1.04,0),"")</f>
        <v/>
      </c>
      <c r="T64" s="345">
        <f>IF(C64="","",IFERROR(IF(W64&gt;=70,3,IF(W64&gt;=60,2,IF(W64&gt;=50,1,0)))+IF(X64&lt;0,2,0)+IF(AD64="下降トレンド▼",3,IF(AD64="もみ合い→",1,0))+IF(V64="年初来安値圏●",3,IF(V64="安値圏",2,0))+IF(Q64="売り▼",2,0)+IF(P64="急増↑↑",2,IF(P64="増加↑",1,0))+IF(Z64&lt;0,1,0)+IF(L64&lt;=-30,2,IF(L64&lt;=-15,1,0))+IF(AE64="25日戻り売り★",2,IF(AE64="5日戻り売り○",1,0))+N(AL64)+N(AP64)+N(AU64),0))</f>
        <v/>
      </c>
      <c r="U64" s="225">
        <f>IF(T64="","",IF(AND(T64&gt;=3,O64&gt;=1.5),"有効",IF(T64&gt;=3,"要確認","除外")))</f>
        <v/>
      </c>
      <c r="V64" s="225">
        <f>IF(AND(I64&lt;&gt;"",K64&lt;&gt;""),IF(I64&lt;=K64*0.6,"年初来安値圏●",IF(I64&lt;=K64*0.75,"安値圏","通常")),"")</f>
        <v/>
      </c>
      <c r="W64" s="628">
        <f t="array" ref="W64">IFERROR(100-100/(1+SUMPRODUCT((終値!F183:R183&gt;終値!G183:S183)*(終値!F183:R183-終値!G183:S183))/SUMPRODUCT((終値!F183:R183&lt;終値!G183:S183)*(終値!G183:S183-終値!F183:R183))),50)</f>
        <v/>
      </c>
      <c r="X64" s="357">
        <f>IF(C64&lt;&gt;"",IFERROR(SUMPRODUCT(終値!E183:P183,{0.154,0.132,0.113,0.097,0.083,0.071,0.061,0.052,0.045,0.038,0.033,0.028})/SUMPRODUCT({0.154,0.132,0.113,0.097,0.083,0.071,0.061,0.052,0.045,0.038,0.033,0.028})-SUMPRODUCT(終値!E183:AD183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4" s="225">
        <f>IF(AF64="","",AF64&amp;" | "&amp;AD64&amp;IF(AE64&lt;&gt;"なし"," "&amp;AE64,"")&amp;IF(X64&lt;0," MACD-"," MACD+")&amp;" RSI:"&amp;TEXT(W64,"0.0")&amp;IF(W64&gt;=70," [過熱]",IF(W64&lt;=30," [売られ過ぎ]",""))&amp;" 前日比:"&amp;TEXT(Z64,"+0.0;-0.0;0.0")&amp;"%"&amp;IF(V64="年初来安値圏●"," [年初来安値圏]",IF(V64="安値圏"," [安値圏]",""))&amp;IF(OR(AO64="通常",AO64="-"),""," ["&amp;AO64&amp;"]")&amp;IF(OR(AT64="通常",AT64="-"),"","前日["&amp;AT64&amp;"]")&amp;" ["&amp;T64&amp;"点]")</f>
        <v/>
      </c>
      <c r="Z64" s="629">
        <f>IF(AND(E64&lt;&gt;"",G64&lt;&gt;"",G64&lt;&gt;0),(E64-G64)/G64*100,"")</f>
        <v/>
      </c>
      <c r="AA64" s="225">
        <f>IF(OR(C64="",E64="",E64=0),"",IF(E64&gt;G64,"上昇▲",IF(E64&lt;G64,"下落▼","横ばい→")))</f>
        <v/>
      </c>
      <c r="AB64" s="353">
        <f>IF(OR(C64="",C64="TOPX",終値!E183=""),"",IFERROR(((終値!E183*0.333)+(終値!F183*0.222)+(終値!G183*0.148)+(終値!H183*0.099)+(終値!I183*0.066))/(0.333+0.222+0.148+0.099+0.066),""))</f>
        <v/>
      </c>
      <c r="AC64" s="353">
        <f>IF(OR(C64="",C64="TOPX",終値!E183=""),"",IFERROR(SUMPRODUCT((終値!E183:AC183)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4" s="225">
        <f>IF(OR(C64="",AB64="",AC64="",AB64=0,AC64=0),"",IF(AND(E64&gt;AB64,AB64&gt;AC64),"パーフェクト▲",IF(E64&gt;AC64,"上昇トレンド▲",IF(AND(E64&lt;AB64,AB64&lt;AC64),"下降トレンド▼","もみ合い→"))))</f>
        <v/>
      </c>
      <c r="AE64" s="225">
        <f>IF(OR(C64="",AB64="",AC64=""),"",IF(AND(ABS(E64-AC64)/AC64&lt;=0.02,E64&lt;AC64),"25日戻り売り★",IF(AND(ABS(E64-AB64)/AB64&lt;=0.01,E64&lt;AB64),"5日戻り売り○","なし")))</f>
        <v/>
      </c>
      <c r="AF64">
        <f>IF(T64="","",IF(銘柄管理!$F$5="上昇▲",IF(AND(AD64="下降トレンド▼",OR(AE64="25日戻り売り★",AE64="5日戻り売り○")),"★逆張り売り",IF(AND(AD64="もみ合い→",OR(AE64="25日戻り売り★",AE64="5日戻り売り○")),"○逆張り売り",IF(W64&gt;=70,IF(Z64&lt;0,"◎反落確認","△過熱・様子見"),"相場上昇・見送り"))),IF(AND(T64&gt;=12,AD64="下降トレンド▼"),"★強い売り",IF(T64&gt;=12,"★強い売り",IF(AND(T64&gt;=8,OR(AE64="25日戻り売り★",AE64="5日戻り売り○")),"◎戻り売り",IF(T64&gt;=10,"○売り候補",IF(T64&gt;=6,"△注目",IF(T64&gt;=3,"様子見","見送り"))))))))</f>
        <v/>
      </c>
      <c r="AG64">
        <f>IF(AND(T64&gt;=7,C64&lt;&gt;""),T64,0)</f>
        <v/>
      </c>
      <c r="AH64">
        <f>IF(AG64&gt;0,AG64*10000-ROW(A64),0)</f>
        <v/>
      </c>
      <c r="AI64" s="623">
        <f t="array" ref="AI64">IF(C64="","",IFERROR((INDEX(終値!$E:$E,MATCH(TEXT(C64,"0"),終値!$A:$A,0))-INDEX(終値!$E:$BL,MATCH(TEXT(C64,"0"),終値!$A:$A,0),$AN$2))/INDEX(終値!$E:$BL,MATCH(TEXT(C64,"0"),終値!$A:$A,0),$AN$2)*100,""))</f>
        <v/>
      </c>
      <c r="AJ64" s="623">
        <f t="array" ref="AJ64">IFERROR((終値!$E$5-INDEX(終値!$E$5:$BL$5,1,$AN$2))/INDEX(終値!$E$5:$BL$5,1,$AN$2)*100,"")</f>
        <v/>
      </c>
      <c r="AK64" s="624">
        <f>IF(OR(AI64="",AJ64=""),"",AI64-AJ64)</f>
        <v/>
      </c>
      <c r="AL64" s="394">
        <f>IF(AK64="","",IF(AK64&lt;-5,3,IF(AK64&lt;0,1,IF(AK64&lt;3,-1,-2))))</f>
        <v/>
      </c>
      <c r="AO64" s="398">
        <f>IF(OR($C64="",$E64="",$F64="",$H64="",$I64="",$H64-$I64&lt;=0),"-",IF(AND($H64-MAX($F64,$E64)&gt;=ABS($E64-$F64)*2,MIN($F64,$E64)-$I64&lt;=ABS($E64-$F64)*0.5,ABS($E64-$F64)&gt;0),"上ヒゲ陰線▼",IF(AND($E64&lt;$F64,ABS($E64-$F64)&gt;=($H64-$I64)*0.7),"大陰線▼",IF(AND(MIN($F64,$E64)-$I64&gt;=($H64-$I64)*0.5,$H64-MAX($F64,$E64)&lt;=($H64-$I64)*0.2),"長い下ヒゲ(反発警戒)","通常"))))</f>
        <v/>
      </c>
      <c r="AP64" s="625">
        <f>IF($AO64="上ヒゲ陰線▼",2,IF($AO64="大陰線▼",2,IF($AO64="長い下ヒゲ(反発警戒)",-2,0)))</f>
        <v/>
      </c>
      <c r="AQ64">
        <f>IF(C64&lt;&gt;"",始値!F183,"")</f>
        <v/>
      </c>
      <c r="AR64">
        <f>IF(C64&lt;&gt;"",高値!F183,"")</f>
        <v/>
      </c>
      <c r="AS64">
        <f>IF(C64&lt;&gt;"",安値!F183,"")</f>
        <v/>
      </c>
      <c r="AT64">
        <f>IF(OR(C64="",AQ64="",AR64="",AS64="",AR64-AS64&lt;=0),"-",IF(AND(AR64-MAX(G64,AQ64)&gt;=ABS(G64-AQ64)*2,MIN(G64,AQ64)-AS64&lt;=ABS(G64-AQ64)*0.5,ABS(G64-AQ64)&gt;0),"上ヒゲ陰線▼",IF(AND(G64&lt;AQ64,ABS(G64-AQ64)&gt;=(AR64-AS64)*0.7),"大陰線▼",IF(AND(MIN(G64,AQ64)-AS64&gt;=(AR64-AS64)*0.5,AR64-MAX(G64,AQ64)&lt;=(AR64-AS64)*0.2),"長い下ヒゲ(反発)","通常"))))</f>
        <v/>
      </c>
      <c r="AU64">
        <f>IF(AT64="上ヒゲ陰線▼",2,IF(AT64="大陰線▼",2,IF(AT64="長い下ヒゲ(反発)",-2,0)))</f>
        <v/>
      </c>
    </row>
    <row r="65" ht="14.25" customHeight="1" s="574">
      <c r="A65" s="344">
        <f>IF(銘柄管理!B204&lt;&gt;"",HYPERLINK("https://kabutan.jp/stock/?code="&amp;銘柄管理!B204,"株探"),"")</f>
        <v/>
      </c>
      <c r="B65" s="345" t="n"/>
      <c r="C65" s="345">
        <f>IF(銘柄管理!B204="","",銘柄管理!B204)</f>
        <v/>
      </c>
      <c r="D65" s="345">
        <f>IF(銘柄管理!C204="","",銘柄管理!C204)</f>
        <v/>
      </c>
      <c r="E65" s="346">
        <f>IF(C65&lt;&gt;"",_xll.RssMarket(C65,"現在値"),"")</f>
        <v/>
      </c>
      <c r="F65" s="346">
        <f>IF(C65&lt;&gt;"",_xll.RssMarket(C65,"始値"),"")</f>
        <v/>
      </c>
      <c r="G65" s="345">
        <f>IF(C65&lt;&gt;"",終値!F204,"")</f>
        <v/>
      </c>
      <c r="H65" s="346">
        <f>IF(C65&lt;&gt;"",_xll.RssMarket(C65,"高値"),"")</f>
        <v/>
      </c>
      <c r="I65" s="346">
        <f>IF(C65&lt;&gt;"",_xll.RssMarket(C65,"安値"),"")</f>
        <v/>
      </c>
      <c r="J65" s="346">
        <f>IF(C65&lt;&gt;"",_xll.RssMarket(C65,"出来高"),"")</f>
        <v/>
      </c>
      <c r="K65" s="346">
        <f>IF(C65&lt;&gt;"",_xll.RssMarket(C65,"年初来高値"),"")</f>
        <v/>
      </c>
      <c r="L65" s="619">
        <f>IF(AND(E65&lt;&gt;"",K65&lt;&gt;"",K65&lt;&gt;0),(E65-K65)/K65*100,"")</f>
        <v/>
      </c>
      <c r="M65" s="346">
        <f>IF(C65&lt;&gt;"",IFERROR(AVERAGE(出来高!E204:I204),""),"")</f>
        <v/>
      </c>
      <c r="N65" s="346">
        <f>IF(C65&lt;&gt;"",IFERROR(AVERAGE(出来高!E204:AC204),""),"")</f>
        <v/>
      </c>
      <c r="O65" s="620">
        <f>IF(AND(J65&lt;&gt;"",M65&lt;&gt;"",M65&lt;&gt;0),J65/M65,"")</f>
        <v/>
      </c>
      <c r="P65" s="345">
        <f>IF(O65="","",IF(O65&gt;=2,"急増↑↑",IF(O65&gt;=1.5,"増加↑",IF(O65&gt;=1,"普通→","減少↓"))))</f>
        <v/>
      </c>
      <c r="Q65" s="345">
        <f>IF(E65="","",IF(AND(E65&lt;G65,O65&gt;=1.5),"売り▼",IF(E65&gt;G65,"様子見▲","中立→")))</f>
        <v/>
      </c>
      <c r="R65" s="346">
        <f>IF(E65&lt;&gt;"",ROUND(E65*0.92,0),"")</f>
        <v/>
      </c>
      <c r="S65" s="346">
        <f>IF(E65&lt;&gt;"",ROUND(E65*1.04,0),"")</f>
        <v/>
      </c>
      <c r="T65" s="345">
        <f>IF(C65="","",IFERROR(IF(W65&gt;=70,3,IF(W65&gt;=60,2,IF(W65&gt;=50,1,0)))+IF(X65&lt;0,2,0)+IF(AD65="下降トレンド▼",3,IF(AD65="もみ合い→",1,0))+IF(V65="年初来安値圏●",3,IF(V65="安値圏",2,0))+IF(Q65="売り▼",2,0)+IF(P65="急増↑↑",2,IF(P65="増加↑",1,0))+IF(Z65&lt;0,1,0)+IF(L65&lt;=-30,2,IF(L65&lt;=-15,1,0))+IF(AE65="25日戻り売り★",2,IF(AE65="5日戻り売り○",1,0))+N(AL65)+N(AP65)+N(AU65),0))</f>
        <v/>
      </c>
      <c r="U65" s="345">
        <f>IF(T65="","",IF(AND(T65&gt;=3,O65&gt;=1.5),"有効",IF(T65&gt;=3,"要確認","除外")))</f>
        <v/>
      </c>
      <c r="V65" s="345">
        <f>IF(AND(I65&lt;&gt;"",K65&lt;&gt;""),IF(I65&lt;=K65*0.6,"年初来安値圏●",IF(I65&lt;=K65*0.75,"安値圏","通常")),"")</f>
        <v/>
      </c>
      <c r="W65" s="621">
        <f t="array" ref="W65">IFERROR(100-100/(1+SUMPRODUCT((終値!F204:R204&gt;終値!G204:S204)*(終値!F204:R204-終値!G204:S204))/SUMPRODUCT((終値!F204:R204&lt;終値!G204:S204)*(終値!G204:S204-終値!F204:R204))),50)</f>
        <v/>
      </c>
      <c r="X65" s="350">
        <f>IF(C65&lt;&gt;"",IFERROR(SUMPRODUCT(終値!E204:P204,{0.154,0.132,0.113,0.097,0.083,0.071,0.061,0.052,0.045,0.038,0.033,0.028})/SUMPRODUCT({0.154,0.132,0.113,0.097,0.083,0.071,0.061,0.052,0.045,0.038,0.033,0.028})-SUMPRODUCT(終値!E204:AD204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5" s="345">
        <f>IF(AF65="","",AF65&amp;" | "&amp;AD65&amp;IF(AE65&lt;&gt;"なし"," "&amp;AE65,"")&amp;IF(X65&lt;0," MACD-"," MACD+")&amp;" RSI:"&amp;TEXT(W65,"0.0")&amp;IF(W65&gt;=70," [過熱]",IF(W65&lt;=30," [売られ過ぎ]",""))&amp;" 前日比:"&amp;TEXT(Z65,"+0.0;-0.0;0.0")&amp;"%"&amp;IF(V65="年初来安値圏●"," [年初来安値圏]",IF(V65="安値圏"," [安値圏]",""))&amp;IF(OR(AO65="通常",AO65="-"),""," ["&amp;AO65&amp;"]")&amp;IF(OR(AT65="通常",AT65="-"),"","前日["&amp;AT65&amp;"]")&amp;" ["&amp;T65&amp;"点]")</f>
        <v/>
      </c>
      <c r="Z65" s="622">
        <f>IF(AND(E65&lt;&gt;"",G65&lt;&gt;"",G65&lt;&gt;0),(E65-G65)/G65*100,"")</f>
        <v/>
      </c>
      <c r="AA65" s="345">
        <f>IF(OR(C65="",E65="",E65=0),"",IF(E65&gt;G65,"上昇▲",IF(E65&lt;G65,"下落▼","横ばい→")))</f>
        <v/>
      </c>
      <c r="AB65" s="346">
        <f>IF(OR(C65="",C65="TOPX",終値!E204=""),"",IFERROR(((終値!E204*0.333)+(終値!F204*0.222)+(終値!G204*0.148)+(終値!H204*0.099)+(終値!I204*0.066))/(0.333+0.222+0.148+0.099+0.066),""))</f>
        <v/>
      </c>
      <c r="AC65" s="346">
        <f>IF(OR(C65="",C65="TOPX",終値!E204=""),"",IFERROR(SUMPRODUCT((終値!E204:AC204)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5" s="345">
        <f>IF(OR(C65="",AB65="",AC65="",AB65=0,AC65=0),"",IF(AND(E65&gt;AB65,AB65&gt;AC65),"パーフェクト▲",IF(E65&gt;AC65,"上昇トレンド▲",IF(AND(E65&lt;AB65,AB65&lt;AC65),"下降トレンド▼","もみ合い→"))))</f>
        <v/>
      </c>
      <c r="AE65" s="345">
        <f>IF(OR(C65="",AB65="",AC65=""),"",IF(AND(ABS(E65-AC65)/AC65&lt;=0.02,E65&lt;AC65),"25日戻り売り★",IF(AND(ABS(E65-AB65)/AB65&lt;=0.01,E65&lt;AB65),"5日戻り売り○","なし")))</f>
        <v/>
      </c>
      <c r="AF65">
        <f>IF(T65="","",IF(銘柄管理!$F$5="上昇▲",IF(AND(AD65="下降トレンド▼",OR(AE65="25日戻り売り★",AE65="5日戻り売り○")),"★逆張り売り",IF(AND(AD65="もみ合い→",OR(AE65="25日戻り売り★",AE65="5日戻り売り○")),"○逆張り売り",IF(W65&gt;=70,IF(Z65&lt;0,"◎反落確認","△過熱・様子見"),"相場上昇・見送り"))),IF(AND(T65&gt;=12,AD65="下降トレンド▼"),"★強い売り",IF(T65&gt;=12,"★強い売り",IF(AND(T65&gt;=8,OR(AE65="25日戻り売り★",AE65="5日戻り売り○")),"◎戻り売り",IF(T65&gt;=10,"○売り候補",IF(T65&gt;=6,"△注目",IF(T65&gt;=3,"様子見","見送り"))))))))</f>
        <v/>
      </c>
      <c r="AG65">
        <f>IF(AND(T65&gt;=7,C65&lt;&gt;""),T65,0)</f>
        <v/>
      </c>
      <c r="AH65">
        <f>IF(AG65&gt;0,AG65*10000-ROW(A65),0)</f>
        <v/>
      </c>
      <c r="AI65" s="623">
        <f t="array" ref="AI65">IF(C65="","",IFERROR((INDEX(終値!$E:$E,MATCH(TEXT(C65,"0"),終値!$A:$A,0))-INDEX(終値!$E:$BL,MATCH(TEXT(C65,"0"),終値!$A:$A,0),$AN$2))/INDEX(終値!$E:$BL,MATCH(TEXT(C65,"0"),終値!$A:$A,0),$AN$2)*100,""))</f>
        <v/>
      </c>
      <c r="AJ65" s="623">
        <f t="array" ref="AJ65">IFERROR((終値!$E$5-INDEX(終値!$E$5:$BL$5,1,$AN$2))/INDEX(終値!$E$5:$BL$5,1,$AN$2)*100,"")</f>
        <v/>
      </c>
      <c r="AK65" s="624">
        <f>IF(OR(AI65="",AJ65=""),"",AI65-AJ65)</f>
        <v/>
      </c>
      <c r="AL65" s="394">
        <f>IF(AK65="","",IF(AK65&lt;-5,3,IF(AK65&lt;0,1,IF(AK65&lt;3,-1,-2))))</f>
        <v/>
      </c>
      <c r="AO65" s="398">
        <f>IF(OR($C65="",$E65="",$F65="",$H65="",$I65="",$H65-$I65&lt;=0),"-",IF(AND($H65-MAX($F65,$E65)&gt;=ABS($E65-$F65)*2,MIN($F65,$E65)-$I65&lt;=ABS($E65-$F65)*0.5,ABS($E65-$F65)&gt;0),"上ヒゲ陰線▼",IF(AND($E65&lt;$F65,ABS($E65-$F65)&gt;=($H65-$I65)*0.7),"大陰線▼",IF(AND(MIN($F65,$E65)-$I65&gt;=($H65-$I65)*0.5,$H65-MAX($F65,$E65)&lt;=($H65-$I65)*0.2),"長い下ヒゲ(反発警戒)","通常"))))</f>
        <v/>
      </c>
      <c r="AP65" s="625">
        <f>IF($AO65="上ヒゲ陰線▼",2,IF($AO65="大陰線▼",2,IF($AO65="長い下ヒゲ(反発警戒)",-2,0)))</f>
        <v/>
      </c>
      <c r="AQ65">
        <f>IF(C65&lt;&gt;"",始値!F204,"")</f>
        <v/>
      </c>
      <c r="AR65">
        <f>IF(C65&lt;&gt;"",高値!F204,"")</f>
        <v/>
      </c>
      <c r="AS65">
        <f>IF(C65&lt;&gt;"",安値!F204,"")</f>
        <v/>
      </c>
      <c r="AT65">
        <f>IF(OR(C65="",AQ65="",AR65="",AS65="",AR65-AS65&lt;=0),"-",IF(AND(AR65-MAX(G65,AQ65)&gt;=ABS(G65-AQ65)*2,MIN(G65,AQ65)-AS65&lt;=ABS(G65-AQ65)*0.5,ABS(G65-AQ65)&gt;0),"上ヒゲ陰線▼",IF(AND(G65&lt;AQ65,ABS(G65-AQ65)&gt;=(AR65-AS65)*0.7),"大陰線▼",IF(AND(MIN(G65,AQ65)-AS65&gt;=(AR65-AS65)*0.5,AR65-MAX(G65,AQ65)&lt;=(AR65-AS65)*0.2),"長い下ヒゲ(反発)","通常"))))</f>
        <v/>
      </c>
      <c r="AU65">
        <f>IF(AT65="上ヒゲ陰線▼",2,IF(AT65="大陰線▼",2,IF(AT65="長い下ヒゲ(反発)",-2,0)))</f>
        <v/>
      </c>
    </row>
    <row r="66" ht="14.25" customHeight="1" s="574">
      <c r="A66" s="352">
        <f>IF(銘柄管理!B19&lt;&gt;"",HYPERLINK("https://kabutan.jp/stock/?code="&amp;銘柄管理!B19,"株探"),"")</f>
        <v/>
      </c>
      <c r="B66" s="225" t="n"/>
      <c r="C66" s="225">
        <f>IF(銘柄管理!B19="","",銘柄管理!B19)</f>
        <v/>
      </c>
      <c r="D66" s="225">
        <f>IF(銘柄管理!C19="","",銘柄管理!C19)</f>
        <v/>
      </c>
      <c r="E66" s="353">
        <f>IF(C66&lt;&gt;"",_xll.RssMarket(C66,"現在値"),"")</f>
        <v/>
      </c>
      <c r="F66" s="353">
        <f>IF(C66&lt;&gt;"",_xll.RssMarket(C66,"始値"),"")</f>
        <v/>
      </c>
      <c r="G66" s="225">
        <f>IF(C66&lt;&gt;"",終値!F19,"")</f>
        <v/>
      </c>
      <c r="H66" s="353">
        <f>IF(C66&lt;&gt;"",_xll.RssMarket(C66,"高値"),"")</f>
        <v/>
      </c>
      <c r="I66" s="353">
        <f>IF(C66&lt;&gt;"",_xll.RssMarket(C66,"安値"),"")</f>
        <v/>
      </c>
      <c r="J66" s="353">
        <f>IF(C66&lt;&gt;"",_xll.RssMarket(C66,"出来高"),"")</f>
        <v/>
      </c>
      <c r="K66" s="353">
        <f>IF(C66&lt;&gt;"",_xll.RssMarket(C66,"年初来高値"),"")</f>
        <v/>
      </c>
      <c r="L66" s="626">
        <f>IF(AND(E66&lt;&gt;"",K66&lt;&gt;"",K66&lt;&gt;0),(E66-K66)/K66*100,"")</f>
        <v/>
      </c>
      <c r="M66" s="353">
        <f>IF(C66&lt;&gt;"",IFERROR(AVERAGE(出来高!E19:I19),""),"")</f>
        <v/>
      </c>
      <c r="N66" s="353">
        <f>IF(C66&lt;&gt;"",IFERROR(AVERAGE(出来高!E19:AC19),""),"")</f>
        <v/>
      </c>
      <c r="O66" s="627">
        <f>IF(AND(J66&lt;&gt;"",M66&lt;&gt;"",M66&lt;&gt;0),J66/M66,"")</f>
        <v/>
      </c>
      <c r="P66" s="225">
        <f>IF(O66="","",IF(O66&gt;=2,"急増↑↑",IF(O66&gt;=1.5,"増加↑",IF(O66&gt;=1,"普通→","減少↓"))))</f>
        <v/>
      </c>
      <c r="Q66" s="225">
        <f>IF(E66="","",IF(AND(E66&lt;G66,O66&gt;=1.5),"売り▼",IF(E66&gt;G66,"様子見▲","中立→")))</f>
        <v/>
      </c>
      <c r="R66" s="353">
        <f>IF(E66&lt;&gt;"",ROUND(E66*0.92,0),"")</f>
        <v/>
      </c>
      <c r="S66" s="353">
        <f>IF(E66&lt;&gt;"",ROUND(E66*1.04,0),"")</f>
        <v/>
      </c>
      <c r="T66" s="345">
        <f>IF(C66="","",IFERROR(IF(W66&gt;=70,3,IF(W66&gt;=60,2,IF(W66&gt;=50,1,0)))+IF(X66&lt;0,2,0)+IF(AD66="下降トレンド▼",3,IF(AD66="もみ合い→",1,0))+IF(V66="年初来安値圏●",3,IF(V66="安値圏",2,0))+IF(Q66="売り▼",2,0)+IF(P66="急増↑↑",2,IF(P66="増加↑",1,0))+IF(Z66&lt;0,1,0)+IF(L66&lt;=-30,2,IF(L66&lt;=-15,1,0))+IF(AE66="25日戻り売り★",2,IF(AE66="5日戻り売り○",1,0))+N(AL66)+N(AP66)+N(AU66),0))</f>
        <v/>
      </c>
      <c r="U66" s="225">
        <f>IF(T66="","",IF(AND(T66&gt;=3,O66&gt;=1.5),"有効",IF(T66&gt;=3,"要確認","除外")))</f>
        <v/>
      </c>
      <c r="V66" s="225">
        <f>IF(AND(I66&lt;&gt;"",K66&lt;&gt;""),IF(I66&lt;=K66*0.6,"年初来安値圏●",IF(I66&lt;=K66*0.75,"安値圏","通常")),"")</f>
        <v/>
      </c>
      <c r="W66" s="628">
        <f t="array" ref="W66">IFERROR(100-100/(1+SUMPRODUCT((終値!F19:R19&gt;終値!G19:S19)*(終値!F19:R19-終値!G19:S19))/SUMPRODUCT((終値!F19:R19&lt;終値!G19:S19)*(終値!G19:S19-終値!F19:R19))),50)</f>
        <v/>
      </c>
      <c r="X66" s="357">
        <f>IF(C66&lt;&gt;"",IFERROR(SUMPRODUCT(終値!E19:P19,{0.154,0.132,0.113,0.097,0.083,0.071,0.061,0.052,0.045,0.038,0.033,0.028})/SUMPRODUCT({0.154,0.132,0.113,0.097,0.083,0.071,0.061,0.052,0.045,0.038,0.033,0.028})-SUMPRODUCT(終値!E19:AD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6" s="225">
        <f>IF(AF66="","",AF66&amp;" | "&amp;AD66&amp;IF(AE66&lt;&gt;"なし"," "&amp;AE66,"")&amp;IF(X66&lt;0," MACD-"," MACD+")&amp;" RSI:"&amp;TEXT(W66,"0.0")&amp;IF(W66&gt;=70," [過熱]",IF(W66&lt;=30," [売られ過ぎ]",""))&amp;" 前日比:"&amp;TEXT(Z66,"+0.0;-0.0;0.0")&amp;"%"&amp;IF(V66="年初来安値圏●"," [年初来安値圏]",IF(V66="安値圏"," [安値圏]",""))&amp;IF(OR(AO66="通常",AO66="-"),""," ["&amp;AO66&amp;"]")&amp;IF(OR(AT66="通常",AT66="-"),"","前日["&amp;AT66&amp;"]")&amp;" ["&amp;T66&amp;"点]")</f>
        <v/>
      </c>
      <c r="Z66" s="629">
        <f>IF(AND(E66&lt;&gt;"",G66&lt;&gt;"",G66&lt;&gt;0),(E66-G66)/G66*100,"")</f>
        <v/>
      </c>
      <c r="AA66" s="225">
        <f>IF(OR(C66="",E66="",E66=0),"",IF(E66&gt;G66,"上昇▲",IF(E66&lt;G66,"下落▼","横ばい→")))</f>
        <v/>
      </c>
      <c r="AB66" s="353">
        <f>IF(OR(C66="",C66="TOPX",終値!E19=""),"",IFERROR(((終値!E19*0.333)+(終値!F19*0.222)+(終値!G19*0.148)+(終値!H19*0.099)+(終値!I19*0.066))/(0.333+0.222+0.148+0.099+0.066),""))</f>
        <v/>
      </c>
      <c r="AC66" s="353">
        <f>IF(OR(C66="",C66="TOPX",終値!E19=""),"",IFERROR(SUMPRODUCT((終値!E19:AC19)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6" s="225">
        <f>IF(OR(C66="",AB66="",AC66="",AB66=0,AC66=0),"",IF(AND(E66&gt;AB66,AB66&gt;AC66),"パーフェクト▲",IF(E66&gt;AC66,"上昇トレンド▲",IF(AND(E66&lt;AB66,AB66&lt;AC66),"下降トレンド▼","もみ合い→"))))</f>
        <v/>
      </c>
      <c r="AE66" s="225">
        <f>IF(OR(C66="",AB66="",AC66=""),"",IF(AND(ABS(E66-AC66)/AC66&lt;=0.02,E66&lt;AC66),"25日戻り売り★",IF(AND(ABS(E66-AB66)/AB66&lt;=0.01,E66&lt;AB66),"5日戻り売り○","なし")))</f>
        <v/>
      </c>
      <c r="AF66">
        <f>IF(T66="","",IF(銘柄管理!$F$5="上昇▲",IF(AND(AD66="下降トレンド▼",OR(AE66="25日戻り売り★",AE66="5日戻り売り○")),"★逆張り売り",IF(AND(AD66="もみ合い→",OR(AE66="25日戻り売り★",AE66="5日戻り売り○")),"○逆張り売り",IF(W66&gt;=70,IF(Z66&lt;0,"◎反落確認","△過熱・様子見"),"相場上昇・見送り"))),IF(AND(T66&gt;=12,AD66="下降トレンド▼"),"★強い売り",IF(T66&gt;=12,"★強い売り",IF(AND(T66&gt;=8,OR(AE66="25日戻り売り★",AE66="5日戻り売り○")),"◎戻り売り",IF(T66&gt;=10,"○売り候補",IF(T66&gt;=6,"△注目",IF(T66&gt;=3,"様子見","見送り"))))))))</f>
        <v/>
      </c>
      <c r="AG66">
        <f>IF(AND(T66&gt;=7,C66&lt;&gt;""),T66,0)</f>
        <v/>
      </c>
      <c r="AH66">
        <f>IF(AG66&gt;0,AG66*10000-ROW(A66),0)</f>
        <v/>
      </c>
      <c r="AI66" s="623">
        <f t="array" ref="AI66">IF(C66="","",IFERROR((INDEX(終値!$E:$E,MATCH(TEXT(C66,"0"),終値!$A:$A,0))-INDEX(終値!$E:$BL,MATCH(TEXT(C66,"0"),終値!$A:$A,0),$AN$2))/INDEX(終値!$E:$BL,MATCH(TEXT(C66,"0"),終値!$A:$A,0),$AN$2)*100,""))</f>
        <v/>
      </c>
      <c r="AJ66" s="623">
        <f t="array" ref="AJ66">IFERROR((終値!$E$5-INDEX(終値!$E$5:$BL$5,1,$AN$2))/INDEX(終値!$E$5:$BL$5,1,$AN$2)*100,"")</f>
        <v/>
      </c>
      <c r="AK66" s="624">
        <f>IF(OR(AI66="",AJ66=""),"",AI66-AJ66)</f>
        <v/>
      </c>
      <c r="AL66" s="394">
        <f>IF(AK66="","",IF(AK66&lt;-5,3,IF(AK66&lt;0,1,IF(AK66&lt;3,-1,-2))))</f>
        <v/>
      </c>
      <c r="AO66" s="398">
        <f>IF(OR($C66="",$E66="",$F66="",$H66="",$I66="",$H66-$I66&lt;=0),"-",IF(AND($H66-MAX($F66,$E66)&gt;=ABS($E66-$F66)*2,MIN($F66,$E66)-$I66&lt;=ABS($E66-$F66)*0.5,ABS($E66-$F66)&gt;0),"上ヒゲ陰線▼",IF(AND($E66&lt;$F66,ABS($E66-$F66)&gt;=($H66-$I66)*0.7),"大陰線▼",IF(AND(MIN($F66,$E66)-$I66&gt;=($H66-$I66)*0.5,$H66-MAX($F66,$E66)&lt;=($H66-$I66)*0.2),"長い下ヒゲ(反発警戒)","通常"))))</f>
        <v/>
      </c>
      <c r="AP66" s="625">
        <f>IF($AO66="上ヒゲ陰線▼",2,IF($AO66="大陰線▼",2,IF($AO66="長い下ヒゲ(反発警戒)",-2,0)))</f>
        <v/>
      </c>
      <c r="AQ66">
        <f>IF(C66&lt;&gt;"",始値!F19,"")</f>
        <v/>
      </c>
      <c r="AR66">
        <f>IF(C66&lt;&gt;"",高値!F19,"")</f>
        <v/>
      </c>
      <c r="AS66">
        <f>IF(C66&lt;&gt;"",安値!F19,"")</f>
        <v/>
      </c>
      <c r="AT66">
        <f>IF(OR(C66="",AQ66="",AR66="",AS66="",AR66-AS66&lt;=0),"-",IF(AND(AR66-MAX(G66,AQ66)&gt;=ABS(G66-AQ66)*2,MIN(G66,AQ66)-AS66&lt;=ABS(G66-AQ66)*0.5,ABS(G66-AQ66)&gt;0),"上ヒゲ陰線▼",IF(AND(G66&lt;AQ66,ABS(G66-AQ66)&gt;=(AR66-AS66)*0.7),"大陰線▼",IF(AND(MIN(G66,AQ66)-AS66&gt;=(AR66-AS66)*0.5,AR66-MAX(G66,AQ66)&lt;=(AR66-AS66)*0.2),"長い下ヒゲ(反発)","通常"))))</f>
        <v/>
      </c>
      <c r="AU66">
        <f>IF(AT66="上ヒゲ陰線▼",2,IF(AT66="大陰線▼",2,IF(AT66="長い下ヒゲ(反発)",-2,0)))</f>
        <v/>
      </c>
    </row>
    <row r="67" ht="14.25" customHeight="1" s="574">
      <c r="A67" s="344">
        <f>IF(銘柄管理!B26&lt;&gt;"",HYPERLINK("https://kabutan.jp/stock/?code="&amp;銘柄管理!B26,"株探"),"")</f>
        <v/>
      </c>
      <c r="B67" s="345" t="n"/>
      <c r="C67" s="345">
        <f>IF(銘柄管理!B26="","",銘柄管理!B26)</f>
        <v/>
      </c>
      <c r="D67" s="345">
        <f>IF(銘柄管理!C26="","",銘柄管理!C26)</f>
        <v/>
      </c>
      <c r="E67" s="346">
        <f>IF(C67&lt;&gt;"",_xll.RssMarket(C67,"現在値"),"")</f>
        <v/>
      </c>
      <c r="F67" s="346">
        <f>IF(C67&lt;&gt;"",_xll.RssMarket(C67,"始値"),"")</f>
        <v/>
      </c>
      <c r="G67" s="345">
        <f>IF(C67&lt;&gt;"",終値!F26,"")</f>
        <v/>
      </c>
      <c r="H67" s="346">
        <f>IF(C67&lt;&gt;"",_xll.RssMarket(C67,"高値"),"")</f>
        <v/>
      </c>
      <c r="I67" s="346">
        <f>IF(C67&lt;&gt;"",_xll.RssMarket(C67,"安値"),"")</f>
        <v/>
      </c>
      <c r="J67" s="346">
        <f>IF(C67&lt;&gt;"",_xll.RssMarket(C67,"出来高"),"")</f>
        <v/>
      </c>
      <c r="K67" s="346">
        <f>IF(C67&lt;&gt;"",_xll.RssMarket(C67,"年初来高値"),"")</f>
        <v/>
      </c>
      <c r="L67" s="619">
        <f>IF(AND(E67&lt;&gt;"",K67&lt;&gt;"",K67&lt;&gt;0),(E67-K67)/K67*100,"")</f>
        <v/>
      </c>
      <c r="M67" s="346">
        <f>IF(C67&lt;&gt;"",IFERROR(AVERAGE(出来高!E26:I26),""),"")</f>
        <v/>
      </c>
      <c r="N67" s="346">
        <f>IF(C67&lt;&gt;"",IFERROR(AVERAGE(出来高!E26:AC26),""),"")</f>
        <v/>
      </c>
      <c r="O67" s="620">
        <f>IF(AND(J67&lt;&gt;"",M67&lt;&gt;"",M67&lt;&gt;0),J67/M67,"")</f>
        <v/>
      </c>
      <c r="P67" s="345">
        <f>IF(O67="","",IF(O67&gt;=2,"急増↑↑",IF(O67&gt;=1.5,"増加↑",IF(O67&gt;=1,"普通→","減少↓"))))</f>
        <v/>
      </c>
      <c r="Q67" s="345">
        <f>IF(E67="","",IF(AND(E67&lt;G67,O67&gt;=1.5),"売り▼",IF(E67&gt;G67,"様子見▲","中立→")))</f>
        <v/>
      </c>
      <c r="R67" s="346">
        <f>IF(E67&lt;&gt;"",ROUND(E67*0.92,0),"")</f>
        <v/>
      </c>
      <c r="S67" s="346">
        <f>IF(E67&lt;&gt;"",ROUND(E67*1.04,0),"")</f>
        <v/>
      </c>
      <c r="T67" s="345">
        <f>IF(C67="","",IFERROR(IF(W67&gt;=70,3,IF(W67&gt;=60,2,IF(W67&gt;=50,1,0)))+IF(X67&lt;0,2,0)+IF(AD67="下降トレンド▼",3,IF(AD67="もみ合い→",1,0))+IF(V67="年初来安値圏●",3,IF(V67="安値圏",2,0))+IF(Q67="売り▼",2,0)+IF(P67="急増↑↑",2,IF(P67="増加↑",1,0))+IF(Z67&lt;0,1,0)+IF(L67&lt;=-30,2,IF(L67&lt;=-15,1,0))+IF(AE67="25日戻り売り★",2,IF(AE67="5日戻り売り○",1,0))+N(AL67)+N(AP67)+N(AU67),0))</f>
        <v/>
      </c>
      <c r="U67" s="345">
        <f>IF(T67="","",IF(AND(T67&gt;=3,O67&gt;=1.5),"有効",IF(T67&gt;=3,"要確認","除外")))</f>
        <v/>
      </c>
      <c r="V67" s="345">
        <f>IF(AND(I67&lt;&gt;"",K67&lt;&gt;""),IF(I67&lt;=K67*0.6,"年初来安値圏●",IF(I67&lt;=K67*0.75,"安値圏","通常")),"")</f>
        <v/>
      </c>
      <c r="W67" s="621">
        <f t="array" ref="W67">IFERROR(100-100/(1+SUMPRODUCT((終値!F26:R26&gt;終値!G26:S26)*(終値!F26:R26-終値!G26:S26))/SUMPRODUCT((終値!F26:R26&lt;終値!G26:S26)*(終値!G26:S26-終値!F26:R26))),50)</f>
        <v/>
      </c>
      <c r="X67" s="350">
        <f>IF(C67&lt;&gt;"",IFERROR(SUMPRODUCT(終値!E26:P26,{0.154,0.132,0.113,0.097,0.083,0.071,0.061,0.052,0.045,0.038,0.033,0.028})/SUMPRODUCT({0.154,0.132,0.113,0.097,0.083,0.071,0.061,0.052,0.045,0.038,0.033,0.028})-SUMPRODUCT(終値!E26:AD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7" s="345">
        <f>IF(AF67="","",AF67&amp;" | "&amp;AD67&amp;IF(AE67&lt;&gt;"なし"," "&amp;AE67,"")&amp;IF(X67&lt;0," MACD-"," MACD+")&amp;" RSI:"&amp;TEXT(W67,"0.0")&amp;IF(W67&gt;=70," [過熱]",IF(W67&lt;=30," [売られ過ぎ]",""))&amp;" 前日比:"&amp;TEXT(Z67,"+0.0;-0.0;0.0")&amp;"%"&amp;IF(V67="年初来安値圏●"," [年初来安値圏]",IF(V67="安値圏"," [安値圏]",""))&amp;IF(OR(AO67="通常",AO67="-"),""," ["&amp;AO67&amp;"]")&amp;IF(OR(AT67="通常",AT67="-"),"","前日["&amp;AT67&amp;"]")&amp;" ["&amp;T67&amp;"点]")</f>
        <v/>
      </c>
      <c r="Z67" s="622">
        <f>IF(AND(E67&lt;&gt;"",G67&lt;&gt;"",G67&lt;&gt;0),(E67-G67)/G67*100,"")</f>
        <v/>
      </c>
      <c r="AA67" s="345">
        <f>IF(OR(C67="",E67="",E67=0),"",IF(E67&gt;G67,"上昇▲",IF(E67&lt;G67,"下落▼","横ばい→")))</f>
        <v/>
      </c>
      <c r="AB67" s="346">
        <f>IF(OR(C67="",C67="TOPX",終値!E26=""),"",IFERROR(((終値!E26*0.333)+(終値!F26*0.222)+(終値!G26*0.148)+(終値!H26*0.099)+(終値!I26*0.066))/(0.333+0.222+0.148+0.099+0.066),""))</f>
        <v/>
      </c>
      <c r="AC67" s="346">
        <f>IF(OR(C67="",C67="TOPX",終値!E26=""),"",IFERROR(SUMPRODUCT((終値!E26:AC26)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7" s="345">
        <f>IF(OR(C67="",AB67="",AC67="",AB67=0,AC67=0),"",IF(AND(E67&gt;AB67,AB67&gt;AC67),"パーフェクト▲",IF(E67&gt;AC67,"上昇トレンド▲",IF(AND(E67&lt;AB67,AB67&lt;AC67),"下降トレンド▼","もみ合い→"))))</f>
        <v/>
      </c>
      <c r="AE67" s="345">
        <f>IF(OR(C67="",AB67="",AC67=""),"",IF(AND(ABS(E67-AC67)/AC67&lt;=0.02,E67&lt;AC67),"25日戻り売り★",IF(AND(ABS(E67-AB67)/AB67&lt;=0.01,E67&lt;AB67),"5日戻り売り○","なし")))</f>
        <v/>
      </c>
      <c r="AF67">
        <f>IF(T67="","",IF(銘柄管理!$F$5="上昇▲",IF(AND(AD67="下降トレンド▼",OR(AE67="25日戻り売り★",AE67="5日戻り売り○")),"★逆張り売り",IF(AND(AD67="もみ合い→",OR(AE67="25日戻り売り★",AE67="5日戻り売り○")),"○逆張り売り",IF(W67&gt;=70,IF(Z67&lt;0,"◎反落確認","△過熱・様子見"),"相場上昇・見送り"))),IF(AND(T67&gt;=12,AD67="下降トレンド▼"),"★強い売り",IF(T67&gt;=12,"★強い売り",IF(AND(T67&gt;=8,OR(AE67="25日戻り売り★",AE67="5日戻り売り○")),"◎戻り売り",IF(T67&gt;=10,"○売り候補",IF(T67&gt;=6,"△注目",IF(T67&gt;=3,"様子見","見送り"))))))))</f>
        <v/>
      </c>
      <c r="AG67">
        <f>IF(AND(T67&gt;=7,C67&lt;&gt;""),T67,0)</f>
        <v/>
      </c>
      <c r="AH67">
        <f>IF(AG67&gt;0,AG67*10000-ROW(A67),0)</f>
        <v/>
      </c>
      <c r="AI67" s="623">
        <f t="array" ref="AI67">IF(C67="","",IFERROR((INDEX(終値!$E:$E,MATCH(TEXT(C67,"0"),終値!$A:$A,0))-INDEX(終値!$E:$BL,MATCH(TEXT(C67,"0"),終値!$A:$A,0),$AN$2))/INDEX(終値!$E:$BL,MATCH(TEXT(C67,"0"),終値!$A:$A,0),$AN$2)*100,""))</f>
        <v/>
      </c>
      <c r="AJ67" s="623">
        <f t="array" ref="AJ67">IFERROR((終値!$E$5-INDEX(終値!$E$5:$BL$5,1,$AN$2))/INDEX(終値!$E$5:$BL$5,1,$AN$2)*100,"")</f>
        <v/>
      </c>
      <c r="AK67" s="624">
        <f>IF(OR(AI67="",AJ67=""),"",AI67-AJ67)</f>
        <v/>
      </c>
      <c r="AL67" s="394">
        <f>IF(AK67="","",IF(AK67&lt;-5,3,IF(AK67&lt;0,1,IF(AK67&lt;3,-1,-2))))</f>
        <v/>
      </c>
      <c r="AO67" s="398">
        <f>IF(OR($C67="",$E67="",$F67="",$H67="",$I67="",$H67-$I67&lt;=0),"-",IF(AND($H67-MAX($F67,$E67)&gt;=ABS($E67-$F67)*2,MIN($F67,$E67)-$I67&lt;=ABS($E67-$F67)*0.5,ABS($E67-$F67)&gt;0),"上ヒゲ陰線▼",IF(AND($E67&lt;$F67,ABS($E67-$F67)&gt;=($H67-$I67)*0.7),"大陰線▼",IF(AND(MIN($F67,$E67)-$I67&gt;=($H67-$I67)*0.5,$H67-MAX($F67,$E67)&lt;=($H67-$I67)*0.2),"長い下ヒゲ(反発警戒)","通常"))))</f>
        <v/>
      </c>
      <c r="AP67" s="625">
        <f>IF($AO67="上ヒゲ陰線▼",2,IF($AO67="大陰線▼",2,IF($AO67="長い下ヒゲ(反発警戒)",-2,0)))</f>
        <v/>
      </c>
      <c r="AQ67">
        <f>IF(C67&lt;&gt;"",始値!F26,"")</f>
        <v/>
      </c>
      <c r="AR67">
        <f>IF(C67&lt;&gt;"",高値!F26,"")</f>
        <v/>
      </c>
      <c r="AS67">
        <f>IF(C67&lt;&gt;"",安値!F26,"")</f>
        <v/>
      </c>
      <c r="AT67">
        <f>IF(OR(C67="",AQ67="",AR67="",AS67="",AR67-AS67&lt;=0),"-",IF(AND(AR67-MAX(G67,AQ67)&gt;=ABS(G67-AQ67)*2,MIN(G67,AQ67)-AS67&lt;=ABS(G67-AQ67)*0.5,ABS(G67-AQ67)&gt;0),"上ヒゲ陰線▼",IF(AND(G67&lt;AQ67,ABS(G67-AQ67)&gt;=(AR67-AS67)*0.7),"大陰線▼",IF(AND(MIN(G67,AQ67)-AS67&gt;=(AR67-AS67)*0.5,AR67-MAX(G67,AQ67)&lt;=(AR67-AS67)*0.2),"長い下ヒゲ(反発)","通常"))))</f>
        <v/>
      </c>
      <c r="AU67">
        <f>IF(AT67="上ヒゲ陰線▼",2,IF(AT67="大陰線▼",2,IF(AT67="長い下ヒゲ(反発)",-2,0)))</f>
        <v/>
      </c>
    </row>
    <row r="68" ht="14.25" customHeight="1" s="574">
      <c r="A68" s="352">
        <f>IF(銘柄管理!B31&lt;&gt;"",HYPERLINK("https://kabutan.jp/stock/?code="&amp;銘柄管理!B31,"株探"),"")</f>
        <v/>
      </c>
      <c r="B68" s="225" t="n"/>
      <c r="C68" s="225">
        <f>IF(銘柄管理!B31="","",銘柄管理!B31)</f>
        <v/>
      </c>
      <c r="D68" s="225">
        <f>IF(銘柄管理!C31="","",銘柄管理!C31)</f>
        <v/>
      </c>
      <c r="E68" s="353">
        <f>IF(C68&lt;&gt;"",_xll.RssMarket(C68,"現在値"),"")</f>
        <v/>
      </c>
      <c r="F68" s="353">
        <f>IF(C68&lt;&gt;"",_xll.RssMarket(C68,"始値"),"")</f>
        <v/>
      </c>
      <c r="G68" s="225">
        <f>IF(C68&lt;&gt;"",終値!F31,"")</f>
        <v/>
      </c>
      <c r="H68" s="353">
        <f>IF(C68&lt;&gt;"",_xll.RssMarket(C68,"高値"),"")</f>
        <v/>
      </c>
      <c r="I68" s="353">
        <f>IF(C68&lt;&gt;"",_xll.RssMarket(C68,"安値"),"")</f>
        <v/>
      </c>
      <c r="J68" s="353">
        <f>IF(C68&lt;&gt;"",_xll.RssMarket(C68,"出来高"),"")</f>
        <v/>
      </c>
      <c r="K68" s="353">
        <f>IF(C68&lt;&gt;"",_xll.RssMarket(C68,"年初来高値"),"")</f>
        <v/>
      </c>
      <c r="L68" s="626">
        <f>IF(AND(E68&lt;&gt;"",K68&lt;&gt;"",K68&lt;&gt;0),(E68-K68)/K68*100,"")</f>
        <v/>
      </c>
      <c r="M68" s="353">
        <f>IF(C68&lt;&gt;"",IFERROR(AVERAGE(出来高!E31:I31),""),"")</f>
        <v/>
      </c>
      <c r="N68" s="353">
        <f>IF(C68&lt;&gt;"",IFERROR(AVERAGE(出来高!E31:AC31),""),"")</f>
        <v/>
      </c>
      <c r="O68" s="627">
        <f>IF(AND(J68&lt;&gt;"",M68&lt;&gt;"",M68&lt;&gt;0),J68/M68,"")</f>
        <v/>
      </c>
      <c r="P68" s="225">
        <f>IF(O68="","",IF(O68&gt;=2,"急増↑↑",IF(O68&gt;=1.5,"増加↑",IF(O68&gt;=1,"普通→","減少↓"))))</f>
        <v/>
      </c>
      <c r="Q68" s="225">
        <f>IF(E68="","",IF(AND(E68&lt;G68,O68&gt;=1.5),"売り▼",IF(E68&gt;G68,"様子見▲","中立→")))</f>
        <v/>
      </c>
      <c r="R68" s="353">
        <f>IF(E68&lt;&gt;"",ROUND(E68*0.92,0),"")</f>
        <v/>
      </c>
      <c r="S68" s="353">
        <f>IF(E68&lt;&gt;"",ROUND(E68*1.04,0),"")</f>
        <v/>
      </c>
      <c r="T68" s="345">
        <f>IF(C68="","",IFERROR(IF(W68&gt;=70,3,IF(W68&gt;=60,2,IF(W68&gt;=50,1,0)))+IF(X68&lt;0,2,0)+IF(AD68="下降トレンド▼",3,IF(AD68="もみ合い→",1,0))+IF(V68="年初来安値圏●",3,IF(V68="安値圏",2,0))+IF(Q68="売り▼",2,0)+IF(P68="急増↑↑",2,IF(P68="増加↑",1,0))+IF(Z68&lt;0,1,0)+IF(L68&lt;=-30,2,IF(L68&lt;=-15,1,0))+IF(AE68="25日戻り売り★",2,IF(AE68="5日戻り売り○",1,0))+N(AL68)+N(AP68)+N(AU68),0))</f>
        <v/>
      </c>
      <c r="U68" s="225">
        <f>IF(T68="","",IF(AND(T68&gt;=3,O68&gt;=1.5),"有効",IF(T68&gt;=3,"要確認","除外")))</f>
        <v/>
      </c>
      <c r="V68" s="225">
        <f>IF(AND(I68&lt;&gt;"",K68&lt;&gt;""),IF(I68&lt;=K68*0.6,"年初来安値圏●",IF(I68&lt;=K68*0.75,"安値圏","通常")),"")</f>
        <v/>
      </c>
      <c r="W68" s="628">
        <f t="array" ref="W68">IFERROR(100-100/(1+SUMPRODUCT((終値!F31:R31&gt;終値!G31:S31)*(終値!F31:R31-終値!G31:S31))/SUMPRODUCT((終値!F31:R31&lt;終値!G31:S31)*(終値!G31:S31-終値!F31:R31))),50)</f>
        <v/>
      </c>
      <c r="X68" s="357">
        <f>IF(C68&lt;&gt;"",IFERROR(SUMPRODUCT(終値!E31:P31,{0.154,0.132,0.113,0.097,0.083,0.071,0.061,0.052,0.045,0.038,0.033,0.028})/SUMPRODUCT({0.154,0.132,0.113,0.097,0.083,0.071,0.061,0.052,0.045,0.038,0.033,0.028})-SUMPRODUCT(終値!E31:AD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8" s="225">
        <f>IF(AF68="","",AF68&amp;" | "&amp;AD68&amp;IF(AE68&lt;&gt;"なし"," "&amp;AE68,"")&amp;IF(X68&lt;0," MACD-"," MACD+")&amp;" RSI:"&amp;TEXT(W68,"0.0")&amp;IF(W68&gt;=70," [過熱]",IF(W68&lt;=30," [売られ過ぎ]",""))&amp;" 前日比:"&amp;TEXT(Z68,"+0.0;-0.0;0.0")&amp;"%"&amp;IF(V68="年初来安値圏●"," [年初来安値圏]",IF(V68="安値圏"," [安値圏]",""))&amp;IF(OR(AO68="通常",AO68="-"),""," ["&amp;AO68&amp;"]")&amp;IF(OR(AT68="通常",AT68="-"),"","前日["&amp;AT68&amp;"]")&amp;" ["&amp;T68&amp;"点]")</f>
        <v/>
      </c>
      <c r="Z68" s="629">
        <f>IF(AND(E68&lt;&gt;"",G68&lt;&gt;"",G68&lt;&gt;0),(E68-G68)/G68*100,"")</f>
        <v/>
      </c>
      <c r="AA68" s="225">
        <f>IF(OR(C68="",E68="",E68=0),"",IF(E68&gt;G68,"上昇▲",IF(E68&lt;G68,"下落▼","横ばい→")))</f>
        <v/>
      </c>
      <c r="AB68" s="353">
        <f>IF(OR(C68="",C68="TOPX",終値!E31=""),"",IFERROR(((終値!E31*0.333)+(終値!F31*0.222)+(終値!G31*0.148)+(終値!H31*0.099)+(終値!I31*0.066))/(0.333+0.222+0.148+0.099+0.066),""))</f>
        <v/>
      </c>
      <c r="AC68" s="353">
        <f>IF(OR(C68="",C68="TOPX",終値!E31=""),"",IFERROR(SUMPRODUCT((終値!E31:AC31)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8" s="225">
        <f>IF(OR(C68="",AB68="",AC68="",AB68=0,AC68=0),"",IF(AND(E68&gt;AB68,AB68&gt;AC68),"パーフェクト▲",IF(E68&gt;AC68,"上昇トレンド▲",IF(AND(E68&lt;AB68,AB68&lt;AC68),"下降トレンド▼","もみ合い→"))))</f>
        <v/>
      </c>
      <c r="AE68" s="225">
        <f>IF(OR(C68="",AB68="",AC68=""),"",IF(AND(ABS(E68-AC68)/AC68&lt;=0.02,E68&lt;AC68),"25日戻り売り★",IF(AND(ABS(E68-AB68)/AB68&lt;=0.01,E68&lt;AB68),"5日戻り売り○","なし")))</f>
        <v/>
      </c>
      <c r="AF68">
        <f>IF(T68="","",IF(銘柄管理!$F$5="上昇▲",IF(AND(AD68="下降トレンド▼",OR(AE68="25日戻り売り★",AE68="5日戻り売り○")),"★逆張り売り",IF(AND(AD68="もみ合い→",OR(AE68="25日戻り売り★",AE68="5日戻り売り○")),"○逆張り売り",IF(W68&gt;=70,IF(Z68&lt;0,"◎反落確認","△過熱・様子見"),"相場上昇・見送り"))),IF(AND(T68&gt;=12,AD68="下降トレンド▼"),"★強い売り",IF(T68&gt;=12,"★強い売り",IF(AND(T68&gt;=8,OR(AE68="25日戻り売り★",AE68="5日戻り売り○")),"◎戻り売り",IF(T68&gt;=10,"○売り候補",IF(T68&gt;=6,"△注目",IF(T68&gt;=3,"様子見","見送り"))))))))</f>
        <v/>
      </c>
      <c r="AG68">
        <f>IF(AND(T68&gt;=7,C68&lt;&gt;""),T68,0)</f>
        <v/>
      </c>
      <c r="AH68">
        <f>IF(AG68&gt;0,AG68*10000-ROW(A68),0)</f>
        <v/>
      </c>
      <c r="AI68" s="623">
        <f t="array" ref="AI68">IF(C68="","",IFERROR((INDEX(終値!$E:$E,MATCH(TEXT(C68,"0"),終値!$A:$A,0))-INDEX(終値!$E:$BL,MATCH(TEXT(C68,"0"),終値!$A:$A,0),$AN$2))/INDEX(終値!$E:$BL,MATCH(TEXT(C68,"0"),終値!$A:$A,0),$AN$2)*100,""))</f>
        <v/>
      </c>
      <c r="AJ68" s="623">
        <f t="array" ref="AJ68">IFERROR((終値!$E$5-INDEX(終値!$E$5:$BL$5,1,$AN$2))/INDEX(終値!$E$5:$BL$5,1,$AN$2)*100,"")</f>
        <v/>
      </c>
      <c r="AK68" s="624">
        <f>IF(OR(AI68="",AJ68=""),"",AI68-AJ68)</f>
        <v/>
      </c>
      <c r="AL68" s="394">
        <f>IF(AK68="","",IF(AK68&lt;-5,3,IF(AK68&lt;0,1,IF(AK68&lt;3,-1,-2))))</f>
        <v/>
      </c>
      <c r="AO68" s="398">
        <f>IF(OR($C68="",$E68="",$F68="",$H68="",$I68="",$H68-$I68&lt;=0),"-",IF(AND($H68-MAX($F68,$E68)&gt;=ABS($E68-$F68)*2,MIN($F68,$E68)-$I68&lt;=ABS($E68-$F68)*0.5,ABS($E68-$F68)&gt;0),"上ヒゲ陰線▼",IF(AND($E68&lt;$F68,ABS($E68-$F68)&gt;=($H68-$I68)*0.7),"大陰線▼",IF(AND(MIN($F68,$E68)-$I68&gt;=($H68-$I68)*0.5,$H68-MAX($F68,$E68)&lt;=($H68-$I68)*0.2),"長い下ヒゲ(反発警戒)","通常"))))</f>
        <v/>
      </c>
      <c r="AP68" s="625">
        <f>IF($AO68="上ヒゲ陰線▼",2,IF($AO68="大陰線▼",2,IF($AO68="長い下ヒゲ(反発警戒)",-2,0)))</f>
        <v/>
      </c>
      <c r="AQ68">
        <f>IF(C68&lt;&gt;"",始値!F31,"")</f>
        <v/>
      </c>
      <c r="AR68">
        <f>IF(C68&lt;&gt;"",高値!F31,"")</f>
        <v/>
      </c>
      <c r="AS68">
        <f>IF(C68&lt;&gt;"",安値!F31,"")</f>
        <v/>
      </c>
      <c r="AT68">
        <f>IF(OR(C68="",AQ68="",AR68="",AS68="",AR68-AS68&lt;=0),"-",IF(AND(AR68-MAX(G68,AQ68)&gt;=ABS(G68-AQ68)*2,MIN(G68,AQ68)-AS68&lt;=ABS(G68-AQ68)*0.5,ABS(G68-AQ68)&gt;0),"上ヒゲ陰線▼",IF(AND(G68&lt;AQ68,ABS(G68-AQ68)&gt;=(AR68-AS68)*0.7),"大陰線▼",IF(AND(MIN(G68,AQ68)-AS68&gt;=(AR68-AS68)*0.5,AR68-MAX(G68,AQ68)&lt;=(AR68-AS68)*0.2),"長い下ヒゲ(反発)","通常"))))</f>
        <v/>
      </c>
      <c r="AU68">
        <f>IF(AT68="上ヒゲ陰線▼",2,IF(AT68="大陰線▼",2,IF(AT68="長い下ヒゲ(反発)",-2,0)))</f>
        <v/>
      </c>
    </row>
    <row r="69" ht="14.25" customHeight="1" s="574">
      <c r="A69" s="344">
        <f>IF(銘柄管理!B49&lt;&gt;"",HYPERLINK("https://kabutan.jp/stock/?code="&amp;銘柄管理!B49,"株探"),"")</f>
        <v/>
      </c>
      <c r="B69" s="345" t="n"/>
      <c r="C69" s="345">
        <f>IF(銘柄管理!B49="","",銘柄管理!B49)</f>
        <v/>
      </c>
      <c r="D69" s="345">
        <f>IF(銘柄管理!C49="","",銘柄管理!C49)</f>
        <v/>
      </c>
      <c r="E69" s="346">
        <f>IF(C69&lt;&gt;"",_xll.RssMarket(C69,"現在値"),"")</f>
        <v/>
      </c>
      <c r="F69" s="346">
        <f>IF(C69&lt;&gt;"",_xll.RssMarket(C69,"始値"),"")</f>
        <v/>
      </c>
      <c r="G69" s="345">
        <f>IF(C69&lt;&gt;"",終値!F49,"")</f>
        <v/>
      </c>
      <c r="H69" s="346">
        <f>IF(C69&lt;&gt;"",_xll.RssMarket(C69,"高値"),"")</f>
        <v/>
      </c>
      <c r="I69" s="346">
        <f>IF(C69&lt;&gt;"",_xll.RssMarket(C69,"安値"),"")</f>
        <v/>
      </c>
      <c r="J69" s="346">
        <f>IF(C69&lt;&gt;"",_xll.RssMarket(C69,"出来高"),"")</f>
        <v/>
      </c>
      <c r="K69" s="346">
        <f>IF(C69&lt;&gt;"",_xll.RssMarket(C69,"年初来高値"),"")</f>
        <v/>
      </c>
      <c r="L69" s="619">
        <f>IF(AND(E69&lt;&gt;"",K69&lt;&gt;"",K69&lt;&gt;0),(E69-K69)/K69*100,"")</f>
        <v/>
      </c>
      <c r="M69" s="346">
        <f>IF(C69&lt;&gt;"",IFERROR(AVERAGE(出来高!E49:I49),""),"")</f>
        <v/>
      </c>
      <c r="N69" s="346">
        <f>IF(C69&lt;&gt;"",IFERROR(AVERAGE(出来高!E49:AC49),""),"")</f>
        <v/>
      </c>
      <c r="O69" s="620">
        <f>IF(AND(J69&lt;&gt;"",M69&lt;&gt;"",M69&lt;&gt;0),J69/M69,"")</f>
        <v/>
      </c>
      <c r="P69" s="345">
        <f>IF(O69="","",IF(O69&gt;=2,"急増↑↑",IF(O69&gt;=1.5,"増加↑",IF(O69&gt;=1,"普通→","減少↓"))))</f>
        <v/>
      </c>
      <c r="Q69" s="345">
        <f>IF(E69="","",IF(AND(E69&lt;G69,O69&gt;=1.5),"売り▼",IF(E69&gt;G69,"様子見▲","中立→")))</f>
        <v/>
      </c>
      <c r="R69" s="346">
        <f>IF(E69&lt;&gt;"",ROUND(E69*0.92,0),"")</f>
        <v/>
      </c>
      <c r="S69" s="346">
        <f>IF(E69&lt;&gt;"",ROUND(E69*1.04,0),"")</f>
        <v/>
      </c>
      <c r="T69" s="345">
        <f>IF(C69="","",IFERROR(IF(W69&gt;=70,3,IF(W69&gt;=60,2,IF(W69&gt;=50,1,0)))+IF(X69&lt;0,2,0)+IF(AD69="下降トレンド▼",3,IF(AD69="もみ合い→",1,0))+IF(V69="年初来安値圏●",3,IF(V69="安値圏",2,0))+IF(Q69="売り▼",2,0)+IF(P69="急増↑↑",2,IF(P69="増加↑",1,0))+IF(Z69&lt;0,1,0)+IF(L69&lt;=-30,2,IF(L69&lt;=-15,1,0))+IF(AE69="25日戻り売り★",2,IF(AE69="5日戻り売り○",1,0))+N(AL69)+N(AP69)+N(AU69),0))</f>
        <v/>
      </c>
      <c r="U69" s="345">
        <f>IF(T69="","",IF(AND(T69&gt;=3,O69&gt;=1.5),"有効",IF(T69&gt;=3,"要確認","除外")))</f>
        <v/>
      </c>
      <c r="V69" s="345">
        <f>IF(AND(I69&lt;&gt;"",K69&lt;&gt;""),IF(I69&lt;=K69*0.6,"年初来安値圏●",IF(I69&lt;=K69*0.75,"安値圏","通常")),"")</f>
        <v/>
      </c>
      <c r="W69" s="621">
        <f t="array" ref="W69">IFERROR(100-100/(1+SUMPRODUCT((終値!F49:R49&gt;終値!G49:S49)*(終値!F49:R49-終値!G49:S49))/SUMPRODUCT((終値!F49:R49&lt;終値!G49:S49)*(終値!G49:S49-終値!F49:R49))),50)</f>
        <v/>
      </c>
      <c r="X69" s="350">
        <f>IF(C69&lt;&gt;"",IFERROR(SUMPRODUCT(終値!E49:P49,{0.154,0.132,0.113,0.097,0.083,0.071,0.061,0.052,0.045,0.038,0.033,0.028})/SUMPRODUCT({0.154,0.132,0.113,0.097,0.083,0.071,0.061,0.052,0.045,0.038,0.033,0.028})-SUMPRODUCT(終値!E49:AD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9" s="345">
        <f>IF(AF69="","",AF69&amp;" | "&amp;AD69&amp;IF(AE69&lt;&gt;"なし"," "&amp;AE69,"")&amp;IF(X69&lt;0," MACD-"," MACD+")&amp;" RSI:"&amp;TEXT(W69,"0.0")&amp;IF(W69&gt;=70," [過熱]",IF(W69&lt;=30," [売られ過ぎ]",""))&amp;" 前日比:"&amp;TEXT(Z69,"+0.0;-0.0;0.0")&amp;"%"&amp;IF(V69="年初来安値圏●"," [年初来安値圏]",IF(V69="安値圏"," [安値圏]",""))&amp;IF(OR(AO69="通常",AO69="-"),""," ["&amp;AO69&amp;"]")&amp;IF(OR(AT69="通常",AT69="-"),"","前日["&amp;AT69&amp;"]")&amp;" ["&amp;T69&amp;"点]")</f>
        <v/>
      </c>
      <c r="Z69" s="622">
        <f>IF(AND(E69&lt;&gt;"",G69&lt;&gt;"",G69&lt;&gt;0),(E69-G69)/G69*100,"")</f>
        <v/>
      </c>
      <c r="AA69" s="345">
        <f>IF(OR(C69="",E69="",E69=0),"",IF(E69&gt;G69,"上昇▲",IF(E69&lt;G69,"下落▼","横ばい→")))</f>
        <v/>
      </c>
      <c r="AB69" s="346">
        <f>IF(OR(C69="",C69="TOPX",終値!E49=""),"",IFERROR(((終値!E49*0.333)+(終値!F49*0.222)+(終値!G49*0.148)+(終値!H49*0.099)+(終値!I49*0.066))/(0.333+0.222+0.148+0.099+0.066),""))</f>
        <v/>
      </c>
      <c r="AC69" s="346">
        <f>IF(OR(C69="",C69="TOPX",終値!E49=""),"",IFERROR(SUMPRODUCT((終値!E49:AC49)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9" s="345">
        <f>IF(OR(C69="",AB69="",AC69="",AB69=0,AC69=0),"",IF(AND(E69&gt;AB69,AB69&gt;AC69),"パーフェクト▲",IF(E69&gt;AC69,"上昇トレンド▲",IF(AND(E69&lt;AB69,AB69&lt;AC69),"下降トレンド▼","もみ合い→"))))</f>
        <v/>
      </c>
      <c r="AE69" s="345">
        <f>IF(OR(C69="",AB69="",AC69=""),"",IF(AND(ABS(E69-AC69)/AC69&lt;=0.02,E69&lt;AC69),"25日戻り売り★",IF(AND(ABS(E69-AB69)/AB69&lt;=0.01,E69&lt;AB69),"5日戻り売り○","なし")))</f>
        <v/>
      </c>
      <c r="AF69">
        <f>IF(T69="","",IF(銘柄管理!$F$5="上昇▲",IF(AND(AD69="下降トレンド▼",OR(AE69="25日戻り売り★",AE69="5日戻り売り○")),"★逆張り売り",IF(AND(AD69="もみ合い→",OR(AE69="25日戻り売り★",AE69="5日戻り売り○")),"○逆張り売り",IF(W69&gt;=70,IF(Z69&lt;0,"◎反落確認","△過熱・様子見"),"相場上昇・見送り"))),IF(AND(T69&gt;=12,AD69="下降トレンド▼"),"★強い売り",IF(T69&gt;=12,"★強い売り",IF(AND(T69&gt;=8,OR(AE69="25日戻り売り★",AE69="5日戻り売り○")),"◎戻り売り",IF(T69&gt;=10,"○売り候補",IF(T69&gt;=6,"△注目",IF(T69&gt;=3,"様子見","見送り"))))))))</f>
        <v/>
      </c>
      <c r="AG69">
        <f>IF(AND(T69&gt;=7,C69&lt;&gt;""),T69,0)</f>
        <v/>
      </c>
      <c r="AH69">
        <f>IF(AG69&gt;0,AG69*10000-ROW(A69),0)</f>
        <v/>
      </c>
      <c r="AI69" s="623">
        <f t="array" ref="AI69">IF(C69="","",IFERROR((INDEX(終値!$E:$E,MATCH(TEXT(C69,"0"),終値!$A:$A,0))-INDEX(終値!$E:$BL,MATCH(TEXT(C69,"0"),終値!$A:$A,0),$AN$2))/INDEX(終値!$E:$BL,MATCH(TEXT(C69,"0"),終値!$A:$A,0),$AN$2)*100,""))</f>
        <v/>
      </c>
      <c r="AJ69" s="623">
        <f t="array" ref="AJ69">IFERROR((終値!$E$5-INDEX(終値!$E$5:$BL$5,1,$AN$2))/INDEX(終値!$E$5:$BL$5,1,$AN$2)*100,"")</f>
        <v/>
      </c>
      <c r="AK69" s="624">
        <f>IF(OR(AI69="",AJ69=""),"",AI69-AJ69)</f>
        <v/>
      </c>
      <c r="AL69" s="394">
        <f>IF(AK69="","",IF(AK69&lt;-5,3,IF(AK69&lt;0,1,IF(AK69&lt;3,-1,-2))))</f>
        <v/>
      </c>
      <c r="AO69" s="398">
        <f>IF(OR($C69="",$E69="",$F69="",$H69="",$I69="",$H69-$I69&lt;=0),"-",IF(AND($H69-MAX($F69,$E69)&gt;=ABS($E69-$F69)*2,MIN($F69,$E69)-$I69&lt;=ABS($E69-$F69)*0.5,ABS($E69-$F69)&gt;0),"上ヒゲ陰線▼",IF(AND($E69&lt;$F69,ABS($E69-$F69)&gt;=($H69-$I69)*0.7),"大陰線▼",IF(AND(MIN($F69,$E69)-$I69&gt;=($H69-$I69)*0.5,$H69-MAX($F69,$E69)&lt;=($H69-$I69)*0.2),"長い下ヒゲ(反発警戒)","通常"))))</f>
        <v/>
      </c>
      <c r="AP69" s="625">
        <f>IF($AO69="上ヒゲ陰線▼",2,IF($AO69="大陰線▼",2,IF($AO69="長い下ヒゲ(反発警戒)",-2,0)))</f>
        <v/>
      </c>
      <c r="AQ69">
        <f>IF(C69&lt;&gt;"",始値!F49,"")</f>
        <v/>
      </c>
      <c r="AR69">
        <f>IF(C69&lt;&gt;"",高値!F49,"")</f>
        <v/>
      </c>
      <c r="AS69">
        <f>IF(C69&lt;&gt;"",安値!F49,"")</f>
        <v/>
      </c>
      <c r="AT69">
        <f>IF(OR(C69="",AQ69="",AR69="",AS69="",AR69-AS69&lt;=0),"-",IF(AND(AR69-MAX(G69,AQ69)&gt;=ABS(G69-AQ69)*2,MIN(G69,AQ69)-AS69&lt;=ABS(G69-AQ69)*0.5,ABS(G69-AQ69)&gt;0),"上ヒゲ陰線▼",IF(AND(G69&lt;AQ69,ABS(G69-AQ69)&gt;=(AR69-AS69)*0.7),"大陰線▼",IF(AND(MIN(G69,AQ69)-AS69&gt;=(AR69-AS69)*0.5,AR69-MAX(G69,AQ69)&lt;=(AR69-AS69)*0.2),"長い下ヒゲ(反発)","通常"))))</f>
        <v/>
      </c>
      <c r="AU69">
        <f>IF(AT69="上ヒゲ陰線▼",2,IF(AT69="大陰線▼",2,IF(AT69="長い下ヒゲ(反発)",-2,0)))</f>
        <v/>
      </c>
    </row>
    <row r="70" ht="14.25" customHeight="1" s="574">
      <c r="A70" s="352">
        <f>IF(銘柄管理!B50&lt;&gt;"",HYPERLINK("https://kabutan.jp/stock/?code="&amp;銘柄管理!B50,"株探"),"")</f>
        <v/>
      </c>
      <c r="B70" s="225" t="n"/>
      <c r="C70" s="225">
        <f>IF(銘柄管理!B50="","",銘柄管理!B50)</f>
        <v/>
      </c>
      <c r="D70" s="225">
        <f>IF(銘柄管理!C50="","",銘柄管理!C50)</f>
        <v/>
      </c>
      <c r="E70" s="353">
        <f>IF(C70&lt;&gt;"",_xll.RssMarket(C70,"現在値"),"")</f>
        <v/>
      </c>
      <c r="F70" s="353">
        <f>IF(C70&lt;&gt;"",_xll.RssMarket(C70,"始値"),"")</f>
        <v/>
      </c>
      <c r="G70" s="225">
        <f>IF(C70&lt;&gt;"",終値!F50,"")</f>
        <v/>
      </c>
      <c r="H70" s="353">
        <f>IF(C70&lt;&gt;"",_xll.RssMarket(C70,"高値"),"")</f>
        <v/>
      </c>
      <c r="I70" s="353">
        <f>IF(C70&lt;&gt;"",_xll.RssMarket(C70,"安値"),"")</f>
        <v/>
      </c>
      <c r="J70" s="353">
        <f>IF(C70&lt;&gt;"",_xll.RssMarket(C70,"出来高"),"")</f>
        <v/>
      </c>
      <c r="K70" s="353">
        <f>IF(C70&lt;&gt;"",_xll.RssMarket(C70,"年初来高値"),"")</f>
        <v/>
      </c>
      <c r="L70" s="626">
        <f>IF(AND(E70&lt;&gt;"",K70&lt;&gt;"",K70&lt;&gt;0),(E70-K70)/K70*100,"")</f>
        <v/>
      </c>
      <c r="M70" s="353">
        <f>IF(C70&lt;&gt;"",IFERROR(AVERAGE(出来高!E50:I50),""),"")</f>
        <v/>
      </c>
      <c r="N70" s="353">
        <f>IF(C70&lt;&gt;"",IFERROR(AVERAGE(出来高!E50:AC50),""),"")</f>
        <v/>
      </c>
      <c r="O70" s="627">
        <f>IF(AND(J70&lt;&gt;"",M70&lt;&gt;"",M70&lt;&gt;0),J70/M70,"")</f>
        <v/>
      </c>
      <c r="P70" s="225">
        <f>IF(O70="","",IF(O70&gt;=2,"急増↑↑",IF(O70&gt;=1.5,"増加↑",IF(O70&gt;=1,"普通→","減少↓"))))</f>
        <v/>
      </c>
      <c r="Q70" s="225">
        <f>IF(E70="","",IF(AND(E70&lt;G70,O70&gt;=1.5),"売り▼",IF(E70&gt;G70,"様子見▲","中立→")))</f>
        <v/>
      </c>
      <c r="R70" s="353">
        <f>IF(E70&lt;&gt;"",ROUND(E70*0.92,0),"")</f>
        <v/>
      </c>
      <c r="S70" s="353">
        <f>IF(E70&lt;&gt;"",ROUND(E70*1.04,0),"")</f>
        <v/>
      </c>
      <c r="T70" s="345">
        <f>IF(C70="","",IFERROR(IF(W70&gt;=70,3,IF(W70&gt;=60,2,IF(W70&gt;=50,1,0)))+IF(X70&lt;0,2,0)+IF(AD70="下降トレンド▼",3,IF(AD70="もみ合い→",1,0))+IF(V70="年初来安値圏●",3,IF(V70="安値圏",2,0))+IF(Q70="売り▼",2,0)+IF(P70="急増↑↑",2,IF(P70="増加↑",1,0))+IF(Z70&lt;0,1,0)+IF(L70&lt;=-30,2,IF(L70&lt;=-15,1,0))+IF(AE70="25日戻り売り★",2,IF(AE70="5日戻り売り○",1,0))+N(AL70)+N(AP70)+N(AU70),0))</f>
        <v/>
      </c>
      <c r="U70" s="225">
        <f>IF(T70="","",IF(AND(T70&gt;=3,O70&gt;=1.5),"有効",IF(T70&gt;=3,"要確認","除外")))</f>
        <v/>
      </c>
      <c r="V70" s="225">
        <f>IF(AND(I70&lt;&gt;"",K70&lt;&gt;""),IF(I70&lt;=K70*0.6,"年初来安値圏●",IF(I70&lt;=K70*0.75,"安値圏","通常")),"")</f>
        <v/>
      </c>
      <c r="W70" s="628">
        <f t="array" ref="W70">IFERROR(100-100/(1+SUMPRODUCT((終値!F50:R50&gt;終値!G50:S50)*(終値!F50:R50-終値!G50:S50))/SUMPRODUCT((終値!F50:R50&lt;終値!G50:S50)*(終値!G50:S50-終値!F50:R50))),50)</f>
        <v/>
      </c>
      <c r="X70" s="357">
        <f>IF(C70&lt;&gt;"",IFERROR(SUMPRODUCT(終値!E50:P50,{0.154,0.132,0.113,0.097,0.083,0.071,0.061,0.052,0.045,0.038,0.033,0.028})/SUMPRODUCT({0.154,0.132,0.113,0.097,0.083,0.071,0.061,0.052,0.045,0.038,0.033,0.028})-SUMPRODUCT(終値!E50:AD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0" s="225">
        <f>IF(AF70="","",AF70&amp;" | "&amp;AD70&amp;IF(AE70&lt;&gt;"なし"," "&amp;AE70,"")&amp;IF(X70&lt;0," MACD-"," MACD+")&amp;" RSI:"&amp;TEXT(W70,"0.0")&amp;IF(W70&gt;=70," [過熱]",IF(W70&lt;=30," [売られ過ぎ]",""))&amp;" 前日比:"&amp;TEXT(Z70,"+0.0;-0.0;0.0")&amp;"%"&amp;IF(V70="年初来安値圏●"," [年初来安値圏]",IF(V70="安値圏"," [安値圏]",""))&amp;IF(OR(AO70="通常",AO70="-"),""," ["&amp;AO70&amp;"]")&amp;IF(OR(AT70="通常",AT70="-"),"","前日["&amp;AT70&amp;"]")&amp;" ["&amp;T70&amp;"点]")</f>
        <v/>
      </c>
      <c r="Z70" s="629">
        <f>IF(AND(E70&lt;&gt;"",G70&lt;&gt;"",G70&lt;&gt;0),(E70-G70)/G70*100,"")</f>
        <v/>
      </c>
      <c r="AA70" s="225">
        <f>IF(OR(C70="",E70="",E70=0),"",IF(E70&gt;G70,"上昇▲",IF(E70&lt;G70,"下落▼","横ばい→")))</f>
        <v/>
      </c>
      <c r="AB70" s="353">
        <f>IF(OR(C70="",C70="TOPX",終値!E50=""),"",IFERROR(((終値!E50*0.333)+(終値!F50*0.222)+(終値!G50*0.148)+(終値!H50*0.099)+(終値!I50*0.066))/(0.333+0.222+0.148+0.099+0.066),""))</f>
        <v/>
      </c>
      <c r="AC70" s="353">
        <f>IF(OR(C70="",C70="TOPX",終値!E50=""),"",IFERROR(SUMPRODUCT((終値!E50:AC50)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0" s="225">
        <f>IF(OR(C70="",AB70="",AC70="",AB70=0,AC70=0),"",IF(AND(E70&gt;AB70,AB70&gt;AC70),"パーフェクト▲",IF(E70&gt;AC70,"上昇トレンド▲",IF(AND(E70&lt;AB70,AB70&lt;AC70),"下降トレンド▼","もみ合い→"))))</f>
        <v/>
      </c>
      <c r="AE70" s="225">
        <f>IF(OR(C70="",AB70="",AC70=""),"",IF(AND(ABS(E70-AC70)/AC70&lt;=0.02,E70&lt;AC70),"25日戻り売り★",IF(AND(ABS(E70-AB70)/AB70&lt;=0.01,E70&lt;AB70),"5日戻り売り○","なし")))</f>
        <v/>
      </c>
      <c r="AF70">
        <f>IF(T70="","",IF(銘柄管理!$F$5="上昇▲",IF(AND(AD70="下降トレンド▼",OR(AE70="25日戻り売り★",AE70="5日戻り売り○")),"★逆張り売り",IF(AND(AD70="もみ合い→",OR(AE70="25日戻り売り★",AE70="5日戻り売り○")),"○逆張り売り",IF(W70&gt;=70,IF(Z70&lt;0,"◎反落確認","△過熱・様子見"),"相場上昇・見送り"))),IF(AND(T70&gt;=12,AD70="下降トレンド▼"),"★強い売り",IF(T70&gt;=12,"★強い売り",IF(AND(T70&gt;=8,OR(AE70="25日戻り売り★",AE70="5日戻り売り○")),"◎戻り売り",IF(T70&gt;=10,"○売り候補",IF(T70&gt;=6,"△注目",IF(T70&gt;=3,"様子見","見送り"))))))))</f>
        <v/>
      </c>
      <c r="AG70">
        <f>IF(AND(T70&gt;=7,C70&lt;&gt;""),T70,0)</f>
        <v/>
      </c>
      <c r="AH70">
        <f>IF(AG70&gt;0,AG70*10000-ROW(A70),0)</f>
        <v/>
      </c>
      <c r="AI70" s="623">
        <f t="array" ref="AI70">IF(C70="","",IFERROR((INDEX(終値!$E:$E,MATCH(TEXT(C70,"0"),終値!$A:$A,0))-INDEX(終値!$E:$BL,MATCH(TEXT(C70,"0"),終値!$A:$A,0),$AN$2))/INDEX(終値!$E:$BL,MATCH(TEXT(C70,"0"),終値!$A:$A,0),$AN$2)*100,""))</f>
        <v/>
      </c>
      <c r="AJ70" s="623">
        <f t="array" ref="AJ70">IFERROR((終値!$E$5-INDEX(終値!$E$5:$BL$5,1,$AN$2))/INDEX(終値!$E$5:$BL$5,1,$AN$2)*100,"")</f>
        <v/>
      </c>
      <c r="AK70" s="624">
        <f>IF(OR(AI70="",AJ70=""),"",AI70-AJ70)</f>
        <v/>
      </c>
      <c r="AL70" s="394">
        <f>IF(AK70="","",IF(AK70&lt;-5,3,IF(AK70&lt;0,1,IF(AK70&lt;3,-1,-2))))</f>
        <v/>
      </c>
      <c r="AO70" s="398">
        <f>IF(OR($C70="",$E70="",$F70="",$H70="",$I70="",$H70-$I70&lt;=0),"-",IF(AND($H70-MAX($F70,$E70)&gt;=ABS($E70-$F70)*2,MIN($F70,$E70)-$I70&lt;=ABS($E70-$F70)*0.5,ABS($E70-$F70)&gt;0),"上ヒゲ陰線▼",IF(AND($E70&lt;$F70,ABS($E70-$F70)&gt;=($H70-$I70)*0.7),"大陰線▼",IF(AND(MIN($F70,$E70)-$I70&gt;=($H70-$I70)*0.5,$H70-MAX($F70,$E70)&lt;=($H70-$I70)*0.2),"長い下ヒゲ(反発警戒)","通常"))))</f>
        <v/>
      </c>
      <c r="AP70" s="625">
        <f>IF($AO70="上ヒゲ陰線▼",2,IF($AO70="大陰線▼",2,IF($AO70="長い下ヒゲ(反発警戒)",-2,0)))</f>
        <v/>
      </c>
      <c r="AQ70">
        <f>IF(C70&lt;&gt;"",始値!F50,"")</f>
        <v/>
      </c>
      <c r="AR70">
        <f>IF(C70&lt;&gt;"",高値!F50,"")</f>
        <v/>
      </c>
      <c r="AS70">
        <f>IF(C70&lt;&gt;"",安値!F50,"")</f>
        <v/>
      </c>
      <c r="AT70">
        <f>IF(OR(C70="",AQ70="",AR70="",AS70="",AR70-AS70&lt;=0),"-",IF(AND(AR70-MAX(G70,AQ70)&gt;=ABS(G70-AQ70)*2,MIN(G70,AQ70)-AS70&lt;=ABS(G70-AQ70)*0.5,ABS(G70-AQ70)&gt;0),"上ヒゲ陰線▼",IF(AND(G70&lt;AQ70,ABS(G70-AQ70)&gt;=(AR70-AS70)*0.7),"大陰線▼",IF(AND(MIN(G70,AQ70)-AS70&gt;=(AR70-AS70)*0.5,AR70-MAX(G70,AQ70)&lt;=(AR70-AS70)*0.2),"長い下ヒゲ(反発)","通常"))))</f>
        <v/>
      </c>
      <c r="AU70">
        <f>IF(AT70="上ヒゲ陰線▼",2,IF(AT70="大陰線▼",2,IF(AT70="長い下ヒゲ(反発)",-2,0)))</f>
        <v/>
      </c>
    </row>
    <row r="71" ht="14.25" customHeight="1" s="574">
      <c r="A71" s="344">
        <f>IF(銘柄管理!B55&lt;&gt;"",HYPERLINK("https://kabutan.jp/stock/?code="&amp;銘柄管理!B55,"株探"),"")</f>
        <v/>
      </c>
      <c r="B71" s="345" t="n"/>
      <c r="C71" s="345">
        <f>IF(銘柄管理!B55="","",銘柄管理!B55)</f>
        <v/>
      </c>
      <c r="D71" s="345">
        <f>IF(銘柄管理!C55="","",銘柄管理!C55)</f>
        <v/>
      </c>
      <c r="E71" s="346">
        <f>IF(C71&lt;&gt;"",_xll.RssMarket(C71,"現在値"),"")</f>
        <v/>
      </c>
      <c r="F71" s="346">
        <f>IF(C71&lt;&gt;"",_xll.RssMarket(C71,"始値"),"")</f>
        <v/>
      </c>
      <c r="G71" s="345">
        <f>IF(C71&lt;&gt;"",終値!F55,"")</f>
        <v/>
      </c>
      <c r="H71" s="346">
        <f>IF(C71&lt;&gt;"",_xll.RssMarket(C71,"高値"),"")</f>
        <v/>
      </c>
      <c r="I71" s="346">
        <f>IF(C71&lt;&gt;"",_xll.RssMarket(C71,"安値"),"")</f>
        <v/>
      </c>
      <c r="J71" s="346">
        <f>IF(C71&lt;&gt;"",_xll.RssMarket(C71,"出来高"),"")</f>
        <v/>
      </c>
      <c r="K71" s="346">
        <f>IF(C71&lt;&gt;"",_xll.RssMarket(C71,"年初来高値"),"")</f>
        <v/>
      </c>
      <c r="L71" s="619">
        <f>IF(AND(E71&lt;&gt;"",K71&lt;&gt;"",K71&lt;&gt;0),(E71-K71)/K71*100,"")</f>
        <v/>
      </c>
      <c r="M71" s="346">
        <f>IF(C71&lt;&gt;"",IFERROR(AVERAGE(出来高!E55:I55),""),"")</f>
        <v/>
      </c>
      <c r="N71" s="346">
        <f>IF(C71&lt;&gt;"",IFERROR(AVERAGE(出来高!E55:AC55),""),"")</f>
        <v/>
      </c>
      <c r="O71" s="620">
        <f>IF(AND(J71&lt;&gt;"",M71&lt;&gt;"",M71&lt;&gt;0),J71/M71,"")</f>
        <v/>
      </c>
      <c r="P71" s="345">
        <f>IF(O71="","",IF(O71&gt;=2,"急増↑↑",IF(O71&gt;=1.5,"増加↑",IF(O71&gt;=1,"普通→","減少↓"))))</f>
        <v/>
      </c>
      <c r="Q71" s="345">
        <f>IF(E71="","",IF(AND(E71&lt;G71,O71&gt;=1.5),"売り▼",IF(E71&gt;G71,"様子見▲","中立→")))</f>
        <v/>
      </c>
      <c r="R71" s="346">
        <f>IF(E71&lt;&gt;"",ROUND(E71*0.92,0),"")</f>
        <v/>
      </c>
      <c r="S71" s="346">
        <f>IF(E71&lt;&gt;"",ROUND(E71*1.04,0),"")</f>
        <v/>
      </c>
      <c r="T71" s="345">
        <f>IF(C71="","",IFERROR(IF(W71&gt;=70,3,IF(W71&gt;=60,2,IF(W71&gt;=50,1,0)))+IF(X71&lt;0,2,0)+IF(AD71="下降トレンド▼",3,IF(AD71="もみ合い→",1,0))+IF(V71="年初来安値圏●",3,IF(V71="安値圏",2,0))+IF(Q71="売り▼",2,0)+IF(P71="急増↑↑",2,IF(P71="増加↑",1,0))+IF(Z71&lt;0,1,0)+IF(L71&lt;=-30,2,IF(L71&lt;=-15,1,0))+IF(AE71="25日戻り売り★",2,IF(AE71="5日戻り売り○",1,0))+N(AL71)+N(AP71)+N(AU71),0))</f>
        <v/>
      </c>
      <c r="U71" s="345">
        <f>IF(T71="","",IF(AND(T71&gt;=3,O71&gt;=1.5),"有効",IF(T71&gt;=3,"要確認","除外")))</f>
        <v/>
      </c>
      <c r="V71" s="345">
        <f>IF(AND(I71&lt;&gt;"",K71&lt;&gt;""),IF(I71&lt;=K71*0.6,"年初来安値圏●",IF(I71&lt;=K71*0.75,"安値圏","通常")),"")</f>
        <v/>
      </c>
      <c r="W71" s="621">
        <f t="array" ref="W71">IFERROR(100-100/(1+SUMPRODUCT((終値!F55:R55&gt;終値!G55:S55)*(終値!F55:R55-終値!G55:S55))/SUMPRODUCT((終値!F55:R55&lt;終値!G55:S55)*(終値!G55:S55-終値!F55:R55))),50)</f>
        <v/>
      </c>
      <c r="X71" s="350">
        <f>IF(C71&lt;&gt;"",IFERROR(SUMPRODUCT(終値!E55:P55,{0.154,0.132,0.113,0.097,0.083,0.071,0.061,0.052,0.045,0.038,0.033,0.028})/SUMPRODUCT({0.154,0.132,0.113,0.097,0.083,0.071,0.061,0.052,0.045,0.038,0.033,0.028})-SUMPRODUCT(終値!E55:AD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1" s="345">
        <f>IF(AF71="","",AF71&amp;" | "&amp;AD71&amp;IF(AE71&lt;&gt;"なし"," "&amp;AE71,"")&amp;IF(X71&lt;0," MACD-"," MACD+")&amp;" RSI:"&amp;TEXT(W71,"0.0")&amp;IF(W71&gt;=70," [過熱]",IF(W71&lt;=30," [売られ過ぎ]",""))&amp;" 前日比:"&amp;TEXT(Z71,"+0.0;-0.0;0.0")&amp;"%"&amp;IF(V71="年初来安値圏●"," [年初来安値圏]",IF(V71="安値圏"," [安値圏]",""))&amp;IF(OR(AO71="通常",AO71="-"),""," ["&amp;AO71&amp;"]")&amp;IF(OR(AT71="通常",AT71="-"),"","前日["&amp;AT71&amp;"]")&amp;" ["&amp;T71&amp;"点]")</f>
        <v/>
      </c>
      <c r="Z71" s="622">
        <f>IF(AND(E71&lt;&gt;"",G71&lt;&gt;"",G71&lt;&gt;0),(E71-G71)/G71*100,"")</f>
        <v/>
      </c>
      <c r="AA71" s="345">
        <f>IF(OR(C71="",E71="",E71=0),"",IF(E71&gt;G71,"上昇▲",IF(E71&lt;G71,"下落▼","横ばい→")))</f>
        <v/>
      </c>
      <c r="AB71" s="346">
        <f>IF(OR(C71="",C71="TOPX",終値!E55=""),"",IFERROR(((終値!E55*0.333)+(終値!F55*0.222)+(終値!G55*0.148)+(終値!H55*0.099)+(終値!I55*0.066))/(0.333+0.222+0.148+0.099+0.066),""))</f>
        <v/>
      </c>
      <c r="AC71" s="346">
        <f>IF(OR(C71="",C71="TOPX",終値!E55=""),"",IFERROR(SUMPRODUCT((終値!E55:AC55)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1" s="345">
        <f>IF(OR(C71="",AB71="",AC71="",AB71=0,AC71=0),"",IF(AND(E71&gt;AB71,AB71&gt;AC71),"パーフェクト▲",IF(E71&gt;AC71,"上昇トレンド▲",IF(AND(E71&lt;AB71,AB71&lt;AC71),"下降トレンド▼","もみ合い→"))))</f>
        <v/>
      </c>
      <c r="AE71" s="345">
        <f>IF(OR(C71="",AB71="",AC71=""),"",IF(AND(ABS(E71-AC71)/AC71&lt;=0.02,E71&lt;AC71),"25日戻り売り★",IF(AND(ABS(E71-AB71)/AB71&lt;=0.01,E71&lt;AB71),"5日戻り売り○","なし")))</f>
        <v/>
      </c>
      <c r="AF71">
        <f>IF(T71="","",IF(銘柄管理!$F$5="上昇▲",IF(AND(AD71="下降トレンド▼",OR(AE71="25日戻り売り★",AE71="5日戻り売り○")),"★逆張り売り",IF(AND(AD71="もみ合い→",OR(AE71="25日戻り売り★",AE71="5日戻り売り○")),"○逆張り売り",IF(W71&gt;=70,IF(Z71&lt;0,"◎反落確認","△過熱・様子見"),"相場上昇・見送り"))),IF(AND(T71&gt;=12,AD71="下降トレンド▼"),"★強い売り",IF(T71&gt;=12,"★強い売り",IF(AND(T71&gt;=8,OR(AE71="25日戻り売り★",AE71="5日戻り売り○")),"◎戻り売り",IF(T71&gt;=10,"○売り候補",IF(T71&gt;=6,"△注目",IF(T71&gt;=3,"様子見","見送り"))))))))</f>
        <v/>
      </c>
      <c r="AG71">
        <f>IF(AND(T71&gt;=7,C71&lt;&gt;""),T71,0)</f>
        <v/>
      </c>
      <c r="AH71">
        <f>IF(AG71&gt;0,AG71*10000-ROW(A71),0)</f>
        <v/>
      </c>
      <c r="AI71" s="623">
        <f t="array" ref="AI71">IF(C71="","",IFERROR((INDEX(終値!$E:$E,MATCH(TEXT(C71,"0"),終値!$A:$A,0))-INDEX(終値!$E:$BL,MATCH(TEXT(C71,"0"),終値!$A:$A,0),$AN$2))/INDEX(終値!$E:$BL,MATCH(TEXT(C71,"0"),終値!$A:$A,0),$AN$2)*100,""))</f>
        <v/>
      </c>
      <c r="AJ71" s="623">
        <f t="array" ref="AJ71">IFERROR((終値!$E$5-INDEX(終値!$E$5:$BL$5,1,$AN$2))/INDEX(終値!$E$5:$BL$5,1,$AN$2)*100,"")</f>
        <v/>
      </c>
      <c r="AK71" s="624">
        <f>IF(OR(AI71="",AJ71=""),"",AI71-AJ71)</f>
        <v/>
      </c>
      <c r="AL71" s="394">
        <f>IF(AK71="","",IF(AK71&lt;-5,3,IF(AK71&lt;0,1,IF(AK71&lt;3,-1,-2))))</f>
        <v/>
      </c>
      <c r="AO71" s="398">
        <f>IF(OR($C71="",$E71="",$F71="",$H71="",$I71="",$H71-$I71&lt;=0),"-",IF(AND($H71-MAX($F71,$E71)&gt;=ABS($E71-$F71)*2,MIN($F71,$E71)-$I71&lt;=ABS($E71-$F71)*0.5,ABS($E71-$F71)&gt;0),"上ヒゲ陰線▼",IF(AND($E71&lt;$F71,ABS($E71-$F71)&gt;=($H71-$I71)*0.7),"大陰線▼",IF(AND(MIN($F71,$E71)-$I71&gt;=($H71-$I71)*0.5,$H71-MAX($F71,$E71)&lt;=($H71-$I71)*0.2),"長い下ヒゲ(反発警戒)","通常"))))</f>
        <v/>
      </c>
      <c r="AP71" s="625">
        <f>IF($AO71="上ヒゲ陰線▼",2,IF($AO71="大陰線▼",2,IF($AO71="長い下ヒゲ(反発警戒)",-2,0)))</f>
        <v/>
      </c>
      <c r="AQ71">
        <f>IF(C71&lt;&gt;"",始値!F55,"")</f>
        <v/>
      </c>
      <c r="AR71">
        <f>IF(C71&lt;&gt;"",高値!F55,"")</f>
        <v/>
      </c>
      <c r="AS71">
        <f>IF(C71&lt;&gt;"",安値!F55,"")</f>
        <v/>
      </c>
      <c r="AT71">
        <f>IF(OR(C71="",AQ71="",AR71="",AS71="",AR71-AS71&lt;=0),"-",IF(AND(AR71-MAX(G71,AQ71)&gt;=ABS(G71-AQ71)*2,MIN(G71,AQ71)-AS71&lt;=ABS(G71-AQ71)*0.5,ABS(G71-AQ71)&gt;0),"上ヒゲ陰線▼",IF(AND(G71&lt;AQ71,ABS(G71-AQ71)&gt;=(AR71-AS71)*0.7),"大陰線▼",IF(AND(MIN(G71,AQ71)-AS71&gt;=(AR71-AS71)*0.5,AR71-MAX(G71,AQ71)&lt;=(AR71-AS71)*0.2),"長い下ヒゲ(反発)","通常"))))</f>
        <v/>
      </c>
      <c r="AU71">
        <f>IF(AT71="上ヒゲ陰線▼",2,IF(AT71="大陰線▼",2,IF(AT71="長い下ヒゲ(反発)",-2,0)))</f>
        <v/>
      </c>
    </row>
    <row r="72" ht="14.25" customHeight="1" s="574">
      <c r="A72" s="352">
        <f>IF(銘柄管理!B69&lt;&gt;"",HYPERLINK("https://kabutan.jp/stock/?code="&amp;銘柄管理!B69,"株探"),"")</f>
        <v/>
      </c>
      <c r="B72" s="225" t="n"/>
      <c r="C72" s="225">
        <f>IF(銘柄管理!B69="","",銘柄管理!B69)</f>
        <v/>
      </c>
      <c r="D72" s="225">
        <f>IF(銘柄管理!C69="","",銘柄管理!C69)</f>
        <v/>
      </c>
      <c r="E72" s="353">
        <f>IF(C72&lt;&gt;"",_xll.RssMarket(C72,"現在値"),"")</f>
        <v/>
      </c>
      <c r="F72" s="353">
        <f>IF(C72&lt;&gt;"",_xll.RssMarket(C72,"始値"),"")</f>
        <v/>
      </c>
      <c r="G72" s="225">
        <f>IF(C72&lt;&gt;"",終値!F69,"")</f>
        <v/>
      </c>
      <c r="H72" s="353">
        <f>IF(C72&lt;&gt;"",_xll.RssMarket(C72,"高値"),"")</f>
        <v/>
      </c>
      <c r="I72" s="353">
        <f>IF(C72&lt;&gt;"",_xll.RssMarket(C72,"安値"),"")</f>
        <v/>
      </c>
      <c r="J72" s="353">
        <f>IF(C72&lt;&gt;"",_xll.RssMarket(C72,"出来高"),"")</f>
        <v/>
      </c>
      <c r="K72" s="353">
        <f>IF(C72&lt;&gt;"",_xll.RssMarket(C72,"年初来高値"),"")</f>
        <v/>
      </c>
      <c r="L72" s="626">
        <f>IF(AND(E72&lt;&gt;"",K72&lt;&gt;"",K72&lt;&gt;0),(E72-K72)/K72*100,"")</f>
        <v/>
      </c>
      <c r="M72" s="353">
        <f>IF(C72&lt;&gt;"",IFERROR(AVERAGE(出来高!E69:I69),""),"")</f>
        <v/>
      </c>
      <c r="N72" s="353">
        <f>IF(C72&lt;&gt;"",IFERROR(AVERAGE(出来高!E69:AC69),""),"")</f>
        <v/>
      </c>
      <c r="O72" s="627">
        <f>IF(AND(J72&lt;&gt;"",M72&lt;&gt;"",M72&lt;&gt;0),J72/M72,"")</f>
        <v/>
      </c>
      <c r="P72" s="225">
        <f>IF(O72="","",IF(O72&gt;=2,"急増↑↑",IF(O72&gt;=1.5,"増加↑",IF(O72&gt;=1,"普通→","減少↓"))))</f>
        <v/>
      </c>
      <c r="Q72" s="225">
        <f>IF(E72="","",IF(AND(E72&lt;G72,O72&gt;=1.5),"売り▼",IF(E72&gt;G72,"様子見▲","中立→")))</f>
        <v/>
      </c>
      <c r="R72" s="353">
        <f>IF(E72&lt;&gt;"",ROUND(E72*0.92,0),"")</f>
        <v/>
      </c>
      <c r="S72" s="353">
        <f>IF(E72&lt;&gt;"",ROUND(E72*1.04,0),"")</f>
        <v/>
      </c>
      <c r="T72" s="345">
        <f>IF(C72="","",IFERROR(IF(W72&gt;=70,3,IF(W72&gt;=60,2,IF(W72&gt;=50,1,0)))+IF(X72&lt;0,2,0)+IF(AD72="下降トレンド▼",3,IF(AD72="もみ合い→",1,0))+IF(V72="年初来安値圏●",3,IF(V72="安値圏",2,0))+IF(Q72="売り▼",2,0)+IF(P72="急増↑↑",2,IF(P72="増加↑",1,0))+IF(Z72&lt;0,1,0)+IF(L72&lt;=-30,2,IF(L72&lt;=-15,1,0))+IF(AE72="25日戻り売り★",2,IF(AE72="5日戻り売り○",1,0))+N(AL72)+N(AP72)+N(AU72),0))</f>
        <v/>
      </c>
      <c r="U72" s="225">
        <f>IF(T72="","",IF(AND(T72&gt;=3,O72&gt;=1.5),"有効",IF(T72&gt;=3,"要確認","除外")))</f>
        <v/>
      </c>
      <c r="V72" s="225">
        <f>IF(AND(I72&lt;&gt;"",K72&lt;&gt;""),IF(I72&lt;=K72*0.6,"年初来安値圏●",IF(I72&lt;=K72*0.75,"安値圏","通常")),"")</f>
        <v/>
      </c>
      <c r="W72" s="628">
        <f t="array" ref="W72">IFERROR(100-100/(1+SUMPRODUCT((終値!F69:R69&gt;終値!G69:S69)*(終値!F69:R69-終値!G69:S69))/SUMPRODUCT((終値!F69:R69&lt;終値!G69:S69)*(終値!G69:S69-終値!F69:R69))),50)</f>
        <v/>
      </c>
      <c r="X72" s="357">
        <f>IF(C72&lt;&gt;"",IFERROR(SUMPRODUCT(終値!E69:P69,{0.154,0.132,0.113,0.097,0.083,0.071,0.061,0.052,0.045,0.038,0.033,0.028})/SUMPRODUCT({0.154,0.132,0.113,0.097,0.083,0.071,0.061,0.052,0.045,0.038,0.033,0.028})-SUMPRODUCT(終値!E69:AD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2" s="225">
        <f>IF(AF72="","",AF72&amp;" | "&amp;AD72&amp;IF(AE72&lt;&gt;"なし"," "&amp;AE72,"")&amp;IF(X72&lt;0," MACD-"," MACD+")&amp;" RSI:"&amp;TEXT(W72,"0.0")&amp;IF(W72&gt;=70," [過熱]",IF(W72&lt;=30," [売られ過ぎ]",""))&amp;" 前日比:"&amp;TEXT(Z72,"+0.0;-0.0;0.0")&amp;"%"&amp;IF(V72="年初来安値圏●"," [年初来安値圏]",IF(V72="安値圏"," [安値圏]",""))&amp;IF(OR(AO72="通常",AO72="-"),""," ["&amp;AO72&amp;"]")&amp;IF(OR(AT72="通常",AT72="-"),"","前日["&amp;AT72&amp;"]")&amp;" ["&amp;T72&amp;"点]")</f>
        <v/>
      </c>
      <c r="Z72" s="629">
        <f>IF(AND(E72&lt;&gt;"",G72&lt;&gt;"",G72&lt;&gt;0),(E72-G72)/G72*100,"")</f>
        <v/>
      </c>
      <c r="AA72" s="225">
        <f>IF(OR(C72="",E72="",E72=0),"",IF(E72&gt;G72,"上昇▲",IF(E72&lt;G72,"下落▼","横ばい→")))</f>
        <v/>
      </c>
      <c r="AB72" s="353">
        <f>IF(OR(C72="",C72="TOPX",終値!E69=""),"",IFERROR(((終値!E69*0.333)+(終値!F69*0.222)+(終値!G69*0.148)+(終値!H69*0.099)+(終値!I69*0.066))/(0.333+0.222+0.148+0.099+0.066),""))</f>
        <v/>
      </c>
      <c r="AC72" s="353">
        <f>IF(OR(C72="",C72="TOPX",終値!E69=""),"",IFERROR(SUMPRODUCT((終値!E69:AC69)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2" s="225">
        <f>IF(OR(C72="",AB72="",AC72="",AB72=0,AC72=0),"",IF(AND(E72&gt;AB72,AB72&gt;AC72),"パーフェクト▲",IF(E72&gt;AC72,"上昇トレンド▲",IF(AND(E72&lt;AB72,AB72&lt;AC72),"下降トレンド▼","もみ合い→"))))</f>
        <v/>
      </c>
      <c r="AE72" s="225">
        <f>IF(OR(C72="",AB72="",AC72=""),"",IF(AND(ABS(E72-AC72)/AC72&lt;=0.02,E72&lt;AC72),"25日戻り売り★",IF(AND(ABS(E72-AB72)/AB72&lt;=0.01,E72&lt;AB72),"5日戻り売り○","なし")))</f>
        <v/>
      </c>
      <c r="AF72">
        <f>IF(T72="","",IF(銘柄管理!$F$5="上昇▲",IF(AND(AD72="下降トレンド▼",OR(AE72="25日戻り売り★",AE72="5日戻り売り○")),"★逆張り売り",IF(AND(AD72="もみ合い→",OR(AE72="25日戻り売り★",AE72="5日戻り売り○")),"○逆張り売り",IF(W72&gt;=70,IF(Z72&lt;0,"◎反落確認","△過熱・様子見"),"相場上昇・見送り"))),IF(AND(T72&gt;=12,AD72="下降トレンド▼"),"★強い売り",IF(T72&gt;=12,"★強い売り",IF(AND(T72&gt;=8,OR(AE72="25日戻り売り★",AE72="5日戻り売り○")),"◎戻り売り",IF(T72&gt;=10,"○売り候補",IF(T72&gt;=6,"△注目",IF(T72&gt;=3,"様子見","見送り"))))))))</f>
        <v/>
      </c>
      <c r="AG72">
        <f>IF(AND(T72&gt;=7,C72&lt;&gt;""),T72,0)</f>
        <v/>
      </c>
      <c r="AH72">
        <f>IF(AG72&gt;0,AG72*10000-ROW(A72),0)</f>
        <v/>
      </c>
      <c r="AI72" s="623">
        <f t="array" ref="AI72">IF(C72="","",IFERROR((INDEX(終値!$E:$E,MATCH(TEXT(C72,"0"),終値!$A:$A,0))-INDEX(終値!$E:$BL,MATCH(TEXT(C72,"0"),終値!$A:$A,0),$AN$2))/INDEX(終値!$E:$BL,MATCH(TEXT(C72,"0"),終値!$A:$A,0),$AN$2)*100,""))</f>
        <v/>
      </c>
      <c r="AJ72" s="623">
        <f t="array" ref="AJ72">IFERROR((終値!$E$5-INDEX(終値!$E$5:$BL$5,1,$AN$2))/INDEX(終値!$E$5:$BL$5,1,$AN$2)*100,"")</f>
        <v/>
      </c>
      <c r="AK72" s="624">
        <f>IF(OR(AI72="",AJ72=""),"",AI72-AJ72)</f>
        <v/>
      </c>
      <c r="AL72" s="394">
        <f>IF(AK72="","",IF(AK72&lt;-5,3,IF(AK72&lt;0,1,IF(AK72&lt;3,-1,-2))))</f>
        <v/>
      </c>
      <c r="AO72" s="398">
        <f>IF(OR($C72="",$E72="",$F72="",$H72="",$I72="",$H72-$I72&lt;=0),"-",IF(AND($H72-MAX($F72,$E72)&gt;=ABS($E72-$F72)*2,MIN($F72,$E72)-$I72&lt;=ABS($E72-$F72)*0.5,ABS($E72-$F72)&gt;0),"上ヒゲ陰線▼",IF(AND($E72&lt;$F72,ABS($E72-$F72)&gt;=($H72-$I72)*0.7),"大陰線▼",IF(AND(MIN($F72,$E72)-$I72&gt;=($H72-$I72)*0.5,$H72-MAX($F72,$E72)&lt;=($H72-$I72)*0.2),"長い下ヒゲ(反発警戒)","通常"))))</f>
        <v/>
      </c>
      <c r="AP72" s="625">
        <f>IF($AO72="上ヒゲ陰線▼",2,IF($AO72="大陰線▼",2,IF($AO72="長い下ヒゲ(反発警戒)",-2,0)))</f>
        <v/>
      </c>
      <c r="AQ72">
        <f>IF(C72&lt;&gt;"",始値!F69,"")</f>
        <v/>
      </c>
      <c r="AR72">
        <f>IF(C72&lt;&gt;"",高値!F69,"")</f>
        <v/>
      </c>
      <c r="AS72">
        <f>IF(C72&lt;&gt;"",安値!F69,"")</f>
        <v/>
      </c>
      <c r="AT72">
        <f>IF(OR(C72="",AQ72="",AR72="",AS72="",AR72-AS72&lt;=0),"-",IF(AND(AR72-MAX(G72,AQ72)&gt;=ABS(G72-AQ72)*2,MIN(G72,AQ72)-AS72&lt;=ABS(G72-AQ72)*0.5,ABS(G72-AQ72)&gt;0),"上ヒゲ陰線▼",IF(AND(G72&lt;AQ72,ABS(G72-AQ72)&gt;=(AR72-AS72)*0.7),"大陰線▼",IF(AND(MIN(G72,AQ72)-AS72&gt;=(AR72-AS72)*0.5,AR72-MAX(G72,AQ72)&lt;=(AR72-AS72)*0.2),"長い下ヒゲ(反発)","通常"))))</f>
        <v/>
      </c>
      <c r="AU72">
        <f>IF(AT72="上ヒゲ陰線▼",2,IF(AT72="大陰線▼",2,IF(AT72="長い下ヒゲ(反発)",-2,0)))</f>
        <v/>
      </c>
    </row>
    <row r="73" ht="14.25" customHeight="1" s="574">
      <c r="A73" s="344">
        <f>IF(銘柄管理!B77&lt;&gt;"",HYPERLINK("https://kabutan.jp/stock/?code="&amp;銘柄管理!B77,"株探"),"")</f>
        <v/>
      </c>
      <c r="B73" s="345" t="n"/>
      <c r="C73" s="345">
        <f>IF(銘柄管理!B77="","",銘柄管理!B77)</f>
        <v/>
      </c>
      <c r="D73" s="345">
        <f>IF(銘柄管理!C77="","",銘柄管理!C77)</f>
        <v/>
      </c>
      <c r="E73" s="346">
        <f>IF(C73&lt;&gt;"",_xll.RssMarket(C73,"現在値"),"")</f>
        <v/>
      </c>
      <c r="F73" s="346">
        <f>IF(C73&lt;&gt;"",_xll.RssMarket(C73,"始値"),"")</f>
        <v/>
      </c>
      <c r="G73" s="345">
        <f>IF(C73&lt;&gt;"",終値!F77,"")</f>
        <v/>
      </c>
      <c r="H73" s="346">
        <f>IF(C73&lt;&gt;"",_xll.RssMarket(C73,"高値"),"")</f>
        <v/>
      </c>
      <c r="I73" s="346">
        <f>IF(C73&lt;&gt;"",_xll.RssMarket(C73,"安値"),"")</f>
        <v/>
      </c>
      <c r="J73" s="346">
        <f>IF(C73&lt;&gt;"",_xll.RssMarket(C73,"出来高"),"")</f>
        <v/>
      </c>
      <c r="K73" s="346">
        <f>IF(C73&lt;&gt;"",_xll.RssMarket(C73,"年初来高値"),"")</f>
        <v/>
      </c>
      <c r="L73" s="619">
        <f>IF(AND(E73&lt;&gt;"",K73&lt;&gt;"",K73&lt;&gt;0),(E73-K73)/K73*100,"")</f>
        <v/>
      </c>
      <c r="M73" s="346">
        <f>IF(C73&lt;&gt;"",IFERROR(AVERAGE(出来高!E77:I77),""),"")</f>
        <v/>
      </c>
      <c r="N73" s="346">
        <f>IF(C73&lt;&gt;"",IFERROR(AVERAGE(出来高!E77:AC77),""),"")</f>
        <v/>
      </c>
      <c r="O73" s="620">
        <f>IF(AND(J73&lt;&gt;"",M73&lt;&gt;"",M73&lt;&gt;0),J73/M73,"")</f>
        <v/>
      </c>
      <c r="P73" s="345">
        <f>IF(O73="","",IF(O73&gt;=2,"急増↑↑",IF(O73&gt;=1.5,"増加↑",IF(O73&gt;=1,"普通→","減少↓"))))</f>
        <v/>
      </c>
      <c r="Q73" s="345">
        <f>IF(E73="","",IF(AND(E73&lt;G73,O73&gt;=1.5),"売り▼",IF(E73&gt;G73,"様子見▲","中立→")))</f>
        <v/>
      </c>
      <c r="R73" s="346">
        <f>IF(E73&lt;&gt;"",ROUND(E73*0.92,0),"")</f>
        <v/>
      </c>
      <c r="S73" s="346">
        <f>IF(E73&lt;&gt;"",ROUND(E73*1.04,0),"")</f>
        <v/>
      </c>
      <c r="T73" s="345">
        <f>IF(C73="","",IFERROR(IF(W73&gt;=70,3,IF(W73&gt;=60,2,IF(W73&gt;=50,1,0)))+IF(X73&lt;0,2,0)+IF(AD73="下降トレンド▼",3,IF(AD73="もみ合い→",1,0))+IF(V73="年初来安値圏●",3,IF(V73="安値圏",2,0))+IF(Q73="売り▼",2,0)+IF(P73="急増↑↑",2,IF(P73="増加↑",1,0))+IF(Z73&lt;0,1,0)+IF(L73&lt;=-30,2,IF(L73&lt;=-15,1,0))+IF(AE73="25日戻り売り★",2,IF(AE73="5日戻り売り○",1,0))+N(AL73)+N(AP73)+N(AU73),0))</f>
        <v/>
      </c>
      <c r="U73" s="345">
        <f>IF(T73="","",IF(AND(T73&gt;=3,O73&gt;=1.5),"有効",IF(T73&gt;=3,"要確認","除外")))</f>
        <v/>
      </c>
      <c r="V73" s="345">
        <f>IF(AND(I73&lt;&gt;"",K73&lt;&gt;""),IF(I73&lt;=K73*0.6,"年初来安値圏●",IF(I73&lt;=K73*0.75,"安値圏","通常")),"")</f>
        <v/>
      </c>
      <c r="W73" s="621">
        <f t="array" ref="W73">IFERROR(100-100/(1+SUMPRODUCT((終値!F77:R77&gt;終値!G77:S77)*(終値!F77:R77-終値!G77:S77))/SUMPRODUCT((終値!F77:R77&lt;終値!G77:S77)*(終値!G77:S77-終値!F77:R77))),50)</f>
        <v/>
      </c>
      <c r="X73" s="350">
        <f>IF(C73&lt;&gt;"",IFERROR(SUMPRODUCT(終値!E77:P77,{0.154,0.132,0.113,0.097,0.083,0.071,0.061,0.052,0.045,0.038,0.033,0.028})/SUMPRODUCT({0.154,0.132,0.113,0.097,0.083,0.071,0.061,0.052,0.045,0.038,0.033,0.028})-SUMPRODUCT(終値!E77:AD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3" s="345">
        <f>IF(AF73="","",AF73&amp;" | "&amp;AD73&amp;IF(AE73&lt;&gt;"なし"," "&amp;AE73,"")&amp;IF(X73&lt;0," MACD-"," MACD+")&amp;" RSI:"&amp;TEXT(W73,"0.0")&amp;IF(W73&gt;=70," [過熱]",IF(W73&lt;=30," [売られ過ぎ]",""))&amp;" 前日比:"&amp;TEXT(Z73,"+0.0;-0.0;0.0")&amp;"%"&amp;IF(V73="年初来安値圏●"," [年初来安値圏]",IF(V73="安値圏"," [安値圏]",""))&amp;IF(OR(AO73="通常",AO73="-"),""," ["&amp;AO73&amp;"]")&amp;IF(OR(AT73="通常",AT73="-"),"","前日["&amp;AT73&amp;"]")&amp;" ["&amp;T73&amp;"点]")</f>
        <v/>
      </c>
      <c r="Z73" s="622">
        <f>IF(AND(E73&lt;&gt;"",G73&lt;&gt;"",G73&lt;&gt;0),(E73-G73)/G73*100,"")</f>
        <v/>
      </c>
      <c r="AA73" s="345">
        <f>IF(OR(C73="",E73="",E73=0),"",IF(E73&gt;G73,"上昇▲",IF(E73&lt;G73,"下落▼","横ばい→")))</f>
        <v/>
      </c>
      <c r="AB73" s="346">
        <f>IF(OR(C73="",C73="TOPX",終値!E77=""),"",IFERROR(((終値!E77*0.333)+(終値!F77*0.222)+(終値!G77*0.148)+(終値!H77*0.099)+(終値!I77*0.066))/(0.333+0.222+0.148+0.099+0.066),""))</f>
        <v/>
      </c>
      <c r="AC73" s="346">
        <f>IF(OR(C73="",C73="TOPX",終値!E77=""),"",IFERROR(SUMPRODUCT((終値!E77:AC77)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3" s="345">
        <f>IF(OR(C73="",AB73="",AC73="",AB73=0,AC73=0),"",IF(AND(E73&gt;AB73,AB73&gt;AC73),"パーフェクト▲",IF(E73&gt;AC73,"上昇トレンド▲",IF(AND(E73&lt;AB73,AB73&lt;AC73),"下降トレンド▼","もみ合い→"))))</f>
        <v/>
      </c>
      <c r="AE73" s="345">
        <f>IF(OR(C73="",AB73="",AC73=""),"",IF(AND(ABS(E73-AC73)/AC73&lt;=0.02,E73&lt;AC73),"25日戻り売り★",IF(AND(ABS(E73-AB73)/AB73&lt;=0.01,E73&lt;AB73),"5日戻り売り○","なし")))</f>
        <v/>
      </c>
      <c r="AF73">
        <f>IF(T73="","",IF(銘柄管理!$F$5="上昇▲",IF(AND(AD73="下降トレンド▼",OR(AE73="25日戻り売り★",AE73="5日戻り売り○")),"★逆張り売り",IF(AND(AD73="もみ合い→",OR(AE73="25日戻り売り★",AE73="5日戻り売り○")),"○逆張り売り",IF(W73&gt;=70,IF(Z73&lt;0,"◎反落確認","△過熱・様子見"),"相場上昇・見送り"))),IF(AND(T73&gt;=12,AD73="下降トレンド▼"),"★強い売り",IF(T73&gt;=12,"★強い売り",IF(AND(T73&gt;=8,OR(AE73="25日戻り売り★",AE73="5日戻り売り○")),"◎戻り売り",IF(T73&gt;=10,"○売り候補",IF(T73&gt;=6,"△注目",IF(T73&gt;=3,"様子見","見送り"))))))))</f>
        <v/>
      </c>
      <c r="AG73">
        <f>IF(AND(T73&gt;=7,C73&lt;&gt;""),T73,0)</f>
        <v/>
      </c>
      <c r="AH73">
        <f>IF(AG73&gt;0,AG73*10000-ROW(A73),0)</f>
        <v/>
      </c>
      <c r="AI73" s="623">
        <f t="array" ref="AI73">IF(C73="","",IFERROR((INDEX(終値!$E:$E,MATCH(TEXT(C73,"0"),終値!$A:$A,0))-INDEX(終値!$E:$BL,MATCH(TEXT(C73,"0"),終値!$A:$A,0),$AN$2))/INDEX(終値!$E:$BL,MATCH(TEXT(C73,"0"),終値!$A:$A,0),$AN$2)*100,""))</f>
        <v/>
      </c>
      <c r="AJ73" s="623">
        <f t="array" ref="AJ73">IFERROR((終値!$E$5-INDEX(終値!$E$5:$BL$5,1,$AN$2))/INDEX(終値!$E$5:$BL$5,1,$AN$2)*100,"")</f>
        <v/>
      </c>
      <c r="AK73" s="624">
        <f>IF(OR(AI73="",AJ73=""),"",AI73-AJ73)</f>
        <v/>
      </c>
      <c r="AL73" s="394">
        <f>IF(AK73="","",IF(AK73&lt;-5,3,IF(AK73&lt;0,1,IF(AK73&lt;3,-1,-2))))</f>
        <v/>
      </c>
      <c r="AO73" s="398">
        <f>IF(OR($C73="",$E73="",$F73="",$H73="",$I73="",$H73-$I73&lt;=0),"-",IF(AND($H73-MAX($F73,$E73)&gt;=ABS($E73-$F73)*2,MIN($F73,$E73)-$I73&lt;=ABS($E73-$F73)*0.5,ABS($E73-$F73)&gt;0),"上ヒゲ陰線▼",IF(AND($E73&lt;$F73,ABS($E73-$F73)&gt;=($H73-$I73)*0.7),"大陰線▼",IF(AND(MIN($F73,$E73)-$I73&gt;=($H73-$I73)*0.5,$H73-MAX($F73,$E73)&lt;=($H73-$I73)*0.2),"長い下ヒゲ(反発警戒)","通常"))))</f>
        <v/>
      </c>
      <c r="AP73" s="625">
        <f>IF($AO73="上ヒゲ陰線▼",2,IF($AO73="大陰線▼",2,IF($AO73="長い下ヒゲ(反発警戒)",-2,0)))</f>
        <v/>
      </c>
      <c r="AQ73">
        <f>IF(C73&lt;&gt;"",始値!F77,"")</f>
        <v/>
      </c>
      <c r="AR73">
        <f>IF(C73&lt;&gt;"",高値!F77,"")</f>
        <v/>
      </c>
      <c r="AS73">
        <f>IF(C73&lt;&gt;"",安値!F77,"")</f>
        <v/>
      </c>
      <c r="AT73">
        <f>IF(OR(C73="",AQ73="",AR73="",AS73="",AR73-AS73&lt;=0),"-",IF(AND(AR73-MAX(G73,AQ73)&gt;=ABS(G73-AQ73)*2,MIN(G73,AQ73)-AS73&lt;=ABS(G73-AQ73)*0.5,ABS(G73-AQ73)&gt;0),"上ヒゲ陰線▼",IF(AND(G73&lt;AQ73,ABS(G73-AQ73)&gt;=(AR73-AS73)*0.7),"大陰線▼",IF(AND(MIN(G73,AQ73)-AS73&gt;=(AR73-AS73)*0.5,AR73-MAX(G73,AQ73)&lt;=(AR73-AS73)*0.2),"長い下ヒゲ(反発)","通常"))))</f>
        <v/>
      </c>
      <c r="AU73">
        <f>IF(AT73="上ヒゲ陰線▼",2,IF(AT73="大陰線▼",2,IF(AT73="長い下ヒゲ(反発)",-2,0)))</f>
        <v/>
      </c>
    </row>
    <row r="74" ht="14.25" customHeight="1" s="574">
      <c r="A74" s="352">
        <f>IF(銘柄管理!B89&lt;&gt;"",HYPERLINK("https://kabutan.jp/stock/?code="&amp;銘柄管理!B89,"株探"),"")</f>
        <v/>
      </c>
      <c r="B74" s="225" t="n"/>
      <c r="C74" s="225">
        <f>IF(銘柄管理!B89="","",銘柄管理!B89)</f>
        <v/>
      </c>
      <c r="D74" s="225">
        <f>IF(銘柄管理!C89="","",銘柄管理!C89)</f>
        <v/>
      </c>
      <c r="E74" s="353">
        <f>IF(C74&lt;&gt;"",_xll.RssMarket(C74,"現在値"),"")</f>
        <v/>
      </c>
      <c r="F74" s="353">
        <f>IF(C74&lt;&gt;"",_xll.RssMarket(C74,"始値"),"")</f>
        <v/>
      </c>
      <c r="G74" s="225">
        <f>IF(C74&lt;&gt;"",終値!F89,"")</f>
        <v/>
      </c>
      <c r="H74" s="353">
        <f>IF(C74&lt;&gt;"",_xll.RssMarket(C74,"高値"),"")</f>
        <v/>
      </c>
      <c r="I74" s="353">
        <f>IF(C74&lt;&gt;"",_xll.RssMarket(C74,"安値"),"")</f>
        <v/>
      </c>
      <c r="J74" s="353">
        <f>IF(C74&lt;&gt;"",_xll.RssMarket(C74,"出来高"),"")</f>
        <v/>
      </c>
      <c r="K74" s="353">
        <f>IF(C74&lt;&gt;"",_xll.RssMarket(C74,"年初来高値"),"")</f>
        <v/>
      </c>
      <c r="L74" s="626">
        <f>IF(AND(E74&lt;&gt;"",K74&lt;&gt;"",K74&lt;&gt;0),(E74-K74)/K74*100,"")</f>
        <v/>
      </c>
      <c r="M74" s="353">
        <f>IF(C74&lt;&gt;"",IFERROR(AVERAGE(出来高!E89:I89),""),"")</f>
        <v/>
      </c>
      <c r="N74" s="353">
        <f>IF(C74&lt;&gt;"",IFERROR(AVERAGE(出来高!E89:AC89),""),"")</f>
        <v/>
      </c>
      <c r="O74" s="627">
        <f>IF(AND(J74&lt;&gt;"",M74&lt;&gt;"",M74&lt;&gt;0),J74/M74,"")</f>
        <v/>
      </c>
      <c r="P74" s="225">
        <f>IF(O74="","",IF(O74&gt;=2,"急増↑↑",IF(O74&gt;=1.5,"増加↑",IF(O74&gt;=1,"普通→","減少↓"))))</f>
        <v/>
      </c>
      <c r="Q74" s="225">
        <f>IF(E74="","",IF(AND(E74&lt;G74,O74&gt;=1.5),"売り▼",IF(E74&gt;G74,"様子見▲","中立→")))</f>
        <v/>
      </c>
      <c r="R74" s="353">
        <f>IF(E74&lt;&gt;"",ROUND(E74*0.92,0),"")</f>
        <v/>
      </c>
      <c r="S74" s="353">
        <f>IF(E74&lt;&gt;"",ROUND(E74*1.04,0),"")</f>
        <v/>
      </c>
      <c r="T74" s="345">
        <f>IF(C74="","",IFERROR(IF(W74&gt;=70,3,IF(W74&gt;=60,2,IF(W74&gt;=50,1,0)))+IF(X74&lt;0,2,0)+IF(AD74="下降トレンド▼",3,IF(AD74="もみ合い→",1,0))+IF(V74="年初来安値圏●",3,IF(V74="安値圏",2,0))+IF(Q74="売り▼",2,0)+IF(P74="急増↑↑",2,IF(P74="増加↑",1,0))+IF(Z74&lt;0,1,0)+IF(L74&lt;=-30,2,IF(L74&lt;=-15,1,0))+IF(AE74="25日戻り売り★",2,IF(AE74="5日戻り売り○",1,0))+N(AL74)+N(AP74)+N(AU74),0))</f>
        <v/>
      </c>
      <c r="U74" s="225">
        <f>IF(T74="","",IF(AND(T74&gt;=3,O74&gt;=1.5),"有効",IF(T74&gt;=3,"要確認","除外")))</f>
        <v/>
      </c>
      <c r="V74" s="225">
        <f>IF(AND(I74&lt;&gt;"",K74&lt;&gt;""),IF(I74&lt;=K74*0.6,"年初来安値圏●",IF(I74&lt;=K74*0.75,"安値圏","通常")),"")</f>
        <v/>
      </c>
      <c r="W74" s="628">
        <f t="array" ref="W74">IFERROR(100-100/(1+SUMPRODUCT((終値!F89:R89&gt;終値!G89:S89)*(終値!F89:R89-終値!G89:S89))/SUMPRODUCT((終値!F89:R89&lt;終値!G89:S89)*(終値!G89:S89-終値!F89:R89))),50)</f>
        <v/>
      </c>
      <c r="X74" s="357">
        <f>IF(C74&lt;&gt;"",IFERROR(SUMPRODUCT(終値!E89:P89,{0.154,0.132,0.113,0.097,0.083,0.071,0.061,0.052,0.045,0.038,0.033,0.028})/SUMPRODUCT({0.154,0.132,0.113,0.097,0.083,0.071,0.061,0.052,0.045,0.038,0.033,0.028})-SUMPRODUCT(終値!E89:AD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4" s="225">
        <f>IF(AF74="","",AF74&amp;" | "&amp;AD74&amp;IF(AE74&lt;&gt;"なし"," "&amp;AE74,"")&amp;IF(X74&lt;0," MACD-"," MACD+")&amp;" RSI:"&amp;TEXT(W74,"0.0")&amp;IF(W74&gt;=70," [過熱]",IF(W74&lt;=30," [売られ過ぎ]",""))&amp;" 前日比:"&amp;TEXT(Z74,"+0.0;-0.0;0.0")&amp;"%"&amp;IF(V74="年初来安値圏●"," [年初来安値圏]",IF(V74="安値圏"," [安値圏]",""))&amp;IF(OR(AO74="通常",AO74="-"),""," ["&amp;AO74&amp;"]")&amp;IF(OR(AT74="通常",AT74="-"),"","前日["&amp;AT74&amp;"]")&amp;" ["&amp;T74&amp;"点]")</f>
        <v/>
      </c>
      <c r="Z74" s="629">
        <f>IF(AND(E74&lt;&gt;"",G74&lt;&gt;"",G74&lt;&gt;0),(E74-G74)/G74*100,"")</f>
        <v/>
      </c>
      <c r="AA74" s="225">
        <f>IF(OR(C74="",E74="",E74=0),"",IF(E74&gt;G74,"上昇▲",IF(E74&lt;G74,"下落▼","横ばい→")))</f>
        <v/>
      </c>
      <c r="AB74" s="353">
        <f>IF(OR(C74="",C74="TOPX",終値!E89=""),"",IFERROR(((終値!E89*0.333)+(終値!F89*0.222)+(終値!G89*0.148)+(終値!H89*0.099)+(終値!I89*0.066))/(0.333+0.222+0.148+0.099+0.066),""))</f>
        <v/>
      </c>
      <c r="AC74" s="353">
        <f>IF(OR(C74="",C74="TOPX",終値!E89=""),"",IFERROR(SUMPRODUCT((終値!E89:AC89)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4" s="225">
        <f>IF(OR(C74="",AB74="",AC74="",AB74=0,AC74=0),"",IF(AND(E74&gt;AB74,AB74&gt;AC74),"パーフェクト▲",IF(E74&gt;AC74,"上昇トレンド▲",IF(AND(E74&lt;AB74,AB74&lt;AC74),"下降トレンド▼","もみ合い→"))))</f>
        <v/>
      </c>
      <c r="AE74" s="225">
        <f>IF(OR(C74="",AB74="",AC74=""),"",IF(AND(ABS(E74-AC74)/AC74&lt;=0.02,E74&lt;AC74),"25日戻り売り★",IF(AND(ABS(E74-AB74)/AB74&lt;=0.01,E74&lt;AB74),"5日戻り売り○","なし")))</f>
        <v/>
      </c>
      <c r="AF74">
        <f>IF(T74="","",IF(銘柄管理!$F$5="上昇▲",IF(AND(AD74="下降トレンド▼",OR(AE74="25日戻り売り★",AE74="5日戻り売り○")),"★逆張り売り",IF(AND(AD74="もみ合い→",OR(AE74="25日戻り売り★",AE74="5日戻り売り○")),"○逆張り売り",IF(W74&gt;=70,IF(Z74&lt;0,"◎反落確認","△過熱・様子見"),"相場上昇・見送り"))),IF(AND(T74&gt;=12,AD74="下降トレンド▼"),"★強い売り",IF(T74&gt;=12,"★強い売り",IF(AND(T74&gt;=8,OR(AE74="25日戻り売り★",AE74="5日戻り売り○")),"◎戻り売り",IF(T74&gt;=10,"○売り候補",IF(T74&gt;=6,"△注目",IF(T74&gt;=3,"様子見","見送り"))))))))</f>
        <v/>
      </c>
      <c r="AG74">
        <f>IF(AND(T74&gt;=7,C74&lt;&gt;""),T74,0)</f>
        <v/>
      </c>
      <c r="AH74">
        <f>IF(AG74&gt;0,AG74*10000-ROW(A74),0)</f>
        <v/>
      </c>
      <c r="AI74" s="623">
        <f t="array" ref="AI74">IF(C74="","",IFERROR((INDEX(終値!$E:$E,MATCH(TEXT(C74,"0"),終値!$A:$A,0))-INDEX(終値!$E:$BL,MATCH(TEXT(C74,"0"),終値!$A:$A,0),$AN$2))/INDEX(終値!$E:$BL,MATCH(TEXT(C74,"0"),終値!$A:$A,0),$AN$2)*100,""))</f>
        <v/>
      </c>
      <c r="AJ74" s="623">
        <f t="array" ref="AJ74">IFERROR((終値!$E$5-INDEX(終値!$E$5:$BL$5,1,$AN$2))/INDEX(終値!$E$5:$BL$5,1,$AN$2)*100,"")</f>
        <v/>
      </c>
      <c r="AK74" s="624">
        <f>IF(OR(AI74="",AJ74=""),"",AI74-AJ74)</f>
        <v/>
      </c>
      <c r="AL74" s="394">
        <f>IF(AK74="","",IF(AK74&lt;-5,3,IF(AK74&lt;0,1,IF(AK74&lt;3,-1,-2))))</f>
        <v/>
      </c>
      <c r="AO74" s="398">
        <f>IF(OR($C74="",$E74="",$F74="",$H74="",$I74="",$H74-$I74&lt;=0),"-",IF(AND($H74-MAX($F74,$E74)&gt;=ABS($E74-$F74)*2,MIN($F74,$E74)-$I74&lt;=ABS($E74-$F74)*0.5,ABS($E74-$F74)&gt;0),"上ヒゲ陰線▼",IF(AND($E74&lt;$F74,ABS($E74-$F74)&gt;=($H74-$I74)*0.7),"大陰線▼",IF(AND(MIN($F74,$E74)-$I74&gt;=($H74-$I74)*0.5,$H74-MAX($F74,$E74)&lt;=($H74-$I74)*0.2),"長い下ヒゲ(反発警戒)","通常"))))</f>
        <v/>
      </c>
      <c r="AP74" s="625">
        <f>IF($AO74="上ヒゲ陰線▼",2,IF($AO74="大陰線▼",2,IF($AO74="長い下ヒゲ(反発警戒)",-2,0)))</f>
        <v/>
      </c>
      <c r="AQ74">
        <f>IF(C74&lt;&gt;"",始値!F89,"")</f>
        <v/>
      </c>
      <c r="AR74">
        <f>IF(C74&lt;&gt;"",高値!F89,"")</f>
        <v/>
      </c>
      <c r="AS74">
        <f>IF(C74&lt;&gt;"",安値!F89,"")</f>
        <v/>
      </c>
      <c r="AT74">
        <f>IF(OR(C74="",AQ74="",AR74="",AS74="",AR74-AS74&lt;=0),"-",IF(AND(AR74-MAX(G74,AQ74)&gt;=ABS(G74-AQ74)*2,MIN(G74,AQ74)-AS74&lt;=ABS(G74-AQ74)*0.5,ABS(G74-AQ74)&gt;0),"上ヒゲ陰線▼",IF(AND(G74&lt;AQ74,ABS(G74-AQ74)&gt;=(AR74-AS74)*0.7),"大陰線▼",IF(AND(MIN(G74,AQ74)-AS74&gt;=(AR74-AS74)*0.5,AR74-MAX(G74,AQ74)&lt;=(AR74-AS74)*0.2),"長い下ヒゲ(反発)","通常"))))</f>
        <v/>
      </c>
      <c r="AU74">
        <f>IF(AT74="上ヒゲ陰線▼",2,IF(AT74="大陰線▼",2,IF(AT74="長い下ヒゲ(反発)",-2,0)))</f>
        <v/>
      </c>
    </row>
    <row r="75" ht="14.25" customHeight="1" s="574">
      <c r="A75" s="344">
        <f>IF(銘柄管理!B97&lt;&gt;"",HYPERLINK("https://kabutan.jp/stock/?code="&amp;銘柄管理!B97,"株探"),"")</f>
        <v/>
      </c>
      <c r="B75" s="345" t="n"/>
      <c r="C75" s="345">
        <f>IF(銘柄管理!B97="","",銘柄管理!B97)</f>
        <v/>
      </c>
      <c r="D75" s="345">
        <f>IF(銘柄管理!C97="","",銘柄管理!C97)</f>
        <v/>
      </c>
      <c r="E75" s="346">
        <f>IF(C75&lt;&gt;"",_xll.RssMarket(C75,"現在値"),"")</f>
        <v/>
      </c>
      <c r="F75" s="346">
        <f>IF(C75&lt;&gt;"",_xll.RssMarket(C75,"始値"),"")</f>
        <v/>
      </c>
      <c r="G75" s="345">
        <f>IF(C75&lt;&gt;"",終値!F97,"")</f>
        <v/>
      </c>
      <c r="H75" s="346">
        <f>IF(C75&lt;&gt;"",_xll.RssMarket(C75,"高値"),"")</f>
        <v/>
      </c>
      <c r="I75" s="346">
        <f>IF(C75&lt;&gt;"",_xll.RssMarket(C75,"安値"),"")</f>
        <v/>
      </c>
      <c r="J75" s="346">
        <f>IF(C75&lt;&gt;"",_xll.RssMarket(C75,"出来高"),"")</f>
        <v/>
      </c>
      <c r="K75" s="346">
        <f>IF(C75&lt;&gt;"",_xll.RssMarket(C75,"年初来高値"),"")</f>
        <v/>
      </c>
      <c r="L75" s="619">
        <f>IF(AND(E75&lt;&gt;"",K75&lt;&gt;"",K75&lt;&gt;0),(E75-K75)/K75*100,"")</f>
        <v/>
      </c>
      <c r="M75" s="346">
        <f>IF(C75&lt;&gt;"",IFERROR(AVERAGE(出来高!E97:I97),""),"")</f>
        <v/>
      </c>
      <c r="N75" s="346">
        <f>IF(C75&lt;&gt;"",IFERROR(AVERAGE(出来高!E97:AC97),""),"")</f>
        <v/>
      </c>
      <c r="O75" s="620">
        <f>IF(AND(J75&lt;&gt;"",M75&lt;&gt;"",M75&lt;&gt;0),J75/M75,"")</f>
        <v/>
      </c>
      <c r="P75" s="345">
        <f>IF(O75="","",IF(O75&gt;=2,"急増↑↑",IF(O75&gt;=1.5,"増加↑",IF(O75&gt;=1,"普通→","減少↓"))))</f>
        <v/>
      </c>
      <c r="Q75" s="345">
        <f>IF(E75="","",IF(AND(E75&lt;G75,O75&gt;=1.5),"売り▼",IF(E75&gt;G75,"様子見▲","中立→")))</f>
        <v/>
      </c>
      <c r="R75" s="346">
        <f>IF(E75&lt;&gt;"",ROUND(E75*0.92,0),"")</f>
        <v/>
      </c>
      <c r="S75" s="346">
        <f>IF(E75&lt;&gt;"",ROUND(E75*1.04,0),"")</f>
        <v/>
      </c>
      <c r="T75" s="345">
        <f>IF(C75="","",IFERROR(IF(W75&gt;=70,3,IF(W75&gt;=60,2,IF(W75&gt;=50,1,0)))+IF(X75&lt;0,2,0)+IF(AD75="下降トレンド▼",3,IF(AD75="もみ合い→",1,0))+IF(V75="年初来安値圏●",3,IF(V75="安値圏",2,0))+IF(Q75="売り▼",2,0)+IF(P75="急増↑↑",2,IF(P75="増加↑",1,0))+IF(Z75&lt;0,1,0)+IF(L75&lt;=-30,2,IF(L75&lt;=-15,1,0))+IF(AE75="25日戻り売り★",2,IF(AE75="5日戻り売り○",1,0))+N(AL75)+N(AP75)+N(AU75),0))</f>
        <v/>
      </c>
      <c r="U75" s="345">
        <f>IF(T75="","",IF(AND(T75&gt;=3,O75&gt;=1.5),"有効",IF(T75&gt;=3,"要確認","除外")))</f>
        <v/>
      </c>
      <c r="V75" s="345">
        <f>IF(AND(I75&lt;&gt;"",K75&lt;&gt;""),IF(I75&lt;=K75*0.6,"年初来安値圏●",IF(I75&lt;=K75*0.75,"安値圏","通常")),"")</f>
        <v/>
      </c>
      <c r="W75" s="621">
        <f t="array" ref="W75">IFERROR(100-100/(1+SUMPRODUCT((終値!F97:R97&gt;終値!G97:S97)*(終値!F97:R97-終値!G97:S97))/SUMPRODUCT((終値!F97:R97&lt;終値!G97:S97)*(終値!G97:S97-終値!F97:R97))),50)</f>
        <v/>
      </c>
      <c r="X75" s="350">
        <f>IF(C75&lt;&gt;"",IFERROR(SUMPRODUCT(終値!E97:P97,{0.154,0.132,0.113,0.097,0.083,0.071,0.061,0.052,0.045,0.038,0.033,0.028})/SUMPRODUCT({0.154,0.132,0.113,0.097,0.083,0.071,0.061,0.052,0.045,0.038,0.033,0.028})-SUMPRODUCT(終値!E97:AD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5" s="345">
        <f>IF(AF75="","",AF75&amp;" | "&amp;AD75&amp;IF(AE75&lt;&gt;"なし"," "&amp;AE75,"")&amp;IF(X75&lt;0," MACD-"," MACD+")&amp;" RSI:"&amp;TEXT(W75,"0.0")&amp;IF(W75&gt;=70," [過熱]",IF(W75&lt;=30," [売られ過ぎ]",""))&amp;" 前日比:"&amp;TEXT(Z75,"+0.0;-0.0;0.0")&amp;"%"&amp;IF(V75="年初来安値圏●"," [年初来安値圏]",IF(V75="安値圏"," [安値圏]",""))&amp;IF(OR(AO75="通常",AO75="-"),""," ["&amp;AO75&amp;"]")&amp;IF(OR(AT75="通常",AT75="-"),"","前日["&amp;AT75&amp;"]")&amp;" ["&amp;T75&amp;"点]")</f>
        <v/>
      </c>
      <c r="Z75" s="622">
        <f>IF(AND(E75&lt;&gt;"",G75&lt;&gt;"",G75&lt;&gt;0),(E75-G75)/G75*100,"")</f>
        <v/>
      </c>
      <c r="AA75" s="345">
        <f>IF(OR(C75="",E75="",E75=0),"",IF(E75&gt;G75,"上昇▲",IF(E75&lt;G75,"下落▼","横ばい→")))</f>
        <v/>
      </c>
      <c r="AB75" s="346">
        <f>IF(OR(C75="",C75="TOPX",終値!E97=""),"",IFERROR(((終値!E97*0.333)+(終値!F97*0.222)+(終値!G97*0.148)+(終値!H97*0.099)+(終値!I97*0.066))/(0.333+0.222+0.148+0.099+0.066),""))</f>
        <v/>
      </c>
      <c r="AC75" s="346">
        <f>IF(OR(C75="",C75="TOPX",終値!E97=""),"",IFERROR(SUMPRODUCT((終値!E97:AC97)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5" s="345">
        <f>IF(OR(C75="",AB75="",AC75="",AB75=0,AC75=0),"",IF(AND(E75&gt;AB75,AB75&gt;AC75),"パーフェクト▲",IF(E75&gt;AC75,"上昇トレンド▲",IF(AND(E75&lt;AB75,AB75&lt;AC75),"下降トレンド▼","もみ合い→"))))</f>
        <v/>
      </c>
      <c r="AE75" s="345">
        <f>IF(OR(C75="",AB75="",AC75=""),"",IF(AND(ABS(E75-AC75)/AC75&lt;=0.02,E75&lt;AC75),"25日戻り売り★",IF(AND(ABS(E75-AB75)/AB75&lt;=0.01,E75&lt;AB75),"5日戻り売り○","なし")))</f>
        <v/>
      </c>
      <c r="AF75">
        <f>IF(T75="","",IF(銘柄管理!$F$5="上昇▲",IF(AND(AD75="下降トレンド▼",OR(AE75="25日戻り売り★",AE75="5日戻り売り○")),"★逆張り売り",IF(AND(AD75="もみ合い→",OR(AE75="25日戻り売り★",AE75="5日戻り売り○")),"○逆張り売り",IF(W75&gt;=70,IF(Z75&lt;0,"◎反落確認","△過熱・様子見"),"相場上昇・見送り"))),IF(AND(T75&gt;=12,AD75="下降トレンド▼"),"★強い売り",IF(T75&gt;=12,"★強い売り",IF(AND(T75&gt;=8,OR(AE75="25日戻り売り★",AE75="5日戻り売り○")),"◎戻り売り",IF(T75&gt;=10,"○売り候補",IF(T75&gt;=6,"△注目",IF(T75&gt;=3,"様子見","見送り"))))))))</f>
        <v/>
      </c>
      <c r="AG75">
        <f>IF(AND(T75&gt;=7,C75&lt;&gt;""),T75,0)</f>
        <v/>
      </c>
      <c r="AH75">
        <f>IF(AG75&gt;0,AG75*10000-ROW(A75),0)</f>
        <v/>
      </c>
      <c r="AI75" s="623">
        <f t="array" ref="AI75">IF(C75="","",IFERROR((INDEX(終値!$E:$E,MATCH(TEXT(C75,"0"),終値!$A:$A,0))-INDEX(終値!$E:$BL,MATCH(TEXT(C75,"0"),終値!$A:$A,0),$AN$2))/INDEX(終値!$E:$BL,MATCH(TEXT(C75,"0"),終値!$A:$A,0),$AN$2)*100,""))</f>
        <v/>
      </c>
      <c r="AJ75" s="623">
        <f t="array" ref="AJ75">IFERROR((終値!$E$5-INDEX(終値!$E$5:$BL$5,1,$AN$2))/INDEX(終値!$E$5:$BL$5,1,$AN$2)*100,"")</f>
        <v/>
      </c>
      <c r="AK75" s="624">
        <f>IF(OR(AI75="",AJ75=""),"",AI75-AJ75)</f>
        <v/>
      </c>
      <c r="AL75" s="394">
        <f>IF(AK75="","",IF(AK75&lt;-5,3,IF(AK75&lt;0,1,IF(AK75&lt;3,-1,-2))))</f>
        <v/>
      </c>
      <c r="AO75" s="398">
        <f>IF(OR($C75="",$E75="",$F75="",$H75="",$I75="",$H75-$I75&lt;=0),"-",IF(AND($H75-MAX($F75,$E75)&gt;=ABS($E75-$F75)*2,MIN($F75,$E75)-$I75&lt;=ABS($E75-$F75)*0.5,ABS($E75-$F75)&gt;0),"上ヒゲ陰線▼",IF(AND($E75&lt;$F75,ABS($E75-$F75)&gt;=($H75-$I75)*0.7),"大陰線▼",IF(AND(MIN($F75,$E75)-$I75&gt;=($H75-$I75)*0.5,$H75-MAX($F75,$E75)&lt;=($H75-$I75)*0.2),"長い下ヒゲ(反発警戒)","通常"))))</f>
        <v/>
      </c>
      <c r="AP75" s="625">
        <f>IF($AO75="上ヒゲ陰線▼",2,IF($AO75="大陰線▼",2,IF($AO75="長い下ヒゲ(反発警戒)",-2,0)))</f>
        <v/>
      </c>
      <c r="AQ75">
        <f>IF(C75&lt;&gt;"",始値!F97,"")</f>
        <v/>
      </c>
      <c r="AR75">
        <f>IF(C75&lt;&gt;"",高値!F97,"")</f>
        <v/>
      </c>
      <c r="AS75">
        <f>IF(C75&lt;&gt;"",安値!F97,"")</f>
        <v/>
      </c>
      <c r="AT75">
        <f>IF(OR(C75="",AQ75="",AR75="",AS75="",AR75-AS75&lt;=0),"-",IF(AND(AR75-MAX(G75,AQ75)&gt;=ABS(G75-AQ75)*2,MIN(G75,AQ75)-AS75&lt;=ABS(G75-AQ75)*0.5,ABS(G75-AQ75)&gt;0),"上ヒゲ陰線▼",IF(AND(G75&lt;AQ75,ABS(G75-AQ75)&gt;=(AR75-AS75)*0.7),"大陰線▼",IF(AND(MIN(G75,AQ75)-AS75&gt;=(AR75-AS75)*0.5,AR75-MAX(G75,AQ75)&lt;=(AR75-AS75)*0.2),"長い下ヒゲ(反発)","通常"))))</f>
        <v/>
      </c>
      <c r="AU75">
        <f>IF(AT75="上ヒゲ陰線▼",2,IF(AT75="大陰線▼",2,IF(AT75="長い下ヒゲ(反発)",-2,0)))</f>
        <v/>
      </c>
    </row>
    <row r="76" ht="14.25" customHeight="1" s="574">
      <c r="A76" s="352">
        <f>IF(銘柄管理!B106&lt;&gt;"",HYPERLINK("https://kabutan.jp/stock/?code="&amp;銘柄管理!B106,"株探"),"")</f>
        <v/>
      </c>
      <c r="B76" s="225" t="n"/>
      <c r="C76" s="225">
        <f>IF(銘柄管理!B106="","",銘柄管理!B106)</f>
        <v/>
      </c>
      <c r="D76" s="225">
        <f>IF(銘柄管理!C106="","",銘柄管理!C106)</f>
        <v/>
      </c>
      <c r="E76" s="353">
        <f>IF(C76&lt;&gt;"",_xll.RssMarket(C76,"現在値"),"")</f>
        <v/>
      </c>
      <c r="F76" s="353">
        <f>IF(C76&lt;&gt;"",_xll.RssMarket(C76,"始値"),"")</f>
        <v/>
      </c>
      <c r="G76" s="225">
        <f>IF(C76&lt;&gt;"",終値!F106,"")</f>
        <v/>
      </c>
      <c r="H76" s="353">
        <f>IF(C76&lt;&gt;"",_xll.RssMarket(C76,"高値"),"")</f>
        <v/>
      </c>
      <c r="I76" s="353">
        <f>IF(C76&lt;&gt;"",_xll.RssMarket(C76,"安値"),"")</f>
        <v/>
      </c>
      <c r="J76" s="353">
        <f>IF(C76&lt;&gt;"",_xll.RssMarket(C76,"出来高"),"")</f>
        <v/>
      </c>
      <c r="K76" s="353">
        <f>IF(C76&lt;&gt;"",_xll.RssMarket(C76,"年初来高値"),"")</f>
        <v/>
      </c>
      <c r="L76" s="626">
        <f>IF(AND(E76&lt;&gt;"",K76&lt;&gt;"",K76&lt;&gt;0),(E76-K76)/K76*100,"")</f>
        <v/>
      </c>
      <c r="M76" s="353">
        <f>IF(C76&lt;&gt;"",IFERROR(AVERAGE(出来高!E106:I106),""),"")</f>
        <v/>
      </c>
      <c r="N76" s="353">
        <f>IF(C76&lt;&gt;"",IFERROR(AVERAGE(出来高!E106:AC106),""),"")</f>
        <v/>
      </c>
      <c r="O76" s="627">
        <f>IF(AND(J76&lt;&gt;"",M76&lt;&gt;"",M76&lt;&gt;0),J76/M76,"")</f>
        <v/>
      </c>
      <c r="P76" s="225">
        <f>IF(O76="","",IF(O76&gt;=2,"急増↑↑",IF(O76&gt;=1.5,"増加↑",IF(O76&gt;=1,"普通→","減少↓"))))</f>
        <v/>
      </c>
      <c r="Q76" s="225">
        <f>IF(E76="","",IF(AND(E76&lt;G76,O76&gt;=1.5),"売り▼",IF(E76&gt;G76,"様子見▲","中立→")))</f>
        <v/>
      </c>
      <c r="R76" s="353">
        <f>IF(E76&lt;&gt;"",ROUND(E76*0.92,0),"")</f>
        <v/>
      </c>
      <c r="S76" s="353">
        <f>IF(E76&lt;&gt;"",ROUND(E76*1.04,0),"")</f>
        <v/>
      </c>
      <c r="T76" s="345">
        <f>IF(C76="","",IFERROR(IF(W76&gt;=70,3,IF(W76&gt;=60,2,IF(W76&gt;=50,1,0)))+IF(X76&lt;0,2,0)+IF(AD76="下降トレンド▼",3,IF(AD76="もみ合い→",1,0))+IF(V76="年初来安値圏●",3,IF(V76="安値圏",2,0))+IF(Q76="売り▼",2,0)+IF(P76="急増↑↑",2,IF(P76="増加↑",1,0))+IF(Z76&lt;0,1,0)+IF(L76&lt;=-30,2,IF(L76&lt;=-15,1,0))+IF(AE76="25日戻り売り★",2,IF(AE76="5日戻り売り○",1,0))+N(AL76)+N(AP76)+N(AU76),0))</f>
        <v/>
      </c>
      <c r="U76" s="225">
        <f>IF(T76="","",IF(AND(T76&gt;=3,O76&gt;=1.5),"有効",IF(T76&gt;=3,"要確認","除外")))</f>
        <v/>
      </c>
      <c r="V76" s="225">
        <f>IF(AND(I76&lt;&gt;"",K76&lt;&gt;""),IF(I76&lt;=K76*0.6,"年初来安値圏●",IF(I76&lt;=K76*0.75,"安値圏","通常")),"")</f>
        <v/>
      </c>
      <c r="W76" s="628">
        <f t="array" ref="W76">IFERROR(100-100/(1+SUMPRODUCT((終値!F106:R106&gt;終値!G106:S106)*(終値!F106:R106-終値!G106:S106))/SUMPRODUCT((終値!F106:R106&lt;終値!G106:S106)*(終値!G106:S106-終値!F106:R106))),50)</f>
        <v/>
      </c>
      <c r="X76" s="357">
        <f>IF(C76&lt;&gt;"",IFERROR(SUMPRODUCT(終値!E106:P106,{0.154,0.132,0.113,0.097,0.083,0.071,0.061,0.052,0.045,0.038,0.033,0.028})/SUMPRODUCT({0.154,0.132,0.113,0.097,0.083,0.071,0.061,0.052,0.045,0.038,0.033,0.028})-SUMPRODUCT(終値!E106:AD106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6" s="225">
        <f>IF(AF76="","",AF76&amp;" | "&amp;AD76&amp;IF(AE76&lt;&gt;"なし"," "&amp;AE76,"")&amp;IF(X76&lt;0," MACD-"," MACD+")&amp;" RSI:"&amp;TEXT(W76,"0.0")&amp;IF(W76&gt;=70," [過熱]",IF(W76&lt;=30," [売られ過ぎ]",""))&amp;" 前日比:"&amp;TEXT(Z76,"+0.0;-0.0;0.0")&amp;"%"&amp;IF(V76="年初来安値圏●"," [年初来安値圏]",IF(V76="安値圏"," [安値圏]",""))&amp;IF(OR(AO76="通常",AO76="-"),""," ["&amp;AO76&amp;"]")&amp;IF(OR(AT76="通常",AT76="-"),"","前日["&amp;AT76&amp;"]")&amp;" ["&amp;T76&amp;"点]")</f>
        <v/>
      </c>
      <c r="Z76" s="629">
        <f>IF(AND(E76&lt;&gt;"",G76&lt;&gt;"",G76&lt;&gt;0),(E76-G76)/G76*100,"")</f>
        <v/>
      </c>
      <c r="AA76" s="225">
        <f>IF(OR(C76="",E76="",E76=0),"",IF(E76&gt;G76,"上昇▲",IF(E76&lt;G76,"下落▼","横ばい→")))</f>
        <v/>
      </c>
      <c r="AB76" s="353">
        <f>IF(OR(C76="",C76="TOPX",終値!E106=""),"",IFERROR(((終値!E106*0.333)+(終値!F106*0.222)+(終値!G106*0.148)+(終値!H106*0.099)+(終値!I106*0.066))/(0.333+0.222+0.148+0.099+0.066),""))</f>
        <v/>
      </c>
      <c r="AC76" s="353">
        <f>IF(OR(C76="",C76="TOPX",終値!E106=""),"",IFERROR(SUMPRODUCT((終値!E106:AC106)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6" s="225">
        <f>IF(OR(C76="",AB76="",AC76="",AB76=0,AC76=0),"",IF(AND(E76&gt;AB76,AB76&gt;AC76),"パーフェクト▲",IF(E76&gt;AC76,"上昇トレンド▲",IF(AND(E76&lt;AB76,AB76&lt;AC76),"下降トレンド▼","もみ合い→"))))</f>
        <v/>
      </c>
      <c r="AE76" s="225">
        <f>IF(OR(C76="",AB76="",AC76=""),"",IF(AND(ABS(E76-AC76)/AC76&lt;=0.02,E76&lt;AC76),"25日戻り売り★",IF(AND(ABS(E76-AB76)/AB76&lt;=0.01,E76&lt;AB76),"5日戻り売り○","なし")))</f>
        <v/>
      </c>
      <c r="AF76">
        <f>IF(T76="","",IF(銘柄管理!$F$5="上昇▲",IF(AND(AD76="下降トレンド▼",OR(AE76="25日戻り売り★",AE76="5日戻り売り○")),"★逆張り売り",IF(AND(AD76="もみ合い→",OR(AE76="25日戻り売り★",AE76="5日戻り売り○")),"○逆張り売り",IF(W76&gt;=70,IF(Z76&lt;0,"◎反落確認","△過熱・様子見"),"相場上昇・見送り"))),IF(AND(T76&gt;=12,AD76="下降トレンド▼"),"★強い売り",IF(T76&gt;=12,"★強い売り",IF(AND(T76&gt;=8,OR(AE76="25日戻り売り★",AE76="5日戻り売り○")),"◎戻り売り",IF(T76&gt;=10,"○売り候補",IF(T76&gt;=6,"△注目",IF(T76&gt;=3,"様子見","見送り"))))))))</f>
        <v/>
      </c>
      <c r="AG76">
        <f>IF(AND(T76&gt;=7,C76&lt;&gt;""),T76,0)</f>
        <v/>
      </c>
      <c r="AH76">
        <f>IF(AG76&gt;0,AG76*10000-ROW(A76),0)</f>
        <v/>
      </c>
      <c r="AI76" s="623">
        <f t="array" ref="AI76">IF(C76="","",IFERROR((INDEX(終値!$E:$E,MATCH(TEXT(C76,"0"),終値!$A:$A,0))-INDEX(終値!$E:$BL,MATCH(TEXT(C76,"0"),終値!$A:$A,0),$AN$2))/INDEX(終値!$E:$BL,MATCH(TEXT(C76,"0"),終値!$A:$A,0),$AN$2)*100,""))</f>
        <v/>
      </c>
      <c r="AJ76" s="623">
        <f t="array" ref="AJ76">IFERROR((終値!$E$5-INDEX(終値!$E$5:$BL$5,1,$AN$2))/INDEX(終値!$E$5:$BL$5,1,$AN$2)*100,"")</f>
        <v/>
      </c>
      <c r="AK76" s="624">
        <f>IF(OR(AI76="",AJ76=""),"",AI76-AJ76)</f>
        <v/>
      </c>
      <c r="AL76" s="394">
        <f>IF(AK76="","",IF(AK76&lt;-5,3,IF(AK76&lt;0,1,IF(AK76&lt;3,-1,-2))))</f>
        <v/>
      </c>
      <c r="AO76" s="398">
        <f>IF(OR($C76="",$E76="",$F76="",$H76="",$I76="",$H76-$I76&lt;=0),"-",IF(AND($H76-MAX($F76,$E76)&gt;=ABS($E76-$F76)*2,MIN($F76,$E76)-$I76&lt;=ABS($E76-$F76)*0.5,ABS($E76-$F76)&gt;0),"上ヒゲ陰線▼",IF(AND($E76&lt;$F76,ABS($E76-$F76)&gt;=($H76-$I76)*0.7),"大陰線▼",IF(AND(MIN($F76,$E76)-$I76&gt;=($H76-$I76)*0.5,$H76-MAX($F76,$E76)&lt;=($H76-$I76)*0.2),"長い下ヒゲ(反発警戒)","通常"))))</f>
        <v/>
      </c>
      <c r="AP76" s="625">
        <f>IF($AO76="上ヒゲ陰線▼",2,IF($AO76="大陰線▼",2,IF($AO76="長い下ヒゲ(反発警戒)",-2,0)))</f>
        <v/>
      </c>
      <c r="AQ76">
        <f>IF(C76&lt;&gt;"",始値!F106,"")</f>
        <v/>
      </c>
      <c r="AR76">
        <f>IF(C76&lt;&gt;"",高値!F106,"")</f>
        <v/>
      </c>
      <c r="AS76">
        <f>IF(C76&lt;&gt;"",安値!F106,"")</f>
        <v/>
      </c>
      <c r="AT76">
        <f>IF(OR(C76="",AQ76="",AR76="",AS76="",AR76-AS76&lt;=0),"-",IF(AND(AR76-MAX(G76,AQ76)&gt;=ABS(G76-AQ76)*2,MIN(G76,AQ76)-AS76&lt;=ABS(G76-AQ76)*0.5,ABS(G76-AQ76)&gt;0),"上ヒゲ陰線▼",IF(AND(G76&lt;AQ76,ABS(G76-AQ76)&gt;=(AR76-AS76)*0.7),"大陰線▼",IF(AND(MIN(G76,AQ76)-AS76&gt;=(AR76-AS76)*0.5,AR76-MAX(G76,AQ76)&lt;=(AR76-AS76)*0.2),"長い下ヒゲ(反発)","通常"))))</f>
        <v/>
      </c>
      <c r="AU76">
        <f>IF(AT76="上ヒゲ陰線▼",2,IF(AT76="大陰線▼",2,IF(AT76="長い下ヒゲ(反発)",-2,0)))</f>
        <v/>
      </c>
    </row>
    <row r="77" ht="14.25" customHeight="1" s="574">
      <c r="A77" s="344">
        <f>IF(銘柄管理!B113&lt;&gt;"",HYPERLINK("https://kabutan.jp/stock/?code="&amp;銘柄管理!B113,"株探"),"")</f>
        <v/>
      </c>
      <c r="B77" s="345" t="n"/>
      <c r="C77" s="345">
        <f>IF(銘柄管理!B113="","",銘柄管理!B113)</f>
        <v/>
      </c>
      <c r="D77" s="345">
        <f>IF(銘柄管理!C113="","",銘柄管理!C113)</f>
        <v/>
      </c>
      <c r="E77" s="346">
        <f>IF(C77&lt;&gt;"",_xll.RssMarket(C77,"現在値"),"")</f>
        <v/>
      </c>
      <c r="F77" s="346">
        <f>IF(C77&lt;&gt;"",_xll.RssMarket(C77,"始値"),"")</f>
        <v/>
      </c>
      <c r="G77" s="345">
        <f>IF(C77&lt;&gt;"",終値!F113,"")</f>
        <v/>
      </c>
      <c r="H77" s="346">
        <f>IF(C77&lt;&gt;"",_xll.RssMarket(C77,"高値"),"")</f>
        <v/>
      </c>
      <c r="I77" s="346">
        <f>IF(C77&lt;&gt;"",_xll.RssMarket(C77,"安値"),"")</f>
        <v/>
      </c>
      <c r="J77" s="346">
        <f>IF(C77&lt;&gt;"",_xll.RssMarket(C77,"出来高"),"")</f>
        <v/>
      </c>
      <c r="K77" s="346">
        <f>IF(C77&lt;&gt;"",_xll.RssMarket(C77,"年初来高値"),"")</f>
        <v/>
      </c>
      <c r="L77" s="619">
        <f>IF(AND(E77&lt;&gt;"",K77&lt;&gt;"",K77&lt;&gt;0),(E77-K77)/K77*100,"")</f>
        <v/>
      </c>
      <c r="M77" s="346">
        <f>IF(C77&lt;&gt;"",IFERROR(AVERAGE(出来高!E113:I113),""),"")</f>
        <v/>
      </c>
      <c r="N77" s="346">
        <f>IF(C77&lt;&gt;"",IFERROR(AVERAGE(出来高!E113:AC113),""),"")</f>
        <v/>
      </c>
      <c r="O77" s="620">
        <f>IF(AND(J77&lt;&gt;"",M77&lt;&gt;"",M77&lt;&gt;0),J77/M77,"")</f>
        <v/>
      </c>
      <c r="P77" s="345">
        <f>IF(O77="","",IF(O77&gt;=2,"急増↑↑",IF(O77&gt;=1.5,"増加↑",IF(O77&gt;=1,"普通→","減少↓"))))</f>
        <v/>
      </c>
      <c r="Q77" s="345">
        <f>IF(E77="","",IF(AND(E77&lt;G77,O77&gt;=1.5),"売り▼",IF(E77&gt;G77,"様子見▲","中立→")))</f>
        <v/>
      </c>
      <c r="R77" s="346">
        <f>IF(E77&lt;&gt;"",ROUND(E77*0.92,0),"")</f>
        <v/>
      </c>
      <c r="S77" s="346">
        <f>IF(E77&lt;&gt;"",ROUND(E77*1.04,0),"")</f>
        <v/>
      </c>
      <c r="T77" s="345">
        <f>IF(C77="","",IFERROR(IF(W77&gt;=70,3,IF(W77&gt;=60,2,IF(W77&gt;=50,1,0)))+IF(X77&lt;0,2,0)+IF(AD77="下降トレンド▼",3,IF(AD77="もみ合い→",1,0))+IF(V77="年初来安値圏●",3,IF(V77="安値圏",2,0))+IF(Q77="売り▼",2,0)+IF(P77="急増↑↑",2,IF(P77="増加↑",1,0))+IF(Z77&lt;0,1,0)+IF(L77&lt;=-30,2,IF(L77&lt;=-15,1,0))+IF(AE77="25日戻り売り★",2,IF(AE77="5日戻り売り○",1,0))+N(AL77)+N(AP77)+N(AU77),0))</f>
        <v/>
      </c>
      <c r="U77" s="345">
        <f>IF(T77="","",IF(AND(T77&gt;=3,O77&gt;=1.5),"有効",IF(T77&gt;=3,"要確認","除外")))</f>
        <v/>
      </c>
      <c r="V77" s="345">
        <f>IF(AND(I77&lt;&gt;"",K77&lt;&gt;""),IF(I77&lt;=K77*0.6,"年初来安値圏●",IF(I77&lt;=K77*0.75,"安値圏","通常")),"")</f>
        <v/>
      </c>
      <c r="W77" s="621">
        <f t="array" ref="W77">IFERROR(100-100/(1+SUMPRODUCT((終値!F113:R113&gt;終値!G113:S113)*(終値!F113:R113-終値!G113:S113))/SUMPRODUCT((終値!F113:R113&lt;終値!G113:S113)*(終値!G113:S113-終値!F113:R113))),50)</f>
        <v/>
      </c>
      <c r="X77" s="350">
        <f>IF(C77&lt;&gt;"",IFERROR(SUMPRODUCT(終値!E113:P113,{0.154,0.132,0.113,0.097,0.083,0.071,0.061,0.052,0.045,0.038,0.033,0.028})/SUMPRODUCT({0.154,0.132,0.113,0.097,0.083,0.071,0.061,0.052,0.045,0.038,0.033,0.028})-SUMPRODUCT(終値!E113:AD113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7" s="345">
        <f>IF(AF77="","",AF77&amp;" | "&amp;AD77&amp;IF(AE77&lt;&gt;"なし"," "&amp;AE77,"")&amp;IF(X77&lt;0," MACD-"," MACD+")&amp;" RSI:"&amp;TEXT(W77,"0.0")&amp;IF(W77&gt;=70," [過熱]",IF(W77&lt;=30," [売られ過ぎ]",""))&amp;" 前日比:"&amp;TEXT(Z77,"+0.0;-0.0;0.0")&amp;"%"&amp;IF(V77="年初来安値圏●"," [年初来安値圏]",IF(V77="安値圏"," [安値圏]",""))&amp;IF(OR(AO77="通常",AO77="-"),""," ["&amp;AO77&amp;"]")&amp;IF(OR(AT77="通常",AT77="-"),"","前日["&amp;AT77&amp;"]")&amp;" ["&amp;T77&amp;"点]")</f>
        <v/>
      </c>
      <c r="Z77" s="622">
        <f>IF(AND(E77&lt;&gt;"",G77&lt;&gt;"",G77&lt;&gt;0),(E77-G77)/G77*100,"")</f>
        <v/>
      </c>
      <c r="AA77" s="345">
        <f>IF(OR(C77="",E77="",E77=0),"",IF(E77&gt;G77,"上昇▲",IF(E77&lt;G77,"下落▼","横ばい→")))</f>
        <v/>
      </c>
      <c r="AB77" s="346">
        <f>IF(OR(C77="",C77="TOPX",終値!E113=""),"",IFERROR(((終値!E113*0.333)+(終値!F113*0.222)+(終値!G113*0.148)+(終値!H113*0.099)+(終値!I113*0.066))/(0.333+0.222+0.148+0.099+0.066),""))</f>
        <v/>
      </c>
      <c r="AC77" s="346">
        <f>IF(OR(C77="",C77="TOPX",終値!E113=""),"",IFERROR(SUMPRODUCT((終値!E113:AC113)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7" s="345">
        <f>IF(OR(C77="",AB77="",AC77="",AB77=0,AC77=0),"",IF(AND(E77&gt;AB77,AB77&gt;AC77),"パーフェクト▲",IF(E77&gt;AC77,"上昇トレンド▲",IF(AND(E77&lt;AB77,AB77&lt;AC77),"下降トレンド▼","もみ合い→"))))</f>
        <v/>
      </c>
      <c r="AE77" s="345">
        <f>IF(OR(C77="",AB77="",AC77=""),"",IF(AND(ABS(E77-AC77)/AC77&lt;=0.02,E77&lt;AC77),"25日戻り売り★",IF(AND(ABS(E77-AB77)/AB77&lt;=0.01,E77&lt;AB77),"5日戻り売り○","なし")))</f>
        <v/>
      </c>
      <c r="AF77">
        <f>IF(T77="","",IF(銘柄管理!$F$5="上昇▲",IF(AND(AD77="下降トレンド▼",OR(AE77="25日戻り売り★",AE77="5日戻り売り○")),"★逆張り売り",IF(AND(AD77="もみ合い→",OR(AE77="25日戻り売り★",AE77="5日戻り売り○")),"○逆張り売り",IF(W77&gt;=70,IF(Z77&lt;0,"◎反落確認","△過熱・様子見"),"相場上昇・見送り"))),IF(AND(T77&gt;=12,AD77="下降トレンド▼"),"★強い売り",IF(T77&gt;=12,"★強い売り",IF(AND(T77&gt;=8,OR(AE77="25日戻り売り★",AE77="5日戻り売り○")),"◎戻り売り",IF(T77&gt;=10,"○売り候補",IF(T77&gt;=6,"△注目",IF(T77&gt;=3,"様子見","見送り"))))))))</f>
        <v/>
      </c>
      <c r="AG77">
        <f>IF(AND(T77&gt;=7,C77&lt;&gt;""),T77,0)</f>
        <v/>
      </c>
      <c r="AH77">
        <f>IF(AG77&gt;0,AG77*10000-ROW(A77),0)</f>
        <v/>
      </c>
      <c r="AI77" s="623">
        <f t="array" ref="AI77">IF(C77="","",IFERROR((INDEX(終値!$E:$E,MATCH(TEXT(C77,"0"),終値!$A:$A,0))-INDEX(終値!$E:$BL,MATCH(TEXT(C77,"0"),終値!$A:$A,0),$AN$2))/INDEX(終値!$E:$BL,MATCH(TEXT(C77,"0"),終値!$A:$A,0),$AN$2)*100,""))</f>
        <v/>
      </c>
      <c r="AJ77" s="623">
        <f t="array" ref="AJ77">IFERROR((終値!$E$5-INDEX(終値!$E$5:$BL$5,1,$AN$2))/INDEX(終値!$E$5:$BL$5,1,$AN$2)*100,"")</f>
        <v/>
      </c>
      <c r="AK77" s="624">
        <f>IF(OR(AI77="",AJ77=""),"",AI77-AJ77)</f>
        <v/>
      </c>
      <c r="AL77" s="394">
        <f>IF(AK77="","",IF(AK77&lt;-5,3,IF(AK77&lt;0,1,IF(AK77&lt;3,-1,-2))))</f>
        <v/>
      </c>
      <c r="AO77" s="398">
        <f>IF(OR($C77="",$E77="",$F77="",$H77="",$I77="",$H77-$I77&lt;=0),"-",IF(AND($H77-MAX($F77,$E77)&gt;=ABS($E77-$F77)*2,MIN($F77,$E77)-$I77&lt;=ABS($E77-$F77)*0.5,ABS($E77-$F77)&gt;0),"上ヒゲ陰線▼",IF(AND($E77&lt;$F77,ABS($E77-$F77)&gt;=($H77-$I77)*0.7),"大陰線▼",IF(AND(MIN($F77,$E77)-$I77&gt;=($H77-$I77)*0.5,$H77-MAX($F77,$E77)&lt;=($H77-$I77)*0.2),"長い下ヒゲ(反発警戒)","通常"))))</f>
        <v/>
      </c>
      <c r="AP77" s="625">
        <f>IF($AO77="上ヒゲ陰線▼",2,IF($AO77="大陰線▼",2,IF($AO77="長い下ヒゲ(反発警戒)",-2,0)))</f>
        <v/>
      </c>
      <c r="AQ77">
        <f>IF(C77&lt;&gt;"",始値!F113,"")</f>
        <v/>
      </c>
      <c r="AR77">
        <f>IF(C77&lt;&gt;"",高値!F113,"")</f>
        <v/>
      </c>
      <c r="AS77">
        <f>IF(C77&lt;&gt;"",安値!F113,"")</f>
        <v/>
      </c>
      <c r="AT77">
        <f>IF(OR(C77="",AQ77="",AR77="",AS77="",AR77-AS77&lt;=0),"-",IF(AND(AR77-MAX(G77,AQ77)&gt;=ABS(G77-AQ77)*2,MIN(G77,AQ77)-AS77&lt;=ABS(G77-AQ77)*0.5,ABS(G77-AQ77)&gt;0),"上ヒゲ陰線▼",IF(AND(G77&lt;AQ77,ABS(G77-AQ77)&gt;=(AR77-AS77)*0.7),"大陰線▼",IF(AND(MIN(G77,AQ77)-AS77&gt;=(AR77-AS77)*0.5,AR77-MAX(G77,AQ77)&lt;=(AR77-AS77)*0.2),"長い下ヒゲ(反発)","通常"))))</f>
        <v/>
      </c>
      <c r="AU77">
        <f>IF(AT77="上ヒゲ陰線▼",2,IF(AT77="大陰線▼",2,IF(AT77="長い下ヒゲ(反発)",-2,0)))</f>
        <v/>
      </c>
    </row>
    <row r="78" ht="14.25" customHeight="1" s="574">
      <c r="A78" s="352">
        <f>IF(銘柄管理!B119&lt;&gt;"",HYPERLINK("https://kabutan.jp/stock/?code="&amp;銘柄管理!B119,"株探"),"")</f>
        <v/>
      </c>
      <c r="B78" s="225" t="n"/>
      <c r="C78" s="225">
        <f>IF(銘柄管理!B119="","",銘柄管理!B119)</f>
        <v/>
      </c>
      <c r="D78" s="225">
        <f>IF(銘柄管理!C119="","",銘柄管理!C119)</f>
        <v/>
      </c>
      <c r="E78" s="353">
        <f>IF(C78&lt;&gt;"",_xll.RssMarket(C78,"現在値"),"")</f>
        <v/>
      </c>
      <c r="F78" s="353">
        <f>IF(C78&lt;&gt;"",_xll.RssMarket(C78,"始値"),"")</f>
        <v/>
      </c>
      <c r="G78" s="225">
        <f>IF(C78&lt;&gt;"",終値!F119,"")</f>
        <v/>
      </c>
      <c r="H78" s="353">
        <f>IF(C78&lt;&gt;"",_xll.RssMarket(C78,"高値"),"")</f>
        <v/>
      </c>
      <c r="I78" s="353">
        <f>IF(C78&lt;&gt;"",_xll.RssMarket(C78,"安値"),"")</f>
        <v/>
      </c>
      <c r="J78" s="353">
        <f>IF(C78&lt;&gt;"",_xll.RssMarket(C78,"出来高"),"")</f>
        <v/>
      </c>
      <c r="K78" s="353">
        <f>IF(C78&lt;&gt;"",_xll.RssMarket(C78,"年初来高値"),"")</f>
        <v/>
      </c>
      <c r="L78" s="626">
        <f>IF(AND(E78&lt;&gt;"",K78&lt;&gt;"",K78&lt;&gt;0),(E78-K78)/K78*100,"")</f>
        <v/>
      </c>
      <c r="M78" s="353">
        <f>IF(C78&lt;&gt;"",IFERROR(AVERAGE(出来高!E119:I119),""),"")</f>
        <v/>
      </c>
      <c r="N78" s="353">
        <f>IF(C78&lt;&gt;"",IFERROR(AVERAGE(出来高!E119:AC119),""),"")</f>
        <v/>
      </c>
      <c r="O78" s="627">
        <f>IF(AND(J78&lt;&gt;"",M78&lt;&gt;"",M78&lt;&gt;0),J78/M78,"")</f>
        <v/>
      </c>
      <c r="P78" s="225">
        <f>IF(O78="","",IF(O78&gt;=2,"急増↑↑",IF(O78&gt;=1.5,"増加↑",IF(O78&gt;=1,"普通→","減少↓"))))</f>
        <v/>
      </c>
      <c r="Q78" s="225">
        <f>IF(E78="","",IF(AND(E78&lt;G78,O78&gt;=1.5),"売り▼",IF(E78&gt;G78,"様子見▲","中立→")))</f>
        <v/>
      </c>
      <c r="R78" s="353">
        <f>IF(E78&lt;&gt;"",ROUND(E78*0.92,0),"")</f>
        <v/>
      </c>
      <c r="S78" s="353">
        <f>IF(E78&lt;&gt;"",ROUND(E78*1.04,0),"")</f>
        <v/>
      </c>
      <c r="T78" s="345">
        <f>IF(C78="","",IFERROR(IF(W78&gt;=70,3,IF(W78&gt;=60,2,IF(W78&gt;=50,1,0)))+IF(X78&lt;0,2,0)+IF(AD78="下降トレンド▼",3,IF(AD78="もみ合い→",1,0))+IF(V78="年初来安値圏●",3,IF(V78="安値圏",2,0))+IF(Q78="売り▼",2,0)+IF(P78="急増↑↑",2,IF(P78="増加↑",1,0))+IF(Z78&lt;0,1,0)+IF(L78&lt;=-30,2,IF(L78&lt;=-15,1,0))+IF(AE78="25日戻り売り★",2,IF(AE78="5日戻り売り○",1,0))+N(AL78)+N(AP78)+N(AU78),0))</f>
        <v/>
      </c>
      <c r="U78" s="225">
        <f>IF(T78="","",IF(AND(T78&gt;=3,O78&gt;=1.5),"有効",IF(T78&gt;=3,"要確認","除外")))</f>
        <v/>
      </c>
      <c r="V78" s="225">
        <f>IF(AND(I78&lt;&gt;"",K78&lt;&gt;""),IF(I78&lt;=K78*0.6,"年初来安値圏●",IF(I78&lt;=K78*0.75,"安値圏","通常")),"")</f>
        <v/>
      </c>
      <c r="W78" s="628">
        <f t="array" ref="W78">IFERROR(100-100/(1+SUMPRODUCT((終値!F119:R119&gt;終値!G119:S119)*(終値!F119:R119-終値!G119:S119))/SUMPRODUCT((終値!F119:R119&lt;終値!G119:S119)*(終値!G119:S119-終値!F119:R119))),50)</f>
        <v/>
      </c>
      <c r="X78" s="357">
        <f>IF(C78&lt;&gt;"",IFERROR(SUMPRODUCT(終値!E119:P119,{0.154,0.132,0.113,0.097,0.083,0.071,0.061,0.052,0.045,0.038,0.033,0.028})/SUMPRODUCT({0.154,0.132,0.113,0.097,0.083,0.071,0.061,0.052,0.045,0.038,0.033,0.028})-SUMPRODUCT(終値!E119:AD119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8" s="225">
        <f>IF(AF78="","",AF78&amp;" | "&amp;AD78&amp;IF(AE78&lt;&gt;"なし"," "&amp;AE78,"")&amp;IF(X78&lt;0," MACD-"," MACD+")&amp;" RSI:"&amp;TEXT(W78,"0.0")&amp;IF(W78&gt;=70," [過熱]",IF(W78&lt;=30," [売られ過ぎ]",""))&amp;" 前日比:"&amp;TEXT(Z78,"+0.0;-0.0;0.0")&amp;"%"&amp;IF(V78="年初来安値圏●"," [年初来安値圏]",IF(V78="安値圏"," [安値圏]",""))&amp;IF(OR(AO78="通常",AO78="-"),""," ["&amp;AO78&amp;"]")&amp;IF(OR(AT78="通常",AT78="-"),"","前日["&amp;AT78&amp;"]")&amp;" ["&amp;T78&amp;"点]")</f>
        <v/>
      </c>
      <c r="Z78" s="629">
        <f>IF(AND(E78&lt;&gt;"",G78&lt;&gt;"",G78&lt;&gt;0),(E78-G78)/G78*100,"")</f>
        <v/>
      </c>
      <c r="AA78" s="225">
        <f>IF(OR(C78="",E78="",E78=0),"",IF(E78&gt;G78,"上昇▲",IF(E78&lt;G78,"下落▼","横ばい→")))</f>
        <v/>
      </c>
      <c r="AB78" s="353">
        <f>IF(OR(C78="",C78="TOPX",終値!E119=""),"",IFERROR(((終値!E119*0.333)+(終値!F119*0.222)+(終値!G119*0.148)+(終値!H119*0.099)+(終値!I119*0.066))/(0.333+0.222+0.148+0.099+0.066),""))</f>
        <v/>
      </c>
      <c r="AC78" s="353">
        <f>IF(OR(C78="",C78="TOPX",終値!E119=""),"",IFERROR(SUMPRODUCT((終値!E119:AC119)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8" s="225">
        <f>IF(OR(C78="",AB78="",AC78="",AB78=0,AC78=0),"",IF(AND(E78&gt;AB78,AB78&gt;AC78),"パーフェクト▲",IF(E78&gt;AC78,"上昇トレンド▲",IF(AND(E78&lt;AB78,AB78&lt;AC78),"下降トレンド▼","もみ合い→"))))</f>
        <v/>
      </c>
      <c r="AE78" s="225">
        <f>IF(OR(C78="",AB78="",AC78=""),"",IF(AND(ABS(E78-AC78)/AC78&lt;=0.02,E78&lt;AC78),"25日戻り売り★",IF(AND(ABS(E78-AB78)/AB78&lt;=0.01,E78&lt;AB78),"5日戻り売り○","なし")))</f>
        <v/>
      </c>
      <c r="AF78">
        <f>IF(T78="","",IF(銘柄管理!$F$5="上昇▲",IF(AND(AD78="下降トレンド▼",OR(AE78="25日戻り売り★",AE78="5日戻り売り○")),"★逆張り売り",IF(AND(AD78="もみ合い→",OR(AE78="25日戻り売り★",AE78="5日戻り売り○")),"○逆張り売り",IF(W78&gt;=70,IF(Z78&lt;0,"◎反落確認","△過熱・様子見"),"相場上昇・見送り"))),IF(AND(T78&gt;=12,AD78="下降トレンド▼"),"★強い売り",IF(T78&gt;=12,"★強い売り",IF(AND(T78&gt;=8,OR(AE78="25日戻り売り★",AE78="5日戻り売り○")),"◎戻り売り",IF(T78&gt;=10,"○売り候補",IF(T78&gt;=6,"△注目",IF(T78&gt;=3,"様子見","見送り"))))))))</f>
        <v/>
      </c>
      <c r="AG78">
        <f>IF(AND(T78&gt;=7,C78&lt;&gt;""),T78,0)</f>
        <v/>
      </c>
      <c r="AH78">
        <f>IF(AG78&gt;0,AG78*10000-ROW(A78),0)</f>
        <v/>
      </c>
      <c r="AI78" s="623">
        <f t="array" ref="AI78">IF(C78="","",IFERROR((INDEX(終値!$E:$E,MATCH(TEXT(C78,"0"),終値!$A:$A,0))-INDEX(終値!$E:$BL,MATCH(TEXT(C78,"0"),終値!$A:$A,0),$AN$2))/INDEX(終値!$E:$BL,MATCH(TEXT(C78,"0"),終値!$A:$A,0),$AN$2)*100,""))</f>
        <v/>
      </c>
      <c r="AJ78" s="623">
        <f t="array" ref="AJ78">IFERROR((終値!$E$5-INDEX(終値!$E$5:$BL$5,1,$AN$2))/INDEX(終値!$E$5:$BL$5,1,$AN$2)*100,"")</f>
        <v/>
      </c>
      <c r="AK78" s="624">
        <f>IF(OR(AI78="",AJ78=""),"",AI78-AJ78)</f>
        <v/>
      </c>
      <c r="AL78" s="394">
        <f>IF(AK78="","",IF(AK78&lt;-5,3,IF(AK78&lt;0,1,IF(AK78&lt;3,-1,-2))))</f>
        <v/>
      </c>
      <c r="AO78" s="398">
        <f>IF(OR($C78="",$E78="",$F78="",$H78="",$I78="",$H78-$I78&lt;=0),"-",IF(AND($H78-MAX($F78,$E78)&gt;=ABS($E78-$F78)*2,MIN($F78,$E78)-$I78&lt;=ABS($E78-$F78)*0.5,ABS($E78-$F78)&gt;0),"上ヒゲ陰線▼",IF(AND($E78&lt;$F78,ABS($E78-$F78)&gt;=($H78-$I78)*0.7),"大陰線▼",IF(AND(MIN($F78,$E78)-$I78&gt;=($H78-$I78)*0.5,$H78-MAX($F78,$E78)&lt;=($H78-$I78)*0.2),"長い下ヒゲ(反発警戒)","通常"))))</f>
        <v/>
      </c>
      <c r="AP78" s="625">
        <f>IF($AO78="上ヒゲ陰線▼",2,IF($AO78="大陰線▼",2,IF($AO78="長い下ヒゲ(反発警戒)",-2,0)))</f>
        <v/>
      </c>
      <c r="AQ78">
        <f>IF(C78&lt;&gt;"",始値!F119,"")</f>
        <v/>
      </c>
      <c r="AR78">
        <f>IF(C78&lt;&gt;"",高値!F119,"")</f>
        <v/>
      </c>
      <c r="AS78">
        <f>IF(C78&lt;&gt;"",安値!F119,"")</f>
        <v/>
      </c>
      <c r="AT78">
        <f>IF(OR(C78="",AQ78="",AR78="",AS78="",AR78-AS78&lt;=0),"-",IF(AND(AR78-MAX(G78,AQ78)&gt;=ABS(G78-AQ78)*2,MIN(G78,AQ78)-AS78&lt;=ABS(G78-AQ78)*0.5,ABS(G78-AQ78)&gt;0),"上ヒゲ陰線▼",IF(AND(G78&lt;AQ78,ABS(G78-AQ78)&gt;=(AR78-AS78)*0.7),"大陰線▼",IF(AND(MIN(G78,AQ78)-AS78&gt;=(AR78-AS78)*0.5,AR78-MAX(G78,AQ78)&lt;=(AR78-AS78)*0.2),"長い下ヒゲ(反発)","通常"))))</f>
        <v/>
      </c>
      <c r="AU78">
        <f>IF(AT78="上ヒゲ陰線▼",2,IF(AT78="大陰線▼",2,IF(AT78="長い下ヒゲ(反発)",-2,0)))</f>
        <v/>
      </c>
    </row>
    <row r="79" ht="14.25" customHeight="1" s="574">
      <c r="A79" s="344">
        <f>IF(銘柄管理!B127&lt;&gt;"",HYPERLINK("https://kabutan.jp/stock/?code="&amp;銘柄管理!B127,"株探"),"")</f>
        <v/>
      </c>
      <c r="B79" s="345" t="n"/>
      <c r="C79" s="345">
        <f>IF(銘柄管理!B127="","",銘柄管理!B127)</f>
        <v/>
      </c>
      <c r="D79" s="345">
        <f>IF(銘柄管理!C127="","",銘柄管理!C127)</f>
        <v/>
      </c>
      <c r="E79" s="346">
        <f>IF(C79&lt;&gt;"",_xll.RssMarket(C79,"現在値"),"")</f>
        <v/>
      </c>
      <c r="F79" s="346">
        <f>IF(C79&lt;&gt;"",_xll.RssMarket(C79,"始値"),"")</f>
        <v/>
      </c>
      <c r="G79" s="345">
        <f>IF(C79&lt;&gt;"",終値!F127,"")</f>
        <v/>
      </c>
      <c r="H79" s="346">
        <f>IF(C79&lt;&gt;"",_xll.RssMarket(C79,"高値"),"")</f>
        <v/>
      </c>
      <c r="I79" s="346">
        <f>IF(C79&lt;&gt;"",_xll.RssMarket(C79,"安値"),"")</f>
        <v/>
      </c>
      <c r="J79" s="346">
        <f>IF(C79&lt;&gt;"",_xll.RssMarket(C79,"出来高"),"")</f>
        <v/>
      </c>
      <c r="K79" s="346">
        <f>IF(C79&lt;&gt;"",_xll.RssMarket(C79,"年初来高値"),"")</f>
        <v/>
      </c>
      <c r="L79" s="619">
        <f>IF(AND(E79&lt;&gt;"",K79&lt;&gt;"",K79&lt;&gt;0),(E79-K79)/K79*100,"")</f>
        <v/>
      </c>
      <c r="M79" s="346">
        <f>IF(C79&lt;&gt;"",IFERROR(AVERAGE(出来高!E127:I127),""),"")</f>
        <v/>
      </c>
      <c r="N79" s="346">
        <f>IF(C79&lt;&gt;"",IFERROR(AVERAGE(出来高!E127:AC127),""),"")</f>
        <v/>
      </c>
      <c r="O79" s="620">
        <f>IF(AND(J79&lt;&gt;"",M79&lt;&gt;"",M79&lt;&gt;0),J79/M79,"")</f>
        <v/>
      </c>
      <c r="P79" s="345">
        <f>IF(O79="","",IF(O79&gt;=2,"急増↑↑",IF(O79&gt;=1.5,"増加↑",IF(O79&gt;=1,"普通→","減少↓"))))</f>
        <v/>
      </c>
      <c r="Q79" s="345">
        <f>IF(E79="","",IF(AND(E79&lt;G79,O79&gt;=1.5),"売り▼",IF(E79&gt;G79,"様子見▲","中立→")))</f>
        <v/>
      </c>
      <c r="R79" s="346">
        <f>IF(E79&lt;&gt;"",ROUND(E79*0.92,0),"")</f>
        <v/>
      </c>
      <c r="S79" s="346">
        <f>IF(E79&lt;&gt;"",ROUND(E79*1.04,0),"")</f>
        <v/>
      </c>
      <c r="T79" s="345">
        <f>IF(C79="","",IFERROR(IF(W79&gt;=70,3,IF(W79&gt;=60,2,IF(W79&gt;=50,1,0)))+IF(X79&lt;0,2,0)+IF(AD79="下降トレンド▼",3,IF(AD79="もみ合い→",1,0))+IF(V79="年初来安値圏●",3,IF(V79="安値圏",2,0))+IF(Q79="売り▼",2,0)+IF(P79="急増↑↑",2,IF(P79="増加↑",1,0))+IF(Z79&lt;0,1,0)+IF(L79&lt;=-30,2,IF(L79&lt;=-15,1,0))+IF(AE79="25日戻り売り★",2,IF(AE79="5日戻り売り○",1,0))+N(AL79)+N(AP79)+N(AU79),0))</f>
        <v/>
      </c>
      <c r="U79" s="345">
        <f>IF(T79="","",IF(AND(T79&gt;=3,O79&gt;=1.5),"有効",IF(T79&gt;=3,"要確認","除外")))</f>
        <v/>
      </c>
      <c r="V79" s="345">
        <f>IF(AND(I79&lt;&gt;"",K79&lt;&gt;""),IF(I79&lt;=K79*0.6,"年初来安値圏●",IF(I79&lt;=K79*0.75,"安値圏","通常")),"")</f>
        <v/>
      </c>
      <c r="W79" s="621">
        <f t="array" ref="W79">IFERROR(100-100/(1+SUMPRODUCT((終値!F127:R127&gt;終値!G127:S127)*(終値!F127:R127-終値!G127:S127))/SUMPRODUCT((終値!F127:R127&lt;終値!G127:S127)*(終値!G127:S127-終値!F127:R127))),50)</f>
        <v/>
      </c>
      <c r="X79" s="350">
        <f>IF(C79&lt;&gt;"",IFERROR(SUMPRODUCT(終値!E127:P127,{0.154,0.132,0.113,0.097,0.083,0.071,0.061,0.052,0.045,0.038,0.033,0.028})/SUMPRODUCT({0.154,0.132,0.113,0.097,0.083,0.071,0.061,0.052,0.045,0.038,0.033,0.028})-SUMPRODUCT(終値!E127:AD127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9" s="345">
        <f>IF(AF79="","",AF79&amp;" | "&amp;AD79&amp;IF(AE79&lt;&gt;"なし"," "&amp;AE79,"")&amp;IF(X79&lt;0," MACD-"," MACD+")&amp;" RSI:"&amp;TEXT(W79,"0.0")&amp;IF(W79&gt;=70," [過熱]",IF(W79&lt;=30," [売られ過ぎ]",""))&amp;" 前日比:"&amp;TEXT(Z79,"+0.0;-0.0;0.0")&amp;"%"&amp;IF(V79="年初来安値圏●"," [年初来安値圏]",IF(V79="安値圏"," [安値圏]",""))&amp;IF(OR(AO79="通常",AO79="-"),""," ["&amp;AO79&amp;"]")&amp;IF(OR(AT79="通常",AT79="-"),"","前日["&amp;AT79&amp;"]")&amp;" ["&amp;T79&amp;"点]")</f>
        <v/>
      </c>
      <c r="Z79" s="622">
        <f>IF(AND(E79&lt;&gt;"",G79&lt;&gt;"",G79&lt;&gt;0),(E79-G79)/G79*100,"")</f>
        <v/>
      </c>
      <c r="AA79" s="345">
        <f>IF(OR(C79="",E79="",E79=0),"",IF(E79&gt;G79,"上昇▲",IF(E79&lt;G79,"下落▼","横ばい→")))</f>
        <v/>
      </c>
      <c r="AB79" s="346">
        <f>IF(OR(C79="",C79="TOPX",終値!E127=""),"",IFERROR(((終値!E127*0.333)+(終値!F127*0.222)+(終値!G127*0.148)+(終値!H127*0.099)+(終値!I127*0.066))/(0.333+0.222+0.148+0.099+0.066),""))</f>
        <v/>
      </c>
      <c r="AC79" s="346">
        <f>IF(OR(C79="",C79="TOPX",終値!E127=""),"",IFERROR(SUMPRODUCT((終値!E127:AC127)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9" s="345">
        <f>IF(OR(C79="",AB79="",AC79="",AB79=0,AC79=0),"",IF(AND(E79&gt;AB79,AB79&gt;AC79),"パーフェクト▲",IF(E79&gt;AC79,"上昇トレンド▲",IF(AND(E79&lt;AB79,AB79&lt;AC79),"下降トレンド▼","もみ合い→"))))</f>
        <v/>
      </c>
      <c r="AE79" s="345">
        <f>IF(OR(C79="",AB79="",AC79=""),"",IF(AND(ABS(E79-AC79)/AC79&lt;=0.02,E79&lt;AC79),"25日戻り売り★",IF(AND(ABS(E79-AB79)/AB79&lt;=0.01,E79&lt;AB79),"5日戻り売り○","なし")))</f>
        <v/>
      </c>
      <c r="AF79">
        <f>IF(T79="","",IF(銘柄管理!$F$5="上昇▲",IF(AND(AD79="下降トレンド▼",OR(AE79="25日戻り売り★",AE79="5日戻り売り○")),"★逆張り売り",IF(AND(AD79="もみ合い→",OR(AE79="25日戻り売り★",AE79="5日戻り売り○")),"○逆張り売り",IF(W79&gt;=70,IF(Z79&lt;0,"◎反落確認","△過熱・様子見"),"相場上昇・見送り"))),IF(AND(T79&gt;=12,AD79="下降トレンド▼"),"★強い売り",IF(T79&gt;=12,"★強い売り",IF(AND(T79&gt;=8,OR(AE79="25日戻り売り★",AE79="5日戻り売り○")),"◎戻り売り",IF(T79&gt;=10,"○売り候補",IF(T79&gt;=6,"△注目",IF(T79&gt;=3,"様子見","見送り"))))))))</f>
        <v/>
      </c>
      <c r="AG79">
        <f>IF(AND(T79&gt;=7,C79&lt;&gt;""),T79,0)</f>
        <v/>
      </c>
      <c r="AH79">
        <f>IF(AG79&gt;0,AG79*10000-ROW(A79),0)</f>
        <v/>
      </c>
      <c r="AI79" s="623">
        <f t="array" ref="AI79">IF(C79="","",IFERROR((INDEX(終値!$E:$E,MATCH(TEXT(C79,"0"),終値!$A:$A,0))-INDEX(終値!$E:$BL,MATCH(TEXT(C79,"0"),終値!$A:$A,0),$AN$2))/INDEX(終値!$E:$BL,MATCH(TEXT(C79,"0"),終値!$A:$A,0),$AN$2)*100,""))</f>
        <v/>
      </c>
      <c r="AJ79" s="623">
        <f t="array" ref="AJ79">IFERROR((終値!$E$5-INDEX(終値!$E$5:$BL$5,1,$AN$2))/INDEX(終値!$E$5:$BL$5,1,$AN$2)*100,"")</f>
        <v/>
      </c>
      <c r="AK79" s="624">
        <f>IF(OR(AI79="",AJ79=""),"",AI79-AJ79)</f>
        <v/>
      </c>
      <c r="AL79" s="394">
        <f>IF(AK79="","",IF(AK79&lt;-5,3,IF(AK79&lt;0,1,IF(AK79&lt;3,-1,-2))))</f>
        <v/>
      </c>
      <c r="AO79" s="398">
        <f>IF(OR($C79="",$E79="",$F79="",$H79="",$I79="",$H79-$I79&lt;=0),"-",IF(AND($H79-MAX($F79,$E79)&gt;=ABS($E79-$F79)*2,MIN($F79,$E79)-$I79&lt;=ABS($E79-$F79)*0.5,ABS($E79-$F79)&gt;0),"上ヒゲ陰線▼",IF(AND($E79&lt;$F79,ABS($E79-$F79)&gt;=($H79-$I79)*0.7),"大陰線▼",IF(AND(MIN($F79,$E79)-$I79&gt;=($H79-$I79)*0.5,$H79-MAX($F79,$E79)&lt;=($H79-$I79)*0.2),"長い下ヒゲ(反発警戒)","通常"))))</f>
        <v/>
      </c>
      <c r="AP79" s="625">
        <f>IF($AO79="上ヒゲ陰線▼",2,IF($AO79="大陰線▼",2,IF($AO79="長い下ヒゲ(反発警戒)",-2,0)))</f>
        <v/>
      </c>
      <c r="AQ79">
        <f>IF(C79&lt;&gt;"",始値!F127,"")</f>
        <v/>
      </c>
      <c r="AR79">
        <f>IF(C79&lt;&gt;"",高値!F127,"")</f>
        <v/>
      </c>
      <c r="AS79">
        <f>IF(C79&lt;&gt;"",安値!F127,"")</f>
        <v/>
      </c>
      <c r="AT79">
        <f>IF(OR(C79="",AQ79="",AR79="",AS79="",AR79-AS79&lt;=0),"-",IF(AND(AR79-MAX(G79,AQ79)&gt;=ABS(G79-AQ79)*2,MIN(G79,AQ79)-AS79&lt;=ABS(G79-AQ79)*0.5,ABS(G79-AQ79)&gt;0),"上ヒゲ陰線▼",IF(AND(G79&lt;AQ79,ABS(G79-AQ79)&gt;=(AR79-AS79)*0.7),"大陰線▼",IF(AND(MIN(G79,AQ79)-AS79&gt;=(AR79-AS79)*0.5,AR79-MAX(G79,AQ79)&lt;=(AR79-AS79)*0.2),"長い下ヒゲ(反発)","通常"))))</f>
        <v/>
      </c>
      <c r="AU79">
        <f>IF(AT79="上ヒゲ陰線▼",2,IF(AT79="大陰線▼",2,IF(AT79="長い下ヒゲ(反発)",-2,0)))</f>
        <v/>
      </c>
    </row>
    <row r="80" ht="14.25" customHeight="1" s="574">
      <c r="A80" s="352">
        <f>IF(銘柄管理!B136&lt;&gt;"",HYPERLINK("https://kabutan.jp/stock/?code="&amp;銘柄管理!B136,"株探"),"")</f>
        <v/>
      </c>
      <c r="B80" s="225" t="n"/>
      <c r="C80" s="225">
        <f>IF(銘柄管理!B136="","",銘柄管理!B136)</f>
        <v/>
      </c>
      <c r="D80" s="225">
        <f>IF(銘柄管理!C136="","",銘柄管理!C136)</f>
        <v/>
      </c>
      <c r="E80" s="353">
        <f>IF(C80&lt;&gt;"",_xll.RssMarket(C80,"現在値"),"")</f>
        <v/>
      </c>
      <c r="F80" s="353">
        <f>IF(C80&lt;&gt;"",_xll.RssMarket(C80,"始値"),"")</f>
        <v/>
      </c>
      <c r="G80" s="225">
        <f>IF(C80&lt;&gt;"",終値!F136,"")</f>
        <v/>
      </c>
      <c r="H80" s="353">
        <f>IF(C80&lt;&gt;"",_xll.RssMarket(C80,"高値"),"")</f>
        <v/>
      </c>
      <c r="I80" s="353">
        <f>IF(C80&lt;&gt;"",_xll.RssMarket(C80,"安値"),"")</f>
        <v/>
      </c>
      <c r="J80" s="353">
        <f>IF(C80&lt;&gt;"",_xll.RssMarket(C80,"出来高"),"")</f>
        <v/>
      </c>
      <c r="K80" s="353">
        <f>IF(C80&lt;&gt;"",_xll.RssMarket(C80,"年初来高値"),"")</f>
        <v/>
      </c>
      <c r="L80" s="626">
        <f>IF(AND(E80&lt;&gt;"",K80&lt;&gt;"",K80&lt;&gt;0),(E80-K80)/K80*100,"")</f>
        <v/>
      </c>
      <c r="M80" s="353">
        <f>IF(C80&lt;&gt;"",IFERROR(AVERAGE(出来高!E136:I136),""),"")</f>
        <v/>
      </c>
      <c r="N80" s="353">
        <f>IF(C80&lt;&gt;"",IFERROR(AVERAGE(出来高!E136:AC136),""),"")</f>
        <v/>
      </c>
      <c r="O80" s="627">
        <f>IF(AND(J80&lt;&gt;"",M80&lt;&gt;"",M80&lt;&gt;0),J80/M80,"")</f>
        <v/>
      </c>
      <c r="P80" s="225">
        <f>IF(O80="","",IF(O80&gt;=2,"急増↑↑",IF(O80&gt;=1.5,"増加↑",IF(O80&gt;=1,"普通→","減少↓"))))</f>
        <v/>
      </c>
      <c r="Q80" s="225">
        <f>IF(E80="","",IF(AND(E80&lt;G80,O80&gt;=1.5),"売り▼",IF(E80&gt;G80,"様子見▲","中立→")))</f>
        <v/>
      </c>
      <c r="R80" s="353">
        <f>IF(E80&lt;&gt;"",ROUND(E80*0.92,0),"")</f>
        <v/>
      </c>
      <c r="S80" s="353">
        <f>IF(E80&lt;&gt;"",ROUND(E80*1.04,0),"")</f>
        <v/>
      </c>
      <c r="T80" s="345">
        <f>IF(C80="","",IFERROR(IF(W80&gt;=70,3,IF(W80&gt;=60,2,IF(W80&gt;=50,1,0)))+IF(X80&lt;0,2,0)+IF(AD80="下降トレンド▼",3,IF(AD80="もみ合い→",1,0))+IF(V80="年初来安値圏●",3,IF(V80="安値圏",2,0))+IF(Q80="売り▼",2,0)+IF(P80="急増↑↑",2,IF(P80="増加↑",1,0))+IF(Z80&lt;0,1,0)+IF(L80&lt;=-30,2,IF(L80&lt;=-15,1,0))+IF(AE80="25日戻り売り★",2,IF(AE80="5日戻り売り○",1,0))+N(AL80)+N(AP80)+N(AU80),0))</f>
        <v/>
      </c>
      <c r="U80" s="225">
        <f>IF(T80="","",IF(AND(T80&gt;=3,O80&gt;=1.5),"有効",IF(T80&gt;=3,"要確認","除外")))</f>
        <v/>
      </c>
      <c r="V80" s="225">
        <f>IF(AND(I80&lt;&gt;"",K80&lt;&gt;""),IF(I80&lt;=K80*0.6,"年初来安値圏●",IF(I80&lt;=K80*0.75,"安値圏","通常")),"")</f>
        <v/>
      </c>
      <c r="W80" s="628">
        <f t="array" ref="W80">IFERROR(100-100/(1+SUMPRODUCT((終値!F136:R136&gt;終値!G136:S136)*(終値!F136:R136-終値!G136:S136))/SUMPRODUCT((終値!F136:R136&lt;終値!G136:S136)*(終値!G136:S136-終値!F136:R136))),50)</f>
        <v/>
      </c>
      <c r="X80" s="357">
        <f>IF(C80&lt;&gt;"",IFERROR(SUMPRODUCT(終値!E136:P136,{0.154,0.132,0.113,0.097,0.083,0.071,0.061,0.052,0.045,0.038,0.033,0.028})/SUMPRODUCT({0.154,0.132,0.113,0.097,0.083,0.071,0.061,0.052,0.045,0.038,0.033,0.028})-SUMPRODUCT(終値!E136:AD136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0" s="225">
        <f>IF(AF80="","",AF80&amp;" | "&amp;AD80&amp;IF(AE80&lt;&gt;"なし"," "&amp;AE80,"")&amp;IF(X80&lt;0," MACD-"," MACD+")&amp;" RSI:"&amp;TEXT(W80,"0.0")&amp;IF(W80&gt;=70," [過熱]",IF(W80&lt;=30," [売られ過ぎ]",""))&amp;" 前日比:"&amp;TEXT(Z80,"+0.0;-0.0;0.0")&amp;"%"&amp;IF(V80="年初来安値圏●"," [年初来安値圏]",IF(V80="安値圏"," [安値圏]",""))&amp;IF(OR(AO80="通常",AO80="-"),""," ["&amp;AO80&amp;"]")&amp;IF(OR(AT80="通常",AT80="-"),"","前日["&amp;AT80&amp;"]")&amp;" ["&amp;T80&amp;"点]")</f>
        <v/>
      </c>
      <c r="Z80" s="629">
        <f>IF(AND(E80&lt;&gt;"",G80&lt;&gt;"",G80&lt;&gt;0),(E80-G80)/G80*100,"")</f>
        <v/>
      </c>
      <c r="AA80" s="225">
        <f>IF(OR(C80="",E80="",E80=0),"",IF(E80&gt;G80,"上昇▲",IF(E80&lt;G80,"下落▼","横ばい→")))</f>
        <v/>
      </c>
      <c r="AB80" s="353">
        <f>IF(OR(C80="",C80="TOPX",終値!E136=""),"",IFERROR(((終値!E136*0.333)+(終値!F136*0.222)+(終値!G136*0.148)+(終値!H136*0.099)+(終値!I136*0.066))/(0.333+0.222+0.148+0.099+0.066),""))</f>
        <v/>
      </c>
      <c r="AC80" s="353">
        <f>IF(OR(C80="",C80="TOPX",終値!E136=""),"",IFERROR(SUMPRODUCT((終値!E136:AC136)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0" s="225">
        <f>IF(OR(C80="",AB80="",AC80="",AB80=0,AC80=0),"",IF(AND(E80&gt;AB80,AB80&gt;AC80),"パーフェクト▲",IF(E80&gt;AC80,"上昇トレンド▲",IF(AND(E80&lt;AB80,AB80&lt;AC80),"下降トレンド▼","もみ合い→"))))</f>
        <v/>
      </c>
      <c r="AE80" s="225">
        <f>IF(OR(C80="",AB80="",AC80=""),"",IF(AND(ABS(E80-AC80)/AC80&lt;=0.02,E80&lt;AC80),"25日戻り売り★",IF(AND(ABS(E80-AB80)/AB80&lt;=0.01,E80&lt;AB80),"5日戻り売り○","なし")))</f>
        <v/>
      </c>
      <c r="AF80">
        <f>IF(T80="","",IF(銘柄管理!$F$5="上昇▲",IF(AND(AD80="下降トレンド▼",OR(AE80="25日戻り売り★",AE80="5日戻り売り○")),"★逆張り売り",IF(AND(AD80="もみ合い→",OR(AE80="25日戻り売り★",AE80="5日戻り売り○")),"○逆張り売り",IF(W80&gt;=70,IF(Z80&lt;0,"◎反落確認","△過熱・様子見"),"相場上昇・見送り"))),IF(AND(T80&gt;=12,AD80="下降トレンド▼"),"★強い売り",IF(T80&gt;=12,"★強い売り",IF(AND(T80&gt;=8,OR(AE80="25日戻り売り★",AE80="5日戻り売り○")),"◎戻り売り",IF(T80&gt;=10,"○売り候補",IF(T80&gt;=6,"△注目",IF(T80&gt;=3,"様子見","見送り"))))))))</f>
        <v/>
      </c>
      <c r="AG80">
        <f>IF(AND(T80&gt;=7,C80&lt;&gt;""),T80,0)</f>
        <v/>
      </c>
      <c r="AH80">
        <f>IF(AG80&gt;0,AG80*10000-ROW(A80),0)</f>
        <v/>
      </c>
      <c r="AI80" s="623">
        <f t="array" ref="AI80">IF(C80="","",IFERROR((INDEX(終値!$E:$E,MATCH(TEXT(C80,"0"),終値!$A:$A,0))-INDEX(終値!$E:$BL,MATCH(TEXT(C80,"0"),終値!$A:$A,0),$AN$2))/INDEX(終値!$E:$BL,MATCH(TEXT(C80,"0"),終値!$A:$A,0),$AN$2)*100,""))</f>
        <v/>
      </c>
      <c r="AJ80" s="623">
        <f t="array" ref="AJ80">IFERROR((終値!$E$5-INDEX(終値!$E$5:$BL$5,1,$AN$2))/INDEX(終値!$E$5:$BL$5,1,$AN$2)*100,"")</f>
        <v/>
      </c>
      <c r="AK80" s="624">
        <f>IF(OR(AI80="",AJ80=""),"",AI80-AJ80)</f>
        <v/>
      </c>
      <c r="AL80" s="394">
        <f>IF(AK80="","",IF(AK80&lt;-5,3,IF(AK80&lt;0,1,IF(AK80&lt;3,-1,-2))))</f>
        <v/>
      </c>
      <c r="AO80" s="398">
        <f>IF(OR($C80="",$E80="",$F80="",$H80="",$I80="",$H80-$I80&lt;=0),"-",IF(AND($H80-MAX($F80,$E80)&gt;=ABS($E80-$F80)*2,MIN($F80,$E80)-$I80&lt;=ABS($E80-$F80)*0.5,ABS($E80-$F80)&gt;0),"上ヒゲ陰線▼",IF(AND($E80&lt;$F80,ABS($E80-$F80)&gt;=($H80-$I80)*0.7),"大陰線▼",IF(AND(MIN($F80,$E80)-$I80&gt;=($H80-$I80)*0.5,$H80-MAX($F80,$E80)&lt;=($H80-$I80)*0.2),"長い下ヒゲ(反発警戒)","通常"))))</f>
        <v/>
      </c>
      <c r="AP80" s="625">
        <f>IF($AO80="上ヒゲ陰線▼",2,IF($AO80="大陰線▼",2,IF($AO80="長い下ヒゲ(反発警戒)",-2,0)))</f>
        <v/>
      </c>
      <c r="AQ80">
        <f>IF(C80&lt;&gt;"",始値!F136,"")</f>
        <v/>
      </c>
      <c r="AR80">
        <f>IF(C80&lt;&gt;"",高値!F136,"")</f>
        <v/>
      </c>
      <c r="AS80">
        <f>IF(C80&lt;&gt;"",安値!F136,"")</f>
        <v/>
      </c>
      <c r="AT80">
        <f>IF(OR(C80="",AQ80="",AR80="",AS80="",AR80-AS80&lt;=0),"-",IF(AND(AR80-MAX(G80,AQ80)&gt;=ABS(G80-AQ80)*2,MIN(G80,AQ80)-AS80&lt;=ABS(G80-AQ80)*0.5,ABS(G80-AQ80)&gt;0),"上ヒゲ陰線▼",IF(AND(G80&lt;AQ80,ABS(G80-AQ80)&gt;=(AR80-AS80)*0.7),"大陰線▼",IF(AND(MIN(G80,AQ80)-AS80&gt;=(AR80-AS80)*0.5,AR80-MAX(G80,AQ80)&lt;=(AR80-AS80)*0.2),"長い下ヒゲ(反発)","通常"))))</f>
        <v/>
      </c>
      <c r="AU80">
        <f>IF(AT80="上ヒゲ陰線▼",2,IF(AT80="大陰線▼",2,IF(AT80="長い下ヒゲ(反発)",-2,0)))</f>
        <v/>
      </c>
    </row>
    <row r="81" ht="14.25" customHeight="1" s="574">
      <c r="A81" s="344">
        <f>IF(銘柄管理!B138&lt;&gt;"",HYPERLINK("https://kabutan.jp/stock/?code="&amp;銘柄管理!B138,"株探"),"")</f>
        <v/>
      </c>
      <c r="B81" s="345" t="n"/>
      <c r="C81" s="345">
        <f>IF(銘柄管理!B138="","",銘柄管理!B138)</f>
        <v/>
      </c>
      <c r="D81" s="345">
        <f>IF(銘柄管理!C138="","",銘柄管理!C138)</f>
        <v/>
      </c>
      <c r="E81" s="346">
        <f>IF(C81&lt;&gt;"",_xll.RssMarket(C81,"現在値"),"")</f>
        <v/>
      </c>
      <c r="F81" s="346">
        <f>IF(C81&lt;&gt;"",_xll.RssMarket(C81,"始値"),"")</f>
        <v/>
      </c>
      <c r="G81" s="345">
        <f>IF(C81&lt;&gt;"",終値!F138,"")</f>
        <v/>
      </c>
      <c r="H81" s="346">
        <f>IF(C81&lt;&gt;"",_xll.RssMarket(C81,"高値"),"")</f>
        <v/>
      </c>
      <c r="I81" s="346">
        <f>IF(C81&lt;&gt;"",_xll.RssMarket(C81,"安値"),"")</f>
        <v/>
      </c>
      <c r="J81" s="346">
        <f>IF(C81&lt;&gt;"",_xll.RssMarket(C81,"出来高"),"")</f>
        <v/>
      </c>
      <c r="K81" s="346">
        <f>IF(C81&lt;&gt;"",_xll.RssMarket(C81,"年初来高値"),"")</f>
        <v/>
      </c>
      <c r="L81" s="619">
        <f>IF(AND(E81&lt;&gt;"",K81&lt;&gt;"",K81&lt;&gt;0),(E81-K81)/K81*100,"")</f>
        <v/>
      </c>
      <c r="M81" s="346">
        <f>IF(C81&lt;&gt;"",IFERROR(AVERAGE(出来高!E138:I138),""),"")</f>
        <v/>
      </c>
      <c r="N81" s="346">
        <f>IF(C81&lt;&gt;"",IFERROR(AVERAGE(出来高!E138:AC138),""),"")</f>
        <v/>
      </c>
      <c r="O81" s="620">
        <f>IF(AND(J81&lt;&gt;"",M81&lt;&gt;"",M81&lt;&gt;0),J81/M81,"")</f>
        <v/>
      </c>
      <c r="P81" s="345">
        <f>IF(O81="","",IF(O81&gt;=2,"急増↑↑",IF(O81&gt;=1.5,"増加↑",IF(O81&gt;=1,"普通→","減少↓"))))</f>
        <v/>
      </c>
      <c r="Q81" s="345">
        <f>IF(E81="","",IF(AND(E81&lt;G81,O81&gt;=1.5),"売り▼",IF(E81&gt;G81,"様子見▲","中立→")))</f>
        <v/>
      </c>
      <c r="R81" s="346">
        <f>IF(E81&lt;&gt;"",ROUND(E81*0.92,0),"")</f>
        <v/>
      </c>
      <c r="S81" s="346">
        <f>IF(E81&lt;&gt;"",ROUND(E81*1.04,0),"")</f>
        <v/>
      </c>
      <c r="T81" s="345">
        <f>IF(C81="","",IFERROR(IF(W81&gt;=70,3,IF(W81&gt;=60,2,IF(W81&gt;=50,1,0)))+IF(X81&lt;0,2,0)+IF(AD81="下降トレンド▼",3,IF(AD81="もみ合い→",1,0))+IF(V81="年初来安値圏●",3,IF(V81="安値圏",2,0))+IF(Q81="売り▼",2,0)+IF(P81="急増↑↑",2,IF(P81="増加↑",1,0))+IF(Z81&lt;0,1,0)+IF(L81&lt;=-30,2,IF(L81&lt;=-15,1,0))+IF(AE81="25日戻り売り★",2,IF(AE81="5日戻り売り○",1,0))+N(AL81)+N(AP81)+N(AU81),0))</f>
        <v/>
      </c>
      <c r="U81" s="345">
        <f>IF(T81="","",IF(AND(T81&gt;=3,O81&gt;=1.5),"有効",IF(T81&gt;=3,"要確認","除外")))</f>
        <v/>
      </c>
      <c r="V81" s="345">
        <f>IF(AND(I81&lt;&gt;"",K81&lt;&gt;""),IF(I81&lt;=K81*0.6,"年初来安値圏●",IF(I81&lt;=K81*0.75,"安値圏","通常")),"")</f>
        <v/>
      </c>
      <c r="W81" s="621">
        <f t="array" ref="W81">IFERROR(100-100/(1+SUMPRODUCT((終値!F138:R138&gt;終値!G138:S138)*(終値!F138:R138-終値!G138:S138))/SUMPRODUCT((終値!F138:R138&lt;終値!G138:S138)*(終値!G138:S138-終値!F138:R138))),50)</f>
        <v/>
      </c>
      <c r="X81" s="350">
        <f>IF(C81&lt;&gt;"",IFERROR(SUMPRODUCT(終値!E138:P138,{0.154,0.132,0.113,0.097,0.083,0.071,0.061,0.052,0.045,0.038,0.033,0.028})/SUMPRODUCT({0.154,0.132,0.113,0.097,0.083,0.071,0.061,0.052,0.045,0.038,0.033,0.028})-SUMPRODUCT(終値!E138:AD138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1" s="345">
        <f>IF(AF81="","",AF81&amp;" | "&amp;AD81&amp;IF(AE81&lt;&gt;"なし"," "&amp;AE81,"")&amp;IF(X81&lt;0," MACD-"," MACD+")&amp;" RSI:"&amp;TEXT(W81,"0.0")&amp;IF(W81&gt;=70," [過熱]",IF(W81&lt;=30," [売られ過ぎ]",""))&amp;" 前日比:"&amp;TEXT(Z81,"+0.0;-0.0;0.0")&amp;"%"&amp;IF(V81="年初来安値圏●"," [年初来安値圏]",IF(V81="安値圏"," [安値圏]",""))&amp;IF(OR(AO81="通常",AO81="-"),""," ["&amp;AO81&amp;"]")&amp;IF(OR(AT81="通常",AT81="-"),"","前日["&amp;AT81&amp;"]")&amp;" ["&amp;T81&amp;"点]")</f>
        <v/>
      </c>
      <c r="Z81" s="622">
        <f>IF(AND(E81&lt;&gt;"",G81&lt;&gt;"",G81&lt;&gt;0),(E81-G81)/G81*100,"")</f>
        <v/>
      </c>
      <c r="AA81" s="345">
        <f>IF(OR(C81="",E81="",E81=0),"",IF(E81&gt;G81,"上昇▲",IF(E81&lt;G81,"下落▼","横ばい→")))</f>
        <v/>
      </c>
      <c r="AB81" s="346">
        <f>IF(OR(C81="",C81="TOPX",終値!E138=""),"",IFERROR(((終値!E138*0.333)+(終値!F138*0.222)+(終値!G138*0.148)+(終値!H138*0.099)+(終値!I138*0.066))/(0.333+0.222+0.148+0.099+0.066),""))</f>
        <v/>
      </c>
      <c r="AC81" s="346">
        <f>IF(OR(C81="",C81="TOPX",終値!E138=""),"",IFERROR(SUMPRODUCT((終値!E138:AC138)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1" s="345">
        <f>IF(OR(C81="",AB81="",AC81="",AB81=0,AC81=0),"",IF(AND(E81&gt;AB81,AB81&gt;AC81),"パーフェクト▲",IF(E81&gt;AC81,"上昇トレンド▲",IF(AND(E81&lt;AB81,AB81&lt;AC81),"下降トレンド▼","もみ合い→"))))</f>
        <v/>
      </c>
      <c r="AE81" s="345">
        <f>IF(OR(C81="",AB81="",AC81=""),"",IF(AND(ABS(E81-AC81)/AC81&lt;=0.02,E81&lt;AC81),"25日戻り売り★",IF(AND(ABS(E81-AB81)/AB81&lt;=0.01,E81&lt;AB81),"5日戻り売り○","なし")))</f>
        <v/>
      </c>
      <c r="AF81">
        <f>IF(T81="","",IF(銘柄管理!$F$5="上昇▲",IF(AND(AD81="下降トレンド▼",OR(AE81="25日戻り売り★",AE81="5日戻り売り○")),"★逆張り売り",IF(AND(AD81="もみ合い→",OR(AE81="25日戻り売り★",AE81="5日戻り売り○")),"○逆張り売り",IF(W81&gt;=70,IF(Z81&lt;0,"◎反落確認","△過熱・様子見"),"相場上昇・見送り"))),IF(AND(T81&gt;=12,AD81="下降トレンド▼"),"★強い売り",IF(T81&gt;=12,"★強い売り",IF(AND(T81&gt;=8,OR(AE81="25日戻り売り★",AE81="5日戻り売り○")),"◎戻り売り",IF(T81&gt;=10,"○売り候補",IF(T81&gt;=6,"△注目",IF(T81&gt;=3,"様子見","見送り"))))))))</f>
        <v/>
      </c>
      <c r="AG81">
        <f>IF(AND(T81&gt;=7,C81&lt;&gt;""),T81,0)</f>
        <v/>
      </c>
      <c r="AH81">
        <f>IF(AG81&gt;0,AG81*10000-ROW(A81),0)</f>
        <v/>
      </c>
      <c r="AI81" s="623">
        <f t="array" ref="AI81">IF(C81="","",IFERROR((INDEX(終値!$E:$E,MATCH(TEXT(C81,"0"),終値!$A:$A,0))-INDEX(終値!$E:$BL,MATCH(TEXT(C81,"0"),終値!$A:$A,0),$AN$2))/INDEX(終値!$E:$BL,MATCH(TEXT(C81,"0"),終値!$A:$A,0),$AN$2)*100,""))</f>
        <v/>
      </c>
      <c r="AJ81" s="623">
        <f t="array" ref="AJ81">IFERROR((終値!$E$5-INDEX(終値!$E$5:$BL$5,1,$AN$2))/INDEX(終値!$E$5:$BL$5,1,$AN$2)*100,"")</f>
        <v/>
      </c>
      <c r="AK81" s="624">
        <f>IF(OR(AI81="",AJ81=""),"",AI81-AJ81)</f>
        <v/>
      </c>
      <c r="AL81" s="394">
        <f>IF(AK81="","",IF(AK81&lt;-5,3,IF(AK81&lt;0,1,IF(AK81&lt;3,-1,-2))))</f>
        <v/>
      </c>
      <c r="AO81" s="398">
        <f>IF(OR($C81="",$E81="",$F81="",$H81="",$I81="",$H81-$I81&lt;=0),"-",IF(AND($H81-MAX($F81,$E81)&gt;=ABS($E81-$F81)*2,MIN($F81,$E81)-$I81&lt;=ABS($E81-$F81)*0.5,ABS($E81-$F81)&gt;0),"上ヒゲ陰線▼",IF(AND($E81&lt;$F81,ABS($E81-$F81)&gt;=($H81-$I81)*0.7),"大陰線▼",IF(AND(MIN($F81,$E81)-$I81&gt;=($H81-$I81)*0.5,$H81-MAX($F81,$E81)&lt;=($H81-$I81)*0.2),"長い下ヒゲ(反発警戒)","通常"))))</f>
        <v/>
      </c>
      <c r="AP81" s="625">
        <f>IF($AO81="上ヒゲ陰線▼",2,IF($AO81="大陰線▼",2,IF($AO81="長い下ヒゲ(反発警戒)",-2,0)))</f>
        <v/>
      </c>
      <c r="AQ81">
        <f>IF(C81&lt;&gt;"",始値!F138,"")</f>
        <v/>
      </c>
      <c r="AR81">
        <f>IF(C81&lt;&gt;"",高値!F138,"")</f>
        <v/>
      </c>
      <c r="AS81">
        <f>IF(C81&lt;&gt;"",安値!F138,"")</f>
        <v/>
      </c>
      <c r="AT81">
        <f>IF(OR(C81="",AQ81="",AR81="",AS81="",AR81-AS81&lt;=0),"-",IF(AND(AR81-MAX(G81,AQ81)&gt;=ABS(G81-AQ81)*2,MIN(G81,AQ81)-AS81&lt;=ABS(G81-AQ81)*0.5,ABS(G81-AQ81)&gt;0),"上ヒゲ陰線▼",IF(AND(G81&lt;AQ81,ABS(G81-AQ81)&gt;=(AR81-AS81)*0.7),"大陰線▼",IF(AND(MIN(G81,AQ81)-AS81&gt;=(AR81-AS81)*0.5,AR81-MAX(G81,AQ81)&lt;=(AR81-AS81)*0.2),"長い下ヒゲ(反発)","通常"))))</f>
        <v/>
      </c>
      <c r="AU81">
        <f>IF(AT81="上ヒゲ陰線▼",2,IF(AT81="大陰線▼",2,IF(AT81="長い下ヒゲ(反発)",-2,0)))</f>
        <v/>
      </c>
    </row>
    <row r="82" ht="14.25" customHeight="1" s="574">
      <c r="A82" s="352">
        <f>IF(銘柄管理!B160&lt;&gt;"",HYPERLINK("https://kabutan.jp/stock/?code="&amp;銘柄管理!B160,"株探"),"")</f>
        <v/>
      </c>
      <c r="B82" s="225" t="n"/>
      <c r="C82" s="225">
        <f>IF(銘柄管理!B160="","",銘柄管理!B160)</f>
        <v/>
      </c>
      <c r="D82" s="225">
        <f>IF(銘柄管理!C160="","",銘柄管理!C160)</f>
        <v/>
      </c>
      <c r="E82" s="353">
        <f>IF(C82&lt;&gt;"",_xll.RssMarket(C82,"現在値"),"")</f>
        <v/>
      </c>
      <c r="F82" s="353">
        <f>IF(C82&lt;&gt;"",_xll.RssMarket(C82,"始値"),"")</f>
        <v/>
      </c>
      <c r="G82" s="225">
        <f>IF(C82&lt;&gt;"",終値!F160,"")</f>
        <v/>
      </c>
      <c r="H82" s="353">
        <f>IF(C82&lt;&gt;"",_xll.RssMarket(C82,"高値"),"")</f>
        <v/>
      </c>
      <c r="I82" s="353">
        <f>IF(C82&lt;&gt;"",_xll.RssMarket(C82,"安値"),"")</f>
        <v/>
      </c>
      <c r="J82" s="353">
        <f>IF(C82&lt;&gt;"",_xll.RssMarket(C82,"出来高"),"")</f>
        <v/>
      </c>
      <c r="K82" s="353">
        <f>IF(C82&lt;&gt;"",_xll.RssMarket(C82,"年初来高値"),"")</f>
        <v/>
      </c>
      <c r="L82" s="626">
        <f>IF(AND(E82&lt;&gt;"",K82&lt;&gt;"",K82&lt;&gt;0),(E82-K82)/K82*100,"")</f>
        <v/>
      </c>
      <c r="M82" s="353">
        <f>IF(C82&lt;&gt;"",IFERROR(AVERAGE(出来高!E160:I160),""),"")</f>
        <v/>
      </c>
      <c r="N82" s="353">
        <f>IF(C82&lt;&gt;"",IFERROR(AVERAGE(出来高!E160:AC160),""),"")</f>
        <v/>
      </c>
      <c r="O82" s="627">
        <f>IF(AND(J82&lt;&gt;"",M82&lt;&gt;"",M82&lt;&gt;0),J82/M82,"")</f>
        <v/>
      </c>
      <c r="P82" s="225">
        <f>IF(O82="","",IF(O82&gt;=2,"急増↑↑",IF(O82&gt;=1.5,"増加↑",IF(O82&gt;=1,"普通→","減少↓"))))</f>
        <v/>
      </c>
      <c r="Q82" s="225">
        <f>IF(E82="","",IF(AND(E82&lt;G82,O82&gt;=1.5),"売り▼",IF(E82&gt;G82,"様子見▲","中立→")))</f>
        <v/>
      </c>
      <c r="R82" s="353">
        <f>IF(E82&lt;&gt;"",ROUND(E82*0.92,0),"")</f>
        <v/>
      </c>
      <c r="S82" s="353">
        <f>IF(E82&lt;&gt;"",ROUND(E82*1.04,0),"")</f>
        <v/>
      </c>
      <c r="T82" s="345">
        <f>IF(C82="","",IFERROR(IF(W82&gt;=70,3,IF(W82&gt;=60,2,IF(W82&gt;=50,1,0)))+IF(X82&lt;0,2,0)+IF(AD82="下降トレンド▼",3,IF(AD82="もみ合い→",1,0))+IF(V82="年初来安値圏●",3,IF(V82="安値圏",2,0))+IF(Q82="売り▼",2,0)+IF(P82="急増↑↑",2,IF(P82="増加↑",1,0))+IF(Z82&lt;0,1,0)+IF(L82&lt;=-30,2,IF(L82&lt;=-15,1,0))+IF(AE82="25日戻り売り★",2,IF(AE82="5日戻り売り○",1,0))+N(AL82)+N(AP82)+N(AU82),0))</f>
        <v/>
      </c>
      <c r="U82" s="225">
        <f>IF(T82="","",IF(AND(T82&gt;=3,O82&gt;=1.5),"有効",IF(T82&gt;=3,"要確認","除外")))</f>
        <v/>
      </c>
      <c r="V82" s="225">
        <f>IF(AND(I82&lt;&gt;"",K82&lt;&gt;""),IF(I82&lt;=K82*0.6,"年初来安値圏●",IF(I82&lt;=K82*0.75,"安値圏","通常")),"")</f>
        <v/>
      </c>
      <c r="W82" s="628">
        <f t="array" ref="W82">IFERROR(100-100/(1+SUMPRODUCT((終値!F160:R160&gt;終値!G160:S160)*(終値!F160:R160-終値!G160:S160))/SUMPRODUCT((終値!F160:R160&lt;終値!G160:S160)*(終値!G160:S160-終値!F160:R160))),50)</f>
        <v/>
      </c>
      <c r="X82" s="357">
        <f>IF(C82&lt;&gt;"",IFERROR(SUMPRODUCT(終値!E160:P160,{0.154,0.132,0.113,0.097,0.083,0.071,0.061,0.052,0.045,0.038,0.033,0.028})/SUMPRODUCT({0.154,0.132,0.113,0.097,0.083,0.071,0.061,0.052,0.045,0.038,0.033,0.028})-SUMPRODUCT(終値!E160:AD160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2" s="225">
        <f>IF(AF82="","",AF82&amp;" | "&amp;AD82&amp;IF(AE82&lt;&gt;"なし"," "&amp;AE82,"")&amp;IF(X82&lt;0," MACD-"," MACD+")&amp;" RSI:"&amp;TEXT(W82,"0.0")&amp;IF(W82&gt;=70," [過熱]",IF(W82&lt;=30," [売られ過ぎ]",""))&amp;" 前日比:"&amp;TEXT(Z82,"+0.0;-0.0;0.0")&amp;"%"&amp;IF(V82="年初来安値圏●"," [年初来安値圏]",IF(V82="安値圏"," [安値圏]",""))&amp;IF(OR(AO82="通常",AO82="-"),""," ["&amp;AO82&amp;"]")&amp;IF(OR(AT82="通常",AT82="-"),"","前日["&amp;AT82&amp;"]")&amp;" ["&amp;T82&amp;"点]")</f>
        <v/>
      </c>
      <c r="Z82" s="629">
        <f>IF(AND(E82&lt;&gt;"",G82&lt;&gt;"",G82&lt;&gt;0),(E82-G82)/G82*100,"")</f>
        <v/>
      </c>
      <c r="AA82" s="225">
        <f>IF(OR(C82="",E82="",E82=0),"",IF(E82&gt;G82,"上昇▲",IF(E82&lt;G82,"下落▼","横ばい→")))</f>
        <v/>
      </c>
      <c r="AB82" s="353">
        <f>IF(OR(C82="",C82="TOPX",終値!E160=""),"",IFERROR(((終値!E160*0.333)+(終値!F160*0.222)+(終値!G160*0.148)+(終値!H160*0.099)+(終値!I160*0.066))/(0.333+0.222+0.148+0.099+0.066),""))</f>
        <v/>
      </c>
      <c r="AC82" s="353">
        <f>IF(OR(C82="",C82="TOPX",終値!E160=""),"",IFERROR(SUMPRODUCT((終値!E160:AC160)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2" s="225">
        <f>IF(OR(C82="",AB82="",AC82="",AB82=0,AC82=0),"",IF(AND(E82&gt;AB82,AB82&gt;AC82),"パーフェクト▲",IF(E82&gt;AC82,"上昇トレンド▲",IF(AND(E82&lt;AB82,AB82&lt;AC82),"下降トレンド▼","もみ合い→"))))</f>
        <v/>
      </c>
      <c r="AE82" s="225">
        <f>IF(OR(C82="",AB82="",AC82=""),"",IF(AND(ABS(E82-AC82)/AC82&lt;=0.02,E82&lt;AC82),"25日戻り売り★",IF(AND(ABS(E82-AB82)/AB82&lt;=0.01,E82&lt;AB82),"5日戻り売り○","なし")))</f>
        <v/>
      </c>
      <c r="AF82">
        <f>IF(T82="","",IF(銘柄管理!$F$5="上昇▲",IF(AND(AD82="下降トレンド▼",OR(AE82="25日戻り売り★",AE82="5日戻り売り○")),"★逆張り売り",IF(AND(AD82="もみ合い→",OR(AE82="25日戻り売り★",AE82="5日戻り売り○")),"○逆張り売り",IF(W82&gt;=70,IF(Z82&lt;0,"◎反落確認","△過熱・様子見"),"相場上昇・見送り"))),IF(AND(T82&gt;=12,AD82="下降トレンド▼"),"★強い売り",IF(T82&gt;=12,"★強い売り",IF(AND(T82&gt;=8,OR(AE82="25日戻り売り★",AE82="5日戻り売り○")),"◎戻り売り",IF(T82&gt;=10,"○売り候補",IF(T82&gt;=6,"△注目",IF(T82&gt;=3,"様子見","見送り"))))))))</f>
        <v/>
      </c>
      <c r="AG82">
        <f>IF(AND(T82&gt;=7,C82&lt;&gt;""),T82,0)</f>
        <v/>
      </c>
      <c r="AH82">
        <f>IF(AG82&gt;0,AG82*10000-ROW(A82),0)</f>
        <v/>
      </c>
      <c r="AI82" s="623">
        <f t="array" ref="AI82">IF(C82="","",IFERROR((INDEX(終値!$E:$E,MATCH(TEXT(C82,"0"),終値!$A:$A,0))-INDEX(終値!$E:$BL,MATCH(TEXT(C82,"0"),終値!$A:$A,0),$AN$2))/INDEX(終値!$E:$BL,MATCH(TEXT(C82,"0"),終値!$A:$A,0),$AN$2)*100,""))</f>
        <v/>
      </c>
      <c r="AJ82" s="623">
        <f t="array" ref="AJ82">IFERROR((終値!$E$5-INDEX(終値!$E$5:$BL$5,1,$AN$2))/INDEX(終値!$E$5:$BL$5,1,$AN$2)*100,"")</f>
        <v/>
      </c>
      <c r="AK82" s="624">
        <f>IF(OR(AI82="",AJ82=""),"",AI82-AJ82)</f>
        <v/>
      </c>
      <c r="AL82" s="394">
        <f>IF(AK82="","",IF(AK82&lt;-5,3,IF(AK82&lt;0,1,IF(AK82&lt;3,-1,-2))))</f>
        <v/>
      </c>
      <c r="AO82" s="398">
        <f>IF(OR($C82="",$E82="",$F82="",$H82="",$I82="",$H82-$I82&lt;=0),"-",IF(AND($H82-MAX($F82,$E82)&gt;=ABS($E82-$F82)*2,MIN($F82,$E82)-$I82&lt;=ABS($E82-$F82)*0.5,ABS($E82-$F82)&gt;0),"上ヒゲ陰線▼",IF(AND($E82&lt;$F82,ABS($E82-$F82)&gt;=($H82-$I82)*0.7),"大陰線▼",IF(AND(MIN($F82,$E82)-$I82&gt;=($H82-$I82)*0.5,$H82-MAX($F82,$E82)&lt;=($H82-$I82)*0.2),"長い下ヒゲ(反発警戒)","通常"))))</f>
        <v/>
      </c>
      <c r="AP82" s="625">
        <f>IF($AO82="上ヒゲ陰線▼",2,IF($AO82="大陰線▼",2,IF($AO82="長い下ヒゲ(反発警戒)",-2,0)))</f>
        <v/>
      </c>
      <c r="AQ82">
        <f>IF(C82&lt;&gt;"",始値!F160,"")</f>
        <v/>
      </c>
      <c r="AR82">
        <f>IF(C82&lt;&gt;"",高値!F160,"")</f>
        <v/>
      </c>
      <c r="AS82">
        <f>IF(C82&lt;&gt;"",安値!F160,"")</f>
        <v/>
      </c>
      <c r="AT82">
        <f>IF(OR(C82="",AQ82="",AR82="",AS82="",AR82-AS82&lt;=0),"-",IF(AND(AR82-MAX(G82,AQ82)&gt;=ABS(G82-AQ82)*2,MIN(G82,AQ82)-AS82&lt;=ABS(G82-AQ82)*0.5,ABS(G82-AQ82)&gt;0),"上ヒゲ陰線▼",IF(AND(G82&lt;AQ82,ABS(G82-AQ82)&gt;=(AR82-AS82)*0.7),"大陰線▼",IF(AND(MIN(G82,AQ82)-AS82&gt;=(AR82-AS82)*0.5,AR82-MAX(G82,AQ82)&lt;=(AR82-AS82)*0.2),"長い下ヒゲ(反発)","通常"))))</f>
        <v/>
      </c>
      <c r="AU82">
        <f>IF(AT82="上ヒゲ陰線▼",2,IF(AT82="大陰線▼",2,IF(AT82="長い下ヒゲ(反発)",-2,0)))</f>
        <v/>
      </c>
    </row>
    <row r="83" ht="14.25" customHeight="1" s="574">
      <c r="A83" s="344">
        <f>IF(銘柄管理!B163&lt;&gt;"",HYPERLINK("https://kabutan.jp/stock/?code="&amp;銘柄管理!B163,"株探"),"")</f>
        <v/>
      </c>
      <c r="B83" s="345" t="n"/>
      <c r="C83" s="345">
        <f>IF(銘柄管理!B163="","",銘柄管理!B163)</f>
        <v/>
      </c>
      <c r="D83" s="345">
        <f>IF(銘柄管理!C163="","",銘柄管理!C163)</f>
        <v/>
      </c>
      <c r="E83" s="346">
        <f>IF(C83&lt;&gt;"",_xll.RssMarket(C83,"現在値"),"")</f>
        <v/>
      </c>
      <c r="F83" s="346">
        <f>IF(C83&lt;&gt;"",_xll.RssMarket(C83,"始値"),"")</f>
        <v/>
      </c>
      <c r="G83" s="345">
        <f>IF(C83&lt;&gt;"",終値!F163,"")</f>
        <v/>
      </c>
      <c r="H83" s="346">
        <f>IF(C83&lt;&gt;"",_xll.RssMarket(C83,"高値"),"")</f>
        <v/>
      </c>
      <c r="I83" s="346">
        <f>IF(C83&lt;&gt;"",_xll.RssMarket(C83,"安値"),"")</f>
        <v/>
      </c>
      <c r="J83" s="346">
        <f>IF(C83&lt;&gt;"",_xll.RssMarket(C83,"出来高"),"")</f>
        <v/>
      </c>
      <c r="K83" s="346">
        <f>IF(C83&lt;&gt;"",_xll.RssMarket(C83,"年初来高値"),"")</f>
        <v/>
      </c>
      <c r="L83" s="619">
        <f>IF(AND(E83&lt;&gt;"",K83&lt;&gt;"",K83&lt;&gt;0),(E83-K83)/K83*100,"")</f>
        <v/>
      </c>
      <c r="M83" s="346">
        <f>IF(C83&lt;&gt;"",IFERROR(AVERAGE(出来高!E163:I163),""),"")</f>
        <v/>
      </c>
      <c r="N83" s="346">
        <f>IF(C83&lt;&gt;"",IFERROR(AVERAGE(出来高!E163:AC163),""),"")</f>
        <v/>
      </c>
      <c r="O83" s="620">
        <f>IF(AND(J83&lt;&gt;"",M83&lt;&gt;"",M83&lt;&gt;0),J83/M83,"")</f>
        <v/>
      </c>
      <c r="P83" s="345">
        <f>IF(O83="","",IF(O83&gt;=2,"急増↑↑",IF(O83&gt;=1.5,"増加↑",IF(O83&gt;=1,"普通→","減少↓"))))</f>
        <v/>
      </c>
      <c r="Q83" s="345">
        <f>IF(E83="","",IF(AND(E83&lt;G83,O83&gt;=1.5),"売り▼",IF(E83&gt;G83,"様子見▲","中立→")))</f>
        <v/>
      </c>
      <c r="R83" s="346">
        <f>IF(E83&lt;&gt;"",ROUND(E83*0.92,0),"")</f>
        <v/>
      </c>
      <c r="S83" s="346">
        <f>IF(E83&lt;&gt;"",ROUND(E83*1.04,0),"")</f>
        <v/>
      </c>
      <c r="T83" s="345">
        <f>IF(C83="","",IFERROR(IF(W83&gt;=70,3,IF(W83&gt;=60,2,IF(W83&gt;=50,1,0)))+IF(X83&lt;0,2,0)+IF(AD83="下降トレンド▼",3,IF(AD83="もみ合い→",1,0))+IF(V83="年初来安値圏●",3,IF(V83="安値圏",2,0))+IF(Q83="売り▼",2,0)+IF(P83="急増↑↑",2,IF(P83="増加↑",1,0))+IF(Z83&lt;0,1,0)+IF(L83&lt;=-30,2,IF(L83&lt;=-15,1,0))+IF(AE83="25日戻り売り★",2,IF(AE83="5日戻り売り○",1,0))+N(AL83)+N(AP83)+N(AU83),0))</f>
        <v/>
      </c>
      <c r="U83" s="345">
        <f>IF(T83="","",IF(AND(T83&gt;=3,O83&gt;=1.5),"有効",IF(T83&gt;=3,"要確認","除外")))</f>
        <v/>
      </c>
      <c r="V83" s="345">
        <f>IF(AND(I83&lt;&gt;"",K83&lt;&gt;""),IF(I83&lt;=K83*0.6,"年初来安値圏●",IF(I83&lt;=K83*0.75,"安値圏","通常")),"")</f>
        <v/>
      </c>
      <c r="W83" s="621">
        <f t="array" ref="W83">IFERROR(100-100/(1+SUMPRODUCT((終値!F163:R163&gt;終値!G163:S163)*(終値!F163:R163-終値!G163:S163))/SUMPRODUCT((終値!F163:R163&lt;終値!G163:S163)*(終値!G163:S163-終値!F163:R163))),50)</f>
        <v/>
      </c>
      <c r="X83" s="350">
        <f>IF(C83&lt;&gt;"",IFERROR(SUMPRODUCT(終値!E163:P163,{0.154,0.132,0.113,0.097,0.083,0.071,0.061,0.052,0.045,0.038,0.033,0.028})/SUMPRODUCT({0.154,0.132,0.113,0.097,0.083,0.071,0.061,0.052,0.045,0.038,0.033,0.028})-SUMPRODUCT(終値!E163:AD163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3" s="345">
        <f>IF(AF83="","",AF83&amp;" | "&amp;AD83&amp;IF(AE83&lt;&gt;"なし"," "&amp;AE83,"")&amp;IF(X83&lt;0," MACD-"," MACD+")&amp;" RSI:"&amp;TEXT(W83,"0.0")&amp;IF(W83&gt;=70," [過熱]",IF(W83&lt;=30," [売られ過ぎ]",""))&amp;" 前日比:"&amp;TEXT(Z83,"+0.0;-0.0;0.0")&amp;"%"&amp;IF(V83="年初来安値圏●"," [年初来安値圏]",IF(V83="安値圏"," [安値圏]",""))&amp;IF(OR(AO83="通常",AO83="-"),""," ["&amp;AO83&amp;"]")&amp;IF(OR(AT83="通常",AT83="-"),"","前日["&amp;AT83&amp;"]")&amp;" ["&amp;T83&amp;"点]")</f>
        <v/>
      </c>
      <c r="Z83" s="622">
        <f>IF(AND(E83&lt;&gt;"",G83&lt;&gt;"",G83&lt;&gt;0),(E83-G83)/G83*100,"")</f>
        <v/>
      </c>
      <c r="AA83" s="345">
        <f>IF(OR(C83="",E83="",E83=0),"",IF(E83&gt;G83,"上昇▲",IF(E83&lt;G83,"下落▼","横ばい→")))</f>
        <v/>
      </c>
      <c r="AB83" s="346">
        <f>IF(OR(C83="",C83="TOPX",終値!E163=""),"",IFERROR(((終値!E163*0.333)+(終値!F163*0.222)+(終値!G163*0.148)+(終値!H163*0.099)+(終値!I163*0.066))/(0.333+0.222+0.148+0.099+0.066),""))</f>
        <v/>
      </c>
      <c r="AC83" s="346">
        <f>IF(OR(C83="",C83="TOPX",終値!E163=""),"",IFERROR(SUMPRODUCT((終値!E163:AC163)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3" s="345">
        <f>IF(OR(C83="",AB83="",AC83="",AB83=0,AC83=0),"",IF(AND(E83&gt;AB83,AB83&gt;AC83),"パーフェクト▲",IF(E83&gt;AC83,"上昇トレンド▲",IF(AND(E83&lt;AB83,AB83&lt;AC83),"下降トレンド▼","もみ合い→"))))</f>
        <v/>
      </c>
      <c r="AE83" s="345">
        <f>IF(OR(C83="",AB83="",AC83=""),"",IF(AND(ABS(E83-AC83)/AC83&lt;=0.02,E83&lt;AC83),"25日戻り売り★",IF(AND(ABS(E83-AB83)/AB83&lt;=0.01,E83&lt;AB83),"5日戻り売り○","なし")))</f>
        <v/>
      </c>
      <c r="AF83">
        <f>IF(T83="","",IF(銘柄管理!$F$5="上昇▲",IF(AND(AD83="下降トレンド▼",OR(AE83="25日戻り売り★",AE83="5日戻り売り○")),"★逆張り売り",IF(AND(AD83="もみ合い→",OR(AE83="25日戻り売り★",AE83="5日戻り売り○")),"○逆張り売り",IF(W83&gt;=70,IF(Z83&lt;0,"◎反落確認","△過熱・様子見"),"相場上昇・見送り"))),IF(AND(T83&gt;=12,AD83="下降トレンド▼"),"★強い売り",IF(T83&gt;=12,"★強い売り",IF(AND(T83&gt;=8,OR(AE83="25日戻り売り★",AE83="5日戻り売り○")),"◎戻り売り",IF(T83&gt;=10,"○売り候補",IF(T83&gt;=6,"△注目",IF(T83&gt;=3,"様子見","見送り"))))))))</f>
        <v/>
      </c>
      <c r="AG83">
        <f>IF(AND(T83&gt;=7,C83&lt;&gt;""),T83,0)</f>
        <v/>
      </c>
      <c r="AH83">
        <f>IF(AG83&gt;0,AG83*10000-ROW(A83),0)</f>
        <v/>
      </c>
      <c r="AI83" s="623">
        <f t="array" ref="AI83">IF(C83="","",IFERROR((INDEX(終値!$E:$E,MATCH(TEXT(C83,"0"),終値!$A:$A,0))-INDEX(終値!$E:$BL,MATCH(TEXT(C83,"0"),終値!$A:$A,0),$AN$2))/INDEX(終値!$E:$BL,MATCH(TEXT(C83,"0"),終値!$A:$A,0),$AN$2)*100,""))</f>
        <v/>
      </c>
      <c r="AJ83" s="623">
        <f t="array" ref="AJ83">IFERROR((終値!$E$5-INDEX(終値!$E$5:$BL$5,1,$AN$2))/INDEX(終値!$E$5:$BL$5,1,$AN$2)*100,"")</f>
        <v/>
      </c>
      <c r="AK83" s="624">
        <f>IF(OR(AI83="",AJ83=""),"",AI83-AJ83)</f>
        <v/>
      </c>
      <c r="AL83" s="394">
        <f>IF(AK83="","",IF(AK83&lt;-5,3,IF(AK83&lt;0,1,IF(AK83&lt;3,-1,-2))))</f>
        <v/>
      </c>
      <c r="AO83" s="398">
        <f>IF(OR($C83="",$E83="",$F83="",$H83="",$I83="",$H83-$I83&lt;=0),"-",IF(AND($H83-MAX($F83,$E83)&gt;=ABS($E83-$F83)*2,MIN($F83,$E83)-$I83&lt;=ABS($E83-$F83)*0.5,ABS($E83-$F83)&gt;0),"上ヒゲ陰線▼",IF(AND($E83&lt;$F83,ABS($E83-$F83)&gt;=($H83-$I83)*0.7),"大陰線▼",IF(AND(MIN($F83,$E83)-$I83&gt;=($H83-$I83)*0.5,$H83-MAX($F83,$E83)&lt;=($H83-$I83)*0.2),"長い下ヒゲ(反発警戒)","通常"))))</f>
        <v/>
      </c>
      <c r="AP83" s="625">
        <f>IF($AO83="上ヒゲ陰線▼",2,IF($AO83="大陰線▼",2,IF($AO83="長い下ヒゲ(反発警戒)",-2,0)))</f>
        <v/>
      </c>
      <c r="AQ83">
        <f>IF(C83&lt;&gt;"",始値!F163,"")</f>
        <v/>
      </c>
      <c r="AR83">
        <f>IF(C83&lt;&gt;"",高値!F163,"")</f>
        <v/>
      </c>
      <c r="AS83">
        <f>IF(C83&lt;&gt;"",安値!F163,"")</f>
        <v/>
      </c>
      <c r="AT83">
        <f>IF(OR(C83="",AQ83="",AR83="",AS83="",AR83-AS83&lt;=0),"-",IF(AND(AR83-MAX(G83,AQ83)&gt;=ABS(G83-AQ83)*2,MIN(G83,AQ83)-AS83&lt;=ABS(G83-AQ83)*0.5,ABS(G83-AQ83)&gt;0),"上ヒゲ陰線▼",IF(AND(G83&lt;AQ83,ABS(G83-AQ83)&gt;=(AR83-AS83)*0.7),"大陰線▼",IF(AND(MIN(G83,AQ83)-AS83&gt;=(AR83-AS83)*0.5,AR83-MAX(G83,AQ83)&lt;=(AR83-AS83)*0.2),"長い下ヒゲ(反発)","通常"))))</f>
        <v/>
      </c>
      <c r="AU83">
        <f>IF(AT83="上ヒゲ陰線▼",2,IF(AT83="大陰線▼",2,IF(AT83="長い下ヒゲ(反発)",-2,0)))</f>
        <v/>
      </c>
    </row>
    <row r="84" ht="14.25" customHeight="1" s="574">
      <c r="A84" s="352">
        <f>IF(銘柄管理!B199&lt;&gt;"",HYPERLINK("https://kabutan.jp/stock/?code="&amp;銘柄管理!B199,"株探"),"")</f>
        <v/>
      </c>
      <c r="B84" s="225" t="n"/>
      <c r="C84" s="225">
        <f>IF(銘柄管理!B199="","",銘柄管理!B199)</f>
        <v/>
      </c>
      <c r="D84" s="225">
        <f>IF(銘柄管理!C199="","",銘柄管理!C199)</f>
        <v/>
      </c>
      <c r="E84" s="353">
        <f>IF(C84&lt;&gt;"",_xll.RssMarket(C84,"現在値"),"")</f>
        <v/>
      </c>
      <c r="F84" s="353">
        <f>IF(C84&lt;&gt;"",_xll.RssMarket(C84,"始値"),"")</f>
        <v/>
      </c>
      <c r="G84" s="225">
        <f>IF(C84&lt;&gt;"",終値!F199,"")</f>
        <v/>
      </c>
      <c r="H84" s="353">
        <f>IF(C84&lt;&gt;"",_xll.RssMarket(C84,"高値"),"")</f>
        <v/>
      </c>
      <c r="I84" s="353">
        <f>IF(C84&lt;&gt;"",_xll.RssMarket(C84,"安値"),"")</f>
        <v/>
      </c>
      <c r="J84" s="353">
        <f>IF(C84&lt;&gt;"",_xll.RssMarket(C84,"出来高"),"")</f>
        <v/>
      </c>
      <c r="K84" s="353">
        <f>IF(C84&lt;&gt;"",_xll.RssMarket(C84,"年初来高値"),"")</f>
        <v/>
      </c>
      <c r="L84" s="626">
        <f>IF(AND(E84&lt;&gt;"",K84&lt;&gt;"",K84&lt;&gt;0),(E84-K84)/K84*100,"")</f>
        <v/>
      </c>
      <c r="M84" s="353">
        <f>IF(C84&lt;&gt;"",IFERROR(AVERAGE(出来高!E199:I199),""),"")</f>
        <v/>
      </c>
      <c r="N84" s="353">
        <f>IF(C84&lt;&gt;"",IFERROR(AVERAGE(出来高!E199:AC199),""),"")</f>
        <v/>
      </c>
      <c r="O84" s="627">
        <f>IF(AND(J84&lt;&gt;"",M84&lt;&gt;"",M84&lt;&gt;0),J84/M84,"")</f>
        <v/>
      </c>
      <c r="P84" s="225">
        <f>IF(O84="","",IF(O84&gt;=2,"急増↑↑",IF(O84&gt;=1.5,"増加↑",IF(O84&gt;=1,"普通→","減少↓"))))</f>
        <v/>
      </c>
      <c r="Q84" s="225">
        <f>IF(E84="","",IF(AND(E84&lt;G84,O84&gt;=1.5),"売り▼",IF(E84&gt;G84,"様子見▲","中立→")))</f>
        <v/>
      </c>
      <c r="R84" s="353">
        <f>IF(E84&lt;&gt;"",ROUND(E84*0.92,0),"")</f>
        <v/>
      </c>
      <c r="S84" s="353">
        <f>IF(E84&lt;&gt;"",ROUND(E84*1.04,0),"")</f>
        <v/>
      </c>
      <c r="T84" s="345">
        <f>IF(C84="","",IFERROR(IF(W84&gt;=70,3,IF(W84&gt;=60,2,IF(W84&gt;=50,1,0)))+IF(X84&lt;0,2,0)+IF(AD84="下降トレンド▼",3,IF(AD84="もみ合い→",1,0))+IF(V84="年初来安値圏●",3,IF(V84="安値圏",2,0))+IF(Q84="売り▼",2,0)+IF(P84="急増↑↑",2,IF(P84="増加↑",1,0))+IF(Z84&lt;0,1,0)+IF(L84&lt;=-30,2,IF(L84&lt;=-15,1,0))+IF(AE84="25日戻り売り★",2,IF(AE84="5日戻り売り○",1,0))+N(AL84)+N(AP84)+N(AU84),0))</f>
        <v/>
      </c>
      <c r="U84" s="225">
        <f>IF(T84="","",IF(AND(T84&gt;=3,O84&gt;=1.5),"有効",IF(T84&gt;=3,"要確認","除外")))</f>
        <v/>
      </c>
      <c r="V84" s="225">
        <f>IF(AND(I84&lt;&gt;"",K84&lt;&gt;""),IF(I84&lt;=K84*0.6,"年初来安値圏●",IF(I84&lt;=K84*0.75,"安値圏","通常")),"")</f>
        <v/>
      </c>
      <c r="W84" s="628">
        <f t="array" ref="W84">IFERROR(100-100/(1+SUMPRODUCT((終値!F199:R199&gt;終値!G199:S199)*(終値!F199:R199-終値!G199:S199))/SUMPRODUCT((終値!F199:R199&lt;終値!G199:S199)*(終値!G199:S199-終値!F199:R199))),50)</f>
        <v/>
      </c>
      <c r="X84" s="357">
        <f>IF(C84&lt;&gt;"",IFERROR(SUMPRODUCT(終値!E199:P199,{0.154,0.132,0.113,0.097,0.083,0.071,0.061,0.052,0.045,0.038,0.033,0.028})/SUMPRODUCT({0.154,0.132,0.113,0.097,0.083,0.071,0.061,0.052,0.045,0.038,0.033,0.028})-SUMPRODUCT(終値!E199:AD199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4" s="225">
        <f>IF(AF84="","",AF84&amp;" | "&amp;AD84&amp;IF(AE84&lt;&gt;"なし"," "&amp;AE84,"")&amp;IF(X84&lt;0," MACD-"," MACD+")&amp;" RSI:"&amp;TEXT(W84,"0.0")&amp;IF(W84&gt;=70," [過熱]",IF(W84&lt;=30," [売られ過ぎ]",""))&amp;" 前日比:"&amp;TEXT(Z84,"+0.0;-0.0;0.0")&amp;"%"&amp;IF(V84="年初来安値圏●"," [年初来安値圏]",IF(V84="安値圏"," [安値圏]",""))&amp;IF(OR(AO84="通常",AO84="-"),""," ["&amp;AO84&amp;"]")&amp;IF(OR(AT84="通常",AT84="-"),"","前日["&amp;AT84&amp;"]")&amp;" ["&amp;T84&amp;"点]")</f>
        <v/>
      </c>
      <c r="Z84" s="629">
        <f>IF(AND(E84&lt;&gt;"",G84&lt;&gt;"",G84&lt;&gt;0),(E84-G84)/G84*100,"")</f>
        <v/>
      </c>
      <c r="AA84" s="225">
        <f>IF(OR(C84="",E84="",E84=0),"",IF(E84&gt;G84,"上昇▲",IF(E84&lt;G84,"下落▼","横ばい→")))</f>
        <v/>
      </c>
      <c r="AB84" s="353">
        <f>IF(OR(C84="",C84="TOPX",終値!E199=""),"",IFERROR(((終値!E199*0.333)+(終値!F199*0.222)+(終値!G199*0.148)+(終値!H199*0.099)+(終値!I199*0.066))/(0.333+0.222+0.148+0.099+0.066),""))</f>
        <v/>
      </c>
      <c r="AC84" s="353">
        <f>IF(OR(C84="",C84="TOPX",終値!E199=""),"",IFERROR(SUMPRODUCT((終値!E199:AC199)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4" s="225">
        <f>IF(OR(C84="",AB84="",AC84="",AB84=0,AC84=0),"",IF(AND(E84&gt;AB84,AB84&gt;AC84),"パーフェクト▲",IF(E84&gt;AC84,"上昇トレンド▲",IF(AND(E84&lt;AB84,AB84&lt;AC84),"下降トレンド▼","もみ合い→"))))</f>
        <v/>
      </c>
      <c r="AE84" s="225">
        <f>IF(OR(C84="",AB84="",AC84=""),"",IF(AND(ABS(E84-AC84)/AC84&lt;=0.02,E84&lt;AC84),"25日戻り売り★",IF(AND(ABS(E84-AB84)/AB84&lt;=0.01,E84&lt;AB84),"5日戻り売り○","なし")))</f>
        <v/>
      </c>
      <c r="AF84">
        <f>IF(T84="","",IF(銘柄管理!$F$5="上昇▲",IF(AND(AD84="下降トレンド▼",OR(AE84="25日戻り売り★",AE84="5日戻り売り○")),"★逆張り売り",IF(AND(AD84="もみ合い→",OR(AE84="25日戻り売り★",AE84="5日戻り売り○")),"○逆張り売り",IF(W84&gt;=70,IF(Z84&lt;0,"◎反落確認","△過熱・様子見"),"相場上昇・見送り"))),IF(AND(T84&gt;=12,AD84="下降トレンド▼"),"★強い売り",IF(T84&gt;=12,"★強い売り",IF(AND(T84&gt;=8,OR(AE84="25日戻り売り★",AE84="5日戻り売り○")),"◎戻り売り",IF(T84&gt;=10,"○売り候補",IF(T84&gt;=6,"△注目",IF(T84&gt;=3,"様子見","見送り"))))))))</f>
        <v/>
      </c>
      <c r="AG84">
        <f>IF(AND(T84&gt;=7,C84&lt;&gt;""),T84,0)</f>
        <v/>
      </c>
      <c r="AH84">
        <f>IF(AG84&gt;0,AG84*10000-ROW(A84),0)</f>
        <v/>
      </c>
      <c r="AI84" s="623">
        <f t="array" ref="AI84">IF(C84="","",IFERROR((INDEX(終値!$E:$E,MATCH(TEXT(C84,"0"),終値!$A:$A,0))-INDEX(終値!$E:$BL,MATCH(TEXT(C84,"0"),終値!$A:$A,0),$AN$2))/INDEX(終値!$E:$BL,MATCH(TEXT(C84,"0"),終値!$A:$A,0),$AN$2)*100,""))</f>
        <v/>
      </c>
      <c r="AJ84" s="623">
        <f t="array" ref="AJ84">IFERROR((終値!$E$5-INDEX(終値!$E$5:$BL$5,1,$AN$2))/INDEX(終値!$E$5:$BL$5,1,$AN$2)*100,"")</f>
        <v/>
      </c>
      <c r="AK84" s="624">
        <f>IF(OR(AI84="",AJ84=""),"",AI84-AJ84)</f>
        <v/>
      </c>
      <c r="AL84" s="394">
        <f>IF(AK84="","",IF(AK84&lt;-5,3,IF(AK84&lt;0,1,IF(AK84&lt;3,-1,-2))))</f>
        <v/>
      </c>
      <c r="AO84" s="398">
        <f>IF(OR($C84="",$E84="",$F84="",$H84="",$I84="",$H84-$I84&lt;=0),"-",IF(AND($H84-MAX($F84,$E84)&gt;=ABS($E84-$F84)*2,MIN($F84,$E84)-$I84&lt;=ABS($E84-$F84)*0.5,ABS($E84-$F84)&gt;0),"上ヒゲ陰線▼",IF(AND($E84&lt;$F84,ABS($E84-$F84)&gt;=($H84-$I84)*0.7),"大陰線▼",IF(AND(MIN($F84,$E84)-$I84&gt;=($H84-$I84)*0.5,$H84-MAX($F84,$E84)&lt;=($H84-$I84)*0.2),"長い下ヒゲ(反発警戒)","通常"))))</f>
        <v/>
      </c>
      <c r="AP84" s="625">
        <f>IF($AO84="上ヒゲ陰線▼",2,IF($AO84="大陰線▼",2,IF($AO84="長い下ヒゲ(反発警戒)",-2,0)))</f>
        <v/>
      </c>
      <c r="AQ84">
        <f>IF(C84&lt;&gt;"",始値!F199,"")</f>
        <v/>
      </c>
      <c r="AR84">
        <f>IF(C84&lt;&gt;"",高値!F199,"")</f>
        <v/>
      </c>
      <c r="AS84">
        <f>IF(C84&lt;&gt;"",安値!F199,"")</f>
        <v/>
      </c>
      <c r="AT84">
        <f>IF(OR(C84="",AQ84="",AR84="",AS84="",AR84-AS84&lt;=0),"-",IF(AND(AR84-MAX(G84,AQ84)&gt;=ABS(G84-AQ84)*2,MIN(G84,AQ84)-AS84&lt;=ABS(G84-AQ84)*0.5,ABS(G84-AQ84)&gt;0),"上ヒゲ陰線▼",IF(AND(G84&lt;AQ84,ABS(G84-AQ84)&gt;=(AR84-AS84)*0.7),"大陰線▼",IF(AND(MIN(G84,AQ84)-AS84&gt;=(AR84-AS84)*0.5,AR84-MAX(G84,AQ84)&lt;=(AR84-AS84)*0.2),"長い下ヒゲ(反発)","通常"))))</f>
        <v/>
      </c>
      <c r="AU84">
        <f>IF(AT84="上ヒゲ陰線▼",2,IF(AT84="大陰線▼",2,IF(AT84="長い下ヒゲ(反発)",-2,0)))</f>
        <v/>
      </c>
    </row>
    <row r="85" ht="14.25" customHeight="1" s="574">
      <c r="A85" s="344">
        <f>IF(銘柄管理!B203&lt;&gt;"",HYPERLINK("https://kabutan.jp/stock/?code="&amp;銘柄管理!B203,"株探"),"")</f>
        <v/>
      </c>
      <c r="B85" s="345" t="n"/>
      <c r="C85" s="345">
        <f>IF(銘柄管理!B203="","",銘柄管理!B203)</f>
        <v/>
      </c>
      <c r="D85" s="345">
        <f>IF(銘柄管理!C203="","",銘柄管理!C203)</f>
        <v/>
      </c>
      <c r="E85" s="346">
        <f>IF(C85&lt;&gt;"",_xll.RssMarket(C85,"現在値"),"")</f>
        <v/>
      </c>
      <c r="F85" s="346">
        <f>IF(C85&lt;&gt;"",_xll.RssMarket(C85,"始値"),"")</f>
        <v/>
      </c>
      <c r="G85" s="345">
        <f>IF(C85&lt;&gt;"",終値!F203,"")</f>
        <v/>
      </c>
      <c r="H85" s="346">
        <f>IF(C85&lt;&gt;"",_xll.RssMarket(C85,"高値"),"")</f>
        <v/>
      </c>
      <c r="I85" s="346">
        <f>IF(C85&lt;&gt;"",_xll.RssMarket(C85,"安値"),"")</f>
        <v/>
      </c>
      <c r="J85" s="346">
        <f>IF(C85&lt;&gt;"",_xll.RssMarket(C85,"出来高"),"")</f>
        <v/>
      </c>
      <c r="K85" s="346">
        <f>IF(C85&lt;&gt;"",_xll.RssMarket(C85,"年初来高値"),"")</f>
        <v/>
      </c>
      <c r="L85" s="619">
        <f>IF(AND(E85&lt;&gt;"",K85&lt;&gt;"",K85&lt;&gt;0),(E85-K85)/K85*100,"")</f>
        <v/>
      </c>
      <c r="M85" s="346">
        <f>IF(C85&lt;&gt;"",IFERROR(AVERAGE(出来高!E203:I203),""),"")</f>
        <v/>
      </c>
      <c r="N85" s="346">
        <f>IF(C85&lt;&gt;"",IFERROR(AVERAGE(出来高!E203:AC203),""),"")</f>
        <v/>
      </c>
      <c r="O85" s="620">
        <f>IF(AND(J85&lt;&gt;"",M85&lt;&gt;"",M85&lt;&gt;0),J85/M85,"")</f>
        <v/>
      </c>
      <c r="P85" s="345">
        <f>IF(O85="","",IF(O85&gt;=2,"急増↑↑",IF(O85&gt;=1.5,"増加↑",IF(O85&gt;=1,"普通→","減少↓"))))</f>
        <v/>
      </c>
      <c r="Q85" s="345">
        <f>IF(E85="","",IF(AND(E85&lt;G85,O85&gt;=1.5),"売り▼",IF(E85&gt;G85,"様子見▲","中立→")))</f>
        <v/>
      </c>
      <c r="R85" s="346">
        <f>IF(E85&lt;&gt;"",ROUND(E85*0.92,0),"")</f>
        <v/>
      </c>
      <c r="S85" s="346">
        <f>IF(E85&lt;&gt;"",ROUND(E85*1.04,0),"")</f>
        <v/>
      </c>
      <c r="T85" s="345">
        <f>IF(C85="","",IFERROR(IF(W85&gt;=70,3,IF(W85&gt;=60,2,IF(W85&gt;=50,1,0)))+IF(X85&lt;0,2,0)+IF(AD85="下降トレンド▼",3,IF(AD85="もみ合い→",1,0))+IF(V85="年初来安値圏●",3,IF(V85="安値圏",2,0))+IF(Q85="売り▼",2,0)+IF(P85="急増↑↑",2,IF(P85="増加↑",1,0))+IF(Z85&lt;0,1,0)+IF(L85&lt;=-30,2,IF(L85&lt;=-15,1,0))+IF(AE85="25日戻り売り★",2,IF(AE85="5日戻り売り○",1,0))+N(AL85)+N(AP85)+N(AU85),0))</f>
        <v/>
      </c>
      <c r="U85" s="345">
        <f>IF(T85="","",IF(AND(T85&gt;=3,O85&gt;=1.5),"有効",IF(T85&gt;=3,"要確認","除外")))</f>
        <v/>
      </c>
      <c r="V85" s="345">
        <f>IF(AND(I85&lt;&gt;"",K85&lt;&gt;""),IF(I85&lt;=K85*0.6,"年初来安値圏●",IF(I85&lt;=K85*0.75,"安値圏","通常")),"")</f>
        <v/>
      </c>
      <c r="W85" s="621">
        <f t="array" ref="W85">IFERROR(100-100/(1+SUMPRODUCT((終値!F203:R203&gt;終値!G203:S203)*(終値!F203:R203-終値!G203:S203))/SUMPRODUCT((終値!F203:R203&lt;終値!G203:S203)*(終値!G203:S203-終値!F203:R203))),50)</f>
        <v/>
      </c>
      <c r="X85" s="350">
        <f>IF(C85&lt;&gt;"",IFERROR(SUMPRODUCT(終値!E203:P203,{0.154,0.132,0.113,0.097,0.083,0.071,0.061,0.052,0.045,0.038,0.033,0.028})/SUMPRODUCT({0.154,0.132,0.113,0.097,0.083,0.071,0.061,0.052,0.045,0.038,0.033,0.028})-SUMPRODUCT(終値!E203:AD203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5" s="345">
        <f>IF(AF85="","",AF85&amp;" | "&amp;AD85&amp;IF(AE85&lt;&gt;"なし"," "&amp;AE85,"")&amp;IF(X85&lt;0," MACD-"," MACD+")&amp;" RSI:"&amp;TEXT(W85,"0.0")&amp;IF(W85&gt;=70," [過熱]",IF(W85&lt;=30," [売られ過ぎ]",""))&amp;" 前日比:"&amp;TEXT(Z85,"+0.0;-0.0;0.0")&amp;"%"&amp;IF(V85="年初来安値圏●"," [年初来安値圏]",IF(V85="安値圏"," [安値圏]",""))&amp;IF(OR(AO85="通常",AO85="-"),""," ["&amp;AO85&amp;"]")&amp;IF(OR(AT85="通常",AT85="-"),"","前日["&amp;AT85&amp;"]")&amp;" ["&amp;T85&amp;"点]")</f>
        <v/>
      </c>
      <c r="Z85" s="622">
        <f>IF(AND(E85&lt;&gt;"",G85&lt;&gt;"",G85&lt;&gt;0),(E85-G85)/G85*100,"")</f>
        <v/>
      </c>
      <c r="AA85" s="345">
        <f>IF(OR(C85="",E85="",E85=0),"",IF(E85&gt;G85,"上昇▲",IF(E85&lt;G85,"下落▼","横ばい→")))</f>
        <v/>
      </c>
      <c r="AB85" s="346">
        <f>IF(OR(C85="",C85="TOPX",終値!E203=""),"",IFERROR(((終値!E203*0.333)+(終値!F203*0.222)+(終値!G203*0.148)+(終値!H203*0.099)+(終値!I203*0.066))/(0.333+0.222+0.148+0.099+0.066),""))</f>
        <v/>
      </c>
      <c r="AC85" s="346">
        <f>IF(OR(C85="",C85="TOPX",終値!E203=""),"",IFERROR(SUMPRODUCT((終値!E203:AC203)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5" s="345">
        <f>IF(OR(C85="",AB85="",AC85="",AB85=0,AC85=0),"",IF(AND(E85&gt;AB85,AB85&gt;AC85),"パーフェクト▲",IF(E85&gt;AC85,"上昇トレンド▲",IF(AND(E85&lt;AB85,AB85&lt;AC85),"下降トレンド▼","もみ合い→"))))</f>
        <v/>
      </c>
      <c r="AE85" s="345">
        <f>IF(OR(C85="",AB85="",AC85=""),"",IF(AND(ABS(E85-AC85)/AC85&lt;=0.02,E85&lt;AC85),"25日戻り売り★",IF(AND(ABS(E85-AB85)/AB85&lt;=0.01,E85&lt;AB85),"5日戻り売り○","なし")))</f>
        <v/>
      </c>
      <c r="AF85">
        <f>IF(T85="","",IF(銘柄管理!$F$5="上昇▲",IF(AND(AD85="下降トレンド▼",OR(AE85="25日戻り売り★",AE85="5日戻り売り○")),"★逆張り売り",IF(AND(AD85="もみ合い→",OR(AE85="25日戻り売り★",AE85="5日戻り売り○")),"○逆張り売り",IF(W85&gt;=70,IF(Z85&lt;0,"◎反落確認","△過熱・様子見"),"相場上昇・見送り"))),IF(AND(T85&gt;=12,AD85="下降トレンド▼"),"★強い売り",IF(T85&gt;=12,"★強い売り",IF(AND(T85&gt;=8,OR(AE85="25日戻り売り★",AE85="5日戻り売り○")),"◎戻り売り",IF(T85&gt;=10,"○売り候補",IF(T85&gt;=6,"△注目",IF(T85&gt;=3,"様子見","見送り"))))))))</f>
        <v/>
      </c>
      <c r="AG85">
        <f>IF(AND(T85&gt;=7,C85&lt;&gt;""),T85,0)</f>
        <v/>
      </c>
      <c r="AH85">
        <f>IF(AG85&gt;0,AG85*10000-ROW(A85),0)</f>
        <v/>
      </c>
      <c r="AI85" s="623">
        <f t="array" ref="AI85">IF(C85="","",IFERROR((INDEX(終値!$E:$E,MATCH(TEXT(C85,"0"),終値!$A:$A,0))-INDEX(終値!$E:$BL,MATCH(TEXT(C85,"0"),終値!$A:$A,0),$AN$2))/INDEX(終値!$E:$BL,MATCH(TEXT(C85,"0"),終値!$A:$A,0),$AN$2)*100,""))</f>
        <v/>
      </c>
      <c r="AJ85" s="623">
        <f t="array" ref="AJ85">IFERROR((終値!$E$5-INDEX(終値!$E$5:$BL$5,1,$AN$2))/INDEX(終値!$E$5:$BL$5,1,$AN$2)*100,"")</f>
        <v/>
      </c>
      <c r="AK85" s="624">
        <f>IF(OR(AI85="",AJ85=""),"",AI85-AJ85)</f>
        <v/>
      </c>
      <c r="AL85" s="394">
        <f>IF(AK85="","",IF(AK85&lt;-5,3,IF(AK85&lt;0,1,IF(AK85&lt;3,-1,-2))))</f>
        <v/>
      </c>
      <c r="AO85" s="398">
        <f>IF(OR($C85="",$E85="",$F85="",$H85="",$I85="",$H85-$I85&lt;=0),"-",IF(AND($H85-MAX($F85,$E85)&gt;=ABS($E85-$F85)*2,MIN($F85,$E85)-$I85&lt;=ABS($E85-$F85)*0.5,ABS($E85-$F85)&gt;0),"上ヒゲ陰線▼",IF(AND($E85&lt;$F85,ABS($E85-$F85)&gt;=($H85-$I85)*0.7),"大陰線▼",IF(AND(MIN($F85,$E85)-$I85&gt;=($H85-$I85)*0.5,$H85-MAX($F85,$E85)&lt;=($H85-$I85)*0.2),"長い下ヒゲ(反発警戒)","通常"))))</f>
        <v/>
      </c>
      <c r="AP85" s="625">
        <f>IF($AO85="上ヒゲ陰線▼",2,IF($AO85="大陰線▼",2,IF($AO85="長い下ヒゲ(反発警戒)",-2,0)))</f>
        <v/>
      </c>
      <c r="AQ85">
        <f>IF(C85&lt;&gt;"",始値!F203,"")</f>
        <v/>
      </c>
      <c r="AR85">
        <f>IF(C85&lt;&gt;"",高値!F203,"")</f>
        <v/>
      </c>
      <c r="AS85">
        <f>IF(C85&lt;&gt;"",安値!F203,"")</f>
        <v/>
      </c>
      <c r="AT85">
        <f>IF(OR(C85="",AQ85="",AR85="",AS85="",AR85-AS85&lt;=0),"-",IF(AND(AR85-MAX(G85,AQ85)&gt;=ABS(G85-AQ85)*2,MIN(G85,AQ85)-AS85&lt;=ABS(G85-AQ85)*0.5,ABS(G85-AQ85)&gt;0),"上ヒゲ陰線▼",IF(AND(G85&lt;AQ85,ABS(G85-AQ85)&gt;=(AR85-AS85)*0.7),"大陰線▼",IF(AND(MIN(G85,AQ85)-AS85&gt;=(AR85-AS85)*0.5,AR85-MAX(G85,AQ85)&lt;=(AR85-AS85)*0.2),"長い下ヒゲ(反発)","通常"))))</f>
        <v/>
      </c>
      <c r="AU85">
        <f>IF(AT85="上ヒゲ陰線▼",2,IF(AT85="大陰線▼",2,IF(AT85="長い下ヒゲ(反発)",-2,0)))</f>
        <v/>
      </c>
    </row>
    <row r="86" ht="14.25" customHeight="1" s="574">
      <c r="A86" s="352">
        <f>IF(銘柄管理!B205&lt;&gt;"",HYPERLINK("https://kabutan.jp/stock/?code="&amp;銘柄管理!B205,"株探"),"")</f>
        <v/>
      </c>
      <c r="B86" s="225" t="n"/>
      <c r="C86" s="225">
        <f>IF(銘柄管理!B205="","",銘柄管理!B205)</f>
        <v/>
      </c>
      <c r="D86" s="225">
        <f>IF(銘柄管理!C205="","",銘柄管理!C205)</f>
        <v/>
      </c>
      <c r="E86" s="353">
        <f>IF(C86&lt;&gt;"",_xll.RssMarket(C86,"現在値"),"")</f>
        <v/>
      </c>
      <c r="F86" s="353">
        <f>IF(C86&lt;&gt;"",_xll.RssMarket(C86,"始値"),"")</f>
        <v/>
      </c>
      <c r="G86" s="225">
        <f>IF(C86&lt;&gt;"",終値!F205,"")</f>
        <v/>
      </c>
      <c r="H86" s="353">
        <f>IF(C86&lt;&gt;"",_xll.RssMarket(C86,"高値"),"")</f>
        <v/>
      </c>
      <c r="I86" s="353">
        <f>IF(C86&lt;&gt;"",_xll.RssMarket(C86,"安値"),"")</f>
        <v/>
      </c>
      <c r="J86" s="353">
        <f>IF(C86&lt;&gt;"",_xll.RssMarket(C86,"出来高"),"")</f>
        <v/>
      </c>
      <c r="K86" s="353">
        <f>IF(C86&lt;&gt;"",_xll.RssMarket(C86,"年初来高値"),"")</f>
        <v/>
      </c>
      <c r="L86" s="626">
        <f>IF(AND(E86&lt;&gt;"",K86&lt;&gt;"",K86&lt;&gt;0),(E86-K86)/K86*100,"")</f>
        <v/>
      </c>
      <c r="M86" s="353">
        <f>IF(C86&lt;&gt;"",IFERROR(AVERAGE(出来高!E205:I205),""),"")</f>
        <v/>
      </c>
      <c r="N86" s="353">
        <f>IF(C86&lt;&gt;"",IFERROR(AVERAGE(出来高!E205:AC205),""),"")</f>
        <v/>
      </c>
      <c r="O86" s="627">
        <f>IF(AND(J86&lt;&gt;"",M86&lt;&gt;"",M86&lt;&gt;0),J86/M86,"")</f>
        <v/>
      </c>
      <c r="P86" s="225">
        <f>IF(O86="","",IF(O86&gt;=2,"急増↑↑",IF(O86&gt;=1.5,"増加↑",IF(O86&gt;=1,"普通→","減少↓"))))</f>
        <v/>
      </c>
      <c r="Q86" s="225">
        <f>IF(E86="","",IF(AND(E86&lt;G86,O86&gt;=1.5),"売り▼",IF(E86&gt;G86,"様子見▲","中立→")))</f>
        <v/>
      </c>
      <c r="R86" s="353">
        <f>IF(E86&lt;&gt;"",ROUND(E86*0.92,0),"")</f>
        <v/>
      </c>
      <c r="S86" s="353">
        <f>IF(E86&lt;&gt;"",ROUND(E86*1.04,0),"")</f>
        <v/>
      </c>
      <c r="T86" s="345">
        <f>IF(C86="","",IFERROR(IF(W86&gt;=70,3,IF(W86&gt;=60,2,IF(W86&gt;=50,1,0)))+IF(X86&lt;0,2,0)+IF(AD86="下降トレンド▼",3,IF(AD86="もみ合い→",1,0))+IF(V86="年初来安値圏●",3,IF(V86="安値圏",2,0))+IF(Q86="売り▼",2,0)+IF(P86="急増↑↑",2,IF(P86="増加↑",1,0))+IF(Z86&lt;0,1,0)+IF(L86&lt;=-30,2,IF(L86&lt;=-15,1,0))+IF(AE86="25日戻り売り★",2,IF(AE86="5日戻り売り○",1,0))+N(AL86)+N(AP86)+N(AU86),0))</f>
        <v/>
      </c>
      <c r="U86" s="225">
        <f>IF(T86="","",IF(AND(T86&gt;=3,O86&gt;=1.5),"有効",IF(T86&gt;=3,"要確認","除外")))</f>
        <v/>
      </c>
      <c r="V86" s="225">
        <f>IF(AND(I86&lt;&gt;"",K86&lt;&gt;""),IF(I86&lt;=K86*0.6,"年初来安値圏●",IF(I86&lt;=K86*0.75,"安値圏","通常")),"")</f>
        <v/>
      </c>
      <c r="W86" s="628">
        <f t="array" ref="W86">IFERROR(100-100/(1+SUMPRODUCT((終値!F205:R205&gt;終値!G205:S205)*(終値!F205:R205-終値!G205:S205))/SUMPRODUCT((終値!F205:R205&lt;終値!G205:S205)*(終値!G205:S205-終値!F205:R205))),50)</f>
        <v/>
      </c>
      <c r="X86" s="357">
        <f>IF(C86&lt;&gt;"",IFERROR(SUMPRODUCT(終値!E205:P205,{0.154,0.132,0.113,0.097,0.083,0.071,0.061,0.052,0.045,0.038,0.033,0.028})/SUMPRODUCT({0.154,0.132,0.113,0.097,0.083,0.071,0.061,0.052,0.045,0.038,0.033,0.028})-SUMPRODUCT(終値!E205:AD205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6" s="225">
        <f>IF(AF86="","",AF86&amp;" | "&amp;AD86&amp;IF(AE86&lt;&gt;"なし"," "&amp;AE86,"")&amp;IF(X86&lt;0," MACD-"," MACD+")&amp;" RSI:"&amp;TEXT(W86,"0.0")&amp;IF(W86&gt;=70," [過熱]",IF(W86&lt;=30," [売られ過ぎ]",""))&amp;" 前日比:"&amp;TEXT(Z86,"+0.0;-0.0;0.0")&amp;"%"&amp;IF(V86="年初来安値圏●"," [年初来安値圏]",IF(V86="安値圏"," [安値圏]",""))&amp;IF(OR(AO86="通常",AO86="-"),""," ["&amp;AO86&amp;"]")&amp;IF(OR(AT86="通常",AT86="-"),"","前日["&amp;AT86&amp;"]")&amp;" ["&amp;T86&amp;"点]")</f>
        <v/>
      </c>
      <c r="Z86" s="629">
        <f>IF(AND(E86&lt;&gt;"",G86&lt;&gt;"",G86&lt;&gt;0),(E86-G86)/G86*100,"")</f>
        <v/>
      </c>
      <c r="AA86" s="225">
        <f>IF(OR(C86="",E86="",E86=0),"",IF(E86&gt;G86,"上昇▲",IF(E86&lt;G86,"下落▼","横ばい→")))</f>
        <v/>
      </c>
      <c r="AB86" s="353">
        <f>IF(OR(C86="",C86="TOPX",終値!E205=""),"",IFERROR(((終値!E205*0.333)+(終値!F205*0.222)+(終値!G205*0.148)+(終値!H205*0.099)+(終値!I205*0.066))/(0.333+0.222+0.148+0.099+0.066),""))</f>
        <v/>
      </c>
      <c r="AC86" s="353">
        <f>IF(OR(C86="",C86="TOPX",終値!E205=""),"",IFERROR(SUMPRODUCT((終値!E205:AC205)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6" s="225">
        <f>IF(OR(C86="",AB86="",AC86="",AB86=0,AC86=0),"",IF(AND(E86&gt;AB86,AB86&gt;AC86),"パーフェクト▲",IF(E86&gt;AC86,"上昇トレンド▲",IF(AND(E86&lt;AB86,AB86&lt;AC86),"下降トレンド▼","もみ合い→"))))</f>
        <v/>
      </c>
      <c r="AE86" s="225">
        <f>IF(OR(C86="",AB86="",AC86=""),"",IF(AND(ABS(E86-AC86)/AC86&lt;=0.02,E86&lt;AC86),"25日戻り売り★",IF(AND(ABS(E86-AB86)/AB86&lt;=0.01,E86&lt;AB86),"5日戻り売り○","なし")))</f>
        <v/>
      </c>
      <c r="AF86">
        <f>IF(T86="","",IF(銘柄管理!$F$5="上昇▲",IF(AND(AD86="下降トレンド▼",OR(AE86="25日戻り売り★",AE86="5日戻り売り○")),"★逆張り売り",IF(AND(AD86="もみ合い→",OR(AE86="25日戻り売り★",AE86="5日戻り売り○")),"○逆張り売り",IF(W86&gt;=70,IF(Z86&lt;0,"◎反落確認","△過熱・様子見"),"相場上昇・見送り"))),IF(AND(T86&gt;=12,AD86="下降トレンド▼"),"★強い売り",IF(T86&gt;=12,"★強い売り",IF(AND(T86&gt;=8,OR(AE86="25日戻り売り★",AE86="5日戻り売り○")),"◎戻り売り",IF(T86&gt;=10,"○売り候補",IF(T86&gt;=6,"△注目",IF(T86&gt;=3,"様子見","見送り"))))))))</f>
        <v/>
      </c>
      <c r="AG86">
        <f>IF(AND(T86&gt;=7,C86&lt;&gt;""),T86,0)</f>
        <v/>
      </c>
      <c r="AH86">
        <f>IF(AG86&gt;0,AG86*10000-ROW(A86),0)</f>
        <v/>
      </c>
      <c r="AI86" s="623">
        <f t="array" ref="AI86">IF(C86="","",IFERROR((INDEX(終値!$E:$E,MATCH(TEXT(C86,"0"),終値!$A:$A,0))-INDEX(終値!$E:$BL,MATCH(TEXT(C86,"0"),終値!$A:$A,0),$AN$2))/INDEX(終値!$E:$BL,MATCH(TEXT(C86,"0"),終値!$A:$A,0),$AN$2)*100,""))</f>
        <v/>
      </c>
      <c r="AJ86" s="623">
        <f t="array" ref="AJ86">IFERROR((終値!$E$5-INDEX(終値!$E$5:$BL$5,1,$AN$2))/INDEX(終値!$E$5:$BL$5,1,$AN$2)*100,"")</f>
        <v/>
      </c>
      <c r="AK86" s="624">
        <f>IF(OR(AI86="",AJ86=""),"",AI86-AJ86)</f>
        <v/>
      </c>
      <c r="AL86" s="394">
        <f>IF(AK86="","",IF(AK86&lt;-5,3,IF(AK86&lt;0,1,IF(AK86&lt;3,-1,-2))))</f>
        <v/>
      </c>
      <c r="AO86" s="398">
        <f>IF(OR($C86="",$E86="",$F86="",$H86="",$I86="",$H86-$I86&lt;=0),"-",IF(AND($H86-MAX($F86,$E86)&gt;=ABS($E86-$F86)*2,MIN($F86,$E86)-$I86&lt;=ABS($E86-$F86)*0.5,ABS($E86-$F86)&gt;0),"上ヒゲ陰線▼",IF(AND($E86&lt;$F86,ABS($E86-$F86)&gt;=($H86-$I86)*0.7),"大陰線▼",IF(AND(MIN($F86,$E86)-$I86&gt;=($H86-$I86)*0.5,$H86-MAX($F86,$E86)&lt;=($H86-$I86)*0.2),"長い下ヒゲ(反発警戒)","通常"))))</f>
        <v/>
      </c>
      <c r="AP86" s="625">
        <f>IF($AO86="上ヒゲ陰線▼",2,IF($AO86="大陰線▼",2,IF($AO86="長い下ヒゲ(反発警戒)",-2,0)))</f>
        <v/>
      </c>
      <c r="AQ86">
        <f>IF(C86&lt;&gt;"",始値!F205,"")</f>
        <v/>
      </c>
      <c r="AR86">
        <f>IF(C86&lt;&gt;"",高値!F205,"")</f>
        <v/>
      </c>
      <c r="AS86">
        <f>IF(C86&lt;&gt;"",安値!F205,"")</f>
        <v/>
      </c>
      <c r="AT86">
        <f>IF(OR(C86="",AQ86="",AR86="",AS86="",AR86-AS86&lt;=0),"-",IF(AND(AR86-MAX(G86,AQ86)&gt;=ABS(G86-AQ86)*2,MIN(G86,AQ86)-AS86&lt;=ABS(G86-AQ86)*0.5,ABS(G86-AQ86)&gt;0),"上ヒゲ陰線▼",IF(AND(G86&lt;AQ86,ABS(G86-AQ86)&gt;=(AR86-AS86)*0.7),"大陰線▼",IF(AND(MIN(G86,AQ86)-AS86&gt;=(AR86-AS86)*0.5,AR86-MAX(G86,AQ86)&lt;=(AR86-AS86)*0.2),"長い下ヒゲ(反発)","通常"))))</f>
        <v/>
      </c>
      <c r="AU86">
        <f>IF(AT86="上ヒゲ陰線▼",2,IF(AT86="大陰線▼",2,IF(AT86="長い下ヒゲ(反発)",-2,0)))</f>
        <v/>
      </c>
    </row>
    <row r="87" ht="14.25" customHeight="1" s="574">
      <c r="A87" s="344">
        <f>IF(銘柄管理!B9&lt;&gt;"",HYPERLINK("https://kabutan.jp/stock/?code="&amp;銘柄管理!B9,"株探"),"")</f>
        <v/>
      </c>
      <c r="B87" s="345" t="n"/>
      <c r="C87" s="345">
        <f>IF(銘柄管理!B9="","",銘柄管理!B9)</f>
        <v/>
      </c>
      <c r="D87" s="345">
        <f>IF(銘柄管理!C9="","",銘柄管理!C9)</f>
        <v/>
      </c>
      <c r="E87" s="346">
        <f>IF(C87&lt;&gt;"",_xll.RssMarket(C87,"現在値"),"")</f>
        <v/>
      </c>
      <c r="F87" s="346">
        <f>IF(C87&lt;&gt;"",_xll.RssMarket(C87,"始値"),"")</f>
        <v/>
      </c>
      <c r="G87" s="345">
        <f>IF(C87&lt;&gt;"",終値!F9,"")</f>
        <v/>
      </c>
      <c r="H87" s="346">
        <f>IF(C87&lt;&gt;"",_xll.RssMarket(C87,"高値"),"")</f>
        <v/>
      </c>
      <c r="I87" s="346">
        <f>IF(C87&lt;&gt;"",_xll.RssMarket(C87,"安値"),"")</f>
        <v/>
      </c>
      <c r="J87" s="346">
        <f>IF(C87&lt;&gt;"",_xll.RssMarket(C87,"出来高"),"")</f>
        <v/>
      </c>
      <c r="K87" s="346">
        <f>IF(C87&lt;&gt;"",_xll.RssMarket(C87,"年初来高値"),"")</f>
        <v/>
      </c>
      <c r="L87" s="619">
        <f>IF(AND(E87&lt;&gt;"",K87&lt;&gt;"",K87&lt;&gt;0),(E87-K87)/K87*100,"")</f>
        <v/>
      </c>
      <c r="M87" s="346">
        <f>IF(C87&lt;&gt;"",IFERROR(AVERAGE(出来高!E9:I9),""),"")</f>
        <v/>
      </c>
      <c r="N87" s="346">
        <f>IF(C87&lt;&gt;"",IFERROR(AVERAGE(出来高!E9:AC9),""),"")</f>
        <v/>
      </c>
      <c r="O87" s="620">
        <f>IF(AND(J87&lt;&gt;"",M87&lt;&gt;"",M87&lt;&gt;0),J87/M87,"")</f>
        <v/>
      </c>
      <c r="P87" s="345">
        <f>IF(O87="","",IF(O87&gt;=2,"急増↑↑",IF(O87&gt;=1.5,"増加↑",IF(O87&gt;=1,"普通→","減少↓"))))</f>
        <v/>
      </c>
      <c r="Q87" s="345">
        <f>IF(E87="","",IF(AND(E87&lt;G87,O87&gt;=1.5),"売り▼",IF(E87&gt;G87,"様子見▲","中立→")))</f>
        <v/>
      </c>
      <c r="R87" s="346">
        <f>IF(E87&lt;&gt;"",ROUND(E87*0.92,0),"")</f>
        <v/>
      </c>
      <c r="S87" s="346">
        <f>IF(E87&lt;&gt;"",ROUND(E87*1.04,0),"")</f>
        <v/>
      </c>
      <c r="T87" s="345">
        <f>IF(C87="","",IFERROR(IF(W87&gt;=70,3,IF(W87&gt;=60,2,IF(W87&gt;=50,1,0)))+IF(X87&lt;0,2,0)+IF(AD87="下降トレンド▼",3,IF(AD87="もみ合い→",1,0))+IF(V87="年初来安値圏●",3,IF(V87="安値圏",2,0))+IF(Q87="売り▼",2,0)+IF(P87="急増↑↑",2,IF(P87="増加↑",1,0))+IF(Z87&lt;0,1,0)+IF(L87&lt;=-30,2,IF(L87&lt;=-15,1,0))+IF(AE87="25日戻り売り★",2,IF(AE87="5日戻り売り○",1,0))+N(AL87)+N(AP87)+N(AU87),0))</f>
        <v/>
      </c>
      <c r="U87" s="345">
        <f>IF(T87="","",IF(AND(T87&gt;=3,O87&gt;=1.5),"有効",IF(T87&gt;=3,"要確認","除外")))</f>
        <v/>
      </c>
      <c r="V87" s="345">
        <f>IF(AND(I87&lt;&gt;"",K87&lt;&gt;""),IF(I87&lt;=K87*0.6,"年初来安値圏●",IF(I87&lt;=K87*0.75,"安値圏","通常")),"")</f>
        <v/>
      </c>
      <c r="W87" s="621">
        <f t="array" ref="W87">IFERROR(100-100/(1+SUMPRODUCT((終値!F9:R9&gt;終値!G9:S9)*(終値!F9:R9-終値!G9:S9))/SUMPRODUCT((終値!F9:R9&lt;終値!G9:S9)*(終値!G9:S9-終値!F9:R9))),50)</f>
        <v/>
      </c>
      <c r="X87" s="350">
        <f>IF(C87&lt;&gt;"",IFERROR(SUMPRODUCT(終値!E9:P9,{0.154,0.132,0.113,0.097,0.083,0.071,0.061,0.052,0.045,0.038,0.033,0.028})/SUMPRODUCT({0.154,0.132,0.113,0.097,0.083,0.071,0.061,0.052,0.045,0.038,0.033,0.028})-SUMPRODUCT(終値!E9:AD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7" s="345">
        <f>IF(AF87="","",AF87&amp;" | "&amp;AD87&amp;IF(AE87&lt;&gt;"なし"," "&amp;AE87,"")&amp;IF(X87&lt;0," MACD-"," MACD+")&amp;" RSI:"&amp;TEXT(W87,"0.0")&amp;IF(W87&gt;=70," [過熱]",IF(W87&lt;=30," [売られ過ぎ]",""))&amp;" 前日比:"&amp;TEXT(Z87,"+0.0;-0.0;0.0")&amp;"%"&amp;IF(V87="年初来安値圏●"," [年初来安値圏]",IF(V87="安値圏"," [安値圏]",""))&amp;IF(OR(AO87="通常",AO87="-"),""," ["&amp;AO87&amp;"]")&amp;IF(OR(AT87="通常",AT87="-"),"","前日["&amp;AT87&amp;"]")&amp;" ["&amp;T87&amp;"点]")</f>
        <v/>
      </c>
      <c r="Z87" s="622">
        <f>IF(AND(E87&lt;&gt;"",G87&lt;&gt;"",G87&lt;&gt;0),(E87-G87)/G87*100,"")</f>
        <v/>
      </c>
      <c r="AA87" s="345">
        <f>IF(OR(C87="",E87="",E87=0),"",IF(E87&gt;G87,"上昇▲",IF(E87&lt;G87,"下落▼","横ばい→")))</f>
        <v/>
      </c>
      <c r="AB87" s="346">
        <f>IF(OR(C87="",C87="TOPX",終値!E9=""),"",IFERROR(((終値!E9*0.333)+(終値!F9*0.222)+(終値!G9*0.148)+(終値!H9*0.099)+(終値!I9*0.066))/(0.333+0.222+0.148+0.099+0.066),""))</f>
        <v/>
      </c>
      <c r="AC87" s="346">
        <f>IF(OR(C87="",C87="TOPX",終値!E9=""),"",IFERROR(SUMPRODUCT((終値!E9:AC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7" s="345">
        <f>IF(OR(C87="",AB87="",AC87="",AB87=0,AC87=0),"",IF(AND(E87&gt;AB87,AB87&gt;AC87),"パーフェクト▲",IF(E87&gt;AC87,"上昇トレンド▲",IF(AND(E87&lt;AB87,AB87&lt;AC87),"下降トレンド▼","もみ合い→"))))</f>
        <v/>
      </c>
      <c r="AE87" s="345">
        <f>IF(OR(C87="",AB87="",AC87=""),"",IF(AND(ABS(E87-AC87)/AC87&lt;=0.02,E87&lt;AC87),"25日戻り売り★",IF(AND(ABS(E87-AB87)/AB87&lt;=0.01,E87&lt;AB87),"5日戻り売り○","なし")))</f>
        <v/>
      </c>
      <c r="AF87">
        <f>IF(T87="","",IF(銘柄管理!$F$5="上昇▲",IF(AND(AD87="下降トレンド▼",OR(AE87="25日戻り売り★",AE87="5日戻り売り○")),"★逆張り売り",IF(AND(AD87="もみ合い→",OR(AE87="25日戻り売り★",AE87="5日戻り売り○")),"○逆張り売り",IF(W87&gt;=70,IF(Z87&lt;0,"◎反落確認","△過熱・様子見"),"相場上昇・見送り"))),IF(AND(T87&gt;=12,AD87="下降トレンド▼"),"★強い売り",IF(T87&gt;=12,"★強い売り",IF(AND(T87&gt;=8,OR(AE87="25日戻り売り★",AE87="5日戻り売り○")),"◎戻り売り",IF(T87&gt;=10,"○売り候補",IF(T87&gt;=6,"△注目",IF(T87&gt;=3,"様子見","見送り"))))))))</f>
        <v/>
      </c>
      <c r="AG87">
        <f>IF(AND(T87&gt;=7,C87&lt;&gt;""),T87,0)</f>
        <v/>
      </c>
      <c r="AH87">
        <f>IF(AG87&gt;0,AG87*10000-ROW(A87),0)</f>
        <v/>
      </c>
      <c r="AI87" s="623">
        <f t="array" ref="AI87">IF(C87="","",IFERROR((INDEX(終値!$E:$E,MATCH(TEXT(C87,"0"),終値!$A:$A,0))-INDEX(終値!$E:$BL,MATCH(TEXT(C87,"0"),終値!$A:$A,0),$AN$2))/INDEX(終値!$E:$BL,MATCH(TEXT(C87,"0"),終値!$A:$A,0),$AN$2)*100,""))</f>
        <v/>
      </c>
      <c r="AJ87" s="623">
        <f t="array" ref="AJ87">IFERROR((終値!$E$5-INDEX(終値!$E$5:$BL$5,1,$AN$2))/INDEX(終値!$E$5:$BL$5,1,$AN$2)*100,"")</f>
        <v/>
      </c>
      <c r="AK87" s="624">
        <f>IF(OR(AI87="",AJ87=""),"",AI87-AJ87)</f>
        <v/>
      </c>
      <c r="AL87" s="394">
        <f>IF(AK87="","",IF(AK87&lt;-5,3,IF(AK87&lt;0,1,IF(AK87&lt;3,-1,-2))))</f>
        <v/>
      </c>
      <c r="AO87" s="398">
        <f>IF(OR($C87="",$E87="",$F87="",$H87="",$I87="",$H87-$I87&lt;=0),"-",IF(AND($H87-MAX($F87,$E87)&gt;=ABS($E87-$F87)*2,MIN($F87,$E87)-$I87&lt;=ABS($E87-$F87)*0.5,ABS($E87-$F87)&gt;0),"上ヒゲ陰線▼",IF(AND($E87&lt;$F87,ABS($E87-$F87)&gt;=($H87-$I87)*0.7),"大陰線▼",IF(AND(MIN($F87,$E87)-$I87&gt;=($H87-$I87)*0.5,$H87-MAX($F87,$E87)&lt;=($H87-$I87)*0.2),"長い下ヒゲ(反発警戒)","通常"))))</f>
        <v/>
      </c>
      <c r="AP87" s="625">
        <f>IF($AO87="上ヒゲ陰線▼",2,IF($AO87="大陰線▼",2,IF($AO87="長い下ヒゲ(反発警戒)",-2,0)))</f>
        <v/>
      </c>
      <c r="AQ87">
        <f>IF(C87&lt;&gt;"",始値!F9,"")</f>
        <v/>
      </c>
      <c r="AR87">
        <f>IF(C87&lt;&gt;"",高値!F9,"")</f>
        <v/>
      </c>
      <c r="AS87">
        <f>IF(C87&lt;&gt;"",安値!F9,"")</f>
        <v/>
      </c>
      <c r="AT87">
        <f>IF(OR(C87="",AQ87="",AR87="",AS87="",AR87-AS87&lt;=0),"-",IF(AND(AR87-MAX(G87,AQ87)&gt;=ABS(G87-AQ87)*2,MIN(G87,AQ87)-AS87&lt;=ABS(G87-AQ87)*0.5,ABS(G87-AQ87)&gt;0),"上ヒゲ陰線▼",IF(AND(G87&lt;AQ87,ABS(G87-AQ87)&gt;=(AR87-AS87)*0.7),"大陰線▼",IF(AND(MIN(G87,AQ87)-AS87&gt;=(AR87-AS87)*0.5,AR87-MAX(G87,AQ87)&lt;=(AR87-AS87)*0.2),"長い下ヒゲ(反発)","通常"))))</f>
        <v/>
      </c>
      <c r="AU87">
        <f>IF(AT87="上ヒゲ陰線▼",2,IF(AT87="大陰線▼",2,IF(AT87="長い下ヒゲ(反発)",-2,0)))</f>
        <v/>
      </c>
    </row>
    <row r="88" ht="14.25" customHeight="1" s="574">
      <c r="A88" s="352">
        <f>IF(銘柄管理!B15&lt;&gt;"",HYPERLINK("https://kabutan.jp/stock/?code="&amp;銘柄管理!B15,"株探"),"")</f>
        <v/>
      </c>
      <c r="B88" s="225" t="n"/>
      <c r="C88" s="225">
        <f>IF(銘柄管理!B15="","",銘柄管理!B15)</f>
        <v/>
      </c>
      <c r="D88" s="225">
        <f>IF(銘柄管理!C15="","",銘柄管理!C15)</f>
        <v/>
      </c>
      <c r="E88" s="353">
        <f>IF(C88&lt;&gt;"",_xll.RssMarket(C88,"現在値"),"")</f>
        <v/>
      </c>
      <c r="F88" s="353">
        <f>IF(C88&lt;&gt;"",_xll.RssMarket(C88,"始値"),"")</f>
        <v/>
      </c>
      <c r="G88" s="225">
        <f>IF(C88&lt;&gt;"",終値!F15,"")</f>
        <v/>
      </c>
      <c r="H88" s="353">
        <f>IF(C88&lt;&gt;"",_xll.RssMarket(C88,"高値"),"")</f>
        <v/>
      </c>
      <c r="I88" s="353">
        <f>IF(C88&lt;&gt;"",_xll.RssMarket(C88,"安値"),"")</f>
        <v/>
      </c>
      <c r="J88" s="353">
        <f>IF(C88&lt;&gt;"",_xll.RssMarket(C88,"出来高"),"")</f>
        <v/>
      </c>
      <c r="K88" s="353">
        <f>IF(C88&lt;&gt;"",_xll.RssMarket(C88,"年初来高値"),"")</f>
        <v/>
      </c>
      <c r="L88" s="626">
        <f>IF(AND(E88&lt;&gt;"",K88&lt;&gt;"",K88&lt;&gt;0),(E88-K88)/K88*100,"")</f>
        <v/>
      </c>
      <c r="M88" s="353">
        <f>IF(C88&lt;&gt;"",IFERROR(AVERAGE(出来高!E15:I15),""),"")</f>
        <v/>
      </c>
      <c r="N88" s="353">
        <f>IF(C88&lt;&gt;"",IFERROR(AVERAGE(出来高!E15:AC15),""),"")</f>
        <v/>
      </c>
      <c r="O88" s="627">
        <f>IF(AND(J88&lt;&gt;"",M88&lt;&gt;"",M88&lt;&gt;0),J88/M88,"")</f>
        <v/>
      </c>
      <c r="P88" s="225">
        <f>IF(O88="","",IF(O88&gt;=2,"急増↑↑",IF(O88&gt;=1.5,"増加↑",IF(O88&gt;=1,"普通→","減少↓"))))</f>
        <v/>
      </c>
      <c r="Q88" s="225">
        <f>IF(E88="","",IF(AND(E88&lt;G88,O88&gt;=1.5),"売り▼",IF(E88&gt;G88,"様子見▲","中立→")))</f>
        <v/>
      </c>
      <c r="R88" s="353">
        <f>IF(E88&lt;&gt;"",ROUND(E88*0.92,0),"")</f>
        <v/>
      </c>
      <c r="S88" s="353">
        <f>IF(E88&lt;&gt;"",ROUND(E88*1.04,0),"")</f>
        <v/>
      </c>
      <c r="T88" s="345">
        <f>IF(C88="","",IFERROR(IF(W88&gt;=70,3,IF(W88&gt;=60,2,IF(W88&gt;=50,1,0)))+IF(X88&lt;0,2,0)+IF(AD88="下降トレンド▼",3,IF(AD88="もみ合い→",1,0))+IF(V88="年初来安値圏●",3,IF(V88="安値圏",2,0))+IF(Q88="売り▼",2,0)+IF(P88="急増↑↑",2,IF(P88="増加↑",1,0))+IF(Z88&lt;0,1,0)+IF(L88&lt;=-30,2,IF(L88&lt;=-15,1,0))+IF(AE88="25日戻り売り★",2,IF(AE88="5日戻り売り○",1,0))+N(AL88)+N(AP88)+N(AU88),0))</f>
        <v/>
      </c>
      <c r="U88" s="225">
        <f>IF(T88="","",IF(AND(T88&gt;=3,O88&gt;=1.5),"有効",IF(T88&gt;=3,"要確認","除外")))</f>
        <v/>
      </c>
      <c r="V88" s="225">
        <f>IF(AND(I88&lt;&gt;"",K88&lt;&gt;""),IF(I88&lt;=K88*0.6,"年初来安値圏●",IF(I88&lt;=K88*0.75,"安値圏","通常")),"")</f>
        <v/>
      </c>
      <c r="W88" s="628">
        <f t="array" ref="W88">IFERROR(100-100/(1+SUMPRODUCT((終値!F15:R15&gt;終値!G15:S15)*(終値!F15:R15-終値!G15:S15))/SUMPRODUCT((終値!F15:R15&lt;終値!G15:S15)*(終値!G15:S15-終値!F15:R15))),50)</f>
        <v/>
      </c>
      <c r="X88" s="357">
        <f>IF(C88&lt;&gt;"",IFERROR(SUMPRODUCT(終値!E15:P15,{0.154,0.132,0.113,0.097,0.083,0.071,0.061,0.052,0.045,0.038,0.033,0.028})/SUMPRODUCT({0.154,0.132,0.113,0.097,0.083,0.071,0.061,0.052,0.045,0.038,0.033,0.028})-SUMPRODUCT(終値!E15:AD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8" s="225">
        <f>IF(AF88="","",AF88&amp;" | "&amp;AD88&amp;IF(AE88&lt;&gt;"なし"," "&amp;AE88,"")&amp;IF(X88&lt;0," MACD-"," MACD+")&amp;" RSI:"&amp;TEXT(W88,"0.0")&amp;IF(W88&gt;=70," [過熱]",IF(W88&lt;=30," [売られ過ぎ]",""))&amp;" 前日比:"&amp;TEXT(Z88,"+0.0;-0.0;0.0")&amp;"%"&amp;IF(V88="年初来安値圏●"," [年初来安値圏]",IF(V88="安値圏"," [安値圏]",""))&amp;IF(OR(AO88="通常",AO88="-"),""," ["&amp;AO88&amp;"]")&amp;IF(OR(AT88="通常",AT88="-"),"","前日["&amp;AT88&amp;"]")&amp;" ["&amp;T88&amp;"点]")</f>
        <v/>
      </c>
      <c r="Z88" s="629">
        <f>IF(AND(E88&lt;&gt;"",G88&lt;&gt;"",G88&lt;&gt;0),(E88-G88)/G88*100,"")</f>
        <v/>
      </c>
      <c r="AA88" s="225">
        <f>IF(OR(C88="",E88="",E88=0),"",IF(E88&gt;G88,"上昇▲",IF(E88&lt;G88,"下落▼","横ばい→")))</f>
        <v/>
      </c>
      <c r="AB88" s="353">
        <f>IF(OR(C88="",C88="TOPX",終値!E15=""),"",IFERROR(((終値!E15*0.333)+(終値!F15*0.222)+(終値!G15*0.148)+(終値!H15*0.099)+(終値!I15*0.066))/(0.333+0.222+0.148+0.099+0.066),""))</f>
        <v/>
      </c>
      <c r="AC88" s="353">
        <f>IF(OR(C88="",C88="TOPX",終値!E15=""),"",IFERROR(SUMPRODUCT((終値!E15:AC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8" s="225">
        <f>IF(OR(C88="",AB88="",AC88="",AB88=0,AC88=0),"",IF(AND(E88&gt;AB88,AB88&gt;AC88),"パーフェクト▲",IF(E88&gt;AC88,"上昇トレンド▲",IF(AND(E88&lt;AB88,AB88&lt;AC88),"下降トレンド▼","もみ合い→"))))</f>
        <v/>
      </c>
      <c r="AE88" s="225">
        <f>IF(OR(C88="",AB88="",AC88=""),"",IF(AND(ABS(E88-AC88)/AC88&lt;=0.02,E88&lt;AC88),"25日戻り売り★",IF(AND(ABS(E88-AB88)/AB88&lt;=0.01,E88&lt;AB88),"5日戻り売り○","なし")))</f>
        <v/>
      </c>
      <c r="AF88">
        <f>IF(T88="","",IF(銘柄管理!$F$5="上昇▲",IF(AND(AD88="下降トレンド▼",OR(AE88="25日戻り売り★",AE88="5日戻り売り○")),"★逆張り売り",IF(AND(AD88="もみ合い→",OR(AE88="25日戻り売り★",AE88="5日戻り売り○")),"○逆張り売り",IF(W88&gt;=70,IF(Z88&lt;0,"◎反落確認","△過熱・様子見"),"相場上昇・見送り"))),IF(AND(T88&gt;=12,AD88="下降トレンド▼"),"★強い売り",IF(T88&gt;=12,"★強い売り",IF(AND(T88&gt;=8,OR(AE88="25日戻り売り★",AE88="5日戻り売り○")),"◎戻り売り",IF(T88&gt;=10,"○売り候補",IF(T88&gt;=6,"△注目",IF(T88&gt;=3,"様子見","見送り"))))))))</f>
        <v/>
      </c>
      <c r="AG88">
        <f>IF(AND(T88&gt;=7,C88&lt;&gt;""),T88,0)</f>
        <v/>
      </c>
      <c r="AH88">
        <f>IF(AG88&gt;0,AG88*10000-ROW(A88),0)</f>
        <v/>
      </c>
      <c r="AI88" s="623">
        <f t="array" ref="AI88">IF(C88="","",IFERROR((INDEX(終値!$E:$E,MATCH(TEXT(C88,"0"),終値!$A:$A,0))-INDEX(終値!$E:$BL,MATCH(TEXT(C88,"0"),終値!$A:$A,0),$AN$2))/INDEX(終値!$E:$BL,MATCH(TEXT(C88,"0"),終値!$A:$A,0),$AN$2)*100,""))</f>
        <v/>
      </c>
      <c r="AJ88" s="623">
        <f t="array" ref="AJ88">IFERROR((終値!$E$5-INDEX(終値!$E$5:$BL$5,1,$AN$2))/INDEX(終値!$E$5:$BL$5,1,$AN$2)*100,"")</f>
        <v/>
      </c>
      <c r="AK88" s="624">
        <f>IF(OR(AI88="",AJ88=""),"",AI88-AJ88)</f>
        <v/>
      </c>
      <c r="AL88" s="394">
        <f>IF(AK88="","",IF(AK88&lt;-5,3,IF(AK88&lt;0,1,IF(AK88&lt;3,-1,-2))))</f>
        <v/>
      </c>
      <c r="AO88" s="398">
        <f>IF(OR($C88="",$E88="",$F88="",$H88="",$I88="",$H88-$I88&lt;=0),"-",IF(AND($H88-MAX($F88,$E88)&gt;=ABS($E88-$F88)*2,MIN($F88,$E88)-$I88&lt;=ABS($E88-$F88)*0.5,ABS($E88-$F88)&gt;0),"上ヒゲ陰線▼",IF(AND($E88&lt;$F88,ABS($E88-$F88)&gt;=($H88-$I88)*0.7),"大陰線▼",IF(AND(MIN($F88,$E88)-$I88&gt;=($H88-$I88)*0.5,$H88-MAX($F88,$E88)&lt;=($H88-$I88)*0.2),"長い下ヒゲ(反発警戒)","通常"))))</f>
        <v/>
      </c>
      <c r="AP88" s="625">
        <f>IF($AO88="上ヒゲ陰線▼",2,IF($AO88="大陰線▼",2,IF($AO88="長い下ヒゲ(反発警戒)",-2,0)))</f>
        <v/>
      </c>
      <c r="AQ88">
        <f>IF(C88&lt;&gt;"",始値!F15,"")</f>
        <v/>
      </c>
      <c r="AR88">
        <f>IF(C88&lt;&gt;"",高値!F15,"")</f>
        <v/>
      </c>
      <c r="AS88">
        <f>IF(C88&lt;&gt;"",安値!F15,"")</f>
        <v/>
      </c>
      <c r="AT88">
        <f>IF(OR(C88="",AQ88="",AR88="",AS88="",AR88-AS88&lt;=0),"-",IF(AND(AR88-MAX(G88,AQ88)&gt;=ABS(G88-AQ88)*2,MIN(G88,AQ88)-AS88&lt;=ABS(G88-AQ88)*0.5,ABS(G88-AQ88)&gt;0),"上ヒゲ陰線▼",IF(AND(G88&lt;AQ88,ABS(G88-AQ88)&gt;=(AR88-AS88)*0.7),"大陰線▼",IF(AND(MIN(G88,AQ88)-AS88&gt;=(AR88-AS88)*0.5,AR88-MAX(G88,AQ88)&lt;=(AR88-AS88)*0.2),"長い下ヒゲ(反発)","通常"))))</f>
        <v/>
      </c>
      <c r="AU88">
        <f>IF(AT88="上ヒゲ陰線▼",2,IF(AT88="大陰線▼",2,IF(AT88="長い下ヒゲ(反発)",-2,0)))</f>
        <v/>
      </c>
    </row>
    <row r="89" ht="14.25" customHeight="1" s="574">
      <c r="A89" s="344">
        <f>IF(銘柄管理!B16&lt;&gt;"",HYPERLINK("https://kabutan.jp/stock/?code="&amp;銘柄管理!B16,"株探"),"")</f>
        <v/>
      </c>
      <c r="B89" s="345" t="n"/>
      <c r="C89" s="345">
        <f>IF(銘柄管理!B16="","",銘柄管理!B16)</f>
        <v/>
      </c>
      <c r="D89" s="345">
        <f>IF(銘柄管理!C16="","",銘柄管理!C16)</f>
        <v/>
      </c>
      <c r="E89" s="346">
        <f>IF(C89&lt;&gt;"",_xll.RssMarket(C89,"現在値"),"")</f>
        <v/>
      </c>
      <c r="F89" s="346">
        <f>IF(C89&lt;&gt;"",_xll.RssMarket(C89,"始値"),"")</f>
        <v/>
      </c>
      <c r="G89" s="345">
        <f>IF(C89&lt;&gt;"",終値!F16,"")</f>
        <v/>
      </c>
      <c r="H89" s="346">
        <f>IF(C89&lt;&gt;"",_xll.RssMarket(C89,"高値"),"")</f>
        <v/>
      </c>
      <c r="I89" s="346">
        <f>IF(C89&lt;&gt;"",_xll.RssMarket(C89,"安値"),"")</f>
        <v/>
      </c>
      <c r="J89" s="346">
        <f>IF(C89&lt;&gt;"",_xll.RssMarket(C89,"出来高"),"")</f>
        <v/>
      </c>
      <c r="K89" s="346">
        <f>IF(C89&lt;&gt;"",_xll.RssMarket(C89,"年初来高値"),"")</f>
        <v/>
      </c>
      <c r="L89" s="619">
        <f>IF(AND(E89&lt;&gt;"",K89&lt;&gt;"",K89&lt;&gt;0),(E89-K89)/K89*100,"")</f>
        <v/>
      </c>
      <c r="M89" s="346">
        <f>IF(C89&lt;&gt;"",IFERROR(AVERAGE(出来高!E16:I16),""),"")</f>
        <v/>
      </c>
      <c r="N89" s="346">
        <f>IF(C89&lt;&gt;"",IFERROR(AVERAGE(出来高!E16:AC16),""),"")</f>
        <v/>
      </c>
      <c r="O89" s="620">
        <f>IF(AND(J89&lt;&gt;"",M89&lt;&gt;"",M89&lt;&gt;0),J89/M89,"")</f>
        <v/>
      </c>
      <c r="P89" s="345">
        <f>IF(O89="","",IF(O89&gt;=2,"急増↑↑",IF(O89&gt;=1.5,"増加↑",IF(O89&gt;=1,"普通→","減少↓"))))</f>
        <v/>
      </c>
      <c r="Q89" s="345">
        <f>IF(E89="","",IF(AND(E89&lt;G89,O89&gt;=1.5),"売り▼",IF(E89&gt;G89,"様子見▲","中立→")))</f>
        <v/>
      </c>
      <c r="R89" s="346">
        <f>IF(E89&lt;&gt;"",ROUND(E89*0.92,0),"")</f>
        <v/>
      </c>
      <c r="S89" s="346">
        <f>IF(E89&lt;&gt;"",ROUND(E89*1.04,0),"")</f>
        <v/>
      </c>
      <c r="T89" s="345">
        <f>IF(C89="","",IFERROR(IF(W89&gt;=70,3,IF(W89&gt;=60,2,IF(W89&gt;=50,1,0)))+IF(X89&lt;0,2,0)+IF(AD89="下降トレンド▼",3,IF(AD89="もみ合い→",1,0))+IF(V89="年初来安値圏●",3,IF(V89="安値圏",2,0))+IF(Q89="売り▼",2,0)+IF(P89="急増↑↑",2,IF(P89="増加↑",1,0))+IF(Z89&lt;0,1,0)+IF(L89&lt;=-30,2,IF(L89&lt;=-15,1,0))+IF(AE89="25日戻り売り★",2,IF(AE89="5日戻り売り○",1,0))+N(AL89)+N(AP89)+N(AU89),0))</f>
        <v/>
      </c>
      <c r="U89" s="345">
        <f>IF(T89="","",IF(AND(T89&gt;=3,O89&gt;=1.5),"有効",IF(T89&gt;=3,"要確認","除外")))</f>
        <v/>
      </c>
      <c r="V89" s="345">
        <f>IF(AND(I89&lt;&gt;"",K89&lt;&gt;""),IF(I89&lt;=K89*0.6,"年初来安値圏●",IF(I89&lt;=K89*0.75,"安値圏","通常")),"")</f>
        <v/>
      </c>
      <c r="W89" s="621">
        <f t="array" ref="W89">IFERROR(100-100/(1+SUMPRODUCT((終値!F16:R16&gt;終値!G16:S16)*(終値!F16:R16-終値!G16:S16))/SUMPRODUCT((終値!F16:R16&lt;終値!G16:S16)*(終値!G16:S16-終値!F16:R16))),50)</f>
        <v/>
      </c>
      <c r="X89" s="350">
        <f>IF(C89&lt;&gt;"",IFERROR(SUMPRODUCT(終値!E16:P16,{0.154,0.132,0.113,0.097,0.083,0.071,0.061,0.052,0.045,0.038,0.033,0.028})/SUMPRODUCT({0.154,0.132,0.113,0.097,0.083,0.071,0.061,0.052,0.045,0.038,0.033,0.028})-SUMPRODUCT(終値!E16:AD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9" s="345">
        <f>IF(AF89="","",AF89&amp;" | "&amp;AD89&amp;IF(AE89&lt;&gt;"なし"," "&amp;AE89,"")&amp;IF(X89&lt;0," MACD-"," MACD+")&amp;" RSI:"&amp;TEXT(W89,"0.0")&amp;IF(W89&gt;=70," [過熱]",IF(W89&lt;=30," [売られ過ぎ]",""))&amp;" 前日比:"&amp;TEXT(Z89,"+0.0;-0.0;0.0")&amp;"%"&amp;IF(V89="年初来安値圏●"," [年初来安値圏]",IF(V89="安値圏"," [安値圏]",""))&amp;IF(OR(AO89="通常",AO89="-"),""," ["&amp;AO89&amp;"]")&amp;IF(OR(AT89="通常",AT89="-"),"","前日["&amp;AT89&amp;"]")&amp;" ["&amp;T89&amp;"点]")</f>
        <v/>
      </c>
      <c r="Z89" s="622">
        <f>IF(AND(E89&lt;&gt;"",G89&lt;&gt;"",G89&lt;&gt;0),(E89-G89)/G89*100,"")</f>
        <v/>
      </c>
      <c r="AA89" s="345">
        <f>IF(OR(C89="",E89="",E89=0),"",IF(E89&gt;G89,"上昇▲",IF(E89&lt;G89,"下落▼","横ばい→")))</f>
        <v/>
      </c>
      <c r="AB89" s="346">
        <f>IF(OR(C89="",C89="TOPX",終値!E16=""),"",IFERROR(((終値!E16*0.333)+(終値!F16*0.222)+(終値!G16*0.148)+(終値!H16*0.099)+(終値!I16*0.066))/(0.333+0.222+0.148+0.099+0.066),""))</f>
        <v/>
      </c>
      <c r="AC89" s="346">
        <f>IF(OR(C89="",C89="TOPX",終値!E16=""),"",IFERROR(SUMPRODUCT((終値!E16:AC16)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9" s="345">
        <f>IF(OR(C89="",AB89="",AC89="",AB89=0,AC89=0),"",IF(AND(E89&gt;AB89,AB89&gt;AC89),"パーフェクト▲",IF(E89&gt;AC89,"上昇トレンド▲",IF(AND(E89&lt;AB89,AB89&lt;AC89),"下降トレンド▼","もみ合い→"))))</f>
        <v/>
      </c>
      <c r="AE89" s="345">
        <f>IF(OR(C89="",AB89="",AC89=""),"",IF(AND(ABS(E89-AC89)/AC89&lt;=0.02,E89&lt;AC89),"25日戻り売り★",IF(AND(ABS(E89-AB89)/AB89&lt;=0.01,E89&lt;AB89),"5日戻り売り○","なし")))</f>
        <v/>
      </c>
      <c r="AF89">
        <f>IF(T89="","",IF(銘柄管理!$F$5="上昇▲",IF(AND(AD89="下降トレンド▼",OR(AE89="25日戻り売り★",AE89="5日戻り売り○")),"★逆張り売り",IF(AND(AD89="もみ合い→",OR(AE89="25日戻り売り★",AE89="5日戻り売り○")),"○逆張り売り",IF(W89&gt;=70,IF(Z89&lt;0,"◎反落確認","△過熱・様子見"),"相場上昇・見送り"))),IF(AND(T89&gt;=12,AD89="下降トレンド▼"),"★強い売り",IF(T89&gt;=12,"★強い売り",IF(AND(T89&gt;=8,OR(AE89="25日戻り売り★",AE89="5日戻り売り○")),"◎戻り売り",IF(T89&gt;=10,"○売り候補",IF(T89&gt;=6,"△注目",IF(T89&gt;=3,"様子見","見送り"))))))))</f>
        <v/>
      </c>
      <c r="AG89">
        <f>IF(AND(T89&gt;=7,C89&lt;&gt;""),T89,0)</f>
        <v/>
      </c>
      <c r="AH89">
        <f>IF(AG89&gt;0,AG89*10000-ROW(A89),0)</f>
        <v/>
      </c>
      <c r="AI89" s="623">
        <f t="array" ref="AI89">IF(C89="","",IFERROR((INDEX(終値!$E:$E,MATCH(TEXT(C89,"0"),終値!$A:$A,0))-INDEX(終値!$E:$BL,MATCH(TEXT(C89,"0"),終値!$A:$A,0),$AN$2))/INDEX(終値!$E:$BL,MATCH(TEXT(C89,"0"),終値!$A:$A,0),$AN$2)*100,""))</f>
        <v/>
      </c>
      <c r="AJ89" s="623">
        <f t="array" ref="AJ89">IFERROR((終値!$E$5-INDEX(終値!$E$5:$BL$5,1,$AN$2))/INDEX(終値!$E$5:$BL$5,1,$AN$2)*100,"")</f>
        <v/>
      </c>
      <c r="AK89" s="624">
        <f>IF(OR(AI89="",AJ89=""),"",AI89-AJ89)</f>
        <v/>
      </c>
      <c r="AL89" s="394">
        <f>IF(AK89="","",IF(AK89&lt;-5,3,IF(AK89&lt;0,1,IF(AK89&lt;3,-1,-2))))</f>
        <v/>
      </c>
      <c r="AO89" s="398">
        <f>IF(OR($C89="",$E89="",$F89="",$H89="",$I89="",$H89-$I89&lt;=0),"-",IF(AND($H89-MAX($F89,$E89)&gt;=ABS($E89-$F89)*2,MIN($F89,$E89)-$I89&lt;=ABS($E89-$F89)*0.5,ABS($E89-$F89)&gt;0),"上ヒゲ陰線▼",IF(AND($E89&lt;$F89,ABS($E89-$F89)&gt;=($H89-$I89)*0.7),"大陰線▼",IF(AND(MIN($F89,$E89)-$I89&gt;=($H89-$I89)*0.5,$H89-MAX($F89,$E89)&lt;=($H89-$I89)*0.2),"長い下ヒゲ(反発警戒)","通常"))))</f>
        <v/>
      </c>
      <c r="AP89" s="625">
        <f>IF($AO89="上ヒゲ陰線▼",2,IF($AO89="大陰線▼",2,IF($AO89="長い下ヒゲ(反発警戒)",-2,0)))</f>
        <v/>
      </c>
      <c r="AQ89">
        <f>IF(C89&lt;&gt;"",始値!F16,"")</f>
        <v/>
      </c>
      <c r="AR89">
        <f>IF(C89&lt;&gt;"",高値!F16,"")</f>
        <v/>
      </c>
      <c r="AS89">
        <f>IF(C89&lt;&gt;"",安値!F16,"")</f>
        <v/>
      </c>
      <c r="AT89">
        <f>IF(OR(C89="",AQ89="",AR89="",AS89="",AR89-AS89&lt;=0),"-",IF(AND(AR89-MAX(G89,AQ89)&gt;=ABS(G89-AQ89)*2,MIN(G89,AQ89)-AS89&lt;=ABS(G89-AQ89)*0.5,ABS(G89-AQ89)&gt;0),"上ヒゲ陰線▼",IF(AND(G89&lt;AQ89,ABS(G89-AQ89)&gt;=(AR89-AS89)*0.7),"大陰線▼",IF(AND(MIN(G89,AQ89)-AS89&gt;=(AR89-AS89)*0.5,AR89-MAX(G89,AQ89)&lt;=(AR89-AS89)*0.2),"長い下ヒゲ(反発)","通常"))))</f>
        <v/>
      </c>
      <c r="AU89">
        <f>IF(AT89="上ヒゲ陰線▼",2,IF(AT89="大陰線▼",2,IF(AT89="長い下ヒゲ(反発)",-2,0)))</f>
        <v/>
      </c>
    </row>
    <row r="90" ht="14.25" customHeight="1" s="574">
      <c r="A90" s="352">
        <f>IF(銘柄管理!B20&lt;&gt;"",HYPERLINK("https://kabutan.jp/stock/?code="&amp;銘柄管理!B20,"株探"),"")</f>
        <v/>
      </c>
      <c r="B90" s="225" t="n"/>
      <c r="C90" s="225">
        <f>IF(銘柄管理!B20="","",銘柄管理!B20)</f>
        <v/>
      </c>
      <c r="D90" s="225">
        <f>IF(銘柄管理!C20="","",銘柄管理!C20)</f>
        <v/>
      </c>
      <c r="E90" s="353">
        <f>IF(C90&lt;&gt;"",_xll.RssMarket(C90,"現在値"),"")</f>
        <v/>
      </c>
      <c r="F90" s="353">
        <f>IF(C90&lt;&gt;"",_xll.RssMarket(C90,"始値"),"")</f>
        <v/>
      </c>
      <c r="G90" s="225">
        <f>IF(C90&lt;&gt;"",終値!F20,"")</f>
        <v/>
      </c>
      <c r="H90" s="353">
        <f>IF(C90&lt;&gt;"",_xll.RssMarket(C90,"高値"),"")</f>
        <v/>
      </c>
      <c r="I90" s="353">
        <f>IF(C90&lt;&gt;"",_xll.RssMarket(C90,"安値"),"")</f>
        <v/>
      </c>
      <c r="J90" s="353">
        <f>IF(C90&lt;&gt;"",_xll.RssMarket(C90,"出来高"),"")</f>
        <v/>
      </c>
      <c r="K90" s="353">
        <f>IF(C90&lt;&gt;"",_xll.RssMarket(C90,"年初来高値"),"")</f>
        <v/>
      </c>
      <c r="L90" s="626">
        <f>IF(AND(E90&lt;&gt;"",K90&lt;&gt;"",K90&lt;&gt;0),(E90-K90)/K90*100,"")</f>
        <v/>
      </c>
      <c r="M90" s="353">
        <f>IF(C90&lt;&gt;"",IFERROR(AVERAGE(出来高!E20:I20),""),"")</f>
        <v/>
      </c>
      <c r="N90" s="353">
        <f>IF(C90&lt;&gt;"",IFERROR(AVERAGE(出来高!E20:AC20),""),"")</f>
        <v/>
      </c>
      <c r="O90" s="627">
        <f>IF(AND(J90&lt;&gt;"",M90&lt;&gt;"",M90&lt;&gt;0),J90/M90,"")</f>
        <v/>
      </c>
      <c r="P90" s="225">
        <f>IF(O90="","",IF(O90&gt;=2,"急増↑↑",IF(O90&gt;=1.5,"増加↑",IF(O90&gt;=1,"普通→","減少↓"))))</f>
        <v/>
      </c>
      <c r="Q90" s="225">
        <f>IF(E90="","",IF(AND(E90&lt;G90,O90&gt;=1.5),"売り▼",IF(E90&gt;G90,"様子見▲","中立→")))</f>
        <v/>
      </c>
      <c r="R90" s="353">
        <f>IF(E90&lt;&gt;"",ROUND(E90*0.92,0),"")</f>
        <v/>
      </c>
      <c r="S90" s="353">
        <f>IF(E90&lt;&gt;"",ROUND(E90*1.04,0),"")</f>
        <v/>
      </c>
      <c r="T90" s="345">
        <f>IF(C90="","",IFERROR(IF(W90&gt;=70,3,IF(W90&gt;=60,2,IF(W90&gt;=50,1,0)))+IF(X90&lt;0,2,0)+IF(AD90="下降トレンド▼",3,IF(AD90="もみ合い→",1,0))+IF(V90="年初来安値圏●",3,IF(V90="安値圏",2,0))+IF(Q90="売り▼",2,0)+IF(P90="急増↑↑",2,IF(P90="増加↑",1,0))+IF(Z90&lt;0,1,0)+IF(L90&lt;=-30,2,IF(L90&lt;=-15,1,0))+IF(AE90="25日戻り売り★",2,IF(AE90="5日戻り売り○",1,0))+N(AL90)+N(AP90)+N(AU90),0))</f>
        <v/>
      </c>
      <c r="U90" s="225">
        <f>IF(T90="","",IF(AND(T90&gt;=3,O90&gt;=1.5),"有効",IF(T90&gt;=3,"要確認","除外")))</f>
        <v/>
      </c>
      <c r="V90" s="225">
        <f>IF(AND(I90&lt;&gt;"",K90&lt;&gt;""),IF(I90&lt;=K90*0.6,"年初来安値圏●",IF(I90&lt;=K90*0.75,"安値圏","通常")),"")</f>
        <v/>
      </c>
      <c r="W90" s="628">
        <f t="array" ref="W90">IFERROR(100-100/(1+SUMPRODUCT((終値!F20:R20&gt;終値!G20:S20)*(終値!F20:R20-終値!G20:S20))/SUMPRODUCT((終値!F20:R20&lt;終値!G20:S20)*(終値!G20:S20-終値!F20:R20))),50)</f>
        <v/>
      </c>
      <c r="X90" s="357">
        <f>IF(C90&lt;&gt;"",IFERROR(SUMPRODUCT(終値!E20:P20,{0.154,0.132,0.113,0.097,0.083,0.071,0.061,0.052,0.045,0.038,0.033,0.028})/SUMPRODUCT({0.154,0.132,0.113,0.097,0.083,0.071,0.061,0.052,0.045,0.038,0.033,0.028})-SUMPRODUCT(終値!E20:AD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0" s="225">
        <f>IF(AF90="","",AF90&amp;" | "&amp;AD90&amp;IF(AE90&lt;&gt;"なし"," "&amp;AE90,"")&amp;IF(X90&lt;0," MACD-"," MACD+")&amp;" RSI:"&amp;TEXT(W90,"0.0")&amp;IF(W90&gt;=70," [過熱]",IF(W90&lt;=30," [売られ過ぎ]",""))&amp;" 前日比:"&amp;TEXT(Z90,"+0.0;-0.0;0.0")&amp;"%"&amp;IF(V90="年初来安値圏●"," [年初来安値圏]",IF(V90="安値圏"," [安値圏]",""))&amp;IF(OR(AO90="通常",AO90="-"),""," ["&amp;AO90&amp;"]")&amp;IF(OR(AT90="通常",AT90="-"),"","前日["&amp;AT90&amp;"]")&amp;" ["&amp;T90&amp;"点]")</f>
        <v/>
      </c>
      <c r="Z90" s="629">
        <f>IF(AND(E90&lt;&gt;"",G90&lt;&gt;"",G90&lt;&gt;0),(E90-G90)/G90*100,"")</f>
        <v/>
      </c>
      <c r="AA90" s="225">
        <f>IF(OR(C90="",E90="",E90=0),"",IF(E90&gt;G90,"上昇▲",IF(E90&lt;G90,"下落▼","横ばい→")))</f>
        <v/>
      </c>
      <c r="AB90" s="353">
        <f>IF(OR(C90="",C90="TOPX",終値!E20=""),"",IFERROR(((終値!E20*0.333)+(終値!F20*0.222)+(終値!G20*0.148)+(終値!H20*0.099)+(終値!I20*0.066))/(0.333+0.222+0.148+0.099+0.066),""))</f>
        <v/>
      </c>
      <c r="AC90" s="353">
        <f>IF(OR(C90="",C90="TOPX",終値!E20=""),"",IFERROR(SUMPRODUCT((終値!E20:AC20)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0" s="225">
        <f>IF(OR(C90="",AB90="",AC90="",AB90=0,AC90=0),"",IF(AND(E90&gt;AB90,AB90&gt;AC90),"パーフェクト▲",IF(E90&gt;AC90,"上昇トレンド▲",IF(AND(E90&lt;AB90,AB90&lt;AC90),"下降トレンド▼","もみ合い→"))))</f>
        <v/>
      </c>
      <c r="AE90" s="225">
        <f>IF(OR(C90="",AB90="",AC90=""),"",IF(AND(ABS(E90-AC90)/AC90&lt;=0.02,E90&lt;AC90),"25日戻り売り★",IF(AND(ABS(E90-AB90)/AB90&lt;=0.01,E90&lt;AB90),"5日戻り売り○","なし")))</f>
        <v/>
      </c>
      <c r="AF90">
        <f>IF(T90="","",IF(銘柄管理!$F$5="上昇▲",IF(AND(AD90="下降トレンド▼",OR(AE90="25日戻り売り★",AE90="5日戻り売り○")),"★逆張り売り",IF(AND(AD90="もみ合い→",OR(AE90="25日戻り売り★",AE90="5日戻り売り○")),"○逆張り売り",IF(W90&gt;=70,IF(Z90&lt;0,"◎反落確認","△過熱・様子見"),"相場上昇・見送り"))),IF(AND(T90&gt;=12,AD90="下降トレンド▼"),"★強い売り",IF(T90&gt;=12,"★強い売り",IF(AND(T90&gt;=8,OR(AE90="25日戻り売り★",AE90="5日戻り売り○")),"◎戻り売り",IF(T90&gt;=10,"○売り候補",IF(T90&gt;=6,"△注目",IF(T90&gt;=3,"様子見","見送り"))))))))</f>
        <v/>
      </c>
      <c r="AG90">
        <f>IF(AND(T90&gt;=7,C90&lt;&gt;""),T90,0)</f>
        <v/>
      </c>
      <c r="AH90">
        <f>IF(AG90&gt;0,AG90*10000-ROW(A90),0)</f>
        <v/>
      </c>
      <c r="AI90" s="623">
        <f t="array" ref="AI90">IF(C90="","",IFERROR((INDEX(終値!$E:$E,MATCH(TEXT(C90,"0"),終値!$A:$A,0))-INDEX(終値!$E:$BL,MATCH(TEXT(C90,"0"),終値!$A:$A,0),$AN$2))/INDEX(終値!$E:$BL,MATCH(TEXT(C90,"0"),終値!$A:$A,0),$AN$2)*100,""))</f>
        <v/>
      </c>
      <c r="AJ90" s="623">
        <f t="array" ref="AJ90">IFERROR((終値!$E$5-INDEX(終値!$E$5:$BL$5,1,$AN$2))/INDEX(終値!$E$5:$BL$5,1,$AN$2)*100,"")</f>
        <v/>
      </c>
      <c r="AK90" s="624">
        <f>IF(OR(AI90="",AJ90=""),"",AI90-AJ90)</f>
        <v/>
      </c>
      <c r="AL90" s="394">
        <f>IF(AK90="","",IF(AK90&lt;-5,3,IF(AK90&lt;0,1,IF(AK90&lt;3,-1,-2))))</f>
        <v/>
      </c>
      <c r="AO90" s="398">
        <f>IF(OR($C90="",$E90="",$F90="",$H90="",$I90="",$H90-$I90&lt;=0),"-",IF(AND($H90-MAX($F90,$E90)&gt;=ABS($E90-$F90)*2,MIN($F90,$E90)-$I90&lt;=ABS($E90-$F90)*0.5,ABS($E90-$F90)&gt;0),"上ヒゲ陰線▼",IF(AND($E90&lt;$F90,ABS($E90-$F90)&gt;=($H90-$I90)*0.7),"大陰線▼",IF(AND(MIN($F90,$E90)-$I90&gt;=($H90-$I90)*0.5,$H90-MAX($F90,$E90)&lt;=($H90-$I90)*0.2),"長い下ヒゲ(反発警戒)","通常"))))</f>
        <v/>
      </c>
      <c r="AP90" s="625">
        <f>IF($AO90="上ヒゲ陰線▼",2,IF($AO90="大陰線▼",2,IF($AO90="長い下ヒゲ(反発警戒)",-2,0)))</f>
        <v/>
      </c>
      <c r="AQ90">
        <f>IF(C90&lt;&gt;"",始値!F20,"")</f>
        <v/>
      </c>
      <c r="AR90">
        <f>IF(C90&lt;&gt;"",高値!F20,"")</f>
        <v/>
      </c>
      <c r="AS90">
        <f>IF(C90&lt;&gt;"",安値!F20,"")</f>
        <v/>
      </c>
      <c r="AT90">
        <f>IF(OR(C90="",AQ90="",AR90="",AS90="",AR90-AS90&lt;=0),"-",IF(AND(AR90-MAX(G90,AQ90)&gt;=ABS(G90-AQ90)*2,MIN(G90,AQ90)-AS90&lt;=ABS(G90-AQ90)*0.5,ABS(G90-AQ90)&gt;0),"上ヒゲ陰線▼",IF(AND(G90&lt;AQ90,ABS(G90-AQ90)&gt;=(AR90-AS90)*0.7),"大陰線▼",IF(AND(MIN(G90,AQ90)-AS90&gt;=(AR90-AS90)*0.5,AR90-MAX(G90,AQ90)&lt;=(AR90-AS90)*0.2),"長い下ヒゲ(反発)","通常"))))</f>
        <v/>
      </c>
      <c r="AU90">
        <f>IF(AT90="上ヒゲ陰線▼",2,IF(AT90="大陰線▼",2,IF(AT90="長い下ヒゲ(反発)",-2,0)))</f>
        <v/>
      </c>
    </row>
    <row r="91" ht="14.25" customHeight="1" s="574">
      <c r="A91" s="344">
        <f>IF(銘柄管理!B23&lt;&gt;"",HYPERLINK("https://kabutan.jp/stock/?code="&amp;銘柄管理!B23,"株探"),"")</f>
        <v/>
      </c>
      <c r="B91" s="345" t="n"/>
      <c r="C91" s="345">
        <f>IF(銘柄管理!B23="","",銘柄管理!B23)</f>
        <v/>
      </c>
      <c r="D91" s="345">
        <f>IF(銘柄管理!C23="","",銘柄管理!C23)</f>
        <v/>
      </c>
      <c r="E91" s="346">
        <f>IF(C91&lt;&gt;"",_xll.RssMarket(C91,"現在値"),"")</f>
        <v/>
      </c>
      <c r="F91" s="346">
        <f>IF(C91&lt;&gt;"",_xll.RssMarket(C91,"始値"),"")</f>
        <v/>
      </c>
      <c r="G91" s="345">
        <f>IF(C91&lt;&gt;"",終値!F23,"")</f>
        <v/>
      </c>
      <c r="H91" s="346">
        <f>IF(C91&lt;&gt;"",_xll.RssMarket(C91,"高値"),"")</f>
        <v/>
      </c>
      <c r="I91" s="346">
        <f>IF(C91&lt;&gt;"",_xll.RssMarket(C91,"安値"),"")</f>
        <v/>
      </c>
      <c r="J91" s="346">
        <f>IF(C91&lt;&gt;"",_xll.RssMarket(C91,"出来高"),"")</f>
        <v/>
      </c>
      <c r="K91" s="346">
        <f>IF(C91&lt;&gt;"",_xll.RssMarket(C91,"年初来高値"),"")</f>
        <v/>
      </c>
      <c r="L91" s="619">
        <f>IF(AND(E91&lt;&gt;"",K91&lt;&gt;"",K91&lt;&gt;0),(E91-K91)/K91*100,"")</f>
        <v/>
      </c>
      <c r="M91" s="346">
        <f>IF(C91&lt;&gt;"",IFERROR(AVERAGE(出来高!E23:I23),""),"")</f>
        <v/>
      </c>
      <c r="N91" s="346">
        <f>IF(C91&lt;&gt;"",IFERROR(AVERAGE(出来高!E23:AC23),""),"")</f>
        <v/>
      </c>
      <c r="O91" s="620">
        <f>IF(AND(J91&lt;&gt;"",M91&lt;&gt;"",M91&lt;&gt;0),J91/M91,"")</f>
        <v/>
      </c>
      <c r="P91" s="345">
        <f>IF(O91="","",IF(O91&gt;=2,"急増↑↑",IF(O91&gt;=1.5,"増加↑",IF(O91&gt;=1,"普通→","減少↓"))))</f>
        <v/>
      </c>
      <c r="Q91" s="345">
        <f>IF(E91="","",IF(AND(E91&lt;G91,O91&gt;=1.5),"売り▼",IF(E91&gt;G91,"様子見▲","中立→")))</f>
        <v/>
      </c>
      <c r="R91" s="346">
        <f>IF(E91&lt;&gt;"",ROUND(E91*0.92,0),"")</f>
        <v/>
      </c>
      <c r="S91" s="346">
        <f>IF(E91&lt;&gt;"",ROUND(E91*1.04,0),"")</f>
        <v/>
      </c>
      <c r="T91" s="345">
        <f>IF(C91="","",IFERROR(IF(W91&gt;=70,3,IF(W91&gt;=60,2,IF(W91&gt;=50,1,0)))+IF(X91&lt;0,2,0)+IF(AD91="下降トレンド▼",3,IF(AD91="もみ合い→",1,0))+IF(V91="年初来安値圏●",3,IF(V91="安値圏",2,0))+IF(Q91="売り▼",2,0)+IF(P91="急増↑↑",2,IF(P91="増加↑",1,0))+IF(Z91&lt;0,1,0)+IF(L91&lt;=-30,2,IF(L91&lt;=-15,1,0))+IF(AE91="25日戻り売り★",2,IF(AE91="5日戻り売り○",1,0))+N(AL91)+N(AP91)+N(AU91),0))</f>
        <v/>
      </c>
      <c r="U91" s="345">
        <f>IF(T91="","",IF(AND(T91&gt;=3,O91&gt;=1.5),"有効",IF(T91&gt;=3,"要確認","除外")))</f>
        <v/>
      </c>
      <c r="V91" s="345">
        <f>IF(AND(I91&lt;&gt;"",K91&lt;&gt;""),IF(I91&lt;=K91*0.6,"年初来安値圏●",IF(I91&lt;=K91*0.75,"安値圏","通常")),"")</f>
        <v/>
      </c>
      <c r="W91" s="621">
        <f t="array" ref="W91">IFERROR(100-100/(1+SUMPRODUCT((終値!F23:R23&gt;終値!G23:S23)*(終値!F23:R23-終値!G23:S23))/SUMPRODUCT((終値!F23:R23&lt;終値!G23:S23)*(終値!G23:S23-終値!F23:R23))),50)</f>
        <v/>
      </c>
      <c r="X91" s="350">
        <f>IF(C91&lt;&gt;"",IFERROR(SUMPRODUCT(終値!E23:P23,{0.154,0.132,0.113,0.097,0.083,0.071,0.061,0.052,0.045,0.038,0.033,0.028})/SUMPRODUCT({0.154,0.132,0.113,0.097,0.083,0.071,0.061,0.052,0.045,0.038,0.033,0.028})-SUMPRODUCT(終値!E23:AD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1" s="345">
        <f>IF(AF91="","",AF91&amp;" | "&amp;AD91&amp;IF(AE91&lt;&gt;"なし"," "&amp;AE91,"")&amp;IF(X91&lt;0," MACD-"," MACD+")&amp;" RSI:"&amp;TEXT(W91,"0.0")&amp;IF(W91&gt;=70," [過熱]",IF(W91&lt;=30," [売られ過ぎ]",""))&amp;" 前日比:"&amp;TEXT(Z91,"+0.0;-0.0;0.0")&amp;"%"&amp;IF(V91="年初来安値圏●"," [年初来安値圏]",IF(V91="安値圏"," [安値圏]",""))&amp;IF(OR(AO91="通常",AO91="-"),""," ["&amp;AO91&amp;"]")&amp;IF(OR(AT91="通常",AT91="-"),"","前日["&amp;AT91&amp;"]")&amp;" ["&amp;T91&amp;"点]")</f>
        <v/>
      </c>
      <c r="Z91" s="622">
        <f>IF(AND(E91&lt;&gt;"",G91&lt;&gt;"",G91&lt;&gt;0),(E91-G91)/G91*100,"")</f>
        <v/>
      </c>
      <c r="AA91" s="345">
        <f>IF(OR(C91="",E91="",E91=0),"",IF(E91&gt;G91,"上昇▲",IF(E91&lt;G91,"下落▼","横ばい→")))</f>
        <v/>
      </c>
      <c r="AB91" s="346">
        <f>IF(OR(C91="",C91="TOPX",終値!E23=""),"",IFERROR(((終値!E23*0.333)+(終値!F23*0.222)+(終値!G23*0.148)+(終値!H23*0.099)+(終値!I23*0.066))/(0.333+0.222+0.148+0.099+0.066),""))</f>
        <v/>
      </c>
      <c r="AC91" s="346">
        <f>IF(OR(C91="",C91="TOPX",終値!E23=""),"",IFERROR(SUMPRODUCT((終値!E23:AC23)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1" s="345">
        <f>IF(OR(C91="",AB91="",AC91="",AB91=0,AC91=0),"",IF(AND(E91&gt;AB91,AB91&gt;AC91),"パーフェクト▲",IF(E91&gt;AC91,"上昇トレンド▲",IF(AND(E91&lt;AB91,AB91&lt;AC91),"下降トレンド▼","もみ合い→"))))</f>
        <v/>
      </c>
      <c r="AE91" s="345">
        <f>IF(OR(C91="",AB91="",AC91=""),"",IF(AND(ABS(E91-AC91)/AC91&lt;=0.02,E91&lt;AC91),"25日戻り売り★",IF(AND(ABS(E91-AB91)/AB91&lt;=0.01,E91&lt;AB91),"5日戻り売り○","なし")))</f>
        <v/>
      </c>
      <c r="AF91">
        <f>IF(T91="","",IF(銘柄管理!$F$5="上昇▲",IF(AND(AD91="下降トレンド▼",OR(AE91="25日戻り売り★",AE91="5日戻り売り○")),"★逆張り売り",IF(AND(AD91="もみ合い→",OR(AE91="25日戻り売り★",AE91="5日戻り売り○")),"○逆張り売り",IF(W91&gt;=70,IF(Z91&lt;0,"◎反落確認","△過熱・様子見"),"相場上昇・見送り"))),IF(AND(T91&gt;=12,AD91="下降トレンド▼"),"★強い売り",IF(T91&gt;=12,"★強い売り",IF(AND(T91&gt;=8,OR(AE91="25日戻り売り★",AE91="5日戻り売り○")),"◎戻り売り",IF(T91&gt;=10,"○売り候補",IF(T91&gt;=6,"△注目",IF(T91&gt;=3,"様子見","見送り"))))))))</f>
        <v/>
      </c>
      <c r="AG91">
        <f>IF(AND(T91&gt;=7,C91&lt;&gt;""),T91,0)</f>
        <v/>
      </c>
      <c r="AH91">
        <f>IF(AG91&gt;0,AG91*10000-ROW(A91),0)</f>
        <v/>
      </c>
      <c r="AI91" s="623">
        <f t="array" ref="AI91">IF(C91="","",IFERROR((INDEX(終値!$E:$E,MATCH(TEXT(C91,"0"),終値!$A:$A,0))-INDEX(終値!$E:$BL,MATCH(TEXT(C91,"0"),終値!$A:$A,0),$AN$2))/INDEX(終値!$E:$BL,MATCH(TEXT(C91,"0"),終値!$A:$A,0),$AN$2)*100,""))</f>
        <v/>
      </c>
      <c r="AJ91" s="623">
        <f t="array" ref="AJ91">IFERROR((終値!$E$5-INDEX(終値!$E$5:$BL$5,1,$AN$2))/INDEX(終値!$E$5:$BL$5,1,$AN$2)*100,"")</f>
        <v/>
      </c>
      <c r="AK91" s="624">
        <f>IF(OR(AI91="",AJ91=""),"",AI91-AJ91)</f>
        <v/>
      </c>
      <c r="AL91" s="394">
        <f>IF(AK91="","",IF(AK91&lt;-5,3,IF(AK91&lt;0,1,IF(AK91&lt;3,-1,-2))))</f>
        <v/>
      </c>
      <c r="AO91" s="398">
        <f>IF(OR($C91="",$E91="",$F91="",$H91="",$I91="",$H91-$I91&lt;=0),"-",IF(AND($H91-MAX($F91,$E91)&gt;=ABS($E91-$F91)*2,MIN($F91,$E91)-$I91&lt;=ABS($E91-$F91)*0.5,ABS($E91-$F91)&gt;0),"上ヒゲ陰線▼",IF(AND($E91&lt;$F91,ABS($E91-$F91)&gt;=($H91-$I91)*0.7),"大陰線▼",IF(AND(MIN($F91,$E91)-$I91&gt;=($H91-$I91)*0.5,$H91-MAX($F91,$E91)&lt;=($H91-$I91)*0.2),"長い下ヒゲ(反発警戒)","通常"))))</f>
        <v/>
      </c>
      <c r="AP91" s="625">
        <f>IF($AO91="上ヒゲ陰線▼",2,IF($AO91="大陰線▼",2,IF($AO91="長い下ヒゲ(反発警戒)",-2,0)))</f>
        <v/>
      </c>
      <c r="AQ91">
        <f>IF(C91&lt;&gt;"",始値!F23,"")</f>
        <v/>
      </c>
      <c r="AR91">
        <f>IF(C91&lt;&gt;"",高値!F23,"")</f>
        <v/>
      </c>
      <c r="AS91">
        <f>IF(C91&lt;&gt;"",安値!F23,"")</f>
        <v/>
      </c>
      <c r="AT91">
        <f>IF(OR(C91="",AQ91="",AR91="",AS91="",AR91-AS91&lt;=0),"-",IF(AND(AR91-MAX(G91,AQ91)&gt;=ABS(G91-AQ91)*2,MIN(G91,AQ91)-AS91&lt;=ABS(G91-AQ91)*0.5,ABS(G91-AQ91)&gt;0),"上ヒゲ陰線▼",IF(AND(G91&lt;AQ91,ABS(G91-AQ91)&gt;=(AR91-AS91)*0.7),"大陰線▼",IF(AND(MIN(G91,AQ91)-AS91&gt;=(AR91-AS91)*0.5,AR91-MAX(G91,AQ91)&lt;=(AR91-AS91)*0.2),"長い下ヒゲ(反発)","通常"))))</f>
        <v/>
      </c>
      <c r="AU91">
        <f>IF(AT91="上ヒゲ陰線▼",2,IF(AT91="大陰線▼",2,IF(AT91="長い下ヒゲ(反発)",-2,0)))</f>
        <v/>
      </c>
    </row>
    <row r="92" ht="14.25" customHeight="1" s="574">
      <c r="A92" s="352">
        <f>IF(銘柄管理!B35&lt;&gt;"",HYPERLINK("https://kabutan.jp/stock/?code="&amp;銘柄管理!B35,"株探"),"")</f>
        <v/>
      </c>
      <c r="B92" s="225" t="n"/>
      <c r="C92" s="225">
        <f>IF(銘柄管理!B35="","",銘柄管理!B35)</f>
        <v/>
      </c>
      <c r="D92" s="225">
        <f>IF(銘柄管理!C35="","",銘柄管理!C35)</f>
        <v/>
      </c>
      <c r="E92" s="353">
        <f>IF(C92&lt;&gt;"",_xll.RssMarket(C92,"現在値"),"")</f>
        <v/>
      </c>
      <c r="F92" s="353">
        <f>IF(C92&lt;&gt;"",_xll.RssMarket(C92,"始値"),"")</f>
        <v/>
      </c>
      <c r="G92" s="225">
        <f>IF(C92&lt;&gt;"",終値!F35,"")</f>
        <v/>
      </c>
      <c r="H92" s="353">
        <f>IF(C92&lt;&gt;"",_xll.RssMarket(C92,"高値"),"")</f>
        <v/>
      </c>
      <c r="I92" s="353">
        <f>IF(C92&lt;&gt;"",_xll.RssMarket(C92,"安値"),"")</f>
        <v/>
      </c>
      <c r="J92" s="353">
        <f>IF(C92&lt;&gt;"",_xll.RssMarket(C92,"出来高"),"")</f>
        <v/>
      </c>
      <c r="K92" s="353">
        <f>IF(C92&lt;&gt;"",_xll.RssMarket(C92,"年初来高値"),"")</f>
        <v/>
      </c>
      <c r="L92" s="626">
        <f>IF(AND(E92&lt;&gt;"",K92&lt;&gt;"",K92&lt;&gt;0),(E92-K92)/K92*100,"")</f>
        <v/>
      </c>
      <c r="M92" s="353">
        <f>IF(C92&lt;&gt;"",IFERROR(AVERAGE(出来高!E35:I35),""),"")</f>
        <v/>
      </c>
      <c r="N92" s="353">
        <f>IF(C92&lt;&gt;"",IFERROR(AVERAGE(出来高!E35:AC35),""),"")</f>
        <v/>
      </c>
      <c r="O92" s="627">
        <f>IF(AND(J92&lt;&gt;"",M92&lt;&gt;"",M92&lt;&gt;0),J92/M92,"")</f>
        <v/>
      </c>
      <c r="P92" s="225">
        <f>IF(O92="","",IF(O92&gt;=2,"急増↑↑",IF(O92&gt;=1.5,"増加↑",IF(O92&gt;=1,"普通→","減少↓"))))</f>
        <v/>
      </c>
      <c r="Q92" s="225">
        <f>IF(E92="","",IF(AND(E92&lt;G92,O92&gt;=1.5),"売り▼",IF(E92&gt;G92,"様子見▲","中立→")))</f>
        <v/>
      </c>
      <c r="R92" s="353">
        <f>IF(E92&lt;&gt;"",ROUND(E92*0.92,0),"")</f>
        <v/>
      </c>
      <c r="S92" s="353">
        <f>IF(E92&lt;&gt;"",ROUND(E92*1.04,0),"")</f>
        <v/>
      </c>
      <c r="T92" s="345">
        <f>IF(C92="","",IFERROR(IF(W92&gt;=70,3,IF(W92&gt;=60,2,IF(W92&gt;=50,1,0)))+IF(X92&lt;0,2,0)+IF(AD92="下降トレンド▼",3,IF(AD92="もみ合い→",1,0))+IF(V92="年初来安値圏●",3,IF(V92="安値圏",2,0))+IF(Q92="売り▼",2,0)+IF(P92="急増↑↑",2,IF(P92="増加↑",1,0))+IF(Z92&lt;0,1,0)+IF(L92&lt;=-30,2,IF(L92&lt;=-15,1,0))+IF(AE92="25日戻り売り★",2,IF(AE92="5日戻り売り○",1,0))+N(AL92)+N(AP92)+N(AU92),0))</f>
        <v/>
      </c>
      <c r="U92" s="225">
        <f>IF(T92="","",IF(AND(T92&gt;=3,O92&gt;=1.5),"有効",IF(T92&gt;=3,"要確認","除外")))</f>
        <v/>
      </c>
      <c r="V92" s="225">
        <f>IF(AND(I92&lt;&gt;"",K92&lt;&gt;""),IF(I92&lt;=K92*0.6,"年初来安値圏●",IF(I92&lt;=K92*0.75,"安値圏","通常")),"")</f>
        <v/>
      </c>
      <c r="W92" s="628">
        <f t="array" ref="W92">IFERROR(100-100/(1+SUMPRODUCT((終値!F35:R35&gt;終値!G35:S35)*(終値!F35:R35-終値!G35:S35))/SUMPRODUCT((終値!F35:R35&lt;終値!G35:S35)*(終値!G35:S35-終値!F35:R35))),50)</f>
        <v/>
      </c>
      <c r="X92" s="357">
        <f>IF(C92&lt;&gt;"",IFERROR(SUMPRODUCT(終値!E35:P35,{0.154,0.132,0.113,0.097,0.083,0.071,0.061,0.052,0.045,0.038,0.033,0.028})/SUMPRODUCT({0.154,0.132,0.113,0.097,0.083,0.071,0.061,0.052,0.045,0.038,0.033,0.028})-SUMPRODUCT(終値!E35:AD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2" s="225">
        <f>IF(AF92="","",AF92&amp;" | "&amp;AD92&amp;IF(AE92&lt;&gt;"なし"," "&amp;AE92,"")&amp;IF(X92&lt;0," MACD-"," MACD+")&amp;" RSI:"&amp;TEXT(W92,"0.0")&amp;IF(W92&gt;=70," [過熱]",IF(W92&lt;=30," [売られ過ぎ]",""))&amp;" 前日比:"&amp;TEXT(Z92,"+0.0;-0.0;0.0")&amp;"%"&amp;IF(V92="年初来安値圏●"," [年初来安値圏]",IF(V92="安値圏"," [安値圏]",""))&amp;IF(OR(AO92="通常",AO92="-"),""," ["&amp;AO92&amp;"]")&amp;IF(OR(AT92="通常",AT92="-"),"","前日["&amp;AT92&amp;"]")&amp;" ["&amp;T92&amp;"点]")</f>
        <v/>
      </c>
      <c r="Z92" s="629">
        <f>IF(AND(E92&lt;&gt;"",G92&lt;&gt;"",G92&lt;&gt;0),(E92-G92)/G92*100,"")</f>
        <v/>
      </c>
      <c r="AA92" s="225">
        <f>IF(OR(C92="",E92="",E92=0),"",IF(E92&gt;G92,"上昇▲",IF(E92&lt;G92,"下落▼","横ばい→")))</f>
        <v/>
      </c>
      <c r="AB92" s="353">
        <f>IF(OR(C92="",C92="TOPX",終値!E35=""),"",IFERROR(((終値!E35*0.333)+(終値!F35*0.222)+(終値!G35*0.148)+(終値!H35*0.099)+(終値!I35*0.066))/(0.333+0.222+0.148+0.099+0.066),""))</f>
        <v/>
      </c>
      <c r="AC92" s="353">
        <f>IF(OR(C92="",C92="TOPX",終値!E35=""),"",IFERROR(SUMPRODUCT((終値!E35:AC35)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2" s="225">
        <f>IF(OR(C92="",AB92="",AC92="",AB92=0,AC92=0),"",IF(AND(E92&gt;AB92,AB92&gt;AC92),"パーフェクト▲",IF(E92&gt;AC92,"上昇トレンド▲",IF(AND(E92&lt;AB92,AB92&lt;AC92),"下降トレンド▼","もみ合い→"))))</f>
        <v/>
      </c>
      <c r="AE92" s="225">
        <f>IF(OR(C92="",AB92="",AC92=""),"",IF(AND(ABS(E92-AC92)/AC92&lt;=0.02,E92&lt;AC92),"25日戻り売り★",IF(AND(ABS(E92-AB92)/AB92&lt;=0.01,E92&lt;AB92),"5日戻り売り○","なし")))</f>
        <v/>
      </c>
      <c r="AF92">
        <f>IF(T92="","",IF(銘柄管理!$F$5="上昇▲",IF(AND(AD92="下降トレンド▼",OR(AE92="25日戻り売り★",AE92="5日戻り売り○")),"★逆張り売り",IF(AND(AD92="もみ合い→",OR(AE92="25日戻り売り★",AE92="5日戻り売り○")),"○逆張り売り",IF(W92&gt;=70,IF(Z92&lt;0,"◎反落確認","△過熱・様子見"),"相場上昇・見送り"))),IF(AND(T92&gt;=12,AD92="下降トレンド▼"),"★強い売り",IF(T92&gt;=12,"★強い売り",IF(AND(T92&gt;=8,OR(AE92="25日戻り売り★",AE92="5日戻り売り○")),"◎戻り売り",IF(T92&gt;=10,"○売り候補",IF(T92&gt;=6,"△注目",IF(T92&gt;=3,"様子見","見送り"))))))))</f>
        <v/>
      </c>
      <c r="AG92">
        <f>IF(AND(T92&gt;=7,C92&lt;&gt;""),T92,0)</f>
        <v/>
      </c>
      <c r="AH92">
        <f>IF(AG92&gt;0,AG92*10000-ROW(A92),0)</f>
        <v/>
      </c>
      <c r="AI92" s="623">
        <f t="array" ref="AI92">IF(C92="","",IFERROR((INDEX(終値!$E:$E,MATCH(TEXT(C92,"0"),終値!$A:$A,0))-INDEX(終値!$E:$BL,MATCH(TEXT(C92,"0"),終値!$A:$A,0),$AN$2))/INDEX(終値!$E:$BL,MATCH(TEXT(C92,"0"),終値!$A:$A,0),$AN$2)*100,""))</f>
        <v/>
      </c>
      <c r="AJ92" s="623">
        <f t="array" ref="AJ92">IFERROR((終値!$E$5-INDEX(終値!$E$5:$BL$5,1,$AN$2))/INDEX(終値!$E$5:$BL$5,1,$AN$2)*100,"")</f>
        <v/>
      </c>
      <c r="AK92" s="624">
        <f>IF(OR(AI92="",AJ92=""),"",AI92-AJ92)</f>
        <v/>
      </c>
      <c r="AL92" s="394">
        <f>IF(AK92="","",IF(AK92&lt;-5,3,IF(AK92&lt;0,1,IF(AK92&lt;3,-1,-2))))</f>
        <v/>
      </c>
      <c r="AO92" s="398">
        <f>IF(OR($C92="",$E92="",$F92="",$H92="",$I92="",$H92-$I92&lt;=0),"-",IF(AND($H92-MAX($F92,$E92)&gt;=ABS($E92-$F92)*2,MIN($F92,$E92)-$I92&lt;=ABS($E92-$F92)*0.5,ABS($E92-$F92)&gt;0),"上ヒゲ陰線▼",IF(AND($E92&lt;$F92,ABS($E92-$F92)&gt;=($H92-$I92)*0.7),"大陰線▼",IF(AND(MIN($F92,$E92)-$I92&gt;=($H92-$I92)*0.5,$H92-MAX($F92,$E92)&lt;=($H92-$I92)*0.2),"長い下ヒゲ(反発警戒)","通常"))))</f>
        <v/>
      </c>
      <c r="AP92" s="625">
        <f>IF($AO92="上ヒゲ陰線▼",2,IF($AO92="大陰線▼",2,IF($AO92="長い下ヒゲ(反発警戒)",-2,0)))</f>
        <v/>
      </c>
      <c r="AQ92">
        <f>IF(C92&lt;&gt;"",始値!F35,"")</f>
        <v/>
      </c>
      <c r="AR92">
        <f>IF(C92&lt;&gt;"",高値!F35,"")</f>
        <v/>
      </c>
      <c r="AS92">
        <f>IF(C92&lt;&gt;"",安値!F35,"")</f>
        <v/>
      </c>
      <c r="AT92">
        <f>IF(OR(C92="",AQ92="",AR92="",AS92="",AR92-AS92&lt;=0),"-",IF(AND(AR92-MAX(G92,AQ92)&gt;=ABS(G92-AQ92)*2,MIN(G92,AQ92)-AS92&lt;=ABS(G92-AQ92)*0.5,ABS(G92-AQ92)&gt;0),"上ヒゲ陰線▼",IF(AND(G92&lt;AQ92,ABS(G92-AQ92)&gt;=(AR92-AS92)*0.7),"大陰線▼",IF(AND(MIN(G92,AQ92)-AS92&gt;=(AR92-AS92)*0.5,AR92-MAX(G92,AQ92)&lt;=(AR92-AS92)*0.2),"長い下ヒゲ(反発)","通常"))))</f>
        <v/>
      </c>
      <c r="AU92">
        <f>IF(AT92="上ヒゲ陰線▼",2,IF(AT92="大陰線▼",2,IF(AT92="長い下ヒゲ(反発)",-2,0)))</f>
        <v/>
      </c>
    </row>
    <row r="93" ht="14.25" customHeight="1" s="574">
      <c r="A93" s="344">
        <f>IF(銘柄管理!B36&lt;&gt;"",HYPERLINK("https://kabutan.jp/stock/?code="&amp;銘柄管理!B36,"株探"),"")</f>
        <v/>
      </c>
      <c r="B93" s="345" t="n"/>
      <c r="C93" s="345">
        <f>IF(銘柄管理!B36="","",銘柄管理!B36)</f>
        <v/>
      </c>
      <c r="D93" s="345">
        <f>IF(銘柄管理!C36="","",銘柄管理!C36)</f>
        <v/>
      </c>
      <c r="E93" s="346">
        <f>IF(C93&lt;&gt;"",_xll.RssMarket(C93,"現在値"),"")</f>
        <v/>
      </c>
      <c r="F93" s="346">
        <f>IF(C93&lt;&gt;"",_xll.RssMarket(C93,"始値"),"")</f>
        <v/>
      </c>
      <c r="G93" s="345">
        <f>IF(C93&lt;&gt;"",終値!F36,"")</f>
        <v/>
      </c>
      <c r="H93" s="346">
        <f>IF(C93&lt;&gt;"",_xll.RssMarket(C93,"高値"),"")</f>
        <v/>
      </c>
      <c r="I93" s="346">
        <f>IF(C93&lt;&gt;"",_xll.RssMarket(C93,"安値"),"")</f>
        <v/>
      </c>
      <c r="J93" s="346">
        <f>IF(C93&lt;&gt;"",_xll.RssMarket(C93,"出来高"),"")</f>
        <v/>
      </c>
      <c r="K93" s="346">
        <f>IF(C93&lt;&gt;"",_xll.RssMarket(C93,"年初来高値"),"")</f>
        <v/>
      </c>
      <c r="L93" s="619">
        <f>IF(AND(E93&lt;&gt;"",K93&lt;&gt;"",K93&lt;&gt;0),(E93-K93)/K93*100,"")</f>
        <v/>
      </c>
      <c r="M93" s="346">
        <f>IF(C93&lt;&gt;"",IFERROR(AVERAGE(出来高!E36:I36),""),"")</f>
        <v/>
      </c>
      <c r="N93" s="346">
        <f>IF(C93&lt;&gt;"",IFERROR(AVERAGE(出来高!E36:AC36),""),"")</f>
        <v/>
      </c>
      <c r="O93" s="620">
        <f>IF(AND(J93&lt;&gt;"",M93&lt;&gt;"",M93&lt;&gt;0),J93/M93,"")</f>
        <v/>
      </c>
      <c r="P93" s="345">
        <f>IF(O93="","",IF(O93&gt;=2,"急増↑↑",IF(O93&gt;=1.5,"増加↑",IF(O93&gt;=1,"普通→","減少↓"))))</f>
        <v/>
      </c>
      <c r="Q93" s="345">
        <f>IF(E93="","",IF(AND(E93&lt;G93,O93&gt;=1.5),"売り▼",IF(E93&gt;G93,"様子見▲","中立→")))</f>
        <v/>
      </c>
      <c r="R93" s="346">
        <f>IF(E93&lt;&gt;"",ROUND(E93*0.92,0),"")</f>
        <v/>
      </c>
      <c r="S93" s="346">
        <f>IF(E93&lt;&gt;"",ROUND(E93*1.04,0),"")</f>
        <v/>
      </c>
      <c r="T93" s="345">
        <f>IF(C93="","",IFERROR(IF(W93&gt;=70,3,IF(W93&gt;=60,2,IF(W93&gt;=50,1,0)))+IF(X93&lt;0,2,0)+IF(AD93="下降トレンド▼",3,IF(AD93="もみ合い→",1,0))+IF(V93="年初来安値圏●",3,IF(V93="安値圏",2,0))+IF(Q93="売り▼",2,0)+IF(P93="急増↑↑",2,IF(P93="増加↑",1,0))+IF(Z93&lt;0,1,0)+IF(L93&lt;=-30,2,IF(L93&lt;=-15,1,0))+IF(AE93="25日戻り売り★",2,IF(AE93="5日戻り売り○",1,0))+N(AL93)+N(AP93)+N(AU93),0))</f>
        <v/>
      </c>
      <c r="U93" s="345">
        <f>IF(T93="","",IF(AND(T93&gt;=3,O93&gt;=1.5),"有効",IF(T93&gt;=3,"要確認","除外")))</f>
        <v/>
      </c>
      <c r="V93" s="345">
        <f>IF(AND(I93&lt;&gt;"",K93&lt;&gt;""),IF(I93&lt;=K93*0.6,"年初来安値圏●",IF(I93&lt;=K93*0.75,"安値圏","通常")),"")</f>
        <v/>
      </c>
      <c r="W93" s="621">
        <f t="array" ref="W93">IFERROR(100-100/(1+SUMPRODUCT((終値!F36:R36&gt;終値!G36:S36)*(終値!F36:R36-終値!G36:S36))/SUMPRODUCT((終値!F36:R36&lt;終値!G36:S36)*(終値!G36:S36-終値!F36:R36))),50)</f>
        <v/>
      </c>
      <c r="X93" s="350">
        <f>IF(C93&lt;&gt;"",IFERROR(SUMPRODUCT(終値!E36:P36,{0.154,0.132,0.113,0.097,0.083,0.071,0.061,0.052,0.045,0.038,0.033,0.028})/SUMPRODUCT({0.154,0.132,0.113,0.097,0.083,0.071,0.061,0.052,0.045,0.038,0.033,0.028})-SUMPRODUCT(終値!E36:AD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3" s="345">
        <f>IF(AF93="","",AF93&amp;" | "&amp;AD93&amp;IF(AE93&lt;&gt;"なし"," "&amp;AE93,"")&amp;IF(X93&lt;0," MACD-"," MACD+")&amp;" RSI:"&amp;TEXT(W93,"0.0")&amp;IF(W93&gt;=70," [過熱]",IF(W93&lt;=30," [売られ過ぎ]",""))&amp;" 前日比:"&amp;TEXT(Z93,"+0.0;-0.0;0.0")&amp;"%"&amp;IF(V93="年初来安値圏●"," [年初来安値圏]",IF(V93="安値圏"," [安値圏]",""))&amp;IF(OR(AO93="通常",AO93="-"),""," ["&amp;AO93&amp;"]")&amp;IF(OR(AT93="通常",AT93="-"),"","前日["&amp;AT93&amp;"]")&amp;" ["&amp;T93&amp;"点]")</f>
        <v/>
      </c>
      <c r="Z93" s="622">
        <f>IF(AND(E93&lt;&gt;"",G93&lt;&gt;"",G93&lt;&gt;0),(E93-G93)/G93*100,"")</f>
        <v/>
      </c>
      <c r="AA93" s="345">
        <f>IF(OR(C93="",E93="",E93=0),"",IF(E93&gt;G93,"上昇▲",IF(E93&lt;G93,"下落▼","横ばい→")))</f>
        <v/>
      </c>
      <c r="AB93" s="346">
        <f>IF(OR(C93="",C93="TOPX",終値!E36=""),"",IFERROR(((終値!E36*0.333)+(終値!F36*0.222)+(終値!G36*0.148)+(終値!H36*0.099)+(終値!I36*0.066))/(0.333+0.222+0.148+0.099+0.066),""))</f>
        <v/>
      </c>
      <c r="AC93" s="346">
        <f>IF(OR(C93="",C93="TOPX",終値!E36=""),"",IFERROR(SUMPRODUCT((終値!E36:AC36)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3" s="345">
        <f>IF(OR(C93="",AB93="",AC93="",AB93=0,AC93=0),"",IF(AND(E93&gt;AB93,AB93&gt;AC93),"パーフェクト▲",IF(E93&gt;AC93,"上昇トレンド▲",IF(AND(E93&lt;AB93,AB93&lt;AC93),"下降トレンド▼","もみ合い→"))))</f>
        <v/>
      </c>
      <c r="AE93" s="345">
        <f>IF(OR(C93="",AB93="",AC93=""),"",IF(AND(ABS(E93-AC93)/AC93&lt;=0.02,E93&lt;AC93),"25日戻り売り★",IF(AND(ABS(E93-AB93)/AB93&lt;=0.01,E93&lt;AB93),"5日戻り売り○","なし")))</f>
        <v/>
      </c>
      <c r="AF93">
        <f>IF(T93="","",IF(銘柄管理!$F$5="上昇▲",IF(AND(AD93="下降トレンド▼",OR(AE93="25日戻り売り★",AE93="5日戻り売り○")),"★逆張り売り",IF(AND(AD93="もみ合い→",OR(AE93="25日戻り売り★",AE93="5日戻り売り○")),"○逆張り売り",IF(W93&gt;=70,IF(Z93&lt;0,"◎反落確認","△過熱・様子見"),"相場上昇・見送り"))),IF(AND(T93&gt;=12,AD93="下降トレンド▼"),"★強い売り",IF(T93&gt;=12,"★強い売り",IF(AND(T93&gt;=8,OR(AE93="25日戻り売り★",AE93="5日戻り売り○")),"◎戻り売り",IF(T93&gt;=10,"○売り候補",IF(T93&gt;=6,"△注目",IF(T93&gt;=3,"様子見","見送り"))))))))</f>
        <v/>
      </c>
      <c r="AG93">
        <f>IF(AND(T93&gt;=7,C93&lt;&gt;""),T93,0)</f>
        <v/>
      </c>
      <c r="AH93">
        <f>IF(AG93&gt;0,AG93*10000-ROW(A93),0)</f>
        <v/>
      </c>
      <c r="AI93" s="623">
        <f t="array" ref="AI93">IF(C93="","",IFERROR((INDEX(終値!$E:$E,MATCH(TEXT(C93,"0"),終値!$A:$A,0))-INDEX(終値!$E:$BL,MATCH(TEXT(C93,"0"),終値!$A:$A,0),$AN$2))/INDEX(終値!$E:$BL,MATCH(TEXT(C93,"0"),終値!$A:$A,0),$AN$2)*100,""))</f>
        <v/>
      </c>
      <c r="AJ93" s="623">
        <f t="array" ref="AJ93">IFERROR((終値!$E$5-INDEX(終値!$E$5:$BL$5,1,$AN$2))/INDEX(終値!$E$5:$BL$5,1,$AN$2)*100,"")</f>
        <v/>
      </c>
      <c r="AK93" s="624">
        <f>IF(OR(AI93="",AJ93=""),"",AI93-AJ93)</f>
        <v/>
      </c>
      <c r="AL93" s="394">
        <f>IF(AK93="","",IF(AK93&lt;-5,3,IF(AK93&lt;0,1,IF(AK93&lt;3,-1,-2))))</f>
        <v/>
      </c>
      <c r="AO93" s="398">
        <f>IF(OR($C93="",$E93="",$F93="",$H93="",$I93="",$H93-$I93&lt;=0),"-",IF(AND($H93-MAX($F93,$E93)&gt;=ABS($E93-$F93)*2,MIN($F93,$E93)-$I93&lt;=ABS($E93-$F93)*0.5,ABS($E93-$F93)&gt;0),"上ヒゲ陰線▼",IF(AND($E93&lt;$F93,ABS($E93-$F93)&gt;=($H93-$I93)*0.7),"大陰線▼",IF(AND(MIN($F93,$E93)-$I93&gt;=($H93-$I93)*0.5,$H93-MAX($F93,$E93)&lt;=($H93-$I93)*0.2),"長い下ヒゲ(反発警戒)","通常"))))</f>
        <v/>
      </c>
      <c r="AP93" s="625">
        <f>IF($AO93="上ヒゲ陰線▼",2,IF($AO93="大陰線▼",2,IF($AO93="長い下ヒゲ(反発警戒)",-2,0)))</f>
        <v/>
      </c>
      <c r="AQ93">
        <f>IF(C93&lt;&gt;"",始値!F36,"")</f>
        <v/>
      </c>
      <c r="AR93">
        <f>IF(C93&lt;&gt;"",高値!F36,"")</f>
        <v/>
      </c>
      <c r="AS93">
        <f>IF(C93&lt;&gt;"",安値!F36,"")</f>
        <v/>
      </c>
      <c r="AT93">
        <f>IF(OR(C93="",AQ93="",AR93="",AS93="",AR93-AS93&lt;=0),"-",IF(AND(AR93-MAX(G93,AQ93)&gt;=ABS(G93-AQ93)*2,MIN(G93,AQ93)-AS93&lt;=ABS(G93-AQ93)*0.5,ABS(G93-AQ93)&gt;0),"上ヒゲ陰線▼",IF(AND(G93&lt;AQ93,ABS(G93-AQ93)&gt;=(AR93-AS93)*0.7),"大陰線▼",IF(AND(MIN(G93,AQ93)-AS93&gt;=(AR93-AS93)*0.5,AR93-MAX(G93,AQ93)&lt;=(AR93-AS93)*0.2),"長い下ヒゲ(反発)","通常"))))</f>
        <v/>
      </c>
      <c r="AU93">
        <f>IF(AT93="上ヒゲ陰線▼",2,IF(AT93="大陰線▼",2,IF(AT93="長い下ヒゲ(反発)",-2,0)))</f>
        <v/>
      </c>
    </row>
    <row r="94" ht="14.25" customHeight="1" s="574">
      <c r="A94" s="352">
        <f>IF(銘柄管理!B37&lt;&gt;"",HYPERLINK("https://kabutan.jp/stock/?code="&amp;銘柄管理!B37,"株探"),"")</f>
        <v/>
      </c>
      <c r="B94" s="225" t="n"/>
      <c r="C94" s="225">
        <f>IF(銘柄管理!B37="","",銘柄管理!B37)</f>
        <v/>
      </c>
      <c r="D94" s="225">
        <f>IF(銘柄管理!C37="","",銘柄管理!C37)</f>
        <v/>
      </c>
      <c r="E94" s="353">
        <f>IF(C94&lt;&gt;"",_xll.RssMarket(C94,"現在値"),"")</f>
        <v/>
      </c>
      <c r="F94" s="353">
        <f>IF(C94&lt;&gt;"",_xll.RssMarket(C94,"始値"),"")</f>
        <v/>
      </c>
      <c r="G94" s="225">
        <f>IF(C94&lt;&gt;"",終値!F37,"")</f>
        <v/>
      </c>
      <c r="H94" s="353">
        <f>IF(C94&lt;&gt;"",_xll.RssMarket(C94,"高値"),"")</f>
        <v/>
      </c>
      <c r="I94" s="353">
        <f>IF(C94&lt;&gt;"",_xll.RssMarket(C94,"安値"),"")</f>
        <v/>
      </c>
      <c r="J94" s="353">
        <f>IF(C94&lt;&gt;"",_xll.RssMarket(C94,"出来高"),"")</f>
        <v/>
      </c>
      <c r="K94" s="353">
        <f>IF(C94&lt;&gt;"",_xll.RssMarket(C94,"年初来高値"),"")</f>
        <v/>
      </c>
      <c r="L94" s="626">
        <f>IF(AND(E94&lt;&gt;"",K94&lt;&gt;"",K94&lt;&gt;0),(E94-K94)/K94*100,"")</f>
        <v/>
      </c>
      <c r="M94" s="353">
        <f>IF(C94&lt;&gt;"",IFERROR(AVERAGE(出来高!E37:I37),""),"")</f>
        <v/>
      </c>
      <c r="N94" s="353">
        <f>IF(C94&lt;&gt;"",IFERROR(AVERAGE(出来高!E37:AC37),""),"")</f>
        <v/>
      </c>
      <c r="O94" s="627">
        <f>IF(AND(J94&lt;&gt;"",M94&lt;&gt;"",M94&lt;&gt;0),J94/M94,"")</f>
        <v/>
      </c>
      <c r="P94" s="225">
        <f>IF(O94="","",IF(O94&gt;=2,"急増↑↑",IF(O94&gt;=1.5,"増加↑",IF(O94&gt;=1,"普通→","減少↓"))))</f>
        <v/>
      </c>
      <c r="Q94" s="225">
        <f>IF(E94="","",IF(AND(E94&lt;G94,O94&gt;=1.5),"売り▼",IF(E94&gt;G94,"様子見▲","中立→")))</f>
        <v/>
      </c>
      <c r="R94" s="353">
        <f>IF(E94&lt;&gt;"",ROUND(E94*0.92,0),"")</f>
        <v/>
      </c>
      <c r="S94" s="353">
        <f>IF(E94&lt;&gt;"",ROUND(E94*1.04,0),"")</f>
        <v/>
      </c>
      <c r="T94" s="345">
        <f>IF(C94="","",IFERROR(IF(W94&gt;=70,3,IF(W94&gt;=60,2,IF(W94&gt;=50,1,0)))+IF(X94&lt;0,2,0)+IF(AD94="下降トレンド▼",3,IF(AD94="もみ合い→",1,0))+IF(V94="年初来安値圏●",3,IF(V94="安値圏",2,0))+IF(Q94="売り▼",2,0)+IF(P94="急増↑↑",2,IF(P94="増加↑",1,0))+IF(Z94&lt;0,1,0)+IF(L94&lt;=-30,2,IF(L94&lt;=-15,1,0))+IF(AE94="25日戻り売り★",2,IF(AE94="5日戻り売り○",1,0))+N(AL94)+N(AP94)+N(AU94),0))</f>
        <v/>
      </c>
      <c r="U94" s="225">
        <f>IF(T94="","",IF(AND(T94&gt;=3,O94&gt;=1.5),"有効",IF(T94&gt;=3,"要確認","除外")))</f>
        <v/>
      </c>
      <c r="V94" s="225">
        <f>IF(AND(I94&lt;&gt;"",K94&lt;&gt;""),IF(I94&lt;=K94*0.6,"年初来安値圏●",IF(I94&lt;=K94*0.75,"安値圏","通常")),"")</f>
        <v/>
      </c>
      <c r="W94" s="628">
        <f t="array" ref="W94">IFERROR(100-100/(1+SUMPRODUCT((終値!F37:R37&gt;終値!G37:S37)*(終値!F37:R37-終値!G37:S37))/SUMPRODUCT((終値!F37:R37&lt;終値!G37:S37)*(終値!G37:S37-終値!F37:R37))),50)</f>
        <v/>
      </c>
      <c r="X94" s="357">
        <f>IF(C94&lt;&gt;"",IFERROR(SUMPRODUCT(終値!E37:P37,{0.154,0.132,0.113,0.097,0.083,0.071,0.061,0.052,0.045,0.038,0.033,0.028})/SUMPRODUCT({0.154,0.132,0.113,0.097,0.083,0.071,0.061,0.052,0.045,0.038,0.033,0.028})-SUMPRODUCT(終値!E37:AD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4" s="225">
        <f>IF(AF94="","",AF94&amp;" | "&amp;AD94&amp;IF(AE94&lt;&gt;"なし"," "&amp;AE94,"")&amp;IF(X94&lt;0," MACD-"," MACD+")&amp;" RSI:"&amp;TEXT(W94,"0.0")&amp;IF(W94&gt;=70," [過熱]",IF(W94&lt;=30," [売られ過ぎ]",""))&amp;" 前日比:"&amp;TEXT(Z94,"+0.0;-0.0;0.0")&amp;"%"&amp;IF(V94="年初来安値圏●"," [年初来安値圏]",IF(V94="安値圏"," [安値圏]",""))&amp;IF(OR(AO94="通常",AO94="-"),""," ["&amp;AO94&amp;"]")&amp;IF(OR(AT94="通常",AT94="-"),"","前日["&amp;AT94&amp;"]")&amp;" ["&amp;T94&amp;"点]")</f>
        <v/>
      </c>
      <c r="Z94" s="629">
        <f>IF(AND(E94&lt;&gt;"",G94&lt;&gt;"",G94&lt;&gt;0),(E94-G94)/G94*100,"")</f>
        <v/>
      </c>
      <c r="AA94" s="225">
        <f>IF(OR(C94="",E94="",E94=0),"",IF(E94&gt;G94,"上昇▲",IF(E94&lt;G94,"下落▼","横ばい→")))</f>
        <v/>
      </c>
      <c r="AB94" s="353">
        <f>IF(OR(C94="",C94="TOPX",終値!E37=""),"",IFERROR(((終値!E37*0.333)+(終値!F37*0.222)+(終値!G37*0.148)+(終値!H37*0.099)+(終値!I37*0.066))/(0.333+0.222+0.148+0.099+0.066),""))</f>
        <v/>
      </c>
      <c r="AC94" s="353">
        <f>IF(OR(C94="",C94="TOPX",終値!E37=""),"",IFERROR(SUMPRODUCT((終値!E37:AC37)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4" s="225">
        <f>IF(OR(C94="",AB94="",AC94="",AB94=0,AC94=0),"",IF(AND(E94&gt;AB94,AB94&gt;AC94),"パーフェクト▲",IF(E94&gt;AC94,"上昇トレンド▲",IF(AND(E94&lt;AB94,AB94&lt;AC94),"下降トレンド▼","もみ合い→"))))</f>
        <v/>
      </c>
      <c r="AE94" s="225">
        <f>IF(OR(C94="",AB94="",AC94=""),"",IF(AND(ABS(E94-AC94)/AC94&lt;=0.02,E94&lt;AC94),"25日戻り売り★",IF(AND(ABS(E94-AB94)/AB94&lt;=0.01,E94&lt;AB94),"5日戻り売り○","なし")))</f>
        <v/>
      </c>
      <c r="AF94">
        <f>IF(T94="","",IF(銘柄管理!$F$5="上昇▲",IF(AND(AD94="下降トレンド▼",OR(AE94="25日戻り売り★",AE94="5日戻り売り○")),"★逆張り売り",IF(AND(AD94="もみ合い→",OR(AE94="25日戻り売り★",AE94="5日戻り売り○")),"○逆張り売り",IF(W94&gt;=70,IF(Z94&lt;0,"◎反落確認","△過熱・様子見"),"相場上昇・見送り"))),IF(AND(T94&gt;=12,AD94="下降トレンド▼"),"★強い売り",IF(T94&gt;=12,"★強い売り",IF(AND(T94&gt;=8,OR(AE94="25日戻り売り★",AE94="5日戻り売り○")),"◎戻り売り",IF(T94&gt;=10,"○売り候補",IF(T94&gt;=6,"△注目",IF(T94&gt;=3,"様子見","見送り"))))))))</f>
        <v/>
      </c>
      <c r="AG94">
        <f>IF(AND(T94&gt;=7,C94&lt;&gt;""),T94,0)</f>
        <v/>
      </c>
      <c r="AH94">
        <f>IF(AG94&gt;0,AG94*10000-ROW(A94),0)</f>
        <v/>
      </c>
      <c r="AI94" s="623">
        <f t="array" ref="AI94">IF(C94="","",IFERROR((INDEX(終値!$E:$E,MATCH(TEXT(C94,"0"),終値!$A:$A,0))-INDEX(終値!$E:$BL,MATCH(TEXT(C94,"0"),終値!$A:$A,0),$AN$2))/INDEX(終値!$E:$BL,MATCH(TEXT(C94,"0"),終値!$A:$A,0),$AN$2)*100,""))</f>
        <v/>
      </c>
      <c r="AJ94" s="623">
        <f t="array" ref="AJ94">IFERROR((終値!$E$5-INDEX(終値!$E$5:$BL$5,1,$AN$2))/INDEX(終値!$E$5:$BL$5,1,$AN$2)*100,"")</f>
        <v/>
      </c>
      <c r="AK94" s="624">
        <f>IF(OR(AI94="",AJ94=""),"",AI94-AJ94)</f>
        <v/>
      </c>
      <c r="AL94" s="394">
        <f>IF(AK94="","",IF(AK94&lt;-5,3,IF(AK94&lt;0,1,IF(AK94&lt;3,-1,-2))))</f>
        <v/>
      </c>
      <c r="AO94" s="398">
        <f>IF(OR($C94="",$E94="",$F94="",$H94="",$I94="",$H94-$I94&lt;=0),"-",IF(AND($H94-MAX($F94,$E94)&gt;=ABS($E94-$F94)*2,MIN($F94,$E94)-$I94&lt;=ABS($E94-$F94)*0.5,ABS($E94-$F94)&gt;0),"上ヒゲ陰線▼",IF(AND($E94&lt;$F94,ABS($E94-$F94)&gt;=($H94-$I94)*0.7),"大陰線▼",IF(AND(MIN($F94,$E94)-$I94&gt;=($H94-$I94)*0.5,$H94-MAX($F94,$E94)&lt;=($H94-$I94)*0.2),"長い下ヒゲ(反発警戒)","通常"))))</f>
        <v/>
      </c>
      <c r="AP94" s="625">
        <f>IF($AO94="上ヒゲ陰線▼",2,IF($AO94="大陰線▼",2,IF($AO94="長い下ヒゲ(反発警戒)",-2,0)))</f>
        <v/>
      </c>
      <c r="AQ94">
        <f>IF(C94&lt;&gt;"",始値!F37,"")</f>
        <v/>
      </c>
      <c r="AR94">
        <f>IF(C94&lt;&gt;"",高値!F37,"")</f>
        <v/>
      </c>
      <c r="AS94">
        <f>IF(C94&lt;&gt;"",安値!F37,"")</f>
        <v/>
      </c>
      <c r="AT94">
        <f>IF(OR(C94="",AQ94="",AR94="",AS94="",AR94-AS94&lt;=0),"-",IF(AND(AR94-MAX(G94,AQ94)&gt;=ABS(G94-AQ94)*2,MIN(G94,AQ94)-AS94&lt;=ABS(G94-AQ94)*0.5,ABS(G94-AQ94)&gt;0),"上ヒゲ陰線▼",IF(AND(G94&lt;AQ94,ABS(G94-AQ94)&gt;=(AR94-AS94)*0.7),"大陰線▼",IF(AND(MIN(G94,AQ94)-AS94&gt;=(AR94-AS94)*0.5,AR94-MAX(G94,AQ94)&lt;=(AR94-AS94)*0.2),"長い下ヒゲ(反発)","通常"))))</f>
        <v/>
      </c>
      <c r="AU94">
        <f>IF(AT94="上ヒゲ陰線▼",2,IF(AT94="大陰線▼",2,IF(AT94="長い下ヒゲ(反発)",-2,0)))</f>
        <v/>
      </c>
    </row>
    <row r="95" ht="14.25" customHeight="1" s="574">
      <c r="A95" s="344">
        <f>IF(銘柄管理!B38&lt;&gt;"",HYPERLINK("https://kabutan.jp/stock/?code="&amp;銘柄管理!B38,"株探"),"")</f>
        <v/>
      </c>
      <c r="B95" s="345" t="n"/>
      <c r="C95" s="345">
        <f>IF(銘柄管理!B38="","",銘柄管理!B38)</f>
        <v/>
      </c>
      <c r="D95" s="345">
        <f>IF(銘柄管理!C38="","",銘柄管理!C38)</f>
        <v/>
      </c>
      <c r="E95" s="346">
        <f>IF(C95&lt;&gt;"",_xll.RssMarket(C95,"現在値"),"")</f>
        <v/>
      </c>
      <c r="F95" s="346">
        <f>IF(C95&lt;&gt;"",_xll.RssMarket(C95,"始値"),"")</f>
        <v/>
      </c>
      <c r="G95" s="345">
        <f>IF(C95&lt;&gt;"",終値!F38,"")</f>
        <v/>
      </c>
      <c r="H95" s="346">
        <f>IF(C95&lt;&gt;"",_xll.RssMarket(C95,"高値"),"")</f>
        <v/>
      </c>
      <c r="I95" s="346">
        <f>IF(C95&lt;&gt;"",_xll.RssMarket(C95,"安値"),"")</f>
        <v/>
      </c>
      <c r="J95" s="346">
        <f>IF(C95&lt;&gt;"",_xll.RssMarket(C95,"出来高"),"")</f>
        <v/>
      </c>
      <c r="K95" s="346">
        <f>IF(C95&lt;&gt;"",_xll.RssMarket(C95,"年初来高値"),"")</f>
        <v/>
      </c>
      <c r="L95" s="619">
        <f>IF(AND(E95&lt;&gt;"",K95&lt;&gt;"",K95&lt;&gt;0),(E95-K95)/K95*100,"")</f>
        <v/>
      </c>
      <c r="M95" s="346">
        <f>IF(C95&lt;&gt;"",IFERROR(AVERAGE(出来高!E38:I38),""),"")</f>
        <v/>
      </c>
      <c r="N95" s="346">
        <f>IF(C95&lt;&gt;"",IFERROR(AVERAGE(出来高!E38:AC38),""),"")</f>
        <v/>
      </c>
      <c r="O95" s="620">
        <f>IF(AND(J95&lt;&gt;"",M95&lt;&gt;"",M95&lt;&gt;0),J95/M95,"")</f>
        <v/>
      </c>
      <c r="P95" s="345">
        <f>IF(O95="","",IF(O95&gt;=2,"急増↑↑",IF(O95&gt;=1.5,"増加↑",IF(O95&gt;=1,"普通→","減少↓"))))</f>
        <v/>
      </c>
      <c r="Q95" s="345">
        <f>IF(E95="","",IF(AND(E95&lt;G95,O95&gt;=1.5),"売り▼",IF(E95&gt;G95,"様子見▲","中立→")))</f>
        <v/>
      </c>
      <c r="R95" s="346">
        <f>IF(E95&lt;&gt;"",ROUND(E95*0.92,0),"")</f>
        <v/>
      </c>
      <c r="S95" s="346">
        <f>IF(E95&lt;&gt;"",ROUND(E95*1.04,0),"")</f>
        <v/>
      </c>
      <c r="T95" s="345">
        <f>IF(C95="","",IFERROR(IF(W95&gt;=70,3,IF(W95&gt;=60,2,IF(W95&gt;=50,1,0)))+IF(X95&lt;0,2,0)+IF(AD95="下降トレンド▼",3,IF(AD95="もみ合い→",1,0))+IF(V95="年初来安値圏●",3,IF(V95="安値圏",2,0))+IF(Q95="売り▼",2,0)+IF(P95="急増↑↑",2,IF(P95="増加↑",1,0))+IF(Z95&lt;0,1,0)+IF(L95&lt;=-30,2,IF(L95&lt;=-15,1,0))+IF(AE95="25日戻り売り★",2,IF(AE95="5日戻り売り○",1,0))+N(AL95)+N(AP95)+N(AU95),0))</f>
        <v/>
      </c>
      <c r="U95" s="345">
        <f>IF(T95="","",IF(AND(T95&gt;=3,O95&gt;=1.5),"有効",IF(T95&gt;=3,"要確認","除外")))</f>
        <v/>
      </c>
      <c r="V95" s="345">
        <f>IF(AND(I95&lt;&gt;"",K95&lt;&gt;""),IF(I95&lt;=K95*0.6,"年初来安値圏●",IF(I95&lt;=K95*0.75,"安値圏","通常")),"")</f>
        <v/>
      </c>
      <c r="W95" s="621">
        <f t="array" ref="W95">IFERROR(100-100/(1+SUMPRODUCT((終値!F38:R38&gt;終値!G38:S38)*(終値!F38:R38-終値!G38:S38))/SUMPRODUCT((終値!F38:R38&lt;終値!G38:S38)*(終値!G38:S38-終値!F38:R38))),50)</f>
        <v/>
      </c>
      <c r="X95" s="350">
        <f>IF(C95&lt;&gt;"",IFERROR(SUMPRODUCT(終値!E38:P38,{0.154,0.132,0.113,0.097,0.083,0.071,0.061,0.052,0.045,0.038,0.033,0.028})/SUMPRODUCT({0.154,0.132,0.113,0.097,0.083,0.071,0.061,0.052,0.045,0.038,0.033,0.028})-SUMPRODUCT(終値!E38:AD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5" s="345">
        <f>IF(AF95="","",AF95&amp;" | "&amp;AD95&amp;IF(AE95&lt;&gt;"なし"," "&amp;AE95,"")&amp;IF(X95&lt;0," MACD-"," MACD+")&amp;" RSI:"&amp;TEXT(W95,"0.0")&amp;IF(W95&gt;=70," [過熱]",IF(W95&lt;=30," [売られ過ぎ]",""))&amp;" 前日比:"&amp;TEXT(Z95,"+0.0;-0.0;0.0")&amp;"%"&amp;IF(V95="年初来安値圏●"," [年初来安値圏]",IF(V95="安値圏"," [安値圏]",""))&amp;IF(OR(AO95="通常",AO95="-"),""," ["&amp;AO95&amp;"]")&amp;IF(OR(AT95="通常",AT95="-"),"","前日["&amp;AT95&amp;"]")&amp;" ["&amp;T95&amp;"点]")</f>
        <v/>
      </c>
      <c r="Z95" s="622">
        <f>IF(AND(E95&lt;&gt;"",G95&lt;&gt;"",G95&lt;&gt;0),(E95-G95)/G95*100,"")</f>
        <v/>
      </c>
      <c r="AA95" s="345">
        <f>IF(OR(C95="",E95="",E95=0),"",IF(E95&gt;G95,"上昇▲",IF(E95&lt;G95,"下落▼","横ばい→")))</f>
        <v/>
      </c>
      <c r="AB95" s="346">
        <f>IF(OR(C95="",C95="TOPX",終値!E38=""),"",IFERROR(((終値!E38*0.333)+(終値!F38*0.222)+(終値!G38*0.148)+(終値!H38*0.099)+(終値!I38*0.066))/(0.333+0.222+0.148+0.099+0.066),""))</f>
        <v/>
      </c>
      <c r="AC95" s="346">
        <f>IF(OR(C95="",C95="TOPX",終値!E38=""),"",IFERROR(SUMPRODUCT((終値!E38:AC38)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5" s="345">
        <f>IF(OR(C95="",AB95="",AC95="",AB95=0,AC95=0),"",IF(AND(E95&gt;AB95,AB95&gt;AC95),"パーフェクト▲",IF(E95&gt;AC95,"上昇トレンド▲",IF(AND(E95&lt;AB95,AB95&lt;AC95),"下降トレンド▼","もみ合い→"))))</f>
        <v/>
      </c>
      <c r="AE95" s="345">
        <f>IF(OR(C95="",AB95="",AC95=""),"",IF(AND(ABS(E95-AC95)/AC95&lt;=0.02,E95&lt;AC95),"25日戻り売り★",IF(AND(ABS(E95-AB95)/AB95&lt;=0.01,E95&lt;AB95),"5日戻り売り○","なし")))</f>
        <v/>
      </c>
      <c r="AF95">
        <f>IF(T95="","",IF(銘柄管理!$F$5="上昇▲",IF(AND(AD95="下降トレンド▼",OR(AE95="25日戻り売り★",AE95="5日戻り売り○")),"★逆張り売り",IF(AND(AD95="もみ合い→",OR(AE95="25日戻り売り★",AE95="5日戻り売り○")),"○逆張り売り",IF(W95&gt;=70,IF(Z95&lt;0,"◎反落確認","△過熱・様子見"),"相場上昇・見送り"))),IF(AND(T95&gt;=12,AD95="下降トレンド▼"),"★強い売り",IF(T95&gt;=12,"★強い売り",IF(AND(T95&gt;=8,OR(AE95="25日戻り売り★",AE95="5日戻り売り○")),"◎戻り売り",IF(T95&gt;=10,"○売り候補",IF(T95&gt;=6,"△注目",IF(T95&gt;=3,"様子見","見送り"))))))))</f>
        <v/>
      </c>
      <c r="AG95">
        <f>IF(AND(T95&gt;=7,C95&lt;&gt;""),T95,0)</f>
        <v/>
      </c>
      <c r="AH95">
        <f>IF(AG95&gt;0,AG95*10000-ROW(A95),0)</f>
        <v/>
      </c>
      <c r="AI95" s="623">
        <f t="array" ref="AI95">IF(C95="","",IFERROR((INDEX(終値!$E:$E,MATCH(TEXT(C95,"0"),終値!$A:$A,0))-INDEX(終値!$E:$BL,MATCH(TEXT(C95,"0"),終値!$A:$A,0),$AN$2))/INDEX(終値!$E:$BL,MATCH(TEXT(C95,"0"),終値!$A:$A,0),$AN$2)*100,""))</f>
        <v/>
      </c>
      <c r="AJ95" s="623">
        <f t="array" ref="AJ95">IFERROR((終値!$E$5-INDEX(終値!$E$5:$BL$5,1,$AN$2))/INDEX(終値!$E$5:$BL$5,1,$AN$2)*100,"")</f>
        <v/>
      </c>
      <c r="AK95" s="624">
        <f>IF(OR(AI95="",AJ95=""),"",AI95-AJ95)</f>
        <v/>
      </c>
      <c r="AL95" s="394">
        <f>IF(AK95="","",IF(AK95&lt;-5,3,IF(AK95&lt;0,1,IF(AK95&lt;3,-1,-2))))</f>
        <v/>
      </c>
      <c r="AO95" s="398">
        <f>IF(OR($C95="",$E95="",$F95="",$H95="",$I95="",$H95-$I95&lt;=0),"-",IF(AND($H95-MAX($F95,$E95)&gt;=ABS($E95-$F95)*2,MIN($F95,$E95)-$I95&lt;=ABS($E95-$F95)*0.5,ABS($E95-$F95)&gt;0),"上ヒゲ陰線▼",IF(AND($E95&lt;$F95,ABS($E95-$F95)&gt;=($H95-$I95)*0.7),"大陰線▼",IF(AND(MIN($F95,$E95)-$I95&gt;=($H95-$I95)*0.5,$H95-MAX($F95,$E95)&lt;=($H95-$I95)*0.2),"長い下ヒゲ(反発警戒)","通常"))))</f>
        <v/>
      </c>
      <c r="AP95" s="625">
        <f>IF($AO95="上ヒゲ陰線▼",2,IF($AO95="大陰線▼",2,IF($AO95="長い下ヒゲ(反発警戒)",-2,0)))</f>
        <v/>
      </c>
      <c r="AQ95">
        <f>IF(C95&lt;&gt;"",始値!F38,"")</f>
        <v/>
      </c>
      <c r="AR95">
        <f>IF(C95&lt;&gt;"",高値!F38,"")</f>
        <v/>
      </c>
      <c r="AS95">
        <f>IF(C95&lt;&gt;"",安値!F38,"")</f>
        <v/>
      </c>
      <c r="AT95">
        <f>IF(OR(C95="",AQ95="",AR95="",AS95="",AR95-AS95&lt;=0),"-",IF(AND(AR95-MAX(G95,AQ95)&gt;=ABS(G95-AQ95)*2,MIN(G95,AQ95)-AS95&lt;=ABS(G95-AQ95)*0.5,ABS(G95-AQ95)&gt;0),"上ヒゲ陰線▼",IF(AND(G95&lt;AQ95,ABS(G95-AQ95)&gt;=(AR95-AS95)*0.7),"大陰線▼",IF(AND(MIN(G95,AQ95)-AS95&gt;=(AR95-AS95)*0.5,AR95-MAX(G95,AQ95)&lt;=(AR95-AS95)*0.2),"長い下ヒゲ(反発)","通常"))))</f>
        <v/>
      </c>
      <c r="AU95">
        <f>IF(AT95="上ヒゲ陰線▼",2,IF(AT95="大陰線▼",2,IF(AT95="長い下ヒゲ(反発)",-2,0)))</f>
        <v/>
      </c>
    </row>
    <row r="96" ht="14.25" customHeight="1" s="574">
      <c r="A96" s="352">
        <f>IF(銘柄管理!B42&lt;&gt;"",HYPERLINK("https://kabutan.jp/stock/?code="&amp;銘柄管理!B42,"株探"),"")</f>
        <v/>
      </c>
      <c r="B96" s="225" t="n"/>
      <c r="C96" s="225">
        <f>IF(銘柄管理!B42="","",銘柄管理!B42)</f>
        <v/>
      </c>
      <c r="D96" s="225">
        <f>IF(銘柄管理!C42="","",銘柄管理!C42)</f>
        <v/>
      </c>
      <c r="E96" s="353">
        <f>IF(C96&lt;&gt;"",_xll.RssMarket(C96,"現在値"),"")</f>
        <v/>
      </c>
      <c r="F96" s="353">
        <f>IF(C96&lt;&gt;"",_xll.RssMarket(C96,"始値"),"")</f>
        <v/>
      </c>
      <c r="G96" s="225">
        <f>IF(C96&lt;&gt;"",終値!F42,"")</f>
        <v/>
      </c>
      <c r="H96" s="353">
        <f>IF(C96&lt;&gt;"",_xll.RssMarket(C96,"高値"),"")</f>
        <v/>
      </c>
      <c r="I96" s="353">
        <f>IF(C96&lt;&gt;"",_xll.RssMarket(C96,"安値"),"")</f>
        <v/>
      </c>
      <c r="J96" s="353">
        <f>IF(C96&lt;&gt;"",_xll.RssMarket(C96,"出来高"),"")</f>
        <v/>
      </c>
      <c r="K96" s="353">
        <f>IF(C96&lt;&gt;"",_xll.RssMarket(C96,"年初来高値"),"")</f>
        <v/>
      </c>
      <c r="L96" s="626">
        <f>IF(AND(E96&lt;&gt;"",K96&lt;&gt;"",K96&lt;&gt;0),(E96-K96)/K96*100,"")</f>
        <v/>
      </c>
      <c r="M96" s="353">
        <f>IF(C96&lt;&gt;"",IFERROR(AVERAGE(出来高!E42:I42),""),"")</f>
        <v/>
      </c>
      <c r="N96" s="353">
        <f>IF(C96&lt;&gt;"",IFERROR(AVERAGE(出来高!E42:AC42),""),"")</f>
        <v/>
      </c>
      <c r="O96" s="627">
        <f>IF(AND(J96&lt;&gt;"",M96&lt;&gt;"",M96&lt;&gt;0),J96/M96,"")</f>
        <v/>
      </c>
      <c r="P96" s="225">
        <f>IF(O96="","",IF(O96&gt;=2,"急増↑↑",IF(O96&gt;=1.5,"増加↑",IF(O96&gt;=1,"普通→","減少↓"))))</f>
        <v/>
      </c>
      <c r="Q96" s="225">
        <f>IF(E96="","",IF(AND(E96&lt;G96,O96&gt;=1.5),"売り▼",IF(E96&gt;G96,"様子見▲","中立→")))</f>
        <v/>
      </c>
      <c r="R96" s="353">
        <f>IF(E96&lt;&gt;"",ROUND(E96*0.92,0),"")</f>
        <v/>
      </c>
      <c r="S96" s="353">
        <f>IF(E96&lt;&gt;"",ROUND(E96*1.04,0),"")</f>
        <v/>
      </c>
      <c r="T96" s="345">
        <f>IF(C96="","",IFERROR(IF(W96&gt;=70,3,IF(W96&gt;=60,2,IF(W96&gt;=50,1,0)))+IF(X96&lt;0,2,0)+IF(AD96="下降トレンド▼",3,IF(AD96="もみ合い→",1,0))+IF(V96="年初来安値圏●",3,IF(V96="安値圏",2,0))+IF(Q96="売り▼",2,0)+IF(P96="急増↑↑",2,IF(P96="増加↑",1,0))+IF(Z96&lt;0,1,0)+IF(L96&lt;=-30,2,IF(L96&lt;=-15,1,0))+IF(AE96="25日戻り売り★",2,IF(AE96="5日戻り売り○",1,0))+N(AL96)+N(AP96)+N(AU96),0))</f>
        <v/>
      </c>
      <c r="U96" s="225">
        <f>IF(T96="","",IF(AND(T96&gt;=3,O96&gt;=1.5),"有効",IF(T96&gt;=3,"要確認","除外")))</f>
        <v/>
      </c>
      <c r="V96" s="225">
        <f>IF(AND(I96&lt;&gt;"",K96&lt;&gt;""),IF(I96&lt;=K96*0.6,"年初来安値圏●",IF(I96&lt;=K96*0.75,"安値圏","通常")),"")</f>
        <v/>
      </c>
      <c r="W96" s="628">
        <f t="array" ref="W96">IFERROR(100-100/(1+SUMPRODUCT((終値!F42:R42&gt;終値!G42:S42)*(終値!F42:R42-終値!G42:S42))/SUMPRODUCT((終値!F42:R42&lt;終値!G42:S42)*(終値!G42:S42-終値!F42:R42))),50)</f>
        <v/>
      </c>
      <c r="X96" s="357">
        <f>IF(C96&lt;&gt;"",IFERROR(SUMPRODUCT(終値!E42:P42,{0.154,0.132,0.113,0.097,0.083,0.071,0.061,0.052,0.045,0.038,0.033,0.028})/SUMPRODUCT({0.154,0.132,0.113,0.097,0.083,0.071,0.061,0.052,0.045,0.038,0.033,0.028})-SUMPRODUCT(終値!E42:AD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6" s="225">
        <f>IF(AF96="","",AF96&amp;" | "&amp;AD96&amp;IF(AE96&lt;&gt;"なし"," "&amp;AE96,"")&amp;IF(X96&lt;0," MACD-"," MACD+")&amp;" RSI:"&amp;TEXT(W96,"0.0")&amp;IF(W96&gt;=70," [過熱]",IF(W96&lt;=30," [売られ過ぎ]",""))&amp;" 前日比:"&amp;TEXT(Z96,"+0.0;-0.0;0.0")&amp;"%"&amp;IF(V96="年初来安値圏●"," [年初来安値圏]",IF(V96="安値圏"," [安値圏]",""))&amp;IF(OR(AO96="通常",AO96="-"),""," ["&amp;AO96&amp;"]")&amp;IF(OR(AT96="通常",AT96="-"),"","前日["&amp;AT96&amp;"]")&amp;" ["&amp;T96&amp;"点]")</f>
        <v/>
      </c>
      <c r="Z96" s="629">
        <f>IF(AND(E96&lt;&gt;"",G96&lt;&gt;"",G96&lt;&gt;0),(E96-G96)/G96*100,"")</f>
        <v/>
      </c>
      <c r="AA96" s="225">
        <f>IF(OR(C96="",E96="",E96=0),"",IF(E96&gt;G96,"上昇▲",IF(E96&lt;G96,"下落▼","横ばい→")))</f>
        <v/>
      </c>
      <c r="AB96" s="353">
        <f>IF(OR(C96="",C96="TOPX",終値!E42=""),"",IFERROR(((終値!E42*0.333)+(終値!F42*0.222)+(終値!G42*0.148)+(終値!H42*0.099)+(終値!I42*0.066))/(0.333+0.222+0.148+0.099+0.066),""))</f>
        <v/>
      </c>
      <c r="AC96" s="353">
        <f>IF(OR(C96="",C96="TOPX",終値!E42=""),"",IFERROR(SUMPRODUCT((終値!E42:AC42)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6" s="225">
        <f>IF(OR(C96="",AB96="",AC96="",AB96=0,AC96=0),"",IF(AND(E96&gt;AB96,AB96&gt;AC96),"パーフェクト▲",IF(E96&gt;AC96,"上昇トレンド▲",IF(AND(E96&lt;AB96,AB96&lt;AC96),"下降トレンド▼","もみ合い→"))))</f>
        <v/>
      </c>
      <c r="AE96" s="225">
        <f>IF(OR(C96="",AB96="",AC96=""),"",IF(AND(ABS(E96-AC96)/AC96&lt;=0.02,E96&lt;AC96),"25日戻り売り★",IF(AND(ABS(E96-AB96)/AB96&lt;=0.01,E96&lt;AB96),"5日戻り売り○","なし")))</f>
        <v/>
      </c>
      <c r="AF96">
        <f>IF(T96="","",IF(銘柄管理!$F$5="上昇▲",IF(AND(AD96="下降トレンド▼",OR(AE96="25日戻り売り★",AE96="5日戻り売り○")),"★逆張り売り",IF(AND(AD96="もみ合い→",OR(AE96="25日戻り売り★",AE96="5日戻り売り○")),"○逆張り売り",IF(W96&gt;=70,IF(Z96&lt;0,"◎反落確認","△過熱・様子見"),"相場上昇・見送り"))),IF(AND(T96&gt;=12,AD96="下降トレンド▼"),"★強い売り",IF(T96&gt;=12,"★強い売り",IF(AND(T96&gt;=8,OR(AE96="25日戻り売り★",AE96="5日戻り売り○")),"◎戻り売り",IF(T96&gt;=10,"○売り候補",IF(T96&gt;=6,"△注目",IF(T96&gt;=3,"様子見","見送り"))))))))</f>
        <v/>
      </c>
      <c r="AG96">
        <f>IF(AND(T96&gt;=7,C96&lt;&gt;""),T96,0)</f>
        <v/>
      </c>
      <c r="AH96">
        <f>IF(AG96&gt;0,AG96*10000-ROW(A96),0)</f>
        <v/>
      </c>
      <c r="AI96" s="623">
        <f t="array" ref="AI96">IF(C96="","",IFERROR((INDEX(終値!$E:$E,MATCH(TEXT(C96,"0"),終値!$A:$A,0))-INDEX(終値!$E:$BL,MATCH(TEXT(C96,"0"),終値!$A:$A,0),$AN$2))/INDEX(終値!$E:$BL,MATCH(TEXT(C96,"0"),終値!$A:$A,0),$AN$2)*100,""))</f>
        <v/>
      </c>
      <c r="AJ96" s="623">
        <f t="array" ref="AJ96">IFERROR((終値!$E$5-INDEX(終値!$E$5:$BL$5,1,$AN$2))/INDEX(終値!$E$5:$BL$5,1,$AN$2)*100,"")</f>
        <v/>
      </c>
      <c r="AK96" s="624">
        <f>IF(OR(AI96="",AJ96=""),"",AI96-AJ96)</f>
        <v/>
      </c>
      <c r="AL96" s="394">
        <f>IF(AK96="","",IF(AK96&lt;-5,3,IF(AK96&lt;0,1,IF(AK96&lt;3,-1,-2))))</f>
        <v/>
      </c>
      <c r="AO96" s="398">
        <f>IF(OR($C96="",$E96="",$F96="",$H96="",$I96="",$H96-$I96&lt;=0),"-",IF(AND($H96-MAX($F96,$E96)&gt;=ABS($E96-$F96)*2,MIN($F96,$E96)-$I96&lt;=ABS($E96-$F96)*0.5,ABS($E96-$F96)&gt;0),"上ヒゲ陰線▼",IF(AND($E96&lt;$F96,ABS($E96-$F96)&gt;=($H96-$I96)*0.7),"大陰線▼",IF(AND(MIN($F96,$E96)-$I96&gt;=($H96-$I96)*0.5,$H96-MAX($F96,$E96)&lt;=($H96-$I96)*0.2),"長い下ヒゲ(反発警戒)","通常"))))</f>
        <v/>
      </c>
      <c r="AP96" s="625">
        <f>IF($AO96="上ヒゲ陰線▼",2,IF($AO96="大陰線▼",2,IF($AO96="長い下ヒゲ(反発警戒)",-2,0)))</f>
        <v/>
      </c>
      <c r="AQ96">
        <f>IF(C96&lt;&gt;"",始値!F42,"")</f>
        <v/>
      </c>
      <c r="AR96">
        <f>IF(C96&lt;&gt;"",高値!F42,"")</f>
        <v/>
      </c>
      <c r="AS96">
        <f>IF(C96&lt;&gt;"",安値!F42,"")</f>
        <v/>
      </c>
      <c r="AT96">
        <f>IF(OR(C96="",AQ96="",AR96="",AS96="",AR96-AS96&lt;=0),"-",IF(AND(AR96-MAX(G96,AQ96)&gt;=ABS(G96-AQ96)*2,MIN(G96,AQ96)-AS96&lt;=ABS(G96-AQ96)*0.5,ABS(G96-AQ96)&gt;0),"上ヒゲ陰線▼",IF(AND(G96&lt;AQ96,ABS(G96-AQ96)&gt;=(AR96-AS96)*0.7),"大陰線▼",IF(AND(MIN(G96,AQ96)-AS96&gt;=(AR96-AS96)*0.5,AR96-MAX(G96,AQ96)&lt;=(AR96-AS96)*0.2),"長い下ヒゲ(反発)","通常"))))</f>
        <v/>
      </c>
      <c r="AU96">
        <f>IF(AT96="上ヒゲ陰線▼",2,IF(AT96="大陰線▼",2,IF(AT96="長い下ヒゲ(反発)",-2,0)))</f>
        <v/>
      </c>
    </row>
    <row r="97" ht="14.25" customHeight="1" s="574">
      <c r="A97" s="344">
        <f>IF(銘柄管理!B51&lt;&gt;"",HYPERLINK("https://kabutan.jp/stock/?code="&amp;銘柄管理!B51,"株探"),"")</f>
        <v/>
      </c>
      <c r="B97" s="345" t="n"/>
      <c r="C97" s="345">
        <f>IF(銘柄管理!B51="","",銘柄管理!B51)</f>
        <v/>
      </c>
      <c r="D97" s="345">
        <f>IF(銘柄管理!C51="","",銘柄管理!C51)</f>
        <v/>
      </c>
      <c r="E97" s="346">
        <f>IF(C97&lt;&gt;"",_xll.RssMarket(C97,"現在値"),"")</f>
        <v/>
      </c>
      <c r="F97" s="346">
        <f>IF(C97&lt;&gt;"",_xll.RssMarket(C97,"始値"),"")</f>
        <v/>
      </c>
      <c r="G97" s="345">
        <f>IF(C97&lt;&gt;"",終値!F51,"")</f>
        <v/>
      </c>
      <c r="H97" s="346">
        <f>IF(C97&lt;&gt;"",_xll.RssMarket(C97,"高値"),"")</f>
        <v/>
      </c>
      <c r="I97" s="346">
        <f>IF(C97&lt;&gt;"",_xll.RssMarket(C97,"安値"),"")</f>
        <v/>
      </c>
      <c r="J97" s="346">
        <f>IF(C97&lt;&gt;"",_xll.RssMarket(C97,"出来高"),"")</f>
        <v/>
      </c>
      <c r="K97" s="346">
        <f>IF(C97&lt;&gt;"",_xll.RssMarket(C97,"年初来高値"),"")</f>
        <v/>
      </c>
      <c r="L97" s="619">
        <f>IF(AND(E97&lt;&gt;"",K97&lt;&gt;"",K97&lt;&gt;0),(E97-K97)/K97*100,"")</f>
        <v/>
      </c>
      <c r="M97" s="346">
        <f>IF(C97&lt;&gt;"",IFERROR(AVERAGE(出来高!E51:I51),""),"")</f>
        <v/>
      </c>
      <c r="N97" s="346">
        <f>IF(C97&lt;&gt;"",IFERROR(AVERAGE(出来高!E51:AC51),""),"")</f>
        <v/>
      </c>
      <c r="O97" s="620">
        <f>IF(AND(J97&lt;&gt;"",M97&lt;&gt;"",M97&lt;&gt;0),J97/M97,"")</f>
        <v/>
      </c>
      <c r="P97" s="345">
        <f>IF(O97="","",IF(O97&gt;=2,"急増↑↑",IF(O97&gt;=1.5,"増加↑",IF(O97&gt;=1,"普通→","減少↓"))))</f>
        <v/>
      </c>
      <c r="Q97" s="345">
        <f>IF(E97="","",IF(AND(E97&lt;G97,O97&gt;=1.5),"売り▼",IF(E97&gt;G97,"様子見▲","中立→")))</f>
        <v/>
      </c>
      <c r="R97" s="346">
        <f>IF(E97&lt;&gt;"",ROUND(E97*0.92,0),"")</f>
        <v/>
      </c>
      <c r="S97" s="346">
        <f>IF(E97&lt;&gt;"",ROUND(E97*1.04,0),"")</f>
        <v/>
      </c>
      <c r="T97" s="345">
        <f>IF(C97="","",IFERROR(IF(W97&gt;=70,3,IF(W97&gt;=60,2,IF(W97&gt;=50,1,0)))+IF(X97&lt;0,2,0)+IF(AD97="下降トレンド▼",3,IF(AD97="もみ合い→",1,0))+IF(V97="年初来安値圏●",3,IF(V97="安値圏",2,0))+IF(Q97="売り▼",2,0)+IF(P97="急増↑↑",2,IF(P97="増加↑",1,0))+IF(Z97&lt;0,1,0)+IF(L97&lt;=-30,2,IF(L97&lt;=-15,1,0))+IF(AE97="25日戻り売り★",2,IF(AE97="5日戻り売り○",1,0))+N(AL97)+N(AP97)+N(AU97),0))</f>
        <v/>
      </c>
      <c r="U97" s="345">
        <f>IF(T97="","",IF(AND(T97&gt;=3,O97&gt;=1.5),"有効",IF(T97&gt;=3,"要確認","除外")))</f>
        <v/>
      </c>
      <c r="V97" s="345">
        <f>IF(AND(I97&lt;&gt;"",K97&lt;&gt;""),IF(I97&lt;=K97*0.6,"年初来安値圏●",IF(I97&lt;=K97*0.75,"安値圏","通常")),"")</f>
        <v/>
      </c>
      <c r="W97" s="621">
        <f t="array" ref="W97">IFERROR(100-100/(1+SUMPRODUCT((終値!F51:R51&gt;終値!G51:S51)*(終値!F51:R51-終値!G51:S51))/SUMPRODUCT((終値!F51:R51&lt;終値!G51:S51)*(終値!G51:S51-終値!F51:R51))),50)</f>
        <v/>
      </c>
      <c r="X97" s="350">
        <f>IF(C97&lt;&gt;"",IFERROR(SUMPRODUCT(終値!E51:P51,{0.154,0.132,0.113,0.097,0.083,0.071,0.061,0.052,0.045,0.038,0.033,0.028})/SUMPRODUCT({0.154,0.132,0.113,0.097,0.083,0.071,0.061,0.052,0.045,0.038,0.033,0.028})-SUMPRODUCT(終値!E51:AD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7" s="345">
        <f>IF(AF97="","",AF97&amp;" | "&amp;AD97&amp;IF(AE97&lt;&gt;"なし"," "&amp;AE97,"")&amp;IF(X97&lt;0," MACD-"," MACD+")&amp;" RSI:"&amp;TEXT(W97,"0.0")&amp;IF(W97&gt;=70," [過熱]",IF(W97&lt;=30," [売られ過ぎ]",""))&amp;" 前日比:"&amp;TEXT(Z97,"+0.0;-0.0;0.0")&amp;"%"&amp;IF(V97="年初来安値圏●"," [年初来安値圏]",IF(V97="安値圏"," [安値圏]",""))&amp;IF(OR(AO97="通常",AO97="-"),""," ["&amp;AO97&amp;"]")&amp;IF(OR(AT97="通常",AT97="-"),"","前日["&amp;AT97&amp;"]")&amp;" ["&amp;T97&amp;"点]")</f>
        <v/>
      </c>
      <c r="Z97" s="622">
        <f>IF(AND(E97&lt;&gt;"",G97&lt;&gt;"",G97&lt;&gt;0),(E97-G97)/G97*100,"")</f>
        <v/>
      </c>
      <c r="AA97" s="345">
        <f>IF(OR(C97="",E97="",E97=0),"",IF(E97&gt;G97,"上昇▲",IF(E97&lt;G97,"下落▼","横ばい→")))</f>
        <v/>
      </c>
      <c r="AB97" s="346">
        <f>IF(OR(C97="",C97="TOPX",終値!E51=""),"",IFERROR(((終値!E51*0.333)+(終値!F51*0.222)+(終値!G51*0.148)+(終値!H51*0.099)+(終値!I51*0.066))/(0.333+0.222+0.148+0.099+0.066),""))</f>
        <v/>
      </c>
      <c r="AC97" s="346">
        <f>IF(OR(C97="",C97="TOPX",終値!E51=""),"",IFERROR(SUMPRODUCT((終値!E51:AC51)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7" s="345">
        <f>IF(OR(C97="",AB97="",AC97="",AB97=0,AC97=0),"",IF(AND(E97&gt;AB97,AB97&gt;AC97),"パーフェクト▲",IF(E97&gt;AC97,"上昇トレンド▲",IF(AND(E97&lt;AB97,AB97&lt;AC97),"下降トレンド▼","もみ合い→"))))</f>
        <v/>
      </c>
      <c r="AE97" s="345">
        <f>IF(OR(C97="",AB97="",AC97=""),"",IF(AND(ABS(E97-AC97)/AC97&lt;=0.02,E97&lt;AC97),"25日戻り売り★",IF(AND(ABS(E97-AB97)/AB97&lt;=0.01,E97&lt;AB97),"5日戻り売り○","なし")))</f>
        <v/>
      </c>
      <c r="AF97">
        <f>IF(T97="","",IF(銘柄管理!$F$5="上昇▲",IF(AND(AD97="下降トレンド▼",OR(AE97="25日戻り売り★",AE97="5日戻り売り○")),"★逆張り売り",IF(AND(AD97="もみ合い→",OR(AE97="25日戻り売り★",AE97="5日戻り売り○")),"○逆張り売り",IF(W97&gt;=70,IF(Z97&lt;0,"◎反落確認","△過熱・様子見"),"相場上昇・見送り"))),IF(AND(T97&gt;=12,AD97="下降トレンド▼"),"★強い売り",IF(T97&gt;=12,"★強い売り",IF(AND(T97&gt;=8,OR(AE97="25日戻り売り★",AE97="5日戻り売り○")),"◎戻り売り",IF(T97&gt;=10,"○売り候補",IF(T97&gt;=6,"△注目",IF(T97&gt;=3,"様子見","見送り"))))))))</f>
        <v/>
      </c>
      <c r="AG97">
        <f>IF(AND(T97&gt;=7,C97&lt;&gt;""),T97,0)</f>
        <v/>
      </c>
      <c r="AH97">
        <f>IF(AG97&gt;0,AG97*10000-ROW(A97),0)</f>
        <v/>
      </c>
      <c r="AI97" s="623">
        <f t="array" ref="AI97">IF(C97="","",IFERROR((INDEX(終値!$E:$E,MATCH(TEXT(C97,"0"),終値!$A:$A,0))-INDEX(終値!$E:$BL,MATCH(TEXT(C97,"0"),終値!$A:$A,0),$AN$2))/INDEX(終値!$E:$BL,MATCH(TEXT(C97,"0"),終値!$A:$A,0),$AN$2)*100,""))</f>
        <v/>
      </c>
      <c r="AJ97" s="623">
        <f t="array" ref="AJ97">IFERROR((終値!$E$5-INDEX(終値!$E$5:$BL$5,1,$AN$2))/INDEX(終値!$E$5:$BL$5,1,$AN$2)*100,"")</f>
        <v/>
      </c>
      <c r="AK97" s="624">
        <f>IF(OR(AI97="",AJ97=""),"",AI97-AJ97)</f>
        <v/>
      </c>
      <c r="AL97" s="394">
        <f>IF(AK97="","",IF(AK97&lt;-5,3,IF(AK97&lt;0,1,IF(AK97&lt;3,-1,-2))))</f>
        <v/>
      </c>
      <c r="AO97" s="398">
        <f>IF(OR($C97="",$E97="",$F97="",$H97="",$I97="",$H97-$I97&lt;=0),"-",IF(AND($H97-MAX($F97,$E97)&gt;=ABS($E97-$F97)*2,MIN($F97,$E97)-$I97&lt;=ABS($E97-$F97)*0.5,ABS($E97-$F97)&gt;0),"上ヒゲ陰線▼",IF(AND($E97&lt;$F97,ABS($E97-$F97)&gt;=($H97-$I97)*0.7),"大陰線▼",IF(AND(MIN($F97,$E97)-$I97&gt;=($H97-$I97)*0.5,$H97-MAX($F97,$E97)&lt;=($H97-$I97)*0.2),"長い下ヒゲ(反発警戒)","通常"))))</f>
        <v/>
      </c>
      <c r="AP97" s="625">
        <f>IF($AO97="上ヒゲ陰線▼",2,IF($AO97="大陰線▼",2,IF($AO97="長い下ヒゲ(反発警戒)",-2,0)))</f>
        <v/>
      </c>
      <c r="AQ97">
        <f>IF(C97&lt;&gt;"",始値!F51,"")</f>
        <v/>
      </c>
      <c r="AR97">
        <f>IF(C97&lt;&gt;"",高値!F51,"")</f>
        <v/>
      </c>
      <c r="AS97">
        <f>IF(C97&lt;&gt;"",安値!F51,"")</f>
        <v/>
      </c>
      <c r="AT97">
        <f>IF(OR(C97="",AQ97="",AR97="",AS97="",AR97-AS97&lt;=0),"-",IF(AND(AR97-MAX(G97,AQ97)&gt;=ABS(G97-AQ97)*2,MIN(G97,AQ97)-AS97&lt;=ABS(G97-AQ97)*0.5,ABS(G97-AQ97)&gt;0),"上ヒゲ陰線▼",IF(AND(G97&lt;AQ97,ABS(G97-AQ97)&gt;=(AR97-AS97)*0.7),"大陰線▼",IF(AND(MIN(G97,AQ97)-AS97&gt;=(AR97-AS97)*0.5,AR97-MAX(G97,AQ97)&lt;=(AR97-AS97)*0.2),"長い下ヒゲ(反発)","通常"))))</f>
        <v/>
      </c>
      <c r="AU97">
        <f>IF(AT97="上ヒゲ陰線▼",2,IF(AT97="大陰線▼",2,IF(AT97="長い下ヒゲ(反発)",-2,0)))</f>
        <v/>
      </c>
    </row>
    <row r="98" ht="14.25" customHeight="1" s="574">
      <c r="A98" s="352">
        <f>IF(銘柄管理!B72&lt;&gt;"",HYPERLINK("https://kabutan.jp/stock/?code="&amp;銘柄管理!B72,"株探"),"")</f>
        <v/>
      </c>
      <c r="B98" s="225" t="n"/>
      <c r="C98" s="225">
        <f>IF(銘柄管理!B72="","",銘柄管理!B72)</f>
        <v/>
      </c>
      <c r="D98" s="225">
        <f>IF(銘柄管理!C72="","",銘柄管理!C72)</f>
        <v/>
      </c>
      <c r="E98" s="353">
        <f>IF(C98&lt;&gt;"",_xll.RssMarket(C98,"現在値"),"")</f>
        <v/>
      </c>
      <c r="F98" s="353">
        <f>IF(C98&lt;&gt;"",_xll.RssMarket(C98,"始値"),"")</f>
        <v/>
      </c>
      <c r="G98" s="225">
        <f>IF(C98&lt;&gt;"",終値!F72,"")</f>
        <v/>
      </c>
      <c r="H98" s="353">
        <f>IF(C98&lt;&gt;"",_xll.RssMarket(C98,"高値"),"")</f>
        <v/>
      </c>
      <c r="I98" s="353">
        <f>IF(C98&lt;&gt;"",_xll.RssMarket(C98,"安値"),"")</f>
        <v/>
      </c>
      <c r="J98" s="353">
        <f>IF(C98&lt;&gt;"",_xll.RssMarket(C98,"出来高"),"")</f>
        <v/>
      </c>
      <c r="K98" s="353">
        <f>IF(C98&lt;&gt;"",_xll.RssMarket(C98,"年初来高値"),"")</f>
        <v/>
      </c>
      <c r="L98" s="626">
        <f>IF(AND(E98&lt;&gt;"",K98&lt;&gt;"",K98&lt;&gt;0),(E98-K98)/K98*100,"")</f>
        <v/>
      </c>
      <c r="M98" s="353">
        <f>IF(C98&lt;&gt;"",IFERROR(AVERAGE(出来高!E72:I72),""),"")</f>
        <v/>
      </c>
      <c r="N98" s="353">
        <f>IF(C98&lt;&gt;"",IFERROR(AVERAGE(出来高!E72:AC72),""),"")</f>
        <v/>
      </c>
      <c r="O98" s="627">
        <f>IF(AND(J98&lt;&gt;"",M98&lt;&gt;"",M98&lt;&gt;0),J98/M98,"")</f>
        <v/>
      </c>
      <c r="P98" s="225">
        <f>IF(O98="","",IF(O98&gt;=2,"急増↑↑",IF(O98&gt;=1.5,"増加↑",IF(O98&gt;=1,"普通→","減少↓"))))</f>
        <v/>
      </c>
      <c r="Q98" s="225">
        <f>IF(E98="","",IF(AND(E98&lt;G98,O98&gt;=1.5),"売り▼",IF(E98&gt;G98,"様子見▲","中立→")))</f>
        <v/>
      </c>
      <c r="R98" s="353">
        <f>IF(E98&lt;&gt;"",ROUND(E98*0.92,0),"")</f>
        <v/>
      </c>
      <c r="S98" s="353">
        <f>IF(E98&lt;&gt;"",ROUND(E98*1.04,0),"")</f>
        <v/>
      </c>
      <c r="T98" s="345">
        <f>IF(C98="","",IFERROR(IF(W98&gt;=70,3,IF(W98&gt;=60,2,IF(W98&gt;=50,1,0)))+IF(X98&lt;0,2,0)+IF(AD98="下降トレンド▼",3,IF(AD98="もみ合い→",1,0))+IF(V98="年初来安値圏●",3,IF(V98="安値圏",2,0))+IF(Q98="売り▼",2,0)+IF(P98="急増↑↑",2,IF(P98="増加↑",1,0))+IF(Z98&lt;0,1,0)+IF(L98&lt;=-30,2,IF(L98&lt;=-15,1,0))+IF(AE98="25日戻り売り★",2,IF(AE98="5日戻り売り○",1,0))+N(AL98)+N(AP98)+N(AU98),0))</f>
        <v/>
      </c>
      <c r="U98" s="225">
        <f>IF(T98="","",IF(AND(T98&gt;=3,O98&gt;=1.5),"有効",IF(T98&gt;=3,"要確認","除外")))</f>
        <v/>
      </c>
      <c r="V98" s="225">
        <f>IF(AND(I98&lt;&gt;"",K98&lt;&gt;""),IF(I98&lt;=K98*0.6,"年初来安値圏●",IF(I98&lt;=K98*0.75,"安値圏","通常")),"")</f>
        <v/>
      </c>
      <c r="W98" s="628">
        <f t="array" ref="W98">IFERROR(100-100/(1+SUMPRODUCT((終値!F72:R72&gt;終値!G72:S72)*(終値!F72:R72-終値!G72:S72))/SUMPRODUCT((終値!F72:R72&lt;終値!G72:S72)*(終値!G72:S72-終値!F72:R72))),50)</f>
        <v/>
      </c>
      <c r="X98" s="357">
        <f>IF(C98&lt;&gt;"",IFERROR(SUMPRODUCT(終値!E72:P72,{0.154,0.132,0.113,0.097,0.083,0.071,0.061,0.052,0.045,0.038,0.033,0.028})/SUMPRODUCT({0.154,0.132,0.113,0.097,0.083,0.071,0.061,0.052,0.045,0.038,0.033,0.028})-SUMPRODUCT(終値!E72:AD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8" s="225">
        <f>IF(AF98="","",AF98&amp;" | "&amp;AD98&amp;IF(AE98&lt;&gt;"なし"," "&amp;AE98,"")&amp;IF(X98&lt;0," MACD-"," MACD+")&amp;" RSI:"&amp;TEXT(W98,"0.0")&amp;IF(W98&gt;=70," [過熱]",IF(W98&lt;=30," [売られ過ぎ]",""))&amp;" 前日比:"&amp;TEXT(Z98,"+0.0;-0.0;0.0")&amp;"%"&amp;IF(V98="年初来安値圏●"," [年初来安値圏]",IF(V98="安値圏"," [安値圏]",""))&amp;IF(OR(AO98="通常",AO98="-"),""," ["&amp;AO98&amp;"]")&amp;IF(OR(AT98="通常",AT98="-"),"","前日["&amp;AT98&amp;"]")&amp;" ["&amp;T98&amp;"点]")</f>
        <v/>
      </c>
      <c r="Z98" s="629">
        <f>IF(AND(E98&lt;&gt;"",G98&lt;&gt;"",G98&lt;&gt;0),(E98-G98)/G98*100,"")</f>
        <v/>
      </c>
      <c r="AA98" s="225">
        <f>IF(OR(C98="",E98="",E98=0),"",IF(E98&gt;G98,"上昇▲",IF(E98&lt;G98,"下落▼","横ばい→")))</f>
        <v/>
      </c>
      <c r="AB98" s="353">
        <f>IF(OR(C98="",C98="TOPX",終値!E72=""),"",IFERROR(((終値!E72*0.333)+(終値!F72*0.222)+(終値!G72*0.148)+(終値!H72*0.099)+(終値!I72*0.066))/(0.333+0.222+0.148+0.099+0.066),""))</f>
        <v/>
      </c>
      <c r="AC98" s="353">
        <f>IF(OR(C98="",C98="TOPX",終値!E72=""),"",IFERROR(SUMPRODUCT((終値!E72:AC72)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8" s="225">
        <f>IF(OR(C98="",AB98="",AC98="",AB98=0,AC98=0),"",IF(AND(E98&gt;AB98,AB98&gt;AC98),"パーフェクト▲",IF(E98&gt;AC98,"上昇トレンド▲",IF(AND(E98&lt;AB98,AB98&lt;AC98),"下降トレンド▼","もみ合い→"))))</f>
        <v/>
      </c>
      <c r="AE98" s="225">
        <f>IF(OR(C98="",AB98="",AC98=""),"",IF(AND(ABS(E98-AC98)/AC98&lt;=0.02,E98&lt;AC98),"25日戻り売り★",IF(AND(ABS(E98-AB98)/AB98&lt;=0.01,E98&lt;AB98),"5日戻り売り○","なし")))</f>
        <v/>
      </c>
      <c r="AF98">
        <f>IF(T98="","",IF(銘柄管理!$F$5="上昇▲",IF(AND(AD98="下降トレンド▼",OR(AE98="25日戻り売り★",AE98="5日戻り売り○")),"★逆張り売り",IF(AND(AD98="もみ合い→",OR(AE98="25日戻り売り★",AE98="5日戻り売り○")),"○逆張り売り",IF(W98&gt;=70,IF(Z98&lt;0,"◎反落確認","△過熱・様子見"),"相場上昇・見送り"))),IF(AND(T98&gt;=12,AD98="下降トレンド▼"),"★強い売り",IF(T98&gt;=12,"★強い売り",IF(AND(T98&gt;=8,OR(AE98="25日戻り売り★",AE98="5日戻り売り○")),"◎戻り売り",IF(T98&gt;=10,"○売り候補",IF(T98&gt;=6,"△注目",IF(T98&gt;=3,"様子見","見送り"))))))))</f>
        <v/>
      </c>
      <c r="AG98">
        <f>IF(AND(T98&gt;=7,C98&lt;&gt;""),T98,0)</f>
        <v/>
      </c>
      <c r="AH98">
        <f>IF(AG98&gt;0,AG98*10000-ROW(A98),0)</f>
        <v/>
      </c>
      <c r="AI98" s="623">
        <f t="array" ref="AI98">IF(C98="","",IFERROR((INDEX(終値!$E:$E,MATCH(TEXT(C98,"0"),終値!$A:$A,0))-INDEX(終値!$E:$BL,MATCH(TEXT(C98,"0"),終値!$A:$A,0),$AN$2))/INDEX(終値!$E:$BL,MATCH(TEXT(C98,"0"),終値!$A:$A,0),$AN$2)*100,""))</f>
        <v/>
      </c>
      <c r="AJ98" s="623">
        <f t="array" ref="AJ98">IFERROR((終値!$E$5-INDEX(終値!$E$5:$BL$5,1,$AN$2))/INDEX(終値!$E$5:$BL$5,1,$AN$2)*100,"")</f>
        <v/>
      </c>
      <c r="AK98" s="624">
        <f>IF(OR(AI98="",AJ98=""),"",AI98-AJ98)</f>
        <v/>
      </c>
      <c r="AL98" s="394">
        <f>IF(AK98="","",IF(AK98&lt;-5,3,IF(AK98&lt;0,1,IF(AK98&lt;3,-1,-2))))</f>
        <v/>
      </c>
      <c r="AO98" s="398">
        <f>IF(OR($C98="",$E98="",$F98="",$H98="",$I98="",$H98-$I98&lt;=0),"-",IF(AND($H98-MAX($F98,$E98)&gt;=ABS($E98-$F98)*2,MIN($F98,$E98)-$I98&lt;=ABS($E98-$F98)*0.5,ABS($E98-$F98)&gt;0),"上ヒゲ陰線▼",IF(AND($E98&lt;$F98,ABS($E98-$F98)&gt;=($H98-$I98)*0.7),"大陰線▼",IF(AND(MIN($F98,$E98)-$I98&gt;=($H98-$I98)*0.5,$H98-MAX($F98,$E98)&lt;=($H98-$I98)*0.2),"長い下ヒゲ(反発警戒)","通常"))))</f>
        <v/>
      </c>
      <c r="AP98" s="625">
        <f>IF($AO98="上ヒゲ陰線▼",2,IF($AO98="大陰線▼",2,IF($AO98="長い下ヒゲ(反発警戒)",-2,0)))</f>
        <v/>
      </c>
      <c r="AQ98">
        <f>IF(C98&lt;&gt;"",始値!F72,"")</f>
        <v/>
      </c>
      <c r="AR98">
        <f>IF(C98&lt;&gt;"",高値!F72,"")</f>
        <v/>
      </c>
      <c r="AS98">
        <f>IF(C98&lt;&gt;"",安値!F72,"")</f>
        <v/>
      </c>
      <c r="AT98">
        <f>IF(OR(C98="",AQ98="",AR98="",AS98="",AR98-AS98&lt;=0),"-",IF(AND(AR98-MAX(G98,AQ98)&gt;=ABS(G98-AQ98)*2,MIN(G98,AQ98)-AS98&lt;=ABS(G98-AQ98)*0.5,ABS(G98-AQ98)&gt;0),"上ヒゲ陰線▼",IF(AND(G98&lt;AQ98,ABS(G98-AQ98)&gt;=(AR98-AS98)*0.7),"大陰線▼",IF(AND(MIN(G98,AQ98)-AS98&gt;=(AR98-AS98)*0.5,AR98-MAX(G98,AQ98)&lt;=(AR98-AS98)*0.2),"長い下ヒゲ(反発)","通常"))))</f>
        <v/>
      </c>
      <c r="AU98">
        <f>IF(AT98="上ヒゲ陰線▼",2,IF(AT98="大陰線▼",2,IF(AT98="長い下ヒゲ(反発)",-2,0)))</f>
        <v/>
      </c>
    </row>
    <row r="99" ht="14.25" customHeight="1" s="574">
      <c r="A99" s="344">
        <f>IF(銘柄管理!B74&lt;&gt;"",HYPERLINK("https://kabutan.jp/stock/?code="&amp;銘柄管理!B74,"株探"),"")</f>
        <v/>
      </c>
      <c r="B99" s="345" t="n"/>
      <c r="C99" s="345">
        <f>IF(銘柄管理!B74="","",銘柄管理!B74)</f>
        <v/>
      </c>
      <c r="D99" s="345">
        <f>IF(銘柄管理!C74="","",銘柄管理!C74)</f>
        <v/>
      </c>
      <c r="E99" s="346">
        <f>IF(C99&lt;&gt;"",_xll.RssMarket(C99,"現在値"),"")</f>
        <v/>
      </c>
      <c r="F99" s="346">
        <f>IF(C99&lt;&gt;"",_xll.RssMarket(C99,"始値"),"")</f>
        <v/>
      </c>
      <c r="G99" s="345">
        <f>IF(C99&lt;&gt;"",終値!F74,"")</f>
        <v/>
      </c>
      <c r="H99" s="346">
        <f>IF(C99&lt;&gt;"",_xll.RssMarket(C99,"高値"),"")</f>
        <v/>
      </c>
      <c r="I99" s="346">
        <f>IF(C99&lt;&gt;"",_xll.RssMarket(C99,"安値"),"")</f>
        <v/>
      </c>
      <c r="J99" s="346">
        <f>IF(C99&lt;&gt;"",_xll.RssMarket(C99,"出来高"),"")</f>
        <v/>
      </c>
      <c r="K99" s="346">
        <f>IF(C99&lt;&gt;"",_xll.RssMarket(C99,"年初来高値"),"")</f>
        <v/>
      </c>
      <c r="L99" s="619">
        <f>IF(AND(E99&lt;&gt;"",K99&lt;&gt;"",K99&lt;&gt;0),(E99-K99)/K99*100,"")</f>
        <v/>
      </c>
      <c r="M99" s="346">
        <f>IF(C99&lt;&gt;"",IFERROR(AVERAGE(出来高!E74:I74),""),"")</f>
        <v/>
      </c>
      <c r="N99" s="346">
        <f>IF(C99&lt;&gt;"",IFERROR(AVERAGE(出来高!E74:AC74),""),"")</f>
        <v/>
      </c>
      <c r="O99" s="620">
        <f>IF(AND(J99&lt;&gt;"",M99&lt;&gt;"",M99&lt;&gt;0),J99/M99,"")</f>
        <v/>
      </c>
      <c r="P99" s="345">
        <f>IF(O99="","",IF(O99&gt;=2,"急増↑↑",IF(O99&gt;=1.5,"増加↑",IF(O99&gt;=1,"普通→","減少↓"))))</f>
        <v/>
      </c>
      <c r="Q99" s="345">
        <f>IF(E99="","",IF(AND(E99&lt;G99,O99&gt;=1.5),"売り▼",IF(E99&gt;G99,"様子見▲","中立→")))</f>
        <v/>
      </c>
      <c r="R99" s="346">
        <f>IF(E99&lt;&gt;"",ROUND(E99*0.92,0),"")</f>
        <v/>
      </c>
      <c r="S99" s="346">
        <f>IF(E99&lt;&gt;"",ROUND(E99*1.04,0),"")</f>
        <v/>
      </c>
      <c r="T99" s="345">
        <f>IF(C99="","",IFERROR(IF(W99&gt;=70,3,IF(W99&gt;=60,2,IF(W99&gt;=50,1,0)))+IF(X99&lt;0,2,0)+IF(AD99="下降トレンド▼",3,IF(AD99="もみ合い→",1,0))+IF(V99="年初来安値圏●",3,IF(V99="安値圏",2,0))+IF(Q99="売り▼",2,0)+IF(P99="急増↑↑",2,IF(P99="増加↑",1,0))+IF(Z99&lt;0,1,0)+IF(L99&lt;=-30,2,IF(L99&lt;=-15,1,0))+IF(AE99="25日戻り売り★",2,IF(AE99="5日戻り売り○",1,0))+N(AL99)+N(AP99)+N(AU99),0))</f>
        <v/>
      </c>
      <c r="U99" s="345">
        <f>IF(T99="","",IF(AND(T99&gt;=3,O99&gt;=1.5),"有効",IF(T99&gt;=3,"要確認","除外")))</f>
        <v/>
      </c>
      <c r="V99" s="345">
        <f>IF(AND(I99&lt;&gt;"",K99&lt;&gt;""),IF(I99&lt;=K99*0.6,"年初来安値圏●",IF(I99&lt;=K99*0.75,"安値圏","通常")),"")</f>
        <v/>
      </c>
      <c r="W99" s="621">
        <f t="array" ref="W99">IFERROR(100-100/(1+SUMPRODUCT((終値!F74:R74&gt;終値!G74:S74)*(終値!F74:R74-終値!G74:S74))/SUMPRODUCT((終値!F74:R74&lt;終値!G74:S74)*(終値!G74:S74-終値!F74:R74))),50)</f>
        <v/>
      </c>
      <c r="X99" s="350">
        <f>IF(C99&lt;&gt;"",IFERROR(SUMPRODUCT(終値!E74:P74,{0.154,0.132,0.113,0.097,0.083,0.071,0.061,0.052,0.045,0.038,0.033,0.028})/SUMPRODUCT({0.154,0.132,0.113,0.097,0.083,0.071,0.061,0.052,0.045,0.038,0.033,0.028})-SUMPRODUCT(終値!E74:AD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9" s="345">
        <f>IF(AF99="","",AF99&amp;" | "&amp;AD99&amp;IF(AE99&lt;&gt;"なし"," "&amp;AE99,"")&amp;IF(X99&lt;0," MACD-"," MACD+")&amp;" RSI:"&amp;TEXT(W99,"0.0")&amp;IF(W99&gt;=70," [過熱]",IF(W99&lt;=30," [売られ過ぎ]",""))&amp;" 前日比:"&amp;TEXT(Z99,"+0.0;-0.0;0.0")&amp;"%"&amp;IF(V99="年初来安値圏●"," [年初来安値圏]",IF(V99="安値圏"," [安値圏]",""))&amp;IF(OR(AO99="通常",AO99="-"),""," ["&amp;AO99&amp;"]")&amp;IF(OR(AT99="通常",AT99="-"),"","前日["&amp;AT99&amp;"]")&amp;" ["&amp;T99&amp;"点]")</f>
        <v/>
      </c>
      <c r="Z99" s="622">
        <f>IF(AND(E99&lt;&gt;"",G99&lt;&gt;"",G99&lt;&gt;0),(E99-G99)/G99*100,"")</f>
        <v/>
      </c>
      <c r="AA99" s="345">
        <f>IF(OR(C99="",E99="",E99=0),"",IF(E99&gt;G99,"上昇▲",IF(E99&lt;G99,"下落▼","横ばい→")))</f>
        <v/>
      </c>
      <c r="AB99" s="346">
        <f>IF(OR(C99="",C99="TOPX",終値!E74=""),"",IFERROR(((終値!E74*0.333)+(終値!F74*0.222)+(終値!G74*0.148)+(終値!H74*0.099)+(終値!I74*0.066))/(0.333+0.222+0.148+0.099+0.066),""))</f>
        <v/>
      </c>
      <c r="AC99" s="346">
        <f>IF(OR(C99="",C99="TOPX",終値!E74=""),"",IFERROR(SUMPRODUCT((終値!E74:AC74)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9" s="345">
        <f>IF(OR(C99="",AB99="",AC99="",AB99=0,AC99=0),"",IF(AND(E99&gt;AB99,AB99&gt;AC99),"パーフェクト▲",IF(E99&gt;AC99,"上昇トレンド▲",IF(AND(E99&lt;AB99,AB99&lt;AC99),"下降トレンド▼","もみ合い→"))))</f>
        <v/>
      </c>
      <c r="AE99" s="345">
        <f>IF(OR(C99="",AB99="",AC99=""),"",IF(AND(ABS(E99-AC99)/AC99&lt;=0.02,E99&lt;AC99),"25日戻り売り★",IF(AND(ABS(E99-AB99)/AB99&lt;=0.01,E99&lt;AB99),"5日戻り売り○","なし")))</f>
        <v/>
      </c>
      <c r="AF99">
        <f>IF(T99="","",IF(銘柄管理!$F$5="上昇▲",IF(AND(AD99="下降トレンド▼",OR(AE99="25日戻り売り★",AE99="5日戻り売り○")),"★逆張り売り",IF(AND(AD99="もみ合い→",OR(AE99="25日戻り売り★",AE99="5日戻り売り○")),"○逆張り売り",IF(W99&gt;=70,IF(Z99&lt;0,"◎反落確認","△過熱・様子見"),"相場上昇・見送り"))),IF(AND(T99&gt;=12,AD99="下降トレンド▼"),"★強い売り",IF(T99&gt;=12,"★強い売り",IF(AND(T99&gt;=8,OR(AE99="25日戻り売り★",AE99="5日戻り売り○")),"◎戻り売り",IF(T99&gt;=10,"○売り候補",IF(T99&gt;=6,"△注目",IF(T99&gt;=3,"様子見","見送り"))))))))</f>
        <v/>
      </c>
      <c r="AG99">
        <f>IF(AND(T99&gt;=7,C99&lt;&gt;""),T99,0)</f>
        <v/>
      </c>
      <c r="AH99">
        <f>IF(AG99&gt;0,AG99*10000-ROW(A99),0)</f>
        <v/>
      </c>
      <c r="AI99" s="623">
        <f t="array" ref="AI99">IF(C99="","",IFERROR((INDEX(終値!$E:$E,MATCH(TEXT(C99,"0"),終値!$A:$A,0))-INDEX(終値!$E:$BL,MATCH(TEXT(C99,"0"),終値!$A:$A,0),$AN$2))/INDEX(終値!$E:$BL,MATCH(TEXT(C99,"0"),終値!$A:$A,0),$AN$2)*100,""))</f>
        <v/>
      </c>
      <c r="AJ99" s="623">
        <f t="array" ref="AJ99">IFERROR((終値!$E$5-INDEX(終値!$E$5:$BL$5,1,$AN$2))/INDEX(終値!$E$5:$BL$5,1,$AN$2)*100,"")</f>
        <v/>
      </c>
      <c r="AK99" s="624">
        <f>IF(OR(AI99="",AJ99=""),"",AI99-AJ99)</f>
        <v/>
      </c>
      <c r="AL99" s="394">
        <f>IF(AK99="","",IF(AK99&lt;-5,3,IF(AK99&lt;0,1,IF(AK99&lt;3,-1,-2))))</f>
        <v/>
      </c>
      <c r="AO99" s="398">
        <f>IF(OR($C99="",$E99="",$F99="",$H99="",$I99="",$H99-$I99&lt;=0),"-",IF(AND($H99-MAX($F99,$E99)&gt;=ABS($E99-$F99)*2,MIN($F99,$E99)-$I99&lt;=ABS($E99-$F99)*0.5,ABS($E99-$F99)&gt;0),"上ヒゲ陰線▼",IF(AND($E99&lt;$F99,ABS($E99-$F99)&gt;=($H99-$I99)*0.7),"大陰線▼",IF(AND(MIN($F99,$E99)-$I99&gt;=($H99-$I99)*0.5,$H99-MAX($F99,$E99)&lt;=($H99-$I99)*0.2),"長い下ヒゲ(反発警戒)","通常"))))</f>
        <v/>
      </c>
      <c r="AP99" s="625">
        <f>IF($AO99="上ヒゲ陰線▼",2,IF($AO99="大陰線▼",2,IF($AO99="長い下ヒゲ(反発警戒)",-2,0)))</f>
        <v/>
      </c>
      <c r="AQ99">
        <f>IF(C99&lt;&gt;"",始値!F74,"")</f>
        <v/>
      </c>
      <c r="AR99">
        <f>IF(C99&lt;&gt;"",高値!F74,"")</f>
        <v/>
      </c>
      <c r="AS99">
        <f>IF(C99&lt;&gt;"",安値!F74,"")</f>
        <v/>
      </c>
      <c r="AT99">
        <f>IF(OR(C99="",AQ99="",AR99="",AS99="",AR99-AS99&lt;=0),"-",IF(AND(AR99-MAX(G99,AQ99)&gt;=ABS(G99-AQ99)*2,MIN(G99,AQ99)-AS99&lt;=ABS(G99-AQ99)*0.5,ABS(G99-AQ99)&gt;0),"上ヒゲ陰線▼",IF(AND(G99&lt;AQ99,ABS(G99-AQ99)&gt;=(AR99-AS99)*0.7),"大陰線▼",IF(AND(MIN(G99,AQ99)-AS99&gt;=(AR99-AS99)*0.5,AR99-MAX(G99,AQ99)&lt;=(AR99-AS99)*0.2),"長い下ヒゲ(反発)","通常"))))</f>
        <v/>
      </c>
      <c r="AU99">
        <f>IF(AT99="上ヒゲ陰線▼",2,IF(AT99="大陰線▼",2,IF(AT99="長い下ヒゲ(反発)",-2,0)))</f>
        <v/>
      </c>
    </row>
    <row r="100" ht="14.25" customHeight="1" s="574">
      <c r="A100" s="352">
        <f>IF(銘柄管理!B81&lt;&gt;"",HYPERLINK("https://kabutan.jp/stock/?code="&amp;銘柄管理!B81,"株探"),"")</f>
        <v/>
      </c>
      <c r="B100" s="225" t="n"/>
      <c r="C100" s="225">
        <f>IF(銘柄管理!B81="","",銘柄管理!B81)</f>
        <v/>
      </c>
      <c r="D100" s="225">
        <f>IF(銘柄管理!C81="","",銘柄管理!C81)</f>
        <v/>
      </c>
      <c r="E100" s="353">
        <f>IF(C100&lt;&gt;"",_xll.RssMarket(C100,"現在値"),"")</f>
        <v/>
      </c>
      <c r="F100" s="353">
        <f>IF(C100&lt;&gt;"",_xll.RssMarket(C100,"始値"),"")</f>
        <v/>
      </c>
      <c r="G100" s="225">
        <f>IF(C100&lt;&gt;"",終値!F81,"")</f>
        <v/>
      </c>
      <c r="H100" s="353">
        <f>IF(C100&lt;&gt;"",_xll.RssMarket(C100,"高値"),"")</f>
        <v/>
      </c>
      <c r="I100" s="353">
        <f>IF(C100&lt;&gt;"",_xll.RssMarket(C100,"安値"),"")</f>
        <v/>
      </c>
      <c r="J100" s="353">
        <f>IF(C100&lt;&gt;"",_xll.RssMarket(C100,"出来高"),"")</f>
        <v/>
      </c>
      <c r="K100" s="353">
        <f>IF(C100&lt;&gt;"",_xll.RssMarket(C100,"年初来高値"),"")</f>
        <v/>
      </c>
      <c r="L100" s="626">
        <f>IF(AND(E100&lt;&gt;"",K100&lt;&gt;"",K100&lt;&gt;0),(E100-K100)/K100*100,"")</f>
        <v/>
      </c>
      <c r="M100" s="353">
        <f>IF(C100&lt;&gt;"",IFERROR(AVERAGE(出来高!E81:I81),""),"")</f>
        <v/>
      </c>
      <c r="N100" s="353">
        <f>IF(C100&lt;&gt;"",IFERROR(AVERAGE(出来高!E81:AC81),""),"")</f>
        <v/>
      </c>
      <c r="O100" s="627">
        <f>IF(AND(J100&lt;&gt;"",M100&lt;&gt;"",M100&lt;&gt;0),J100/M100,"")</f>
        <v/>
      </c>
      <c r="P100" s="225">
        <f>IF(O100="","",IF(O100&gt;=2,"急増↑↑",IF(O100&gt;=1.5,"増加↑",IF(O100&gt;=1,"普通→","減少↓"))))</f>
        <v/>
      </c>
      <c r="Q100" s="225">
        <f>IF(E100="","",IF(AND(E100&lt;G100,O100&gt;=1.5),"売り▼",IF(E100&gt;G100,"様子見▲","中立→")))</f>
        <v/>
      </c>
      <c r="R100" s="353">
        <f>IF(E100&lt;&gt;"",ROUND(E100*0.92,0),"")</f>
        <v/>
      </c>
      <c r="S100" s="353">
        <f>IF(E100&lt;&gt;"",ROUND(E100*1.04,0),"")</f>
        <v/>
      </c>
      <c r="T100" s="345">
        <f>IF(C100="","",IFERROR(IF(W100&gt;=70,3,IF(W100&gt;=60,2,IF(W100&gt;=50,1,0)))+IF(X100&lt;0,2,0)+IF(AD100="下降トレンド▼",3,IF(AD100="もみ合い→",1,0))+IF(V100="年初来安値圏●",3,IF(V100="安値圏",2,0))+IF(Q100="売り▼",2,0)+IF(P100="急増↑↑",2,IF(P100="増加↑",1,0))+IF(Z100&lt;0,1,0)+IF(L100&lt;=-30,2,IF(L100&lt;=-15,1,0))+IF(AE100="25日戻り売り★",2,IF(AE100="5日戻り売り○",1,0))+N(AL100)+N(AP100)+N(AU100),0))</f>
        <v/>
      </c>
      <c r="U100" s="225">
        <f>IF(T100="","",IF(AND(T100&gt;=3,O100&gt;=1.5),"有効",IF(T100&gt;=3,"要確認","除外")))</f>
        <v/>
      </c>
      <c r="V100" s="225">
        <f>IF(AND(I100&lt;&gt;"",K100&lt;&gt;""),IF(I100&lt;=K100*0.6,"年初来安値圏●",IF(I100&lt;=K100*0.75,"安値圏","通常")),"")</f>
        <v/>
      </c>
      <c r="W100" s="628">
        <f t="array" ref="W100">IFERROR(100-100/(1+SUMPRODUCT((終値!F81:R81&gt;終値!G81:S81)*(終値!F81:R81-終値!G81:S81))/SUMPRODUCT((終値!F81:R81&lt;終値!G81:S81)*(終値!G81:S81-終値!F81:R81))),50)</f>
        <v/>
      </c>
      <c r="X100" s="357">
        <f>IF(C100&lt;&gt;"",IFERROR(SUMPRODUCT(終値!E81:P81,{0.154,0.132,0.113,0.097,0.083,0.071,0.061,0.052,0.045,0.038,0.033,0.028})/SUMPRODUCT({0.154,0.132,0.113,0.097,0.083,0.071,0.061,0.052,0.045,0.038,0.033,0.028})-SUMPRODUCT(終値!E81:AD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0" s="225">
        <f>IF(AF100="","",AF100&amp;" | "&amp;AD100&amp;IF(AE100&lt;&gt;"なし"," "&amp;AE100,"")&amp;IF(X100&lt;0," MACD-"," MACD+")&amp;" RSI:"&amp;TEXT(W100,"0.0")&amp;IF(W100&gt;=70," [過熱]",IF(W100&lt;=30," [売られ過ぎ]",""))&amp;" 前日比:"&amp;TEXT(Z100,"+0.0;-0.0;0.0")&amp;"%"&amp;IF(V100="年初来安値圏●"," [年初来安値圏]",IF(V100="安値圏"," [安値圏]",""))&amp;IF(OR(AO100="通常",AO100="-"),""," ["&amp;AO100&amp;"]")&amp;IF(OR(AT100="通常",AT100="-"),"","前日["&amp;AT100&amp;"]")&amp;" ["&amp;T100&amp;"点]")</f>
        <v/>
      </c>
      <c r="Z100" s="629">
        <f>IF(AND(E100&lt;&gt;"",G100&lt;&gt;"",G100&lt;&gt;0),(E100-G100)/G100*100,"")</f>
        <v/>
      </c>
      <c r="AA100" s="225">
        <f>IF(OR(C100="",E100="",E100=0),"",IF(E100&gt;G100,"上昇▲",IF(E100&lt;G100,"下落▼","横ばい→")))</f>
        <v/>
      </c>
      <c r="AB100" s="353">
        <f>IF(OR(C100="",C100="TOPX",終値!E81=""),"",IFERROR(((終値!E81*0.333)+(終値!F81*0.222)+(終値!G81*0.148)+(終値!H81*0.099)+(終値!I81*0.066))/(0.333+0.222+0.148+0.099+0.066),""))</f>
        <v/>
      </c>
      <c r="AC100" s="353">
        <f>IF(OR(C100="",C100="TOPX",終値!E81=""),"",IFERROR(SUMPRODUCT((終値!E81:AC81)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0" s="225">
        <f>IF(OR(C100="",AB100="",AC100="",AB100=0,AC100=0),"",IF(AND(E100&gt;AB100,AB100&gt;AC100),"パーフェクト▲",IF(E100&gt;AC100,"上昇トレンド▲",IF(AND(E100&lt;AB100,AB100&lt;AC100),"下降トレンド▼","もみ合い→"))))</f>
        <v/>
      </c>
      <c r="AE100" s="225">
        <f>IF(OR(C100="",AB100="",AC100=""),"",IF(AND(ABS(E100-AC100)/AC100&lt;=0.02,E100&lt;AC100),"25日戻り売り★",IF(AND(ABS(E100-AB100)/AB100&lt;=0.01,E100&lt;AB100),"5日戻り売り○","なし")))</f>
        <v/>
      </c>
      <c r="AF100">
        <f>IF(T100="","",IF(銘柄管理!$F$5="上昇▲",IF(AND(AD100="下降トレンド▼",OR(AE100="25日戻り売り★",AE100="5日戻り売り○")),"★逆張り売り",IF(AND(AD100="もみ合い→",OR(AE100="25日戻り売り★",AE100="5日戻り売り○")),"○逆張り売り",IF(W100&gt;=70,IF(Z100&lt;0,"◎反落確認","△過熱・様子見"),"相場上昇・見送り"))),IF(AND(T100&gt;=12,AD100="下降トレンド▼"),"★強い売り",IF(T100&gt;=12,"★強い売り",IF(AND(T100&gt;=8,OR(AE100="25日戻り売り★",AE100="5日戻り売り○")),"◎戻り売り",IF(T100&gt;=10,"○売り候補",IF(T100&gt;=6,"△注目",IF(T100&gt;=3,"様子見","見送り"))))))))</f>
        <v/>
      </c>
      <c r="AG100">
        <f>IF(AND(T100&gt;=7,C100&lt;&gt;""),T100,0)</f>
        <v/>
      </c>
      <c r="AH100">
        <f>IF(AG100&gt;0,AG100*10000-ROW(A100),0)</f>
        <v/>
      </c>
      <c r="AI100" s="623">
        <f t="array" ref="AI100">IF(C100="","",IFERROR((INDEX(終値!$E:$E,MATCH(TEXT(C100,"0"),終値!$A:$A,0))-INDEX(終値!$E:$BL,MATCH(TEXT(C100,"0"),終値!$A:$A,0),$AN$2))/INDEX(終値!$E:$BL,MATCH(TEXT(C100,"0"),終値!$A:$A,0),$AN$2)*100,""))</f>
        <v/>
      </c>
      <c r="AJ100" s="623">
        <f t="array" ref="AJ100">IFERROR((終値!$E$5-INDEX(終値!$E$5:$BL$5,1,$AN$2))/INDEX(終値!$E$5:$BL$5,1,$AN$2)*100,"")</f>
        <v/>
      </c>
      <c r="AK100" s="624">
        <f>IF(OR(AI100="",AJ100=""),"",AI100-AJ100)</f>
        <v/>
      </c>
      <c r="AL100" s="394">
        <f>IF(AK100="","",IF(AK100&lt;-5,3,IF(AK100&lt;0,1,IF(AK100&lt;3,-1,-2))))</f>
        <v/>
      </c>
      <c r="AO100" s="398">
        <f>IF(OR($C100="",$E100="",$F100="",$H100="",$I100="",$H100-$I100&lt;=0),"-",IF(AND($H100-MAX($F100,$E100)&gt;=ABS($E100-$F100)*2,MIN($F100,$E100)-$I100&lt;=ABS($E100-$F100)*0.5,ABS($E100-$F100)&gt;0),"上ヒゲ陰線▼",IF(AND($E100&lt;$F100,ABS($E100-$F100)&gt;=($H100-$I100)*0.7),"大陰線▼",IF(AND(MIN($F100,$E100)-$I100&gt;=($H100-$I100)*0.5,$H100-MAX($F100,$E100)&lt;=($H100-$I100)*0.2),"長い下ヒゲ(反発警戒)","通常"))))</f>
        <v/>
      </c>
      <c r="AP100" s="625">
        <f>IF($AO100="上ヒゲ陰線▼",2,IF($AO100="大陰線▼",2,IF($AO100="長い下ヒゲ(反発警戒)",-2,0)))</f>
        <v/>
      </c>
      <c r="AQ100">
        <f>IF(C100&lt;&gt;"",始値!F81,"")</f>
        <v/>
      </c>
      <c r="AR100">
        <f>IF(C100&lt;&gt;"",高値!F81,"")</f>
        <v/>
      </c>
      <c r="AS100">
        <f>IF(C100&lt;&gt;"",安値!F81,"")</f>
        <v/>
      </c>
      <c r="AT100">
        <f>IF(OR(C100="",AQ100="",AR100="",AS100="",AR100-AS100&lt;=0),"-",IF(AND(AR100-MAX(G100,AQ100)&gt;=ABS(G100-AQ100)*2,MIN(G100,AQ100)-AS100&lt;=ABS(G100-AQ100)*0.5,ABS(G100-AQ100)&gt;0),"上ヒゲ陰線▼",IF(AND(G100&lt;AQ100,ABS(G100-AQ100)&gt;=(AR100-AS100)*0.7),"大陰線▼",IF(AND(MIN(G100,AQ100)-AS100&gt;=(AR100-AS100)*0.5,AR100-MAX(G100,AQ100)&lt;=(AR100-AS100)*0.2),"長い下ヒゲ(反発)","通常"))))</f>
        <v/>
      </c>
      <c r="AU100">
        <f>IF(AT100="上ヒゲ陰線▼",2,IF(AT100="大陰線▼",2,IF(AT100="長い下ヒゲ(反発)",-2,0)))</f>
        <v/>
      </c>
    </row>
    <row r="101" ht="14.25" customHeight="1" s="574">
      <c r="A101" s="344">
        <f>IF(銘柄管理!B82&lt;&gt;"",HYPERLINK("https://kabutan.jp/stock/?code="&amp;銘柄管理!B82,"株探"),"")</f>
        <v/>
      </c>
      <c r="B101" s="345" t="n"/>
      <c r="C101" s="345">
        <f>IF(銘柄管理!B82="","",銘柄管理!B82)</f>
        <v/>
      </c>
      <c r="D101" s="345">
        <f>IF(銘柄管理!C82="","",銘柄管理!C82)</f>
        <v/>
      </c>
      <c r="E101" s="346">
        <f>IF(C101&lt;&gt;"",_xll.RssMarket(C101,"現在値"),"")</f>
        <v/>
      </c>
      <c r="F101" s="346">
        <f>IF(C101&lt;&gt;"",_xll.RssMarket(C101,"始値"),"")</f>
        <v/>
      </c>
      <c r="G101" s="345">
        <f>IF(C101&lt;&gt;"",終値!F82,"")</f>
        <v/>
      </c>
      <c r="H101" s="346">
        <f>IF(C101&lt;&gt;"",_xll.RssMarket(C101,"高値"),"")</f>
        <v/>
      </c>
      <c r="I101" s="346">
        <f>IF(C101&lt;&gt;"",_xll.RssMarket(C101,"安値"),"")</f>
        <v/>
      </c>
      <c r="J101" s="346">
        <f>IF(C101&lt;&gt;"",_xll.RssMarket(C101,"出来高"),"")</f>
        <v/>
      </c>
      <c r="K101" s="346">
        <f>IF(C101&lt;&gt;"",_xll.RssMarket(C101,"年初来高値"),"")</f>
        <v/>
      </c>
      <c r="L101" s="619">
        <f>IF(AND(E101&lt;&gt;"",K101&lt;&gt;"",K101&lt;&gt;0),(E101-K101)/K101*100,"")</f>
        <v/>
      </c>
      <c r="M101" s="346">
        <f>IF(C101&lt;&gt;"",IFERROR(AVERAGE(出来高!E82:I82),""),"")</f>
        <v/>
      </c>
      <c r="N101" s="346">
        <f>IF(C101&lt;&gt;"",IFERROR(AVERAGE(出来高!E82:AC82),""),"")</f>
        <v/>
      </c>
      <c r="O101" s="620">
        <f>IF(AND(J101&lt;&gt;"",M101&lt;&gt;"",M101&lt;&gt;0),J101/M101,"")</f>
        <v/>
      </c>
      <c r="P101" s="345">
        <f>IF(O101="","",IF(O101&gt;=2,"急増↑↑",IF(O101&gt;=1.5,"増加↑",IF(O101&gt;=1,"普通→","減少↓"))))</f>
        <v/>
      </c>
      <c r="Q101" s="345">
        <f>IF(E101="","",IF(AND(E101&lt;G101,O101&gt;=1.5),"売り▼",IF(E101&gt;G101,"様子見▲","中立→")))</f>
        <v/>
      </c>
      <c r="R101" s="346">
        <f>IF(E101&lt;&gt;"",ROUND(E101*0.92,0),"")</f>
        <v/>
      </c>
      <c r="S101" s="346">
        <f>IF(E101&lt;&gt;"",ROUND(E101*1.04,0),"")</f>
        <v/>
      </c>
      <c r="T101" s="345">
        <f>IF(C101="","",IFERROR(IF(W101&gt;=70,3,IF(W101&gt;=60,2,IF(W101&gt;=50,1,0)))+IF(X101&lt;0,2,0)+IF(AD101="下降トレンド▼",3,IF(AD101="もみ合い→",1,0))+IF(V101="年初来安値圏●",3,IF(V101="安値圏",2,0))+IF(Q101="売り▼",2,0)+IF(P101="急増↑↑",2,IF(P101="増加↑",1,0))+IF(Z101&lt;0,1,0)+IF(L101&lt;=-30,2,IF(L101&lt;=-15,1,0))+IF(AE101="25日戻り売り★",2,IF(AE101="5日戻り売り○",1,0))+N(AL101)+N(AP101)+N(AU101),0))</f>
        <v/>
      </c>
      <c r="U101" s="345">
        <f>IF(T101="","",IF(AND(T101&gt;=3,O101&gt;=1.5),"有効",IF(T101&gt;=3,"要確認","除外")))</f>
        <v/>
      </c>
      <c r="V101" s="345">
        <f>IF(AND(I101&lt;&gt;"",K101&lt;&gt;""),IF(I101&lt;=K101*0.6,"年初来安値圏●",IF(I101&lt;=K101*0.75,"安値圏","通常")),"")</f>
        <v/>
      </c>
      <c r="W101" s="621">
        <f t="array" ref="W101">IFERROR(100-100/(1+SUMPRODUCT((終値!F82:R82&gt;終値!G82:S82)*(終値!F82:R82-終値!G82:S82))/SUMPRODUCT((終値!F82:R82&lt;終値!G82:S82)*(終値!G82:S82-終値!F82:R82))),50)</f>
        <v/>
      </c>
      <c r="X101" s="350">
        <f>IF(C101&lt;&gt;"",IFERROR(SUMPRODUCT(終値!E82:P82,{0.154,0.132,0.113,0.097,0.083,0.071,0.061,0.052,0.045,0.038,0.033,0.028})/SUMPRODUCT({0.154,0.132,0.113,0.097,0.083,0.071,0.061,0.052,0.045,0.038,0.033,0.028})-SUMPRODUCT(終値!E82:AD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1" s="345">
        <f>IF(AF101="","",AF101&amp;" | "&amp;AD101&amp;IF(AE101&lt;&gt;"なし"," "&amp;AE101,"")&amp;IF(X101&lt;0," MACD-"," MACD+")&amp;" RSI:"&amp;TEXT(W101,"0.0")&amp;IF(W101&gt;=70," [過熱]",IF(W101&lt;=30," [売られ過ぎ]",""))&amp;" 前日比:"&amp;TEXT(Z101,"+0.0;-0.0;0.0")&amp;"%"&amp;IF(V101="年初来安値圏●"," [年初来安値圏]",IF(V101="安値圏"," [安値圏]",""))&amp;IF(OR(AO101="通常",AO101="-"),""," ["&amp;AO101&amp;"]")&amp;IF(OR(AT101="通常",AT101="-"),"","前日["&amp;AT101&amp;"]")&amp;" ["&amp;T101&amp;"点]")</f>
        <v/>
      </c>
      <c r="Z101" s="622">
        <f>IF(AND(E101&lt;&gt;"",G101&lt;&gt;"",G101&lt;&gt;0),(E101-G101)/G101*100,"")</f>
        <v/>
      </c>
      <c r="AA101" s="345">
        <f>IF(OR(C101="",E101="",E101=0),"",IF(E101&gt;G101,"上昇▲",IF(E101&lt;G101,"下落▼","横ばい→")))</f>
        <v/>
      </c>
      <c r="AB101" s="346">
        <f>IF(OR(C101="",C101="TOPX",終値!E82=""),"",IFERROR(((終値!E82*0.333)+(終値!F82*0.222)+(終値!G82*0.148)+(終値!H82*0.099)+(終値!I82*0.066))/(0.333+0.222+0.148+0.099+0.066),""))</f>
        <v/>
      </c>
      <c r="AC101" s="346">
        <f>IF(OR(C101="",C101="TOPX",終値!E82=""),"",IFERROR(SUMPRODUCT((終値!E82:AC82)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1" s="345">
        <f>IF(OR(C101="",AB101="",AC101="",AB101=0,AC101=0),"",IF(AND(E101&gt;AB101,AB101&gt;AC101),"パーフェクト▲",IF(E101&gt;AC101,"上昇トレンド▲",IF(AND(E101&lt;AB101,AB101&lt;AC101),"下降トレンド▼","もみ合い→"))))</f>
        <v/>
      </c>
      <c r="AE101" s="345">
        <f>IF(OR(C101="",AB101="",AC101=""),"",IF(AND(ABS(E101-AC101)/AC101&lt;=0.02,E101&lt;AC101),"25日戻り売り★",IF(AND(ABS(E101-AB101)/AB101&lt;=0.01,E101&lt;AB101),"5日戻り売り○","なし")))</f>
        <v/>
      </c>
      <c r="AF101">
        <f>IF(T101="","",IF(銘柄管理!$F$5="上昇▲",IF(AND(AD101="下降トレンド▼",OR(AE101="25日戻り売り★",AE101="5日戻り売り○")),"★逆張り売り",IF(AND(AD101="もみ合い→",OR(AE101="25日戻り売り★",AE101="5日戻り売り○")),"○逆張り売り",IF(W101&gt;=70,IF(Z101&lt;0,"◎反落確認","△過熱・様子見"),"相場上昇・見送り"))),IF(AND(T101&gt;=12,AD101="下降トレンド▼"),"★強い売り",IF(T101&gt;=12,"★強い売り",IF(AND(T101&gt;=8,OR(AE101="25日戻り売り★",AE101="5日戻り売り○")),"◎戻り売り",IF(T101&gt;=10,"○売り候補",IF(T101&gt;=6,"△注目",IF(T101&gt;=3,"様子見","見送り"))))))))</f>
        <v/>
      </c>
      <c r="AG101">
        <f>IF(AND(T101&gt;=7,C101&lt;&gt;""),T101,0)</f>
        <v/>
      </c>
      <c r="AH101">
        <f>IF(AG101&gt;0,AG101*10000-ROW(A101),0)</f>
        <v/>
      </c>
      <c r="AI101" s="623">
        <f t="array" ref="AI101">IF(C101="","",IFERROR((INDEX(終値!$E:$E,MATCH(TEXT(C101,"0"),終値!$A:$A,0))-INDEX(終値!$E:$BL,MATCH(TEXT(C101,"0"),終値!$A:$A,0),$AN$2))/INDEX(終値!$E:$BL,MATCH(TEXT(C101,"0"),終値!$A:$A,0),$AN$2)*100,""))</f>
        <v/>
      </c>
      <c r="AJ101" s="623">
        <f t="array" ref="AJ101">IFERROR((終値!$E$5-INDEX(終値!$E$5:$BL$5,1,$AN$2))/INDEX(終値!$E$5:$BL$5,1,$AN$2)*100,"")</f>
        <v/>
      </c>
      <c r="AK101" s="624">
        <f>IF(OR(AI101="",AJ101=""),"",AI101-AJ101)</f>
        <v/>
      </c>
      <c r="AL101" s="394">
        <f>IF(AK101="","",IF(AK101&lt;-5,3,IF(AK101&lt;0,1,IF(AK101&lt;3,-1,-2))))</f>
        <v/>
      </c>
      <c r="AO101" s="398">
        <f>IF(OR($C101="",$E101="",$F101="",$H101="",$I101="",$H101-$I101&lt;=0),"-",IF(AND($H101-MAX($F101,$E101)&gt;=ABS($E101-$F101)*2,MIN($F101,$E101)-$I101&lt;=ABS($E101-$F101)*0.5,ABS($E101-$F101)&gt;0),"上ヒゲ陰線▼",IF(AND($E101&lt;$F101,ABS($E101-$F101)&gt;=($H101-$I101)*0.7),"大陰線▼",IF(AND(MIN($F101,$E101)-$I101&gt;=($H101-$I101)*0.5,$H101-MAX($F101,$E101)&lt;=($H101-$I101)*0.2),"長い下ヒゲ(反発警戒)","通常"))))</f>
        <v/>
      </c>
      <c r="AP101" s="625">
        <f>IF($AO101="上ヒゲ陰線▼",2,IF($AO101="大陰線▼",2,IF($AO101="長い下ヒゲ(反発警戒)",-2,0)))</f>
        <v/>
      </c>
      <c r="AQ101">
        <f>IF(C101&lt;&gt;"",始値!F82,"")</f>
        <v/>
      </c>
      <c r="AR101">
        <f>IF(C101&lt;&gt;"",高値!F82,"")</f>
        <v/>
      </c>
      <c r="AS101">
        <f>IF(C101&lt;&gt;"",安値!F82,"")</f>
        <v/>
      </c>
      <c r="AT101">
        <f>IF(OR(C101="",AQ101="",AR101="",AS101="",AR101-AS101&lt;=0),"-",IF(AND(AR101-MAX(G101,AQ101)&gt;=ABS(G101-AQ101)*2,MIN(G101,AQ101)-AS101&lt;=ABS(G101-AQ101)*0.5,ABS(G101-AQ101)&gt;0),"上ヒゲ陰線▼",IF(AND(G101&lt;AQ101,ABS(G101-AQ101)&gt;=(AR101-AS101)*0.7),"大陰線▼",IF(AND(MIN(G101,AQ101)-AS101&gt;=(AR101-AS101)*0.5,AR101-MAX(G101,AQ101)&lt;=(AR101-AS101)*0.2),"長い下ヒゲ(反発)","通常"))))</f>
        <v/>
      </c>
      <c r="AU101">
        <f>IF(AT101="上ヒゲ陰線▼",2,IF(AT101="大陰線▼",2,IF(AT101="長い下ヒゲ(反発)",-2,0)))</f>
        <v/>
      </c>
    </row>
    <row r="102" ht="14.25" customHeight="1" s="574">
      <c r="A102" s="352">
        <f>IF(銘柄管理!B85&lt;&gt;"",HYPERLINK("https://kabutan.jp/stock/?code="&amp;銘柄管理!B85,"株探"),"")</f>
        <v/>
      </c>
      <c r="B102" s="225" t="n"/>
      <c r="C102" s="225">
        <f>IF(銘柄管理!B85="","",銘柄管理!B85)</f>
        <v/>
      </c>
      <c r="D102" s="225">
        <f>IF(銘柄管理!C85="","",銘柄管理!C85)</f>
        <v/>
      </c>
      <c r="E102" s="353">
        <f>IF(C102&lt;&gt;"",_xll.RssMarket(C102,"現在値"),"")</f>
        <v/>
      </c>
      <c r="F102" s="353">
        <f>IF(C102&lt;&gt;"",_xll.RssMarket(C102,"始値"),"")</f>
        <v/>
      </c>
      <c r="G102" s="225">
        <f>IF(C102&lt;&gt;"",終値!F85,"")</f>
        <v/>
      </c>
      <c r="H102" s="353">
        <f>IF(C102&lt;&gt;"",_xll.RssMarket(C102,"高値"),"")</f>
        <v/>
      </c>
      <c r="I102" s="353">
        <f>IF(C102&lt;&gt;"",_xll.RssMarket(C102,"安値"),"")</f>
        <v/>
      </c>
      <c r="J102" s="353">
        <f>IF(C102&lt;&gt;"",_xll.RssMarket(C102,"出来高"),"")</f>
        <v/>
      </c>
      <c r="K102" s="353">
        <f>IF(C102&lt;&gt;"",_xll.RssMarket(C102,"年初来高値"),"")</f>
        <v/>
      </c>
      <c r="L102" s="626">
        <f>IF(AND(E102&lt;&gt;"",K102&lt;&gt;"",K102&lt;&gt;0),(E102-K102)/K102*100,"")</f>
        <v/>
      </c>
      <c r="M102" s="353">
        <f>IF(C102&lt;&gt;"",IFERROR(AVERAGE(出来高!E85:I85),""),"")</f>
        <v/>
      </c>
      <c r="N102" s="353">
        <f>IF(C102&lt;&gt;"",IFERROR(AVERAGE(出来高!E85:AC85),""),"")</f>
        <v/>
      </c>
      <c r="O102" s="627">
        <f>IF(AND(J102&lt;&gt;"",M102&lt;&gt;"",M102&lt;&gt;0),J102/M102,"")</f>
        <v/>
      </c>
      <c r="P102" s="225">
        <f>IF(O102="","",IF(O102&gt;=2,"急増↑↑",IF(O102&gt;=1.5,"増加↑",IF(O102&gt;=1,"普通→","減少↓"))))</f>
        <v/>
      </c>
      <c r="Q102" s="225">
        <f>IF(E102="","",IF(AND(E102&lt;G102,O102&gt;=1.5),"売り▼",IF(E102&gt;G102,"様子見▲","中立→")))</f>
        <v/>
      </c>
      <c r="R102" s="353">
        <f>IF(E102&lt;&gt;"",ROUND(E102*0.92,0),"")</f>
        <v/>
      </c>
      <c r="S102" s="353">
        <f>IF(E102&lt;&gt;"",ROUND(E102*1.04,0),"")</f>
        <v/>
      </c>
      <c r="T102" s="345">
        <f>IF(C102="","",IFERROR(IF(W102&gt;=70,3,IF(W102&gt;=60,2,IF(W102&gt;=50,1,0)))+IF(X102&lt;0,2,0)+IF(AD102="下降トレンド▼",3,IF(AD102="もみ合い→",1,0))+IF(V102="年初来安値圏●",3,IF(V102="安値圏",2,0))+IF(Q102="売り▼",2,0)+IF(P102="急増↑↑",2,IF(P102="増加↑",1,0))+IF(Z102&lt;0,1,0)+IF(L102&lt;=-30,2,IF(L102&lt;=-15,1,0))+IF(AE102="25日戻り売り★",2,IF(AE102="5日戻り売り○",1,0))+N(AL102)+N(AP102)+N(AU102),0))</f>
        <v/>
      </c>
      <c r="U102" s="225">
        <f>IF(T102="","",IF(AND(T102&gt;=3,O102&gt;=1.5),"有効",IF(T102&gt;=3,"要確認","除外")))</f>
        <v/>
      </c>
      <c r="V102" s="225">
        <f>IF(AND(I102&lt;&gt;"",K102&lt;&gt;""),IF(I102&lt;=K102*0.6,"年初来安値圏●",IF(I102&lt;=K102*0.75,"安値圏","通常")),"")</f>
        <v/>
      </c>
      <c r="W102" s="628">
        <f t="array" ref="W102">IFERROR(100-100/(1+SUMPRODUCT((終値!F85:R85&gt;終値!G85:S85)*(終値!F85:R85-終値!G85:S85))/SUMPRODUCT((終値!F85:R85&lt;終値!G85:S85)*(終値!G85:S85-終値!F85:R85))),50)</f>
        <v/>
      </c>
      <c r="X102" s="357">
        <f>IF(C102&lt;&gt;"",IFERROR(SUMPRODUCT(終値!E85:P85,{0.154,0.132,0.113,0.097,0.083,0.071,0.061,0.052,0.045,0.038,0.033,0.028})/SUMPRODUCT({0.154,0.132,0.113,0.097,0.083,0.071,0.061,0.052,0.045,0.038,0.033,0.028})-SUMPRODUCT(終値!E85:AD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2" s="225">
        <f>IF(AF102="","",AF102&amp;" | "&amp;AD102&amp;IF(AE102&lt;&gt;"なし"," "&amp;AE102,"")&amp;IF(X102&lt;0," MACD-"," MACD+")&amp;" RSI:"&amp;TEXT(W102,"0.0")&amp;IF(W102&gt;=70," [過熱]",IF(W102&lt;=30," [売られ過ぎ]",""))&amp;" 前日比:"&amp;TEXT(Z102,"+0.0;-0.0;0.0")&amp;"%"&amp;IF(V102="年初来安値圏●"," [年初来安値圏]",IF(V102="安値圏"," [安値圏]",""))&amp;IF(OR(AO102="通常",AO102="-"),""," ["&amp;AO102&amp;"]")&amp;IF(OR(AT102="通常",AT102="-"),"","前日["&amp;AT102&amp;"]")&amp;" ["&amp;T102&amp;"点]")</f>
        <v/>
      </c>
      <c r="Z102" s="629">
        <f>IF(AND(E102&lt;&gt;"",G102&lt;&gt;"",G102&lt;&gt;0),(E102-G102)/G102*100,"")</f>
        <v/>
      </c>
      <c r="AA102" s="225">
        <f>IF(OR(C102="",E102="",E102=0),"",IF(E102&gt;G102,"上昇▲",IF(E102&lt;G102,"下落▼","横ばい→")))</f>
        <v/>
      </c>
      <c r="AB102" s="353">
        <f>IF(OR(C102="",C102="TOPX",終値!E85=""),"",IFERROR(((終値!E85*0.333)+(終値!F85*0.222)+(終値!G85*0.148)+(終値!H85*0.099)+(終値!I85*0.066))/(0.333+0.222+0.148+0.099+0.066),""))</f>
        <v/>
      </c>
      <c r="AC102" s="353">
        <f>IF(OR(C102="",C102="TOPX",終値!E85=""),"",IFERROR(SUMPRODUCT((終値!E85:AC85)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2" s="225">
        <f>IF(OR(C102="",AB102="",AC102="",AB102=0,AC102=0),"",IF(AND(E102&gt;AB102,AB102&gt;AC102),"パーフェクト▲",IF(E102&gt;AC102,"上昇トレンド▲",IF(AND(E102&lt;AB102,AB102&lt;AC102),"下降トレンド▼","もみ合い→"))))</f>
        <v/>
      </c>
      <c r="AE102" s="225">
        <f>IF(OR(C102="",AB102="",AC102=""),"",IF(AND(ABS(E102-AC102)/AC102&lt;=0.02,E102&lt;AC102),"25日戻り売り★",IF(AND(ABS(E102-AB102)/AB102&lt;=0.01,E102&lt;AB102),"5日戻り売り○","なし")))</f>
        <v/>
      </c>
      <c r="AF102">
        <f>IF(T102="","",IF(銘柄管理!$F$5="上昇▲",IF(AND(AD102="下降トレンド▼",OR(AE102="25日戻り売り★",AE102="5日戻り売り○")),"★逆張り売り",IF(AND(AD102="もみ合い→",OR(AE102="25日戻り売り★",AE102="5日戻り売り○")),"○逆張り売り",IF(W102&gt;=70,IF(Z102&lt;0,"◎反落確認","△過熱・様子見"),"相場上昇・見送り"))),IF(AND(T102&gt;=12,AD102="下降トレンド▼"),"★強い売り",IF(T102&gt;=12,"★強い売り",IF(AND(T102&gt;=8,OR(AE102="25日戻り売り★",AE102="5日戻り売り○")),"◎戻り売り",IF(T102&gt;=10,"○売り候補",IF(T102&gt;=6,"△注目",IF(T102&gt;=3,"様子見","見送り"))))))))</f>
        <v/>
      </c>
      <c r="AG102">
        <f>IF(AND(T102&gt;=7,C102&lt;&gt;""),T102,0)</f>
        <v/>
      </c>
      <c r="AH102">
        <f>IF(AG102&gt;0,AG102*10000-ROW(A102),0)</f>
        <v/>
      </c>
      <c r="AI102" s="623">
        <f t="array" ref="AI102">IF(C102="","",IFERROR((INDEX(終値!$E:$E,MATCH(TEXT(C102,"0"),終値!$A:$A,0))-INDEX(終値!$E:$BL,MATCH(TEXT(C102,"0"),終値!$A:$A,0),$AN$2))/INDEX(終値!$E:$BL,MATCH(TEXT(C102,"0"),終値!$A:$A,0),$AN$2)*100,""))</f>
        <v/>
      </c>
      <c r="AJ102" s="623">
        <f t="array" ref="AJ102">IFERROR((終値!$E$5-INDEX(終値!$E$5:$BL$5,1,$AN$2))/INDEX(終値!$E$5:$BL$5,1,$AN$2)*100,"")</f>
        <v/>
      </c>
      <c r="AK102" s="624">
        <f>IF(OR(AI102="",AJ102=""),"",AI102-AJ102)</f>
        <v/>
      </c>
      <c r="AL102" s="394">
        <f>IF(AK102="","",IF(AK102&lt;-5,3,IF(AK102&lt;0,1,IF(AK102&lt;3,-1,-2))))</f>
        <v/>
      </c>
      <c r="AO102" s="398">
        <f>IF(OR($C102="",$E102="",$F102="",$H102="",$I102="",$H102-$I102&lt;=0),"-",IF(AND($H102-MAX($F102,$E102)&gt;=ABS($E102-$F102)*2,MIN($F102,$E102)-$I102&lt;=ABS($E102-$F102)*0.5,ABS($E102-$F102)&gt;0),"上ヒゲ陰線▼",IF(AND($E102&lt;$F102,ABS($E102-$F102)&gt;=($H102-$I102)*0.7),"大陰線▼",IF(AND(MIN($F102,$E102)-$I102&gt;=($H102-$I102)*0.5,$H102-MAX($F102,$E102)&lt;=($H102-$I102)*0.2),"長い下ヒゲ(反発警戒)","通常"))))</f>
        <v/>
      </c>
      <c r="AP102" s="625">
        <f>IF($AO102="上ヒゲ陰線▼",2,IF($AO102="大陰線▼",2,IF($AO102="長い下ヒゲ(反発警戒)",-2,0)))</f>
        <v/>
      </c>
      <c r="AQ102">
        <f>IF(C102&lt;&gt;"",始値!F85,"")</f>
        <v/>
      </c>
      <c r="AR102">
        <f>IF(C102&lt;&gt;"",高値!F85,"")</f>
        <v/>
      </c>
      <c r="AS102">
        <f>IF(C102&lt;&gt;"",安値!F85,"")</f>
        <v/>
      </c>
      <c r="AT102">
        <f>IF(OR(C102="",AQ102="",AR102="",AS102="",AR102-AS102&lt;=0),"-",IF(AND(AR102-MAX(G102,AQ102)&gt;=ABS(G102-AQ102)*2,MIN(G102,AQ102)-AS102&lt;=ABS(G102-AQ102)*0.5,ABS(G102-AQ102)&gt;0),"上ヒゲ陰線▼",IF(AND(G102&lt;AQ102,ABS(G102-AQ102)&gt;=(AR102-AS102)*0.7),"大陰線▼",IF(AND(MIN(G102,AQ102)-AS102&gt;=(AR102-AS102)*0.5,AR102-MAX(G102,AQ102)&lt;=(AR102-AS102)*0.2),"長い下ヒゲ(反発)","通常"))))</f>
        <v/>
      </c>
      <c r="AU102">
        <f>IF(AT102="上ヒゲ陰線▼",2,IF(AT102="大陰線▼",2,IF(AT102="長い下ヒゲ(反発)",-2,0)))</f>
        <v/>
      </c>
    </row>
    <row r="103" ht="14.25" customHeight="1" s="574">
      <c r="A103" s="344">
        <f>IF(銘柄管理!B101&lt;&gt;"",HYPERLINK("https://kabutan.jp/stock/?code="&amp;銘柄管理!B101,"株探"),"")</f>
        <v/>
      </c>
      <c r="B103" s="345" t="n"/>
      <c r="C103" s="345">
        <f>IF(銘柄管理!B101="","",銘柄管理!B101)</f>
        <v/>
      </c>
      <c r="D103" s="345">
        <f>IF(銘柄管理!C101="","",銘柄管理!C101)</f>
        <v/>
      </c>
      <c r="E103" s="346">
        <f>IF(C103&lt;&gt;"",_xll.RssMarket(C103,"現在値"),"")</f>
        <v/>
      </c>
      <c r="F103" s="346">
        <f>IF(C103&lt;&gt;"",_xll.RssMarket(C103,"始値"),"")</f>
        <v/>
      </c>
      <c r="G103" s="345">
        <f>IF(C103&lt;&gt;"",終値!F101,"")</f>
        <v/>
      </c>
      <c r="H103" s="346">
        <f>IF(C103&lt;&gt;"",_xll.RssMarket(C103,"高値"),"")</f>
        <v/>
      </c>
      <c r="I103" s="346">
        <f>IF(C103&lt;&gt;"",_xll.RssMarket(C103,"安値"),"")</f>
        <v/>
      </c>
      <c r="J103" s="346">
        <f>IF(C103&lt;&gt;"",_xll.RssMarket(C103,"出来高"),"")</f>
        <v/>
      </c>
      <c r="K103" s="346">
        <f>IF(C103&lt;&gt;"",_xll.RssMarket(C103,"年初来高値"),"")</f>
        <v/>
      </c>
      <c r="L103" s="619">
        <f>IF(AND(E103&lt;&gt;"",K103&lt;&gt;"",K103&lt;&gt;0),(E103-K103)/K103*100,"")</f>
        <v/>
      </c>
      <c r="M103" s="346">
        <f>IF(C103&lt;&gt;"",IFERROR(AVERAGE(出来高!E101:I101),""),"")</f>
        <v/>
      </c>
      <c r="N103" s="346">
        <f>IF(C103&lt;&gt;"",IFERROR(AVERAGE(出来高!E101:AC101),""),"")</f>
        <v/>
      </c>
      <c r="O103" s="620">
        <f>IF(AND(J103&lt;&gt;"",M103&lt;&gt;"",M103&lt;&gt;0),J103/M103,"")</f>
        <v/>
      </c>
      <c r="P103" s="345">
        <f>IF(O103="","",IF(O103&gt;=2,"急増↑↑",IF(O103&gt;=1.5,"増加↑",IF(O103&gt;=1,"普通→","減少↓"))))</f>
        <v/>
      </c>
      <c r="Q103" s="345">
        <f>IF(E103="","",IF(AND(E103&lt;G103,O103&gt;=1.5),"売り▼",IF(E103&gt;G103,"様子見▲","中立→")))</f>
        <v/>
      </c>
      <c r="R103" s="346">
        <f>IF(E103&lt;&gt;"",ROUND(E103*0.92,0),"")</f>
        <v/>
      </c>
      <c r="S103" s="346">
        <f>IF(E103&lt;&gt;"",ROUND(E103*1.04,0),"")</f>
        <v/>
      </c>
      <c r="T103" s="345">
        <f>IF(C103="","",IFERROR(IF(W103&gt;=70,3,IF(W103&gt;=60,2,IF(W103&gt;=50,1,0)))+IF(X103&lt;0,2,0)+IF(AD103="下降トレンド▼",3,IF(AD103="もみ合い→",1,0))+IF(V103="年初来安値圏●",3,IF(V103="安値圏",2,0))+IF(Q103="売り▼",2,0)+IF(P103="急増↑↑",2,IF(P103="増加↑",1,0))+IF(Z103&lt;0,1,0)+IF(L103&lt;=-30,2,IF(L103&lt;=-15,1,0))+IF(AE103="25日戻り売り★",2,IF(AE103="5日戻り売り○",1,0))+N(AL103)+N(AP103)+N(AU103),0))</f>
        <v/>
      </c>
      <c r="U103" s="345">
        <f>IF(T103="","",IF(AND(T103&gt;=3,O103&gt;=1.5),"有効",IF(T103&gt;=3,"要確認","除外")))</f>
        <v/>
      </c>
      <c r="V103" s="345">
        <f>IF(AND(I103&lt;&gt;"",K103&lt;&gt;""),IF(I103&lt;=K103*0.6,"年初来安値圏●",IF(I103&lt;=K103*0.75,"安値圏","通常")),"")</f>
        <v/>
      </c>
      <c r="W103" s="621">
        <f t="array" ref="W103">IFERROR(100-100/(1+SUMPRODUCT((終値!F101:R101&gt;終値!G101:S101)*(終値!F101:R101-終値!G101:S101))/SUMPRODUCT((終値!F101:R101&lt;終値!G101:S101)*(終値!G101:S101-終値!F101:R101))),50)</f>
        <v/>
      </c>
      <c r="X103" s="350">
        <f>IF(C103&lt;&gt;"",IFERROR(SUMPRODUCT(終値!E101:P101,{0.154,0.132,0.113,0.097,0.083,0.071,0.061,0.052,0.045,0.038,0.033,0.028})/SUMPRODUCT({0.154,0.132,0.113,0.097,0.083,0.071,0.061,0.052,0.045,0.038,0.033,0.028})-SUMPRODUCT(終値!E101:AD101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3" s="345">
        <f>IF(AF103="","",AF103&amp;" | "&amp;AD103&amp;IF(AE103&lt;&gt;"なし"," "&amp;AE103,"")&amp;IF(X103&lt;0," MACD-"," MACD+")&amp;" RSI:"&amp;TEXT(W103,"0.0")&amp;IF(W103&gt;=70," [過熱]",IF(W103&lt;=30," [売られ過ぎ]",""))&amp;" 前日比:"&amp;TEXT(Z103,"+0.0;-0.0;0.0")&amp;"%"&amp;IF(V103="年初来安値圏●"," [年初来安値圏]",IF(V103="安値圏"," [安値圏]",""))&amp;IF(OR(AO103="通常",AO103="-"),""," ["&amp;AO103&amp;"]")&amp;IF(OR(AT103="通常",AT103="-"),"","前日["&amp;AT103&amp;"]")&amp;" ["&amp;T103&amp;"点]")</f>
        <v/>
      </c>
      <c r="Z103" s="622">
        <f>IF(AND(E103&lt;&gt;"",G103&lt;&gt;"",G103&lt;&gt;0),(E103-G103)/G103*100,"")</f>
        <v/>
      </c>
      <c r="AA103" s="345">
        <f>IF(OR(C103="",E103="",E103=0),"",IF(E103&gt;G103,"上昇▲",IF(E103&lt;G103,"下落▼","横ばい→")))</f>
        <v/>
      </c>
      <c r="AB103" s="346">
        <f>IF(OR(C103="",C103="TOPX",終値!E101=""),"",IFERROR(((終値!E101*0.333)+(終値!F101*0.222)+(終値!G101*0.148)+(終値!H101*0.099)+(終値!I101*0.066))/(0.333+0.222+0.148+0.099+0.066),""))</f>
        <v/>
      </c>
      <c r="AC103" s="346">
        <f>IF(OR(C103="",C103="TOPX",終値!E101=""),"",IFERROR(SUMPRODUCT((終値!E101:AC101)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3" s="345">
        <f>IF(OR(C103="",AB103="",AC103="",AB103=0,AC103=0),"",IF(AND(E103&gt;AB103,AB103&gt;AC103),"パーフェクト▲",IF(E103&gt;AC103,"上昇トレンド▲",IF(AND(E103&lt;AB103,AB103&lt;AC103),"下降トレンド▼","もみ合い→"))))</f>
        <v/>
      </c>
      <c r="AE103" s="345">
        <f>IF(OR(C103="",AB103="",AC103=""),"",IF(AND(ABS(E103-AC103)/AC103&lt;=0.02,E103&lt;AC103),"25日戻り売り★",IF(AND(ABS(E103-AB103)/AB103&lt;=0.01,E103&lt;AB103),"5日戻り売り○","なし")))</f>
        <v/>
      </c>
      <c r="AF103">
        <f>IF(T103="","",IF(銘柄管理!$F$5="上昇▲",IF(AND(AD103="下降トレンド▼",OR(AE103="25日戻り売り★",AE103="5日戻り売り○")),"★逆張り売り",IF(AND(AD103="もみ合い→",OR(AE103="25日戻り売り★",AE103="5日戻り売り○")),"○逆張り売り",IF(W103&gt;=70,IF(Z103&lt;0,"◎反落確認","△過熱・様子見"),"相場上昇・見送り"))),IF(AND(T103&gt;=12,AD103="下降トレンド▼"),"★強い売り",IF(T103&gt;=12,"★強い売り",IF(AND(T103&gt;=8,OR(AE103="25日戻り売り★",AE103="5日戻り売り○")),"◎戻り売り",IF(T103&gt;=10,"○売り候補",IF(T103&gt;=6,"△注目",IF(T103&gt;=3,"様子見","見送り"))))))))</f>
        <v/>
      </c>
      <c r="AG103">
        <f>IF(AND(T103&gt;=7,C103&lt;&gt;""),T103,0)</f>
        <v/>
      </c>
      <c r="AH103">
        <f>IF(AG103&gt;0,AG103*10000-ROW(A103),0)</f>
        <v/>
      </c>
      <c r="AI103" s="623">
        <f t="array" ref="AI103">IF(C103="","",IFERROR((INDEX(終値!$E:$E,MATCH(TEXT(C103,"0"),終値!$A:$A,0))-INDEX(終値!$E:$BL,MATCH(TEXT(C103,"0"),終値!$A:$A,0),$AN$2))/INDEX(終値!$E:$BL,MATCH(TEXT(C103,"0"),終値!$A:$A,0),$AN$2)*100,""))</f>
        <v/>
      </c>
      <c r="AJ103" s="623">
        <f t="array" ref="AJ103">IFERROR((終値!$E$5-INDEX(終値!$E$5:$BL$5,1,$AN$2))/INDEX(終値!$E$5:$BL$5,1,$AN$2)*100,"")</f>
        <v/>
      </c>
      <c r="AK103" s="624">
        <f>IF(OR(AI103="",AJ103=""),"",AI103-AJ103)</f>
        <v/>
      </c>
      <c r="AL103" s="394">
        <f>IF(AK103="","",IF(AK103&lt;-5,3,IF(AK103&lt;0,1,IF(AK103&lt;3,-1,-2))))</f>
        <v/>
      </c>
      <c r="AO103" s="398">
        <f>IF(OR($C103="",$E103="",$F103="",$H103="",$I103="",$H103-$I103&lt;=0),"-",IF(AND($H103-MAX($F103,$E103)&gt;=ABS($E103-$F103)*2,MIN($F103,$E103)-$I103&lt;=ABS($E103-$F103)*0.5,ABS($E103-$F103)&gt;0),"上ヒゲ陰線▼",IF(AND($E103&lt;$F103,ABS($E103-$F103)&gt;=($H103-$I103)*0.7),"大陰線▼",IF(AND(MIN($F103,$E103)-$I103&gt;=($H103-$I103)*0.5,$H103-MAX($F103,$E103)&lt;=($H103-$I103)*0.2),"長い下ヒゲ(反発警戒)","通常"))))</f>
        <v/>
      </c>
      <c r="AP103" s="625">
        <f>IF($AO103="上ヒゲ陰線▼",2,IF($AO103="大陰線▼",2,IF($AO103="長い下ヒゲ(反発警戒)",-2,0)))</f>
        <v/>
      </c>
      <c r="AQ103">
        <f>IF(C103&lt;&gt;"",始値!F101,"")</f>
        <v/>
      </c>
      <c r="AR103">
        <f>IF(C103&lt;&gt;"",高値!F101,"")</f>
        <v/>
      </c>
      <c r="AS103">
        <f>IF(C103&lt;&gt;"",安値!F101,"")</f>
        <v/>
      </c>
      <c r="AT103">
        <f>IF(OR(C103="",AQ103="",AR103="",AS103="",AR103-AS103&lt;=0),"-",IF(AND(AR103-MAX(G103,AQ103)&gt;=ABS(G103-AQ103)*2,MIN(G103,AQ103)-AS103&lt;=ABS(G103-AQ103)*0.5,ABS(G103-AQ103)&gt;0),"上ヒゲ陰線▼",IF(AND(G103&lt;AQ103,ABS(G103-AQ103)&gt;=(AR103-AS103)*0.7),"大陰線▼",IF(AND(MIN(G103,AQ103)-AS103&gt;=(AR103-AS103)*0.5,AR103-MAX(G103,AQ103)&lt;=(AR103-AS103)*0.2),"長い下ヒゲ(反発)","通常"))))</f>
        <v/>
      </c>
      <c r="AU103">
        <f>IF(AT103="上ヒゲ陰線▼",2,IF(AT103="大陰線▼",2,IF(AT103="長い下ヒゲ(反発)",-2,0)))</f>
        <v/>
      </c>
    </row>
    <row r="104" ht="14.25" customHeight="1" s="574">
      <c r="A104" s="352">
        <f>IF(銘柄管理!B109&lt;&gt;"",HYPERLINK("https://kabutan.jp/stock/?code="&amp;銘柄管理!B109,"株探"),"")</f>
        <v/>
      </c>
      <c r="B104" s="225" t="n"/>
      <c r="C104" s="225">
        <f>IF(銘柄管理!B109="","",銘柄管理!B109)</f>
        <v/>
      </c>
      <c r="D104" s="225">
        <f>IF(銘柄管理!C109="","",銘柄管理!C109)</f>
        <v/>
      </c>
      <c r="E104" s="353">
        <f>IF(C104&lt;&gt;"",_xll.RssMarket(C104,"現在値"),"")</f>
        <v/>
      </c>
      <c r="F104" s="353">
        <f>IF(C104&lt;&gt;"",_xll.RssMarket(C104,"始値"),"")</f>
        <v/>
      </c>
      <c r="G104" s="225">
        <f>IF(C104&lt;&gt;"",終値!F109,"")</f>
        <v/>
      </c>
      <c r="H104" s="353">
        <f>IF(C104&lt;&gt;"",_xll.RssMarket(C104,"高値"),"")</f>
        <v/>
      </c>
      <c r="I104" s="353">
        <f>IF(C104&lt;&gt;"",_xll.RssMarket(C104,"安値"),"")</f>
        <v/>
      </c>
      <c r="J104" s="353">
        <f>IF(C104&lt;&gt;"",_xll.RssMarket(C104,"出来高"),"")</f>
        <v/>
      </c>
      <c r="K104" s="353">
        <f>IF(C104&lt;&gt;"",_xll.RssMarket(C104,"年初来高値"),"")</f>
        <v/>
      </c>
      <c r="L104" s="626">
        <f>IF(AND(E104&lt;&gt;"",K104&lt;&gt;"",K104&lt;&gt;0),(E104-K104)/K104*100,"")</f>
        <v/>
      </c>
      <c r="M104" s="353">
        <f>IF(C104&lt;&gt;"",IFERROR(AVERAGE(出来高!E109:I109),""),"")</f>
        <v/>
      </c>
      <c r="N104" s="353">
        <f>IF(C104&lt;&gt;"",IFERROR(AVERAGE(出来高!E109:AC109),""),"")</f>
        <v/>
      </c>
      <c r="O104" s="627">
        <f>IF(AND(J104&lt;&gt;"",M104&lt;&gt;"",M104&lt;&gt;0),J104/M104,"")</f>
        <v/>
      </c>
      <c r="P104" s="225">
        <f>IF(O104="","",IF(O104&gt;=2,"急増↑↑",IF(O104&gt;=1.5,"増加↑",IF(O104&gt;=1,"普通→","減少↓"))))</f>
        <v/>
      </c>
      <c r="Q104" s="225">
        <f>IF(E104="","",IF(AND(E104&lt;G104,O104&gt;=1.5),"売り▼",IF(E104&gt;G104,"様子見▲","中立→")))</f>
        <v/>
      </c>
      <c r="R104" s="353">
        <f>IF(E104&lt;&gt;"",ROUND(E104*0.92,0),"")</f>
        <v/>
      </c>
      <c r="S104" s="353">
        <f>IF(E104&lt;&gt;"",ROUND(E104*1.04,0),"")</f>
        <v/>
      </c>
      <c r="T104" s="345">
        <f>IF(C104="","",IFERROR(IF(W104&gt;=70,3,IF(W104&gt;=60,2,IF(W104&gt;=50,1,0)))+IF(X104&lt;0,2,0)+IF(AD104="下降トレンド▼",3,IF(AD104="もみ合い→",1,0))+IF(V104="年初来安値圏●",3,IF(V104="安値圏",2,0))+IF(Q104="売り▼",2,0)+IF(P104="急増↑↑",2,IF(P104="増加↑",1,0))+IF(Z104&lt;0,1,0)+IF(L104&lt;=-30,2,IF(L104&lt;=-15,1,0))+IF(AE104="25日戻り売り★",2,IF(AE104="5日戻り売り○",1,0))+N(AL104)+N(AP104)+N(AU104),0))</f>
        <v/>
      </c>
      <c r="U104" s="225">
        <f>IF(T104="","",IF(AND(T104&gt;=3,O104&gt;=1.5),"有効",IF(T104&gt;=3,"要確認","除外")))</f>
        <v/>
      </c>
      <c r="V104" s="225">
        <f>IF(AND(I104&lt;&gt;"",K104&lt;&gt;""),IF(I104&lt;=K104*0.6,"年初来安値圏●",IF(I104&lt;=K104*0.75,"安値圏","通常")),"")</f>
        <v/>
      </c>
      <c r="W104" s="628">
        <f t="array" ref="W104">IFERROR(100-100/(1+SUMPRODUCT((終値!F109:R109&gt;終値!G109:S109)*(終値!F109:R109-終値!G109:S109))/SUMPRODUCT((終値!F109:R109&lt;終値!G109:S109)*(終値!G109:S109-終値!F109:R109))),50)</f>
        <v/>
      </c>
      <c r="X104" s="357">
        <f>IF(C104&lt;&gt;"",IFERROR(SUMPRODUCT(終値!E109:P109,{0.154,0.132,0.113,0.097,0.083,0.071,0.061,0.052,0.045,0.038,0.033,0.028})/SUMPRODUCT({0.154,0.132,0.113,0.097,0.083,0.071,0.061,0.052,0.045,0.038,0.033,0.028})-SUMPRODUCT(終値!E109:AD109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4" s="225">
        <f>IF(AF104="","",AF104&amp;" | "&amp;AD104&amp;IF(AE104&lt;&gt;"なし"," "&amp;AE104,"")&amp;IF(X104&lt;0," MACD-"," MACD+")&amp;" RSI:"&amp;TEXT(W104,"0.0")&amp;IF(W104&gt;=70," [過熱]",IF(W104&lt;=30," [売られ過ぎ]",""))&amp;" 前日比:"&amp;TEXT(Z104,"+0.0;-0.0;0.0")&amp;"%"&amp;IF(V104="年初来安値圏●"," [年初来安値圏]",IF(V104="安値圏"," [安値圏]",""))&amp;IF(OR(AO104="通常",AO104="-"),""," ["&amp;AO104&amp;"]")&amp;IF(OR(AT104="通常",AT104="-"),"","前日["&amp;AT104&amp;"]")&amp;" ["&amp;T104&amp;"点]")</f>
        <v/>
      </c>
      <c r="Z104" s="629">
        <f>IF(AND(E104&lt;&gt;"",G104&lt;&gt;"",G104&lt;&gt;0),(E104-G104)/G104*100,"")</f>
        <v/>
      </c>
      <c r="AA104" s="225">
        <f>IF(OR(C104="",E104="",E104=0),"",IF(E104&gt;G104,"上昇▲",IF(E104&lt;G104,"下落▼","横ばい→")))</f>
        <v/>
      </c>
      <c r="AB104" s="353">
        <f>IF(OR(C104="",C104="TOPX",終値!E109=""),"",IFERROR(((終値!E109*0.333)+(終値!F109*0.222)+(終値!G109*0.148)+(終値!H109*0.099)+(終値!I109*0.066))/(0.333+0.222+0.148+0.099+0.066),""))</f>
        <v/>
      </c>
      <c r="AC104" s="353">
        <f>IF(OR(C104="",C104="TOPX",終値!E109=""),"",IFERROR(SUMPRODUCT((終値!E109:AC109)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4" s="225">
        <f>IF(OR(C104="",AB104="",AC104="",AB104=0,AC104=0),"",IF(AND(E104&gt;AB104,AB104&gt;AC104),"パーフェクト▲",IF(E104&gt;AC104,"上昇トレンド▲",IF(AND(E104&lt;AB104,AB104&lt;AC104),"下降トレンド▼","もみ合い→"))))</f>
        <v/>
      </c>
      <c r="AE104" s="225">
        <f>IF(OR(C104="",AB104="",AC104=""),"",IF(AND(ABS(E104-AC104)/AC104&lt;=0.02,E104&lt;AC104),"25日戻り売り★",IF(AND(ABS(E104-AB104)/AB104&lt;=0.01,E104&lt;AB104),"5日戻り売り○","なし")))</f>
        <v/>
      </c>
      <c r="AF104">
        <f>IF(T104="","",IF(銘柄管理!$F$5="上昇▲",IF(AND(AD104="下降トレンド▼",OR(AE104="25日戻り売り★",AE104="5日戻り売り○")),"★逆張り売り",IF(AND(AD104="もみ合い→",OR(AE104="25日戻り売り★",AE104="5日戻り売り○")),"○逆張り売り",IF(W104&gt;=70,IF(Z104&lt;0,"◎反落確認","△過熱・様子見"),"相場上昇・見送り"))),IF(AND(T104&gt;=12,AD104="下降トレンド▼"),"★強い売り",IF(T104&gt;=12,"★強い売り",IF(AND(T104&gt;=8,OR(AE104="25日戻り売り★",AE104="5日戻り売り○")),"◎戻り売り",IF(T104&gt;=10,"○売り候補",IF(T104&gt;=6,"△注目",IF(T104&gt;=3,"様子見","見送り"))))))))</f>
        <v/>
      </c>
      <c r="AG104">
        <f>IF(AND(T104&gt;=7,C104&lt;&gt;""),T104,0)</f>
        <v/>
      </c>
      <c r="AH104">
        <f>IF(AG104&gt;0,AG104*10000-ROW(A104),0)</f>
        <v/>
      </c>
      <c r="AI104" s="623">
        <f t="array" ref="AI104">IF(C104="","",IFERROR((INDEX(終値!$E:$E,MATCH(TEXT(C104,"0"),終値!$A:$A,0))-INDEX(終値!$E:$BL,MATCH(TEXT(C104,"0"),終値!$A:$A,0),$AN$2))/INDEX(終値!$E:$BL,MATCH(TEXT(C104,"0"),終値!$A:$A,0),$AN$2)*100,""))</f>
        <v/>
      </c>
      <c r="AJ104" s="623">
        <f t="array" ref="AJ104">IFERROR((終値!$E$5-INDEX(終値!$E$5:$BL$5,1,$AN$2))/INDEX(終値!$E$5:$BL$5,1,$AN$2)*100,"")</f>
        <v/>
      </c>
      <c r="AK104" s="624">
        <f>IF(OR(AI104="",AJ104=""),"",AI104-AJ104)</f>
        <v/>
      </c>
      <c r="AL104" s="394">
        <f>IF(AK104="","",IF(AK104&lt;-5,3,IF(AK104&lt;0,1,IF(AK104&lt;3,-1,-2))))</f>
        <v/>
      </c>
      <c r="AO104" s="398">
        <f>IF(OR($C104="",$E104="",$F104="",$H104="",$I104="",$H104-$I104&lt;=0),"-",IF(AND($H104-MAX($F104,$E104)&gt;=ABS($E104-$F104)*2,MIN($F104,$E104)-$I104&lt;=ABS($E104-$F104)*0.5,ABS($E104-$F104)&gt;0),"上ヒゲ陰線▼",IF(AND($E104&lt;$F104,ABS($E104-$F104)&gt;=($H104-$I104)*0.7),"大陰線▼",IF(AND(MIN($F104,$E104)-$I104&gt;=($H104-$I104)*0.5,$H104-MAX($F104,$E104)&lt;=($H104-$I104)*0.2),"長い下ヒゲ(反発警戒)","通常"))))</f>
        <v/>
      </c>
      <c r="AP104" s="625">
        <f>IF($AO104="上ヒゲ陰線▼",2,IF($AO104="大陰線▼",2,IF($AO104="長い下ヒゲ(反発警戒)",-2,0)))</f>
        <v/>
      </c>
      <c r="AQ104">
        <f>IF(C104&lt;&gt;"",始値!F109,"")</f>
        <v/>
      </c>
      <c r="AR104">
        <f>IF(C104&lt;&gt;"",高値!F109,"")</f>
        <v/>
      </c>
      <c r="AS104">
        <f>IF(C104&lt;&gt;"",安値!F109,"")</f>
        <v/>
      </c>
      <c r="AT104">
        <f>IF(OR(C104="",AQ104="",AR104="",AS104="",AR104-AS104&lt;=0),"-",IF(AND(AR104-MAX(G104,AQ104)&gt;=ABS(G104-AQ104)*2,MIN(G104,AQ104)-AS104&lt;=ABS(G104-AQ104)*0.5,ABS(G104-AQ104)&gt;0),"上ヒゲ陰線▼",IF(AND(G104&lt;AQ104,ABS(G104-AQ104)&gt;=(AR104-AS104)*0.7),"大陰線▼",IF(AND(MIN(G104,AQ104)-AS104&gt;=(AR104-AS104)*0.5,AR104-MAX(G104,AQ104)&lt;=(AR104-AS104)*0.2),"長い下ヒゲ(反発)","通常"))))</f>
        <v/>
      </c>
      <c r="AU104">
        <f>IF(AT104="上ヒゲ陰線▼",2,IF(AT104="大陰線▼",2,IF(AT104="長い下ヒゲ(反発)",-2,0)))</f>
        <v/>
      </c>
    </row>
    <row r="105" ht="14.25" customHeight="1" s="574">
      <c r="A105" s="344">
        <f>IF(銘柄管理!B114&lt;&gt;"",HYPERLINK("https://kabutan.jp/stock/?code="&amp;銘柄管理!B114,"株探"),"")</f>
        <v/>
      </c>
      <c r="B105" s="345" t="n"/>
      <c r="C105" s="345">
        <f>IF(銘柄管理!B114="","",銘柄管理!B114)</f>
        <v/>
      </c>
      <c r="D105" s="345">
        <f>IF(銘柄管理!C114="","",銘柄管理!C114)</f>
        <v/>
      </c>
      <c r="E105" s="346">
        <f>IF(C105&lt;&gt;"",_xll.RssMarket(C105,"現在値"),"")</f>
        <v/>
      </c>
      <c r="F105" s="346">
        <f>IF(C105&lt;&gt;"",_xll.RssMarket(C105,"始値"),"")</f>
        <v/>
      </c>
      <c r="G105" s="345">
        <f>IF(C105&lt;&gt;"",終値!F114,"")</f>
        <v/>
      </c>
      <c r="H105" s="346">
        <f>IF(C105&lt;&gt;"",_xll.RssMarket(C105,"高値"),"")</f>
        <v/>
      </c>
      <c r="I105" s="346">
        <f>IF(C105&lt;&gt;"",_xll.RssMarket(C105,"安値"),"")</f>
        <v/>
      </c>
      <c r="J105" s="346">
        <f>IF(C105&lt;&gt;"",_xll.RssMarket(C105,"出来高"),"")</f>
        <v/>
      </c>
      <c r="K105" s="346">
        <f>IF(C105&lt;&gt;"",_xll.RssMarket(C105,"年初来高値"),"")</f>
        <v/>
      </c>
      <c r="L105" s="619">
        <f>IF(AND(E105&lt;&gt;"",K105&lt;&gt;"",K105&lt;&gt;0),(E105-K105)/K105*100,"")</f>
        <v/>
      </c>
      <c r="M105" s="346">
        <f>IF(C105&lt;&gt;"",IFERROR(AVERAGE(出来高!E114:I114),""),"")</f>
        <v/>
      </c>
      <c r="N105" s="346">
        <f>IF(C105&lt;&gt;"",IFERROR(AVERAGE(出来高!E114:AC114),""),"")</f>
        <v/>
      </c>
      <c r="O105" s="620">
        <f>IF(AND(J105&lt;&gt;"",M105&lt;&gt;"",M105&lt;&gt;0),J105/M105,"")</f>
        <v/>
      </c>
      <c r="P105" s="345">
        <f>IF(O105="","",IF(O105&gt;=2,"急増↑↑",IF(O105&gt;=1.5,"増加↑",IF(O105&gt;=1,"普通→","減少↓"))))</f>
        <v/>
      </c>
      <c r="Q105" s="345">
        <f>IF(E105="","",IF(AND(E105&lt;G105,O105&gt;=1.5),"売り▼",IF(E105&gt;G105,"様子見▲","中立→")))</f>
        <v/>
      </c>
      <c r="R105" s="346">
        <f>IF(E105&lt;&gt;"",ROUND(E105*0.92,0),"")</f>
        <v/>
      </c>
      <c r="S105" s="346">
        <f>IF(E105&lt;&gt;"",ROUND(E105*1.04,0),"")</f>
        <v/>
      </c>
      <c r="T105" s="345">
        <f>IF(C105="","",IFERROR(IF(W105&gt;=70,3,IF(W105&gt;=60,2,IF(W105&gt;=50,1,0)))+IF(X105&lt;0,2,0)+IF(AD105="下降トレンド▼",3,IF(AD105="もみ合い→",1,0))+IF(V105="年初来安値圏●",3,IF(V105="安値圏",2,0))+IF(Q105="売り▼",2,0)+IF(P105="急増↑↑",2,IF(P105="増加↑",1,0))+IF(Z105&lt;0,1,0)+IF(L105&lt;=-30,2,IF(L105&lt;=-15,1,0))+IF(AE105="25日戻り売り★",2,IF(AE105="5日戻り売り○",1,0))+N(AL105)+N(AP105)+N(AU105),0))</f>
        <v/>
      </c>
      <c r="U105" s="345">
        <f>IF(T105="","",IF(AND(T105&gt;=3,O105&gt;=1.5),"有効",IF(T105&gt;=3,"要確認","除外")))</f>
        <v/>
      </c>
      <c r="V105" s="345">
        <f>IF(AND(I105&lt;&gt;"",K105&lt;&gt;""),IF(I105&lt;=K105*0.6,"年初来安値圏●",IF(I105&lt;=K105*0.75,"安値圏","通常")),"")</f>
        <v/>
      </c>
      <c r="W105" s="621">
        <f t="array" ref="W105">IFERROR(100-100/(1+SUMPRODUCT((終値!F114:R114&gt;終値!G114:S114)*(終値!F114:R114-終値!G114:S114))/SUMPRODUCT((終値!F114:R114&lt;終値!G114:S114)*(終値!G114:S114-終値!F114:R114))),50)</f>
        <v/>
      </c>
      <c r="X105" s="350">
        <f>IF(C105&lt;&gt;"",IFERROR(SUMPRODUCT(終値!E114:P114,{0.154,0.132,0.113,0.097,0.083,0.071,0.061,0.052,0.045,0.038,0.033,0.028})/SUMPRODUCT({0.154,0.132,0.113,0.097,0.083,0.071,0.061,0.052,0.045,0.038,0.033,0.028})-SUMPRODUCT(終値!E114:AD114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5" s="345">
        <f>IF(AF105="","",AF105&amp;" | "&amp;AD105&amp;IF(AE105&lt;&gt;"なし"," "&amp;AE105,"")&amp;IF(X105&lt;0," MACD-"," MACD+")&amp;" RSI:"&amp;TEXT(W105,"0.0")&amp;IF(W105&gt;=70," [過熱]",IF(W105&lt;=30," [売られ過ぎ]",""))&amp;" 前日比:"&amp;TEXT(Z105,"+0.0;-0.0;0.0")&amp;"%"&amp;IF(V105="年初来安値圏●"," [年初来安値圏]",IF(V105="安値圏"," [安値圏]",""))&amp;IF(OR(AO105="通常",AO105="-"),""," ["&amp;AO105&amp;"]")&amp;IF(OR(AT105="通常",AT105="-"),"","前日["&amp;AT105&amp;"]")&amp;" ["&amp;T105&amp;"点]")</f>
        <v/>
      </c>
      <c r="Z105" s="622">
        <f>IF(AND(E105&lt;&gt;"",G105&lt;&gt;"",G105&lt;&gt;0),(E105-G105)/G105*100,"")</f>
        <v/>
      </c>
      <c r="AA105" s="345">
        <f>IF(OR(C105="",E105="",E105=0),"",IF(E105&gt;G105,"上昇▲",IF(E105&lt;G105,"下落▼","横ばい→")))</f>
        <v/>
      </c>
      <c r="AB105" s="346">
        <f>IF(OR(C105="",C105="TOPX",終値!E114=""),"",IFERROR(((終値!E114*0.333)+(終値!F114*0.222)+(終値!G114*0.148)+(終値!H114*0.099)+(終値!I114*0.066))/(0.333+0.222+0.148+0.099+0.066),""))</f>
        <v/>
      </c>
      <c r="AC105" s="346">
        <f>IF(OR(C105="",C105="TOPX",終値!E114=""),"",IFERROR(SUMPRODUCT((終値!E114:AC114)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5" s="345">
        <f>IF(OR(C105="",AB105="",AC105="",AB105=0,AC105=0),"",IF(AND(E105&gt;AB105,AB105&gt;AC105),"パーフェクト▲",IF(E105&gt;AC105,"上昇トレンド▲",IF(AND(E105&lt;AB105,AB105&lt;AC105),"下降トレンド▼","もみ合い→"))))</f>
        <v/>
      </c>
      <c r="AE105" s="345">
        <f>IF(OR(C105="",AB105="",AC105=""),"",IF(AND(ABS(E105-AC105)/AC105&lt;=0.02,E105&lt;AC105),"25日戻り売り★",IF(AND(ABS(E105-AB105)/AB105&lt;=0.01,E105&lt;AB105),"5日戻り売り○","なし")))</f>
        <v/>
      </c>
      <c r="AF105">
        <f>IF(T105="","",IF(銘柄管理!$F$5="上昇▲",IF(AND(AD105="下降トレンド▼",OR(AE105="25日戻り売り★",AE105="5日戻り売り○")),"★逆張り売り",IF(AND(AD105="もみ合い→",OR(AE105="25日戻り売り★",AE105="5日戻り売り○")),"○逆張り売り",IF(W105&gt;=70,IF(Z105&lt;0,"◎反落確認","△過熱・様子見"),"相場上昇・見送り"))),IF(AND(T105&gt;=12,AD105="下降トレンド▼"),"★強い売り",IF(T105&gt;=12,"★強い売り",IF(AND(T105&gt;=8,OR(AE105="25日戻り売り★",AE105="5日戻り売り○")),"◎戻り売り",IF(T105&gt;=10,"○売り候補",IF(T105&gt;=6,"△注目",IF(T105&gt;=3,"様子見","見送り"))))))))</f>
        <v/>
      </c>
      <c r="AG105">
        <f>IF(AND(T105&gt;=7,C105&lt;&gt;""),T105,0)</f>
        <v/>
      </c>
      <c r="AH105">
        <f>IF(AG105&gt;0,AG105*10000-ROW(A105),0)</f>
        <v/>
      </c>
      <c r="AI105" s="623">
        <f t="array" ref="AI105">IF(C105="","",IFERROR((INDEX(終値!$E:$E,MATCH(TEXT(C105,"0"),終値!$A:$A,0))-INDEX(終値!$E:$BL,MATCH(TEXT(C105,"0"),終値!$A:$A,0),$AN$2))/INDEX(終値!$E:$BL,MATCH(TEXT(C105,"0"),終値!$A:$A,0),$AN$2)*100,""))</f>
        <v/>
      </c>
      <c r="AJ105" s="623">
        <f t="array" ref="AJ105">IFERROR((終値!$E$5-INDEX(終値!$E$5:$BL$5,1,$AN$2))/INDEX(終値!$E$5:$BL$5,1,$AN$2)*100,"")</f>
        <v/>
      </c>
      <c r="AK105" s="624">
        <f>IF(OR(AI105="",AJ105=""),"",AI105-AJ105)</f>
        <v/>
      </c>
      <c r="AL105" s="394">
        <f>IF(AK105="","",IF(AK105&lt;-5,3,IF(AK105&lt;0,1,IF(AK105&lt;3,-1,-2))))</f>
        <v/>
      </c>
      <c r="AO105" s="398">
        <f>IF(OR($C105="",$E105="",$F105="",$H105="",$I105="",$H105-$I105&lt;=0),"-",IF(AND($H105-MAX($F105,$E105)&gt;=ABS($E105-$F105)*2,MIN($F105,$E105)-$I105&lt;=ABS($E105-$F105)*0.5,ABS($E105-$F105)&gt;0),"上ヒゲ陰線▼",IF(AND($E105&lt;$F105,ABS($E105-$F105)&gt;=($H105-$I105)*0.7),"大陰線▼",IF(AND(MIN($F105,$E105)-$I105&gt;=($H105-$I105)*0.5,$H105-MAX($F105,$E105)&lt;=($H105-$I105)*0.2),"長い下ヒゲ(反発警戒)","通常"))))</f>
        <v/>
      </c>
      <c r="AP105" s="625">
        <f>IF($AO105="上ヒゲ陰線▼",2,IF($AO105="大陰線▼",2,IF($AO105="長い下ヒゲ(反発警戒)",-2,0)))</f>
        <v/>
      </c>
      <c r="AQ105">
        <f>IF(C105&lt;&gt;"",始値!F114,"")</f>
        <v/>
      </c>
      <c r="AR105">
        <f>IF(C105&lt;&gt;"",高値!F114,"")</f>
        <v/>
      </c>
      <c r="AS105">
        <f>IF(C105&lt;&gt;"",安値!F114,"")</f>
        <v/>
      </c>
      <c r="AT105">
        <f>IF(OR(C105="",AQ105="",AR105="",AS105="",AR105-AS105&lt;=0),"-",IF(AND(AR105-MAX(G105,AQ105)&gt;=ABS(G105-AQ105)*2,MIN(G105,AQ105)-AS105&lt;=ABS(G105-AQ105)*0.5,ABS(G105-AQ105)&gt;0),"上ヒゲ陰線▼",IF(AND(G105&lt;AQ105,ABS(G105-AQ105)&gt;=(AR105-AS105)*0.7),"大陰線▼",IF(AND(MIN(G105,AQ105)-AS105&gt;=(AR105-AS105)*0.5,AR105-MAX(G105,AQ105)&lt;=(AR105-AS105)*0.2),"長い下ヒゲ(反発)","通常"))))</f>
        <v/>
      </c>
      <c r="AU105">
        <f>IF(AT105="上ヒゲ陰線▼",2,IF(AT105="大陰線▼",2,IF(AT105="長い下ヒゲ(反発)",-2,0)))</f>
        <v/>
      </c>
    </row>
    <row r="106" ht="14.25" customHeight="1" s="574">
      <c r="A106" s="352">
        <f>IF(銘柄管理!B120&lt;&gt;"",HYPERLINK("https://kabutan.jp/stock/?code="&amp;銘柄管理!B120,"株探"),"")</f>
        <v/>
      </c>
      <c r="B106" s="225" t="n"/>
      <c r="C106" s="225">
        <f>IF(銘柄管理!B120="","",銘柄管理!B120)</f>
        <v/>
      </c>
      <c r="D106" s="225">
        <f>IF(銘柄管理!C120="","",銘柄管理!C120)</f>
        <v/>
      </c>
      <c r="E106" s="353">
        <f>IF(C106&lt;&gt;"",_xll.RssMarket(C106,"現在値"),"")</f>
        <v/>
      </c>
      <c r="F106" s="353">
        <f>IF(C106&lt;&gt;"",_xll.RssMarket(C106,"始値"),"")</f>
        <v/>
      </c>
      <c r="G106" s="225">
        <f>IF(C106&lt;&gt;"",終値!F120,"")</f>
        <v/>
      </c>
      <c r="H106" s="353">
        <f>IF(C106&lt;&gt;"",_xll.RssMarket(C106,"高値"),"")</f>
        <v/>
      </c>
      <c r="I106" s="353">
        <f>IF(C106&lt;&gt;"",_xll.RssMarket(C106,"安値"),"")</f>
        <v/>
      </c>
      <c r="J106" s="353">
        <f>IF(C106&lt;&gt;"",_xll.RssMarket(C106,"出来高"),"")</f>
        <v/>
      </c>
      <c r="K106" s="353">
        <f>IF(C106&lt;&gt;"",_xll.RssMarket(C106,"年初来高値"),"")</f>
        <v/>
      </c>
      <c r="L106" s="626">
        <f>IF(AND(E106&lt;&gt;"",K106&lt;&gt;"",K106&lt;&gt;0),(E106-K106)/K106*100,"")</f>
        <v/>
      </c>
      <c r="M106" s="353">
        <f>IF(C106&lt;&gt;"",IFERROR(AVERAGE(出来高!E120:I120),""),"")</f>
        <v/>
      </c>
      <c r="N106" s="353">
        <f>IF(C106&lt;&gt;"",IFERROR(AVERAGE(出来高!E120:AC120),""),"")</f>
        <v/>
      </c>
      <c r="O106" s="627">
        <f>IF(AND(J106&lt;&gt;"",M106&lt;&gt;"",M106&lt;&gt;0),J106/M106,"")</f>
        <v/>
      </c>
      <c r="P106" s="225">
        <f>IF(O106="","",IF(O106&gt;=2,"急増↑↑",IF(O106&gt;=1.5,"増加↑",IF(O106&gt;=1,"普通→","減少↓"))))</f>
        <v/>
      </c>
      <c r="Q106" s="225">
        <f>IF(E106="","",IF(AND(E106&lt;G106,O106&gt;=1.5),"売り▼",IF(E106&gt;G106,"様子見▲","中立→")))</f>
        <v/>
      </c>
      <c r="R106" s="353">
        <f>IF(E106&lt;&gt;"",ROUND(E106*0.92,0),"")</f>
        <v/>
      </c>
      <c r="S106" s="353">
        <f>IF(E106&lt;&gt;"",ROUND(E106*1.04,0),"")</f>
        <v/>
      </c>
      <c r="T106" s="345">
        <f>IF(C106="","",IFERROR(IF(W106&gt;=70,3,IF(W106&gt;=60,2,IF(W106&gt;=50,1,0)))+IF(X106&lt;0,2,0)+IF(AD106="下降トレンド▼",3,IF(AD106="もみ合い→",1,0))+IF(V106="年初来安値圏●",3,IF(V106="安値圏",2,0))+IF(Q106="売り▼",2,0)+IF(P106="急増↑↑",2,IF(P106="増加↑",1,0))+IF(Z106&lt;0,1,0)+IF(L106&lt;=-30,2,IF(L106&lt;=-15,1,0))+IF(AE106="25日戻り売り★",2,IF(AE106="5日戻り売り○",1,0))+N(AL106)+N(AP106)+N(AU106),0))</f>
        <v/>
      </c>
      <c r="U106" s="225">
        <f>IF(T106="","",IF(AND(T106&gt;=3,O106&gt;=1.5),"有効",IF(T106&gt;=3,"要確認","除外")))</f>
        <v/>
      </c>
      <c r="V106" s="225">
        <f>IF(AND(I106&lt;&gt;"",K106&lt;&gt;""),IF(I106&lt;=K106*0.6,"年初来安値圏●",IF(I106&lt;=K106*0.75,"安値圏","通常")),"")</f>
        <v/>
      </c>
      <c r="W106" s="628">
        <f t="array" ref="W106">IFERROR(100-100/(1+SUMPRODUCT((終値!F120:R120&gt;終値!G120:S120)*(終値!F120:R120-終値!G120:S120))/SUMPRODUCT((終値!F120:R120&lt;終値!G120:S120)*(終値!G120:S120-終値!F120:R120))),50)</f>
        <v/>
      </c>
      <c r="X106" s="357">
        <f>IF(C106&lt;&gt;"",IFERROR(SUMPRODUCT(終値!E120:P120,{0.154,0.132,0.113,0.097,0.083,0.071,0.061,0.052,0.045,0.038,0.033,0.028})/SUMPRODUCT({0.154,0.132,0.113,0.097,0.083,0.071,0.061,0.052,0.045,0.038,0.033,0.028})-SUMPRODUCT(終値!E120:AD120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6" s="225">
        <f>IF(AF106="","",AF106&amp;" | "&amp;AD106&amp;IF(AE106&lt;&gt;"なし"," "&amp;AE106,"")&amp;IF(X106&lt;0," MACD-"," MACD+")&amp;" RSI:"&amp;TEXT(W106,"0.0")&amp;IF(W106&gt;=70," [過熱]",IF(W106&lt;=30," [売られ過ぎ]",""))&amp;" 前日比:"&amp;TEXT(Z106,"+0.0;-0.0;0.0")&amp;"%"&amp;IF(V106="年初来安値圏●"," [年初来安値圏]",IF(V106="安値圏"," [安値圏]",""))&amp;IF(OR(AO106="通常",AO106="-"),""," ["&amp;AO106&amp;"]")&amp;IF(OR(AT106="通常",AT106="-"),"","前日["&amp;AT106&amp;"]")&amp;" ["&amp;T106&amp;"点]")</f>
        <v/>
      </c>
      <c r="Z106" s="629">
        <f>IF(AND(E106&lt;&gt;"",G106&lt;&gt;"",G106&lt;&gt;0),(E106-G106)/G106*100,"")</f>
        <v/>
      </c>
      <c r="AA106" s="225">
        <f>IF(OR(C106="",E106="",E106=0),"",IF(E106&gt;G106,"上昇▲",IF(E106&lt;G106,"下落▼","横ばい→")))</f>
        <v/>
      </c>
      <c r="AB106" s="353">
        <f>IF(OR(C106="",C106="TOPX",終値!E120=""),"",IFERROR(((終値!E120*0.333)+(終値!F120*0.222)+(終値!G120*0.148)+(終値!H120*0.099)+(終値!I120*0.066))/(0.333+0.222+0.148+0.099+0.066),""))</f>
        <v/>
      </c>
      <c r="AC106" s="353">
        <f>IF(OR(C106="",C106="TOPX",終値!E120=""),"",IFERROR(SUMPRODUCT((終値!E120:AC120)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6" s="225">
        <f>IF(OR(C106="",AB106="",AC106="",AB106=0,AC106=0),"",IF(AND(E106&gt;AB106,AB106&gt;AC106),"パーフェクト▲",IF(E106&gt;AC106,"上昇トレンド▲",IF(AND(E106&lt;AB106,AB106&lt;AC106),"下降トレンド▼","もみ合い→"))))</f>
        <v/>
      </c>
      <c r="AE106" s="225">
        <f>IF(OR(C106="",AB106="",AC106=""),"",IF(AND(ABS(E106-AC106)/AC106&lt;=0.02,E106&lt;AC106),"25日戻り売り★",IF(AND(ABS(E106-AB106)/AB106&lt;=0.01,E106&lt;AB106),"5日戻り売り○","なし")))</f>
        <v/>
      </c>
      <c r="AF106">
        <f>IF(T106="","",IF(銘柄管理!$F$5="上昇▲",IF(AND(AD106="下降トレンド▼",OR(AE106="25日戻り売り★",AE106="5日戻り売り○")),"★逆張り売り",IF(AND(AD106="もみ合い→",OR(AE106="25日戻り売り★",AE106="5日戻り売り○")),"○逆張り売り",IF(W106&gt;=70,IF(Z106&lt;0,"◎反落確認","△過熱・様子見"),"相場上昇・見送り"))),IF(AND(T106&gt;=12,AD106="下降トレンド▼"),"★強い売り",IF(T106&gt;=12,"★強い売り",IF(AND(T106&gt;=8,OR(AE106="25日戻り売り★",AE106="5日戻り売り○")),"◎戻り売り",IF(T106&gt;=10,"○売り候補",IF(T106&gt;=6,"△注目",IF(T106&gt;=3,"様子見","見送り"))))))))</f>
        <v/>
      </c>
      <c r="AG106">
        <f>IF(AND(T106&gt;=7,C106&lt;&gt;""),T106,0)</f>
        <v/>
      </c>
      <c r="AH106">
        <f>IF(AG106&gt;0,AG106*10000-ROW(A106),0)</f>
        <v/>
      </c>
      <c r="AI106" s="623">
        <f t="array" ref="AI106">IF(C106="","",IFERROR((INDEX(終値!$E:$E,MATCH(TEXT(C106,"0"),終値!$A:$A,0))-INDEX(終値!$E:$BL,MATCH(TEXT(C106,"0"),終値!$A:$A,0),$AN$2))/INDEX(終値!$E:$BL,MATCH(TEXT(C106,"0"),終値!$A:$A,0),$AN$2)*100,""))</f>
        <v/>
      </c>
      <c r="AJ106" s="623">
        <f t="array" ref="AJ106">IFERROR((終値!$E$5-INDEX(終値!$E$5:$BL$5,1,$AN$2))/INDEX(終値!$E$5:$BL$5,1,$AN$2)*100,"")</f>
        <v/>
      </c>
      <c r="AK106" s="624">
        <f>IF(OR(AI106="",AJ106=""),"",AI106-AJ106)</f>
        <v/>
      </c>
      <c r="AL106" s="394">
        <f>IF(AK106="","",IF(AK106&lt;-5,3,IF(AK106&lt;0,1,IF(AK106&lt;3,-1,-2))))</f>
        <v/>
      </c>
      <c r="AO106" s="398">
        <f>IF(OR($C106="",$E106="",$F106="",$H106="",$I106="",$H106-$I106&lt;=0),"-",IF(AND($H106-MAX($F106,$E106)&gt;=ABS($E106-$F106)*2,MIN($F106,$E106)-$I106&lt;=ABS($E106-$F106)*0.5,ABS($E106-$F106)&gt;0),"上ヒゲ陰線▼",IF(AND($E106&lt;$F106,ABS($E106-$F106)&gt;=($H106-$I106)*0.7),"大陰線▼",IF(AND(MIN($F106,$E106)-$I106&gt;=($H106-$I106)*0.5,$H106-MAX($F106,$E106)&lt;=($H106-$I106)*0.2),"長い下ヒゲ(反発警戒)","通常"))))</f>
        <v/>
      </c>
      <c r="AP106" s="625">
        <f>IF($AO106="上ヒゲ陰線▼",2,IF($AO106="大陰線▼",2,IF($AO106="長い下ヒゲ(反発警戒)",-2,0)))</f>
        <v/>
      </c>
      <c r="AQ106">
        <f>IF(C106&lt;&gt;"",始値!F120,"")</f>
        <v/>
      </c>
      <c r="AR106">
        <f>IF(C106&lt;&gt;"",高値!F120,"")</f>
        <v/>
      </c>
      <c r="AS106">
        <f>IF(C106&lt;&gt;"",安値!F120,"")</f>
        <v/>
      </c>
      <c r="AT106">
        <f>IF(OR(C106="",AQ106="",AR106="",AS106="",AR106-AS106&lt;=0),"-",IF(AND(AR106-MAX(G106,AQ106)&gt;=ABS(G106-AQ106)*2,MIN(G106,AQ106)-AS106&lt;=ABS(G106-AQ106)*0.5,ABS(G106-AQ106)&gt;0),"上ヒゲ陰線▼",IF(AND(G106&lt;AQ106,ABS(G106-AQ106)&gt;=(AR106-AS106)*0.7),"大陰線▼",IF(AND(MIN(G106,AQ106)-AS106&gt;=(AR106-AS106)*0.5,AR106-MAX(G106,AQ106)&lt;=(AR106-AS106)*0.2),"長い下ヒゲ(反発)","通常"))))</f>
        <v/>
      </c>
      <c r="AU106">
        <f>IF(AT106="上ヒゲ陰線▼",2,IF(AT106="大陰線▼",2,IF(AT106="長い下ヒゲ(反発)",-2,0)))</f>
        <v/>
      </c>
    </row>
    <row r="107" ht="14.25" customHeight="1" s="574">
      <c r="A107" s="344">
        <f>IF(銘柄管理!B126&lt;&gt;"",HYPERLINK("https://kabutan.jp/stock/?code="&amp;銘柄管理!B126,"株探"),"")</f>
        <v/>
      </c>
      <c r="B107" s="345" t="n"/>
      <c r="C107" s="345">
        <f>IF(銘柄管理!B126="","",銘柄管理!B126)</f>
        <v/>
      </c>
      <c r="D107" s="345">
        <f>IF(銘柄管理!C126="","",銘柄管理!C126)</f>
        <v/>
      </c>
      <c r="E107" s="346">
        <f>IF(C107&lt;&gt;"",_xll.RssMarket(C107,"現在値"),"")</f>
        <v/>
      </c>
      <c r="F107" s="346">
        <f>IF(C107&lt;&gt;"",_xll.RssMarket(C107,"始値"),"")</f>
        <v/>
      </c>
      <c r="G107" s="345">
        <f>IF(C107&lt;&gt;"",終値!F126,"")</f>
        <v/>
      </c>
      <c r="H107" s="346">
        <f>IF(C107&lt;&gt;"",_xll.RssMarket(C107,"高値"),"")</f>
        <v/>
      </c>
      <c r="I107" s="346">
        <f>IF(C107&lt;&gt;"",_xll.RssMarket(C107,"安値"),"")</f>
        <v/>
      </c>
      <c r="J107" s="346">
        <f>IF(C107&lt;&gt;"",_xll.RssMarket(C107,"出来高"),"")</f>
        <v/>
      </c>
      <c r="K107" s="346">
        <f>IF(C107&lt;&gt;"",_xll.RssMarket(C107,"年初来高値"),"")</f>
        <v/>
      </c>
      <c r="L107" s="619">
        <f>IF(AND(E107&lt;&gt;"",K107&lt;&gt;"",K107&lt;&gt;0),(E107-K107)/K107*100,"")</f>
        <v/>
      </c>
      <c r="M107" s="346">
        <f>IF(C107&lt;&gt;"",IFERROR(AVERAGE(出来高!E126:I126),""),"")</f>
        <v/>
      </c>
      <c r="N107" s="346">
        <f>IF(C107&lt;&gt;"",IFERROR(AVERAGE(出来高!E126:AC126),""),"")</f>
        <v/>
      </c>
      <c r="O107" s="620">
        <f>IF(AND(J107&lt;&gt;"",M107&lt;&gt;"",M107&lt;&gt;0),J107/M107,"")</f>
        <v/>
      </c>
      <c r="P107" s="345">
        <f>IF(O107="","",IF(O107&gt;=2,"急増↑↑",IF(O107&gt;=1.5,"増加↑",IF(O107&gt;=1,"普通→","減少↓"))))</f>
        <v/>
      </c>
      <c r="Q107" s="345">
        <f>IF(E107="","",IF(AND(E107&lt;G107,O107&gt;=1.5),"売り▼",IF(E107&gt;G107,"様子見▲","中立→")))</f>
        <v/>
      </c>
      <c r="R107" s="346">
        <f>IF(E107&lt;&gt;"",ROUND(E107*0.92,0),"")</f>
        <v/>
      </c>
      <c r="S107" s="346">
        <f>IF(E107&lt;&gt;"",ROUND(E107*1.04,0),"")</f>
        <v/>
      </c>
      <c r="T107" s="345">
        <f>IF(C107="","",IFERROR(IF(W107&gt;=70,3,IF(W107&gt;=60,2,IF(W107&gt;=50,1,0)))+IF(X107&lt;0,2,0)+IF(AD107="下降トレンド▼",3,IF(AD107="もみ合い→",1,0))+IF(V107="年初来安値圏●",3,IF(V107="安値圏",2,0))+IF(Q107="売り▼",2,0)+IF(P107="急増↑↑",2,IF(P107="増加↑",1,0))+IF(Z107&lt;0,1,0)+IF(L107&lt;=-30,2,IF(L107&lt;=-15,1,0))+IF(AE107="25日戻り売り★",2,IF(AE107="5日戻り売り○",1,0))+N(AL107)+N(AP107)+N(AU107),0))</f>
        <v/>
      </c>
      <c r="U107" s="345">
        <f>IF(T107="","",IF(AND(T107&gt;=3,O107&gt;=1.5),"有効",IF(T107&gt;=3,"要確認","除外")))</f>
        <v/>
      </c>
      <c r="V107" s="345">
        <f>IF(AND(I107&lt;&gt;"",K107&lt;&gt;""),IF(I107&lt;=K107*0.6,"年初来安値圏●",IF(I107&lt;=K107*0.75,"安値圏","通常")),"")</f>
        <v/>
      </c>
      <c r="W107" s="621">
        <f t="array" ref="W107">IFERROR(100-100/(1+SUMPRODUCT((終値!F126:R126&gt;終値!G126:S126)*(終値!F126:R126-終値!G126:S126))/SUMPRODUCT((終値!F126:R126&lt;終値!G126:S126)*(終値!G126:S126-終値!F126:R126))),50)</f>
        <v/>
      </c>
      <c r="X107" s="350">
        <f>IF(C107&lt;&gt;"",IFERROR(SUMPRODUCT(終値!E126:P126,{0.154,0.132,0.113,0.097,0.083,0.071,0.061,0.052,0.045,0.038,0.033,0.028})/SUMPRODUCT({0.154,0.132,0.113,0.097,0.083,0.071,0.061,0.052,0.045,0.038,0.033,0.028})-SUMPRODUCT(終値!E126:AD126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7" s="345">
        <f>IF(AF107="","",AF107&amp;" | "&amp;AD107&amp;IF(AE107&lt;&gt;"なし"," "&amp;AE107,"")&amp;IF(X107&lt;0," MACD-"," MACD+")&amp;" RSI:"&amp;TEXT(W107,"0.0")&amp;IF(W107&gt;=70," [過熱]",IF(W107&lt;=30," [売られ過ぎ]",""))&amp;" 前日比:"&amp;TEXT(Z107,"+0.0;-0.0;0.0")&amp;"%"&amp;IF(V107="年初来安値圏●"," [年初来安値圏]",IF(V107="安値圏"," [安値圏]",""))&amp;IF(OR(AO107="通常",AO107="-"),""," ["&amp;AO107&amp;"]")&amp;IF(OR(AT107="通常",AT107="-"),"","前日["&amp;AT107&amp;"]")&amp;" ["&amp;T107&amp;"点]")</f>
        <v/>
      </c>
      <c r="Z107" s="622">
        <f>IF(AND(E107&lt;&gt;"",G107&lt;&gt;"",G107&lt;&gt;0),(E107-G107)/G107*100,"")</f>
        <v/>
      </c>
      <c r="AA107" s="345">
        <f>IF(OR(C107="",E107="",E107=0),"",IF(E107&gt;G107,"上昇▲",IF(E107&lt;G107,"下落▼","横ばい→")))</f>
        <v/>
      </c>
      <c r="AB107" s="346">
        <f>IF(OR(C107="",C107="TOPX",終値!E126=""),"",IFERROR(((終値!E126*0.333)+(終値!F126*0.222)+(終値!G126*0.148)+(終値!H126*0.099)+(終値!I126*0.066))/(0.333+0.222+0.148+0.099+0.066),""))</f>
        <v/>
      </c>
      <c r="AC107" s="346">
        <f>IF(OR(C107="",C107="TOPX",終値!E126=""),"",IFERROR(SUMPRODUCT((終値!E126:AC126)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7" s="345">
        <f>IF(OR(C107="",AB107="",AC107="",AB107=0,AC107=0),"",IF(AND(E107&gt;AB107,AB107&gt;AC107),"パーフェクト▲",IF(E107&gt;AC107,"上昇トレンド▲",IF(AND(E107&lt;AB107,AB107&lt;AC107),"下降トレンド▼","もみ合い→"))))</f>
        <v/>
      </c>
      <c r="AE107" s="345">
        <f>IF(OR(C107="",AB107="",AC107=""),"",IF(AND(ABS(E107-AC107)/AC107&lt;=0.02,E107&lt;AC107),"25日戻り売り★",IF(AND(ABS(E107-AB107)/AB107&lt;=0.01,E107&lt;AB107),"5日戻り売り○","なし")))</f>
        <v/>
      </c>
      <c r="AF107">
        <f>IF(T107="","",IF(銘柄管理!$F$5="上昇▲",IF(AND(AD107="下降トレンド▼",OR(AE107="25日戻り売り★",AE107="5日戻り売り○")),"★逆張り売り",IF(AND(AD107="もみ合い→",OR(AE107="25日戻り売り★",AE107="5日戻り売り○")),"○逆張り売り",IF(W107&gt;=70,IF(Z107&lt;0,"◎反落確認","△過熱・様子見"),"相場上昇・見送り"))),IF(AND(T107&gt;=12,AD107="下降トレンド▼"),"★強い売り",IF(T107&gt;=12,"★強い売り",IF(AND(T107&gt;=8,OR(AE107="25日戻り売り★",AE107="5日戻り売り○")),"◎戻り売り",IF(T107&gt;=10,"○売り候補",IF(T107&gt;=6,"△注目",IF(T107&gt;=3,"様子見","見送り"))))))))</f>
        <v/>
      </c>
      <c r="AG107">
        <f>IF(AND(T107&gt;=7,C107&lt;&gt;""),T107,0)</f>
        <v/>
      </c>
      <c r="AH107">
        <f>IF(AG107&gt;0,AG107*10000-ROW(A107),0)</f>
        <v/>
      </c>
      <c r="AI107" s="623">
        <f t="array" ref="AI107">IF(C107="","",IFERROR((INDEX(終値!$E:$E,MATCH(TEXT(C107,"0"),終値!$A:$A,0))-INDEX(終値!$E:$BL,MATCH(TEXT(C107,"0"),終値!$A:$A,0),$AN$2))/INDEX(終値!$E:$BL,MATCH(TEXT(C107,"0"),終値!$A:$A,0),$AN$2)*100,""))</f>
        <v/>
      </c>
      <c r="AJ107" s="623">
        <f t="array" ref="AJ107">IFERROR((終値!$E$5-INDEX(終値!$E$5:$BL$5,1,$AN$2))/INDEX(終値!$E$5:$BL$5,1,$AN$2)*100,"")</f>
        <v/>
      </c>
      <c r="AK107" s="624">
        <f>IF(OR(AI107="",AJ107=""),"",AI107-AJ107)</f>
        <v/>
      </c>
      <c r="AL107" s="394">
        <f>IF(AK107="","",IF(AK107&lt;-5,3,IF(AK107&lt;0,1,IF(AK107&lt;3,-1,-2))))</f>
        <v/>
      </c>
      <c r="AO107" s="398">
        <f>IF(OR($C107="",$E107="",$F107="",$H107="",$I107="",$H107-$I107&lt;=0),"-",IF(AND($H107-MAX($F107,$E107)&gt;=ABS($E107-$F107)*2,MIN($F107,$E107)-$I107&lt;=ABS($E107-$F107)*0.5,ABS($E107-$F107)&gt;0),"上ヒゲ陰線▼",IF(AND($E107&lt;$F107,ABS($E107-$F107)&gt;=($H107-$I107)*0.7),"大陰線▼",IF(AND(MIN($F107,$E107)-$I107&gt;=($H107-$I107)*0.5,$H107-MAX($F107,$E107)&lt;=($H107-$I107)*0.2),"長い下ヒゲ(反発警戒)","通常"))))</f>
        <v/>
      </c>
      <c r="AP107" s="625">
        <f>IF($AO107="上ヒゲ陰線▼",2,IF($AO107="大陰線▼",2,IF($AO107="長い下ヒゲ(反発警戒)",-2,0)))</f>
        <v/>
      </c>
      <c r="AQ107">
        <f>IF(C107&lt;&gt;"",始値!F126,"")</f>
        <v/>
      </c>
      <c r="AR107">
        <f>IF(C107&lt;&gt;"",高値!F126,"")</f>
        <v/>
      </c>
      <c r="AS107">
        <f>IF(C107&lt;&gt;"",安値!F126,"")</f>
        <v/>
      </c>
      <c r="AT107">
        <f>IF(OR(C107="",AQ107="",AR107="",AS107="",AR107-AS107&lt;=0),"-",IF(AND(AR107-MAX(G107,AQ107)&gt;=ABS(G107-AQ107)*2,MIN(G107,AQ107)-AS107&lt;=ABS(G107-AQ107)*0.5,ABS(G107-AQ107)&gt;0),"上ヒゲ陰線▼",IF(AND(G107&lt;AQ107,ABS(G107-AQ107)&gt;=(AR107-AS107)*0.7),"大陰線▼",IF(AND(MIN(G107,AQ107)-AS107&gt;=(AR107-AS107)*0.5,AR107-MAX(G107,AQ107)&lt;=(AR107-AS107)*0.2),"長い下ヒゲ(反発)","通常"))))</f>
        <v/>
      </c>
      <c r="AU107">
        <f>IF(AT107="上ヒゲ陰線▼",2,IF(AT107="大陰線▼",2,IF(AT107="長い下ヒゲ(反発)",-2,0)))</f>
        <v/>
      </c>
    </row>
    <row r="108" ht="14.25" customHeight="1" s="574">
      <c r="A108" s="352">
        <f>IF(銘柄管理!B132&lt;&gt;"",HYPERLINK("https://kabutan.jp/stock/?code="&amp;銘柄管理!B132,"株探"),"")</f>
        <v/>
      </c>
      <c r="B108" s="225" t="n"/>
      <c r="C108" s="225">
        <f>IF(銘柄管理!B132="","",銘柄管理!B132)</f>
        <v/>
      </c>
      <c r="D108" s="225">
        <f>IF(銘柄管理!C132="","",銘柄管理!C132)</f>
        <v/>
      </c>
      <c r="E108" s="353">
        <f>IF(C108&lt;&gt;"",_xll.RssMarket(C108,"現在値"),"")</f>
        <v/>
      </c>
      <c r="F108" s="353">
        <f>IF(C108&lt;&gt;"",_xll.RssMarket(C108,"始値"),"")</f>
        <v/>
      </c>
      <c r="G108" s="225">
        <f>IF(C108&lt;&gt;"",終値!F132,"")</f>
        <v/>
      </c>
      <c r="H108" s="353">
        <f>IF(C108&lt;&gt;"",_xll.RssMarket(C108,"高値"),"")</f>
        <v/>
      </c>
      <c r="I108" s="353">
        <f>IF(C108&lt;&gt;"",_xll.RssMarket(C108,"安値"),"")</f>
        <v/>
      </c>
      <c r="J108" s="353">
        <f>IF(C108&lt;&gt;"",_xll.RssMarket(C108,"出来高"),"")</f>
        <v/>
      </c>
      <c r="K108" s="353">
        <f>IF(C108&lt;&gt;"",_xll.RssMarket(C108,"年初来高値"),"")</f>
        <v/>
      </c>
      <c r="L108" s="626">
        <f>IF(AND(E108&lt;&gt;"",K108&lt;&gt;"",K108&lt;&gt;0),(E108-K108)/K108*100,"")</f>
        <v/>
      </c>
      <c r="M108" s="353">
        <f>IF(C108&lt;&gt;"",IFERROR(AVERAGE(出来高!E132:I132),""),"")</f>
        <v/>
      </c>
      <c r="N108" s="353">
        <f>IF(C108&lt;&gt;"",IFERROR(AVERAGE(出来高!E132:AC132),""),"")</f>
        <v/>
      </c>
      <c r="O108" s="627">
        <f>IF(AND(J108&lt;&gt;"",M108&lt;&gt;"",M108&lt;&gt;0),J108/M108,"")</f>
        <v/>
      </c>
      <c r="P108" s="225">
        <f>IF(O108="","",IF(O108&gt;=2,"急増↑↑",IF(O108&gt;=1.5,"増加↑",IF(O108&gt;=1,"普通→","減少↓"))))</f>
        <v/>
      </c>
      <c r="Q108" s="225">
        <f>IF(E108="","",IF(AND(E108&lt;G108,O108&gt;=1.5),"売り▼",IF(E108&gt;G108,"様子見▲","中立→")))</f>
        <v/>
      </c>
      <c r="R108" s="353">
        <f>IF(E108&lt;&gt;"",ROUND(E108*0.92,0),"")</f>
        <v/>
      </c>
      <c r="S108" s="353">
        <f>IF(E108&lt;&gt;"",ROUND(E108*1.04,0),"")</f>
        <v/>
      </c>
      <c r="T108" s="345">
        <f>IF(C108="","",IFERROR(IF(W108&gt;=70,3,IF(W108&gt;=60,2,IF(W108&gt;=50,1,0)))+IF(X108&lt;0,2,0)+IF(AD108="下降トレンド▼",3,IF(AD108="もみ合い→",1,0))+IF(V108="年初来安値圏●",3,IF(V108="安値圏",2,0))+IF(Q108="売り▼",2,0)+IF(P108="急増↑↑",2,IF(P108="増加↑",1,0))+IF(Z108&lt;0,1,0)+IF(L108&lt;=-30,2,IF(L108&lt;=-15,1,0))+IF(AE108="25日戻り売り★",2,IF(AE108="5日戻り売り○",1,0))+N(AL108)+N(AP108)+N(AU108),0))</f>
        <v/>
      </c>
      <c r="U108" s="225">
        <f>IF(T108="","",IF(AND(T108&gt;=3,O108&gt;=1.5),"有効",IF(T108&gt;=3,"要確認","除外")))</f>
        <v/>
      </c>
      <c r="V108" s="225">
        <f>IF(AND(I108&lt;&gt;"",K108&lt;&gt;""),IF(I108&lt;=K108*0.6,"年初来安値圏●",IF(I108&lt;=K108*0.75,"安値圏","通常")),"")</f>
        <v/>
      </c>
      <c r="W108" s="628">
        <f t="array" ref="W108">IFERROR(100-100/(1+SUMPRODUCT((終値!F132:R132&gt;終値!G132:S132)*(終値!F132:R132-終値!G132:S132))/SUMPRODUCT((終値!F132:R132&lt;終値!G132:S132)*(終値!G132:S132-終値!F132:R132))),50)</f>
        <v/>
      </c>
      <c r="X108" s="357">
        <f>IF(C108&lt;&gt;"",IFERROR(SUMPRODUCT(終値!E132:P132,{0.154,0.132,0.113,0.097,0.083,0.071,0.061,0.052,0.045,0.038,0.033,0.028})/SUMPRODUCT({0.154,0.132,0.113,0.097,0.083,0.071,0.061,0.052,0.045,0.038,0.033,0.028})-SUMPRODUCT(終値!E132:AD132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8" s="225">
        <f>IF(AF108="","",AF108&amp;" | "&amp;AD108&amp;IF(AE108&lt;&gt;"なし"," "&amp;AE108,"")&amp;IF(X108&lt;0," MACD-"," MACD+")&amp;" RSI:"&amp;TEXT(W108,"0.0")&amp;IF(W108&gt;=70," [過熱]",IF(W108&lt;=30," [売られ過ぎ]",""))&amp;" 前日比:"&amp;TEXT(Z108,"+0.0;-0.0;0.0")&amp;"%"&amp;IF(V108="年初来安値圏●"," [年初来安値圏]",IF(V108="安値圏"," [安値圏]",""))&amp;IF(OR(AO108="通常",AO108="-"),""," ["&amp;AO108&amp;"]")&amp;IF(OR(AT108="通常",AT108="-"),"","前日["&amp;AT108&amp;"]")&amp;" ["&amp;T108&amp;"点]")</f>
        <v/>
      </c>
      <c r="Z108" s="629">
        <f>IF(AND(E108&lt;&gt;"",G108&lt;&gt;"",G108&lt;&gt;0),(E108-G108)/G108*100,"")</f>
        <v/>
      </c>
      <c r="AA108" s="225">
        <f>IF(OR(C108="",E108="",E108=0),"",IF(E108&gt;G108,"上昇▲",IF(E108&lt;G108,"下落▼","横ばい→")))</f>
        <v/>
      </c>
      <c r="AB108" s="353">
        <f>IF(OR(C108="",C108="TOPX",終値!E132=""),"",IFERROR(((終値!E132*0.333)+(終値!F132*0.222)+(終値!G132*0.148)+(終値!H132*0.099)+(終値!I132*0.066))/(0.333+0.222+0.148+0.099+0.066),""))</f>
        <v/>
      </c>
      <c r="AC108" s="353">
        <f>IF(OR(C108="",C108="TOPX",終値!E132=""),"",IFERROR(SUMPRODUCT((終値!E132:AC132)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8" s="225">
        <f>IF(OR(C108="",AB108="",AC108="",AB108=0,AC108=0),"",IF(AND(E108&gt;AB108,AB108&gt;AC108),"パーフェクト▲",IF(E108&gt;AC108,"上昇トレンド▲",IF(AND(E108&lt;AB108,AB108&lt;AC108),"下降トレンド▼","もみ合い→"))))</f>
        <v/>
      </c>
      <c r="AE108" s="225">
        <f>IF(OR(C108="",AB108="",AC108=""),"",IF(AND(ABS(E108-AC108)/AC108&lt;=0.02,E108&lt;AC108),"25日戻り売り★",IF(AND(ABS(E108-AB108)/AB108&lt;=0.01,E108&lt;AB108),"5日戻り売り○","なし")))</f>
        <v/>
      </c>
      <c r="AF108">
        <f>IF(T108="","",IF(銘柄管理!$F$5="上昇▲",IF(AND(AD108="下降トレンド▼",OR(AE108="25日戻り売り★",AE108="5日戻り売り○")),"★逆張り売り",IF(AND(AD108="もみ合い→",OR(AE108="25日戻り売り★",AE108="5日戻り売り○")),"○逆張り売り",IF(W108&gt;=70,IF(Z108&lt;0,"◎反落確認","△過熱・様子見"),"相場上昇・見送り"))),IF(AND(T108&gt;=12,AD108="下降トレンド▼"),"★強い売り",IF(T108&gt;=12,"★強い売り",IF(AND(T108&gt;=8,OR(AE108="25日戻り売り★",AE108="5日戻り売り○")),"◎戻り売り",IF(T108&gt;=10,"○売り候補",IF(T108&gt;=6,"△注目",IF(T108&gt;=3,"様子見","見送り"))))))))</f>
        <v/>
      </c>
      <c r="AG108">
        <f>IF(AND(T108&gt;=7,C108&lt;&gt;""),T108,0)</f>
        <v/>
      </c>
      <c r="AH108">
        <f>IF(AG108&gt;0,AG108*10000-ROW(A108),0)</f>
        <v/>
      </c>
      <c r="AI108" s="623">
        <f t="array" ref="AI108">IF(C108="","",IFERROR((INDEX(終値!$E:$E,MATCH(TEXT(C108,"0"),終値!$A:$A,0))-INDEX(終値!$E:$BL,MATCH(TEXT(C108,"0"),終値!$A:$A,0),$AN$2))/INDEX(終値!$E:$BL,MATCH(TEXT(C108,"0"),終値!$A:$A,0),$AN$2)*100,""))</f>
        <v/>
      </c>
      <c r="AJ108" s="623">
        <f t="array" ref="AJ108">IFERROR((終値!$E$5-INDEX(終値!$E$5:$BL$5,1,$AN$2))/INDEX(終値!$E$5:$BL$5,1,$AN$2)*100,"")</f>
        <v/>
      </c>
      <c r="AK108" s="624">
        <f>IF(OR(AI108="",AJ108=""),"",AI108-AJ108)</f>
        <v/>
      </c>
      <c r="AL108" s="394">
        <f>IF(AK108="","",IF(AK108&lt;-5,3,IF(AK108&lt;0,1,IF(AK108&lt;3,-1,-2))))</f>
        <v/>
      </c>
      <c r="AO108" s="398">
        <f>IF(OR($C108="",$E108="",$F108="",$H108="",$I108="",$H108-$I108&lt;=0),"-",IF(AND($H108-MAX($F108,$E108)&gt;=ABS($E108-$F108)*2,MIN($F108,$E108)-$I108&lt;=ABS($E108-$F108)*0.5,ABS($E108-$F108)&gt;0),"上ヒゲ陰線▼",IF(AND($E108&lt;$F108,ABS($E108-$F108)&gt;=($H108-$I108)*0.7),"大陰線▼",IF(AND(MIN($F108,$E108)-$I108&gt;=($H108-$I108)*0.5,$H108-MAX($F108,$E108)&lt;=($H108-$I108)*0.2),"長い下ヒゲ(反発警戒)","通常"))))</f>
        <v/>
      </c>
      <c r="AP108" s="625">
        <f>IF($AO108="上ヒゲ陰線▼",2,IF($AO108="大陰線▼",2,IF($AO108="長い下ヒゲ(反発警戒)",-2,0)))</f>
        <v/>
      </c>
      <c r="AQ108">
        <f>IF(C108&lt;&gt;"",始値!F132,"")</f>
        <v/>
      </c>
      <c r="AR108">
        <f>IF(C108&lt;&gt;"",高値!F132,"")</f>
        <v/>
      </c>
      <c r="AS108">
        <f>IF(C108&lt;&gt;"",安値!F132,"")</f>
        <v/>
      </c>
      <c r="AT108">
        <f>IF(OR(C108="",AQ108="",AR108="",AS108="",AR108-AS108&lt;=0),"-",IF(AND(AR108-MAX(G108,AQ108)&gt;=ABS(G108-AQ108)*2,MIN(G108,AQ108)-AS108&lt;=ABS(G108-AQ108)*0.5,ABS(G108-AQ108)&gt;0),"上ヒゲ陰線▼",IF(AND(G108&lt;AQ108,ABS(G108-AQ108)&gt;=(AR108-AS108)*0.7),"大陰線▼",IF(AND(MIN(G108,AQ108)-AS108&gt;=(AR108-AS108)*0.5,AR108-MAX(G108,AQ108)&lt;=(AR108-AS108)*0.2),"長い下ヒゲ(反発)","通常"))))</f>
        <v/>
      </c>
      <c r="AU108">
        <f>IF(AT108="上ヒゲ陰線▼",2,IF(AT108="大陰線▼",2,IF(AT108="長い下ヒゲ(反発)",-2,0)))</f>
        <v/>
      </c>
    </row>
    <row r="109" ht="14.25" customHeight="1" s="574">
      <c r="A109" s="344">
        <f>IF(銘柄管理!B134&lt;&gt;"",HYPERLINK("https://kabutan.jp/stock/?code="&amp;銘柄管理!B134,"株探"),"")</f>
        <v/>
      </c>
      <c r="B109" s="345" t="n"/>
      <c r="C109" s="345">
        <f>IF(銘柄管理!B134="","",銘柄管理!B134)</f>
        <v/>
      </c>
      <c r="D109" s="345">
        <f>IF(銘柄管理!C134="","",銘柄管理!C134)</f>
        <v/>
      </c>
      <c r="E109" s="346">
        <f>IF(C109&lt;&gt;"",_xll.RssMarket(C109,"現在値"),"")</f>
        <v/>
      </c>
      <c r="F109" s="346">
        <f>IF(C109&lt;&gt;"",_xll.RssMarket(C109,"始値"),"")</f>
        <v/>
      </c>
      <c r="G109" s="345">
        <f>IF(C109&lt;&gt;"",終値!F134,"")</f>
        <v/>
      </c>
      <c r="H109" s="346">
        <f>IF(C109&lt;&gt;"",_xll.RssMarket(C109,"高値"),"")</f>
        <v/>
      </c>
      <c r="I109" s="346">
        <f>IF(C109&lt;&gt;"",_xll.RssMarket(C109,"安値"),"")</f>
        <v/>
      </c>
      <c r="J109" s="346">
        <f>IF(C109&lt;&gt;"",_xll.RssMarket(C109,"出来高"),"")</f>
        <v/>
      </c>
      <c r="K109" s="346">
        <f>IF(C109&lt;&gt;"",_xll.RssMarket(C109,"年初来高値"),"")</f>
        <v/>
      </c>
      <c r="L109" s="619">
        <f>IF(AND(E109&lt;&gt;"",K109&lt;&gt;"",K109&lt;&gt;0),(E109-K109)/K109*100,"")</f>
        <v/>
      </c>
      <c r="M109" s="346">
        <f>IF(C109&lt;&gt;"",IFERROR(AVERAGE(出来高!E134:I134),""),"")</f>
        <v/>
      </c>
      <c r="N109" s="346">
        <f>IF(C109&lt;&gt;"",IFERROR(AVERAGE(出来高!E134:AC134),""),"")</f>
        <v/>
      </c>
      <c r="O109" s="620">
        <f>IF(AND(J109&lt;&gt;"",M109&lt;&gt;"",M109&lt;&gt;0),J109/M109,"")</f>
        <v/>
      </c>
      <c r="P109" s="345">
        <f>IF(O109="","",IF(O109&gt;=2,"急増↑↑",IF(O109&gt;=1.5,"増加↑",IF(O109&gt;=1,"普通→","減少↓"))))</f>
        <v/>
      </c>
      <c r="Q109" s="345">
        <f>IF(E109="","",IF(AND(E109&lt;G109,O109&gt;=1.5),"売り▼",IF(E109&gt;G109,"様子見▲","中立→")))</f>
        <v/>
      </c>
      <c r="R109" s="346">
        <f>IF(E109&lt;&gt;"",ROUND(E109*0.92,0),"")</f>
        <v/>
      </c>
      <c r="S109" s="346">
        <f>IF(E109&lt;&gt;"",ROUND(E109*1.04,0),"")</f>
        <v/>
      </c>
      <c r="T109" s="345">
        <f>IF(C109="","",IFERROR(IF(W109&gt;=70,3,IF(W109&gt;=60,2,IF(W109&gt;=50,1,0)))+IF(X109&lt;0,2,0)+IF(AD109="下降トレンド▼",3,IF(AD109="もみ合い→",1,0))+IF(V109="年初来安値圏●",3,IF(V109="安値圏",2,0))+IF(Q109="売り▼",2,0)+IF(P109="急増↑↑",2,IF(P109="増加↑",1,0))+IF(Z109&lt;0,1,0)+IF(L109&lt;=-30,2,IF(L109&lt;=-15,1,0))+IF(AE109="25日戻り売り★",2,IF(AE109="5日戻り売り○",1,0))+N(AL109)+N(AP109)+N(AU109),0))</f>
        <v/>
      </c>
      <c r="U109" s="345">
        <f>IF(T109="","",IF(AND(T109&gt;=3,O109&gt;=1.5),"有効",IF(T109&gt;=3,"要確認","除外")))</f>
        <v/>
      </c>
      <c r="V109" s="345">
        <f>IF(AND(I109&lt;&gt;"",K109&lt;&gt;""),IF(I109&lt;=K109*0.6,"年初来安値圏●",IF(I109&lt;=K109*0.75,"安値圏","通常")),"")</f>
        <v/>
      </c>
      <c r="W109" s="621">
        <f t="array" ref="W109">IFERROR(100-100/(1+SUMPRODUCT((終値!F134:R134&gt;終値!G134:S134)*(終値!F134:R134-終値!G134:S134))/SUMPRODUCT((終値!F134:R134&lt;終値!G134:S134)*(終値!G134:S134-終値!F134:R134))),50)</f>
        <v/>
      </c>
      <c r="X109" s="350">
        <f>IF(C109&lt;&gt;"",IFERROR(SUMPRODUCT(終値!E134:P134,{0.154,0.132,0.113,0.097,0.083,0.071,0.061,0.052,0.045,0.038,0.033,0.028})/SUMPRODUCT({0.154,0.132,0.113,0.097,0.083,0.071,0.061,0.052,0.045,0.038,0.033,0.028})-SUMPRODUCT(終値!E134:AD134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9" s="345">
        <f>IF(AF109="","",AF109&amp;" | "&amp;AD109&amp;IF(AE109&lt;&gt;"なし"," "&amp;AE109,"")&amp;IF(X109&lt;0," MACD-"," MACD+")&amp;" RSI:"&amp;TEXT(W109,"0.0")&amp;IF(W109&gt;=70," [過熱]",IF(W109&lt;=30," [売られ過ぎ]",""))&amp;" 前日比:"&amp;TEXT(Z109,"+0.0;-0.0;0.0")&amp;"%"&amp;IF(V109="年初来安値圏●"," [年初来安値圏]",IF(V109="安値圏"," [安値圏]",""))&amp;IF(OR(AO109="通常",AO109="-"),""," ["&amp;AO109&amp;"]")&amp;IF(OR(AT109="通常",AT109="-"),"","前日["&amp;AT109&amp;"]")&amp;" ["&amp;T109&amp;"点]")</f>
        <v/>
      </c>
      <c r="Z109" s="622">
        <f>IF(AND(E109&lt;&gt;"",G109&lt;&gt;"",G109&lt;&gt;0),(E109-G109)/G109*100,"")</f>
        <v/>
      </c>
      <c r="AA109" s="345">
        <f>IF(OR(C109="",E109="",E109=0),"",IF(E109&gt;G109,"上昇▲",IF(E109&lt;G109,"下落▼","横ばい→")))</f>
        <v/>
      </c>
      <c r="AB109" s="346">
        <f>IF(OR(C109="",C109="TOPX",終値!E134=""),"",IFERROR(((終値!E134*0.333)+(終値!F134*0.222)+(終値!G134*0.148)+(終値!H134*0.099)+(終値!I134*0.066))/(0.333+0.222+0.148+0.099+0.066),""))</f>
        <v/>
      </c>
      <c r="AC109" s="346">
        <f>IF(OR(C109="",C109="TOPX",終値!E134=""),"",IFERROR(SUMPRODUCT((終値!E134:AC134)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9" s="345">
        <f>IF(OR(C109="",AB109="",AC109="",AB109=0,AC109=0),"",IF(AND(E109&gt;AB109,AB109&gt;AC109),"パーフェクト▲",IF(E109&gt;AC109,"上昇トレンド▲",IF(AND(E109&lt;AB109,AB109&lt;AC109),"下降トレンド▼","もみ合い→"))))</f>
        <v/>
      </c>
      <c r="AE109" s="345">
        <f>IF(OR(C109="",AB109="",AC109=""),"",IF(AND(ABS(E109-AC109)/AC109&lt;=0.02,E109&lt;AC109),"25日戻り売り★",IF(AND(ABS(E109-AB109)/AB109&lt;=0.01,E109&lt;AB109),"5日戻り売り○","なし")))</f>
        <v/>
      </c>
      <c r="AF109">
        <f>IF(T109="","",IF(銘柄管理!$F$5="上昇▲",IF(AND(AD109="下降トレンド▼",OR(AE109="25日戻り売り★",AE109="5日戻り売り○")),"★逆張り売り",IF(AND(AD109="もみ合い→",OR(AE109="25日戻り売り★",AE109="5日戻り売り○")),"○逆張り売り",IF(W109&gt;=70,IF(Z109&lt;0,"◎反落確認","△過熱・様子見"),"相場上昇・見送り"))),IF(AND(T109&gt;=12,AD109="下降トレンド▼"),"★強い売り",IF(T109&gt;=12,"★強い売り",IF(AND(T109&gt;=8,OR(AE109="25日戻り売り★",AE109="5日戻り売り○")),"◎戻り売り",IF(T109&gt;=10,"○売り候補",IF(T109&gt;=6,"△注目",IF(T109&gt;=3,"様子見","見送り"))))))))</f>
        <v/>
      </c>
      <c r="AG109">
        <f>IF(AND(T109&gt;=7,C109&lt;&gt;""),T109,0)</f>
        <v/>
      </c>
      <c r="AH109">
        <f>IF(AG109&gt;0,AG109*10000-ROW(A109),0)</f>
        <v/>
      </c>
      <c r="AI109" s="623">
        <f t="array" ref="AI109">IF(C109="","",IFERROR((INDEX(終値!$E:$E,MATCH(TEXT(C109,"0"),終値!$A:$A,0))-INDEX(終値!$E:$BL,MATCH(TEXT(C109,"0"),終値!$A:$A,0),$AN$2))/INDEX(終値!$E:$BL,MATCH(TEXT(C109,"0"),終値!$A:$A,0),$AN$2)*100,""))</f>
        <v/>
      </c>
      <c r="AJ109" s="623">
        <f t="array" ref="AJ109">IFERROR((終値!$E$5-INDEX(終値!$E$5:$BL$5,1,$AN$2))/INDEX(終値!$E$5:$BL$5,1,$AN$2)*100,"")</f>
        <v/>
      </c>
      <c r="AK109" s="624">
        <f>IF(OR(AI109="",AJ109=""),"",AI109-AJ109)</f>
        <v/>
      </c>
      <c r="AL109" s="394">
        <f>IF(AK109="","",IF(AK109&lt;-5,3,IF(AK109&lt;0,1,IF(AK109&lt;3,-1,-2))))</f>
        <v/>
      </c>
      <c r="AO109" s="398">
        <f>IF(OR($C109="",$E109="",$F109="",$H109="",$I109="",$H109-$I109&lt;=0),"-",IF(AND($H109-MAX($F109,$E109)&gt;=ABS($E109-$F109)*2,MIN($F109,$E109)-$I109&lt;=ABS($E109-$F109)*0.5,ABS($E109-$F109)&gt;0),"上ヒゲ陰線▼",IF(AND($E109&lt;$F109,ABS($E109-$F109)&gt;=($H109-$I109)*0.7),"大陰線▼",IF(AND(MIN($F109,$E109)-$I109&gt;=($H109-$I109)*0.5,$H109-MAX($F109,$E109)&lt;=($H109-$I109)*0.2),"長い下ヒゲ(反発警戒)","通常"))))</f>
        <v/>
      </c>
      <c r="AP109" s="625">
        <f>IF($AO109="上ヒゲ陰線▼",2,IF($AO109="大陰線▼",2,IF($AO109="長い下ヒゲ(反発警戒)",-2,0)))</f>
        <v/>
      </c>
      <c r="AQ109">
        <f>IF(C109&lt;&gt;"",始値!F134,"")</f>
        <v/>
      </c>
      <c r="AR109">
        <f>IF(C109&lt;&gt;"",高値!F134,"")</f>
        <v/>
      </c>
      <c r="AS109">
        <f>IF(C109&lt;&gt;"",安値!F134,"")</f>
        <v/>
      </c>
      <c r="AT109">
        <f>IF(OR(C109="",AQ109="",AR109="",AS109="",AR109-AS109&lt;=0),"-",IF(AND(AR109-MAX(G109,AQ109)&gt;=ABS(G109-AQ109)*2,MIN(G109,AQ109)-AS109&lt;=ABS(G109-AQ109)*0.5,ABS(G109-AQ109)&gt;0),"上ヒゲ陰線▼",IF(AND(G109&lt;AQ109,ABS(G109-AQ109)&gt;=(AR109-AS109)*0.7),"大陰線▼",IF(AND(MIN(G109,AQ109)-AS109&gt;=(AR109-AS109)*0.5,AR109-MAX(G109,AQ109)&lt;=(AR109-AS109)*0.2),"長い下ヒゲ(反発)","通常"))))</f>
        <v/>
      </c>
      <c r="AU109">
        <f>IF(AT109="上ヒゲ陰線▼",2,IF(AT109="大陰線▼",2,IF(AT109="長い下ヒゲ(反発)",-2,0)))</f>
        <v/>
      </c>
    </row>
    <row r="110" ht="14.25" customHeight="1" s="574">
      <c r="A110" s="352">
        <f>IF(銘柄管理!B142&lt;&gt;"",HYPERLINK("https://kabutan.jp/stock/?code="&amp;銘柄管理!B142,"株探"),"")</f>
        <v/>
      </c>
      <c r="B110" s="225" t="n"/>
      <c r="C110" s="225">
        <f>IF(銘柄管理!B142="","",銘柄管理!B142)</f>
        <v/>
      </c>
      <c r="D110" s="225">
        <f>IF(銘柄管理!C142="","",銘柄管理!C142)</f>
        <v/>
      </c>
      <c r="E110" s="353">
        <f>IF(C110&lt;&gt;"",_xll.RssMarket(C110,"現在値"),"")</f>
        <v/>
      </c>
      <c r="F110" s="353">
        <f>IF(C110&lt;&gt;"",_xll.RssMarket(C110,"始値"),"")</f>
        <v/>
      </c>
      <c r="G110" s="225">
        <f>IF(C110&lt;&gt;"",終値!F142,"")</f>
        <v/>
      </c>
      <c r="H110" s="353">
        <f>IF(C110&lt;&gt;"",_xll.RssMarket(C110,"高値"),"")</f>
        <v/>
      </c>
      <c r="I110" s="353">
        <f>IF(C110&lt;&gt;"",_xll.RssMarket(C110,"安値"),"")</f>
        <v/>
      </c>
      <c r="J110" s="353">
        <f>IF(C110&lt;&gt;"",_xll.RssMarket(C110,"出来高"),"")</f>
        <v/>
      </c>
      <c r="K110" s="353">
        <f>IF(C110&lt;&gt;"",_xll.RssMarket(C110,"年初来高値"),"")</f>
        <v/>
      </c>
      <c r="L110" s="626">
        <f>IF(AND(E110&lt;&gt;"",K110&lt;&gt;"",K110&lt;&gt;0),(E110-K110)/K110*100,"")</f>
        <v/>
      </c>
      <c r="M110" s="353">
        <f>IF(C110&lt;&gt;"",IFERROR(AVERAGE(出来高!E142:I142),""),"")</f>
        <v/>
      </c>
      <c r="N110" s="353">
        <f>IF(C110&lt;&gt;"",IFERROR(AVERAGE(出来高!E142:AC142),""),"")</f>
        <v/>
      </c>
      <c r="O110" s="627">
        <f>IF(AND(J110&lt;&gt;"",M110&lt;&gt;"",M110&lt;&gt;0),J110/M110,"")</f>
        <v/>
      </c>
      <c r="P110" s="225">
        <f>IF(O110="","",IF(O110&gt;=2,"急増↑↑",IF(O110&gt;=1.5,"増加↑",IF(O110&gt;=1,"普通→","減少↓"))))</f>
        <v/>
      </c>
      <c r="Q110" s="225">
        <f>IF(E110="","",IF(AND(E110&lt;G110,O110&gt;=1.5),"売り▼",IF(E110&gt;G110,"様子見▲","中立→")))</f>
        <v/>
      </c>
      <c r="R110" s="353">
        <f>IF(E110&lt;&gt;"",ROUND(E110*0.92,0),"")</f>
        <v/>
      </c>
      <c r="S110" s="353">
        <f>IF(E110&lt;&gt;"",ROUND(E110*1.04,0),"")</f>
        <v/>
      </c>
      <c r="T110" s="345">
        <f>IF(C110="","",IFERROR(IF(W110&gt;=70,3,IF(W110&gt;=60,2,IF(W110&gt;=50,1,0)))+IF(X110&lt;0,2,0)+IF(AD110="下降トレンド▼",3,IF(AD110="もみ合い→",1,0))+IF(V110="年初来安値圏●",3,IF(V110="安値圏",2,0))+IF(Q110="売り▼",2,0)+IF(P110="急増↑↑",2,IF(P110="増加↑",1,0))+IF(Z110&lt;0,1,0)+IF(L110&lt;=-30,2,IF(L110&lt;=-15,1,0))+IF(AE110="25日戻り売り★",2,IF(AE110="5日戻り売り○",1,0))+N(AL110)+N(AP110)+N(AU110),0))</f>
        <v/>
      </c>
      <c r="U110" s="225">
        <f>IF(T110="","",IF(AND(T110&gt;=3,O110&gt;=1.5),"有効",IF(T110&gt;=3,"要確認","除外")))</f>
        <v/>
      </c>
      <c r="V110" s="225">
        <f>IF(AND(I110&lt;&gt;"",K110&lt;&gt;""),IF(I110&lt;=K110*0.6,"年初来安値圏●",IF(I110&lt;=K110*0.75,"安値圏","通常")),"")</f>
        <v/>
      </c>
      <c r="W110" s="628">
        <f t="array" ref="W110">IFERROR(100-100/(1+SUMPRODUCT((終値!F142:R142&gt;終値!G142:S142)*(終値!F142:R142-終値!G142:S142))/SUMPRODUCT((終値!F142:R142&lt;終値!G142:S142)*(終値!G142:S142-終値!F142:R142))),50)</f>
        <v/>
      </c>
      <c r="X110" s="357">
        <f>IF(C110&lt;&gt;"",IFERROR(SUMPRODUCT(終値!E142:P142,{0.154,0.132,0.113,0.097,0.083,0.071,0.061,0.052,0.045,0.038,0.033,0.028})/SUMPRODUCT({0.154,0.132,0.113,0.097,0.083,0.071,0.061,0.052,0.045,0.038,0.033,0.028})-SUMPRODUCT(終値!E142:AD142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0" s="225">
        <f>IF(AF110="","",AF110&amp;" | "&amp;AD110&amp;IF(AE110&lt;&gt;"なし"," "&amp;AE110,"")&amp;IF(X110&lt;0," MACD-"," MACD+")&amp;" RSI:"&amp;TEXT(W110,"0.0")&amp;IF(W110&gt;=70," [過熱]",IF(W110&lt;=30," [売られ過ぎ]",""))&amp;" 前日比:"&amp;TEXT(Z110,"+0.0;-0.0;0.0")&amp;"%"&amp;IF(V110="年初来安値圏●"," [年初来安値圏]",IF(V110="安値圏"," [安値圏]",""))&amp;IF(OR(AO110="通常",AO110="-"),""," ["&amp;AO110&amp;"]")&amp;IF(OR(AT110="通常",AT110="-"),"","前日["&amp;AT110&amp;"]")&amp;" ["&amp;T110&amp;"点]")</f>
        <v/>
      </c>
      <c r="Z110" s="629">
        <f>IF(AND(E110&lt;&gt;"",G110&lt;&gt;"",G110&lt;&gt;0),(E110-G110)/G110*100,"")</f>
        <v/>
      </c>
      <c r="AA110" s="225">
        <f>IF(OR(C110="",E110="",E110=0),"",IF(E110&gt;G110,"上昇▲",IF(E110&lt;G110,"下落▼","横ばい→")))</f>
        <v/>
      </c>
      <c r="AB110" s="353">
        <f>IF(OR(C110="",C110="TOPX",終値!E142=""),"",IFERROR(((終値!E142*0.333)+(終値!F142*0.222)+(終値!G142*0.148)+(終値!H142*0.099)+(終値!I142*0.066))/(0.333+0.222+0.148+0.099+0.066),""))</f>
        <v/>
      </c>
      <c r="AC110" s="353">
        <f>IF(OR(C110="",C110="TOPX",終値!E142=""),"",IFERROR(SUMPRODUCT((終値!E142:AC142)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0" s="225">
        <f>IF(OR(C110="",AB110="",AC110="",AB110=0,AC110=0),"",IF(AND(E110&gt;AB110,AB110&gt;AC110),"パーフェクト▲",IF(E110&gt;AC110,"上昇トレンド▲",IF(AND(E110&lt;AB110,AB110&lt;AC110),"下降トレンド▼","もみ合い→"))))</f>
        <v/>
      </c>
      <c r="AE110" s="225">
        <f>IF(OR(C110="",AB110="",AC110=""),"",IF(AND(ABS(E110-AC110)/AC110&lt;=0.02,E110&lt;AC110),"25日戻り売り★",IF(AND(ABS(E110-AB110)/AB110&lt;=0.01,E110&lt;AB110),"5日戻り売り○","なし")))</f>
        <v/>
      </c>
      <c r="AF110">
        <f>IF(T110="","",IF(銘柄管理!$F$5="上昇▲",IF(AND(AD110="下降トレンド▼",OR(AE110="25日戻り売り★",AE110="5日戻り売り○")),"★逆張り売り",IF(AND(AD110="もみ合い→",OR(AE110="25日戻り売り★",AE110="5日戻り売り○")),"○逆張り売り",IF(W110&gt;=70,IF(Z110&lt;0,"◎反落確認","△過熱・様子見"),"相場上昇・見送り"))),IF(AND(T110&gt;=12,AD110="下降トレンド▼"),"★強い売り",IF(T110&gt;=12,"★強い売り",IF(AND(T110&gt;=8,OR(AE110="25日戻り売り★",AE110="5日戻り売り○")),"◎戻り売り",IF(T110&gt;=10,"○売り候補",IF(T110&gt;=6,"△注目",IF(T110&gt;=3,"様子見","見送り"))))))))</f>
        <v/>
      </c>
      <c r="AG110">
        <f>IF(AND(T110&gt;=7,C110&lt;&gt;""),T110,0)</f>
        <v/>
      </c>
      <c r="AH110">
        <f>IF(AG110&gt;0,AG110*10000-ROW(A110),0)</f>
        <v/>
      </c>
      <c r="AI110" s="623">
        <f t="array" ref="AI110">IF(C110="","",IFERROR((INDEX(終値!$E:$E,MATCH(TEXT(C110,"0"),終値!$A:$A,0))-INDEX(終値!$E:$BL,MATCH(TEXT(C110,"0"),終値!$A:$A,0),$AN$2))/INDEX(終値!$E:$BL,MATCH(TEXT(C110,"0"),終値!$A:$A,0),$AN$2)*100,""))</f>
        <v/>
      </c>
      <c r="AJ110" s="623">
        <f t="array" ref="AJ110">IFERROR((終値!$E$5-INDEX(終値!$E$5:$BL$5,1,$AN$2))/INDEX(終値!$E$5:$BL$5,1,$AN$2)*100,"")</f>
        <v/>
      </c>
      <c r="AK110" s="624">
        <f>IF(OR(AI110="",AJ110=""),"",AI110-AJ110)</f>
        <v/>
      </c>
      <c r="AL110" s="394">
        <f>IF(AK110="","",IF(AK110&lt;-5,3,IF(AK110&lt;0,1,IF(AK110&lt;3,-1,-2))))</f>
        <v/>
      </c>
      <c r="AO110" s="398">
        <f>IF(OR($C110="",$E110="",$F110="",$H110="",$I110="",$H110-$I110&lt;=0),"-",IF(AND($H110-MAX($F110,$E110)&gt;=ABS($E110-$F110)*2,MIN($F110,$E110)-$I110&lt;=ABS($E110-$F110)*0.5,ABS($E110-$F110)&gt;0),"上ヒゲ陰線▼",IF(AND($E110&lt;$F110,ABS($E110-$F110)&gt;=($H110-$I110)*0.7),"大陰線▼",IF(AND(MIN($F110,$E110)-$I110&gt;=($H110-$I110)*0.5,$H110-MAX($F110,$E110)&lt;=($H110-$I110)*0.2),"長い下ヒゲ(反発警戒)","通常"))))</f>
        <v/>
      </c>
      <c r="AP110" s="625">
        <f>IF($AO110="上ヒゲ陰線▼",2,IF($AO110="大陰線▼",2,IF($AO110="長い下ヒゲ(反発警戒)",-2,0)))</f>
        <v/>
      </c>
      <c r="AQ110">
        <f>IF(C110&lt;&gt;"",始値!F142,"")</f>
        <v/>
      </c>
      <c r="AR110">
        <f>IF(C110&lt;&gt;"",高値!F142,"")</f>
        <v/>
      </c>
      <c r="AS110">
        <f>IF(C110&lt;&gt;"",安値!F142,"")</f>
        <v/>
      </c>
      <c r="AT110">
        <f>IF(OR(C110="",AQ110="",AR110="",AS110="",AR110-AS110&lt;=0),"-",IF(AND(AR110-MAX(G110,AQ110)&gt;=ABS(G110-AQ110)*2,MIN(G110,AQ110)-AS110&lt;=ABS(G110-AQ110)*0.5,ABS(G110-AQ110)&gt;0),"上ヒゲ陰線▼",IF(AND(G110&lt;AQ110,ABS(G110-AQ110)&gt;=(AR110-AS110)*0.7),"大陰線▼",IF(AND(MIN(G110,AQ110)-AS110&gt;=(AR110-AS110)*0.5,AR110-MAX(G110,AQ110)&lt;=(AR110-AS110)*0.2),"長い下ヒゲ(反発)","通常"))))</f>
        <v/>
      </c>
      <c r="AU110">
        <f>IF(AT110="上ヒゲ陰線▼",2,IF(AT110="大陰線▼",2,IF(AT110="長い下ヒゲ(反発)",-2,0)))</f>
        <v/>
      </c>
    </row>
    <row r="111" ht="14.25" customHeight="1" s="574">
      <c r="A111" s="344">
        <f>IF(銘柄管理!B143&lt;&gt;"",HYPERLINK("https://kabutan.jp/stock/?code="&amp;銘柄管理!B143,"株探"),"")</f>
        <v/>
      </c>
      <c r="B111" s="345" t="n"/>
      <c r="C111" s="345">
        <f>IF(銘柄管理!B143="","",銘柄管理!B143)</f>
        <v/>
      </c>
      <c r="D111" s="345">
        <f>IF(銘柄管理!C143="","",銘柄管理!C143)</f>
        <v/>
      </c>
      <c r="E111" s="346">
        <f>IF(C111&lt;&gt;"",_xll.RssMarket(C111,"現在値"),"")</f>
        <v/>
      </c>
      <c r="F111" s="346">
        <f>IF(C111&lt;&gt;"",_xll.RssMarket(C111,"始値"),"")</f>
        <v/>
      </c>
      <c r="G111" s="345">
        <f>IF(C111&lt;&gt;"",終値!F143,"")</f>
        <v/>
      </c>
      <c r="H111" s="346">
        <f>IF(C111&lt;&gt;"",_xll.RssMarket(C111,"高値"),"")</f>
        <v/>
      </c>
      <c r="I111" s="346">
        <f>IF(C111&lt;&gt;"",_xll.RssMarket(C111,"安値"),"")</f>
        <v/>
      </c>
      <c r="J111" s="346">
        <f>IF(C111&lt;&gt;"",_xll.RssMarket(C111,"出来高"),"")</f>
        <v/>
      </c>
      <c r="K111" s="346">
        <f>IF(C111&lt;&gt;"",_xll.RssMarket(C111,"年初来高値"),"")</f>
        <v/>
      </c>
      <c r="L111" s="619">
        <f>IF(AND(E111&lt;&gt;"",K111&lt;&gt;"",K111&lt;&gt;0),(E111-K111)/K111*100,"")</f>
        <v/>
      </c>
      <c r="M111" s="346">
        <f>IF(C111&lt;&gt;"",IFERROR(AVERAGE(出来高!E143:I143),""),"")</f>
        <v/>
      </c>
      <c r="N111" s="346">
        <f>IF(C111&lt;&gt;"",IFERROR(AVERAGE(出来高!E143:AC143),""),"")</f>
        <v/>
      </c>
      <c r="O111" s="620">
        <f>IF(AND(J111&lt;&gt;"",M111&lt;&gt;"",M111&lt;&gt;0),J111/M111,"")</f>
        <v/>
      </c>
      <c r="P111" s="345">
        <f>IF(O111="","",IF(O111&gt;=2,"急増↑↑",IF(O111&gt;=1.5,"増加↑",IF(O111&gt;=1,"普通→","減少↓"))))</f>
        <v/>
      </c>
      <c r="Q111" s="345">
        <f>IF(E111="","",IF(AND(E111&lt;G111,O111&gt;=1.5),"売り▼",IF(E111&gt;G111,"様子見▲","中立→")))</f>
        <v/>
      </c>
      <c r="R111" s="346">
        <f>IF(E111&lt;&gt;"",ROUND(E111*0.92,0),"")</f>
        <v/>
      </c>
      <c r="S111" s="346">
        <f>IF(E111&lt;&gt;"",ROUND(E111*1.04,0),"")</f>
        <v/>
      </c>
      <c r="T111" s="345">
        <f>IF(C111="","",IFERROR(IF(W111&gt;=70,3,IF(W111&gt;=60,2,IF(W111&gt;=50,1,0)))+IF(X111&lt;0,2,0)+IF(AD111="下降トレンド▼",3,IF(AD111="もみ合い→",1,0))+IF(V111="年初来安値圏●",3,IF(V111="安値圏",2,0))+IF(Q111="売り▼",2,0)+IF(P111="急増↑↑",2,IF(P111="増加↑",1,0))+IF(Z111&lt;0,1,0)+IF(L111&lt;=-30,2,IF(L111&lt;=-15,1,0))+IF(AE111="25日戻り売り★",2,IF(AE111="5日戻り売り○",1,0))+N(AL111)+N(AP111)+N(AU111),0))</f>
        <v/>
      </c>
      <c r="U111" s="345">
        <f>IF(T111="","",IF(AND(T111&gt;=3,O111&gt;=1.5),"有効",IF(T111&gt;=3,"要確認","除外")))</f>
        <v/>
      </c>
      <c r="V111" s="345">
        <f>IF(AND(I111&lt;&gt;"",K111&lt;&gt;""),IF(I111&lt;=K111*0.6,"年初来安値圏●",IF(I111&lt;=K111*0.75,"安値圏","通常")),"")</f>
        <v/>
      </c>
      <c r="W111" s="621">
        <f t="array" ref="W111">IFERROR(100-100/(1+SUMPRODUCT((終値!F143:R143&gt;終値!G143:S143)*(終値!F143:R143-終値!G143:S143))/SUMPRODUCT((終値!F143:R143&lt;終値!G143:S143)*(終値!G143:S143-終値!F143:R143))),50)</f>
        <v/>
      </c>
      <c r="X111" s="350">
        <f>IF(C111&lt;&gt;"",IFERROR(SUMPRODUCT(終値!E143:P143,{0.154,0.132,0.113,0.097,0.083,0.071,0.061,0.052,0.045,0.038,0.033,0.028})/SUMPRODUCT({0.154,0.132,0.113,0.097,0.083,0.071,0.061,0.052,0.045,0.038,0.033,0.028})-SUMPRODUCT(終値!E143:AD143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1" s="345">
        <f>IF(AF111="","",AF111&amp;" | "&amp;AD111&amp;IF(AE111&lt;&gt;"なし"," "&amp;AE111,"")&amp;IF(X111&lt;0," MACD-"," MACD+")&amp;" RSI:"&amp;TEXT(W111,"0.0")&amp;IF(W111&gt;=70," [過熱]",IF(W111&lt;=30," [売られ過ぎ]",""))&amp;" 前日比:"&amp;TEXT(Z111,"+0.0;-0.0;0.0")&amp;"%"&amp;IF(V111="年初来安値圏●"," [年初来安値圏]",IF(V111="安値圏"," [安値圏]",""))&amp;IF(OR(AO111="通常",AO111="-"),""," ["&amp;AO111&amp;"]")&amp;IF(OR(AT111="通常",AT111="-"),"","前日["&amp;AT111&amp;"]")&amp;" ["&amp;T111&amp;"点]")</f>
        <v/>
      </c>
      <c r="Z111" s="622">
        <f>IF(AND(E111&lt;&gt;"",G111&lt;&gt;"",G111&lt;&gt;0),(E111-G111)/G111*100,"")</f>
        <v/>
      </c>
      <c r="AA111" s="345">
        <f>IF(OR(C111="",E111="",E111=0),"",IF(E111&gt;G111,"上昇▲",IF(E111&lt;G111,"下落▼","横ばい→")))</f>
        <v/>
      </c>
      <c r="AB111" s="346">
        <f>IF(OR(C111="",C111="TOPX",終値!E143=""),"",IFERROR(((終値!E143*0.333)+(終値!F143*0.222)+(終値!G143*0.148)+(終値!H143*0.099)+(終値!I143*0.066))/(0.333+0.222+0.148+0.099+0.066),""))</f>
        <v/>
      </c>
      <c r="AC111" s="346">
        <f>IF(OR(C111="",C111="TOPX",終値!E143=""),"",IFERROR(SUMPRODUCT((終値!E143:AC143)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1" s="345">
        <f>IF(OR(C111="",AB111="",AC111="",AB111=0,AC111=0),"",IF(AND(E111&gt;AB111,AB111&gt;AC111),"パーフェクト▲",IF(E111&gt;AC111,"上昇トレンド▲",IF(AND(E111&lt;AB111,AB111&lt;AC111),"下降トレンド▼","もみ合い→"))))</f>
        <v/>
      </c>
      <c r="AE111" s="345">
        <f>IF(OR(C111="",AB111="",AC111=""),"",IF(AND(ABS(E111-AC111)/AC111&lt;=0.02,E111&lt;AC111),"25日戻り売り★",IF(AND(ABS(E111-AB111)/AB111&lt;=0.01,E111&lt;AB111),"5日戻り売り○","なし")))</f>
        <v/>
      </c>
      <c r="AF111">
        <f>IF(T111="","",IF(銘柄管理!$F$5="上昇▲",IF(AND(AD111="下降トレンド▼",OR(AE111="25日戻り売り★",AE111="5日戻り売り○")),"★逆張り売り",IF(AND(AD111="もみ合い→",OR(AE111="25日戻り売り★",AE111="5日戻り売り○")),"○逆張り売り",IF(W111&gt;=70,IF(Z111&lt;0,"◎反落確認","△過熱・様子見"),"相場上昇・見送り"))),IF(AND(T111&gt;=12,AD111="下降トレンド▼"),"★強い売り",IF(T111&gt;=12,"★強い売り",IF(AND(T111&gt;=8,OR(AE111="25日戻り売り★",AE111="5日戻り売り○")),"◎戻り売り",IF(T111&gt;=10,"○売り候補",IF(T111&gt;=6,"△注目",IF(T111&gt;=3,"様子見","見送り"))))))))</f>
        <v/>
      </c>
      <c r="AG111">
        <f>IF(AND(T111&gt;=7,C111&lt;&gt;""),T111,0)</f>
        <v/>
      </c>
      <c r="AH111">
        <f>IF(AG111&gt;0,AG111*10000-ROW(A111),0)</f>
        <v/>
      </c>
      <c r="AI111" s="623">
        <f t="array" ref="AI111">IF(C111="","",IFERROR((INDEX(終値!$E:$E,MATCH(TEXT(C111,"0"),終値!$A:$A,0))-INDEX(終値!$E:$BL,MATCH(TEXT(C111,"0"),終値!$A:$A,0),$AN$2))/INDEX(終値!$E:$BL,MATCH(TEXT(C111,"0"),終値!$A:$A,0),$AN$2)*100,""))</f>
        <v/>
      </c>
      <c r="AJ111" s="623">
        <f t="array" ref="AJ111">IFERROR((終値!$E$5-INDEX(終値!$E$5:$BL$5,1,$AN$2))/INDEX(終値!$E$5:$BL$5,1,$AN$2)*100,"")</f>
        <v/>
      </c>
      <c r="AK111" s="624">
        <f>IF(OR(AI111="",AJ111=""),"",AI111-AJ111)</f>
        <v/>
      </c>
      <c r="AL111" s="394">
        <f>IF(AK111="","",IF(AK111&lt;-5,3,IF(AK111&lt;0,1,IF(AK111&lt;3,-1,-2))))</f>
        <v/>
      </c>
      <c r="AO111" s="398">
        <f>IF(OR($C111="",$E111="",$F111="",$H111="",$I111="",$H111-$I111&lt;=0),"-",IF(AND($H111-MAX($F111,$E111)&gt;=ABS($E111-$F111)*2,MIN($F111,$E111)-$I111&lt;=ABS($E111-$F111)*0.5,ABS($E111-$F111)&gt;0),"上ヒゲ陰線▼",IF(AND($E111&lt;$F111,ABS($E111-$F111)&gt;=($H111-$I111)*0.7),"大陰線▼",IF(AND(MIN($F111,$E111)-$I111&gt;=($H111-$I111)*0.5,$H111-MAX($F111,$E111)&lt;=($H111-$I111)*0.2),"長い下ヒゲ(反発警戒)","通常"))))</f>
        <v/>
      </c>
      <c r="AP111" s="625">
        <f>IF($AO111="上ヒゲ陰線▼",2,IF($AO111="大陰線▼",2,IF($AO111="長い下ヒゲ(反発警戒)",-2,0)))</f>
        <v/>
      </c>
      <c r="AQ111">
        <f>IF(C111&lt;&gt;"",始値!F143,"")</f>
        <v/>
      </c>
      <c r="AR111">
        <f>IF(C111&lt;&gt;"",高値!F143,"")</f>
        <v/>
      </c>
      <c r="AS111">
        <f>IF(C111&lt;&gt;"",安値!F143,"")</f>
        <v/>
      </c>
      <c r="AT111">
        <f>IF(OR(C111="",AQ111="",AR111="",AS111="",AR111-AS111&lt;=0),"-",IF(AND(AR111-MAX(G111,AQ111)&gt;=ABS(G111-AQ111)*2,MIN(G111,AQ111)-AS111&lt;=ABS(G111-AQ111)*0.5,ABS(G111-AQ111)&gt;0),"上ヒゲ陰線▼",IF(AND(G111&lt;AQ111,ABS(G111-AQ111)&gt;=(AR111-AS111)*0.7),"大陰線▼",IF(AND(MIN(G111,AQ111)-AS111&gt;=(AR111-AS111)*0.5,AR111-MAX(G111,AQ111)&lt;=(AR111-AS111)*0.2),"長い下ヒゲ(反発)","通常"))))</f>
        <v/>
      </c>
      <c r="AU111">
        <f>IF(AT111="上ヒゲ陰線▼",2,IF(AT111="大陰線▼",2,IF(AT111="長い下ヒゲ(反発)",-2,0)))</f>
        <v/>
      </c>
    </row>
    <row r="112" ht="14.25" customHeight="1" s="574">
      <c r="A112" s="352">
        <f>IF(銘柄管理!B153&lt;&gt;"",HYPERLINK("https://kabutan.jp/stock/?code="&amp;銘柄管理!B153,"株探"),"")</f>
        <v/>
      </c>
      <c r="B112" s="225" t="n"/>
      <c r="C112" s="225">
        <f>IF(銘柄管理!B153="","",銘柄管理!B153)</f>
        <v/>
      </c>
      <c r="D112" s="225">
        <f>IF(銘柄管理!C153="","",銘柄管理!C153)</f>
        <v/>
      </c>
      <c r="E112" s="353">
        <f>IF(C112&lt;&gt;"",_xll.RssMarket(C112,"現在値"),"")</f>
        <v/>
      </c>
      <c r="F112" s="353">
        <f>IF(C112&lt;&gt;"",_xll.RssMarket(C112,"始値"),"")</f>
        <v/>
      </c>
      <c r="G112" s="225">
        <f>IF(C112&lt;&gt;"",終値!F153,"")</f>
        <v/>
      </c>
      <c r="H112" s="353">
        <f>IF(C112&lt;&gt;"",_xll.RssMarket(C112,"高値"),"")</f>
        <v/>
      </c>
      <c r="I112" s="353">
        <f>IF(C112&lt;&gt;"",_xll.RssMarket(C112,"安値"),"")</f>
        <v/>
      </c>
      <c r="J112" s="353">
        <f>IF(C112&lt;&gt;"",_xll.RssMarket(C112,"出来高"),"")</f>
        <v/>
      </c>
      <c r="K112" s="353">
        <f>IF(C112&lt;&gt;"",_xll.RssMarket(C112,"年初来高値"),"")</f>
        <v/>
      </c>
      <c r="L112" s="626">
        <f>IF(AND(E112&lt;&gt;"",K112&lt;&gt;"",K112&lt;&gt;0),(E112-K112)/K112*100,"")</f>
        <v/>
      </c>
      <c r="M112" s="353">
        <f>IF(C112&lt;&gt;"",IFERROR(AVERAGE(出来高!E153:I153),""),"")</f>
        <v/>
      </c>
      <c r="N112" s="353">
        <f>IF(C112&lt;&gt;"",IFERROR(AVERAGE(出来高!E153:AC153),""),"")</f>
        <v/>
      </c>
      <c r="O112" s="627">
        <f>IF(AND(J112&lt;&gt;"",M112&lt;&gt;"",M112&lt;&gt;0),J112/M112,"")</f>
        <v/>
      </c>
      <c r="P112" s="225">
        <f>IF(O112="","",IF(O112&gt;=2,"急増↑↑",IF(O112&gt;=1.5,"増加↑",IF(O112&gt;=1,"普通→","減少↓"))))</f>
        <v/>
      </c>
      <c r="Q112" s="225">
        <f>IF(E112="","",IF(AND(E112&lt;G112,O112&gt;=1.5),"売り▼",IF(E112&gt;G112,"様子見▲","中立→")))</f>
        <v/>
      </c>
      <c r="R112" s="353">
        <f>IF(E112&lt;&gt;"",ROUND(E112*0.92,0),"")</f>
        <v/>
      </c>
      <c r="S112" s="353">
        <f>IF(E112&lt;&gt;"",ROUND(E112*1.04,0),"")</f>
        <v/>
      </c>
      <c r="T112" s="345">
        <f>IF(C112="","",IFERROR(IF(W112&gt;=70,3,IF(W112&gt;=60,2,IF(W112&gt;=50,1,0)))+IF(X112&lt;0,2,0)+IF(AD112="下降トレンド▼",3,IF(AD112="もみ合い→",1,0))+IF(V112="年初来安値圏●",3,IF(V112="安値圏",2,0))+IF(Q112="売り▼",2,0)+IF(P112="急増↑↑",2,IF(P112="増加↑",1,0))+IF(Z112&lt;0,1,0)+IF(L112&lt;=-30,2,IF(L112&lt;=-15,1,0))+IF(AE112="25日戻り売り★",2,IF(AE112="5日戻り売り○",1,0))+N(AL112)+N(AP112)+N(AU112),0))</f>
        <v/>
      </c>
      <c r="U112" s="225">
        <f>IF(T112="","",IF(AND(T112&gt;=3,O112&gt;=1.5),"有効",IF(T112&gt;=3,"要確認","除外")))</f>
        <v/>
      </c>
      <c r="V112" s="225">
        <f>IF(AND(I112&lt;&gt;"",K112&lt;&gt;""),IF(I112&lt;=K112*0.6,"年初来安値圏●",IF(I112&lt;=K112*0.75,"安値圏","通常")),"")</f>
        <v/>
      </c>
      <c r="W112" s="628">
        <f t="array" ref="W112">IFERROR(100-100/(1+SUMPRODUCT((終値!F153:R153&gt;終値!G153:S153)*(終値!F153:R153-終値!G153:S153))/SUMPRODUCT((終値!F153:R153&lt;終値!G153:S153)*(終値!G153:S153-終値!F153:R153))),50)</f>
        <v/>
      </c>
      <c r="X112" s="357">
        <f>IF(C112&lt;&gt;"",IFERROR(SUMPRODUCT(終値!E153:P153,{0.154,0.132,0.113,0.097,0.083,0.071,0.061,0.052,0.045,0.038,0.033,0.028})/SUMPRODUCT({0.154,0.132,0.113,0.097,0.083,0.071,0.061,0.052,0.045,0.038,0.033,0.028})-SUMPRODUCT(終値!E153:AD153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2" s="225">
        <f>IF(AF112="","",AF112&amp;" | "&amp;AD112&amp;IF(AE112&lt;&gt;"なし"," "&amp;AE112,"")&amp;IF(X112&lt;0," MACD-"," MACD+")&amp;" RSI:"&amp;TEXT(W112,"0.0")&amp;IF(W112&gt;=70," [過熱]",IF(W112&lt;=30," [売られ過ぎ]",""))&amp;" 前日比:"&amp;TEXT(Z112,"+0.0;-0.0;0.0")&amp;"%"&amp;IF(V112="年初来安値圏●"," [年初来安値圏]",IF(V112="安値圏"," [安値圏]",""))&amp;IF(OR(AO112="通常",AO112="-"),""," ["&amp;AO112&amp;"]")&amp;IF(OR(AT112="通常",AT112="-"),"","前日["&amp;AT112&amp;"]")&amp;" ["&amp;T112&amp;"点]")</f>
        <v/>
      </c>
      <c r="Z112" s="629">
        <f>IF(AND(E112&lt;&gt;"",G112&lt;&gt;"",G112&lt;&gt;0),(E112-G112)/G112*100,"")</f>
        <v/>
      </c>
      <c r="AA112" s="225">
        <f>IF(OR(C112="",E112="",E112=0),"",IF(E112&gt;G112,"上昇▲",IF(E112&lt;G112,"下落▼","横ばい→")))</f>
        <v/>
      </c>
      <c r="AB112" s="353">
        <f>IF(OR(C112="",C112="TOPX",終値!E153=""),"",IFERROR(((終値!E153*0.333)+(終値!F153*0.222)+(終値!G153*0.148)+(終値!H153*0.099)+(終値!I153*0.066))/(0.333+0.222+0.148+0.099+0.066),""))</f>
        <v/>
      </c>
      <c r="AC112" s="353">
        <f>IF(OR(C112="",C112="TOPX",終値!E153=""),"",IFERROR(SUMPRODUCT((終値!E153:AC153)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2" s="225">
        <f>IF(OR(C112="",AB112="",AC112="",AB112=0,AC112=0),"",IF(AND(E112&gt;AB112,AB112&gt;AC112),"パーフェクト▲",IF(E112&gt;AC112,"上昇トレンド▲",IF(AND(E112&lt;AB112,AB112&lt;AC112),"下降トレンド▼","もみ合い→"))))</f>
        <v/>
      </c>
      <c r="AE112" s="225">
        <f>IF(OR(C112="",AB112="",AC112=""),"",IF(AND(ABS(E112-AC112)/AC112&lt;=0.02,E112&lt;AC112),"25日戻り売り★",IF(AND(ABS(E112-AB112)/AB112&lt;=0.01,E112&lt;AB112),"5日戻り売り○","なし")))</f>
        <v/>
      </c>
      <c r="AF112">
        <f>IF(T112="","",IF(銘柄管理!$F$5="上昇▲",IF(AND(AD112="下降トレンド▼",OR(AE112="25日戻り売り★",AE112="5日戻り売り○")),"★逆張り売り",IF(AND(AD112="もみ合い→",OR(AE112="25日戻り売り★",AE112="5日戻り売り○")),"○逆張り売り",IF(W112&gt;=70,IF(Z112&lt;0,"◎反落確認","△過熱・様子見"),"相場上昇・見送り"))),IF(AND(T112&gt;=12,AD112="下降トレンド▼"),"★強い売り",IF(T112&gt;=12,"★強い売り",IF(AND(T112&gt;=8,OR(AE112="25日戻り売り★",AE112="5日戻り売り○")),"◎戻り売り",IF(T112&gt;=10,"○売り候補",IF(T112&gt;=6,"△注目",IF(T112&gt;=3,"様子見","見送り"))))))))</f>
        <v/>
      </c>
      <c r="AG112">
        <f>IF(AND(T112&gt;=7,C112&lt;&gt;""),T112,0)</f>
        <v/>
      </c>
      <c r="AH112">
        <f>IF(AG112&gt;0,AG112*10000-ROW(A112),0)</f>
        <v/>
      </c>
      <c r="AI112" s="623">
        <f t="array" ref="AI112">IF(C112="","",IFERROR((INDEX(終値!$E:$E,MATCH(TEXT(C112,"0"),終値!$A:$A,0))-INDEX(終値!$E:$BL,MATCH(TEXT(C112,"0"),終値!$A:$A,0),$AN$2))/INDEX(終値!$E:$BL,MATCH(TEXT(C112,"0"),終値!$A:$A,0),$AN$2)*100,""))</f>
        <v/>
      </c>
      <c r="AJ112" s="623">
        <f t="array" ref="AJ112">IFERROR((終値!$E$5-INDEX(終値!$E$5:$BL$5,1,$AN$2))/INDEX(終値!$E$5:$BL$5,1,$AN$2)*100,"")</f>
        <v/>
      </c>
      <c r="AK112" s="624">
        <f>IF(OR(AI112="",AJ112=""),"",AI112-AJ112)</f>
        <v/>
      </c>
      <c r="AL112" s="394">
        <f>IF(AK112="","",IF(AK112&lt;-5,3,IF(AK112&lt;0,1,IF(AK112&lt;3,-1,-2))))</f>
        <v/>
      </c>
      <c r="AO112" s="398">
        <f>IF(OR($C112="",$E112="",$F112="",$H112="",$I112="",$H112-$I112&lt;=0),"-",IF(AND($H112-MAX($F112,$E112)&gt;=ABS($E112-$F112)*2,MIN($F112,$E112)-$I112&lt;=ABS($E112-$F112)*0.5,ABS($E112-$F112)&gt;0),"上ヒゲ陰線▼",IF(AND($E112&lt;$F112,ABS($E112-$F112)&gt;=($H112-$I112)*0.7),"大陰線▼",IF(AND(MIN($F112,$E112)-$I112&gt;=($H112-$I112)*0.5,$H112-MAX($F112,$E112)&lt;=($H112-$I112)*0.2),"長い下ヒゲ(反発警戒)","通常"))))</f>
        <v/>
      </c>
      <c r="AP112" s="625">
        <f>IF($AO112="上ヒゲ陰線▼",2,IF($AO112="大陰線▼",2,IF($AO112="長い下ヒゲ(反発警戒)",-2,0)))</f>
        <v/>
      </c>
      <c r="AQ112">
        <f>IF(C112&lt;&gt;"",始値!F153,"")</f>
        <v/>
      </c>
      <c r="AR112">
        <f>IF(C112&lt;&gt;"",高値!F153,"")</f>
        <v/>
      </c>
      <c r="AS112">
        <f>IF(C112&lt;&gt;"",安値!F153,"")</f>
        <v/>
      </c>
      <c r="AT112">
        <f>IF(OR(C112="",AQ112="",AR112="",AS112="",AR112-AS112&lt;=0),"-",IF(AND(AR112-MAX(G112,AQ112)&gt;=ABS(G112-AQ112)*2,MIN(G112,AQ112)-AS112&lt;=ABS(G112-AQ112)*0.5,ABS(G112-AQ112)&gt;0),"上ヒゲ陰線▼",IF(AND(G112&lt;AQ112,ABS(G112-AQ112)&gt;=(AR112-AS112)*0.7),"大陰線▼",IF(AND(MIN(G112,AQ112)-AS112&gt;=(AR112-AS112)*0.5,AR112-MAX(G112,AQ112)&lt;=(AR112-AS112)*0.2),"長い下ヒゲ(反発)","通常"))))</f>
        <v/>
      </c>
      <c r="AU112">
        <f>IF(AT112="上ヒゲ陰線▼",2,IF(AT112="大陰線▼",2,IF(AT112="長い下ヒゲ(反発)",-2,0)))</f>
        <v/>
      </c>
    </row>
    <row r="113" ht="14.25" customHeight="1" s="574">
      <c r="A113" s="344">
        <f>IF(銘柄管理!B158&lt;&gt;"",HYPERLINK("https://kabutan.jp/stock/?code="&amp;銘柄管理!B158,"株探"),"")</f>
        <v/>
      </c>
      <c r="B113" s="345" t="n"/>
      <c r="C113" s="345">
        <f>IF(銘柄管理!B158="","",銘柄管理!B158)</f>
        <v/>
      </c>
      <c r="D113" s="345">
        <f>IF(銘柄管理!C158="","",銘柄管理!C158)</f>
        <v/>
      </c>
      <c r="E113" s="346">
        <f>IF(C113&lt;&gt;"",_xll.RssMarket(C113,"現在値"),"")</f>
        <v/>
      </c>
      <c r="F113" s="346">
        <f>IF(C113&lt;&gt;"",_xll.RssMarket(C113,"始値"),"")</f>
        <v/>
      </c>
      <c r="G113" s="345">
        <f>IF(C113&lt;&gt;"",終値!F158,"")</f>
        <v/>
      </c>
      <c r="H113" s="346">
        <f>IF(C113&lt;&gt;"",_xll.RssMarket(C113,"高値"),"")</f>
        <v/>
      </c>
      <c r="I113" s="346">
        <f>IF(C113&lt;&gt;"",_xll.RssMarket(C113,"安値"),"")</f>
        <v/>
      </c>
      <c r="J113" s="346">
        <f>IF(C113&lt;&gt;"",_xll.RssMarket(C113,"出来高"),"")</f>
        <v/>
      </c>
      <c r="K113" s="346">
        <f>IF(C113&lt;&gt;"",_xll.RssMarket(C113,"年初来高値"),"")</f>
        <v/>
      </c>
      <c r="L113" s="619">
        <f>IF(AND(E113&lt;&gt;"",K113&lt;&gt;"",K113&lt;&gt;0),(E113-K113)/K113*100,"")</f>
        <v/>
      </c>
      <c r="M113" s="346">
        <f>IF(C113&lt;&gt;"",IFERROR(AVERAGE(出来高!E158:I158),""),"")</f>
        <v/>
      </c>
      <c r="N113" s="346">
        <f>IF(C113&lt;&gt;"",IFERROR(AVERAGE(出来高!E158:AC158),""),"")</f>
        <v/>
      </c>
      <c r="O113" s="620">
        <f>IF(AND(J113&lt;&gt;"",M113&lt;&gt;"",M113&lt;&gt;0),J113/M113,"")</f>
        <v/>
      </c>
      <c r="P113" s="345">
        <f>IF(O113="","",IF(O113&gt;=2,"急増↑↑",IF(O113&gt;=1.5,"増加↑",IF(O113&gt;=1,"普通→","減少↓"))))</f>
        <v/>
      </c>
      <c r="Q113" s="345">
        <f>IF(E113="","",IF(AND(E113&lt;G113,O113&gt;=1.5),"売り▼",IF(E113&gt;G113,"様子見▲","中立→")))</f>
        <v/>
      </c>
      <c r="R113" s="346">
        <f>IF(E113&lt;&gt;"",ROUND(E113*0.92,0),"")</f>
        <v/>
      </c>
      <c r="S113" s="346">
        <f>IF(E113&lt;&gt;"",ROUND(E113*1.04,0),"")</f>
        <v/>
      </c>
      <c r="T113" s="345">
        <f>IF(C113="","",IFERROR(IF(W113&gt;=70,3,IF(W113&gt;=60,2,IF(W113&gt;=50,1,0)))+IF(X113&lt;0,2,0)+IF(AD113="下降トレンド▼",3,IF(AD113="もみ合い→",1,0))+IF(V113="年初来安値圏●",3,IF(V113="安値圏",2,0))+IF(Q113="売り▼",2,0)+IF(P113="急増↑↑",2,IF(P113="増加↑",1,0))+IF(Z113&lt;0,1,0)+IF(L113&lt;=-30,2,IF(L113&lt;=-15,1,0))+IF(AE113="25日戻り売り★",2,IF(AE113="5日戻り売り○",1,0))+N(AL113)+N(AP113)+N(AU113),0))</f>
        <v/>
      </c>
      <c r="U113" s="345">
        <f>IF(T113="","",IF(AND(T113&gt;=3,O113&gt;=1.5),"有効",IF(T113&gt;=3,"要確認","除外")))</f>
        <v/>
      </c>
      <c r="V113" s="345">
        <f>IF(AND(I113&lt;&gt;"",K113&lt;&gt;""),IF(I113&lt;=K113*0.6,"年初来安値圏●",IF(I113&lt;=K113*0.75,"安値圏","通常")),"")</f>
        <v/>
      </c>
      <c r="W113" s="621">
        <f t="array" ref="W113">IFERROR(100-100/(1+SUMPRODUCT((終値!F158:R158&gt;終値!G158:S158)*(終値!F158:R158-終値!G158:S158))/SUMPRODUCT((終値!F158:R158&lt;終値!G158:S158)*(終値!G158:S158-終値!F158:R158))),50)</f>
        <v/>
      </c>
      <c r="X113" s="350">
        <f>IF(C113&lt;&gt;"",IFERROR(SUMPRODUCT(終値!E158:P158,{0.154,0.132,0.113,0.097,0.083,0.071,0.061,0.052,0.045,0.038,0.033,0.028})/SUMPRODUCT({0.154,0.132,0.113,0.097,0.083,0.071,0.061,0.052,0.045,0.038,0.033,0.028})-SUMPRODUCT(終値!E158:AD158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3" s="345">
        <f>IF(AF113="","",AF113&amp;" | "&amp;AD113&amp;IF(AE113&lt;&gt;"なし"," "&amp;AE113,"")&amp;IF(X113&lt;0," MACD-"," MACD+")&amp;" RSI:"&amp;TEXT(W113,"0.0")&amp;IF(W113&gt;=70," [過熱]",IF(W113&lt;=30," [売られ過ぎ]",""))&amp;" 前日比:"&amp;TEXT(Z113,"+0.0;-0.0;0.0")&amp;"%"&amp;IF(V113="年初来安値圏●"," [年初来安値圏]",IF(V113="安値圏"," [安値圏]",""))&amp;IF(OR(AO113="通常",AO113="-"),""," ["&amp;AO113&amp;"]")&amp;IF(OR(AT113="通常",AT113="-"),"","前日["&amp;AT113&amp;"]")&amp;" ["&amp;T113&amp;"点]")</f>
        <v/>
      </c>
      <c r="Z113" s="622">
        <f>IF(AND(E113&lt;&gt;"",G113&lt;&gt;"",G113&lt;&gt;0),(E113-G113)/G113*100,"")</f>
        <v/>
      </c>
      <c r="AA113" s="345">
        <f>IF(OR(C113="",E113="",E113=0),"",IF(E113&gt;G113,"上昇▲",IF(E113&lt;G113,"下落▼","横ばい→")))</f>
        <v/>
      </c>
      <c r="AB113" s="346">
        <f>IF(OR(C113="",C113="TOPX",終値!E158=""),"",IFERROR(((終値!E158*0.333)+(終値!F158*0.222)+(終値!G158*0.148)+(終値!H158*0.099)+(終値!I158*0.066))/(0.333+0.222+0.148+0.099+0.066),""))</f>
        <v/>
      </c>
      <c r="AC113" s="346">
        <f>IF(OR(C113="",C113="TOPX",終値!E158=""),"",IFERROR(SUMPRODUCT((終値!E158:AC158)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3" s="345">
        <f>IF(OR(C113="",AB113="",AC113="",AB113=0,AC113=0),"",IF(AND(E113&gt;AB113,AB113&gt;AC113),"パーフェクト▲",IF(E113&gt;AC113,"上昇トレンド▲",IF(AND(E113&lt;AB113,AB113&lt;AC113),"下降トレンド▼","もみ合い→"))))</f>
        <v/>
      </c>
      <c r="AE113" s="345">
        <f>IF(OR(C113="",AB113="",AC113=""),"",IF(AND(ABS(E113-AC113)/AC113&lt;=0.02,E113&lt;AC113),"25日戻り売り★",IF(AND(ABS(E113-AB113)/AB113&lt;=0.01,E113&lt;AB113),"5日戻り売り○","なし")))</f>
        <v/>
      </c>
      <c r="AF113">
        <f>IF(T113="","",IF(銘柄管理!$F$5="上昇▲",IF(AND(AD113="下降トレンド▼",OR(AE113="25日戻り売り★",AE113="5日戻り売り○")),"★逆張り売り",IF(AND(AD113="もみ合い→",OR(AE113="25日戻り売り★",AE113="5日戻り売り○")),"○逆張り売り",IF(W113&gt;=70,IF(Z113&lt;0,"◎反落確認","△過熱・様子見"),"相場上昇・見送り"))),IF(AND(T113&gt;=12,AD113="下降トレンド▼"),"★強い売り",IF(T113&gt;=12,"★強い売り",IF(AND(T113&gt;=8,OR(AE113="25日戻り売り★",AE113="5日戻り売り○")),"◎戻り売り",IF(T113&gt;=10,"○売り候補",IF(T113&gt;=6,"△注目",IF(T113&gt;=3,"様子見","見送り"))))))))</f>
        <v/>
      </c>
      <c r="AG113">
        <f>IF(AND(T113&gt;=7,C113&lt;&gt;""),T113,0)</f>
        <v/>
      </c>
      <c r="AH113">
        <f>IF(AG113&gt;0,AG113*10000-ROW(A113),0)</f>
        <v/>
      </c>
      <c r="AI113" s="623">
        <f t="array" ref="AI113">IF(C113="","",IFERROR((INDEX(終値!$E:$E,MATCH(TEXT(C113,"0"),終値!$A:$A,0))-INDEX(終値!$E:$BL,MATCH(TEXT(C113,"0"),終値!$A:$A,0),$AN$2))/INDEX(終値!$E:$BL,MATCH(TEXT(C113,"0"),終値!$A:$A,0),$AN$2)*100,""))</f>
        <v/>
      </c>
      <c r="AJ113" s="623">
        <f t="array" ref="AJ113">IFERROR((終値!$E$5-INDEX(終値!$E$5:$BL$5,1,$AN$2))/INDEX(終値!$E$5:$BL$5,1,$AN$2)*100,"")</f>
        <v/>
      </c>
      <c r="AK113" s="624">
        <f>IF(OR(AI113="",AJ113=""),"",AI113-AJ113)</f>
        <v/>
      </c>
      <c r="AL113" s="394">
        <f>IF(AK113="","",IF(AK113&lt;-5,3,IF(AK113&lt;0,1,IF(AK113&lt;3,-1,-2))))</f>
        <v/>
      </c>
      <c r="AO113" s="398">
        <f>IF(OR($C113="",$E113="",$F113="",$H113="",$I113="",$H113-$I113&lt;=0),"-",IF(AND($H113-MAX($F113,$E113)&gt;=ABS($E113-$F113)*2,MIN($F113,$E113)-$I113&lt;=ABS($E113-$F113)*0.5,ABS($E113-$F113)&gt;0),"上ヒゲ陰線▼",IF(AND($E113&lt;$F113,ABS($E113-$F113)&gt;=($H113-$I113)*0.7),"大陰線▼",IF(AND(MIN($F113,$E113)-$I113&gt;=($H113-$I113)*0.5,$H113-MAX($F113,$E113)&lt;=($H113-$I113)*0.2),"長い下ヒゲ(反発警戒)","通常"))))</f>
        <v/>
      </c>
      <c r="AP113" s="625">
        <f>IF($AO113="上ヒゲ陰線▼",2,IF($AO113="大陰線▼",2,IF($AO113="長い下ヒゲ(反発警戒)",-2,0)))</f>
        <v/>
      </c>
      <c r="AQ113">
        <f>IF(C113&lt;&gt;"",始値!F158,"")</f>
        <v/>
      </c>
      <c r="AR113">
        <f>IF(C113&lt;&gt;"",高値!F158,"")</f>
        <v/>
      </c>
      <c r="AS113">
        <f>IF(C113&lt;&gt;"",安値!F158,"")</f>
        <v/>
      </c>
      <c r="AT113">
        <f>IF(OR(C113="",AQ113="",AR113="",AS113="",AR113-AS113&lt;=0),"-",IF(AND(AR113-MAX(G113,AQ113)&gt;=ABS(G113-AQ113)*2,MIN(G113,AQ113)-AS113&lt;=ABS(G113-AQ113)*0.5,ABS(G113-AQ113)&gt;0),"上ヒゲ陰線▼",IF(AND(G113&lt;AQ113,ABS(G113-AQ113)&gt;=(AR113-AS113)*0.7),"大陰線▼",IF(AND(MIN(G113,AQ113)-AS113&gt;=(AR113-AS113)*0.5,AR113-MAX(G113,AQ113)&lt;=(AR113-AS113)*0.2),"長い下ヒゲ(反発)","通常"))))</f>
        <v/>
      </c>
      <c r="AU113">
        <f>IF(AT113="上ヒゲ陰線▼",2,IF(AT113="大陰線▼",2,IF(AT113="長い下ヒゲ(反発)",-2,0)))</f>
        <v/>
      </c>
    </row>
    <row r="114" ht="14.25" customHeight="1" s="574">
      <c r="A114" s="352">
        <f>IF(銘柄管理!B161&lt;&gt;"",HYPERLINK("https://kabutan.jp/stock/?code="&amp;銘柄管理!B161,"株探"),"")</f>
        <v/>
      </c>
      <c r="B114" s="225" t="n"/>
      <c r="C114" s="225">
        <f>IF(銘柄管理!B161="","",銘柄管理!B161)</f>
        <v/>
      </c>
      <c r="D114" s="225">
        <f>IF(銘柄管理!C161="","",銘柄管理!C161)</f>
        <v/>
      </c>
      <c r="E114" s="353">
        <f>IF(C114&lt;&gt;"",_xll.RssMarket(C114,"現在値"),"")</f>
        <v/>
      </c>
      <c r="F114" s="353">
        <f>IF(C114&lt;&gt;"",_xll.RssMarket(C114,"始値"),"")</f>
        <v/>
      </c>
      <c r="G114" s="225">
        <f>IF(C114&lt;&gt;"",終値!F161,"")</f>
        <v/>
      </c>
      <c r="H114" s="353">
        <f>IF(C114&lt;&gt;"",_xll.RssMarket(C114,"高値"),"")</f>
        <v/>
      </c>
      <c r="I114" s="353">
        <f>IF(C114&lt;&gt;"",_xll.RssMarket(C114,"安値"),"")</f>
        <v/>
      </c>
      <c r="J114" s="353">
        <f>IF(C114&lt;&gt;"",_xll.RssMarket(C114,"出来高"),"")</f>
        <v/>
      </c>
      <c r="K114" s="353">
        <f>IF(C114&lt;&gt;"",_xll.RssMarket(C114,"年初来高値"),"")</f>
        <v/>
      </c>
      <c r="L114" s="626">
        <f>IF(AND(E114&lt;&gt;"",K114&lt;&gt;"",K114&lt;&gt;0),(E114-K114)/K114*100,"")</f>
        <v/>
      </c>
      <c r="M114" s="353">
        <f>IF(C114&lt;&gt;"",IFERROR(AVERAGE(出来高!E161:I161),""),"")</f>
        <v/>
      </c>
      <c r="N114" s="353">
        <f>IF(C114&lt;&gt;"",IFERROR(AVERAGE(出来高!E161:AC161),""),"")</f>
        <v/>
      </c>
      <c r="O114" s="627">
        <f>IF(AND(J114&lt;&gt;"",M114&lt;&gt;"",M114&lt;&gt;0),J114/M114,"")</f>
        <v/>
      </c>
      <c r="P114" s="225">
        <f>IF(O114="","",IF(O114&gt;=2,"急増↑↑",IF(O114&gt;=1.5,"増加↑",IF(O114&gt;=1,"普通→","減少↓"))))</f>
        <v/>
      </c>
      <c r="Q114" s="225">
        <f>IF(E114="","",IF(AND(E114&lt;G114,O114&gt;=1.5),"売り▼",IF(E114&gt;G114,"様子見▲","中立→")))</f>
        <v/>
      </c>
      <c r="R114" s="353">
        <f>IF(E114&lt;&gt;"",ROUND(E114*0.92,0),"")</f>
        <v/>
      </c>
      <c r="S114" s="353">
        <f>IF(E114&lt;&gt;"",ROUND(E114*1.04,0),"")</f>
        <v/>
      </c>
      <c r="T114" s="345">
        <f>IF(C114="","",IFERROR(IF(W114&gt;=70,3,IF(W114&gt;=60,2,IF(W114&gt;=50,1,0)))+IF(X114&lt;0,2,0)+IF(AD114="下降トレンド▼",3,IF(AD114="もみ合い→",1,0))+IF(V114="年初来安値圏●",3,IF(V114="安値圏",2,0))+IF(Q114="売り▼",2,0)+IF(P114="急増↑↑",2,IF(P114="増加↑",1,0))+IF(Z114&lt;0,1,0)+IF(L114&lt;=-30,2,IF(L114&lt;=-15,1,0))+IF(AE114="25日戻り売り★",2,IF(AE114="5日戻り売り○",1,0))+N(AL114)+N(AP114)+N(AU114),0))</f>
        <v/>
      </c>
      <c r="U114" s="225">
        <f>IF(T114="","",IF(AND(T114&gt;=3,O114&gt;=1.5),"有効",IF(T114&gt;=3,"要確認","除外")))</f>
        <v/>
      </c>
      <c r="V114" s="225">
        <f>IF(AND(I114&lt;&gt;"",K114&lt;&gt;""),IF(I114&lt;=K114*0.6,"年初来安値圏●",IF(I114&lt;=K114*0.75,"安値圏","通常")),"")</f>
        <v/>
      </c>
      <c r="W114" s="628">
        <f t="array" ref="W114">IFERROR(100-100/(1+SUMPRODUCT((終値!F161:R161&gt;終値!G161:S161)*(終値!F161:R161-終値!G161:S161))/SUMPRODUCT((終値!F161:R161&lt;終値!G161:S161)*(終値!G161:S161-終値!F161:R161))),50)</f>
        <v/>
      </c>
      <c r="X114" s="357">
        <f>IF(C114&lt;&gt;"",IFERROR(SUMPRODUCT(終値!E161:P161,{0.154,0.132,0.113,0.097,0.083,0.071,0.061,0.052,0.045,0.038,0.033,0.028})/SUMPRODUCT({0.154,0.132,0.113,0.097,0.083,0.071,0.061,0.052,0.045,0.038,0.033,0.028})-SUMPRODUCT(終値!E161:AD161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4" s="225">
        <f>IF(AF114="","",AF114&amp;" | "&amp;AD114&amp;IF(AE114&lt;&gt;"なし"," "&amp;AE114,"")&amp;IF(X114&lt;0," MACD-"," MACD+")&amp;" RSI:"&amp;TEXT(W114,"0.0")&amp;IF(W114&gt;=70," [過熱]",IF(W114&lt;=30," [売られ過ぎ]",""))&amp;" 前日比:"&amp;TEXT(Z114,"+0.0;-0.0;0.0")&amp;"%"&amp;IF(V114="年初来安値圏●"," [年初来安値圏]",IF(V114="安値圏"," [安値圏]",""))&amp;IF(OR(AO114="通常",AO114="-"),""," ["&amp;AO114&amp;"]")&amp;IF(OR(AT114="通常",AT114="-"),"","前日["&amp;AT114&amp;"]")&amp;" ["&amp;T114&amp;"点]")</f>
        <v/>
      </c>
      <c r="Z114" s="629">
        <f>IF(AND(E114&lt;&gt;"",G114&lt;&gt;"",G114&lt;&gt;0),(E114-G114)/G114*100,"")</f>
        <v/>
      </c>
      <c r="AA114" s="225">
        <f>IF(OR(C114="",E114="",E114=0),"",IF(E114&gt;G114,"上昇▲",IF(E114&lt;G114,"下落▼","横ばい→")))</f>
        <v/>
      </c>
      <c r="AB114" s="353">
        <f>IF(OR(C114="",C114="TOPX",終値!E161=""),"",IFERROR(((終値!E161*0.333)+(終値!F161*0.222)+(終値!G161*0.148)+(終値!H161*0.099)+(終値!I161*0.066))/(0.333+0.222+0.148+0.099+0.066),""))</f>
        <v/>
      </c>
      <c r="AC114" s="353">
        <f>IF(OR(C114="",C114="TOPX",終値!E161=""),"",IFERROR(SUMPRODUCT((終値!E161:AC161)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4" s="225">
        <f>IF(OR(C114="",AB114="",AC114="",AB114=0,AC114=0),"",IF(AND(E114&gt;AB114,AB114&gt;AC114),"パーフェクト▲",IF(E114&gt;AC114,"上昇トレンド▲",IF(AND(E114&lt;AB114,AB114&lt;AC114),"下降トレンド▼","もみ合い→"))))</f>
        <v/>
      </c>
      <c r="AE114" s="225">
        <f>IF(OR(C114="",AB114="",AC114=""),"",IF(AND(ABS(E114-AC114)/AC114&lt;=0.02,E114&lt;AC114),"25日戻り売り★",IF(AND(ABS(E114-AB114)/AB114&lt;=0.01,E114&lt;AB114),"5日戻り売り○","なし")))</f>
        <v/>
      </c>
      <c r="AF114">
        <f>IF(T114="","",IF(銘柄管理!$F$5="上昇▲",IF(AND(AD114="下降トレンド▼",OR(AE114="25日戻り売り★",AE114="5日戻り売り○")),"★逆張り売り",IF(AND(AD114="もみ合い→",OR(AE114="25日戻り売り★",AE114="5日戻り売り○")),"○逆張り売り",IF(W114&gt;=70,IF(Z114&lt;0,"◎反落確認","△過熱・様子見"),"相場上昇・見送り"))),IF(AND(T114&gt;=12,AD114="下降トレンド▼"),"★強い売り",IF(T114&gt;=12,"★強い売り",IF(AND(T114&gt;=8,OR(AE114="25日戻り売り★",AE114="5日戻り売り○")),"◎戻り売り",IF(T114&gt;=10,"○売り候補",IF(T114&gt;=6,"△注目",IF(T114&gt;=3,"様子見","見送り"))))))))</f>
        <v/>
      </c>
      <c r="AG114">
        <f>IF(AND(T114&gt;=7,C114&lt;&gt;""),T114,0)</f>
        <v/>
      </c>
      <c r="AH114">
        <f>IF(AG114&gt;0,AG114*10000-ROW(A114),0)</f>
        <v/>
      </c>
      <c r="AI114" s="623">
        <f t="array" ref="AI114">IF(C114="","",IFERROR((INDEX(終値!$E:$E,MATCH(TEXT(C114,"0"),終値!$A:$A,0))-INDEX(終値!$E:$BL,MATCH(TEXT(C114,"0"),終値!$A:$A,0),$AN$2))/INDEX(終値!$E:$BL,MATCH(TEXT(C114,"0"),終値!$A:$A,0),$AN$2)*100,""))</f>
        <v/>
      </c>
      <c r="AJ114" s="623">
        <f t="array" ref="AJ114">IFERROR((終値!$E$5-INDEX(終値!$E$5:$BL$5,1,$AN$2))/INDEX(終値!$E$5:$BL$5,1,$AN$2)*100,"")</f>
        <v/>
      </c>
      <c r="AK114" s="624">
        <f>IF(OR(AI114="",AJ114=""),"",AI114-AJ114)</f>
        <v/>
      </c>
      <c r="AL114" s="394">
        <f>IF(AK114="","",IF(AK114&lt;-5,3,IF(AK114&lt;0,1,IF(AK114&lt;3,-1,-2))))</f>
        <v/>
      </c>
      <c r="AO114" s="398">
        <f>IF(OR($C114="",$E114="",$F114="",$H114="",$I114="",$H114-$I114&lt;=0),"-",IF(AND($H114-MAX($F114,$E114)&gt;=ABS($E114-$F114)*2,MIN($F114,$E114)-$I114&lt;=ABS($E114-$F114)*0.5,ABS($E114-$F114)&gt;0),"上ヒゲ陰線▼",IF(AND($E114&lt;$F114,ABS($E114-$F114)&gt;=($H114-$I114)*0.7),"大陰線▼",IF(AND(MIN($F114,$E114)-$I114&gt;=($H114-$I114)*0.5,$H114-MAX($F114,$E114)&lt;=($H114-$I114)*0.2),"長い下ヒゲ(反発警戒)","通常"))))</f>
        <v/>
      </c>
      <c r="AP114" s="625">
        <f>IF($AO114="上ヒゲ陰線▼",2,IF($AO114="大陰線▼",2,IF($AO114="長い下ヒゲ(反発警戒)",-2,0)))</f>
        <v/>
      </c>
      <c r="AQ114">
        <f>IF(C114&lt;&gt;"",始値!F161,"")</f>
        <v/>
      </c>
      <c r="AR114">
        <f>IF(C114&lt;&gt;"",高値!F161,"")</f>
        <v/>
      </c>
      <c r="AS114">
        <f>IF(C114&lt;&gt;"",安値!F161,"")</f>
        <v/>
      </c>
      <c r="AT114">
        <f>IF(OR(C114="",AQ114="",AR114="",AS114="",AR114-AS114&lt;=0),"-",IF(AND(AR114-MAX(G114,AQ114)&gt;=ABS(G114-AQ114)*2,MIN(G114,AQ114)-AS114&lt;=ABS(G114-AQ114)*0.5,ABS(G114-AQ114)&gt;0),"上ヒゲ陰線▼",IF(AND(G114&lt;AQ114,ABS(G114-AQ114)&gt;=(AR114-AS114)*0.7),"大陰線▼",IF(AND(MIN(G114,AQ114)-AS114&gt;=(AR114-AS114)*0.5,AR114-MAX(G114,AQ114)&lt;=(AR114-AS114)*0.2),"長い下ヒゲ(反発)","通常"))))</f>
        <v/>
      </c>
      <c r="AU114">
        <f>IF(AT114="上ヒゲ陰線▼",2,IF(AT114="大陰線▼",2,IF(AT114="長い下ヒゲ(反発)",-2,0)))</f>
        <v/>
      </c>
    </row>
    <row r="115" ht="14.25" customHeight="1" s="574">
      <c r="A115" s="344">
        <f>IF(銘柄管理!B170&lt;&gt;"",HYPERLINK("https://kabutan.jp/stock/?code="&amp;銘柄管理!B170,"株探"),"")</f>
        <v/>
      </c>
      <c r="B115" s="345" t="n"/>
      <c r="C115" s="345">
        <f>IF(銘柄管理!B170="","",銘柄管理!B170)</f>
        <v/>
      </c>
      <c r="D115" s="345">
        <f>IF(銘柄管理!C170="","",銘柄管理!C170)</f>
        <v/>
      </c>
      <c r="E115" s="346">
        <f>IF(C115&lt;&gt;"",_xll.RssMarket(C115,"現在値"),"")</f>
        <v/>
      </c>
      <c r="F115" s="346">
        <f>IF(C115&lt;&gt;"",_xll.RssMarket(C115,"始値"),"")</f>
        <v/>
      </c>
      <c r="G115" s="345">
        <f>IF(C115&lt;&gt;"",終値!F170,"")</f>
        <v/>
      </c>
      <c r="H115" s="346">
        <f>IF(C115&lt;&gt;"",_xll.RssMarket(C115,"高値"),"")</f>
        <v/>
      </c>
      <c r="I115" s="346">
        <f>IF(C115&lt;&gt;"",_xll.RssMarket(C115,"安値"),"")</f>
        <v/>
      </c>
      <c r="J115" s="346">
        <f>IF(C115&lt;&gt;"",_xll.RssMarket(C115,"出来高"),"")</f>
        <v/>
      </c>
      <c r="K115" s="346">
        <f>IF(C115&lt;&gt;"",_xll.RssMarket(C115,"年初来高値"),"")</f>
        <v/>
      </c>
      <c r="L115" s="619">
        <f>IF(AND(E115&lt;&gt;"",K115&lt;&gt;"",K115&lt;&gt;0),(E115-K115)/K115*100,"")</f>
        <v/>
      </c>
      <c r="M115" s="346">
        <f>IF(C115&lt;&gt;"",IFERROR(AVERAGE(出来高!E170:I170),""),"")</f>
        <v/>
      </c>
      <c r="N115" s="346">
        <f>IF(C115&lt;&gt;"",IFERROR(AVERAGE(出来高!E170:AC170),""),"")</f>
        <v/>
      </c>
      <c r="O115" s="620">
        <f>IF(AND(J115&lt;&gt;"",M115&lt;&gt;"",M115&lt;&gt;0),J115/M115,"")</f>
        <v/>
      </c>
      <c r="P115" s="345">
        <f>IF(O115="","",IF(O115&gt;=2,"急増↑↑",IF(O115&gt;=1.5,"増加↑",IF(O115&gt;=1,"普通→","減少↓"))))</f>
        <v/>
      </c>
      <c r="Q115" s="345">
        <f>IF(E115="","",IF(AND(E115&lt;G115,O115&gt;=1.5),"売り▼",IF(E115&gt;G115,"様子見▲","中立→")))</f>
        <v/>
      </c>
      <c r="R115" s="346">
        <f>IF(E115&lt;&gt;"",ROUND(E115*0.92,0),"")</f>
        <v/>
      </c>
      <c r="S115" s="346">
        <f>IF(E115&lt;&gt;"",ROUND(E115*1.04,0),"")</f>
        <v/>
      </c>
      <c r="T115" s="345">
        <f>IF(C115="","",IFERROR(IF(W115&gt;=70,3,IF(W115&gt;=60,2,IF(W115&gt;=50,1,0)))+IF(X115&lt;0,2,0)+IF(AD115="下降トレンド▼",3,IF(AD115="もみ合い→",1,0))+IF(V115="年初来安値圏●",3,IF(V115="安値圏",2,0))+IF(Q115="売り▼",2,0)+IF(P115="急増↑↑",2,IF(P115="増加↑",1,0))+IF(Z115&lt;0,1,0)+IF(L115&lt;=-30,2,IF(L115&lt;=-15,1,0))+IF(AE115="25日戻り売り★",2,IF(AE115="5日戻り売り○",1,0))+N(AL115)+N(AP115)+N(AU115),0))</f>
        <v/>
      </c>
      <c r="U115" s="345">
        <f>IF(T115="","",IF(AND(T115&gt;=3,O115&gt;=1.5),"有効",IF(T115&gt;=3,"要確認","除外")))</f>
        <v/>
      </c>
      <c r="V115" s="345">
        <f>IF(AND(I115&lt;&gt;"",K115&lt;&gt;""),IF(I115&lt;=K115*0.6,"年初来安値圏●",IF(I115&lt;=K115*0.75,"安値圏","通常")),"")</f>
        <v/>
      </c>
      <c r="W115" s="621">
        <f t="array" ref="W115">IFERROR(100-100/(1+SUMPRODUCT((終値!F170:R170&gt;終値!G170:S170)*(終値!F170:R170-終値!G170:S170))/SUMPRODUCT((終値!F170:R170&lt;終値!G170:S170)*(終値!G170:S170-終値!F170:R170))),50)</f>
        <v/>
      </c>
      <c r="X115" s="350">
        <f>IF(C115&lt;&gt;"",IFERROR(SUMPRODUCT(終値!E170:P170,{0.154,0.132,0.113,0.097,0.083,0.071,0.061,0.052,0.045,0.038,0.033,0.028})/SUMPRODUCT({0.154,0.132,0.113,0.097,0.083,0.071,0.061,0.052,0.045,0.038,0.033,0.028})-SUMPRODUCT(終値!E170:AD170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5" s="345">
        <f>IF(AF115="","",AF115&amp;" | "&amp;AD115&amp;IF(AE115&lt;&gt;"なし"," "&amp;AE115,"")&amp;IF(X115&lt;0," MACD-"," MACD+")&amp;" RSI:"&amp;TEXT(W115,"0.0")&amp;IF(W115&gt;=70," [過熱]",IF(W115&lt;=30," [売られ過ぎ]",""))&amp;" 前日比:"&amp;TEXT(Z115,"+0.0;-0.0;0.0")&amp;"%"&amp;IF(V115="年初来安値圏●"," [年初来安値圏]",IF(V115="安値圏"," [安値圏]",""))&amp;IF(OR(AO115="通常",AO115="-"),""," ["&amp;AO115&amp;"]")&amp;IF(OR(AT115="通常",AT115="-"),"","前日["&amp;AT115&amp;"]")&amp;" ["&amp;T115&amp;"点]")</f>
        <v/>
      </c>
      <c r="Z115" s="622">
        <f>IF(AND(E115&lt;&gt;"",G115&lt;&gt;"",G115&lt;&gt;0),(E115-G115)/G115*100,"")</f>
        <v/>
      </c>
      <c r="AA115" s="345">
        <f>IF(OR(C115="",E115="",E115=0),"",IF(E115&gt;G115,"上昇▲",IF(E115&lt;G115,"下落▼","横ばい→")))</f>
        <v/>
      </c>
      <c r="AB115" s="346">
        <f>IF(OR(C115="",C115="TOPX",終値!E170=""),"",IFERROR(((終値!E170*0.333)+(終値!F170*0.222)+(終値!G170*0.148)+(終値!H170*0.099)+(終値!I170*0.066))/(0.333+0.222+0.148+0.099+0.066),""))</f>
        <v/>
      </c>
      <c r="AC115" s="346">
        <f>IF(OR(C115="",C115="TOPX",終値!E170=""),"",IFERROR(SUMPRODUCT((終値!E170:AC170)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5" s="345">
        <f>IF(OR(C115="",AB115="",AC115="",AB115=0,AC115=0),"",IF(AND(E115&gt;AB115,AB115&gt;AC115),"パーフェクト▲",IF(E115&gt;AC115,"上昇トレンド▲",IF(AND(E115&lt;AB115,AB115&lt;AC115),"下降トレンド▼","もみ合い→"))))</f>
        <v/>
      </c>
      <c r="AE115" s="345">
        <f>IF(OR(C115="",AB115="",AC115=""),"",IF(AND(ABS(E115-AC115)/AC115&lt;=0.02,E115&lt;AC115),"25日戻り売り★",IF(AND(ABS(E115-AB115)/AB115&lt;=0.01,E115&lt;AB115),"5日戻り売り○","なし")))</f>
        <v/>
      </c>
      <c r="AF115">
        <f>IF(T115="","",IF(銘柄管理!$F$5="上昇▲",IF(AND(AD115="下降トレンド▼",OR(AE115="25日戻り売り★",AE115="5日戻り売り○")),"★逆張り売り",IF(AND(AD115="もみ合い→",OR(AE115="25日戻り売り★",AE115="5日戻り売り○")),"○逆張り売り",IF(W115&gt;=70,IF(Z115&lt;0,"◎反落確認","△過熱・様子見"),"相場上昇・見送り"))),IF(AND(T115&gt;=12,AD115="下降トレンド▼"),"★強い売り",IF(T115&gt;=12,"★強い売り",IF(AND(T115&gt;=8,OR(AE115="25日戻り売り★",AE115="5日戻り売り○")),"◎戻り売り",IF(T115&gt;=10,"○売り候補",IF(T115&gt;=6,"△注目",IF(T115&gt;=3,"様子見","見送り"))))))))</f>
        <v/>
      </c>
      <c r="AG115">
        <f>IF(AND(T115&gt;=7,C115&lt;&gt;""),T115,0)</f>
        <v/>
      </c>
      <c r="AH115">
        <f>IF(AG115&gt;0,AG115*10000-ROW(A115),0)</f>
        <v/>
      </c>
      <c r="AI115" s="623">
        <f t="array" ref="AI115">IF(C115="","",IFERROR((INDEX(終値!$E:$E,MATCH(TEXT(C115,"0"),終値!$A:$A,0))-INDEX(終値!$E:$BL,MATCH(TEXT(C115,"0"),終値!$A:$A,0),$AN$2))/INDEX(終値!$E:$BL,MATCH(TEXT(C115,"0"),終値!$A:$A,0),$AN$2)*100,""))</f>
        <v/>
      </c>
      <c r="AJ115" s="623">
        <f t="array" ref="AJ115">IFERROR((終値!$E$5-INDEX(終値!$E$5:$BL$5,1,$AN$2))/INDEX(終値!$E$5:$BL$5,1,$AN$2)*100,"")</f>
        <v/>
      </c>
      <c r="AK115" s="624">
        <f>IF(OR(AI115="",AJ115=""),"",AI115-AJ115)</f>
        <v/>
      </c>
      <c r="AL115" s="394">
        <f>IF(AK115="","",IF(AK115&lt;-5,3,IF(AK115&lt;0,1,IF(AK115&lt;3,-1,-2))))</f>
        <v/>
      </c>
      <c r="AO115" s="398">
        <f>IF(OR($C115="",$E115="",$F115="",$H115="",$I115="",$H115-$I115&lt;=0),"-",IF(AND($H115-MAX($F115,$E115)&gt;=ABS($E115-$F115)*2,MIN($F115,$E115)-$I115&lt;=ABS($E115-$F115)*0.5,ABS($E115-$F115)&gt;0),"上ヒゲ陰線▼",IF(AND($E115&lt;$F115,ABS($E115-$F115)&gt;=($H115-$I115)*0.7),"大陰線▼",IF(AND(MIN($F115,$E115)-$I115&gt;=($H115-$I115)*0.5,$H115-MAX($F115,$E115)&lt;=($H115-$I115)*0.2),"長い下ヒゲ(反発警戒)","通常"))))</f>
        <v/>
      </c>
      <c r="AP115" s="625">
        <f>IF($AO115="上ヒゲ陰線▼",2,IF($AO115="大陰線▼",2,IF($AO115="長い下ヒゲ(反発警戒)",-2,0)))</f>
        <v/>
      </c>
      <c r="AQ115">
        <f>IF(C115&lt;&gt;"",始値!F170,"")</f>
        <v/>
      </c>
      <c r="AR115">
        <f>IF(C115&lt;&gt;"",高値!F170,"")</f>
        <v/>
      </c>
      <c r="AS115">
        <f>IF(C115&lt;&gt;"",安値!F170,"")</f>
        <v/>
      </c>
      <c r="AT115">
        <f>IF(OR(C115="",AQ115="",AR115="",AS115="",AR115-AS115&lt;=0),"-",IF(AND(AR115-MAX(G115,AQ115)&gt;=ABS(G115-AQ115)*2,MIN(G115,AQ115)-AS115&lt;=ABS(G115-AQ115)*0.5,ABS(G115-AQ115)&gt;0),"上ヒゲ陰線▼",IF(AND(G115&lt;AQ115,ABS(G115-AQ115)&gt;=(AR115-AS115)*0.7),"大陰線▼",IF(AND(MIN(G115,AQ115)-AS115&gt;=(AR115-AS115)*0.5,AR115-MAX(G115,AQ115)&lt;=(AR115-AS115)*0.2),"長い下ヒゲ(反発)","通常"))))</f>
        <v/>
      </c>
      <c r="AU115">
        <f>IF(AT115="上ヒゲ陰線▼",2,IF(AT115="大陰線▼",2,IF(AT115="長い下ヒゲ(反発)",-2,0)))</f>
        <v/>
      </c>
    </row>
    <row r="116" ht="14.25" customHeight="1" s="574">
      <c r="A116" s="352">
        <f>IF(銘柄管理!B171&lt;&gt;"",HYPERLINK("https://kabutan.jp/stock/?code="&amp;銘柄管理!B171,"株探"),"")</f>
        <v/>
      </c>
      <c r="B116" s="225" t="n"/>
      <c r="C116" s="225">
        <f>IF(銘柄管理!B171="","",銘柄管理!B171)</f>
        <v/>
      </c>
      <c r="D116" s="225">
        <f>IF(銘柄管理!C171="","",銘柄管理!C171)</f>
        <v/>
      </c>
      <c r="E116" s="353">
        <f>IF(C116&lt;&gt;"",_xll.RssMarket(C116,"現在値"),"")</f>
        <v/>
      </c>
      <c r="F116" s="353">
        <f>IF(C116&lt;&gt;"",_xll.RssMarket(C116,"始値"),"")</f>
        <v/>
      </c>
      <c r="G116" s="225">
        <f>IF(C116&lt;&gt;"",終値!F171,"")</f>
        <v/>
      </c>
      <c r="H116" s="353">
        <f>IF(C116&lt;&gt;"",_xll.RssMarket(C116,"高値"),"")</f>
        <v/>
      </c>
      <c r="I116" s="353">
        <f>IF(C116&lt;&gt;"",_xll.RssMarket(C116,"安値"),"")</f>
        <v/>
      </c>
      <c r="J116" s="353">
        <f>IF(C116&lt;&gt;"",_xll.RssMarket(C116,"出来高"),"")</f>
        <v/>
      </c>
      <c r="K116" s="353">
        <f>IF(C116&lt;&gt;"",_xll.RssMarket(C116,"年初来高値"),"")</f>
        <v/>
      </c>
      <c r="L116" s="626">
        <f>IF(AND(E116&lt;&gt;"",K116&lt;&gt;"",K116&lt;&gt;0),(E116-K116)/K116*100,"")</f>
        <v/>
      </c>
      <c r="M116" s="353">
        <f>IF(C116&lt;&gt;"",IFERROR(AVERAGE(出来高!E171:I171),""),"")</f>
        <v/>
      </c>
      <c r="N116" s="353">
        <f>IF(C116&lt;&gt;"",IFERROR(AVERAGE(出来高!E171:AC171),""),"")</f>
        <v/>
      </c>
      <c r="O116" s="627">
        <f>IF(AND(J116&lt;&gt;"",M116&lt;&gt;"",M116&lt;&gt;0),J116/M116,"")</f>
        <v/>
      </c>
      <c r="P116" s="225">
        <f>IF(O116="","",IF(O116&gt;=2,"急増↑↑",IF(O116&gt;=1.5,"増加↑",IF(O116&gt;=1,"普通→","減少↓"))))</f>
        <v/>
      </c>
      <c r="Q116" s="225">
        <f>IF(E116="","",IF(AND(E116&lt;G116,O116&gt;=1.5),"売り▼",IF(E116&gt;G116,"様子見▲","中立→")))</f>
        <v/>
      </c>
      <c r="R116" s="353">
        <f>IF(E116&lt;&gt;"",ROUND(E116*0.92,0),"")</f>
        <v/>
      </c>
      <c r="S116" s="353">
        <f>IF(E116&lt;&gt;"",ROUND(E116*1.04,0),"")</f>
        <v/>
      </c>
      <c r="T116" s="345">
        <f>IF(C116="","",IFERROR(IF(W116&gt;=70,3,IF(W116&gt;=60,2,IF(W116&gt;=50,1,0)))+IF(X116&lt;0,2,0)+IF(AD116="下降トレンド▼",3,IF(AD116="もみ合い→",1,0))+IF(V116="年初来安値圏●",3,IF(V116="安値圏",2,0))+IF(Q116="売り▼",2,0)+IF(P116="急増↑↑",2,IF(P116="増加↑",1,0))+IF(Z116&lt;0,1,0)+IF(L116&lt;=-30,2,IF(L116&lt;=-15,1,0))+IF(AE116="25日戻り売り★",2,IF(AE116="5日戻り売り○",1,0))+N(AL116)+N(AP116)+N(AU116),0))</f>
        <v/>
      </c>
      <c r="U116" s="225">
        <f>IF(T116="","",IF(AND(T116&gt;=3,O116&gt;=1.5),"有効",IF(T116&gt;=3,"要確認","除外")))</f>
        <v/>
      </c>
      <c r="V116" s="225">
        <f>IF(AND(I116&lt;&gt;"",K116&lt;&gt;""),IF(I116&lt;=K116*0.6,"年初来安値圏●",IF(I116&lt;=K116*0.75,"安値圏","通常")),"")</f>
        <v/>
      </c>
      <c r="W116" s="628">
        <f t="array" ref="W116">IFERROR(100-100/(1+SUMPRODUCT((終値!F171:R171&gt;終値!G171:S171)*(終値!F171:R171-終値!G171:S171))/SUMPRODUCT((終値!F171:R171&lt;終値!G171:S171)*(終値!G171:S171-終値!F171:R171))),50)</f>
        <v/>
      </c>
      <c r="X116" s="357">
        <f>IF(C116&lt;&gt;"",IFERROR(SUMPRODUCT(終値!E171:P171,{0.154,0.132,0.113,0.097,0.083,0.071,0.061,0.052,0.045,0.038,0.033,0.028})/SUMPRODUCT({0.154,0.132,0.113,0.097,0.083,0.071,0.061,0.052,0.045,0.038,0.033,0.028})-SUMPRODUCT(終値!E171:AD171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6" s="225">
        <f>IF(AF116="","",AF116&amp;" | "&amp;AD116&amp;IF(AE116&lt;&gt;"なし"," "&amp;AE116,"")&amp;IF(X116&lt;0," MACD-"," MACD+")&amp;" RSI:"&amp;TEXT(W116,"0.0")&amp;IF(W116&gt;=70," [過熱]",IF(W116&lt;=30," [売られ過ぎ]",""))&amp;" 前日比:"&amp;TEXT(Z116,"+0.0;-0.0;0.0")&amp;"%"&amp;IF(V116="年初来安値圏●"," [年初来安値圏]",IF(V116="安値圏"," [安値圏]",""))&amp;IF(OR(AO116="通常",AO116="-"),""," ["&amp;AO116&amp;"]")&amp;IF(OR(AT116="通常",AT116="-"),"","前日["&amp;AT116&amp;"]")&amp;" ["&amp;T116&amp;"点]")</f>
        <v/>
      </c>
      <c r="Z116" s="629">
        <f>IF(AND(E116&lt;&gt;"",G116&lt;&gt;"",G116&lt;&gt;0),(E116-G116)/G116*100,"")</f>
        <v/>
      </c>
      <c r="AA116" s="225">
        <f>IF(OR(C116="",E116="",E116=0),"",IF(E116&gt;G116,"上昇▲",IF(E116&lt;G116,"下落▼","横ばい→")))</f>
        <v/>
      </c>
      <c r="AB116" s="353">
        <f>IF(OR(C116="",C116="TOPX",終値!E171=""),"",IFERROR(((終値!E171*0.333)+(終値!F171*0.222)+(終値!G171*0.148)+(終値!H171*0.099)+(終値!I171*0.066))/(0.333+0.222+0.148+0.099+0.066),""))</f>
        <v/>
      </c>
      <c r="AC116" s="353">
        <f>IF(OR(C116="",C116="TOPX",終値!E171=""),"",IFERROR(SUMPRODUCT((終値!E171:AC171)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6" s="225">
        <f>IF(OR(C116="",AB116="",AC116="",AB116=0,AC116=0),"",IF(AND(E116&gt;AB116,AB116&gt;AC116),"パーフェクト▲",IF(E116&gt;AC116,"上昇トレンド▲",IF(AND(E116&lt;AB116,AB116&lt;AC116),"下降トレンド▼","もみ合い→"))))</f>
        <v/>
      </c>
      <c r="AE116" s="225">
        <f>IF(OR(C116="",AB116="",AC116=""),"",IF(AND(ABS(E116-AC116)/AC116&lt;=0.02,E116&lt;AC116),"25日戻り売り★",IF(AND(ABS(E116-AB116)/AB116&lt;=0.01,E116&lt;AB116),"5日戻り売り○","なし")))</f>
        <v/>
      </c>
      <c r="AF116">
        <f>IF(T116="","",IF(銘柄管理!$F$5="上昇▲",IF(AND(AD116="下降トレンド▼",OR(AE116="25日戻り売り★",AE116="5日戻り売り○")),"★逆張り売り",IF(AND(AD116="もみ合い→",OR(AE116="25日戻り売り★",AE116="5日戻り売り○")),"○逆張り売り",IF(W116&gt;=70,IF(Z116&lt;0,"◎反落確認","△過熱・様子見"),"相場上昇・見送り"))),IF(AND(T116&gt;=12,AD116="下降トレンド▼"),"★強い売り",IF(T116&gt;=12,"★強い売り",IF(AND(T116&gt;=8,OR(AE116="25日戻り売り★",AE116="5日戻り売り○")),"◎戻り売り",IF(T116&gt;=10,"○売り候補",IF(T116&gt;=6,"△注目",IF(T116&gt;=3,"様子見","見送り"))))))))</f>
        <v/>
      </c>
      <c r="AG116">
        <f>IF(AND(T116&gt;=7,C116&lt;&gt;""),T116,0)</f>
        <v/>
      </c>
      <c r="AH116">
        <f>IF(AG116&gt;0,AG116*10000-ROW(A116),0)</f>
        <v/>
      </c>
      <c r="AI116" s="623">
        <f t="array" ref="AI116">IF(C116="","",IFERROR((INDEX(終値!$E:$E,MATCH(TEXT(C116,"0"),終値!$A:$A,0))-INDEX(終値!$E:$BL,MATCH(TEXT(C116,"0"),終値!$A:$A,0),$AN$2))/INDEX(終値!$E:$BL,MATCH(TEXT(C116,"0"),終値!$A:$A,0),$AN$2)*100,""))</f>
        <v/>
      </c>
      <c r="AJ116" s="623">
        <f t="array" ref="AJ116">IFERROR((終値!$E$5-INDEX(終値!$E$5:$BL$5,1,$AN$2))/INDEX(終値!$E$5:$BL$5,1,$AN$2)*100,"")</f>
        <v/>
      </c>
      <c r="AK116" s="624">
        <f>IF(OR(AI116="",AJ116=""),"",AI116-AJ116)</f>
        <v/>
      </c>
      <c r="AL116" s="394">
        <f>IF(AK116="","",IF(AK116&lt;-5,3,IF(AK116&lt;0,1,IF(AK116&lt;3,-1,-2))))</f>
        <v/>
      </c>
      <c r="AO116" s="398">
        <f>IF(OR($C116="",$E116="",$F116="",$H116="",$I116="",$H116-$I116&lt;=0),"-",IF(AND($H116-MAX($F116,$E116)&gt;=ABS($E116-$F116)*2,MIN($F116,$E116)-$I116&lt;=ABS($E116-$F116)*0.5,ABS($E116-$F116)&gt;0),"上ヒゲ陰線▼",IF(AND($E116&lt;$F116,ABS($E116-$F116)&gt;=($H116-$I116)*0.7),"大陰線▼",IF(AND(MIN($F116,$E116)-$I116&gt;=($H116-$I116)*0.5,$H116-MAX($F116,$E116)&lt;=($H116-$I116)*0.2),"長い下ヒゲ(反発警戒)","通常"))))</f>
        <v/>
      </c>
      <c r="AP116" s="625">
        <f>IF($AO116="上ヒゲ陰線▼",2,IF($AO116="大陰線▼",2,IF($AO116="長い下ヒゲ(反発警戒)",-2,0)))</f>
        <v/>
      </c>
      <c r="AQ116">
        <f>IF(C116&lt;&gt;"",始値!F171,"")</f>
        <v/>
      </c>
      <c r="AR116">
        <f>IF(C116&lt;&gt;"",高値!F171,"")</f>
        <v/>
      </c>
      <c r="AS116">
        <f>IF(C116&lt;&gt;"",安値!F171,"")</f>
        <v/>
      </c>
      <c r="AT116">
        <f>IF(OR(C116="",AQ116="",AR116="",AS116="",AR116-AS116&lt;=0),"-",IF(AND(AR116-MAX(G116,AQ116)&gt;=ABS(G116-AQ116)*2,MIN(G116,AQ116)-AS116&lt;=ABS(G116-AQ116)*0.5,ABS(G116-AQ116)&gt;0),"上ヒゲ陰線▼",IF(AND(G116&lt;AQ116,ABS(G116-AQ116)&gt;=(AR116-AS116)*0.7),"大陰線▼",IF(AND(MIN(G116,AQ116)-AS116&gt;=(AR116-AS116)*0.5,AR116-MAX(G116,AQ116)&lt;=(AR116-AS116)*0.2),"長い下ヒゲ(反発)","通常"))))</f>
        <v/>
      </c>
      <c r="AU116">
        <f>IF(AT116="上ヒゲ陰線▼",2,IF(AT116="大陰線▼",2,IF(AT116="長い下ヒゲ(反発)",-2,0)))</f>
        <v/>
      </c>
    </row>
    <row r="117" ht="14.25" customHeight="1" s="574">
      <c r="A117" s="344">
        <f>IF(銘柄管理!B176&lt;&gt;"",HYPERLINK("https://kabutan.jp/stock/?code="&amp;銘柄管理!B176,"株探"),"")</f>
        <v/>
      </c>
      <c r="B117" s="345" t="n"/>
      <c r="C117" s="345">
        <f>IF(銘柄管理!B176="","",銘柄管理!B176)</f>
        <v/>
      </c>
      <c r="D117" s="345">
        <f>IF(銘柄管理!C176="","",銘柄管理!C176)</f>
        <v/>
      </c>
      <c r="E117" s="346">
        <f>IF(C117&lt;&gt;"",_xll.RssMarket(C117,"現在値"),"")</f>
        <v/>
      </c>
      <c r="F117" s="346">
        <f>IF(C117&lt;&gt;"",_xll.RssMarket(C117,"始値"),"")</f>
        <v/>
      </c>
      <c r="G117" s="345">
        <f>IF(C117&lt;&gt;"",終値!F176,"")</f>
        <v/>
      </c>
      <c r="H117" s="346">
        <f>IF(C117&lt;&gt;"",_xll.RssMarket(C117,"高値"),"")</f>
        <v/>
      </c>
      <c r="I117" s="346">
        <f>IF(C117&lt;&gt;"",_xll.RssMarket(C117,"安値"),"")</f>
        <v/>
      </c>
      <c r="J117" s="346">
        <f>IF(C117&lt;&gt;"",_xll.RssMarket(C117,"出来高"),"")</f>
        <v/>
      </c>
      <c r="K117" s="346">
        <f>IF(C117&lt;&gt;"",_xll.RssMarket(C117,"年初来高値"),"")</f>
        <v/>
      </c>
      <c r="L117" s="619">
        <f>IF(AND(E117&lt;&gt;"",K117&lt;&gt;"",K117&lt;&gt;0),(E117-K117)/K117*100,"")</f>
        <v/>
      </c>
      <c r="M117" s="346">
        <f>IF(C117&lt;&gt;"",IFERROR(AVERAGE(出来高!E176:I176),""),"")</f>
        <v/>
      </c>
      <c r="N117" s="346">
        <f>IF(C117&lt;&gt;"",IFERROR(AVERAGE(出来高!E176:AC176),""),"")</f>
        <v/>
      </c>
      <c r="O117" s="620">
        <f>IF(AND(J117&lt;&gt;"",M117&lt;&gt;"",M117&lt;&gt;0),J117/M117,"")</f>
        <v/>
      </c>
      <c r="P117" s="345">
        <f>IF(O117="","",IF(O117&gt;=2,"急増↑↑",IF(O117&gt;=1.5,"増加↑",IF(O117&gt;=1,"普通→","減少↓"))))</f>
        <v/>
      </c>
      <c r="Q117" s="345">
        <f>IF(E117="","",IF(AND(E117&lt;G117,O117&gt;=1.5),"売り▼",IF(E117&gt;G117,"様子見▲","中立→")))</f>
        <v/>
      </c>
      <c r="R117" s="346">
        <f>IF(E117&lt;&gt;"",ROUND(E117*0.92,0),"")</f>
        <v/>
      </c>
      <c r="S117" s="346">
        <f>IF(E117&lt;&gt;"",ROUND(E117*1.04,0),"")</f>
        <v/>
      </c>
      <c r="T117" s="345">
        <f>IF(C117="","",IFERROR(IF(W117&gt;=70,3,IF(W117&gt;=60,2,IF(W117&gt;=50,1,0)))+IF(X117&lt;0,2,0)+IF(AD117="下降トレンド▼",3,IF(AD117="もみ合い→",1,0))+IF(V117="年初来安値圏●",3,IF(V117="安値圏",2,0))+IF(Q117="売り▼",2,0)+IF(P117="急増↑↑",2,IF(P117="増加↑",1,0))+IF(Z117&lt;0,1,0)+IF(L117&lt;=-30,2,IF(L117&lt;=-15,1,0))+IF(AE117="25日戻り売り★",2,IF(AE117="5日戻り売り○",1,0))+N(AL117)+N(AP117)+N(AU117),0))</f>
        <v/>
      </c>
      <c r="U117" s="345">
        <f>IF(T117="","",IF(AND(T117&gt;=3,O117&gt;=1.5),"有効",IF(T117&gt;=3,"要確認","除外")))</f>
        <v/>
      </c>
      <c r="V117" s="345">
        <f>IF(AND(I117&lt;&gt;"",K117&lt;&gt;""),IF(I117&lt;=K117*0.6,"年初来安値圏●",IF(I117&lt;=K117*0.75,"安値圏","通常")),"")</f>
        <v/>
      </c>
      <c r="W117" s="621">
        <f t="array" ref="W117">IFERROR(100-100/(1+SUMPRODUCT((終値!F176:R176&gt;終値!G176:S176)*(終値!F176:R176-終値!G176:S176))/SUMPRODUCT((終値!F176:R176&lt;終値!G176:S176)*(終値!G176:S176-終値!F176:R176))),50)</f>
        <v/>
      </c>
      <c r="X117" s="350">
        <f>IF(C117&lt;&gt;"",IFERROR(SUMPRODUCT(終値!E176:P176,{0.154,0.132,0.113,0.097,0.083,0.071,0.061,0.052,0.045,0.038,0.033,0.028})/SUMPRODUCT({0.154,0.132,0.113,0.097,0.083,0.071,0.061,0.052,0.045,0.038,0.033,0.028})-SUMPRODUCT(終値!E176:AD176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7" s="345">
        <f>IF(AF117="","",AF117&amp;" | "&amp;AD117&amp;IF(AE117&lt;&gt;"なし"," "&amp;AE117,"")&amp;IF(X117&lt;0," MACD-"," MACD+")&amp;" RSI:"&amp;TEXT(W117,"0.0")&amp;IF(W117&gt;=70," [過熱]",IF(W117&lt;=30," [売られ過ぎ]",""))&amp;" 前日比:"&amp;TEXT(Z117,"+0.0;-0.0;0.0")&amp;"%"&amp;IF(V117="年初来安値圏●"," [年初来安値圏]",IF(V117="安値圏"," [安値圏]",""))&amp;IF(OR(AO117="通常",AO117="-"),""," ["&amp;AO117&amp;"]")&amp;IF(OR(AT117="通常",AT117="-"),"","前日["&amp;AT117&amp;"]")&amp;" ["&amp;T117&amp;"点]")</f>
        <v/>
      </c>
      <c r="Z117" s="622">
        <f>IF(AND(E117&lt;&gt;"",G117&lt;&gt;"",G117&lt;&gt;0),(E117-G117)/G117*100,"")</f>
        <v/>
      </c>
      <c r="AA117" s="345">
        <f>IF(OR(C117="",E117="",E117=0),"",IF(E117&gt;G117,"上昇▲",IF(E117&lt;G117,"下落▼","横ばい→")))</f>
        <v/>
      </c>
      <c r="AB117" s="346">
        <f>IF(OR(C117="",C117="TOPX",終値!E176=""),"",IFERROR(((終値!E176*0.333)+(終値!F176*0.222)+(終値!G176*0.148)+(終値!H176*0.099)+(終値!I176*0.066))/(0.333+0.222+0.148+0.099+0.066),""))</f>
        <v/>
      </c>
      <c r="AC117" s="346">
        <f>IF(OR(C117="",C117="TOPX",終値!E176=""),"",IFERROR(SUMPRODUCT((終値!E176:AC176)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7" s="345">
        <f>IF(OR(C117="",AB117="",AC117="",AB117=0,AC117=0),"",IF(AND(E117&gt;AB117,AB117&gt;AC117),"パーフェクト▲",IF(E117&gt;AC117,"上昇トレンド▲",IF(AND(E117&lt;AB117,AB117&lt;AC117),"下降トレンド▼","もみ合い→"))))</f>
        <v/>
      </c>
      <c r="AE117" s="345">
        <f>IF(OR(C117="",AB117="",AC117=""),"",IF(AND(ABS(E117-AC117)/AC117&lt;=0.02,E117&lt;AC117),"25日戻り売り★",IF(AND(ABS(E117-AB117)/AB117&lt;=0.01,E117&lt;AB117),"5日戻り売り○","なし")))</f>
        <v/>
      </c>
      <c r="AF117">
        <f>IF(T117="","",IF(銘柄管理!$F$5="上昇▲",IF(AND(AD117="下降トレンド▼",OR(AE117="25日戻り売り★",AE117="5日戻り売り○")),"★逆張り売り",IF(AND(AD117="もみ合い→",OR(AE117="25日戻り売り★",AE117="5日戻り売り○")),"○逆張り売り",IF(W117&gt;=70,IF(Z117&lt;0,"◎反落確認","△過熱・様子見"),"相場上昇・見送り"))),IF(AND(T117&gt;=12,AD117="下降トレンド▼"),"★強い売り",IF(T117&gt;=12,"★強い売り",IF(AND(T117&gt;=8,OR(AE117="25日戻り売り★",AE117="5日戻り売り○")),"◎戻り売り",IF(T117&gt;=10,"○売り候補",IF(T117&gt;=6,"△注目",IF(T117&gt;=3,"様子見","見送り"))))))))</f>
        <v/>
      </c>
      <c r="AG117">
        <f>IF(AND(T117&gt;=7,C117&lt;&gt;""),T117,0)</f>
        <v/>
      </c>
      <c r="AH117">
        <f>IF(AG117&gt;0,AG117*10000-ROW(A117),0)</f>
        <v/>
      </c>
      <c r="AI117" s="623">
        <f t="array" ref="AI117">IF(C117="","",IFERROR((INDEX(終値!$E:$E,MATCH(TEXT(C117,"0"),終値!$A:$A,0))-INDEX(終値!$E:$BL,MATCH(TEXT(C117,"0"),終値!$A:$A,0),$AN$2))/INDEX(終値!$E:$BL,MATCH(TEXT(C117,"0"),終値!$A:$A,0),$AN$2)*100,""))</f>
        <v/>
      </c>
      <c r="AJ117" s="623">
        <f t="array" ref="AJ117">IFERROR((終値!$E$5-INDEX(終値!$E$5:$BL$5,1,$AN$2))/INDEX(終値!$E$5:$BL$5,1,$AN$2)*100,"")</f>
        <v/>
      </c>
      <c r="AK117" s="624">
        <f>IF(OR(AI117="",AJ117=""),"",AI117-AJ117)</f>
        <v/>
      </c>
      <c r="AL117" s="394">
        <f>IF(AK117="","",IF(AK117&lt;-5,3,IF(AK117&lt;0,1,IF(AK117&lt;3,-1,-2))))</f>
        <v/>
      </c>
      <c r="AO117" s="398">
        <f>IF(OR($C117="",$E117="",$F117="",$H117="",$I117="",$H117-$I117&lt;=0),"-",IF(AND($H117-MAX($F117,$E117)&gt;=ABS($E117-$F117)*2,MIN($F117,$E117)-$I117&lt;=ABS($E117-$F117)*0.5,ABS($E117-$F117)&gt;0),"上ヒゲ陰線▼",IF(AND($E117&lt;$F117,ABS($E117-$F117)&gt;=($H117-$I117)*0.7),"大陰線▼",IF(AND(MIN($F117,$E117)-$I117&gt;=($H117-$I117)*0.5,$H117-MAX($F117,$E117)&lt;=($H117-$I117)*0.2),"長い下ヒゲ(反発警戒)","通常"))))</f>
        <v/>
      </c>
      <c r="AP117" s="625">
        <f>IF($AO117="上ヒゲ陰線▼",2,IF($AO117="大陰線▼",2,IF($AO117="長い下ヒゲ(反発警戒)",-2,0)))</f>
        <v/>
      </c>
      <c r="AQ117">
        <f>IF(C117&lt;&gt;"",始値!F176,"")</f>
        <v/>
      </c>
      <c r="AR117">
        <f>IF(C117&lt;&gt;"",高値!F176,"")</f>
        <v/>
      </c>
      <c r="AS117">
        <f>IF(C117&lt;&gt;"",安値!F176,"")</f>
        <v/>
      </c>
      <c r="AT117">
        <f>IF(OR(C117="",AQ117="",AR117="",AS117="",AR117-AS117&lt;=0),"-",IF(AND(AR117-MAX(G117,AQ117)&gt;=ABS(G117-AQ117)*2,MIN(G117,AQ117)-AS117&lt;=ABS(G117-AQ117)*0.5,ABS(G117-AQ117)&gt;0),"上ヒゲ陰線▼",IF(AND(G117&lt;AQ117,ABS(G117-AQ117)&gt;=(AR117-AS117)*0.7),"大陰線▼",IF(AND(MIN(G117,AQ117)-AS117&gt;=(AR117-AS117)*0.5,AR117-MAX(G117,AQ117)&lt;=(AR117-AS117)*0.2),"長い下ヒゲ(反発)","通常"))))</f>
        <v/>
      </c>
      <c r="AU117">
        <f>IF(AT117="上ヒゲ陰線▼",2,IF(AT117="大陰線▼",2,IF(AT117="長い下ヒゲ(反発)",-2,0)))</f>
        <v/>
      </c>
    </row>
    <row r="118" ht="14.25" customHeight="1" s="574">
      <c r="A118" s="352">
        <f>IF(銘柄管理!B179&lt;&gt;"",HYPERLINK("https://kabutan.jp/stock/?code="&amp;銘柄管理!B179,"株探"),"")</f>
        <v/>
      </c>
      <c r="B118" s="225" t="n"/>
      <c r="C118" s="225">
        <f>IF(銘柄管理!B179="","",銘柄管理!B179)</f>
        <v/>
      </c>
      <c r="D118" s="225">
        <f>IF(銘柄管理!C179="","",銘柄管理!C179)</f>
        <v/>
      </c>
      <c r="E118" s="353">
        <f>IF(C118&lt;&gt;"",_xll.RssMarket(C118,"現在値"),"")</f>
        <v/>
      </c>
      <c r="F118" s="353">
        <f>IF(C118&lt;&gt;"",_xll.RssMarket(C118,"始値"),"")</f>
        <v/>
      </c>
      <c r="G118" s="225">
        <f>IF(C118&lt;&gt;"",終値!F179,"")</f>
        <v/>
      </c>
      <c r="H118" s="353">
        <f>IF(C118&lt;&gt;"",_xll.RssMarket(C118,"高値"),"")</f>
        <v/>
      </c>
      <c r="I118" s="353">
        <f>IF(C118&lt;&gt;"",_xll.RssMarket(C118,"安値"),"")</f>
        <v/>
      </c>
      <c r="J118" s="353">
        <f>IF(C118&lt;&gt;"",_xll.RssMarket(C118,"出来高"),"")</f>
        <v/>
      </c>
      <c r="K118" s="353">
        <f>IF(C118&lt;&gt;"",_xll.RssMarket(C118,"年初来高値"),"")</f>
        <v/>
      </c>
      <c r="L118" s="626">
        <f>IF(AND(E118&lt;&gt;"",K118&lt;&gt;"",K118&lt;&gt;0),(E118-K118)/K118*100,"")</f>
        <v/>
      </c>
      <c r="M118" s="353">
        <f>IF(C118&lt;&gt;"",IFERROR(AVERAGE(出来高!E179:I179),""),"")</f>
        <v/>
      </c>
      <c r="N118" s="353">
        <f>IF(C118&lt;&gt;"",IFERROR(AVERAGE(出来高!E179:AC179),""),"")</f>
        <v/>
      </c>
      <c r="O118" s="627">
        <f>IF(AND(J118&lt;&gt;"",M118&lt;&gt;"",M118&lt;&gt;0),J118/M118,"")</f>
        <v/>
      </c>
      <c r="P118" s="225">
        <f>IF(O118="","",IF(O118&gt;=2,"急増↑↑",IF(O118&gt;=1.5,"増加↑",IF(O118&gt;=1,"普通→","減少↓"))))</f>
        <v/>
      </c>
      <c r="Q118" s="225">
        <f>IF(E118="","",IF(AND(E118&lt;G118,O118&gt;=1.5),"売り▼",IF(E118&gt;G118,"様子見▲","中立→")))</f>
        <v/>
      </c>
      <c r="R118" s="353">
        <f>IF(E118&lt;&gt;"",ROUND(E118*0.92,0),"")</f>
        <v/>
      </c>
      <c r="S118" s="353">
        <f>IF(E118&lt;&gt;"",ROUND(E118*1.04,0),"")</f>
        <v/>
      </c>
      <c r="T118" s="345">
        <f>IF(C118="","",IFERROR(IF(W118&gt;=70,3,IF(W118&gt;=60,2,IF(W118&gt;=50,1,0)))+IF(X118&lt;0,2,0)+IF(AD118="下降トレンド▼",3,IF(AD118="もみ合い→",1,0))+IF(V118="年初来安値圏●",3,IF(V118="安値圏",2,0))+IF(Q118="売り▼",2,0)+IF(P118="急増↑↑",2,IF(P118="増加↑",1,0))+IF(Z118&lt;0,1,0)+IF(L118&lt;=-30,2,IF(L118&lt;=-15,1,0))+IF(AE118="25日戻り売り★",2,IF(AE118="5日戻り売り○",1,0))+N(AL118)+N(AP118)+N(AU118),0))</f>
        <v/>
      </c>
      <c r="U118" s="225">
        <f>IF(T118="","",IF(AND(T118&gt;=3,O118&gt;=1.5),"有効",IF(T118&gt;=3,"要確認","除外")))</f>
        <v/>
      </c>
      <c r="V118" s="225">
        <f>IF(AND(I118&lt;&gt;"",K118&lt;&gt;""),IF(I118&lt;=K118*0.6,"年初来安値圏●",IF(I118&lt;=K118*0.75,"安値圏","通常")),"")</f>
        <v/>
      </c>
      <c r="W118" s="628">
        <f t="array" ref="W118">IFERROR(100-100/(1+SUMPRODUCT((終値!F179:R179&gt;終値!G179:S179)*(終値!F179:R179-終値!G179:S179))/SUMPRODUCT((終値!F179:R179&lt;終値!G179:S179)*(終値!G179:S179-終値!F179:R179))),50)</f>
        <v/>
      </c>
      <c r="X118" s="357">
        <f>IF(C118&lt;&gt;"",IFERROR(SUMPRODUCT(終値!E179:P179,{0.154,0.132,0.113,0.097,0.083,0.071,0.061,0.052,0.045,0.038,0.033,0.028})/SUMPRODUCT({0.154,0.132,0.113,0.097,0.083,0.071,0.061,0.052,0.045,0.038,0.033,0.028})-SUMPRODUCT(終値!E179:AD179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8" s="225">
        <f>IF(AF118="","",AF118&amp;" | "&amp;AD118&amp;IF(AE118&lt;&gt;"なし"," "&amp;AE118,"")&amp;IF(X118&lt;0," MACD-"," MACD+")&amp;" RSI:"&amp;TEXT(W118,"0.0")&amp;IF(W118&gt;=70," [過熱]",IF(W118&lt;=30," [売られ過ぎ]",""))&amp;" 前日比:"&amp;TEXT(Z118,"+0.0;-0.0;0.0")&amp;"%"&amp;IF(V118="年初来安値圏●"," [年初来安値圏]",IF(V118="安値圏"," [安値圏]",""))&amp;IF(OR(AO118="通常",AO118="-"),""," ["&amp;AO118&amp;"]")&amp;IF(OR(AT118="通常",AT118="-"),"","前日["&amp;AT118&amp;"]")&amp;" ["&amp;T118&amp;"点]")</f>
        <v/>
      </c>
      <c r="Z118" s="629">
        <f>IF(AND(E118&lt;&gt;"",G118&lt;&gt;"",G118&lt;&gt;0),(E118-G118)/G118*100,"")</f>
        <v/>
      </c>
      <c r="AA118" s="225">
        <f>IF(OR(C118="",E118="",E118=0),"",IF(E118&gt;G118,"上昇▲",IF(E118&lt;G118,"下落▼","横ばい→")))</f>
        <v/>
      </c>
      <c r="AB118" s="353">
        <f>IF(OR(C118="",C118="TOPX",終値!E179=""),"",IFERROR(((終値!E179*0.333)+(終値!F179*0.222)+(終値!G179*0.148)+(終値!H179*0.099)+(終値!I179*0.066))/(0.333+0.222+0.148+0.099+0.066),""))</f>
        <v/>
      </c>
      <c r="AC118" s="353">
        <f>IF(OR(C118="",C118="TOPX",終値!E179=""),"",IFERROR(SUMPRODUCT((終値!E179:AC179)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8" s="225">
        <f>IF(OR(C118="",AB118="",AC118="",AB118=0,AC118=0),"",IF(AND(E118&gt;AB118,AB118&gt;AC118),"パーフェクト▲",IF(E118&gt;AC118,"上昇トレンド▲",IF(AND(E118&lt;AB118,AB118&lt;AC118),"下降トレンド▼","もみ合い→"))))</f>
        <v/>
      </c>
      <c r="AE118" s="225">
        <f>IF(OR(C118="",AB118="",AC118=""),"",IF(AND(ABS(E118-AC118)/AC118&lt;=0.02,E118&lt;AC118),"25日戻り売り★",IF(AND(ABS(E118-AB118)/AB118&lt;=0.01,E118&lt;AB118),"5日戻り売り○","なし")))</f>
        <v/>
      </c>
      <c r="AF118">
        <f>IF(T118="","",IF(銘柄管理!$F$5="上昇▲",IF(AND(AD118="下降トレンド▼",OR(AE118="25日戻り売り★",AE118="5日戻り売り○")),"★逆張り売り",IF(AND(AD118="もみ合い→",OR(AE118="25日戻り売り★",AE118="5日戻り売り○")),"○逆張り売り",IF(W118&gt;=70,IF(Z118&lt;0,"◎反落確認","△過熱・様子見"),"相場上昇・見送り"))),IF(AND(T118&gt;=12,AD118="下降トレンド▼"),"★強い売り",IF(T118&gt;=12,"★強い売り",IF(AND(T118&gt;=8,OR(AE118="25日戻り売り★",AE118="5日戻り売り○")),"◎戻り売り",IF(T118&gt;=10,"○売り候補",IF(T118&gt;=6,"△注目",IF(T118&gt;=3,"様子見","見送り"))))))))</f>
        <v/>
      </c>
      <c r="AG118">
        <f>IF(AND(T118&gt;=7,C118&lt;&gt;""),T118,0)</f>
        <v/>
      </c>
      <c r="AH118">
        <f>IF(AG118&gt;0,AG118*10000-ROW(A118),0)</f>
        <v/>
      </c>
      <c r="AI118" s="623">
        <f t="array" ref="AI118">IF(C118="","",IFERROR((INDEX(終値!$E:$E,MATCH(TEXT(C118,"0"),終値!$A:$A,0))-INDEX(終値!$E:$BL,MATCH(TEXT(C118,"0"),終値!$A:$A,0),$AN$2))/INDEX(終値!$E:$BL,MATCH(TEXT(C118,"0"),終値!$A:$A,0),$AN$2)*100,""))</f>
        <v/>
      </c>
      <c r="AJ118" s="623">
        <f t="array" ref="AJ118">IFERROR((終値!$E$5-INDEX(終値!$E$5:$BL$5,1,$AN$2))/INDEX(終値!$E$5:$BL$5,1,$AN$2)*100,"")</f>
        <v/>
      </c>
      <c r="AK118" s="624">
        <f>IF(OR(AI118="",AJ118=""),"",AI118-AJ118)</f>
        <v/>
      </c>
      <c r="AL118" s="394">
        <f>IF(AK118="","",IF(AK118&lt;-5,3,IF(AK118&lt;0,1,IF(AK118&lt;3,-1,-2))))</f>
        <v/>
      </c>
      <c r="AO118" s="398">
        <f>IF(OR($C118="",$E118="",$F118="",$H118="",$I118="",$H118-$I118&lt;=0),"-",IF(AND($H118-MAX($F118,$E118)&gt;=ABS($E118-$F118)*2,MIN($F118,$E118)-$I118&lt;=ABS($E118-$F118)*0.5,ABS($E118-$F118)&gt;0),"上ヒゲ陰線▼",IF(AND($E118&lt;$F118,ABS($E118-$F118)&gt;=($H118-$I118)*0.7),"大陰線▼",IF(AND(MIN($F118,$E118)-$I118&gt;=($H118-$I118)*0.5,$H118-MAX($F118,$E118)&lt;=($H118-$I118)*0.2),"長い下ヒゲ(反発警戒)","通常"))))</f>
        <v/>
      </c>
      <c r="AP118" s="625">
        <f>IF($AO118="上ヒゲ陰線▼",2,IF($AO118="大陰線▼",2,IF($AO118="長い下ヒゲ(反発警戒)",-2,0)))</f>
        <v/>
      </c>
      <c r="AQ118">
        <f>IF(C118&lt;&gt;"",始値!F179,"")</f>
        <v/>
      </c>
      <c r="AR118">
        <f>IF(C118&lt;&gt;"",高値!F179,"")</f>
        <v/>
      </c>
      <c r="AS118">
        <f>IF(C118&lt;&gt;"",安値!F179,"")</f>
        <v/>
      </c>
      <c r="AT118">
        <f>IF(OR(C118="",AQ118="",AR118="",AS118="",AR118-AS118&lt;=0),"-",IF(AND(AR118-MAX(G118,AQ118)&gt;=ABS(G118-AQ118)*2,MIN(G118,AQ118)-AS118&lt;=ABS(G118-AQ118)*0.5,ABS(G118-AQ118)&gt;0),"上ヒゲ陰線▼",IF(AND(G118&lt;AQ118,ABS(G118-AQ118)&gt;=(AR118-AS118)*0.7),"大陰線▼",IF(AND(MIN(G118,AQ118)-AS118&gt;=(AR118-AS118)*0.5,AR118-MAX(G118,AQ118)&lt;=(AR118-AS118)*0.2),"長い下ヒゲ(反発)","通常"))))</f>
        <v/>
      </c>
      <c r="AU118">
        <f>IF(AT118="上ヒゲ陰線▼",2,IF(AT118="大陰線▼",2,IF(AT118="長い下ヒゲ(反発)",-2,0)))</f>
        <v/>
      </c>
    </row>
    <row r="119" ht="14.25" customHeight="1" s="574">
      <c r="A119" s="344">
        <f>IF(銘柄管理!B190&lt;&gt;"",HYPERLINK("https://kabutan.jp/stock/?code="&amp;銘柄管理!B190,"株探"),"")</f>
        <v/>
      </c>
      <c r="B119" s="345" t="n"/>
      <c r="C119" s="345">
        <f>IF(銘柄管理!B190="","",銘柄管理!B190)</f>
        <v/>
      </c>
      <c r="D119" s="345">
        <f>IF(銘柄管理!C190="","",銘柄管理!C190)</f>
        <v/>
      </c>
      <c r="E119" s="346">
        <f>IF(C119&lt;&gt;"",_xll.RssMarket(C119,"現在値"),"")</f>
        <v/>
      </c>
      <c r="F119" s="346">
        <f>IF(C119&lt;&gt;"",_xll.RssMarket(C119,"始値"),"")</f>
        <v/>
      </c>
      <c r="G119" s="345">
        <f>IF(C119&lt;&gt;"",終値!F190,"")</f>
        <v/>
      </c>
      <c r="H119" s="346">
        <f>IF(C119&lt;&gt;"",_xll.RssMarket(C119,"高値"),"")</f>
        <v/>
      </c>
      <c r="I119" s="346">
        <f>IF(C119&lt;&gt;"",_xll.RssMarket(C119,"安値"),"")</f>
        <v/>
      </c>
      <c r="J119" s="346">
        <f>IF(C119&lt;&gt;"",_xll.RssMarket(C119,"出来高"),"")</f>
        <v/>
      </c>
      <c r="K119" s="346">
        <f>IF(C119&lt;&gt;"",_xll.RssMarket(C119,"年初来高値"),"")</f>
        <v/>
      </c>
      <c r="L119" s="619">
        <f>IF(AND(E119&lt;&gt;"",K119&lt;&gt;"",K119&lt;&gt;0),(E119-K119)/K119*100,"")</f>
        <v/>
      </c>
      <c r="M119" s="346">
        <f>IF(C119&lt;&gt;"",IFERROR(AVERAGE(出来高!E190:I190),""),"")</f>
        <v/>
      </c>
      <c r="N119" s="346">
        <f>IF(C119&lt;&gt;"",IFERROR(AVERAGE(出来高!E190:AC190),""),"")</f>
        <v/>
      </c>
      <c r="O119" s="620">
        <f>IF(AND(J119&lt;&gt;"",M119&lt;&gt;"",M119&lt;&gt;0),J119/M119,"")</f>
        <v/>
      </c>
      <c r="P119" s="345">
        <f>IF(O119="","",IF(O119&gt;=2,"急増↑↑",IF(O119&gt;=1.5,"増加↑",IF(O119&gt;=1,"普通→","減少↓"))))</f>
        <v/>
      </c>
      <c r="Q119" s="345">
        <f>IF(E119="","",IF(AND(E119&lt;G119,O119&gt;=1.5),"売り▼",IF(E119&gt;G119,"様子見▲","中立→")))</f>
        <v/>
      </c>
      <c r="R119" s="346">
        <f>IF(E119&lt;&gt;"",ROUND(E119*0.92,0),"")</f>
        <v/>
      </c>
      <c r="S119" s="346">
        <f>IF(E119&lt;&gt;"",ROUND(E119*1.04,0),"")</f>
        <v/>
      </c>
      <c r="T119" s="345">
        <f>IF(C119="","",IFERROR(IF(W119&gt;=70,3,IF(W119&gt;=60,2,IF(W119&gt;=50,1,0)))+IF(X119&lt;0,2,0)+IF(AD119="下降トレンド▼",3,IF(AD119="もみ合い→",1,0))+IF(V119="年初来安値圏●",3,IF(V119="安値圏",2,0))+IF(Q119="売り▼",2,0)+IF(P119="急増↑↑",2,IF(P119="増加↑",1,0))+IF(Z119&lt;0,1,0)+IF(L119&lt;=-30,2,IF(L119&lt;=-15,1,0))+IF(AE119="25日戻り売り★",2,IF(AE119="5日戻り売り○",1,0))+N(AL119)+N(AP119)+N(AU119),0))</f>
        <v/>
      </c>
      <c r="U119" s="345">
        <f>IF(T119="","",IF(AND(T119&gt;=3,O119&gt;=1.5),"有効",IF(T119&gt;=3,"要確認","除外")))</f>
        <v/>
      </c>
      <c r="V119" s="345">
        <f>IF(AND(I119&lt;&gt;"",K119&lt;&gt;""),IF(I119&lt;=K119*0.6,"年初来安値圏●",IF(I119&lt;=K119*0.75,"安値圏","通常")),"")</f>
        <v/>
      </c>
      <c r="W119" s="621">
        <f t="array" ref="W119">IFERROR(100-100/(1+SUMPRODUCT((終値!F190:R190&gt;終値!G190:S190)*(終値!F190:R190-終値!G190:S190))/SUMPRODUCT((終値!F190:R190&lt;終値!G190:S190)*(終値!G190:S190-終値!F190:R190))),50)</f>
        <v/>
      </c>
      <c r="X119" s="350">
        <f>IF(C119&lt;&gt;"",IFERROR(SUMPRODUCT(終値!E190:P190,{0.154,0.132,0.113,0.097,0.083,0.071,0.061,0.052,0.045,0.038,0.033,0.028})/SUMPRODUCT({0.154,0.132,0.113,0.097,0.083,0.071,0.061,0.052,0.045,0.038,0.033,0.028})-SUMPRODUCT(終値!E190:AD190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9" s="345">
        <f>IF(AF119="","",AF119&amp;" | "&amp;AD119&amp;IF(AE119&lt;&gt;"なし"," "&amp;AE119,"")&amp;IF(X119&lt;0," MACD-"," MACD+")&amp;" RSI:"&amp;TEXT(W119,"0.0")&amp;IF(W119&gt;=70," [過熱]",IF(W119&lt;=30," [売られ過ぎ]",""))&amp;" 前日比:"&amp;TEXT(Z119,"+0.0;-0.0;0.0")&amp;"%"&amp;IF(V119="年初来安値圏●"," [年初来安値圏]",IF(V119="安値圏"," [安値圏]",""))&amp;IF(OR(AO119="通常",AO119="-"),""," ["&amp;AO119&amp;"]")&amp;IF(OR(AT119="通常",AT119="-"),"","前日["&amp;AT119&amp;"]")&amp;" ["&amp;T119&amp;"点]")</f>
        <v/>
      </c>
      <c r="Z119" s="622">
        <f>IF(AND(E119&lt;&gt;"",G119&lt;&gt;"",G119&lt;&gt;0),(E119-G119)/G119*100,"")</f>
        <v/>
      </c>
      <c r="AA119" s="345">
        <f>IF(OR(C119="",E119="",E119=0),"",IF(E119&gt;G119,"上昇▲",IF(E119&lt;G119,"下落▼","横ばい→")))</f>
        <v/>
      </c>
      <c r="AB119" s="346">
        <f>IF(OR(C119="",C119="TOPX",終値!E190=""),"",IFERROR(((終値!E190*0.333)+(終値!F190*0.222)+(終値!G190*0.148)+(終値!H190*0.099)+(終値!I190*0.066))/(0.333+0.222+0.148+0.099+0.066),""))</f>
        <v/>
      </c>
      <c r="AC119" s="346">
        <f>IF(OR(C119="",C119="TOPX",終値!E190=""),"",IFERROR(SUMPRODUCT((終値!E190:AC190)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9" s="345">
        <f>IF(OR(C119="",AB119="",AC119="",AB119=0,AC119=0),"",IF(AND(E119&gt;AB119,AB119&gt;AC119),"パーフェクト▲",IF(E119&gt;AC119,"上昇トレンド▲",IF(AND(E119&lt;AB119,AB119&lt;AC119),"下降トレンド▼","もみ合い→"))))</f>
        <v/>
      </c>
      <c r="AE119" s="345">
        <f>IF(OR(C119="",AB119="",AC119=""),"",IF(AND(ABS(E119-AC119)/AC119&lt;=0.02,E119&lt;AC119),"25日戻り売り★",IF(AND(ABS(E119-AB119)/AB119&lt;=0.01,E119&lt;AB119),"5日戻り売り○","なし")))</f>
        <v/>
      </c>
      <c r="AF119">
        <f>IF(T119="","",IF(銘柄管理!$F$5="上昇▲",IF(AND(AD119="下降トレンド▼",OR(AE119="25日戻り売り★",AE119="5日戻り売り○")),"★逆張り売り",IF(AND(AD119="もみ合い→",OR(AE119="25日戻り売り★",AE119="5日戻り売り○")),"○逆張り売り",IF(W119&gt;=70,IF(Z119&lt;0,"◎反落確認","△過熱・様子見"),"相場上昇・見送り"))),IF(AND(T119&gt;=12,AD119="下降トレンド▼"),"★強い売り",IF(T119&gt;=12,"★強い売り",IF(AND(T119&gt;=8,OR(AE119="25日戻り売り★",AE119="5日戻り売り○")),"◎戻り売り",IF(T119&gt;=10,"○売り候補",IF(T119&gt;=6,"△注目",IF(T119&gt;=3,"様子見","見送り"))))))))</f>
        <v/>
      </c>
      <c r="AG119">
        <f>IF(AND(T119&gt;=7,C119&lt;&gt;""),T119,0)</f>
        <v/>
      </c>
      <c r="AH119">
        <f>IF(AG119&gt;0,AG119*10000-ROW(A119),0)</f>
        <v/>
      </c>
      <c r="AI119" s="623">
        <f t="array" ref="AI119">IF(C119="","",IFERROR((INDEX(終値!$E:$E,MATCH(TEXT(C119,"0"),終値!$A:$A,0))-INDEX(終値!$E:$BL,MATCH(TEXT(C119,"0"),終値!$A:$A,0),$AN$2))/INDEX(終値!$E:$BL,MATCH(TEXT(C119,"0"),終値!$A:$A,0),$AN$2)*100,""))</f>
        <v/>
      </c>
      <c r="AJ119" s="623">
        <f t="array" ref="AJ119">IFERROR((終値!$E$5-INDEX(終値!$E$5:$BL$5,1,$AN$2))/INDEX(終値!$E$5:$BL$5,1,$AN$2)*100,"")</f>
        <v/>
      </c>
      <c r="AK119" s="624">
        <f>IF(OR(AI119="",AJ119=""),"",AI119-AJ119)</f>
        <v/>
      </c>
      <c r="AL119" s="394">
        <f>IF(AK119="","",IF(AK119&lt;-5,3,IF(AK119&lt;0,1,IF(AK119&lt;3,-1,-2))))</f>
        <v/>
      </c>
      <c r="AO119" s="398">
        <f>IF(OR($C119="",$E119="",$F119="",$H119="",$I119="",$H119-$I119&lt;=0),"-",IF(AND($H119-MAX($F119,$E119)&gt;=ABS($E119-$F119)*2,MIN($F119,$E119)-$I119&lt;=ABS($E119-$F119)*0.5,ABS($E119-$F119)&gt;0),"上ヒゲ陰線▼",IF(AND($E119&lt;$F119,ABS($E119-$F119)&gt;=($H119-$I119)*0.7),"大陰線▼",IF(AND(MIN($F119,$E119)-$I119&gt;=($H119-$I119)*0.5,$H119-MAX($F119,$E119)&lt;=($H119-$I119)*0.2),"長い下ヒゲ(反発警戒)","通常"))))</f>
        <v/>
      </c>
      <c r="AP119" s="625">
        <f>IF($AO119="上ヒゲ陰線▼",2,IF($AO119="大陰線▼",2,IF($AO119="長い下ヒゲ(反発警戒)",-2,0)))</f>
        <v/>
      </c>
      <c r="AQ119">
        <f>IF(C119&lt;&gt;"",始値!F190,"")</f>
        <v/>
      </c>
      <c r="AR119">
        <f>IF(C119&lt;&gt;"",高値!F190,"")</f>
        <v/>
      </c>
      <c r="AS119">
        <f>IF(C119&lt;&gt;"",安値!F190,"")</f>
        <v/>
      </c>
      <c r="AT119">
        <f>IF(OR(C119="",AQ119="",AR119="",AS119="",AR119-AS119&lt;=0),"-",IF(AND(AR119-MAX(G119,AQ119)&gt;=ABS(G119-AQ119)*2,MIN(G119,AQ119)-AS119&lt;=ABS(G119-AQ119)*0.5,ABS(G119-AQ119)&gt;0),"上ヒゲ陰線▼",IF(AND(G119&lt;AQ119,ABS(G119-AQ119)&gt;=(AR119-AS119)*0.7),"大陰線▼",IF(AND(MIN(G119,AQ119)-AS119&gt;=(AR119-AS119)*0.5,AR119-MAX(G119,AQ119)&lt;=(AR119-AS119)*0.2),"長い下ヒゲ(反発)","通常"))))</f>
        <v/>
      </c>
      <c r="AU119">
        <f>IF(AT119="上ヒゲ陰線▼",2,IF(AT119="大陰線▼",2,IF(AT119="長い下ヒゲ(反発)",-2,0)))</f>
        <v/>
      </c>
    </row>
    <row r="120" ht="14.25" customHeight="1" s="574">
      <c r="A120" s="352">
        <f>IF(銘柄管理!B197&lt;&gt;"",HYPERLINK("https://kabutan.jp/stock/?code="&amp;銘柄管理!B197,"株探"),"")</f>
        <v/>
      </c>
      <c r="B120" s="225" t="n"/>
      <c r="C120" s="225">
        <f>IF(銘柄管理!B197="","",銘柄管理!B197)</f>
        <v/>
      </c>
      <c r="D120" s="225">
        <f>IF(銘柄管理!C197="","",銘柄管理!C197)</f>
        <v/>
      </c>
      <c r="E120" s="353">
        <f>IF(C120&lt;&gt;"",_xll.RssMarket(C120,"現在値"),"")</f>
        <v/>
      </c>
      <c r="F120" s="353">
        <f>IF(C120&lt;&gt;"",_xll.RssMarket(C120,"始値"),"")</f>
        <v/>
      </c>
      <c r="G120" s="225">
        <f>IF(C120&lt;&gt;"",終値!F197,"")</f>
        <v/>
      </c>
      <c r="H120" s="353">
        <f>IF(C120&lt;&gt;"",_xll.RssMarket(C120,"高値"),"")</f>
        <v/>
      </c>
      <c r="I120" s="353">
        <f>IF(C120&lt;&gt;"",_xll.RssMarket(C120,"安値"),"")</f>
        <v/>
      </c>
      <c r="J120" s="353">
        <f>IF(C120&lt;&gt;"",_xll.RssMarket(C120,"出来高"),"")</f>
        <v/>
      </c>
      <c r="K120" s="353">
        <f>IF(C120&lt;&gt;"",_xll.RssMarket(C120,"年初来高値"),"")</f>
        <v/>
      </c>
      <c r="L120" s="626">
        <f>IF(AND(E120&lt;&gt;"",K120&lt;&gt;"",K120&lt;&gt;0),(E120-K120)/K120*100,"")</f>
        <v/>
      </c>
      <c r="M120" s="353">
        <f>IF(C120&lt;&gt;"",IFERROR(AVERAGE(出来高!E197:I197),""),"")</f>
        <v/>
      </c>
      <c r="N120" s="353">
        <f>IF(C120&lt;&gt;"",IFERROR(AVERAGE(出来高!E197:AC197),""),"")</f>
        <v/>
      </c>
      <c r="O120" s="627">
        <f>IF(AND(J120&lt;&gt;"",M120&lt;&gt;"",M120&lt;&gt;0),J120/M120,"")</f>
        <v/>
      </c>
      <c r="P120" s="225">
        <f>IF(O120="","",IF(O120&gt;=2,"急増↑↑",IF(O120&gt;=1.5,"増加↑",IF(O120&gt;=1,"普通→","減少↓"))))</f>
        <v/>
      </c>
      <c r="Q120" s="225">
        <f>IF(E120="","",IF(AND(E120&lt;G120,O120&gt;=1.5),"売り▼",IF(E120&gt;G120,"様子見▲","中立→")))</f>
        <v/>
      </c>
      <c r="R120" s="353">
        <f>IF(E120&lt;&gt;"",ROUND(E120*0.92,0),"")</f>
        <v/>
      </c>
      <c r="S120" s="353">
        <f>IF(E120&lt;&gt;"",ROUND(E120*1.04,0),"")</f>
        <v/>
      </c>
      <c r="T120" s="345">
        <f>IF(C120="","",IFERROR(IF(W120&gt;=70,3,IF(W120&gt;=60,2,IF(W120&gt;=50,1,0)))+IF(X120&lt;0,2,0)+IF(AD120="下降トレンド▼",3,IF(AD120="もみ合い→",1,0))+IF(V120="年初来安値圏●",3,IF(V120="安値圏",2,0))+IF(Q120="売り▼",2,0)+IF(P120="急増↑↑",2,IF(P120="増加↑",1,0))+IF(Z120&lt;0,1,0)+IF(L120&lt;=-30,2,IF(L120&lt;=-15,1,0))+IF(AE120="25日戻り売り★",2,IF(AE120="5日戻り売り○",1,0))+N(AL120)+N(AP120)+N(AU120),0))</f>
        <v/>
      </c>
      <c r="U120" s="225">
        <f>IF(T120="","",IF(AND(T120&gt;=3,O120&gt;=1.5),"有効",IF(T120&gt;=3,"要確認","除外")))</f>
        <v/>
      </c>
      <c r="V120" s="225">
        <f>IF(AND(I120&lt;&gt;"",K120&lt;&gt;""),IF(I120&lt;=K120*0.6,"年初来安値圏●",IF(I120&lt;=K120*0.75,"安値圏","通常")),"")</f>
        <v/>
      </c>
      <c r="W120" s="628">
        <f t="array" ref="W120">IFERROR(100-100/(1+SUMPRODUCT((終値!F197:R197&gt;終値!G197:S197)*(終値!F197:R197-終値!G197:S197))/SUMPRODUCT((終値!F197:R197&lt;終値!G197:S197)*(終値!G197:S197-終値!F197:R197))),50)</f>
        <v/>
      </c>
      <c r="X120" s="357">
        <f>IF(C120&lt;&gt;"",IFERROR(SUMPRODUCT(終値!E197:P197,{0.154,0.132,0.113,0.097,0.083,0.071,0.061,0.052,0.045,0.038,0.033,0.028})/SUMPRODUCT({0.154,0.132,0.113,0.097,0.083,0.071,0.061,0.052,0.045,0.038,0.033,0.028})-SUMPRODUCT(終値!E197:AD197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0" s="225">
        <f>IF(AF120="","",AF120&amp;" | "&amp;AD120&amp;IF(AE120&lt;&gt;"なし"," "&amp;AE120,"")&amp;IF(X120&lt;0," MACD-"," MACD+")&amp;" RSI:"&amp;TEXT(W120,"0.0")&amp;IF(W120&gt;=70," [過熱]",IF(W120&lt;=30," [売られ過ぎ]",""))&amp;" 前日比:"&amp;TEXT(Z120,"+0.0;-0.0;0.0")&amp;"%"&amp;IF(V120="年初来安値圏●"," [年初来安値圏]",IF(V120="安値圏"," [安値圏]",""))&amp;IF(OR(AO120="通常",AO120="-"),""," ["&amp;AO120&amp;"]")&amp;IF(OR(AT120="通常",AT120="-"),"","前日["&amp;AT120&amp;"]")&amp;" ["&amp;T120&amp;"点]")</f>
        <v/>
      </c>
      <c r="Z120" s="629">
        <f>IF(AND(E120&lt;&gt;"",G120&lt;&gt;"",G120&lt;&gt;0),(E120-G120)/G120*100,"")</f>
        <v/>
      </c>
      <c r="AA120" s="225">
        <f>IF(OR(C120="",E120="",E120=0),"",IF(E120&gt;G120,"上昇▲",IF(E120&lt;G120,"下落▼","横ばい→")))</f>
        <v/>
      </c>
      <c r="AB120" s="353">
        <f>IF(OR(C120="",C120="TOPX",終値!E197=""),"",IFERROR(((終値!E197*0.333)+(終値!F197*0.222)+(終値!G197*0.148)+(終値!H197*0.099)+(終値!I197*0.066))/(0.333+0.222+0.148+0.099+0.066),""))</f>
        <v/>
      </c>
      <c r="AC120" s="353">
        <f>IF(OR(C120="",C120="TOPX",終値!E197=""),"",IFERROR(SUMPRODUCT((終値!E197:AC197)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0" s="225">
        <f>IF(OR(C120="",AB120="",AC120="",AB120=0,AC120=0),"",IF(AND(E120&gt;AB120,AB120&gt;AC120),"パーフェクト▲",IF(E120&gt;AC120,"上昇トレンド▲",IF(AND(E120&lt;AB120,AB120&lt;AC120),"下降トレンド▼","もみ合い→"))))</f>
        <v/>
      </c>
      <c r="AE120" s="225">
        <f>IF(OR(C120="",AB120="",AC120=""),"",IF(AND(ABS(E120-AC120)/AC120&lt;=0.02,E120&lt;AC120),"25日戻り売り★",IF(AND(ABS(E120-AB120)/AB120&lt;=0.01,E120&lt;AB120),"5日戻り売り○","なし")))</f>
        <v/>
      </c>
      <c r="AF120">
        <f>IF(T120="","",IF(銘柄管理!$F$5="上昇▲",IF(AND(AD120="下降トレンド▼",OR(AE120="25日戻り売り★",AE120="5日戻り売り○")),"★逆張り売り",IF(AND(AD120="もみ合い→",OR(AE120="25日戻り売り★",AE120="5日戻り売り○")),"○逆張り売り",IF(W120&gt;=70,IF(Z120&lt;0,"◎反落確認","△過熱・様子見"),"相場上昇・見送り"))),IF(AND(T120&gt;=12,AD120="下降トレンド▼"),"★強い売り",IF(T120&gt;=12,"★強い売り",IF(AND(T120&gt;=8,OR(AE120="25日戻り売り★",AE120="5日戻り売り○")),"◎戻り売り",IF(T120&gt;=10,"○売り候補",IF(T120&gt;=6,"△注目",IF(T120&gt;=3,"様子見","見送り"))))))))</f>
        <v/>
      </c>
      <c r="AG120">
        <f>IF(AND(T120&gt;=7,C120&lt;&gt;""),T120,0)</f>
        <v/>
      </c>
      <c r="AH120">
        <f>IF(AG120&gt;0,AG120*10000-ROW(A120),0)</f>
        <v/>
      </c>
      <c r="AI120" s="623">
        <f t="array" ref="AI120">IF(C120="","",IFERROR((INDEX(終値!$E:$E,MATCH(TEXT(C120,"0"),終値!$A:$A,0))-INDEX(終値!$E:$BL,MATCH(TEXT(C120,"0"),終値!$A:$A,0),$AN$2))/INDEX(終値!$E:$BL,MATCH(TEXT(C120,"0"),終値!$A:$A,0),$AN$2)*100,""))</f>
        <v/>
      </c>
      <c r="AJ120" s="623">
        <f t="array" ref="AJ120">IFERROR((終値!$E$5-INDEX(終値!$E$5:$BL$5,1,$AN$2))/INDEX(終値!$E$5:$BL$5,1,$AN$2)*100,"")</f>
        <v/>
      </c>
      <c r="AK120" s="624">
        <f>IF(OR(AI120="",AJ120=""),"",AI120-AJ120)</f>
        <v/>
      </c>
      <c r="AL120" s="394">
        <f>IF(AK120="","",IF(AK120&lt;-5,3,IF(AK120&lt;0,1,IF(AK120&lt;3,-1,-2))))</f>
        <v/>
      </c>
      <c r="AO120" s="398">
        <f>IF(OR($C120="",$E120="",$F120="",$H120="",$I120="",$H120-$I120&lt;=0),"-",IF(AND($H120-MAX($F120,$E120)&gt;=ABS($E120-$F120)*2,MIN($F120,$E120)-$I120&lt;=ABS($E120-$F120)*0.5,ABS($E120-$F120)&gt;0),"上ヒゲ陰線▼",IF(AND($E120&lt;$F120,ABS($E120-$F120)&gt;=($H120-$I120)*0.7),"大陰線▼",IF(AND(MIN($F120,$E120)-$I120&gt;=($H120-$I120)*0.5,$H120-MAX($F120,$E120)&lt;=($H120-$I120)*0.2),"長い下ヒゲ(反発警戒)","通常"))))</f>
        <v/>
      </c>
      <c r="AP120" s="625">
        <f>IF($AO120="上ヒゲ陰線▼",2,IF($AO120="大陰線▼",2,IF($AO120="長い下ヒゲ(反発警戒)",-2,0)))</f>
        <v/>
      </c>
      <c r="AQ120">
        <f>IF(C120&lt;&gt;"",始値!F197,"")</f>
        <v/>
      </c>
      <c r="AR120">
        <f>IF(C120&lt;&gt;"",高値!F197,"")</f>
        <v/>
      </c>
      <c r="AS120">
        <f>IF(C120&lt;&gt;"",安値!F197,"")</f>
        <v/>
      </c>
      <c r="AT120">
        <f>IF(OR(C120="",AQ120="",AR120="",AS120="",AR120-AS120&lt;=0),"-",IF(AND(AR120-MAX(G120,AQ120)&gt;=ABS(G120-AQ120)*2,MIN(G120,AQ120)-AS120&lt;=ABS(G120-AQ120)*0.5,ABS(G120-AQ120)&gt;0),"上ヒゲ陰線▼",IF(AND(G120&lt;AQ120,ABS(G120-AQ120)&gt;=(AR120-AS120)*0.7),"大陰線▼",IF(AND(MIN(G120,AQ120)-AS120&gt;=(AR120-AS120)*0.5,AR120-MAX(G120,AQ120)&lt;=(AR120-AS120)*0.2),"長い下ヒゲ(反発)","通常"))))</f>
        <v/>
      </c>
      <c r="AU120">
        <f>IF(AT120="上ヒゲ陰線▼",2,IF(AT120="大陰線▼",2,IF(AT120="長い下ヒゲ(反発)",-2,0)))</f>
        <v/>
      </c>
    </row>
    <row r="121" ht="14.25" customHeight="1" s="574">
      <c r="A121" s="344">
        <f>IF(銘柄管理!B208&lt;&gt;"",HYPERLINK("https://kabutan.jp/stock/?code="&amp;銘柄管理!B208,"株探"),"")</f>
        <v/>
      </c>
      <c r="B121" s="345" t="n"/>
      <c r="C121" s="345">
        <f>IF(銘柄管理!B208="","",銘柄管理!B208)</f>
        <v/>
      </c>
      <c r="D121" s="345">
        <f>IF(銘柄管理!C208="","",銘柄管理!C208)</f>
        <v/>
      </c>
      <c r="E121" s="346">
        <f>IF(C121&lt;&gt;"",_xll.RssMarket(C121,"現在値"),"")</f>
        <v/>
      </c>
      <c r="F121" s="346">
        <f>IF(C121&lt;&gt;"",_xll.RssMarket(C121,"始値"),"")</f>
        <v/>
      </c>
      <c r="G121" s="345">
        <f>IF(C121&lt;&gt;"",終値!F208,"")</f>
        <v/>
      </c>
      <c r="H121" s="346">
        <f>IF(C121&lt;&gt;"",_xll.RssMarket(C121,"高値"),"")</f>
        <v/>
      </c>
      <c r="I121" s="346">
        <f>IF(C121&lt;&gt;"",_xll.RssMarket(C121,"安値"),"")</f>
        <v/>
      </c>
      <c r="J121" s="346">
        <f>IF(C121&lt;&gt;"",_xll.RssMarket(C121,"出来高"),"")</f>
        <v/>
      </c>
      <c r="K121" s="346">
        <f>IF(C121&lt;&gt;"",_xll.RssMarket(C121,"年初来高値"),"")</f>
        <v/>
      </c>
      <c r="L121" s="619">
        <f>IF(AND(E121&lt;&gt;"",K121&lt;&gt;"",K121&lt;&gt;0),(E121-K121)/K121*100,"")</f>
        <v/>
      </c>
      <c r="M121" s="346">
        <f>IF(C121&lt;&gt;"",IFERROR(AVERAGE(出来高!E208:I208),""),"")</f>
        <v/>
      </c>
      <c r="N121" s="346">
        <f>IF(C121&lt;&gt;"",IFERROR(AVERAGE(出来高!E208:AC208),""),"")</f>
        <v/>
      </c>
      <c r="O121" s="620">
        <f>IF(AND(J121&lt;&gt;"",M121&lt;&gt;"",M121&lt;&gt;0),J121/M121,"")</f>
        <v/>
      </c>
      <c r="P121" s="345">
        <f>IF(O121="","",IF(O121&gt;=2,"急増↑↑",IF(O121&gt;=1.5,"増加↑",IF(O121&gt;=1,"普通→","減少↓"))))</f>
        <v/>
      </c>
      <c r="Q121" s="345">
        <f>IF(E121="","",IF(AND(E121&lt;G121,O121&gt;=1.5),"売り▼",IF(E121&gt;G121,"様子見▲","中立→")))</f>
        <v/>
      </c>
      <c r="R121" s="346">
        <f>IF(E121&lt;&gt;"",ROUND(E121*0.92,0),"")</f>
        <v/>
      </c>
      <c r="S121" s="346">
        <f>IF(E121&lt;&gt;"",ROUND(E121*1.04,0),"")</f>
        <v/>
      </c>
      <c r="T121" s="345">
        <f>IF(C121="","",IFERROR(IF(W121&gt;=70,3,IF(W121&gt;=60,2,IF(W121&gt;=50,1,0)))+IF(X121&lt;0,2,0)+IF(AD121="下降トレンド▼",3,IF(AD121="もみ合い→",1,0))+IF(V121="年初来安値圏●",3,IF(V121="安値圏",2,0))+IF(Q121="売り▼",2,0)+IF(P121="急増↑↑",2,IF(P121="増加↑",1,0))+IF(Z121&lt;0,1,0)+IF(L121&lt;=-30,2,IF(L121&lt;=-15,1,0))+IF(AE121="25日戻り売り★",2,IF(AE121="5日戻り売り○",1,0))+N(AL121)+N(AP121)+N(AU121),0))</f>
        <v/>
      </c>
      <c r="U121" s="345">
        <f>IF(T121="","",IF(AND(T121&gt;=3,O121&gt;=1.5),"有効",IF(T121&gt;=3,"要確認","除外")))</f>
        <v/>
      </c>
      <c r="V121" s="345">
        <f>IF(AND(I121&lt;&gt;"",K121&lt;&gt;""),IF(I121&lt;=K121*0.6,"年初来安値圏●",IF(I121&lt;=K121*0.75,"安値圏","通常")),"")</f>
        <v/>
      </c>
      <c r="W121" s="621">
        <f t="array" ref="W121">IFERROR(100-100/(1+SUMPRODUCT((終値!F208:R208&gt;終値!G208:S208)*(終値!F208:R208-終値!G208:S208))/SUMPRODUCT((終値!F208:R208&lt;終値!G208:S208)*(終値!G208:S208-終値!F208:R208))),50)</f>
        <v/>
      </c>
      <c r="X121" s="350">
        <f>IF(C121&lt;&gt;"",IFERROR(SUMPRODUCT(終値!E208:P208,{0.154,0.132,0.113,0.097,0.083,0.071,0.061,0.052,0.045,0.038,0.033,0.028})/SUMPRODUCT({0.154,0.132,0.113,0.097,0.083,0.071,0.061,0.052,0.045,0.038,0.033,0.028})-SUMPRODUCT(終値!E208:AD208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1" s="345">
        <f>IF(AF121="","",AF121&amp;" | "&amp;AD121&amp;IF(AE121&lt;&gt;"なし"," "&amp;AE121,"")&amp;IF(X121&lt;0," MACD-"," MACD+")&amp;" RSI:"&amp;TEXT(W121,"0.0")&amp;IF(W121&gt;=70," [過熱]",IF(W121&lt;=30," [売られ過ぎ]",""))&amp;" 前日比:"&amp;TEXT(Z121,"+0.0;-0.0;0.0")&amp;"%"&amp;IF(V121="年初来安値圏●"," [年初来安値圏]",IF(V121="安値圏"," [安値圏]",""))&amp;IF(OR(AO121="通常",AO121="-"),""," ["&amp;AO121&amp;"]")&amp;IF(OR(AT121="通常",AT121="-"),"","前日["&amp;AT121&amp;"]")&amp;" ["&amp;T121&amp;"点]")</f>
        <v/>
      </c>
      <c r="Z121" s="622">
        <f>IF(AND(E121&lt;&gt;"",G121&lt;&gt;"",G121&lt;&gt;0),(E121-G121)/G121*100,"")</f>
        <v/>
      </c>
      <c r="AA121" s="345">
        <f>IF(OR(C121="",E121="",E121=0),"",IF(E121&gt;G121,"上昇▲",IF(E121&lt;G121,"下落▼","横ばい→")))</f>
        <v/>
      </c>
      <c r="AB121" s="346">
        <f>IF(OR(C121="",C121="TOPX",終値!E208=""),"",IFERROR(((終値!E208*0.333)+(終値!F208*0.222)+(終値!G208*0.148)+(終値!H208*0.099)+(終値!I208*0.066))/(0.333+0.222+0.148+0.099+0.066),""))</f>
        <v/>
      </c>
      <c r="AC121" s="346">
        <f>IF(OR(C121="",C121="TOPX",終値!E208=""),"",IFERROR(SUMPRODUCT((終値!E208:AC208)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1" s="345">
        <f>IF(OR(C121="",AB121="",AC121="",AB121=0,AC121=0),"",IF(AND(E121&gt;AB121,AB121&gt;AC121),"パーフェクト▲",IF(E121&gt;AC121,"上昇トレンド▲",IF(AND(E121&lt;AB121,AB121&lt;AC121),"下降トレンド▼","もみ合い→"))))</f>
        <v/>
      </c>
      <c r="AE121" s="345">
        <f>IF(OR(C121="",AB121="",AC121=""),"",IF(AND(ABS(E121-AC121)/AC121&lt;=0.02,E121&lt;AC121),"25日戻り売り★",IF(AND(ABS(E121-AB121)/AB121&lt;=0.01,E121&lt;AB121),"5日戻り売り○","なし")))</f>
        <v/>
      </c>
      <c r="AF121">
        <f>IF(T121="","",IF(銘柄管理!$F$5="上昇▲",IF(AND(AD121="下降トレンド▼",OR(AE121="25日戻り売り★",AE121="5日戻り売り○")),"★逆張り売り",IF(AND(AD121="もみ合い→",OR(AE121="25日戻り売り★",AE121="5日戻り売り○")),"○逆張り売り",IF(W121&gt;=70,IF(Z121&lt;0,"◎反落確認","△過熱・様子見"),"相場上昇・見送り"))),IF(AND(T121&gt;=12,AD121="下降トレンド▼"),"★強い売り",IF(T121&gt;=12,"★強い売り",IF(AND(T121&gt;=8,OR(AE121="25日戻り売り★",AE121="5日戻り売り○")),"◎戻り売り",IF(T121&gt;=10,"○売り候補",IF(T121&gt;=6,"△注目",IF(T121&gt;=3,"様子見","見送り"))))))))</f>
        <v/>
      </c>
      <c r="AG121">
        <f>IF(AND(T121&gt;=7,C121&lt;&gt;""),T121,0)</f>
        <v/>
      </c>
      <c r="AH121">
        <f>IF(AG121&gt;0,AG121*10000-ROW(A121),0)</f>
        <v/>
      </c>
      <c r="AI121" s="623">
        <f t="array" ref="AI121">IF(C121="","",IFERROR((INDEX(終値!$E:$E,MATCH(TEXT(C121,"0"),終値!$A:$A,0))-INDEX(終値!$E:$BL,MATCH(TEXT(C121,"0"),終値!$A:$A,0),$AN$2))/INDEX(終値!$E:$BL,MATCH(TEXT(C121,"0"),終値!$A:$A,0),$AN$2)*100,""))</f>
        <v/>
      </c>
      <c r="AJ121" s="623">
        <f t="array" ref="AJ121">IFERROR((終値!$E$5-INDEX(終値!$E$5:$BL$5,1,$AN$2))/INDEX(終値!$E$5:$BL$5,1,$AN$2)*100,"")</f>
        <v/>
      </c>
      <c r="AK121" s="624">
        <f>IF(OR(AI121="",AJ121=""),"",AI121-AJ121)</f>
        <v/>
      </c>
      <c r="AL121" s="394">
        <f>IF(AK121="","",IF(AK121&lt;-5,3,IF(AK121&lt;0,1,IF(AK121&lt;3,-1,-2))))</f>
        <v/>
      </c>
      <c r="AO121" s="398">
        <f>IF(OR($C121="",$E121="",$F121="",$H121="",$I121="",$H121-$I121&lt;=0),"-",IF(AND($H121-MAX($F121,$E121)&gt;=ABS($E121-$F121)*2,MIN($F121,$E121)-$I121&lt;=ABS($E121-$F121)*0.5,ABS($E121-$F121)&gt;0),"上ヒゲ陰線▼",IF(AND($E121&lt;$F121,ABS($E121-$F121)&gt;=($H121-$I121)*0.7),"大陰線▼",IF(AND(MIN($F121,$E121)-$I121&gt;=($H121-$I121)*0.5,$H121-MAX($F121,$E121)&lt;=($H121-$I121)*0.2),"長い下ヒゲ(反発警戒)","通常"))))</f>
        <v/>
      </c>
      <c r="AP121" s="625">
        <f>IF($AO121="上ヒゲ陰線▼",2,IF($AO121="大陰線▼",2,IF($AO121="長い下ヒゲ(反発警戒)",-2,0)))</f>
        <v/>
      </c>
      <c r="AQ121">
        <f>IF(C121&lt;&gt;"",始値!F208,"")</f>
        <v/>
      </c>
      <c r="AR121">
        <f>IF(C121&lt;&gt;"",高値!F208,"")</f>
        <v/>
      </c>
      <c r="AS121">
        <f>IF(C121&lt;&gt;"",安値!F208,"")</f>
        <v/>
      </c>
      <c r="AT121">
        <f>IF(OR(C121="",AQ121="",AR121="",AS121="",AR121-AS121&lt;=0),"-",IF(AND(AR121-MAX(G121,AQ121)&gt;=ABS(G121-AQ121)*2,MIN(G121,AQ121)-AS121&lt;=ABS(G121-AQ121)*0.5,ABS(G121-AQ121)&gt;0),"上ヒゲ陰線▼",IF(AND(G121&lt;AQ121,ABS(G121-AQ121)&gt;=(AR121-AS121)*0.7),"大陰線▼",IF(AND(MIN(G121,AQ121)-AS121&gt;=(AR121-AS121)*0.5,AR121-MAX(G121,AQ121)&lt;=(AR121-AS121)*0.2),"長い下ヒゲ(反発)","通常"))))</f>
        <v/>
      </c>
      <c r="AU121">
        <f>IF(AT121="上ヒゲ陰線▼",2,IF(AT121="大陰線▼",2,IF(AT121="長い下ヒゲ(反発)",-2,0)))</f>
        <v/>
      </c>
    </row>
    <row r="122" ht="14.25" customHeight="1" s="574">
      <c r="A122" s="352">
        <f>IF(銘柄管理!B18&lt;&gt;"",HYPERLINK("https://kabutan.jp/stock/?code="&amp;銘柄管理!B18,"株探"),"")</f>
        <v/>
      </c>
      <c r="B122" s="225" t="n"/>
      <c r="C122" s="225">
        <f>IF(銘柄管理!B18="","",銘柄管理!B18)</f>
        <v/>
      </c>
      <c r="D122" s="225">
        <f>IF(銘柄管理!C18="","",銘柄管理!C18)</f>
        <v/>
      </c>
      <c r="E122" s="353">
        <f>IF(C122&lt;&gt;"",_xll.RssMarket(C122,"現在値"),"")</f>
        <v/>
      </c>
      <c r="F122" s="353">
        <f>IF(C122&lt;&gt;"",_xll.RssMarket(C122,"始値"),"")</f>
        <v/>
      </c>
      <c r="G122" s="225">
        <f>IF(C122&lt;&gt;"",終値!F18,"")</f>
        <v/>
      </c>
      <c r="H122" s="353">
        <f>IF(C122&lt;&gt;"",_xll.RssMarket(C122,"高値"),"")</f>
        <v/>
      </c>
      <c r="I122" s="353">
        <f>IF(C122&lt;&gt;"",_xll.RssMarket(C122,"安値"),"")</f>
        <v/>
      </c>
      <c r="J122" s="353">
        <f>IF(C122&lt;&gt;"",_xll.RssMarket(C122,"出来高"),"")</f>
        <v/>
      </c>
      <c r="K122" s="353">
        <f>IF(C122&lt;&gt;"",_xll.RssMarket(C122,"年初来高値"),"")</f>
        <v/>
      </c>
      <c r="L122" s="626">
        <f>IF(AND(E122&lt;&gt;"",K122&lt;&gt;"",K122&lt;&gt;0),(E122-K122)/K122*100,"")</f>
        <v/>
      </c>
      <c r="M122" s="353">
        <f>IF(C122&lt;&gt;"",IFERROR(AVERAGE(出来高!E18:I18),""),"")</f>
        <v/>
      </c>
      <c r="N122" s="353">
        <f>IF(C122&lt;&gt;"",IFERROR(AVERAGE(出来高!E18:AC18),""),"")</f>
        <v/>
      </c>
      <c r="O122" s="627">
        <f>IF(AND(J122&lt;&gt;"",M122&lt;&gt;"",M122&lt;&gt;0),J122/M122,"")</f>
        <v/>
      </c>
      <c r="P122" s="225">
        <f>IF(O122="","",IF(O122&gt;=2,"急増↑↑",IF(O122&gt;=1.5,"増加↑",IF(O122&gt;=1,"普通→","減少↓"))))</f>
        <v/>
      </c>
      <c r="Q122" s="225">
        <f>IF(E122="","",IF(AND(E122&lt;G122,O122&gt;=1.5),"売り▼",IF(E122&gt;G122,"様子見▲","中立→")))</f>
        <v/>
      </c>
      <c r="R122" s="353">
        <f>IF(E122&lt;&gt;"",ROUND(E122*0.92,0),"")</f>
        <v/>
      </c>
      <c r="S122" s="353">
        <f>IF(E122&lt;&gt;"",ROUND(E122*1.04,0),"")</f>
        <v/>
      </c>
      <c r="T122" s="345">
        <f>IF(C122="","",IFERROR(IF(W122&gt;=70,3,IF(W122&gt;=60,2,IF(W122&gt;=50,1,0)))+IF(X122&lt;0,2,0)+IF(AD122="下降トレンド▼",3,IF(AD122="もみ合い→",1,0))+IF(V122="年初来安値圏●",3,IF(V122="安値圏",2,0))+IF(Q122="売り▼",2,0)+IF(P122="急増↑↑",2,IF(P122="増加↑",1,0))+IF(Z122&lt;0,1,0)+IF(L122&lt;=-30,2,IF(L122&lt;=-15,1,0))+IF(AE122="25日戻り売り★",2,IF(AE122="5日戻り売り○",1,0))+N(AL122)+N(AP122)+N(AU122),0))</f>
        <v/>
      </c>
      <c r="U122" s="225">
        <f>IF(T122="","",IF(AND(T122&gt;=3,O122&gt;=1.5),"有効",IF(T122&gt;=3,"要確認","除外")))</f>
        <v/>
      </c>
      <c r="V122" s="225">
        <f>IF(AND(I122&lt;&gt;"",K122&lt;&gt;""),IF(I122&lt;=K122*0.6,"年初来安値圏●",IF(I122&lt;=K122*0.75,"安値圏","通常")),"")</f>
        <v/>
      </c>
      <c r="W122" s="628">
        <f t="array" ref="W122">IFERROR(100-100/(1+SUMPRODUCT((終値!F18:R18&gt;終値!G18:S18)*(終値!F18:R18-終値!G18:S18))/SUMPRODUCT((終値!F18:R18&lt;終値!G18:S18)*(終値!G18:S18-終値!F18:R18))),50)</f>
        <v/>
      </c>
      <c r="X122" s="357">
        <f>IF(C122&lt;&gt;"",IFERROR(SUMPRODUCT(終値!E18:P18,{0.154,0.132,0.113,0.097,0.083,0.071,0.061,0.052,0.045,0.038,0.033,0.028})/SUMPRODUCT({0.154,0.132,0.113,0.097,0.083,0.071,0.061,0.052,0.045,0.038,0.033,0.028})-SUMPRODUCT(終値!E18:AD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2" s="225">
        <f>IF(AF122="","",AF122&amp;" | "&amp;AD122&amp;IF(AE122&lt;&gt;"なし"," "&amp;AE122,"")&amp;IF(X122&lt;0," MACD-"," MACD+")&amp;" RSI:"&amp;TEXT(W122,"0.0")&amp;IF(W122&gt;=70," [過熱]",IF(W122&lt;=30," [売られ過ぎ]",""))&amp;" 前日比:"&amp;TEXT(Z122,"+0.0;-0.0;0.0")&amp;"%"&amp;IF(V122="年初来安値圏●"," [年初来安値圏]",IF(V122="安値圏"," [安値圏]",""))&amp;IF(OR(AO122="通常",AO122="-"),""," ["&amp;AO122&amp;"]")&amp;IF(OR(AT122="通常",AT122="-"),"","前日["&amp;AT122&amp;"]")&amp;" ["&amp;T122&amp;"点]")</f>
        <v/>
      </c>
      <c r="Z122" s="629">
        <f>IF(AND(E122&lt;&gt;"",G122&lt;&gt;"",G122&lt;&gt;0),(E122-G122)/G122*100,"")</f>
        <v/>
      </c>
      <c r="AA122" s="225">
        <f>IF(OR(C122="",E122="",E122=0),"",IF(E122&gt;G122,"上昇▲",IF(E122&lt;G122,"下落▼","横ばい→")))</f>
        <v/>
      </c>
      <c r="AB122" s="353">
        <f>IF(OR(C122="",C122="TOPX",終値!E18=""),"",IFERROR(((終値!E18*0.333)+(終値!F18*0.222)+(終値!G18*0.148)+(終値!H18*0.099)+(終値!I18*0.066))/(0.333+0.222+0.148+0.099+0.066),""))</f>
        <v/>
      </c>
      <c r="AC122" s="353">
        <f>IF(OR(C122="",C122="TOPX",終値!E18=""),"",IFERROR(SUMPRODUCT((終値!E18:AC18)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2" s="225">
        <f>IF(OR(C122="",AB122="",AC122="",AB122=0,AC122=0),"",IF(AND(E122&gt;AB122,AB122&gt;AC122),"パーフェクト▲",IF(E122&gt;AC122,"上昇トレンド▲",IF(AND(E122&lt;AB122,AB122&lt;AC122),"下降トレンド▼","もみ合い→"))))</f>
        <v/>
      </c>
      <c r="AE122" s="225">
        <f>IF(OR(C122="",AB122="",AC122=""),"",IF(AND(ABS(E122-AC122)/AC122&lt;=0.02,E122&lt;AC122),"25日戻り売り★",IF(AND(ABS(E122-AB122)/AB122&lt;=0.01,E122&lt;AB122),"5日戻り売り○","なし")))</f>
        <v/>
      </c>
      <c r="AF122">
        <f>IF(T122="","",IF(銘柄管理!$F$5="上昇▲",IF(AND(AD122="下降トレンド▼",OR(AE122="25日戻り売り★",AE122="5日戻り売り○")),"★逆張り売り",IF(AND(AD122="もみ合い→",OR(AE122="25日戻り売り★",AE122="5日戻り売り○")),"○逆張り売り",IF(W122&gt;=70,IF(Z122&lt;0,"◎反落確認","△過熱・様子見"),"相場上昇・見送り"))),IF(AND(T122&gt;=12,AD122="下降トレンド▼"),"★強い売り",IF(T122&gt;=12,"★強い売り",IF(AND(T122&gt;=8,OR(AE122="25日戻り売り★",AE122="5日戻り売り○")),"◎戻り売り",IF(T122&gt;=10,"○売り候補",IF(T122&gt;=6,"△注目",IF(T122&gt;=3,"様子見","見送り"))))))))</f>
        <v/>
      </c>
      <c r="AG122">
        <f>IF(AND(T122&gt;=7,C122&lt;&gt;""),T122,0)</f>
        <v/>
      </c>
      <c r="AH122">
        <f>IF(AG122&gt;0,AG122*10000-ROW(A122),0)</f>
        <v/>
      </c>
      <c r="AI122" s="623">
        <f t="array" ref="AI122">IF(C122="","",IFERROR((INDEX(終値!$E:$E,MATCH(TEXT(C122,"0"),終値!$A:$A,0))-INDEX(終値!$E:$BL,MATCH(TEXT(C122,"0"),終値!$A:$A,0),$AN$2))/INDEX(終値!$E:$BL,MATCH(TEXT(C122,"0"),終値!$A:$A,0),$AN$2)*100,""))</f>
        <v/>
      </c>
      <c r="AJ122" s="623">
        <f t="array" ref="AJ122">IFERROR((終値!$E$5-INDEX(終値!$E$5:$BL$5,1,$AN$2))/INDEX(終値!$E$5:$BL$5,1,$AN$2)*100,"")</f>
        <v/>
      </c>
      <c r="AK122" s="624">
        <f>IF(OR(AI122="",AJ122=""),"",AI122-AJ122)</f>
        <v/>
      </c>
      <c r="AL122" s="394">
        <f>IF(AK122="","",IF(AK122&lt;-5,3,IF(AK122&lt;0,1,IF(AK122&lt;3,-1,-2))))</f>
        <v/>
      </c>
      <c r="AO122" s="398">
        <f>IF(OR($C122="",$E122="",$F122="",$H122="",$I122="",$H122-$I122&lt;=0),"-",IF(AND($H122-MAX($F122,$E122)&gt;=ABS($E122-$F122)*2,MIN($F122,$E122)-$I122&lt;=ABS($E122-$F122)*0.5,ABS($E122-$F122)&gt;0),"上ヒゲ陰線▼",IF(AND($E122&lt;$F122,ABS($E122-$F122)&gt;=($H122-$I122)*0.7),"大陰線▼",IF(AND(MIN($F122,$E122)-$I122&gt;=($H122-$I122)*0.5,$H122-MAX($F122,$E122)&lt;=($H122-$I122)*0.2),"長い下ヒゲ(反発警戒)","通常"))))</f>
        <v/>
      </c>
      <c r="AP122" s="625">
        <f>IF($AO122="上ヒゲ陰線▼",2,IF($AO122="大陰線▼",2,IF($AO122="長い下ヒゲ(反発警戒)",-2,0)))</f>
        <v/>
      </c>
      <c r="AQ122">
        <f>IF(C122&lt;&gt;"",始値!F18,"")</f>
        <v/>
      </c>
      <c r="AR122">
        <f>IF(C122&lt;&gt;"",高値!F18,"")</f>
        <v/>
      </c>
      <c r="AS122">
        <f>IF(C122&lt;&gt;"",安値!F18,"")</f>
        <v/>
      </c>
      <c r="AT122">
        <f>IF(OR(C122="",AQ122="",AR122="",AS122="",AR122-AS122&lt;=0),"-",IF(AND(AR122-MAX(G122,AQ122)&gt;=ABS(G122-AQ122)*2,MIN(G122,AQ122)-AS122&lt;=ABS(G122-AQ122)*0.5,ABS(G122-AQ122)&gt;0),"上ヒゲ陰線▼",IF(AND(G122&lt;AQ122,ABS(G122-AQ122)&gt;=(AR122-AS122)*0.7),"大陰線▼",IF(AND(MIN(G122,AQ122)-AS122&gt;=(AR122-AS122)*0.5,AR122-MAX(G122,AQ122)&lt;=(AR122-AS122)*0.2),"長い下ヒゲ(反発)","通常"))))</f>
        <v/>
      </c>
      <c r="AU122">
        <f>IF(AT122="上ヒゲ陰線▼",2,IF(AT122="大陰線▼",2,IF(AT122="長い下ヒゲ(反発)",-2,0)))</f>
        <v/>
      </c>
    </row>
    <row r="123" ht="14.25" customHeight="1" s="574">
      <c r="A123" s="344">
        <f>IF(銘柄管理!B41&lt;&gt;"",HYPERLINK("https://kabutan.jp/stock/?code="&amp;銘柄管理!B41,"株探"),"")</f>
        <v/>
      </c>
      <c r="B123" s="345" t="n"/>
      <c r="C123" s="345">
        <f>IF(銘柄管理!B41="","",銘柄管理!B41)</f>
        <v/>
      </c>
      <c r="D123" s="345">
        <f>IF(銘柄管理!C41="","",銘柄管理!C41)</f>
        <v/>
      </c>
      <c r="E123" s="346">
        <f>IF(C123&lt;&gt;"",_xll.RssMarket(C123,"現在値"),"")</f>
        <v/>
      </c>
      <c r="F123" s="346">
        <f>IF(C123&lt;&gt;"",_xll.RssMarket(C123,"始値"),"")</f>
        <v/>
      </c>
      <c r="G123" s="345">
        <f>IF(C123&lt;&gt;"",終値!F41,"")</f>
        <v/>
      </c>
      <c r="H123" s="346">
        <f>IF(C123&lt;&gt;"",_xll.RssMarket(C123,"高値"),"")</f>
        <v/>
      </c>
      <c r="I123" s="346">
        <f>IF(C123&lt;&gt;"",_xll.RssMarket(C123,"安値"),"")</f>
        <v/>
      </c>
      <c r="J123" s="346">
        <f>IF(C123&lt;&gt;"",_xll.RssMarket(C123,"出来高"),"")</f>
        <v/>
      </c>
      <c r="K123" s="346">
        <f>IF(C123&lt;&gt;"",_xll.RssMarket(C123,"年初来高値"),"")</f>
        <v/>
      </c>
      <c r="L123" s="619">
        <f>IF(AND(E123&lt;&gt;"",K123&lt;&gt;"",K123&lt;&gt;0),(E123-K123)/K123*100,"")</f>
        <v/>
      </c>
      <c r="M123" s="346">
        <f>IF(C123&lt;&gt;"",IFERROR(AVERAGE(出来高!E41:I41),""),"")</f>
        <v/>
      </c>
      <c r="N123" s="346">
        <f>IF(C123&lt;&gt;"",IFERROR(AVERAGE(出来高!E41:AC41),""),"")</f>
        <v/>
      </c>
      <c r="O123" s="620">
        <f>IF(AND(J123&lt;&gt;"",M123&lt;&gt;"",M123&lt;&gt;0),J123/M123,"")</f>
        <v/>
      </c>
      <c r="P123" s="345">
        <f>IF(O123="","",IF(O123&gt;=2,"急増↑↑",IF(O123&gt;=1.5,"増加↑",IF(O123&gt;=1,"普通→","減少↓"))))</f>
        <v/>
      </c>
      <c r="Q123" s="345">
        <f>IF(E123="","",IF(AND(E123&lt;G123,O123&gt;=1.5),"売り▼",IF(E123&gt;G123,"様子見▲","中立→")))</f>
        <v/>
      </c>
      <c r="R123" s="346">
        <f>IF(E123&lt;&gt;"",ROUND(E123*0.92,0),"")</f>
        <v/>
      </c>
      <c r="S123" s="346">
        <f>IF(E123&lt;&gt;"",ROUND(E123*1.04,0),"")</f>
        <v/>
      </c>
      <c r="T123" s="345">
        <f>IF(C123="","",IFERROR(IF(W123&gt;=70,3,IF(W123&gt;=60,2,IF(W123&gt;=50,1,0)))+IF(X123&lt;0,2,0)+IF(AD123="下降トレンド▼",3,IF(AD123="もみ合い→",1,0))+IF(V123="年初来安値圏●",3,IF(V123="安値圏",2,0))+IF(Q123="売り▼",2,0)+IF(P123="急増↑↑",2,IF(P123="増加↑",1,0))+IF(Z123&lt;0,1,0)+IF(L123&lt;=-30,2,IF(L123&lt;=-15,1,0))+IF(AE123="25日戻り売り★",2,IF(AE123="5日戻り売り○",1,0))+N(AL123)+N(AP123)+N(AU123),0))</f>
        <v/>
      </c>
      <c r="U123" s="345">
        <f>IF(T123="","",IF(AND(T123&gt;=3,O123&gt;=1.5),"有効",IF(T123&gt;=3,"要確認","除外")))</f>
        <v/>
      </c>
      <c r="V123" s="345">
        <f>IF(AND(I123&lt;&gt;"",K123&lt;&gt;""),IF(I123&lt;=K123*0.6,"年初来安値圏●",IF(I123&lt;=K123*0.75,"安値圏","通常")),"")</f>
        <v/>
      </c>
      <c r="W123" s="621">
        <f t="array" ref="W123">IFERROR(100-100/(1+SUMPRODUCT((終値!F41:R41&gt;終値!G41:S41)*(終値!F41:R41-終値!G41:S41))/SUMPRODUCT((終値!F41:R41&lt;終値!G41:S41)*(終値!G41:S41-終値!F41:R41))),50)</f>
        <v/>
      </c>
      <c r="X123" s="350">
        <f>IF(C123&lt;&gt;"",IFERROR(SUMPRODUCT(終値!E41:P41,{0.154,0.132,0.113,0.097,0.083,0.071,0.061,0.052,0.045,0.038,0.033,0.028})/SUMPRODUCT({0.154,0.132,0.113,0.097,0.083,0.071,0.061,0.052,0.045,0.038,0.033,0.028})-SUMPRODUCT(終値!E41:AD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3" s="345">
        <f>IF(AF123="","",AF123&amp;" | "&amp;AD123&amp;IF(AE123&lt;&gt;"なし"," "&amp;AE123,"")&amp;IF(X123&lt;0," MACD-"," MACD+")&amp;" RSI:"&amp;TEXT(W123,"0.0")&amp;IF(W123&gt;=70," [過熱]",IF(W123&lt;=30," [売られ過ぎ]",""))&amp;" 前日比:"&amp;TEXT(Z123,"+0.0;-0.0;0.0")&amp;"%"&amp;IF(V123="年初来安値圏●"," [年初来安値圏]",IF(V123="安値圏"," [安値圏]",""))&amp;IF(OR(AO123="通常",AO123="-"),""," ["&amp;AO123&amp;"]")&amp;IF(OR(AT123="通常",AT123="-"),"","前日["&amp;AT123&amp;"]")&amp;" ["&amp;T123&amp;"点]")</f>
        <v/>
      </c>
      <c r="Z123" s="622">
        <f>IF(AND(E123&lt;&gt;"",G123&lt;&gt;"",G123&lt;&gt;0),(E123-G123)/G123*100,"")</f>
        <v/>
      </c>
      <c r="AA123" s="345">
        <f>IF(OR(C123="",E123="",E123=0),"",IF(E123&gt;G123,"上昇▲",IF(E123&lt;G123,"下落▼","横ばい→")))</f>
        <v/>
      </c>
      <c r="AB123" s="346">
        <f>IF(OR(C123="",C123="TOPX",終値!E41=""),"",IFERROR(((終値!E41*0.333)+(終値!F41*0.222)+(終値!G41*0.148)+(終値!H41*0.099)+(終値!I41*0.066))/(0.333+0.222+0.148+0.099+0.066),""))</f>
        <v/>
      </c>
      <c r="AC123" s="346">
        <f>IF(OR(C123="",C123="TOPX",終値!E41=""),"",IFERROR(SUMPRODUCT((終値!E41:AC41)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3" s="345">
        <f>IF(OR(C123="",AB123="",AC123="",AB123=0,AC123=0),"",IF(AND(E123&gt;AB123,AB123&gt;AC123),"パーフェクト▲",IF(E123&gt;AC123,"上昇トレンド▲",IF(AND(E123&lt;AB123,AB123&lt;AC123),"下降トレンド▼","もみ合い→"))))</f>
        <v/>
      </c>
      <c r="AE123" s="345">
        <f>IF(OR(C123="",AB123="",AC123=""),"",IF(AND(ABS(E123-AC123)/AC123&lt;=0.02,E123&lt;AC123),"25日戻り売り★",IF(AND(ABS(E123-AB123)/AB123&lt;=0.01,E123&lt;AB123),"5日戻り売り○","なし")))</f>
        <v/>
      </c>
      <c r="AF123">
        <f>IF(T123="","",IF(銘柄管理!$F$5="上昇▲",IF(AND(AD123="下降トレンド▼",OR(AE123="25日戻り売り★",AE123="5日戻り売り○")),"★逆張り売り",IF(AND(AD123="もみ合い→",OR(AE123="25日戻り売り★",AE123="5日戻り売り○")),"○逆張り売り",IF(W123&gt;=70,IF(Z123&lt;0,"◎反落確認","△過熱・様子見"),"相場上昇・見送り"))),IF(AND(T123&gt;=12,AD123="下降トレンド▼"),"★強い売り",IF(T123&gt;=12,"★強い売り",IF(AND(T123&gt;=8,OR(AE123="25日戻り売り★",AE123="5日戻り売り○")),"◎戻り売り",IF(T123&gt;=10,"○売り候補",IF(T123&gt;=6,"△注目",IF(T123&gt;=3,"様子見","見送り"))))))))</f>
        <v/>
      </c>
      <c r="AG123">
        <f>IF(AND(T123&gt;=7,C123&lt;&gt;""),T123,0)</f>
        <v/>
      </c>
      <c r="AH123">
        <f>IF(AG123&gt;0,AG123*10000-ROW(A123),0)</f>
        <v/>
      </c>
      <c r="AI123" s="623">
        <f t="array" ref="AI123">IF(C123="","",IFERROR((INDEX(終値!$E:$E,MATCH(TEXT(C123,"0"),終値!$A:$A,0))-INDEX(終値!$E:$BL,MATCH(TEXT(C123,"0"),終値!$A:$A,0),$AN$2))/INDEX(終値!$E:$BL,MATCH(TEXT(C123,"0"),終値!$A:$A,0),$AN$2)*100,""))</f>
        <v/>
      </c>
      <c r="AJ123" s="623">
        <f t="array" ref="AJ123">IFERROR((終値!$E$5-INDEX(終値!$E$5:$BL$5,1,$AN$2))/INDEX(終値!$E$5:$BL$5,1,$AN$2)*100,"")</f>
        <v/>
      </c>
      <c r="AK123" s="624">
        <f>IF(OR(AI123="",AJ123=""),"",AI123-AJ123)</f>
        <v/>
      </c>
      <c r="AL123" s="394">
        <f>IF(AK123="","",IF(AK123&lt;-5,3,IF(AK123&lt;0,1,IF(AK123&lt;3,-1,-2))))</f>
        <v/>
      </c>
      <c r="AO123" s="398">
        <f>IF(OR($C123="",$E123="",$F123="",$H123="",$I123="",$H123-$I123&lt;=0),"-",IF(AND($H123-MAX($F123,$E123)&gt;=ABS($E123-$F123)*2,MIN($F123,$E123)-$I123&lt;=ABS($E123-$F123)*0.5,ABS($E123-$F123)&gt;0),"上ヒゲ陰線▼",IF(AND($E123&lt;$F123,ABS($E123-$F123)&gt;=($H123-$I123)*0.7),"大陰線▼",IF(AND(MIN($F123,$E123)-$I123&gt;=($H123-$I123)*0.5,$H123-MAX($F123,$E123)&lt;=($H123-$I123)*0.2),"長い下ヒゲ(反発警戒)","通常"))))</f>
        <v/>
      </c>
      <c r="AP123" s="625">
        <f>IF($AO123="上ヒゲ陰線▼",2,IF($AO123="大陰線▼",2,IF($AO123="長い下ヒゲ(反発警戒)",-2,0)))</f>
        <v/>
      </c>
      <c r="AQ123">
        <f>IF(C123&lt;&gt;"",始値!F41,"")</f>
        <v/>
      </c>
      <c r="AR123">
        <f>IF(C123&lt;&gt;"",高値!F41,"")</f>
        <v/>
      </c>
      <c r="AS123">
        <f>IF(C123&lt;&gt;"",安値!F41,"")</f>
        <v/>
      </c>
      <c r="AT123">
        <f>IF(OR(C123="",AQ123="",AR123="",AS123="",AR123-AS123&lt;=0),"-",IF(AND(AR123-MAX(G123,AQ123)&gt;=ABS(G123-AQ123)*2,MIN(G123,AQ123)-AS123&lt;=ABS(G123-AQ123)*0.5,ABS(G123-AQ123)&gt;0),"上ヒゲ陰線▼",IF(AND(G123&lt;AQ123,ABS(G123-AQ123)&gt;=(AR123-AS123)*0.7),"大陰線▼",IF(AND(MIN(G123,AQ123)-AS123&gt;=(AR123-AS123)*0.5,AR123-MAX(G123,AQ123)&lt;=(AR123-AS123)*0.2),"長い下ヒゲ(反発)","通常"))))</f>
        <v/>
      </c>
      <c r="AU123">
        <f>IF(AT123="上ヒゲ陰線▼",2,IF(AT123="大陰線▼",2,IF(AT123="長い下ヒゲ(反発)",-2,0)))</f>
        <v/>
      </c>
    </row>
    <row r="124" ht="14.25" customHeight="1" s="574">
      <c r="A124" s="352">
        <f>IF(銘柄管理!B64&lt;&gt;"",HYPERLINK("https://kabutan.jp/stock/?code="&amp;銘柄管理!B64,"株探"),"")</f>
        <v/>
      </c>
      <c r="B124" s="225" t="n"/>
      <c r="C124" s="225">
        <f>IF(銘柄管理!B64="","",銘柄管理!B64)</f>
        <v/>
      </c>
      <c r="D124" s="225">
        <f>IF(銘柄管理!C64="","",銘柄管理!C64)</f>
        <v/>
      </c>
      <c r="E124" s="353">
        <f>IF(C124&lt;&gt;"",_xll.RssMarket(C124,"現在値"),"")</f>
        <v/>
      </c>
      <c r="F124" s="353">
        <f>IF(C124&lt;&gt;"",_xll.RssMarket(C124,"始値"),"")</f>
        <v/>
      </c>
      <c r="G124" s="225">
        <f>IF(C124&lt;&gt;"",終値!F64,"")</f>
        <v/>
      </c>
      <c r="H124" s="353">
        <f>IF(C124&lt;&gt;"",_xll.RssMarket(C124,"高値"),"")</f>
        <v/>
      </c>
      <c r="I124" s="353">
        <f>IF(C124&lt;&gt;"",_xll.RssMarket(C124,"安値"),"")</f>
        <v/>
      </c>
      <c r="J124" s="353">
        <f>IF(C124&lt;&gt;"",_xll.RssMarket(C124,"出来高"),"")</f>
        <v/>
      </c>
      <c r="K124" s="353">
        <f>IF(C124&lt;&gt;"",_xll.RssMarket(C124,"年初来高値"),"")</f>
        <v/>
      </c>
      <c r="L124" s="626">
        <f>IF(AND(E124&lt;&gt;"",K124&lt;&gt;"",K124&lt;&gt;0),(E124-K124)/K124*100,"")</f>
        <v/>
      </c>
      <c r="M124" s="353">
        <f>IF(C124&lt;&gt;"",IFERROR(AVERAGE(出来高!E64:I64),""),"")</f>
        <v/>
      </c>
      <c r="N124" s="353">
        <f>IF(C124&lt;&gt;"",IFERROR(AVERAGE(出来高!E64:AC64),""),"")</f>
        <v/>
      </c>
      <c r="O124" s="627">
        <f>IF(AND(J124&lt;&gt;"",M124&lt;&gt;"",M124&lt;&gt;0),J124/M124,"")</f>
        <v/>
      </c>
      <c r="P124" s="225">
        <f>IF(O124="","",IF(O124&gt;=2,"急増↑↑",IF(O124&gt;=1.5,"増加↑",IF(O124&gt;=1,"普通→","減少↓"))))</f>
        <v/>
      </c>
      <c r="Q124" s="225">
        <f>IF(E124="","",IF(AND(E124&lt;G124,O124&gt;=1.5),"売り▼",IF(E124&gt;G124,"様子見▲","中立→")))</f>
        <v/>
      </c>
      <c r="R124" s="353">
        <f>IF(E124&lt;&gt;"",ROUND(E124*0.92,0),"")</f>
        <v/>
      </c>
      <c r="S124" s="353">
        <f>IF(E124&lt;&gt;"",ROUND(E124*1.04,0),"")</f>
        <v/>
      </c>
      <c r="T124" s="345">
        <f>IF(C124="","",IFERROR(IF(W124&gt;=70,3,IF(W124&gt;=60,2,IF(W124&gt;=50,1,0)))+IF(X124&lt;0,2,0)+IF(AD124="下降トレンド▼",3,IF(AD124="もみ合い→",1,0))+IF(V124="年初来安値圏●",3,IF(V124="安値圏",2,0))+IF(Q124="売り▼",2,0)+IF(P124="急増↑↑",2,IF(P124="増加↑",1,0))+IF(Z124&lt;0,1,0)+IF(L124&lt;=-30,2,IF(L124&lt;=-15,1,0))+IF(AE124="25日戻り売り★",2,IF(AE124="5日戻り売り○",1,0))+N(AL124)+N(AP124)+N(AU124),0))</f>
        <v/>
      </c>
      <c r="U124" s="225">
        <f>IF(T124="","",IF(AND(T124&gt;=3,O124&gt;=1.5),"有効",IF(T124&gt;=3,"要確認","除外")))</f>
        <v/>
      </c>
      <c r="V124" s="225">
        <f>IF(AND(I124&lt;&gt;"",K124&lt;&gt;""),IF(I124&lt;=K124*0.6,"年初来安値圏●",IF(I124&lt;=K124*0.75,"安値圏","通常")),"")</f>
        <v/>
      </c>
      <c r="W124" s="628">
        <f t="array" ref="W124">IFERROR(100-100/(1+SUMPRODUCT((終値!F64:R64&gt;終値!G64:S64)*(終値!F64:R64-終値!G64:S64))/SUMPRODUCT((終値!F64:R64&lt;終値!G64:S64)*(終値!G64:S64-終値!F64:R64))),50)</f>
        <v/>
      </c>
      <c r="X124" s="357">
        <f>IF(C124&lt;&gt;"",IFERROR(SUMPRODUCT(終値!E64:P64,{0.154,0.132,0.113,0.097,0.083,0.071,0.061,0.052,0.045,0.038,0.033,0.028})/SUMPRODUCT({0.154,0.132,0.113,0.097,0.083,0.071,0.061,0.052,0.045,0.038,0.033,0.028})-SUMPRODUCT(終値!E64:AD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4" s="225">
        <f>IF(AF124="","",AF124&amp;" | "&amp;AD124&amp;IF(AE124&lt;&gt;"なし"," "&amp;AE124,"")&amp;IF(X124&lt;0," MACD-"," MACD+")&amp;" RSI:"&amp;TEXT(W124,"0.0")&amp;IF(W124&gt;=70," [過熱]",IF(W124&lt;=30," [売られ過ぎ]",""))&amp;" 前日比:"&amp;TEXT(Z124,"+0.0;-0.0;0.0")&amp;"%"&amp;IF(V124="年初来安値圏●"," [年初来安値圏]",IF(V124="安値圏"," [安値圏]",""))&amp;IF(OR(AO124="通常",AO124="-"),""," ["&amp;AO124&amp;"]")&amp;IF(OR(AT124="通常",AT124="-"),"","前日["&amp;AT124&amp;"]")&amp;" ["&amp;T124&amp;"点]")</f>
        <v/>
      </c>
      <c r="Z124" s="629">
        <f>IF(AND(E124&lt;&gt;"",G124&lt;&gt;"",G124&lt;&gt;0),(E124-G124)/G124*100,"")</f>
        <v/>
      </c>
      <c r="AA124" s="225">
        <f>IF(OR(C124="",E124="",E124=0),"",IF(E124&gt;G124,"上昇▲",IF(E124&lt;G124,"下落▼","横ばい→")))</f>
        <v/>
      </c>
      <c r="AB124" s="353">
        <f>IF(OR(C124="",C124="TOPX",終値!E64=""),"",IFERROR(((終値!E64*0.333)+(終値!F64*0.222)+(終値!G64*0.148)+(終値!H64*0.099)+(終値!I64*0.066))/(0.333+0.222+0.148+0.099+0.066),""))</f>
        <v/>
      </c>
      <c r="AC124" s="353">
        <f>IF(OR(C124="",C124="TOPX",終値!E64=""),"",IFERROR(SUMPRODUCT((終値!E64:AC64)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4" s="225">
        <f>IF(OR(C124="",AB124="",AC124="",AB124=0,AC124=0),"",IF(AND(E124&gt;AB124,AB124&gt;AC124),"パーフェクト▲",IF(E124&gt;AC124,"上昇トレンド▲",IF(AND(E124&lt;AB124,AB124&lt;AC124),"下降トレンド▼","もみ合い→"))))</f>
        <v/>
      </c>
      <c r="AE124" s="225">
        <f>IF(OR(C124="",AB124="",AC124=""),"",IF(AND(ABS(E124-AC124)/AC124&lt;=0.02,E124&lt;AC124),"25日戻り売り★",IF(AND(ABS(E124-AB124)/AB124&lt;=0.01,E124&lt;AB124),"5日戻り売り○","なし")))</f>
        <v/>
      </c>
      <c r="AF124">
        <f>IF(T124="","",IF(銘柄管理!$F$5="上昇▲",IF(AND(AD124="下降トレンド▼",OR(AE124="25日戻り売り★",AE124="5日戻り売り○")),"★逆張り売り",IF(AND(AD124="もみ合い→",OR(AE124="25日戻り売り★",AE124="5日戻り売り○")),"○逆張り売り",IF(W124&gt;=70,IF(Z124&lt;0,"◎反落確認","△過熱・様子見"),"相場上昇・見送り"))),IF(AND(T124&gt;=12,AD124="下降トレンド▼"),"★強い売り",IF(T124&gt;=12,"★強い売り",IF(AND(T124&gt;=8,OR(AE124="25日戻り売り★",AE124="5日戻り売り○")),"◎戻り売り",IF(T124&gt;=10,"○売り候補",IF(T124&gt;=6,"△注目",IF(T124&gt;=3,"様子見","見送り"))))))))</f>
        <v/>
      </c>
      <c r="AG124">
        <f>IF(AND(T124&gt;=7,C124&lt;&gt;""),T124,0)</f>
        <v/>
      </c>
      <c r="AH124">
        <f>IF(AG124&gt;0,AG124*10000-ROW(A124),0)</f>
        <v/>
      </c>
      <c r="AI124" s="623">
        <f t="array" ref="AI124">IF(C124="","",IFERROR((INDEX(終値!$E:$E,MATCH(TEXT(C124,"0"),終値!$A:$A,0))-INDEX(終値!$E:$BL,MATCH(TEXT(C124,"0"),終値!$A:$A,0),$AN$2))/INDEX(終値!$E:$BL,MATCH(TEXT(C124,"0"),終値!$A:$A,0),$AN$2)*100,""))</f>
        <v/>
      </c>
      <c r="AJ124" s="623">
        <f t="array" ref="AJ124">IFERROR((終値!$E$5-INDEX(終値!$E$5:$BL$5,1,$AN$2))/INDEX(終値!$E$5:$BL$5,1,$AN$2)*100,"")</f>
        <v/>
      </c>
      <c r="AK124" s="624">
        <f>IF(OR(AI124="",AJ124=""),"",AI124-AJ124)</f>
        <v/>
      </c>
      <c r="AL124" s="394">
        <f>IF(AK124="","",IF(AK124&lt;-5,3,IF(AK124&lt;0,1,IF(AK124&lt;3,-1,-2))))</f>
        <v/>
      </c>
      <c r="AO124" s="398">
        <f>IF(OR($C124="",$E124="",$F124="",$H124="",$I124="",$H124-$I124&lt;=0),"-",IF(AND($H124-MAX($F124,$E124)&gt;=ABS($E124-$F124)*2,MIN($F124,$E124)-$I124&lt;=ABS($E124-$F124)*0.5,ABS($E124-$F124)&gt;0),"上ヒゲ陰線▼",IF(AND($E124&lt;$F124,ABS($E124-$F124)&gt;=($H124-$I124)*0.7),"大陰線▼",IF(AND(MIN($F124,$E124)-$I124&gt;=($H124-$I124)*0.5,$H124-MAX($F124,$E124)&lt;=($H124-$I124)*0.2),"長い下ヒゲ(反発警戒)","通常"))))</f>
        <v/>
      </c>
      <c r="AP124" s="625">
        <f>IF($AO124="上ヒゲ陰線▼",2,IF($AO124="大陰線▼",2,IF($AO124="長い下ヒゲ(反発警戒)",-2,0)))</f>
        <v/>
      </c>
      <c r="AQ124">
        <f>IF(C124&lt;&gt;"",始値!F64,"")</f>
        <v/>
      </c>
      <c r="AR124">
        <f>IF(C124&lt;&gt;"",高値!F64,"")</f>
        <v/>
      </c>
      <c r="AS124">
        <f>IF(C124&lt;&gt;"",安値!F64,"")</f>
        <v/>
      </c>
      <c r="AT124">
        <f>IF(OR(C124="",AQ124="",AR124="",AS124="",AR124-AS124&lt;=0),"-",IF(AND(AR124-MAX(G124,AQ124)&gt;=ABS(G124-AQ124)*2,MIN(G124,AQ124)-AS124&lt;=ABS(G124-AQ124)*0.5,ABS(G124-AQ124)&gt;0),"上ヒゲ陰線▼",IF(AND(G124&lt;AQ124,ABS(G124-AQ124)&gt;=(AR124-AS124)*0.7),"大陰線▼",IF(AND(MIN(G124,AQ124)-AS124&gt;=(AR124-AS124)*0.5,AR124-MAX(G124,AQ124)&lt;=(AR124-AS124)*0.2),"長い下ヒゲ(反発)","通常"))))</f>
        <v/>
      </c>
      <c r="AU124">
        <f>IF(AT124="上ヒゲ陰線▼",2,IF(AT124="大陰線▼",2,IF(AT124="長い下ヒゲ(反発)",-2,0)))</f>
        <v/>
      </c>
    </row>
    <row r="125" ht="14.25" customHeight="1" s="574">
      <c r="A125" s="344">
        <f>IF(銘柄管理!B67&lt;&gt;"",HYPERLINK("https://kabutan.jp/stock/?code="&amp;銘柄管理!B67,"株探"),"")</f>
        <v/>
      </c>
      <c r="B125" s="345" t="n"/>
      <c r="C125" s="345">
        <f>IF(銘柄管理!B67="","",銘柄管理!B67)</f>
        <v/>
      </c>
      <c r="D125" s="345">
        <f>IF(銘柄管理!C67="","",銘柄管理!C67)</f>
        <v/>
      </c>
      <c r="E125" s="346">
        <f>IF(C125&lt;&gt;"",_xll.RssMarket(C125,"現在値"),"")</f>
        <v/>
      </c>
      <c r="F125" s="346">
        <f>IF(C125&lt;&gt;"",_xll.RssMarket(C125,"始値"),"")</f>
        <v/>
      </c>
      <c r="G125" s="345">
        <f>IF(C125&lt;&gt;"",終値!F67,"")</f>
        <v/>
      </c>
      <c r="H125" s="346">
        <f>IF(C125&lt;&gt;"",_xll.RssMarket(C125,"高値"),"")</f>
        <v/>
      </c>
      <c r="I125" s="346">
        <f>IF(C125&lt;&gt;"",_xll.RssMarket(C125,"安値"),"")</f>
        <v/>
      </c>
      <c r="J125" s="346">
        <f>IF(C125&lt;&gt;"",_xll.RssMarket(C125,"出来高"),"")</f>
        <v/>
      </c>
      <c r="K125" s="346">
        <f>IF(C125&lt;&gt;"",_xll.RssMarket(C125,"年初来高値"),"")</f>
        <v/>
      </c>
      <c r="L125" s="619">
        <f>IF(AND(E125&lt;&gt;"",K125&lt;&gt;"",K125&lt;&gt;0),(E125-K125)/K125*100,"")</f>
        <v/>
      </c>
      <c r="M125" s="346">
        <f>IF(C125&lt;&gt;"",IFERROR(AVERAGE(出来高!E67:I67),""),"")</f>
        <v/>
      </c>
      <c r="N125" s="346">
        <f>IF(C125&lt;&gt;"",IFERROR(AVERAGE(出来高!E67:AC67),""),"")</f>
        <v/>
      </c>
      <c r="O125" s="620">
        <f>IF(AND(J125&lt;&gt;"",M125&lt;&gt;"",M125&lt;&gt;0),J125/M125,"")</f>
        <v/>
      </c>
      <c r="P125" s="345">
        <f>IF(O125="","",IF(O125&gt;=2,"急増↑↑",IF(O125&gt;=1.5,"増加↑",IF(O125&gt;=1,"普通→","減少↓"))))</f>
        <v/>
      </c>
      <c r="Q125" s="345">
        <f>IF(E125="","",IF(AND(E125&lt;G125,O125&gt;=1.5),"売り▼",IF(E125&gt;G125,"様子見▲","中立→")))</f>
        <v/>
      </c>
      <c r="R125" s="346">
        <f>IF(E125&lt;&gt;"",ROUND(E125*0.92,0),"")</f>
        <v/>
      </c>
      <c r="S125" s="346">
        <f>IF(E125&lt;&gt;"",ROUND(E125*1.04,0),"")</f>
        <v/>
      </c>
      <c r="T125" s="345">
        <f>IF(C125="","",IFERROR(IF(W125&gt;=70,3,IF(W125&gt;=60,2,IF(W125&gt;=50,1,0)))+IF(X125&lt;0,2,0)+IF(AD125="下降トレンド▼",3,IF(AD125="もみ合い→",1,0))+IF(V125="年初来安値圏●",3,IF(V125="安値圏",2,0))+IF(Q125="売り▼",2,0)+IF(P125="急増↑↑",2,IF(P125="増加↑",1,0))+IF(Z125&lt;0,1,0)+IF(L125&lt;=-30,2,IF(L125&lt;=-15,1,0))+IF(AE125="25日戻り売り★",2,IF(AE125="5日戻り売り○",1,0))+N(AL125)+N(AP125)+N(AU125),0))</f>
        <v/>
      </c>
      <c r="U125" s="345">
        <f>IF(T125="","",IF(AND(T125&gt;=3,O125&gt;=1.5),"有効",IF(T125&gt;=3,"要確認","除外")))</f>
        <v/>
      </c>
      <c r="V125" s="345">
        <f>IF(AND(I125&lt;&gt;"",K125&lt;&gt;""),IF(I125&lt;=K125*0.6,"年初来安値圏●",IF(I125&lt;=K125*0.75,"安値圏","通常")),"")</f>
        <v/>
      </c>
      <c r="W125" s="621">
        <f t="array" ref="W125">IFERROR(100-100/(1+SUMPRODUCT((終値!F67:R67&gt;終値!G67:S67)*(終値!F67:R67-終値!G67:S67))/SUMPRODUCT((終値!F67:R67&lt;終値!G67:S67)*(終値!G67:S67-終値!F67:R67))),50)</f>
        <v/>
      </c>
      <c r="X125" s="350">
        <f>IF(C125&lt;&gt;"",IFERROR(SUMPRODUCT(終値!E67:P67,{0.154,0.132,0.113,0.097,0.083,0.071,0.061,0.052,0.045,0.038,0.033,0.028})/SUMPRODUCT({0.154,0.132,0.113,0.097,0.083,0.071,0.061,0.052,0.045,0.038,0.033,0.028})-SUMPRODUCT(終値!E67:AD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5" s="345">
        <f>IF(AF125="","",AF125&amp;" | "&amp;AD125&amp;IF(AE125&lt;&gt;"なし"," "&amp;AE125,"")&amp;IF(X125&lt;0," MACD-"," MACD+")&amp;" RSI:"&amp;TEXT(W125,"0.0")&amp;IF(W125&gt;=70," [過熱]",IF(W125&lt;=30," [売られ過ぎ]",""))&amp;" 前日比:"&amp;TEXT(Z125,"+0.0;-0.0;0.0")&amp;"%"&amp;IF(V125="年初来安値圏●"," [年初来安値圏]",IF(V125="安値圏"," [安値圏]",""))&amp;IF(OR(AO125="通常",AO125="-"),""," ["&amp;AO125&amp;"]")&amp;IF(OR(AT125="通常",AT125="-"),"","前日["&amp;AT125&amp;"]")&amp;" ["&amp;T125&amp;"点]")</f>
        <v/>
      </c>
      <c r="Z125" s="622">
        <f>IF(AND(E125&lt;&gt;"",G125&lt;&gt;"",G125&lt;&gt;0),(E125-G125)/G125*100,"")</f>
        <v/>
      </c>
      <c r="AA125" s="345">
        <f>IF(OR(C125="",E125="",E125=0),"",IF(E125&gt;G125,"上昇▲",IF(E125&lt;G125,"下落▼","横ばい→")))</f>
        <v/>
      </c>
      <c r="AB125" s="346">
        <f>IF(OR(C125="",C125="TOPX",終値!E67=""),"",IFERROR(((終値!E67*0.333)+(終値!F67*0.222)+(終値!G67*0.148)+(終値!H67*0.099)+(終値!I67*0.066))/(0.333+0.222+0.148+0.099+0.066),""))</f>
        <v/>
      </c>
      <c r="AC125" s="346">
        <f>IF(OR(C125="",C125="TOPX",終値!E67=""),"",IFERROR(SUMPRODUCT((終値!E67:AC67)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5" s="345">
        <f>IF(OR(C125="",AB125="",AC125="",AB125=0,AC125=0),"",IF(AND(E125&gt;AB125,AB125&gt;AC125),"パーフェクト▲",IF(E125&gt;AC125,"上昇トレンド▲",IF(AND(E125&lt;AB125,AB125&lt;AC125),"下降トレンド▼","もみ合い→"))))</f>
        <v/>
      </c>
      <c r="AE125" s="345">
        <f>IF(OR(C125="",AB125="",AC125=""),"",IF(AND(ABS(E125-AC125)/AC125&lt;=0.02,E125&lt;AC125),"25日戻り売り★",IF(AND(ABS(E125-AB125)/AB125&lt;=0.01,E125&lt;AB125),"5日戻り売り○","なし")))</f>
        <v/>
      </c>
      <c r="AF125">
        <f>IF(T125="","",IF(銘柄管理!$F$5="上昇▲",IF(AND(AD125="下降トレンド▼",OR(AE125="25日戻り売り★",AE125="5日戻り売り○")),"★逆張り売り",IF(AND(AD125="もみ合い→",OR(AE125="25日戻り売り★",AE125="5日戻り売り○")),"○逆張り売り",IF(W125&gt;=70,IF(Z125&lt;0,"◎反落確認","△過熱・様子見"),"相場上昇・見送り"))),IF(AND(T125&gt;=12,AD125="下降トレンド▼"),"★強い売り",IF(T125&gt;=12,"★強い売り",IF(AND(T125&gt;=8,OR(AE125="25日戻り売り★",AE125="5日戻り売り○")),"◎戻り売り",IF(T125&gt;=10,"○売り候補",IF(T125&gt;=6,"△注目",IF(T125&gt;=3,"様子見","見送り"))))))))</f>
        <v/>
      </c>
      <c r="AG125">
        <f>IF(AND(T125&gt;=7,C125&lt;&gt;""),T125,0)</f>
        <v/>
      </c>
      <c r="AH125">
        <f>IF(AG125&gt;0,AG125*10000-ROW(A125),0)</f>
        <v/>
      </c>
      <c r="AI125" s="623">
        <f t="array" ref="AI125">IF(C125="","",IFERROR((INDEX(終値!$E:$E,MATCH(TEXT(C125,"0"),終値!$A:$A,0))-INDEX(終値!$E:$BL,MATCH(TEXT(C125,"0"),終値!$A:$A,0),$AN$2))/INDEX(終値!$E:$BL,MATCH(TEXT(C125,"0"),終値!$A:$A,0),$AN$2)*100,""))</f>
        <v/>
      </c>
      <c r="AJ125" s="623">
        <f t="array" ref="AJ125">IFERROR((終値!$E$5-INDEX(終値!$E$5:$BL$5,1,$AN$2))/INDEX(終値!$E$5:$BL$5,1,$AN$2)*100,"")</f>
        <v/>
      </c>
      <c r="AK125" s="624">
        <f>IF(OR(AI125="",AJ125=""),"",AI125-AJ125)</f>
        <v/>
      </c>
      <c r="AL125" s="394">
        <f>IF(AK125="","",IF(AK125&lt;-5,3,IF(AK125&lt;0,1,IF(AK125&lt;3,-1,-2))))</f>
        <v/>
      </c>
      <c r="AO125" s="398">
        <f>IF(OR($C125="",$E125="",$F125="",$H125="",$I125="",$H125-$I125&lt;=0),"-",IF(AND($H125-MAX($F125,$E125)&gt;=ABS($E125-$F125)*2,MIN($F125,$E125)-$I125&lt;=ABS($E125-$F125)*0.5,ABS($E125-$F125)&gt;0),"上ヒゲ陰線▼",IF(AND($E125&lt;$F125,ABS($E125-$F125)&gt;=($H125-$I125)*0.7),"大陰線▼",IF(AND(MIN($F125,$E125)-$I125&gt;=($H125-$I125)*0.5,$H125-MAX($F125,$E125)&lt;=($H125-$I125)*0.2),"長い下ヒゲ(反発警戒)","通常"))))</f>
        <v/>
      </c>
      <c r="AP125" s="625">
        <f>IF($AO125="上ヒゲ陰線▼",2,IF($AO125="大陰線▼",2,IF($AO125="長い下ヒゲ(反発警戒)",-2,0)))</f>
        <v/>
      </c>
      <c r="AQ125">
        <f>IF(C125&lt;&gt;"",始値!F67,"")</f>
        <v/>
      </c>
      <c r="AR125">
        <f>IF(C125&lt;&gt;"",高値!F67,"")</f>
        <v/>
      </c>
      <c r="AS125">
        <f>IF(C125&lt;&gt;"",安値!F67,"")</f>
        <v/>
      </c>
      <c r="AT125">
        <f>IF(OR(C125="",AQ125="",AR125="",AS125="",AR125-AS125&lt;=0),"-",IF(AND(AR125-MAX(G125,AQ125)&gt;=ABS(G125-AQ125)*2,MIN(G125,AQ125)-AS125&lt;=ABS(G125-AQ125)*0.5,ABS(G125-AQ125)&gt;0),"上ヒゲ陰線▼",IF(AND(G125&lt;AQ125,ABS(G125-AQ125)&gt;=(AR125-AS125)*0.7),"大陰線▼",IF(AND(MIN(G125,AQ125)-AS125&gt;=(AR125-AS125)*0.5,AR125-MAX(G125,AQ125)&lt;=(AR125-AS125)*0.2),"長い下ヒゲ(反発)","通常"))))</f>
        <v/>
      </c>
      <c r="AU125">
        <f>IF(AT125="上ヒゲ陰線▼",2,IF(AT125="大陰線▼",2,IF(AT125="長い下ヒゲ(反発)",-2,0)))</f>
        <v/>
      </c>
    </row>
    <row r="126" ht="14.25" customHeight="1" s="574">
      <c r="A126" s="352">
        <f>IF(銘柄管理!B91&lt;&gt;"",HYPERLINK("https://kabutan.jp/stock/?code="&amp;銘柄管理!B91,"株探"),"")</f>
        <v/>
      </c>
      <c r="B126" s="225" t="n"/>
      <c r="C126" s="225">
        <f>IF(銘柄管理!B91="","",銘柄管理!B91)</f>
        <v/>
      </c>
      <c r="D126" s="225">
        <f>IF(銘柄管理!C91="","",銘柄管理!C91)</f>
        <v/>
      </c>
      <c r="E126" s="353">
        <f>IF(C126&lt;&gt;"",_xll.RssMarket(C126,"現在値"),"")</f>
        <v/>
      </c>
      <c r="F126" s="353">
        <f>IF(C126&lt;&gt;"",_xll.RssMarket(C126,"始値"),"")</f>
        <v/>
      </c>
      <c r="G126" s="225">
        <f>IF(C126&lt;&gt;"",終値!F91,"")</f>
        <v/>
      </c>
      <c r="H126" s="353">
        <f>IF(C126&lt;&gt;"",_xll.RssMarket(C126,"高値"),"")</f>
        <v/>
      </c>
      <c r="I126" s="353">
        <f>IF(C126&lt;&gt;"",_xll.RssMarket(C126,"安値"),"")</f>
        <v/>
      </c>
      <c r="J126" s="353">
        <f>IF(C126&lt;&gt;"",_xll.RssMarket(C126,"出来高"),"")</f>
        <v/>
      </c>
      <c r="K126" s="353">
        <f>IF(C126&lt;&gt;"",_xll.RssMarket(C126,"年初来高値"),"")</f>
        <v/>
      </c>
      <c r="L126" s="626">
        <f>IF(AND(E126&lt;&gt;"",K126&lt;&gt;"",K126&lt;&gt;0),(E126-K126)/K126*100,"")</f>
        <v/>
      </c>
      <c r="M126" s="353">
        <f>IF(C126&lt;&gt;"",IFERROR(AVERAGE(出来高!E91:I91),""),"")</f>
        <v/>
      </c>
      <c r="N126" s="353">
        <f>IF(C126&lt;&gt;"",IFERROR(AVERAGE(出来高!E91:AC91),""),"")</f>
        <v/>
      </c>
      <c r="O126" s="627">
        <f>IF(AND(J126&lt;&gt;"",M126&lt;&gt;"",M126&lt;&gt;0),J126/M126,"")</f>
        <v/>
      </c>
      <c r="P126" s="225">
        <f>IF(O126="","",IF(O126&gt;=2,"急増↑↑",IF(O126&gt;=1.5,"増加↑",IF(O126&gt;=1,"普通→","減少↓"))))</f>
        <v/>
      </c>
      <c r="Q126" s="225">
        <f>IF(E126="","",IF(AND(E126&lt;G126,O126&gt;=1.5),"売り▼",IF(E126&gt;G126,"様子見▲","中立→")))</f>
        <v/>
      </c>
      <c r="R126" s="353">
        <f>IF(E126&lt;&gt;"",ROUND(E126*0.92,0),"")</f>
        <v/>
      </c>
      <c r="S126" s="353">
        <f>IF(E126&lt;&gt;"",ROUND(E126*1.04,0),"")</f>
        <v/>
      </c>
      <c r="T126" s="345">
        <f>IF(C126="","",IFERROR(IF(W126&gt;=70,3,IF(W126&gt;=60,2,IF(W126&gt;=50,1,0)))+IF(X126&lt;0,2,0)+IF(AD126="下降トレンド▼",3,IF(AD126="もみ合い→",1,0))+IF(V126="年初来安値圏●",3,IF(V126="安値圏",2,0))+IF(Q126="売り▼",2,0)+IF(P126="急増↑↑",2,IF(P126="増加↑",1,0))+IF(Z126&lt;0,1,0)+IF(L126&lt;=-30,2,IF(L126&lt;=-15,1,0))+IF(AE126="25日戻り売り★",2,IF(AE126="5日戻り売り○",1,0))+N(AL126)+N(AP126)+N(AU126),0))</f>
        <v/>
      </c>
      <c r="U126" s="225">
        <f>IF(T126="","",IF(AND(T126&gt;=3,O126&gt;=1.5),"有効",IF(T126&gt;=3,"要確認","除外")))</f>
        <v/>
      </c>
      <c r="V126" s="225">
        <f>IF(AND(I126&lt;&gt;"",K126&lt;&gt;""),IF(I126&lt;=K126*0.6,"年初来安値圏●",IF(I126&lt;=K126*0.75,"安値圏","通常")),"")</f>
        <v/>
      </c>
      <c r="W126" s="628">
        <f t="array" ref="W126">IFERROR(100-100/(1+SUMPRODUCT((終値!F91:R91&gt;終値!G91:S91)*(終値!F91:R91-終値!G91:S91))/SUMPRODUCT((終値!F91:R91&lt;終値!G91:S91)*(終値!G91:S91-終値!F91:R91))),50)</f>
        <v/>
      </c>
      <c r="X126" s="357">
        <f>IF(C126&lt;&gt;"",IFERROR(SUMPRODUCT(終値!E91:P91,{0.154,0.132,0.113,0.097,0.083,0.071,0.061,0.052,0.045,0.038,0.033,0.028})/SUMPRODUCT({0.154,0.132,0.113,0.097,0.083,0.071,0.061,0.052,0.045,0.038,0.033,0.028})-SUMPRODUCT(終値!E91:AD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6" s="225">
        <f>IF(AF126="","",AF126&amp;" | "&amp;AD126&amp;IF(AE126&lt;&gt;"なし"," "&amp;AE126,"")&amp;IF(X126&lt;0," MACD-"," MACD+")&amp;" RSI:"&amp;TEXT(W126,"0.0")&amp;IF(W126&gt;=70," [過熱]",IF(W126&lt;=30," [売られ過ぎ]",""))&amp;" 前日比:"&amp;TEXT(Z126,"+0.0;-0.0;0.0")&amp;"%"&amp;IF(V126="年初来安値圏●"," [年初来安値圏]",IF(V126="安値圏"," [安値圏]",""))&amp;IF(OR(AO126="通常",AO126="-"),""," ["&amp;AO126&amp;"]")&amp;IF(OR(AT126="通常",AT126="-"),"","前日["&amp;AT126&amp;"]")&amp;" ["&amp;T126&amp;"点]")</f>
        <v/>
      </c>
      <c r="Z126" s="629">
        <f>IF(AND(E126&lt;&gt;"",G126&lt;&gt;"",G126&lt;&gt;0),(E126-G126)/G126*100,"")</f>
        <v/>
      </c>
      <c r="AA126" s="225">
        <f>IF(OR(C126="",E126="",E126=0),"",IF(E126&gt;G126,"上昇▲",IF(E126&lt;G126,"下落▼","横ばい→")))</f>
        <v/>
      </c>
      <c r="AB126" s="353">
        <f>IF(OR(C126="",C126="TOPX",終値!E91=""),"",IFERROR(((終値!E91*0.333)+(終値!F91*0.222)+(終値!G91*0.148)+(終値!H91*0.099)+(終値!I91*0.066))/(0.333+0.222+0.148+0.099+0.066),""))</f>
        <v/>
      </c>
      <c r="AC126" s="353">
        <f>IF(OR(C126="",C126="TOPX",終値!E91=""),"",IFERROR(SUMPRODUCT((終値!E91:AC91)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6" s="225">
        <f>IF(OR(C126="",AB126="",AC126="",AB126=0,AC126=0),"",IF(AND(E126&gt;AB126,AB126&gt;AC126),"パーフェクト▲",IF(E126&gt;AC126,"上昇トレンド▲",IF(AND(E126&lt;AB126,AB126&lt;AC126),"下降トレンド▼","もみ合い→"))))</f>
        <v/>
      </c>
      <c r="AE126" s="225">
        <f>IF(OR(C126="",AB126="",AC126=""),"",IF(AND(ABS(E126-AC126)/AC126&lt;=0.02,E126&lt;AC126),"25日戻り売り★",IF(AND(ABS(E126-AB126)/AB126&lt;=0.01,E126&lt;AB126),"5日戻り売り○","なし")))</f>
        <v/>
      </c>
      <c r="AF126">
        <f>IF(T126="","",IF(銘柄管理!$F$5="上昇▲",IF(AND(AD126="下降トレンド▼",OR(AE126="25日戻り売り★",AE126="5日戻り売り○")),"★逆張り売り",IF(AND(AD126="もみ合い→",OR(AE126="25日戻り売り★",AE126="5日戻り売り○")),"○逆張り売り",IF(W126&gt;=70,IF(Z126&lt;0,"◎反落確認","△過熱・様子見"),"相場上昇・見送り"))),IF(AND(T126&gt;=12,AD126="下降トレンド▼"),"★強い売り",IF(T126&gt;=12,"★強い売り",IF(AND(T126&gt;=8,OR(AE126="25日戻り売り★",AE126="5日戻り売り○")),"◎戻り売り",IF(T126&gt;=10,"○売り候補",IF(T126&gt;=6,"△注目",IF(T126&gt;=3,"様子見","見送り"))))))))</f>
        <v/>
      </c>
      <c r="AG126">
        <f>IF(AND(T126&gt;=7,C126&lt;&gt;""),T126,0)</f>
        <v/>
      </c>
      <c r="AH126">
        <f>IF(AG126&gt;0,AG126*10000-ROW(A126),0)</f>
        <v/>
      </c>
      <c r="AI126" s="623">
        <f t="array" ref="AI126">IF(C126="","",IFERROR((INDEX(終値!$E:$E,MATCH(TEXT(C126,"0"),終値!$A:$A,0))-INDEX(終値!$E:$BL,MATCH(TEXT(C126,"0"),終値!$A:$A,0),$AN$2))/INDEX(終値!$E:$BL,MATCH(TEXT(C126,"0"),終値!$A:$A,0),$AN$2)*100,""))</f>
        <v/>
      </c>
      <c r="AJ126" s="623">
        <f t="array" ref="AJ126">IFERROR((終値!$E$5-INDEX(終値!$E$5:$BL$5,1,$AN$2))/INDEX(終値!$E$5:$BL$5,1,$AN$2)*100,"")</f>
        <v/>
      </c>
      <c r="AK126" s="624">
        <f>IF(OR(AI126="",AJ126=""),"",AI126-AJ126)</f>
        <v/>
      </c>
      <c r="AL126" s="394">
        <f>IF(AK126="","",IF(AK126&lt;-5,3,IF(AK126&lt;0,1,IF(AK126&lt;3,-1,-2))))</f>
        <v/>
      </c>
      <c r="AO126" s="398">
        <f>IF(OR($C126="",$E126="",$F126="",$H126="",$I126="",$H126-$I126&lt;=0),"-",IF(AND($H126-MAX($F126,$E126)&gt;=ABS($E126-$F126)*2,MIN($F126,$E126)-$I126&lt;=ABS($E126-$F126)*0.5,ABS($E126-$F126)&gt;0),"上ヒゲ陰線▼",IF(AND($E126&lt;$F126,ABS($E126-$F126)&gt;=($H126-$I126)*0.7),"大陰線▼",IF(AND(MIN($F126,$E126)-$I126&gt;=($H126-$I126)*0.5,$H126-MAX($F126,$E126)&lt;=($H126-$I126)*0.2),"長い下ヒゲ(反発警戒)","通常"))))</f>
        <v/>
      </c>
      <c r="AP126" s="625">
        <f>IF($AO126="上ヒゲ陰線▼",2,IF($AO126="大陰線▼",2,IF($AO126="長い下ヒゲ(反発警戒)",-2,0)))</f>
        <v/>
      </c>
      <c r="AQ126">
        <f>IF(C126&lt;&gt;"",始値!F91,"")</f>
        <v/>
      </c>
      <c r="AR126">
        <f>IF(C126&lt;&gt;"",高値!F91,"")</f>
        <v/>
      </c>
      <c r="AS126">
        <f>IF(C126&lt;&gt;"",安値!F91,"")</f>
        <v/>
      </c>
      <c r="AT126">
        <f>IF(OR(C126="",AQ126="",AR126="",AS126="",AR126-AS126&lt;=0),"-",IF(AND(AR126-MAX(G126,AQ126)&gt;=ABS(G126-AQ126)*2,MIN(G126,AQ126)-AS126&lt;=ABS(G126-AQ126)*0.5,ABS(G126-AQ126)&gt;0),"上ヒゲ陰線▼",IF(AND(G126&lt;AQ126,ABS(G126-AQ126)&gt;=(AR126-AS126)*0.7),"大陰線▼",IF(AND(MIN(G126,AQ126)-AS126&gt;=(AR126-AS126)*0.5,AR126-MAX(G126,AQ126)&lt;=(AR126-AS126)*0.2),"長い下ヒゲ(反発)","通常"))))</f>
        <v/>
      </c>
      <c r="AU126">
        <f>IF(AT126="上ヒゲ陰線▼",2,IF(AT126="大陰線▼",2,IF(AT126="長い下ヒゲ(反発)",-2,0)))</f>
        <v/>
      </c>
    </row>
    <row r="127" ht="14.25" customHeight="1" s="574">
      <c r="A127" s="344">
        <f>IF(銘柄管理!B95&lt;&gt;"",HYPERLINK("https://kabutan.jp/stock/?code="&amp;銘柄管理!B95,"株探"),"")</f>
        <v/>
      </c>
      <c r="B127" s="345" t="n"/>
      <c r="C127" s="345">
        <f>IF(銘柄管理!B95="","",銘柄管理!B95)</f>
        <v/>
      </c>
      <c r="D127" s="345">
        <f>IF(銘柄管理!C95="","",銘柄管理!C95)</f>
        <v/>
      </c>
      <c r="E127" s="346">
        <f>IF(C127&lt;&gt;"",_xll.RssMarket(C127,"現在値"),"")</f>
        <v/>
      </c>
      <c r="F127" s="346">
        <f>IF(C127&lt;&gt;"",_xll.RssMarket(C127,"始値"),"")</f>
        <v/>
      </c>
      <c r="G127" s="345">
        <f>IF(C127&lt;&gt;"",終値!F95,"")</f>
        <v/>
      </c>
      <c r="H127" s="346">
        <f>IF(C127&lt;&gt;"",_xll.RssMarket(C127,"高値"),"")</f>
        <v/>
      </c>
      <c r="I127" s="346">
        <f>IF(C127&lt;&gt;"",_xll.RssMarket(C127,"安値"),"")</f>
        <v/>
      </c>
      <c r="J127" s="346">
        <f>IF(C127&lt;&gt;"",_xll.RssMarket(C127,"出来高"),"")</f>
        <v/>
      </c>
      <c r="K127" s="346">
        <f>IF(C127&lt;&gt;"",_xll.RssMarket(C127,"年初来高値"),"")</f>
        <v/>
      </c>
      <c r="L127" s="619">
        <f>IF(AND(E127&lt;&gt;"",K127&lt;&gt;"",K127&lt;&gt;0),(E127-K127)/K127*100,"")</f>
        <v/>
      </c>
      <c r="M127" s="346">
        <f>IF(C127&lt;&gt;"",IFERROR(AVERAGE(出来高!E95:I95),""),"")</f>
        <v/>
      </c>
      <c r="N127" s="346">
        <f>IF(C127&lt;&gt;"",IFERROR(AVERAGE(出来高!E95:AC95),""),"")</f>
        <v/>
      </c>
      <c r="O127" s="620">
        <f>IF(AND(J127&lt;&gt;"",M127&lt;&gt;"",M127&lt;&gt;0),J127/M127,"")</f>
        <v/>
      </c>
      <c r="P127" s="345">
        <f>IF(O127="","",IF(O127&gt;=2,"急増↑↑",IF(O127&gt;=1.5,"増加↑",IF(O127&gt;=1,"普通→","減少↓"))))</f>
        <v/>
      </c>
      <c r="Q127" s="345">
        <f>IF(E127="","",IF(AND(E127&lt;G127,O127&gt;=1.5),"売り▼",IF(E127&gt;G127,"様子見▲","中立→")))</f>
        <v/>
      </c>
      <c r="R127" s="346">
        <f>IF(E127&lt;&gt;"",ROUND(E127*0.92,0),"")</f>
        <v/>
      </c>
      <c r="S127" s="346">
        <f>IF(E127&lt;&gt;"",ROUND(E127*1.04,0),"")</f>
        <v/>
      </c>
      <c r="T127" s="345">
        <f>IF(C127="","",IFERROR(IF(W127&gt;=70,3,IF(W127&gt;=60,2,IF(W127&gt;=50,1,0)))+IF(X127&lt;0,2,0)+IF(AD127="下降トレンド▼",3,IF(AD127="もみ合い→",1,0))+IF(V127="年初来安値圏●",3,IF(V127="安値圏",2,0))+IF(Q127="売り▼",2,0)+IF(P127="急増↑↑",2,IF(P127="増加↑",1,0))+IF(Z127&lt;0,1,0)+IF(L127&lt;=-30,2,IF(L127&lt;=-15,1,0))+IF(AE127="25日戻り売り★",2,IF(AE127="5日戻り売り○",1,0))+N(AL127)+N(AP127)+N(AU127),0))</f>
        <v/>
      </c>
      <c r="U127" s="345">
        <f>IF(T127="","",IF(AND(T127&gt;=3,O127&gt;=1.5),"有効",IF(T127&gt;=3,"要確認","除外")))</f>
        <v/>
      </c>
      <c r="V127" s="345">
        <f>IF(AND(I127&lt;&gt;"",K127&lt;&gt;""),IF(I127&lt;=K127*0.6,"年初来安値圏●",IF(I127&lt;=K127*0.75,"安値圏","通常")),"")</f>
        <v/>
      </c>
      <c r="W127" s="621">
        <f t="array" ref="W127">IFERROR(100-100/(1+SUMPRODUCT((終値!F95:R95&gt;終値!G95:S95)*(終値!F95:R95-終値!G95:S95))/SUMPRODUCT((終値!F95:R95&lt;終値!G95:S95)*(終値!G95:S95-終値!F95:R95))),50)</f>
        <v/>
      </c>
      <c r="X127" s="350">
        <f>IF(C127&lt;&gt;"",IFERROR(SUMPRODUCT(終値!E95:P95,{0.154,0.132,0.113,0.097,0.083,0.071,0.061,0.052,0.045,0.038,0.033,0.028})/SUMPRODUCT({0.154,0.132,0.113,0.097,0.083,0.071,0.061,0.052,0.045,0.038,0.033,0.028})-SUMPRODUCT(終値!E95:AD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7" s="345">
        <f>IF(AF127="","",AF127&amp;" | "&amp;AD127&amp;IF(AE127&lt;&gt;"なし"," "&amp;AE127,"")&amp;IF(X127&lt;0," MACD-"," MACD+")&amp;" RSI:"&amp;TEXT(W127,"0.0")&amp;IF(W127&gt;=70," [過熱]",IF(W127&lt;=30," [売られ過ぎ]",""))&amp;" 前日比:"&amp;TEXT(Z127,"+0.0;-0.0;0.0")&amp;"%"&amp;IF(V127="年初来安値圏●"," [年初来安値圏]",IF(V127="安値圏"," [安値圏]",""))&amp;IF(OR(AO127="通常",AO127="-"),""," ["&amp;AO127&amp;"]")&amp;IF(OR(AT127="通常",AT127="-"),"","前日["&amp;AT127&amp;"]")&amp;" ["&amp;T127&amp;"点]")</f>
        <v/>
      </c>
      <c r="Z127" s="622">
        <f>IF(AND(E127&lt;&gt;"",G127&lt;&gt;"",G127&lt;&gt;0),(E127-G127)/G127*100,"")</f>
        <v/>
      </c>
      <c r="AA127" s="345">
        <f>IF(OR(C127="",E127="",E127=0),"",IF(E127&gt;G127,"上昇▲",IF(E127&lt;G127,"下落▼","横ばい→")))</f>
        <v/>
      </c>
      <c r="AB127" s="346">
        <f>IF(OR(C127="",C127="TOPX",終値!E95=""),"",IFERROR(((終値!E95*0.333)+(終値!F95*0.222)+(終値!G95*0.148)+(終値!H95*0.099)+(終値!I95*0.066))/(0.333+0.222+0.148+0.099+0.066),""))</f>
        <v/>
      </c>
      <c r="AC127" s="346">
        <f>IF(OR(C127="",C127="TOPX",終値!E95=""),"",IFERROR(SUMPRODUCT((終値!E95:AC95)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7" s="345">
        <f>IF(OR(C127="",AB127="",AC127="",AB127=0,AC127=0),"",IF(AND(E127&gt;AB127,AB127&gt;AC127),"パーフェクト▲",IF(E127&gt;AC127,"上昇トレンド▲",IF(AND(E127&lt;AB127,AB127&lt;AC127),"下降トレンド▼","もみ合い→"))))</f>
        <v/>
      </c>
      <c r="AE127" s="345">
        <f>IF(OR(C127="",AB127="",AC127=""),"",IF(AND(ABS(E127-AC127)/AC127&lt;=0.02,E127&lt;AC127),"25日戻り売り★",IF(AND(ABS(E127-AB127)/AB127&lt;=0.01,E127&lt;AB127),"5日戻り売り○","なし")))</f>
        <v/>
      </c>
      <c r="AF127">
        <f>IF(T127="","",IF(銘柄管理!$F$5="上昇▲",IF(AND(AD127="下降トレンド▼",OR(AE127="25日戻り売り★",AE127="5日戻り売り○")),"★逆張り売り",IF(AND(AD127="もみ合い→",OR(AE127="25日戻り売り★",AE127="5日戻り売り○")),"○逆張り売り",IF(W127&gt;=70,IF(Z127&lt;0,"◎反落確認","△過熱・様子見"),"相場上昇・見送り"))),IF(AND(T127&gt;=12,AD127="下降トレンド▼"),"★強い売り",IF(T127&gt;=12,"★強い売り",IF(AND(T127&gt;=8,OR(AE127="25日戻り売り★",AE127="5日戻り売り○")),"◎戻り売り",IF(T127&gt;=10,"○売り候補",IF(T127&gt;=6,"△注目",IF(T127&gt;=3,"様子見","見送り"))))))))</f>
        <v/>
      </c>
      <c r="AG127">
        <f>IF(AND(T127&gt;=7,C127&lt;&gt;""),T127,0)</f>
        <v/>
      </c>
      <c r="AH127">
        <f>IF(AG127&gt;0,AG127*10000-ROW(A127),0)</f>
        <v/>
      </c>
      <c r="AI127" s="623">
        <f t="array" ref="AI127">IF(C127="","",IFERROR((INDEX(終値!$E:$E,MATCH(TEXT(C127,"0"),終値!$A:$A,0))-INDEX(終値!$E:$BL,MATCH(TEXT(C127,"0"),終値!$A:$A,0),$AN$2))/INDEX(終値!$E:$BL,MATCH(TEXT(C127,"0"),終値!$A:$A,0),$AN$2)*100,""))</f>
        <v/>
      </c>
      <c r="AJ127" s="623">
        <f t="array" ref="AJ127">IFERROR((終値!$E$5-INDEX(終値!$E$5:$BL$5,1,$AN$2))/INDEX(終値!$E$5:$BL$5,1,$AN$2)*100,"")</f>
        <v/>
      </c>
      <c r="AK127" s="624">
        <f>IF(OR(AI127="",AJ127=""),"",AI127-AJ127)</f>
        <v/>
      </c>
      <c r="AL127" s="394">
        <f>IF(AK127="","",IF(AK127&lt;-5,3,IF(AK127&lt;0,1,IF(AK127&lt;3,-1,-2))))</f>
        <v/>
      </c>
      <c r="AO127" s="398">
        <f>IF(OR($C127="",$E127="",$F127="",$H127="",$I127="",$H127-$I127&lt;=0),"-",IF(AND($H127-MAX($F127,$E127)&gt;=ABS($E127-$F127)*2,MIN($F127,$E127)-$I127&lt;=ABS($E127-$F127)*0.5,ABS($E127-$F127)&gt;0),"上ヒゲ陰線▼",IF(AND($E127&lt;$F127,ABS($E127-$F127)&gt;=($H127-$I127)*0.7),"大陰線▼",IF(AND(MIN($F127,$E127)-$I127&gt;=($H127-$I127)*0.5,$H127-MAX($F127,$E127)&lt;=($H127-$I127)*0.2),"長い下ヒゲ(反発警戒)","通常"))))</f>
        <v/>
      </c>
      <c r="AP127" s="625">
        <f>IF($AO127="上ヒゲ陰線▼",2,IF($AO127="大陰線▼",2,IF($AO127="長い下ヒゲ(反発警戒)",-2,0)))</f>
        <v/>
      </c>
      <c r="AQ127">
        <f>IF(C127&lt;&gt;"",始値!F95,"")</f>
        <v/>
      </c>
      <c r="AR127">
        <f>IF(C127&lt;&gt;"",高値!F95,"")</f>
        <v/>
      </c>
      <c r="AS127">
        <f>IF(C127&lt;&gt;"",安値!F95,"")</f>
        <v/>
      </c>
      <c r="AT127">
        <f>IF(OR(C127="",AQ127="",AR127="",AS127="",AR127-AS127&lt;=0),"-",IF(AND(AR127-MAX(G127,AQ127)&gt;=ABS(G127-AQ127)*2,MIN(G127,AQ127)-AS127&lt;=ABS(G127-AQ127)*0.5,ABS(G127-AQ127)&gt;0),"上ヒゲ陰線▼",IF(AND(G127&lt;AQ127,ABS(G127-AQ127)&gt;=(AR127-AS127)*0.7),"大陰線▼",IF(AND(MIN(G127,AQ127)-AS127&gt;=(AR127-AS127)*0.5,AR127-MAX(G127,AQ127)&lt;=(AR127-AS127)*0.2),"長い下ヒゲ(反発)","通常"))))</f>
        <v/>
      </c>
      <c r="AU127">
        <f>IF(AT127="上ヒゲ陰線▼",2,IF(AT127="大陰線▼",2,IF(AT127="長い下ヒゲ(反発)",-2,0)))</f>
        <v/>
      </c>
    </row>
    <row r="128" ht="14.25" customHeight="1" s="574">
      <c r="A128" s="352">
        <f>IF(銘柄管理!B116&lt;&gt;"",HYPERLINK("https://kabutan.jp/stock/?code="&amp;銘柄管理!B116,"株探"),"")</f>
        <v/>
      </c>
      <c r="B128" s="225" t="n"/>
      <c r="C128" s="225">
        <f>IF(銘柄管理!B116="","",銘柄管理!B116)</f>
        <v/>
      </c>
      <c r="D128" s="225">
        <f>IF(銘柄管理!C116="","",銘柄管理!C116)</f>
        <v/>
      </c>
      <c r="E128" s="353">
        <f>IF(C128&lt;&gt;"",_xll.RssMarket(C128,"現在値"),"")</f>
        <v/>
      </c>
      <c r="F128" s="353">
        <f>IF(C128&lt;&gt;"",_xll.RssMarket(C128,"始値"),"")</f>
        <v/>
      </c>
      <c r="G128" s="225">
        <f>IF(C128&lt;&gt;"",終値!F116,"")</f>
        <v/>
      </c>
      <c r="H128" s="353">
        <f>IF(C128&lt;&gt;"",_xll.RssMarket(C128,"高値"),"")</f>
        <v/>
      </c>
      <c r="I128" s="353">
        <f>IF(C128&lt;&gt;"",_xll.RssMarket(C128,"安値"),"")</f>
        <v/>
      </c>
      <c r="J128" s="353">
        <f>IF(C128&lt;&gt;"",_xll.RssMarket(C128,"出来高"),"")</f>
        <v/>
      </c>
      <c r="K128" s="353">
        <f>IF(C128&lt;&gt;"",_xll.RssMarket(C128,"年初来高値"),"")</f>
        <v/>
      </c>
      <c r="L128" s="626">
        <f>IF(AND(E128&lt;&gt;"",K128&lt;&gt;"",K128&lt;&gt;0),(E128-K128)/K128*100,"")</f>
        <v/>
      </c>
      <c r="M128" s="353">
        <f>IF(C128&lt;&gt;"",IFERROR(AVERAGE(出来高!E116:I116),""),"")</f>
        <v/>
      </c>
      <c r="N128" s="353">
        <f>IF(C128&lt;&gt;"",IFERROR(AVERAGE(出来高!E116:AC116),""),"")</f>
        <v/>
      </c>
      <c r="O128" s="627">
        <f>IF(AND(J128&lt;&gt;"",M128&lt;&gt;"",M128&lt;&gt;0),J128/M128,"")</f>
        <v/>
      </c>
      <c r="P128" s="225">
        <f>IF(O128="","",IF(O128&gt;=2,"急増↑↑",IF(O128&gt;=1.5,"増加↑",IF(O128&gt;=1,"普通→","減少↓"))))</f>
        <v/>
      </c>
      <c r="Q128" s="225">
        <f>IF(E128="","",IF(AND(E128&lt;G128,O128&gt;=1.5),"売り▼",IF(E128&gt;G128,"様子見▲","中立→")))</f>
        <v/>
      </c>
      <c r="R128" s="353">
        <f>IF(E128&lt;&gt;"",ROUND(E128*0.92,0),"")</f>
        <v/>
      </c>
      <c r="S128" s="353">
        <f>IF(E128&lt;&gt;"",ROUND(E128*1.04,0),"")</f>
        <v/>
      </c>
      <c r="T128" s="345">
        <f>IF(C128="","",IFERROR(IF(W128&gt;=70,3,IF(W128&gt;=60,2,IF(W128&gt;=50,1,0)))+IF(X128&lt;0,2,0)+IF(AD128="下降トレンド▼",3,IF(AD128="もみ合い→",1,0))+IF(V128="年初来安値圏●",3,IF(V128="安値圏",2,0))+IF(Q128="売り▼",2,0)+IF(P128="急増↑↑",2,IF(P128="増加↑",1,0))+IF(Z128&lt;0,1,0)+IF(L128&lt;=-30,2,IF(L128&lt;=-15,1,0))+IF(AE128="25日戻り売り★",2,IF(AE128="5日戻り売り○",1,0))+N(AL128)+N(AP128)+N(AU128),0))</f>
        <v/>
      </c>
      <c r="U128" s="225">
        <f>IF(T128="","",IF(AND(T128&gt;=3,O128&gt;=1.5),"有効",IF(T128&gt;=3,"要確認","除外")))</f>
        <v/>
      </c>
      <c r="V128" s="225">
        <f>IF(AND(I128&lt;&gt;"",K128&lt;&gt;""),IF(I128&lt;=K128*0.6,"年初来安値圏●",IF(I128&lt;=K128*0.75,"安値圏","通常")),"")</f>
        <v/>
      </c>
      <c r="W128" s="628">
        <f t="array" ref="W128">IFERROR(100-100/(1+SUMPRODUCT((終値!F116:R116&gt;終値!G116:S116)*(終値!F116:R116-終値!G116:S116))/SUMPRODUCT((終値!F116:R116&lt;終値!G116:S116)*(終値!G116:S116-終値!F116:R116))),50)</f>
        <v/>
      </c>
      <c r="X128" s="357">
        <f>IF(C128&lt;&gt;"",IFERROR(SUMPRODUCT(終値!E116:P116,{0.154,0.132,0.113,0.097,0.083,0.071,0.061,0.052,0.045,0.038,0.033,0.028})/SUMPRODUCT({0.154,0.132,0.113,0.097,0.083,0.071,0.061,0.052,0.045,0.038,0.033,0.028})-SUMPRODUCT(終値!E116:AD116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8" s="225">
        <f>IF(AF128="","",AF128&amp;" | "&amp;AD128&amp;IF(AE128&lt;&gt;"なし"," "&amp;AE128,"")&amp;IF(X128&lt;0," MACD-"," MACD+")&amp;" RSI:"&amp;TEXT(W128,"0.0")&amp;IF(W128&gt;=70," [過熱]",IF(W128&lt;=30," [売られ過ぎ]",""))&amp;" 前日比:"&amp;TEXT(Z128,"+0.0;-0.0;0.0")&amp;"%"&amp;IF(V128="年初来安値圏●"," [年初来安値圏]",IF(V128="安値圏"," [安値圏]",""))&amp;IF(OR(AO128="通常",AO128="-"),""," ["&amp;AO128&amp;"]")&amp;IF(OR(AT128="通常",AT128="-"),"","前日["&amp;AT128&amp;"]")&amp;" ["&amp;T128&amp;"点]")</f>
        <v/>
      </c>
      <c r="Z128" s="629">
        <f>IF(AND(E128&lt;&gt;"",G128&lt;&gt;"",G128&lt;&gt;0),(E128-G128)/G128*100,"")</f>
        <v/>
      </c>
      <c r="AA128" s="225">
        <f>IF(OR(C128="",E128="",E128=0),"",IF(E128&gt;G128,"上昇▲",IF(E128&lt;G128,"下落▼","横ばい→")))</f>
        <v/>
      </c>
      <c r="AB128" s="353">
        <f>IF(OR(C128="",C128="TOPX",終値!E116=""),"",IFERROR(((終値!E116*0.333)+(終値!F116*0.222)+(終値!G116*0.148)+(終値!H116*0.099)+(終値!I116*0.066))/(0.333+0.222+0.148+0.099+0.066),""))</f>
        <v/>
      </c>
      <c r="AC128" s="353">
        <f>IF(OR(C128="",C128="TOPX",終値!E116=""),"",IFERROR(SUMPRODUCT((終値!E116:AC116)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8" s="225">
        <f>IF(OR(C128="",AB128="",AC128="",AB128=0,AC128=0),"",IF(AND(E128&gt;AB128,AB128&gt;AC128),"パーフェクト▲",IF(E128&gt;AC128,"上昇トレンド▲",IF(AND(E128&lt;AB128,AB128&lt;AC128),"下降トレンド▼","もみ合い→"))))</f>
        <v/>
      </c>
      <c r="AE128" s="225">
        <f>IF(OR(C128="",AB128="",AC128=""),"",IF(AND(ABS(E128-AC128)/AC128&lt;=0.02,E128&lt;AC128),"25日戻り売り★",IF(AND(ABS(E128-AB128)/AB128&lt;=0.01,E128&lt;AB128),"5日戻り売り○","なし")))</f>
        <v/>
      </c>
      <c r="AF128">
        <f>IF(T128="","",IF(銘柄管理!$F$5="上昇▲",IF(AND(AD128="下降トレンド▼",OR(AE128="25日戻り売り★",AE128="5日戻り売り○")),"★逆張り売り",IF(AND(AD128="もみ合い→",OR(AE128="25日戻り売り★",AE128="5日戻り売り○")),"○逆張り売り",IF(W128&gt;=70,IF(Z128&lt;0,"◎反落確認","△過熱・様子見"),"相場上昇・見送り"))),IF(AND(T128&gt;=12,AD128="下降トレンド▼"),"★強い売り",IF(T128&gt;=12,"★強い売り",IF(AND(T128&gt;=8,OR(AE128="25日戻り売り★",AE128="5日戻り売り○")),"◎戻り売り",IF(T128&gt;=10,"○売り候補",IF(T128&gt;=6,"△注目",IF(T128&gt;=3,"様子見","見送り"))))))))</f>
        <v/>
      </c>
      <c r="AG128">
        <f>IF(AND(T128&gt;=7,C128&lt;&gt;""),T128,0)</f>
        <v/>
      </c>
      <c r="AH128">
        <f>IF(AG128&gt;0,AG128*10000-ROW(A128),0)</f>
        <v/>
      </c>
      <c r="AI128" s="623">
        <f t="array" ref="AI128">IF(C128="","",IFERROR((INDEX(終値!$E:$E,MATCH(TEXT(C128,"0"),終値!$A:$A,0))-INDEX(終値!$E:$BL,MATCH(TEXT(C128,"0"),終値!$A:$A,0),$AN$2))/INDEX(終値!$E:$BL,MATCH(TEXT(C128,"0"),終値!$A:$A,0),$AN$2)*100,""))</f>
        <v/>
      </c>
      <c r="AJ128" s="623">
        <f t="array" ref="AJ128">IFERROR((終値!$E$5-INDEX(終値!$E$5:$BL$5,1,$AN$2))/INDEX(終値!$E$5:$BL$5,1,$AN$2)*100,"")</f>
        <v/>
      </c>
      <c r="AK128" s="624">
        <f>IF(OR(AI128="",AJ128=""),"",AI128-AJ128)</f>
        <v/>
      </c>
      <c r="AL128" s="394">
        <f>IF(AK128="","",IF(AK128&lt;-5,3,IF(AK128&lt;0,1,IF(AK128&lt;3,-1,-2))))</f>
        <v/>
      </c>
      <c r="AO128" s="398">
        <f>IF(OR($C128="",$E128="",$F128="",$H128="",$I128="",$H128-$I128&lt;=0),"-",IF(AND($H128-MAX($F128,$E128)&gt;=ABS($E128-$F128)*2,MIN($F128,$E128)-$I128&lt;=ABS($E128-$F128)*0.5,ABS($E128-$F128)&gt;0),"上ヒゲ陰線▼",IF(AND($E128&lt;$F128,ABS($E128-$F128)&gt;=($H128-$I128)*0.7),"大陰線▼",IF(AND(MIN($F128,$E128)-$I128&gt;=($H128-$I128)*0.5,$H128-MAX($F128,$E128)&lt;=($H128-$I128)*0.2),"長い下ヒゲ(反発警戒)","通常"))))</f>
        <v/>
      </c>
      <c r="AP128" s="625">
        <f>IF($AO128="上ヒゲ陰線▼",2,IF($AO128="大陰線▼",2,IF($AO128="長い下ヒゲ(反発警戒)",-2,0)))</f>
        <v/>
      </c>
      <c r="AQ128">
        <f>IF(C128&lt;&gt;"",始値!F116,"")</f>
        <v/>
      </c>
      <c r="AR128">
        <f>IF(C128&lt;&gt;"",高値!F116,"")</f>
        <v/>
      </c>
      <c r="AS128">
        <f>IF(C128&lt;&gt;"",安値!F116,"")</f>
        <v/>
      </c>
      <c r="AT128">
        <f>IF(OR(C128="",AQ128="",AR128="",AS128="",AR128-AS128&lt;=0),"-",IF(AND(AR128-MAX(G128,AQ128)&gt;=ABS(G128-AQ128)*2,MIN(G128,AQ128)-AS128&lt;=ABS(G128-AQ128)*0.5,ABS(G128-AQ128)&gt;0),"上ヒゲ陰線▼",IF(AND(G128&lt;AQ128,ABS(G128-AQ128)&gt;=(AR128-AS128)*0.7),"大陰線▼",IF(AND(MIN(G128,AQ128)-AS128&gt;=(AR128-AS128)*0.5,AR128-MAX(G128,AQ128)&lt;=(AR128-AS128)*0.2),"長い下ヒゲ(反発)","通常"))))</f>
        <v/>
      </c>
      <c r="AU128">
        <f>IF(AT128="上ヒゲ陰線▼",2,IF(AT128="大陰線▼",2,IF(AT128="長い下ヒゲ(反発)",-2,0)))</f>
        <v/>
      </c>
    </row>
    <row r="129" ht="14.25" customHeight="1" s="574">
      <c r="A129" s="344">
        <f>IF(銘柄管理!B124&lt;&gt;"",HYPERLINK("https://kabutan.jp/stock/?code="&amp;銘柄管理!B124,"株探"),"")</f>
        <v/>
      </c>
      <c r="B129" s="345" t="n"/>
      <c r="C129" s="345">
        <f>IF(銘柄管理!B124="","",銘柄管理!B124)</f>
        <v/>
      </c>
      <c r="D129" s="345">
        <f>IF(銘柄管理!C124="","",銘柄管理!C124)</f>
        <v/>
      </c>
      <c r="E129" s="346">
        <f>IF(C129&lt;&gt;"",_xll.RssMarket(C129,"現在値"),"")</f>
        <v/>
      </c>
      <c r="F129" s="346">
        <f>IF(C129&lt;&gt;"",_xll.RssMarket(C129,"始値"),"")</f>
        <v/>
      </c>
      <c r="G129" s="345">
        <f>IF(C129&lt;&gt;"",終値!F124,"")</f>
        <v/>
      </c>
      <c r="H129" s="346">
        <f>IF(C129&lt;&gt;"",_xll.RssMarket(C129,"高値"),"")</f>
        <v/>
      </c>
      <c r="I129" s="346">
        <f>IF(C129&lt;&gt;"",_xll.RssMarket(C129,"安値"),"")</f>
        <v/>
      </c>
      <c r="J129" s="346">
        <f>IF(C129&lt;&gt;"",_xll.RssMarket(C129,"出来高"),"")</f>
        <v/>
      </c>
      <c r="K129" s="346">
        <f>IF(C129&lt;&gt;"",_xll.RssMarket(C129,"年初来高値"),"")</f>
        <v/>
      </c>
      <c r="L129" s="619">
        <f>IF(AND(E129&lt;&gt;"",K129&lt;&gt;"",K129&lt;&gt;0),(E129-K129)/K129*100,"")</f>
        <v/>
      </c>
      <c r="M129" s="346">
        <f>IF(C129&lt;&gt;"",IFERROR(AVERAGE(出来高!E124:I124),""),"")</f>
        <v/>
      </c>
      <c r="N129" s="346">
        <f>IF(C129&lt;&gt;"",IFERROR(AVERAGE(出来高!E124:AC124),""),"")</f>
        <v/>
      </c>
      <c r="O129" s="620">
        <f>IF(AND(J129&lt;&gt;"",M129&lt;&gt;"",M129&lt;&gt;0),J129/M129,"")</f>
        <v/>
      </c>
      <c r="P129" s="345">
        <f>IF(O129="","",IF(O129&gt;=2,"急増↑↑",IF(O129&gt;=1.5,"増加↑",IF(O129&gt;=1,"普通→","減少↓"))))</f>
        <v/>
      </c>
      <c r="Q129" s="345">
        <f>IF(E129="","",IF(AND(E129&lt;G129,O129&gt;=1.5),"売り▼",IF(E129&gt;G129,"様子見▲","中立→")))</f>
        <v/>
      </c>
      <c r="R129" s="346">
        <f>IF(E129&lt;&gt;"",ROUND(E129*0.92,0),"")</f>
        <v/>
      </c>
      <c r="S129" s="346">
        <f>IF(E129&lt;&gt;"",ROUND(E129*1.04,0),"")</f>
        <v/>
      </c>
      <c r="T129" s="345">
        <f>IF(C129="","",IFERROR(IF(W129&gt;=70,3,IF(W129&gt;=60,2,IF(W129&gt;=50,1,0)))+IF(X129&lt;0,2,0)+IF(AD129="下降トレンド▼",3,IF(AD129="もみ合い→",1,0))+IF(V129="年初来安値圏●",3,IF(V129="安値圏",2,0))+IF(Q129="売り▼",2,0)+IF(P129="急増↑↑",2,IF(P129="増加↑",1,0))+IF(Z129&lt;0,1,0)+IF(L129&lt;=-30,2,IF(L129&lt;=-15,1,0))+IF(AE129="25日戻り売り★",2,IF(AE129="5日戻り売り○",1,0))+N(AL129)+N(AP129)+N(AU129),0))</f>
        <v/>
      </c>
      <c r="U129" s="345">
        <f>IF(T129="","",IF(AND(T129&gt;=3,O129&gt;=1.5),"有効",IF(T129&gt;=3,"要確認","除外")))</f>
        <v/>
      </c>
      <c r="V129" s="345">
        <f>IF(AND(I129&lt;&gt;"",K129&lt;&gt;""),IF(I129&lt;=K129*0.6,"年初来安値圏●",IF(I129&lt;=K129*0.75,"安値圏","通常")),"")</f>
        <v/>
      </c>
      <c r="W129" s="621">
        <f t="array" ref="W129">IFERROR(100-100/(1+SUMPRODUCT((終値!F124:R124&gt;終値!G124:S124)*(終値!F124:R124-終値!G124:S124))/SUMPRODUCT((終値!F124:R124&lt;終値!G124:S124)*(終値!G124:S124-終値!F124:R124))),50)</f>
        <v/>
      </c>
      <c r="X129" s="350">
        <f>IF(C129&lt;&gt;"",IFERROR(SUMPRODUCT(終値!E124:P124,{0.154,0.132,0.113,0.097,0.083,0.071,0.061,0.052,0.045,0.038,0.033,0.028})/SUMPRODUCT({0.154,0.132,0.113,0.097,0.083,0.071,0.061,0.052,0.045,0.038,0.033,0.028})-SUMPRODUCT(終値!E124:AD124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9" s="345">
        <f>IF(AF129="","",AF129&amp;" | "&amp;AD129&amp;IF(AE129&lt;&gt;"なし"," "&amp;AE129,"")&amp;IF(X129&lt;0," MACD-"," MACD+")&amp;" RSI:"&amp;TEXT(W129,"0.0")&amp;IF(W129&gt;=70," [過熱]",IF(W129&lt;=30," [売られ過ぎ]",""))&amp;" 前日比:"&amp;TEXT(Z129,"+0.0;-0.0;0.0")&amp;"%"&amp;IF(V129="年初来安値圏●"," [年初来安値圏]",IF(V129="安値圏"," [安値圏]",""))&amp;IF(OR(AO129="通常",AO129="-"),""," ["&amp;AO129&amp;"]")&amp;IF(OR(AT129="通常",AT129="-"),"","前日["&amp;AT129&amp;"]")&amp;" ["&amp;T129&amp;"点]")</f>
        <v/>
      </c>
      <c r="Z129" s="622">
        <f>IF(AND(E129&lt;&gt;"",G129&lt;&gt;"",G129&lt;&gt;0),(E129-G129)/G129*100,"")</f>
        <v/>
      </c>
      <c r="AA129" s="345">
        <f>IF(OR(C129="",E129="",E129=0),"",IF(E129&gt;G129,"上昇▲",IF(E129&lt;G129,"下落▼","横ばい→")))</f>
        <v/>
      </c>
      <c r="AB129" s="346">
        <f>IF(OR(C129="",C129="TOPX",終値!E124=""),"",IFERROR(((終値!E124*0.333)+(終値!F124*0.222)+(終値!G124*0.148)+(終値!H124*0.099)+(終値!I124*0.066))/(0.333+0.222+0.148+0.099+0.066),""))</f>
        <v/>
      </c>
      <c r="AC129" s="346">
        <f>IF(OR(C129="",C129="TOPX",終値!E124=""),"",IFERROR(SUMPRODUCT((終値!E124:AC124)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9" s="345">
        <f>IF(OR(C129="",AB129="",AC129="",AB129=0,AC129=0),"",IF(AND(E129&gt;AB129,AB129&gt;AC129),"パーフェクト▲",IF(E129&gt;AC129,"上昇トレンド▲",IF(AND(E129&lt;AB129,AB129&lt;AC129),"下降トレンド▼","もみ合い→"))))</f>
        <v/>
      </c>
      <c r="AE129" s="345">
        <f>IF(OR(C129="",AB129="",AC129=""),"",IF(AND(ABS(E129-AC129)/AC129&lt;=0.02,E129&lt;AC129),"25日戻り売り★",IF(AND(ABS(E129-AB129)/AB129&lt;=0.01,E129&lt;AB129),"5日戻り売り○","なし")))</f>
        <v/>
      </c>
      <c r="AF129">
        <f>IF(T129="","",IF(銘柄管理!$F$5="上昇▲",IF(AND(AD129="下降トレンド▼",OR(AE129="25日戻り売り★",AE129="5日戻り売り○")),"★逆張り売り",IF(AND(AD129="もみ合い→",OR(AE129="25日戻り売り★",AE129="5日戻り売り○")),"○逆張り売り",IF(W129&gt;=70,IF(Z129&lt;0,"◎反落確認","△過熱・様子見"),"相場上昇・見送り"))),IF(AND(T129&gt;=12,AD129="下降トレンド▼"),"★強い売り",IF(T129&gt;=12,"★強い売り",IF(AND(T129&gt;=8,OR(AE129="25日戻り売り★",AE129="5日戻り売り○")),"◎戻り売り",IF(T129&gt;=10,"○売り候補",IF(T129&gt;=6,"△注目",IF(T129&gt;=3,"様子見","見送り"))))))))</f>
        <v/>
      </c>
      <c r="AG129">
        <f>IF(AND(T129&gt;=7,C129&lt;&gt;""),T129,0)</f>
        <v/>
      </c>
      <c r="AH129">
        <f>IF(AG129&gt;0,AG129*10000-ROW(A129),0)</f>
        <v/>
      </c>
      <c r="AI129" s="623">
        <f t="array" ref="AI129">IF(C129="","",IFERROR((INDEX(終値!$E:$E,MATCH(TEXT(C129,"0"),終値!$A:$A,0))-INDEX(終値!$E:$BL,MATCH(TEXT(C129,"0"),終値!$A:$A,0),$AN$2))/INDEX(終値!$E:$BL,MATCH(TEXT(C129,"0"),終値!$A:$A,0),$AN$2)*100,""))</f>
        <v/>
      </c>
      <c r="AJ129" s="623">
        <f t="array" ref="AJ129">IFERROR((終値!$E$5-INDEX(終値!$E$5:$BL$5,1,$AN$2))/INDEX(終値!$E$5:$BL$5,1,$AN$2)*100,"")</f>
        <v/>
      </c>
      <c r="AK129" s="624">
        <f>IF(OR(AI129="",AJ129=""),"",AI129-AJ129)</f>
        <v/>
      </c>
      <c r="AL129" s="394">
        <f>IF(AK129="","",IF(AK129&lt;-5,3,IF(AK129&lt;0,1,IF(AK129&lt;3,-1,-2))))</f>
        <v/>
      </c>
      <c r="AO129" s="398">
        <f>IF(OR($C129="",$E129="",$F129="",$H129="",$I129="",$H129-$I129&lt;=0),"-",IF(AND($H129-MAX($F129,$E129)&gt;=ABS($E129-$F129)*2,MIN($F129,$E129)-$I129&lt;=ABS($E129-$F129)*0.5,ABS($E129-$F129)&gt;0),"上ヒゲ陰線▼",IF(AND($E129&lt;$F129,ABS($E129-$F129)&gt;=($H129-$I129)*0.7),"大陰線▼",IF(AND(MIN($F129,$E129)-$I129&gt;=($H129-$I129)*0.5,$H129-MAX($F129,$E129)&lt;=($H129-$I129)*0.2),"長い下ヒゲ(反発警戒)","通常"))))</f>
        <v/>
      </c>
      <c r="AP129" s="625">
        <f>IF($AO129="上ヒゲ陰線▼",2,IF($AO129="大陰線▼",2,IF($AO129="長い下ヒゲ(反発警戒)",-2,0)))</f>
        <v/>
      </c>
      <c r="AQ129">
        <f>IF(C129&lt;&gt;"",始値!F124,"")</f>
        <v/>
      </c>
      <c r="AR129">
        <f>IF(C129&lt;&gt;"",高値!F124,"")</f>
        <v/>
      </c>
      <c r="AS129">
        <f>IF(C129&lt;&gt;"",安値!F124,"")</f>
        <v/>
      </c>
      <c r="AT129">
        <f>IF(OR(C129="",AQ129="",AR129="",AS129="",AR129-AS129&lt;=0),"-",IF(AND(AR129-MAX(G129,AQ129)&gt;=ABS(G129-AQ129)*2,MIN(G129,AQ129)-AS129&lt;=ABS(G129-AQ129)*0.5,ABS(G129-AQ129)&gt;0),"上ヒゲ陰線▼",IF(AND(G129&lt;AQ129,ABS(G129-AQ129)&gt;=(AR129-AS129)*0.7),"大陰線▼",IF(AND(MIN(G129,AQ129)-AS129&gt;=(AR129-AS129)*0.5,AR129-MAX(G129,AQ129)&lt;=(AR129-AS129)*0.2),"長い下ヒゲ(反発)","通常"))))</f>
        <v/>
      </c>
      <c r="AU129">
        <f>IF(AT129="上ヒゲ陰線▼",2,IF(AT129="大陰線▼",2,IF(AT129="長い下ヒゲ(反発)",-2,0)))</f>
        <v/>
      </c>
    </row>
    <row r="130" ht="14.25" customHeight="1" s="574">
      <c r="A130" s="352">
        <f>IF(銘柄管理!B144&lt;&gt;"",HYPERLINK("https://kabutan.jp/stock/?code="&amp;銘柄管理!B144,"株探"),"")</f>
        <v/>
      </c>
      <c r="B130" s="225" t="n"/>
      <c r="C130" s="225">
        <f>IF(銘柄管理!B144="","",銘柄管理!B144)</f>
        <v/>
      </c>
      <c r="D130" s="225">
        <f>IF(銘柄管理!C144="","",銘柄管理!C144)</f>
        <v/>
      </c>
      <c r="E130" s="353">
        <f>IF(C130&lt;&gt;"",_xll.RssMarket(C130,"現在値"),"")</f>
        <v/>
      </c>
      <c r="F130" s="353">
        <f>IF(C130&lt;&gt;"",_xll.RssMarket(C130,"始値"),"")</f>
        <v/>
      </c>
      <c r="G130" s="225">
        <f>IF(C130&lt;&gt;"",終値!F144,"")</f>
        <v/>
      </c>
      <c r="H130" s="353">
        <f>IF(C130&lt;&gt;"",_xll.RssMarket(C130,"高値"),"")</f>
        <v/>
      </c>
      <c r="I130" s="353">
        <f>IF(C130&lt;&gt;"",_xll.RssMarket(C130,"安値"),"")</f>
        <v/>
      </c>
      <c r="J130" s="353">
        <f>IF(C130&lt;&gt;"",_xll.RssMarket(C130,"出来高"),"")</f>
        <v/>
      </c>
      <c r="K130" s="353">
        <f>IF(C130&lt;&gt;"",_xll.RssMarket(C130,"年初来高値"),"")</f>
        <v/>
      </c>
      <c r="L130" s="626">
        <f>IF(AND(E130&lt;&gt;"",K130&lt;&gt;"",K130&lt;&gt;0),(E130-K130)/K130*100,"")</f>
        <v/>
      </c>
      <c r="M130" s="353">
        <f>IF(C130&lt;&gt;"",IFERROR(AVERAGE(出来高!E144:I144),""),"")</f>
        <v/>
      </c>
      <c r="N130" s="353">
        <f>IF(C130&lt;&gt;"",IFERROR(AVERAGE(出来高!E144:AC144),""),"")</f>
        <v/>
      </c>
      <c r="O130" s="627">
        <f>IF(AND(J130&lt;&gt;"",M130&lt;&gt;"",M130&lt;&gt;0),J130/M130,"")</f>
        <v/>
      </c>
      <c r="P130" s="225">
        <f>IF(O130="","",IF(O130&gt;=2,"急増↑↑",IF(O130&gt;=1.5,"増加↑",IF(O130&gt;=1,"普通→","減少↓"))))</f>
        <v/>
      </c>
      <c r="Q130" s="225">
        <f>IF(E130="","",IF(AND(E130&lt;G130,O130&gt;=1.5),"売り▼",IF(E130&gt;G130,"様子見▲","中立→")))</f>
        <v/>
      </c>
      <c r="R130" s="353">
        <f>IF(E130&lt;&gt;"",ROUND(E130*0.92,0),"")</f>
        <v/>
      </c>
      <c r="S130" s="353">
        <f>IF(E130&lt;&gt;"",ROUND(E130*1.04,0),"")</f>
        <v/>
      </c>
      <c r="T130" s="345">
        <f>IF(C130="","",IFERROR(IF(W130&gt;=70,3,IF(W130&gt;=60,2,IF(W130&gt;=50,1,0)))+IF(X130&lt;0,2,0)+IF(AD130="下降トレンド▼",3,IF(AD130="もみ合い→",1,0))+IF(V130="年初来安値圏●",3,IF(V130="安値圏",2,0))+IF(Q130="売り▼",2,0)+IF(P130="急増↑↑",2,IF(P130="増加↑",1,0))+IF(Z130&lt;0,1,0)+IF(L130&lt;=-30,2,IF(L130&lt;=-15,1,0))+IF(AE130="25日戻り売り★",2,IF(AE130="5日戻り売り○",1,0))+N(AL130)+N(AP130)+N(AU130),0))</f>
        <v/>
      </c>
      <c r="U130" s="225">
        <f>IF(T130="","",IF(AND(T130&gt;=3,O130&gt;=1.5),"有効",IF(T130&gt;=3,"要確認","除外")))</f>
        <v/>
      </c>
      <c r="V130" s="225">
        <f>IF(AND(I130&lt;&gt;"",K130&lt;&gt;""),IF(I130&lt;=K130*0.6,"年初来安値圏●",IF(I130&lt;=K130*0.75,"安値圏","通常")),"")</f>
        <v/>
      </c>
      <c r="W130" s="628">
        <f t="array" ref="W130">IFERROR(100-100/(1+SUMPRODUCT((終値!F144:R144&gt;終値!G144:S144)*(終値!F144:R144-終値!G144:S144))/SUMPRODUCT((終値!F144:R144&lt;終値!G144:S144)*(終値!G144:S144-終値!F144:R144))),50)</f>
        <v/>
      </c>
      <c r="X130" s="357">
        <f>IF(C130&lt;&gt;"",IFERROR(SUMPRODUCT(終値!E144:P144,{0.154,0.132,0.113,0.097,0.083,0.071,0.061,0.052,0.045,0.038,0.033,0.028})/SUMPRODUCT({0.154,0.132,0.113,0.097,0.083,0.071,0.061,0.052,0.045,0.038,0.033,0.028})-SUMPRODUCT(終値!E144:AD144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0" s="225">
        <f>IF(AF130="","",AF130&amp;" | "&amp;AD130&amp;IF(AE130&lt;&gt;"なし"," "&amp;AE130,"")&amp;IF(X130&lt;0," MACD-"," MACD+")&amp;" RSI:"&amp;TEXT(W130,"0.0")&amp;IF(W130&gt;=70," [過熱]",IF(W130&lt;=30," [売られ過ぎ]",""))&amp;" 前日比:"&amp;TEXT(Z130,"+0.0;-0.0;0.0")&amp;"%"&amp;IF(V130="年初来安値圏●"," [年初来安値圏]",IF(V130="安値圏"," [安値圏]",""))&amp;IF(OR(AO130="通常",AO130="-"),""," ["&amp;AO130&amp;"]")&amp;IF(OR(AT130="通常",AT130="-"),"","前日["&amp;AT130&amp;"]")&amp;" ["&amp;T130&amp;"点]")</f>
        <v/>
      </c>
      <c r="Z130" s="629">
        <f>IF(AND(E130&lt;&gt;"",G130&lt;&gt;"",G130&lt;&gt;0),(E130-G130)/G130*100,"")</f>
        <v/>
      </c>
      <c r="AA130" s="225">
        <f>IF(OR(C130="",E130="",E130=0),"",IF(E130&gt;G130,"上昇▲",IF(E130&lt;G130,"下落▼","横ばい→")))</f>
        <v/>
      </c>
      <c r="AB130" s="353">
        <f>IF(OR(C130="",C130="TOPX",終値!E144=""),"",IFERROR(((終値!E144*0.333)+(終値!F144*0.222)+(終値!G144*0.148)+(終値!H144*0.099)+(終値!I144*0.066))/(0.333+0.222+0.148+0.099+0.066),""))</f>
        <v/>
      </c>
      <c r="AC130" s="353">
        <f>IF(OR(C130="",C130="TOPX",終値!E144=""),"",IFERROR(SUMPRODUCT((終値!E144:AC144)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0" s="225">
        <f>IF(OR(C130="",AB130="",AC130="",AB130=0,AC130=0),"",IF(AND(E130&gt;AB130,AB130&gt;AC130),"パーフェクト▲",IF(E130&gt;AC130,"上昇トレンド▲",IF(AND(E130&lt;AB130,AB130&lt;AC130),"下降トレンド▼","もみ合い→"))))</f>
        <v/>
      </c>
      <c r="AE130" s="225">
        <f>IF(OR(C130="",AB130="",AC130=""),"",IF(AND(ABS(E130-AC130)/AC130&lt;=0.02,E130&lt;AC130),"25日戻り売り★",IF(AND(ABS(E130-AB130)/AB130&lt;=0.01,E130&lt;AB130),"5日戻り売り○","なし")))</f>
        <v/>
      </c>
      <c r="AF130">
        <f>IF(T130="","",IF(銘柄管理!$F$5="上昇▲",IF(AND(AD130="下降トレンド▼",OR(AE130="25日戻り売り★",AE130="5日戻り売り○")),"★逆張り売り",IF(AND(AD130="もみ合い→",OR(AE130="25日戻り売り★",AE130="5日戻り売り○")),"○逆張り売り",IF(W130&gt;=70,IF(Z130&lt;0,"◎反落確認","△過熱・様子見"),"相場上昇・見送り"))),IF(AND(T130&gt;=12,AD130="下降トレンド▼"),"★強い売り",IF(T130&gt;=12,"★強い売り",IF(AND(T130&gt;=8,OR(AE130="25日戻り売り★",AE130="5日戻り売り○")),"◎戻り売り",IF(T130&gt;=10,"○売り候補",IF(T130&gt;=6,"△注目",IF(T130&gt;=3,"様子見","見送り"))))))))</f>
        <v/>
      </c>
      <c r="AG130">
        <f>IF(AND(T130&gt;=7,C130&lt;&gt;""),T130,0)</f>
        <v/>
      </c>
      <c r="AH130">
        <f>IF(AG130&gt;0,AG130*10000-ROW(A130),0)</f>
        <v/>
      </c>
      <c r="AI130" s="623">
        <f t="array" ref="AI130">IF(C130="","",IFERROR((INDEX(終値!$E:$E,MATCH(TEXT(C130,"0"),終値!$A:$A,0))-INDEX(終値!$E:$BL,MATCH(TEXT(C130,"0"),終値!$A:$A,0),$AN$2))/INDEX(終値!$E:$BL,MATCH(TEXT(C130,"0"),終値!$A:$A,0),$AN$2)*100,""))</f>
        <v/>
      </c>
      <c r="AJ130" s="623">
        <f t="array" ref="AJ130">IFERROR((終値!$E$5-INDEX(終値!$E$5:$BL$5,1,$AN$2))/INDEX(終値!$E$5:$BL$5,1,$AN$2)*100,"")</f>
        <v/>
      </c>
      <c r="AK130" s="624">
        <f>IF(OR(AI130="",AJ130=""),"",AI130-AJ130)</f>
        <v/>
      </c>
      <c r="AL130" s="394">
        <f>IF(AK130="","",IF(AK130&lt;-5,3,IF(AK130&lt;0,1,IF(AK130&lt;3,-1,-2))))</f>
        <v/>
      </c>
      <c r="AO130" s="398">
        <f>IF(OR($C130="",$E130="",$F130="",$H130="",$I130="",$H130-$I130&lt;=0),"-",IF(AND($H130-MAX($F130,$E130)&gt;=ABS($E130-$F130)*2,MIN($F130,$E130)-$I130&lt;=ABS($E130-$F130)*0.5,ABS($E130-$F130)&gt;0),"上ヒゲ陰線▼",IF(AND($E130&lt;$F130,ABS($E130-$F130)&gt;=($H130-$I130)*0.7),"大陰線▼",IF(AND(MIN($F130,$E130)-$I130&gt;=($H130-$I130)*0.5,$H130-MAX($F130,$E130)&lt;=($H130-$I130)*0.2),"長い下ヒゲ(反発警戒)","通常"))))</f>
        <v/>
      </c>
      <c r="AP130" s="625">
        <f>IF($AO130="上ヒゲ陰線▼",2,IF($AO130="大陰線▼",2,IF($AO130="長い下ヒゲ(反発警戒)",-2,0)))</f>
        <v/>
      </c>
      <c r="AQ130">
        <f>IF(C130&lt;&gt;"",始値!F144,"")</f>
        <v/>
      </c>
      <c r="AR130">
        <f>IF(C130&lt;&gt;"",高値!F144,"")</f>
        <v/>
      </c>
      <c r="AS130">
        <f>IF(C130&lt;&gt;"",安値!F144,"")</f>
        <v/>
      </c>
      <c r="AT130">
        <f>IF(OR(C130="",AQ130="",AR130="",AS130="",AR130-AS130&lt;=0),"-",IF(AND(AR130-MAX(G130,AQ130)&gt;=ABS(G130-AQ130)*2,MIN(G130,AQ130)-AS130&lt;=ABS(G130-AQ130)*0.5,ABS(G130-AQ130)&gt;0),"上ヒゲ陰線▼",IF(AND(G130&lt;AQ130,ABS(G130-AQ130)&gt;=(AR130-AS130)*0.7),"大陰線▼",IF(AND(MIN(G130,AQ130)-AS130&gt;=(AR130-AS130)*0.5,AR130-MAX(G130,AQ130)&lt;=(AR130-AS130)*0.2),"長い下ヒゲ(反発)","通常"))))</f>
        <v/>
      </c>
      <c r="AU130">
        <f>IF(AT130="上ヒゲ陰線▼",2,IF(AT130="大陰線▼",2,IF(AT130="長い下ヒゲ(反発)",-2,0)))</f>
        <v/>
      </c>
    </row>
    <row r="131" ht="14.25" customHeight="1" s="574">
      <c r="A131" s="344">
        <f>IF(銘柄管理!B146&lt;&gt;"",HYPERLINK("https://kabutan.jp/stock/?code="&amp;銘柄管理!B146,"株探"),"")</f>
        <v/>
      </c>
      <c r="B131" s="345" t="n"/>
      <c r="C131" s="345">
        <f>IF(銘柄管理!B146="","",銘柄管理!B146)</f>
        <v/>
      </c>
      <c r="D131" s="345">
        <f>IF(銘柄管理!C146="","",銘柄管理!C146)</f>
        <v/>
      </c>
      <c r="E131" s="346">
        <f>IF(C131&lt;&gt;"",_xll.RssMarket(C131,"現在値"),"")</f>
        <v/>
      </c>
      <c r="F131" s="346">
        <f>IF(C131&lt;&gt;"",_xll.RssMarket(C131,"始値"),"")</f>
        <v/>
      </c>
      <c r="G131" s="345">
        <f>IF(C131&lt;&gt;"",終値!F146,"")</f>
        <v/>
      </c>
      <c r="H131" s="346">
        <f>IF(C131&lt;&gt;"",_xll.RssMarket(C131,"高値"),"")</f>
        <v/>
      </c>
      <c r="I131" s="346">
        <f>IF(C131&lt;&gt;"",_xll.RssMarket(C131,"安値"),"")</f>
        <v/>
      </c>
      <c r="J131" s="346">
        <f>IF(C131&lt;&gt;"",_xll.RssMarket(C131,"出来高"),"")</f>
        <v/>
      </c>
      <c r="K131" s="346">
        <f>IF(C131&lt;&gt;"",_xll.RssMarket(C131,"年初来高値"),"")</f>
        <v/>
      </c>
      <c r="L131" s="619">
        <f>IF(AND(E131&lt;&gt;"",K131&lt;&gt;"",K131&lt;&gt;0),(E131-K131)/K131*100,"")</f>
        <v/>
      </c>
      <c r="M131" s="346">
        <f>IF(C131&lt;&gt;"",IFERROR(AVERAGE(出来高!E146:I146),""),"")</f>
        <v/>
      </c>
      <c r="N131" s="346">
        <f>IF(C131&lt;&gt;"",IFERROR(AVERAGE(出来高!E146:AC146),""),"")</f>
        <v/>
      </c>
      <c r="O131" s="620">
        <f>IF(AND(J131&lt;&gt;"",M131&lt;&gt;"",M131&lt;&gt;0),J131/M131,"")</f>
        <v/>
      </c>
      <c r="P131" s="345">
        <f>IF(O131="","",IF(O131&gt;=2,"急増↑↑",IF(O131&gt;=1.5,"増加↑",IF(O131&gt;=1,"普通→","減少↓"))))</f>
        <v/>
      </c>
      <c r="Q131" s="345">
        <f>IF(E131="","",IF(AND(E131&lt;G131,O131&gt;=1.5),"売り▼",IF(E131&gt;G131,"様子見▲","中立→")))</f>
        <v/>
      </c>
      <c r="R131" s="346">
        <f>IF(E131&lt;&gt;"",ROUND(E131*0.92,0),"")</f>
        <v/>
      </c>
      <c r="S131" s="346">
        <f>IF(E131&lt;&gt;"",ROUND(E131*1.04,0),"")</f>
        <v/>
      </c>
      <c r="T131" s="345">
        <f>IF(C131="","",IFERROR(IF(W131&gt;=70,3,IF(W131&gt;=60,2,IF(W131&gt;=50,1,0)))+IF(X131&lt;0,2,0)+IF(AD131="下降トレンド▼",3,IF(AD131="もみ合い→",1,0))+IF(V131="年初来安値圏●",3,IF(V131="安値圏",2,0))+IF(Q131="売り▼",2,0)+IF(P131="急増↑↑",2,IF(P131="増加↑",1,0))+IF(Z131&lt;0,1,0)+IF(L131&lt;=-30,2,IF(L131&lt;=-15,1,0))+IF(AE131="25日戻り売り★",2,IF(AE131="5日戻り売り○",1,0))+N(AL131)+N(AP131)+N(AU131),0))</f>
        <v/>
      </c>
      <c r="U131" s="345">
        <f>IF(T131="","",IF(AND(T131&gt;=3,O131&gt;=1.5),"有効",IF(T131&gt;=3,"要確認","除外")))</f>
        <v/>
      </c>
      <c r="V131" s="345">
        <f>IF(AND(I131&lt;&gt;"",K131&lt;&gt;""),IF(I131&lt;=K131*0.6,"年初来安値圏●",IF(I131&lt;=K131*0.75,"安値圏","通常")),"")</f>
        <v/>
      </c>
      <c r="W131" s="621">
        <f t="array" ref="W131">IFERROR(100-100/(1+SUMPRODUCT((終値!F146:R146&gt;終値!G146:S146)*(終値!F146:R146-終値!G146:S146))/SUMPRODUCT((終値!F146:R146&lt;終値!G146:S146)*(終値!G146:S146-終値!F146:R146))),50)</f>
        <v/>
      </c>
      <c r="X131" s="350">
        <f>IF(C131&lt;&gt;"",IFERROR(SUMPRODUCT(終値!E146:P146,{0.154,0.132,0.113,0.097,0.083,0.071,0.061,0.052,0.045,0.038,0.033,0.028})/SUMPRODUCT({0.154,0.132,0.113,0.097,0.083,0.071,0.061,0.052,0.045,0.038,0.033,0.028})-SUMPRODUCT(終値!E146:AD146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1" s="345">
        <f>IF(AF131="","",AF131&amp;" | "&amp;AD131&amp;IF(AE131&lt;&gt;"なし"," "&amp;AE131,"")&amp;IF(X131&lt;0," MACD-"," MACD+")&amp;" RSI:"&amp;TEXT(W131,"0.0")&amp;IF(W131&gt;=70," [過熱]",IF(W131&lt;=30," [売られ過ぎ]",""))&amp;" 前日比:"&amp;TEXT(Z131,"+0.0;-0.0;0.0")&amp;"%"&amp;IF(V131="年初来安値圏●"," [年初来安値圏]",IF(V131="安値圏"," [安値圏]",""))&amp;IF(OR(AO131="通常",AO131="-"),""," ["&amp;AO131&amp;"]")&amp;IF(OR(AT131="通常",AT131="-"),"","前日["&amp;AT131&amp;"]")&amp;" ["&amp;T131&amp;"点]")</f>
        <v/>
      </c>
      <c r="Z131" s="622">
        <f>IF(AND(E131&lt;&gt;"",G131&lt;&gt;"",G131&lt;&gt;0),(E131-G131)/G131*100,"")</f>
        <v/>
      </c>
      <c r="AA131" s="345">
        <f>IF(OR(C131="",E131="",E131=0),"",IF(E131&gt;G131,"上昇▲",IF(E131&lt;G131,"下落▼","横ばい→")))</f>
        <v/>
      </c>
      <c r="AB131" s="346">
        <f>IF(OR(C131="",C131="TOPX",終値!E146=""),"",IFERROR(((終値!E146*0.333)+(終値!F146*0.222)+(終値!G146*0.148)+(終値!H146*0.099)+(終値!I146*0.066))/(0.333+0.222+0.148+0.099+0.066),""))</f>
        <v/>
      </c>
      <c r="AC131" s="346">
        <f>IF(OR(C131="",C131="TOPX",終値!E146=""),"",IFERROR(SUMPRODUCT((終値!E146:AC146)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1" s="345">
        <f>IF(OR(C131="",AB131="",AC131="",AB131=0,AC131=0),"",IF(AND(E131&gt;AB131,AB131&gt;AC131),"パーフェクト▲",IF(E131&gt;AC131,"上昇トレンド▲",IF(AND(E131&lt;AB131,AB131&lt;AC131),"下降トレンド▼","もみ合い→"))))</f>
        <v/>
      </c>
      <c r="AE131" s="345">
        <f>IF(OR(C131="",AB131="",AC131=""),"",IF(AND(ABS(E131-AC131)/AC131&lt;=0.02,E131&lt;AC131),"25日戻り売り★",IF(AND(ABS(E131-AB131)/AB131&lt;=0.01,E131&lt;AB131),"5日戻り売り○","なし")))</f>
        <v/>
      </c>
      <c r="AF131">
        <f>IF(T131="","",IF(銘柄管理!$F$5="上昇▲",IF(AND(AD131="下降トレンド▼",OR(AE131="25日戻り売り★",AE131="5日戻り売り○")),"★逆張り売り",IF(AND(AD131="もみ合い→",OR(AE131="25日戻り売り★",AE131="5日戻り売り○")),"○逆張り売り",IF(W131&gt;=70,IF(Z131&lt;0,"◎反落確認","△過熱・様子見"),"相場上昇・見送り"))),IF(AND(T131&gt;=12,AD131="下降トレンド▼"),"★強い売り",IF(T131&gt;=12,"★強い売り",IF(AND(T131&gt;=8,OR(AE131="25日戻り売り★",AE131="5日戻り売り○")),"◎戻り売り",IF(T131&gt;=10,"○売り候補",IF(T131&gt;=6,"△注目",IF(T131&gt;=3,"様子見","見送り"))))))))</f>
        <v/>
      </c>
      <c r="AG131">
        <f>IF(AND(T131&gt;=7,C131&lt;&gt;""),T131,0)</f>
        <v/>
      </c>
      <c r="AH131">
        <f>IF(AG131&gt;0,AG131*10000-ROW(A131),0)</f>
        <v/>
      </c>
      <c r="AI131" s="623">
        <f t="array" ref="AI131">IF(C131="","",IFERROR((INDEX(終値!$E:$E,MATCH(TEXT(C131,"0"),終値!$A:$A,0))-INDEX(終値!$E:$BL,MATCH(TEXT(C131,"0"),終値!$A:$A,0),$AN$2))/INDEX(終値!$E:$BL,MATCH(TEXT(C131,"0"),終値!$A:$A,0),$AN$2)*100,""))</f>
        <v/>
      </c>
      <c r="AJ131" s="623">
        <f t="array" ref="AJ131">IFERROR((終値!$E$5-INDEX(終値!$E$5:$BL$5,1,$AN$2))/INDEX(終値!$E$5:$BL$5,1,$AN$2)*100,"")</f>
        <v/>
      </c>
      <c r="AK131" s="624">
        <f>IF(OR(AI131="",AJ131=""),"",AI131-AJ131)</f>
        <v/>
      </c>
      <c r="AL131" s="394">
        <f>IF(AK131="","",IF(AK131&lt;-5,3,IF(AK131&lt;0,1,IF(AK131&lt;3,-1,-2))))</f>
        <v/>
      </c>
      <c r="AO131" s="398">
        <f>IF(OR($C131="",$E131="",$F131="",$H131="",$I131="",$H131-$I131&lt;=0),"-",IF(AND($H131-MAX($F131,$E131)&gt;=ABS($E131-$F131)*2,MIN($F131,$E131)-$I131&lt;=ABS($E131-$F131)*0.5,ABS($E131-$F131)&gt;0),"上ヒゲ陰線▼",IF(AND($E131&lt;$F131,ABS($E131-$F131)&gt;=($H131-$I131)*0.7),"大陰線▼",IF(AND(MIN($F131,$E131)-$I131&gt;=($H131-$I131)*0.5,$H131-MAX($F131,$E131)&lt;=($H131-$I131)*0.2),"長い下ヒゲ(反発警戒)","通常"))))</f>
        <v/>
      </c>
      <c r="AP131" s="625">
        <f>IF($AO131="上ヒゲ陰線▼",2,IF($AO131="大陰線▼",2,IF($AO131="長い下ヒゲ(反発警戒)",-2,0)))</f>
        <v/>
      </c>
      <c r="AQ131">
        <f>IF(C131&lt;&gt;"",始値!F146,"")</f>
        <v/>
      </c>
      <c r="AR131">
        <f>IF(C131&lt;&gt;"",高値!F146,"")</f>
        <v/>
      </c>
      <c r="AS131">
        <f>IF(C131&lt;&gt;"",安値!F146,"")</f>
        <v/>
      </c>
      <c r="AT131">
        <f>IF(OR(C131="",AQ131="",AR131="",AS131="",AR131-AS131&lt;=0),"-",IF(AND(AR131-MAX(G131,AQ131)&gt;=ABS(G131-AQ131)*2,MIN(G131,AQ131)-AS131&lt;=ABS(G131-AQ131)*0.5,ABS(G131-AQ131)&gt;0),"上ヒゲ陰線▼",IF(AND(G131&lt;AQ131,ABS(G131-AQ131)&gt;=(AR131-AS131)*0.7),"大陰線▼",IF(AND(MIN(G131,AQ131)-AS131&gt;=(AR131-AS131)*0.5,AR131-MAX(G131,AQ131)&lt;=(AR131-AS131)*0.2),"長い下ヒゲ(反発)","通常"))))</f>
        <v/>
      </c>
      <c r="AU131">
        <f>IF(AT131="上ヒゲ陰線▼",2,IF(AT131="大陰線▼",2,IF(AT131="長い下ヒゲ(反発)",-2,0)))</f>
        <v/>
      </c>
    </row>
    <row r="132" ht="14.25" customHeight="1" s="574">
      <c r="A132" s="352">
        <f>IF(銘柄管理!B156&lt;&gt;"",HYPERLINK("https://kabutan.jp/stock/?code="&amp;銘柄管理!B156,"株探"),"")</f>
        <v/>
      </c>
      <c r="B132" s="225" t="n"/>
      <c r="C132" s="225">
        <f>IF(銘柄管理!B156="","",銘柄管理!B156)</f>
        <v/>
      </c>
      <c r="D132" s="225">
        <f>IF(銘柄管理!C156="","",銘柄管理!C156)</f>
        <v/>
      </c>
      <c r="E132" s="353">
        <f>IF(C132&lt;&gt;"",_xll.RssMarket(C132,"現在値"),"")</f>
        <v/>
      </c>
      <c r="F132" s="353">
        <f>IF(C132&lt;&gt;"",_xll.RssMarket(C132,"始値"),"")</f>
        <v/>
      </c>
      <c r="G132" s="225">
        <f>IF(C132&lt;&gt;"",終値!F156,"")</f>
        <v/>
      </c>
      <c r="H132" s="353">
        <f>IF(C132&lt;&gt;"",_xll.RssMarket(C132,"高値"),"")</f>
        <v/>
      </c>
      <c r="I132" s="353">
        <f>IF(C132&lt;&gt;"",_xll.RssMarket(C132,"安値"),"")</f>
        <v/>
      </c>
      <c r="J132" s="353">
        <f>IF(C132&lt;&gt;"",_xll.RssMarket(C132,"出来高"),"")</f>
        <v/>
      </c>
      <c r="K132" s="353">
        <f>IF(C132&lt;&gt;"",_xll.RssMarket(C132,"年初来高値"),"")</f>
        <v/>
      </c>
      <c r="L132" s="626">
        <f>IF(AND(E132&lt;&gt;"",K132&lt;&gt;"",K132&lt;&gt;0),(E132-K132)/K132*100,"")</f>
        <v/>
      </c>
      <c r="M132" s="353">
        <f>IF(C132&lt;&gt;"",IFERROR(AVERAGE(出来高!E156:I156),""),"")</f>
        <v/>
      </c>
      <c r="N132" s="353">
        <f>IF(C132&lt;&gt;"",IFERROR(AVERAGE(出来高!E156:AC156),""),"")</f>
        <v/>
      </c>
      <c r="O132" s="627">
        <f>IF(AND(J132&lt;&gt;"",M132&lt;&gt;"",M132&lt;&gt;0),J132/M132,"")</f>
        <v/>
      </c>
      <c r="P132" s="225">
        <f>IF(O132="","",IF(O132&gt;=2,"急増↑↑",IF(O132&gt;=1.5,"増加↑",IF(O132&gt;=1,"普通→","減少↓"))))</f>
        <v/>
      </c>
      <c r="Q132" s="225">
        <f>IF(E132="","",IF(AND(E132&lt;G132,O132&gt;=1.5),"売り▼",IF(E132&gt;G132,"様子見▲","中立→")))</f>
        <v/>
      </c>
      <c r="R132" s="353">
        <f>IF(E132&lt;&gt;"",ROUND(E132*0.92,0),"")</f>
        <v/>
      </c>
      <c r="S132" s="353">
        <f>IF(E132&lt;&gt;"",ROUND(E132*1.04,0),"")</f>
        <v/>
      </c>
      <c r="T132" s="345">
        <f>IF(C132="","",IFERROR(IF(W132&gt;=70,3,IF(W132&gt;=60,2,IF(W132&gt;=50,1,0)))+IF(X132&lt;0,2,0)+IF(AD132="下降トレンド▼",3,IF(AD132="もみ合い→",1,0))+IF(V132="年初来安値圏●",3,IF(V132="安値圏",2,0))+IF(Q132="売り▼",2,0)+IF(P132="急増↑↑",2,IF(P132="増加↑",1,0))+IF(Z132&lt;0,1,0)+IF(L132&lt;=-30,2,IF(L132&lt;=-15,1,0))+IF(AE132="25日戻り売り★",2,IF(AE132="5日戻り売り○",1,0))+N(AL132)+N(AP132)+N(AU132),0))</f>
        <v/>
      </c>
      <c r="U132" s="225">
        <f>IF(T132="","",IF(AND(T132&gt;=3,O132&gt;=1.5),"有効",IF(T132&gt;=3,"要確認","除外")))</f>
        <v/>
      </c>
      <c r="V132" s="225">
        <f>IF(AND(I132&lt;&gt;"",K132&lt;&gt;""),IF(I132&lt;=K132*0.6,"年初来安値圏●",IF(I132&lt;=K132*0.75,"安値圏","通常")),"")</f>
        <v/>
      </c>
      <c r="W132" s="628">
        <f t="array" ref="W132">IFERROR(100-100/(1+SUMPRODUCT((終値!F156:R156&gt;終値!G156:S156)*(終値!F156:R156-終値!G156:S156))/SUMPRODUCT((終値!F156:R156&lt;終値!G156:S156)*(終値!G156:S156-終値!F156:R156))),50)</f>
        <v/>
      </c>
      <c r="X132" s="357">
        <f>IF(C132&lt;&gt;"",IFERROR(SUMPRODUCT(終値!E156:P156,{0.154,0.132,0.113,0.097,0.083,0.071,0.061,0.052,0.045,0.038,0.033,0.028})/SUMPRODUCT({0.154,0.132,0.113,0.097,0.083,0.071,0.061,0.052,0.045,0.038,0.033,0.028})-SUMPRODUCT(終値!E156:AD156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2" s="225">
        <f>IF(AF132="","",AF132&amp;" | "&amp;AD132&amp;IF(AE132&lt;&gt;"なし"," "&amp;AE132,"")&amp;IF(X132&lt;0," MACD-"," MACD+")&amp;" RSI:"&amp;TEXT(W132,"0.0")&amp;IF(W132&gt;=70," [過熱]",IF(W132&lt;=30," [売られ過ぎ]",""))&amp;" 前日比:"&amp;TEXT(Z132,"+0.0;-0.0;0.0")&amp;"%"&amp;IF(V132="年初来安値圏●"," [年初来安値圏]",IF(V132="安値圏"," [安値圏]",""))&amp;IF(OR(AO132="通常",AO132="-"),""," ["&amp;AO132&amp;"]")&amp;IF(OR(AT132="通常",AT132="-"),"","前日["&amp;AT132&amp;"]")&amp;" ["&amp;T132&amp;"点]")</f>
        <v/>
      </c>
      <c r="Z132" s="629">
        <f>IF(AND(E132&lt;&gt;"",G132&lt;&gt;"",G132&lt;&gt;0),(E132-G132)/G132*100,"")</f>
        <v/>
      </c>
      <c r="AA132" s="225">
        <f>IF(OR(C132="",E132="",E132=0),"",IF(E132&gt;G132,"上昇▲",IF(E132&lt;G132,"下落▼","横ばい→")))</f>
        <v/>
      </c>
      <c r="AB132" s="353">
        <f>IF(OR(C132="",C132="TOPX",終値!E156=""),"",IFERROR(((終値!E156*0.333)+(終値!F156*0.222)+(終値!G156*0.148)+(終値!H156*0.099)+(終値!I156*0.066))/(0.333+0.222+0.148+0.099+0.066),""))</f>
        <v/>
      </c>
      <c r="AC132" s="353">
        <f>IF(OR(C132="",C132="TOPX",終値!E156=""),"",IFERROR(SUMPRODUCT((終値!E156:AC156)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2" s="225">
        <f>IF(OR(C132="",AB132="",AC132="",AB132=0,AC132=0),"",IF(AND(E132&gt;AB132,AB132&gt;AC132),"パーフェクト▲",IF(E132&gt;AC132,"上昇トレンド▲",IF(AND(E132&lt;AB132,AB132&lt;AC132),"下降トレンド▼","もみ合い→"))))</f>
        <v/>
      </c>
      <c r="AE132" s="225">
        <f>IF(OR(C132="",AB132="",AC132=""),"",IF(AND(ABS(E132-AC132)/AC132&lt;=0.02,E132&lt;AC132),"25日戻り売り★",IF(AND(ABS(E132-AB132)/AB132&lt;=0.01,E132&lt;AB132),"5日戻り売り○","なし")))</f>
        <v/>
      </c>
      <c r="AF132">
        <f>IF(T132="","",IF(銘柄管理!$F$5="上昇▲",IF(AND(AD132="下降トレンド▼",OR(AE132="25日戻り売り★",AE132="5日戻り売り○")),"★逆張り売り",IF(AND(AD132="もみ合い→",OR(AE132="25日戻り売り★",AE132="5日戻り売り○")),"○逆張り売り",IF(W132&gt;=70,IF(Z132&lt;0,"◎反落確認","△過熱・様子見"),"相場上昇・見送り"))),IF(AND(T132&gt;=12,AD132="下降トレンド▼"),"★強い売り",IF(T132&gt;=12,"★強い売り",IF(AND(T132&gt;=8,OR(AE132="25日戻り売り★",AE132="5日戻り売り○")),"◎戻り売り",IF(T132&gt;=10,"○売り候補",IF(T132&gt;=6,"△注目",IF(T132&gt;=3,"様子見","見送り"))))))))</f>
        <v/>
      </c>
      <c r="AG132">
        <f>IF(AND(T132&gt;=7,C132&lt;&gt;""),T132,0)</f>
        <v/>
      </c>
      <c r="AH132">
        <f>IF(AG132&gt;0,AG132*10000-ROW(A132),0)</f>
        <v/>
      </c>
      <c r="AI132" s="623">
        <f t="array" ref="AI132">IF(C132="","",IFERROR((INDEX(終値!$E:$E,MATCH(TEXT(C132,"0"),終値!$A:$A,0))-INDEX(終値!$E:$BL,MATCH(TEXT(C132,"0"),終値!$A:$A,0),$AN$2))/INDEX(終値!$E:$BL,MATCH(TEXT(C132,"0"),終値!$A:$A,0),$AN$2)*100,""))</f>
        <v/>
      </c>
      <c r="AJ132" s="623">
        <f t="array" ref="AJ132">IFERROR((終値!$E$5-INDEX(終値!$E$5:$BL$5,1,$AN$2))/INDEX(終値!$E$5:$BL$5,1,$AN$2)*100,"")</f>
        <v/>
      </c>
      <c r="AK132" s="624">
        <f>IF(OR(AI132="",AJ132=""),"",AI132-AJ132)</f>
        <v/>
      </c>
      <c r="AL132" s="394">
        <f>IF(AK132="","",IF(AK132&lt;-5,3,IF(AK132&lt;0,1,IF(AK132&lt;3,-1,-2))))</f>
        <v/>
      </c>
      <c r="AO132" s="398">
        <f>IF(OR($C132="",$E132="",$F132="",$H132="",$I132="",$H132-$I132&lt;=0),"-",IF(AND($H132-MAX($F132,$E132)&gt;=ABS($E132-$F132)*2,MIN($F132,$E132)-$I132&lt;=ABS($E132-$F132)*0.5,ABS($E132-$F132)&gt;0),"上ヒゲ陰線▼",IF(AND($E132&lt;$F132,ABS($E132-$F132)&gt;=($H132-$I132)*0.7),"大陰線▼",IF(AND(MIN($F132,$E132)-$I132&gt;=($H132-$I132)*0.5,$H132-MAX($F132,$E132)&lt;=($H132-$I132)*0.2),"長い下ヒゲ(反発警戒)","通常"))))</f>
        <v/>
      </c>
      <c r="AP132" s="625">
        <f>IF($AO132="上ヒゲ陰線▼",2,IF($AO132="大陰線▼",2,IF($AO132="長い下ヒゲ(反発警戒)",-2,0)))</f>
        <v/>
      </c>
      <c r="AQ132">
        <f>IF(C132&lt;&gt;"",始値!F156,"")</f>
        <v/>
      </c>
      <c r="AR132">
        <f>IF(C132&lt;&gt;"",高値!F156,"")</f>
        <v/>
      </c>
      <c r="AS132">
        <f>IF(C132&lt;&gt;"",安値!F156,"")</f>
        <v/>
      </c>
      <c r="AT132">
        <f>IF(OR(C132="",AQ132="",AR132="",AS132="",AR132-AS132&lt;=0),"-",IF(AND(AR132-MAX(G132,AQ132)&gt;=ABS(G132-AQ132)*2,MIN(G132,AQ132)-AS132&lt;=ABS(G132-AQ132)*0.5,ABS(G132-AQ132)&gt;0),"上ヒゲ陰線▼",IF(AND(G132&lt;AQ132,ABS(G132-AQ132)&gt;=(AR132-AS132)*0.7),"大陰線▼",IF(AND(MIN(G132,AQ132)-AS132&gt;=(AR132-AS132)*0.5,AR132-MAX(G132,AQ132)&lt;=(AR132-AS132)*0.2),"長い下ヒゲ(反発)","通常"))))</f>
        <v/>
      </c>
      <c r="AU132">
        <f>IF(AT132="上ヒゲ陰線▼",2,IF(AT132="大陰線▼",2,IF(AT132="長い下ヒゲ(反発)",-2,0)))</f>
        <v/>
      </c>
    </row>
    <row r="133" ht="14.25" customHeight="1" s="574">
      <c r="A133" s="344">
        <f>IF(銘柄管理!B165&lt;&gt;"",HYPERLINK("https://kabutan.jp/stock/?code="&amp;銘柄管理!B165,"株探"),"")</f>
        <v/>
      </c>
      <c r="B133" s="345" t="n"/>
      <c r="C133" s="345">
        <f>IF(銘柄管理!B165="","",銘柄管理!B165)</f>
        <v/>
      </c>
      <c r="D133" s="345">
        <f>IF(銘柄管理!C165="","",銘柄管理!C165)</f>
        <v/>
      </c>
      <c r="E133" s="346">
        <f>IF(C133&lt;&gt;"",_xll.RssMarket(C133,"現在値"),"")</f>
        <v/>
      </c>
      <c r="F133" s="346">
        <f>IF(C133&lt;&gt;"",_xll.RssMarket(C133,"始値"),"")</f>
        <v/>
      </c>
      <c r="G133" s="345">
        <f>IF(C133&lt;&gt;"",終値!F165,"")</f>
        <v/>
      </c>
      <c r="H133" s="346">
        <f>IF(C133&lt;&gt;"",_xll.RssMarket(C133,"高値"),"")</f>
        <v/>
      </c>
      <c r="I133" s="346">
        <f>IF(C133&lt;&gt;"",_xll.RssMarket(C133,"安値"),"")</f>
        <v/>
      </c>
      <c r="J133" s="346">
        <f>IF(C133&lt;&gt;"",_xll.RssMarket(C133,"出来高"),"")</f>
        <v/>
      </c>
      <c r="K133" s="346">
        <f>IF(C133&lt;&gt;"",_xll.RssMarket(C133,"年初来高値"),"")</f>
        <v/>
      </c>
      <c r="L133" s="619">
        <f>IF(AND(E133&lt;&gt;"",K133&lt;&gt;"",K133&lt;&gt;0),(E133-K133)/K133*100,"")</f>
        <v/>
      </c>
      <c r="M133" s="346">
        <f>IF(C133&lt;&gt;"",IFERROR(AVERAGE(出来高!E165:I165),""),"")</f>
        <v/>
      </c>
      <c r="N133" s="346">
        <f>IF(C133&lt;&gt;"",IFERROR(AVERAGE(出来高!E165:AC165),""),"")</f>
        <v/>
      </c>
      <c r="O133" s="620">
        <f>IF(AND(J133&lt;&gt;"",M133&lt;&gt;"",M133&lt;&gt;0),J133/M133,"")</f>
        <v/>
      </c>
      <c r="P133" s="345">
        <f>IF(O133="","",IF(O133&gt;=2,"急増↑↑",IF(O133&gt;=1.5,"増加↑",IF(O133&gt;=1,"普通→","減少↓"))))</f>
        <v/>
      </c>
      <c r="Q133" s="345">
        <f>IF(E133="","",IF(AND(E133&lt;G133,O133&gt;=1.5),"売り▼",IF(E133&gt;G133,"様子見▲","中立→")))</f>
        <v/>
      </c>
      <c r="R133" s="346">
        <f>IF(E133&lt;&gt;"",ROUND(E133*0.92,0),"")</f>
        <v/>
      </c>
      <c r="S133" s="346">
        <f>IF(E133&lt;&gt;"",ROUND(E133*1.04,0),"")</f>
        <v/>
      </c>
      <c r="T133" s="345">
        <f>IF(C133="","",IFERROR(IF(W133&gt;=70,3,IF(W133&gt;=60,2,IF(W133&gt;=50,1,0)))+IF(X133&lt;0,2,0)+IF(AD133="下降トレンド▼",3,IF(AD133="もみ合い→",1,0))+IF(V133="年初来安値圏●",3,IF(V133="安値圏",2,0))+IF(Q133="売り▼",2,0)+IF(P133="急増↑↑",2,IF(P133="増加↑",1,0))+IF(Z133&lt;0,1,0)+IF(L133&lt;=-30,2,IF(L133&lt;=-15,1,0))+IF(AE133="25日戻り売り★",2,IF(AE133="5日戻り売り○",1,0))+N(AL133)+N(AP133)+N(AU133),0))</f>
        <v/>
      </c>
      <c r="U133" s="345">
        <f>IF(T133="","",IF(AND(T133&gt;=3,O133&gt;=1.5),"有効",IF(T133&gt;=3,"要確認","除外")))</f>
        <v/>
      </c>
      <c r="V133" s="345">
        <f>IF(AND(I133&lt;&gt;"",K133&lt;&gt;""),IF(I133&lt;=K133*0.6,"年初来安値圏●",IF(I133&lt;=K133*0.75,"安値圏","通常")),"")</f>
        <v/>
      </c>
      <c r="W133" s="621">
        <f t="array" ref="W133">IFERROR(100-100/(1+SUMPRODUCT((終値!F165:R165&gt;終値!G165:S165)*(終値!F165:R165-終値!G165:S165))/SUMPRODUCT((終値!F165:R165&lt;終値!G165:S165)*(終値!G165:S165-終値!F165:R165))),50)</f>
        <v/>
      </c>
      <c r="X133" s="350">
        <f>IF(C133&lt;&gt;"",IFERROR(SUMPRODUCT(終値!E165:P165,{0.154,0.132,0.113,0.097,0.083,0.071,0.061,0.052,0.045,0.038,0.033,0.028})/SUMPRODUCT({0.154,0.132,0.113,0.097,0.083,0.071,0.061,0.052,0.045,0.038,0.033,0.028})-SUMPRODUCT(終値!E165:AD165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3" s="345">
        <f>IF(AF133="","",AF133&amp;" | "&amp;AD133&amp;IF(AE133&lt;&gt;"なし"," "&amp;AE133,"")&amp;IF(X133&lt;0," MACD-"," MACD+")&amp;" RSI:"&amp;TEXT(W133,"0.0")&amp;IF(W133&gt;=70," [過熱]",IF(W133&lt;=30," [売られ過ぎ]",""))&amp;" 前日比:"&amp;TEXT(Z133,"+0.0;-0.0;0.0")&amp;"%"&amp;IF(V133="年初来安値圏●"," [年初来安値圏]",IF(V133="安値圏"," [安値圏]",""))&amp;IF(OR(AO133="通常",AO133="-"),""," ["&amp;AO133&amp;"]")&amp;IF(OR(AT133="通常",AT133="-"),"","前日["&amp;AT133&amp;"]")&amp;" ["&amp;T133&amp;"点]")</f>
        <v/>
      </c>
      <c r="Z133" s="622">
        <f>IF(AND(E133&lt;&gt;"",G133&lt;&gt;"",G133&lt;&gt;0),(E133-G133)/G133*100,"")</f>
        <v/>
      </c>
      <c r="AA133" s="345">
        <f>IF(OR(C133="",E133="",E133=0),"",IF(E133&gt;G133,"上昇▲",IF(E133&lt;G133,"下落▼","横ばい→")))</f>
        <v/>
      </c>
      <c r="AB133" s="346">
        <f>IF(OR(C133="",C133="TOPX",終値!E165=""),"",IFERROR(((終値!E165*0.333)+(終値!F165*0.222)+(終値!G165*0.148)+(終値!H165*0.099)+(終値!I165*0.066))/(0.333+0.222+0.148+0.099+0.066),""))</f>
        <v/>
      </c>
      <c r="AC133" s="346">
        <f>IF(OR(C133="",C133="TOPX",終値!E165=""),"",IFERROR(SUMPRODUCT((終値!E165:AC165)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3" s="345">
        <f>IF(OR(C133="",AB133="",AC133="",AB133=0,AC133=0),"",IF(AND(E133&gt;AB133,AB133&gt;AC133),"パーフェクト▲",IF(E133&gt;AC133,"上昇トレンド▲",IF(AND(E133&lt;AB133,AB133&lt;AC133),"下降トレンド▼","もみ合い→"))))</f>
        <v/>
      </c>
      <c r="AE133" s="345">
        <f>IF(OR(C133="",AB133="",AC133=""),"",IF(AND(ABS(E133-AC133)/AC133&lt;=0.02,E133&lt;AC133),"25日戻り売り★",IF(AND(ABS(E133-AB133)/AB133&lt;=0.01,E133&lt;AB133),"5日戻り売り○","なし")))</f>
        <v/>
      </c>
      <c r="AF133">
        <f>IF(T133="","",IF(銘柄管理!$F$5="上昇▲",IF(AND(AD133="下降トレンド▼",OR(AE133="25日戻り売り★",AE133="5日戻り売り○")),"★逆張り売り",IF(AND(AD133="もみ合い→",OR(AE133="25日戻り売り★",AE133="5日戻り売り○")),"○逆張り売り",IF(W133&gt;=70,IF(Z133&lt;0,"◎反落確認","△過熱・様子見"),"相場上昇・見送り"))),IF(AND(T133&gt;=12,AD133="下降トレンド▼"),"★強い売り",IF(T133&gt;=12,"★強い売り",IF(AND(T133&gt;=8,OR(AE133="25日戻り売り★",AE133="5日戻り売り○")),"◎戻り売り",IF(T133&gt;=10,"○売り候補",IF(T133&gt;=6,"△注目",IF(T133&gt;=3,"様子見","見送り"))))))))</f>
        <v/>
      </c>
      <c r="AG133">
        <f>IF(AND(T133&gt;=7,C133&lt;&gt;""),T133,0)</f>
        <v/>
      </c>
      <c r="AH133">
        <f>IF(AG133&gt;0,AG133*10000-ROW(A133),0)</f>
        <v/>
      </c>
      <c r="AI133" s="623">
        <f t="array" ref="AI133">IF(C133="","",IFERROR((INDEX(終値!$E:$E,MATCH(TEXT(C133,"0"),終値!$A:$A,0))-INDEX(終値!$E:$BL,MATCH(TEXT(C133,"0"),終値!$A:$A,0),$AN$2))/INDEX(終値!$E:$BL,MATCH(TEXT(C133,"0"),終値!$A:$A,0),$AN$2)*100,""))</f>
        <v/>
      </c>
      <c r="AJ133" s="623">
        <f t="array" ref="AJ133">IFERROR((終値!$E$5-INDEX(終値!$E$5:$BL$5,1,$AN$2))/INDEX(終値!$E$5:$BL$5,1,$AN$2)*100,"")</f>
        <v/>
      </c>
      <c r="AK133" s="624">
        <f>IF(OR(AI133="",AJ133=""),"",AI133-AJ133)</f>
        <v/>
      </c>
      <c r="AL133" s="394">
        <f>IF(AK133="","",IF(AK133&lt;-5,3,IF(AK133&lt;0,1,IF(AK133&lt;3,-1,-2))))</f>
        <v/>
      </c>
      <c r="AO133" s="398">
        <f>IF(OR($C133="",$E133="",$F133="",$H133="",$I133="",$H133-$I133&lt;=0),"-",IF(AND($H133-MAX($F133,$E133)&gt;=ABS($E133-$F133)*2,MIN($F133,$E133)-$I133&lt;=ABS($E133-$F133)*0.5,ABS($E133-$F133)&gt;0),"上ヒゲ陰線▼",IF(AND($E133&lt;$F133,ABS($E133-$F133)&gt;=($H133-$I133)*0.7),"大陰線▼",IF(AND(MIN($F133,$E133)-$I133&gt;=($H133-$I133)*0.5,$H133-MAX($F133,$E133)&lt;=($H133-$I133)*0.2),"長い下ヒゲ(反発警戒)","通常"))))</f>
        <v/>
      </c>
      <c r="AP133" s="625">
        <f>IF($AO133="上ヒゲ陰線▼",2,IF($AO133="大陰線▼",2,IF($AO133="長い下ヒゲ(反発警戒)",-2,0)))</f>
        <v/>
      </c>
      <c r="AQ133">
        <f>IF(C133&lt;&gt;"",始値!F165,"")</f>
        <v/>
      </c>
      <c r="AR133">
        <f>IF(C133&lt;&gt;"",高値!F165,"")</f>
        <v/>
      </c>
      <c r="AS133">
        <f>IF(C133&lt;&gt;"",安値!F165,"")</f>
        <v/>
      </c>
      <c r="AT133">
        <f>IF(OR(C133="",AQ133="",AR133="",AS133="",AR133-AS133&lt;=0),"-",IF(AND(AR133-MAX(G133,AQ133)&gt;=ABS(G133-AQ133)*2,MIN(G133,AQ133)-AS133&lt;=ABS(G133-AQ133)*0.5,ABS(G133-AQ133)&gt;0),"上ヒゲ陰線▼",IF(AND(G133&lt;AQ133,ABS(G133-AQ133)&gt;=(AR133-AS133)*0.7),"大陰線▼",IF(AND(MIN(G133,AQ133)-AS133&gt;=(AR133-AS133)*0.5,AR133-MAX(G133,AQ133)&lt;=(AR133-AS133)*0.2),"長い下ヒゲ(反発)","通常"))))</f>
        <v/>
      </c>
      <c r="AU133">
        <f>IF(AT133="上ヒゲ陰線▼",2,IF(AT133="大陰線▼",2,IF(AT133="長い下ヒゲ(反発)",-2,0)))</f>
        <v/>
      </c>
    </row>
    <row r="134" ht="14.25" customHeight="1" s="574">
      <c r="A134" s="352">
        <f>IF(銘柄管理!B167&lt;&gt;"",HYPERLINK("https://kabutan.jp/stock/?code="&amp;銘柄管理!B167,"株探"),"")</f>
        <v/>
      </c>
      <c r="B134" s="225" t="n"/>
      <c r="C134" s="225">
        <f>IF(銘柄管理!B167="","",銘柄管理!B167)</f>
        <v/>
      </c>
      <c r="D134" s="225">
        <f>IF(銘柄管理!C167="","",銘柄管理!C167)</f>
        <v/>
      </c>
      <c r="E134" s="353">
        <f>IF(C134&lt;&gt;"",_xll.RssMarket(C134,"現在値"),"")</f>
        <v/>
      </c>
      <c r="F134" s="353">
        <f>IF(C134&lt;&gt;"",_xll.RssMarket(C134,"始値"),"")</f>
        <v/>
      </c>
      <c r="G134" s="225">
        <f>IF(C134&lt;&gt;"",終値!F167,"")</f>
        <v/>
      </c>
      <c r="H134" s="353">
        <f>IF(C134&lt;&gt;"",_xll.RssMarket(C134,"高値"),"")</f>
        <v/>
      </c>
      <c r="I134" s="353">
        <f>IF(C134&lt;&gt;"",_xll.RssMarket(C134,"安値"),"")</f>
        <v/>
      </c>
      <c r="J134" s="353">
        <f>IF(C134&lt;&gt;"",_xll.RssMarket(C134,"出来高"),"")</f>
        <v/>
      </c>
      <c r="K134" s="353">
        <f>IF(C134&lt;&gt;"",_xll.RssMarket(C134,"年初来高値"),"")</f>
        <v/>
      </c>
      <c r="L134" s="626">
        <f>IF(AND(E134&lt;&gt;"",K134&lt;&gt;"",K134&lt;&gt;0),(E134-K134)/K134*100,"")</f>
        <v/>
      </c>
      <c r="M134" s="353">
        <f>IF(C134&lt;&gt;"",IFERROR(AVERAGE(出来高!E167:I167),""),"")</f>
        <v/>
      </c>
      <c r="N134" s="353">
        <f>IF(C134&lt;&gt;"",IFERROR(AVERAGE(出来高!E167:AC167),""),"")</f>
        <v/>
      </c>
      <c r="O134" s="627">
        <f>IF(AND(J134&lt;&gt;"",M134&lt;&gt;"",M134&lt;&gt;0),J134/M134,"")</f>
        <v/>
      </c>
      <c r="P134" s="225">
        <f>IF(O134="","",IF(O134&gt;=2,"急増↑↑",IF(O134&gt;=1.5,"増加↑",IF(O134&gt;=1,"普通→","減少↓"))))</f>
        <v/>
      </c>
      <c r="Q134" s="225">
        <f>IF(E134="","",IF(AND(E134&lt;G134,O134&gt;=1.5),"売り▼",IF(E134&gt;G134,"様子見▲","中立→")))</f>
        <v/>
      </c>
      <c r="R134" s="353">
        <f>IF(E134&lt;&gt;"",ROUND(E134*0.92,0),"")</f>
        <v/>
      </c>
      <c r="S134" s="353">
        <f>IF(E134&lt;&gt;"",ROUND(E134*1.04,0),"")</f>
        <v/>
      </c>
      <c r="T134" s="345">
        <f>IF(C134="","",IFERROR(IF(W134&gt;=70,3,IF(W134&gt;=60,2,IF(W134&gt;=50,1,0)))+IF(X134&lt;0,2,0)+IF(AD134="下降トレンド▼",3,IF(AD134="もみ合い→",1,0))+IF(V134="年初来安値圏●",3,IF(V134="安値圏",2,0))+IF(Q134="売り▼",2,0)+IF(P134="急増↑↑",2,IF(P134="増加↑",1,0))+IF(Z134&lt;0,1,0)+IF(L134&lt;=-30,2,IF(L134&lt;=-15,1,0))+IF(AE134="25日戻り売り★",2,IF(AE134="5日戻り売り○",1,0))+N(AL134)+N(AP134)+N(AU134),0))</f>
        <v/>
      </c>
      <c r="U134" s="225">
        <f>IF(T134="","",IF(AND(T134&gt;=3,O134&gt;=1.5),"有効",IF(T134&gt;=3,"要確認","除外")))</f>
        <v/>
      </c>
      <c r="V134" s="225">
        <f>IF(AND(I134&lt;&gt;"",K134&lt;&gt;""),IF(I134&lt;=K134*0.6,"年初来安値圏●",IF(I134&lt;=K134*0.75,"安値圏","通常")),"")</f>
        <v/>
      </c>
      <c r="W134" s="628">
        <f t="array" ref="W134">IFERROR(100-100/(1+SUMPRODUCT((終値!F167:R167&gt;終値!G167:S167)*(終値!F167:R167-終値!G167:S167))/SUMPRODUCT((終値!F167:R167&lt;終値!G167:S167)*(終値!G167:S167-終値!F167:R167))),50)</f>
        <v/>
      </c>
      <c r="X134" s="357">
        <f>IF(C134&lt;&gt;"",IFERROR(SUMPRODUCT(終値!E167:P167,{0.154,0.132,0.113,0.097,0.083,0.071,0.061,0.052,0.045,0.038,0.033,0.028})/SUMPRODUCT({0.154,0.132,0.113,0.097,0.083,0.071,0.061,0.052,0.045,0.038,0.033,0.028})-SUMPRODUCT(終値!E167:AD167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4" s="225">
        <f>IF(AF134="","",AF134&amp;" | "&amp;AD134&amp;IF(AE134&lt;&gt;"なし"," "&amp;AE134,"")&amp;IF(X134&lt;0," MACD-"," MACD+")&amp;" RSI:"&amp;TEXT(W134,"0.0")&amp;IF(W134&gt;=70," [過熱]",IF(W134&lt;=30," [売られ過ぎ]",""))&amp;" 前日比:"&amp;TEXT(Z134,"+0.0;-0.0;0.0")&amp;"%"&amp;IF(V134="年初来安値圏●"," [年初来安値圏]",IF(V134="安値圏"," [安値圏]",""))&amp;IF(OR(AO134="通常",AO134="-"),""," ["&amp;AO134&amp;"]")&amp;IF(OR(AT134="通常",AT134="-"),"","前日["&amp;AT134&amp;"]")&amp;" ["&amp;T134&amp;"点]")</f>
        <v/>
      </c>
      <c r="Z134" s="629">
        <f>IF(AND(E134&lt;&gt;"",G134&lt;&gt;"",G134&lt;&gt;0),(E134-G134)/G134*100,"")</f>
        <v/>
      </c>
      <c r="AA134" s="225">
        <f>IF(OR(C134="",E134="",E134=0),"",IF(E134&gt;G134,"上昇▲",IF(E134&lt;G134,"下落▼","横ばい→")))</f>
        <v/>
      </c>
      <c r="AB134" s="353">
        <f>IF(OR(C134="",C134="TOPX",終値!E167=""),"",IFERROR(((終値!E167*0.333)+(終値!F167*0.222)+(終値!G167*0.148)+(終値!H167*0.099)+(終値!I167*0.066))/(0.333+0.222+0.148+0.099+0.066),""))</f>
        <v/>
      </c>
      <c r="AC134" s="353">
        <f>IF(OR(C134="",C134="TOPX",終値!E167=""),"",IFERROR(SUMPRODUCT((終値!E167:AC167)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4" s="225">
        <f>IF(OR(C134="",AB134="",AC134="",AB134=0,AC134=0),"",IF(AND(E134&gt;AB134,AB134&gt;AC134),"パーフェクト▲",IF(E134&gt;AC134,"上昇トレンド▲",IF(AND(E134&lt;AB134,AB134&lt;AC134),"下降トレンド▼","もみ合い→"))))</f>
        <v/>
      </c>
      <c r="AE134" s="225">
        <f>IF(OR(C134="",AB134="",AC134=""),"",IF(AND(ABS(E134-AC134)/AC134&lt;=0.02,E134&lt;AC134),"25日戻り売り★",IF(AND(ABS(E134-AB134)/AB134&lt;=0.01,E134&lt;AB134),"5日戻り売り○","なし")))</f>
        <v/>
      </c>
      <c r="AF134">
        <f>IF(T134="","",IF(銘柄管理!$F$5="上昇▲",IF(AND(AD134="下降トレンド▼",OR(AE134="25日戻り売り★",AE134="5日戻り売り○")),"★逆張り売り",IF(AND(AD134="もみ合い→",OR(AE134="25日戻り売り★",AE134="5日戻り売り○")),"○逆張り売り",IF(W134&gt;=70,IF(Z134&lt;0,"◎反落確認","△過熱・様子見"),"相場上昇・見送り"))),IF(AND(T134&gt;=12,AD134="下降トレンド▼"),"★強い売り",IF(T134&gt;=12,"★強い売り",IF(AND(T134&gt;=8,OR(AE134="25日戻り売り★",AE134="5日戻り売り○")),"◎戻り売り",IF(T134&gt;=10,"○売り候補",IF(T134&gt;=6,"△注目",IF(T134&gt;=3,"様子見","見送り"))))))))</f>
        <v/>
      </c>
      <c r="AG134">
        <f>IF(AND(T134&gt;=7,C134&lt;&gt;""),T134,0)</f>
        <v/>
      </c>
      <c r="AH134">
        <f>IF(AG134&gt;0,AG134*10000-ROW(A134),0)</f>
        <v/>
      </c>
      <c r="AI134" s="623">
        <f t="array" ref="AI134">IF(C134="","",IFERROR((INDEX(終値!$E:$E,MATCH(TEXT(C134,"0"),終値!$A:$A,0))-INDEX(終値!$E:$BL,MATCH(TEXT(C134,"0"),終値!$A:$A,0),$AN$2))/INDEX(終値!$E:$BL,MATCH(TEXT(C134,"0"),終値!$A:$A,0),$AN$2)*100,""))</f>
        <v/>
      </c>
      <c r="AJ134" s="623">
        <f t="array" ref="AJ134">IFERROR((終値!$E$5-INDEX(終値!$E$5:$BL$5,1,$AN$2))/INDEX(終値!$E$5:$BL$5,1,$AN$2)*100,"")</f>
        <v/>
      </c>
      <c r="AK134" s="624">
        <f>IF(OR(AI134="",AJ134=""),"",AI134-AJ134)</f>
        <v/>
      </c>
      <c r="AL134" s="394">
        <f>IF(AK134="","",IF(AK134&lt;-5,3,IF(AK134&lt;0,1,IF(AK134&lt;3,-1,-2))))</f>
        <v/>
      </c>
      <c r="AO134" s="398">
        <f>IF(OR($C134="",$E134="",$F134="",$H134="",$I134="",$H134-$I134&lt;=0),"-",IF(AND($H134-MAX($F134,$E134)&gt;=ABS($E134-$F134)*2,MIN($F134,$E134)-$I134&lt;=ABS($E134-$F134)*0.5,ABS($E134-$F134)&gt;0),"上ヒゲ陰線▼",IF(AND($E134&lt;$F134,ABS($E134-$F134)&gt;=($H134-$I134)*0.7),"大陰線▼",IF(AND(MIN($F134,$E134)-$I134&gt;=($H134-$I134)*0.5,$H134-MAX($F134,$E134)&lt;=($H134-$I134)*0.2),"長い下ヒゲ(反発警戒)","通常"))))</f>
        <v/>
      </c>
      <c r="AP134" s="625">
        <f>IF($AO134="上ヒゲ陰線▼",2,IF($AO134="大陰線▼",2,IF($AO134="長い下ヒゲ(反発警戒)",-2,0)))</f>
        <v/>
      </c>
      <c r="AQ134">
        <f>IF(C134&lt;&gt;"",始値!F167,"")</f>
        <v/>
      </c>
      <c r="AR134">
        <f>IF(C134&lt;&gt;"",高値!F167,"")</f>
        <v/>
      </c>
      <c r="AS134">
        <f>IF(C134&lt;&gt;"",安値!F167,"")</f>
        <v/>
      </c>
      <c r="AT134">
        <f>IF(OR(C134="",AQ134="",AR134="",AS134="",AR134-AS134&lt;=0),"-",IF(AND(AR134-MAX(G134,AQ134)&gt;=ABS(G134-AQ134)*2,MIN(G134,AQ134)-AS134&lt;=ABS(G134-AQ134)*0.5,ABS(G134-AQ134)&gt;0),"上ヒゲ陰線▼",IF(AND(G134&lt;AQ134,ABS(G134-AQ134)&gt;=(AR134-AS134)*0.7),"大陰線▼",IF(AND(MIN(G134,AQ134)-AS134&gt;=(AR134-AS134)*0.5,AR134-MAX(G134,AQ134)&lt;=(AR134-AS134)*0.2),"長い下ヒゲ(反発)","通常"))))</f>
        <v/>
      </c>
      <c r="AU134">
        <f>IF(AT134="上ヒゲ陰線▼",2,IF(AT134="大陰線▼",2,IF(AT134="長い下ヒゲ(反発)",-2,0)))</f>
        <v/>
      </c>
    </row>
    <row r="135" ht="14.25" customHeight="1" s="574">
      <c r="A135" s="344">
        <f>IF(銘柄管理!B168&lt;&gt;"",HYPERLINK("https://kabutan.jp/stock/?code="&amp;銘柄管理!B168,"株探"),"")</f>
        <v/>
      </c>
      <c r="B135" s="345" t="n"/>
      <c r="C135" s="345">
        <f>IF(銘柄管理!B168="","",銘柄管理!B168)</f>
        <v/>
      </c>
      <c r="D135" s="345">
        <f>IF(銘柄管理!C168="","",銘柄管理!C168)</f>
        <v/>
      </c>
      <c r="E135" s="346">
        <f>IF(C135&lt;&gt;"",_xll.RssMarket(C135,"現在値"),"")</f>
        <v/>
      </c>
      <c r="F135" s="346">
        <f>IF(C135&lt;&gt;"",_xll.RssMarket(C135,"始値"),"")</f>
        <v/>
      </c>
      <c r="G135" s="345">
        <f>IF(C135&lt;&gt;"",終値!F168,"")</f>
        <v/>
      </c>
      <c r="H135" s="346">
        <f>IF(C135&lt;&gt;"",_xll.RssMarket(C135,"高値"),"")</f>
        <v/>
      </c>
      <c r="I135" s="346">
        <f>IF(C135&lt;&gt;"",_xll.RssMarket(C135,"安値"),"")</f>
        <v/>
      </c>
      <c r="J135" s="346">
        <f>IF(C135&lt;&gt;"",_xll.RssMarket(C135,"出来高"),"")</f>
        <v/>
      </c>
      <c r="K135" s="346">
        <f>IF(C135&lt;&gt;"",_xll.RssMarket(C135,"年初来高値"),"")</f>
        <v/>
      </c>
      <c r="L135" s="619">
        <f>IF(AND(E135&lt;&gt;"",K135&lt;&gt;"",K135&lt;&gt;0),(E135-K135)/K135*100,"")</f>
        <v/>
      </c>
      <c r="M135" s="346">
        <f>IF(C135&lt;&gt;"",IFERROR(AVERAGE(出来高!E168:I168),""),"")</f>
        <v/>
      </c>
      <c r="N135" s="346">
        <f>IF(C135&lt;&gt;"",IFERROR(AVERAGE(出来高!E168:AC168),""),"")</f>
        <v/>
      </c>
      <c r="O135" s="620">
        <f>IF(AND(J135&lt;&gt;"",M135&lt;&gt;"",M135&lt;&gt;0),J135/M135,"")</f>
        <v/>
      </c>
      <c r="P135" s="345">
        <f>IF(O135="","",IF(O135&gt;=2,"急増↑↑",IF(O135&gt;=1.5,"増加↑",IF(O135&gt;=1,"普通→","減少↓"))))</f>
        <v/>
      </c>
      <c r="Q135" s="345">
        <f>IF(E135="","",IF(AND(E135&lt;G135,O135&gt;=1.5),"売り▼",IF(E135&gt;G135,"様子見▲","中立→")))</f>
        <v/>
      </c>
      <c r="R135" s="346">
        <f>IF(E135&lt;&gt;"",ROUND(E135*0.92,0),"")</f>
        <v/>
      </c>
      <c r="S135" s="346">
        <f>IF(E135&lt;&gt;"",ROUND(E135*1.04,0),"")</f>
        <v/>
      </c>
      <c r="T135" s="345">
        <f>IF(C135="","",IFERROR(IF(W135&gt;=70,3,IF(W135&gt;=60,2,IF(W135&gt;=50,1,0)))+IF(X135&lt;0,2,0)+IF(AD135="下降トレンド▼",3,IF(AD135="もみ合い→",1,0))+IF(V135="年初来安値圏●",3,IF(V135="安値圏",2,0))+IF(Q135="売り▼",2,0)+IF(P135="急増↑↑",2,IF(P135="増加↑",1,0))+IF(Z135&lt;0,1,0)+IF(L135&lt;=-30,2,IF(L135&lt;=-15,1,0))+IF(AE135="25日戻り売り★",2,IF(AE135="5日戻り売り○",1,0))+N(AL135)+N(AP135)+N(AU135),0))</f>
        <v/>
      </c>
      <c r="U135" s="345">
        <f>IF(T135="","",IF(AND(T135&gt;=3,O135&gt;=1.5),"有効",IF(T135&gt;=3,"要確認","除外")))</f>
        <v/>
      </c>
      <c r="V135" s="345">
        <f>IF(AND(I135&lt;&gt;"",K135&lt;&gt;""),IF(I135&lt;=K135*0.6,"年初来安値圏●",IF(I135&lt;=K135*0.75,"安値圏","通常")),"")</f>
        <v/>
      </c>
      <c r="W135" s="621">
        <f t="array" ref="W135">IFERROR(100-100/(1+SUMPRODUCT((終値!F168:R168&gt;終値!G168:S168)*(終値!F168:R168-終値!G168:S168))/SUMPRODUCT((終値!F168:R168&lt;終値!G168:S168)*(終値!G168:S168-終値!F168:R168))),50)</f>
        <v/>
      </c>
      <c r="X135" s="350">
        <f>IF(C135&lt;&gt;"",IFERROR(SUMPRODUCT(終値!E168:P168,{0.154,0.132,0.113,0.097,0.083,0.071,0.061,0.052,0.045,0.038,0.033,0.028})/SUMPRODUCT({0.154,0.132,0.113,0.097,0.083,0.071,0.061,0.052,0.045,0.038,0.033,0.028})-SUMPRODUCT(終値!E168:AD168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5" s="345">
        <f>IF(AF135="","",AF135&amp;" | "&amp;AD135&amp;IF(AE135&lt;&gt;"なし"," "&amp;AE135,"")&amp;IF(X135&lt;0," MACD-"," MACD+")&amp;" RSI:"&amp;TEXT(W135,"0.0")&amp;IF(W135&gt;=70," [過熱]",IF(W135&lt;=30," [売られ過ぎ]",""))&amp;" 前日比:"&amp;TEXT(Z135,"+0.0;-0.0;0.0")&amp;"%"&amp;IF(V135="年初来安値圏●"," [年初来安値圏]",IF(V135="安値圏"," [安値圏]",""))&amp;IF(OR(AO135="通常",AO135="-"),""," ["&amp;AO135&amp;"]")&amp;IF(OR(AT135="通常",AT135="-"),"","前日["&amp;AT135&amp;"]")&amp;" ["&amp;T135&amp;"点]")</f>
        <v/>
      </c>
      <c r="Z135" s="622">
        <f>IF(AND(E135&lt;&gt;"",G135&lt;&gt;"",G135&lt;&gt;0),(E135-G135)/G135*100,"")</f>
        <v/>
      </c>
      <c r="AA135" s="345">
        <f>IF(OR(C135="",E135="",E135=0),"",IF(E135&gt;G135,"上昇▲",IF(E135&lt;G135,"下落▼","横ばい→")))</f>
        <v/>
      </c>
      <c r="AB135" s="346">
        <f>IF(OR(C135="",C135="TOPX",終値!E168=""),"",IFERROR(((終値!E168*0.333)+(終値!F168*0.222)+(終値!G168*0.148)+(終値!H168*0.099)+(終値!I168*0.066))/(0.333+0.222+0.148+0.099+0.066),""))</f>
        <v/>
      </c>
      <c r="AC135" s="346">
        <f>IF(OR(C135="",C135="TOPX",終値!E168=""),"",IFERROR(SUMPRODUCT((終値!E168:AC168)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5" s="345">
        <f>IF(OR(C135="",AB135="",AC135="",AB135=0,AC135=0),"",IF(AND(E135&gt;AB135,AB135&gt;AC135),"パーフェクト▲",IF(E135&gt;AC135,"上昇トレンド▲",IF(AND(E135&lt;AB135,AB135&lt;AC135),"下降トレンド▼","もみ合い→"))))</f>
        <v/>
      </c>
      <c r="AE135" s="345">
        <f>IF(OR(C135="",AB135="",AC135=""),"",IF(AND(ABS(E135-AC135)/AC135&lt;=0.02,E135&lt;AC135),"25日戻り売り★",IF(AND(ABS(E135-AB135)/AB135&lt;=0.01,E135&lt;AB135),"5日戻り売り○","なし")))</f>
        <v/>
      </c>
      <c r="AF135">
        <f>IF(T135="","",IF(銘柄管理!$F$5="上昇▲",IF(AND(AD135="下降トレンド▼",OR(AE135="25日戻り売り★",AE135="5日戻り売り○")),"★逆張り売り",IF(AND(AD135="もみ合い→",OR(AE135="25日戻り売り★",AE135="5日戻り売り○")),"○逆張り売り",IF(W135&gt;=70,IF(Z135&lt;0,"◎反落確認","△過熱・様子見"),"相場上昇・見送り"))),IF(AND(T135&gt;=12,AD135="下降トレンド▼"),"★強い売り",IF(T135&gt;=12,"★強い売り",IF(AND(T135&gt;=8,OR(AE135="25日戻り売り★",AE135="5日戻り売り○")),"◎戻り売り",IF(T135&gt;=10,"○売り候補",IF(T135&gt;=6,"△注目",IF(T135&gt;=3,"様子見","見送り"))))))))</f>
        <v/>
      </c>
      <c r="AG135">
        <f>IF(AND(T135&gt;=7,C135&lt;&gt;""),T135,0)</f>
        <v/>
      </c>
      <c r="AH135">
        <f>IF(AG135&gt;0,AG135*10000-ROW(A135),0)</f>
        <v/>
      </c>
      <c r="AI135" s="623">
        <f t="array" ref="AI135">IF(C135="","",IFERROR((INDEX(終値!$E:$E,MATCH(TEXT(C135,"0"),終値!$A:$A,0))-INDEX(終値!$E:$BL,MATCH(TEXT(C135,"0"),終値!$A:$A,0),$AN$2))/INDEX(終値!$E:$BL,MATCH(TEXT(C135,"0"),終値!$A:$A,0),$AN$2)*100,""))</f>
        <v/>
      </c>
      <c r="AJ135" s="623">
        <f t="array" ref="AJ135">IFERROR((終値!$E$5-INDEX(終値!$E$5:$BL$5,1,$AN$2))/INDEX(終値!$E$5:$BL$5,1,$AN$2)*100,"")</f>
        <v/>
      </c>
      <c r="AK135" s="624">
        <f>IF(OR(AI135="",AJ135=""),"",AI135-AJ135)</f>
        <v/>
      </c>
      <c r="AL135" s="394">
        <f>IF(AK135="","",IF(AK135&lt;-5,3,IF(AK135&lt;0,1,IF(AK135&lt;3,-1,-2))))</f>
        <v/>
      </c>
      <c r="AO135" s="398">
        <f>IF(OR($C135="",$E135="",$F135="",$H135="",$I135="",$H135-$I135&lt;=0),"-",IF(AND($H135-MAX($F135,$E135)&gt;=ABS($E135-$F135)*2,MIN($F135,$E135)-$I135&lt;=ABS($E135-$F135)*0.5,ABS($E135-$F135)&gt;0),"上ヒゲ陰線▼",IF(AND($E135&lt;$F135,ABS($E135-$F135)&gt;=($H135-$I135)*0.7),"大陰線▼",IF(AND(MIN($F135,$E135)-$I135&gt;=($H135-$I135)*0.5,$H135-MAX($F135,$E135)&lt;=($H135-$I135)*0.2),"長い下ヒゲ(反発警戒)","通常"))))</f>
        <v/>
      </c>
      <c r="AP135" s="625">
        <f>IF($AO135="上ヒゲ陰線▼",2,IF($AO135="大陰線▼",2,IF($AO135="長い下ヒゲ(反発警戒)",-2,0)))</f>
        <v/>
      </c>
      <c r="AQ135">
        <f>IF(C135&lt;&gt;"",始値!F168,"")</f>
        <v/>
      </c>
      <c r="AR135">
        <f>IF(C135&lt;&gt;"",高値!F168,"")</f>
        <v/>
      </c>
      <c r="AS135">
        <f>IF(C135&lt;&gt;"",安値!F168,"")</f>
        <v/>
      </c>
      <c r="AT135">
        <f>IF(OR(C135="",AQ135="",AR135="",AS135="",AR135-AS135&lt;=0),"-",IF(AND(AR135-MAX(G135,AQ135)&gt;=ABS(G135-AQ135)*2,MIN(G135,AQ135)-AS135&lt;=ABS(G135-AQ135)*0.5,ABS(G135-AQ135)&gt;0),"上ヒゲ陰線▼",IF(AND(G135&lt;AQ135,ABS(G135-AQ135)&gt;=(AR135-AS135)*0.7),"大陰線▼",IF(AND(MIN(G135,AQ135)-AS135&gt;=(AR135-AS135)*0.5,AR135-MAX(G135,AQ135)&lt;=(AR135-AS135)*0.2),"長い下ヒゲ(反発)","通常"))))</f>
        <v/>
      </c>
      <c r="AU135">
        <f>IF(AT135="上ヒゲ陰線▼",2,IF(AT135="大陰線▼",2,IF(AT135="長い下ヒゲ(反発)",-2,0)))</f>
        <v/>
      </c>
    </row>
    <row r="136" ht="14.25" customHeight="1" s="574">
      <c r="A136" s="352">
        <f>IF(銘柄管理!B169&lt;&gt;"",HYPERLINK("https://kabutan.jp/stock/?code="&amp;銘柄管理!B169,"株探"),"")</f>
        <v/>
      </c>
      <c r="B136" s="225" t="n"/>
      <c r="C136" s="225">
        <f>IF(銘柄管理!B169="","",銘柄管理!B169)</f>
        <v/>
      </c>
      <c r="D136" s="225">
        <f>IF(銘柄管理!C169="","",銘柄管理!C169)</f>
        <v/>
      </c>
      <c r="E136" s="353">
        <f>IF(C136&lt;&gt;"",_xll.RssMarket(C136,"現在値"),"")</f>
        <v/>
      </c>
      <c r="F136" s="353">
        <f>IF(C136&lt;&gt;"",_xll.RssMarket(C136,"始値"),"")</f>
        <v/>
      </c>
      <c r="G136" s="225">
        <f>IF(C136&lt;&gt;"",終値!F169,"")</f>
        <v/>
      </c>
      <c r="H136" s="353">
        <f>IF(C136&lt;&gt;"",_xll.RssMarket(C136,"高値"),"")</f>
        <v/>
      </c>
      <c r="I136" s="353">
        <f>IF(C136&lt;&gt;"",_xll.RssMarket(C136,"安値"),"")</f>
        <v/>
      </c>
      <c r="J136" s="353">
        <f>IF(C136&lt;&gt;"",_xll.RssMarket(C136,"出来高"),"")</f>
        <v/>
      </c>
      <c r="K136" s="353">
        <f>IF(C136&lt;&gt;"",_xll.RssMarket(C136,"年初来高値"),"")</f>
        <v/>
      </c>
      <c r="L136" s="626">
        <f>IF(AND(E136&lt;&gt;"",K136&lt;&gt;"",K136&lt;&gt;0),(E136-K136)/K136*100,"")</f>
        <v/>
      </c>
      <c r="M136" s="353">
        <f>IF(C136&lt;&gt;"",IFERROR(AVERAGE(出来高!E169:I169),""),"")</f>
        <v/>
      </c>
      <c r="N136" s="353">
        <f>IF(C136&lt;&gt;"",IFERROR(AVERAGE(出来高!E169:AC169),""),"")</f>
        <v/>
      </c>
      <c r="O136" s="627">
        <f>IF(AND(J136&lt;&gt;"",M136&lt;&gt;"",M136&lt;&gt;0),J136/M136,"")</f>
        <v/>
      </c>
      <c r="P136" s="225">
        <f>IF(O136="","",IF(O136&gt;=2,"急増↑↑",IF(O136&gt;=1.5,"増加↑",IF(O136&gt;=1,"普通→","減少↓"))))</f>
        <v/>
      </c>
      <c r="Q136" s="225">
        <f>IF(E136="","",IF(AND(E136&lt;G136,O136&gt;=1.5),"売り▼",IF(E136&gt;G136,"様子見▲","中立→")))</f>
        <v/>
      </c>
      <c r="R136" s="353">
        <f>IF(E136&lt;&gt;"",ROUND(E136*0.92,0),"")</f>
        <v/>
      </c>
      <c r="S136" s="353">
        <f>IF(E136&lt;&gt;"",ROUND(E136*1.04,0),"")</f>
        <v/>
      </c>
      <c r="T136" s="345">
        <f>IF(C136="","",IFERROR(IF(W136&gt;=70,3,IF(W136&gt;=60,2,IF(W136&gt;=50,1,0)))+IF(X136&lt;0,2,0)+IF(AD136="下降トレンド▼",3,IF(AD136="もみ合い→",1,0))+IF(V136="年初来安値圏●",3,IF(V136="安値圏",2,0))+IF(Q136="売り▼",2,0)+IF(P136="急増↑↑",2,IF(P136="増加↑",1,0))+IF(Z136&lt;0,1,0)+IF(L136&lt;=-30,2,IF(L136&lt;=-15,1,0))+IF(AE136="25日戻り売り★",2,IF(AE136="5日戻り売り○",1,0))+N(AL136)+N(AP136)+N(AU136),0))</f>
        <v/>
      </c>
      <c r="U136" s="225">
        <f>IF(T136="","",IF(AND(T136&gt;=3,O136&gt;=1.5),"有効",IF(T136&gt;=3,"要確認","除外")))</f>
        <v/>
      </c>
      <c r="V136" s="225">
        <f>IF(AND(I136&lt;&gt;"",K136&lt;&gt;""),IF(I136&lt;=K136*0.6,"年初来安値圏●",IF(I136&lt;=K136*0.75,"安値圏","通常")),"")</f>
        <v/>
      </c>
      <c r="W136" s="628">
        <f t="array" ref="W136">IFERROR(100-100/(1+SUMPRODUCT((終値!F169:R169&gt;終値!G169:S169)*(終値!F169:R169-終値!G169:S169))/SUMPRODUCT((終値!F169:R169&lt;終値!G169:S169)*(終値!G169:S169-終値!F169:R169))),50)</f>
        <v/>
      </c>
      <c r="X136" s="357">
        <f>IF(C136&lt;&gt;"",IFERROR(SUMPRODUCT(終値!E169:P169,{0.154,0.132,0.113,0.097,0.083,0.071,0.061,0.052,0.045,0.038,0.033,0.028})/SUMPRODUCT({0.154,0.132,0.113,0.097,0.083,0.071,0.061,0.052,0.045,0.038,0.033,0.028})-SUMPRODUCT(終値!E169:AD169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6" s="225">
        <f>IF(AF136="","",AF136&amp;" | "&amp;AD136&amp;IF(AE136&lt;&gt;"なし"," "&amp;AE136,"")&amp;IF(X136&lt;0," MACD-"," MACD+")&amp;" RSI:"&amp;TEXT(W136,"0.0")&amp;IF(W136&gt;=70," [過熱]",IF(W136&lt;=30," [売られ過ぎ]",""))&amp;" 前日比:"&amp;TEXT(Z136,"+0.0;-0.0;0.0")&amp;"%"&amp;IF(V136="年初来安値圏●"," [年初来安値圏]",IF(V136="安値圏"," [安値圏]",""))&amp;IF(OR(AO136="通常",AO136="-"),""," ["&amp;AO136&amp;"]")&amp;IF(OR(AT136="通常",AT136="-"),"","前日["&amp;AT136&amp;"]")&amp;" ["&amp;T136&amp;"点]")</f>
        <v/>
      </c>
      <c r="Z136" s="629">
        <f>IF(AND(E136&lt;&gt;"",G136&lt;&gt;"",G136&lt;&gt;0),(E136-G136)/G136*100,"")</f>
        <v/>
      </c>
      <c r="AA136" s="225">
        <f>IF(OR(C136="",E136="",E136=0),"",IF(E136&gt;G136,"上昇▲",IF(E136&lt;G136,"下落▼","横ばい→")))</f>
        <v/>
      </c>
      <c r="AB136" s="353">
        <f>IF(OR(C136="",C136="TOPX",終値!E169=""),"",IFERROR(((終値!E169*0.333)+(終値!F169*0.222)+(終値!G169*0.148)+(終値!H169*0.099)+(終値!I169*0.066))/(0.333+0.222+0.148+0.099+0.066),""))</f>
        <v/>
      </c>
      <c r="AC136" s="353">
        <f>IF(OR(C136="",C136="TOPX",終値!E169=""),"",IFERROR(SUMPRODUCT((終値!E169:AC169)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6" s="225">
        <f>IF(OR(C136="",AB136="",AC136="",AB136=0,AC136=0),"",IF(AND(E136&gt;AB136,AB136&gt;AC136),"パーフェクト▲",IF(E136&gt;AC136,"上昇トレンド▲",IF(AND(E136&lt;AB136,AB136&lt;AC136),"下降トレンド▼","もみ合い→"))))</f>
        <v/>
      </c>
      <c r="AE136" s="225">
        <f>IF(OR(C136="",AB136="",AC136=""),"",IF(AND(ABS(E136-AC136)/AC136&lt;=0.02,E136&lt;AC136),"25日戻り売り★",IF(AND(ABS(E136-AB136)/AB136&lt;=0.01,E136&lt;AB136),"5日戻り売り○","なし")))</f>
        <v/>
      </c>
      <c r="AF136">
        <f>IF(T136="","",IF(銘柄管理!$F$5="上昇▲",IF(AND(AD136="下降トレンド▼",OR(AE136="25日戻り売り★",AE136="5日戻り売り○")),"★逆張り売り",IF(AND(AD136="もみ合い→",OR(AE136="25日戻り売り★",AE136="5日戻り売り○")),"○逆張り売り",IF(W136&gt;=70,IF(Z136&lt;0,"◎反落確認","△過熱・様子見"),"相場上昇・見送り"))),IF(AND(T136&gt;=12,AD136="下降トレンド▼"),"★強い売り",IF(T136&gt;=12,"★強い売り",IF(AND(T136&gt;=8,OR(AE136="25日戻り売り★",AE136="5日戻り売り○")),"◎戻り売り",IF(T136&gt;=10,"○売り候補",IF(T136&gt;=6,"△注目",IF(T136&gt;=3,"様子見","見送り"))))))))</f>
        <v/>
      </c>
      <c r="AG136">
        <f>IF(AND(T136&gt;=7,C136&lt;&gt;""),T136,0)</f>
        <v/>
      </c>
      <c r="AH136">
        <f>IF(AG136&gt;0,AG136*10000-ROW(A136),0)</f>
        <v/>
      </c>
      <c r="AI136" s="623">
        <f t="array" ref="AI136">IF(C136="","",IFERROR((INDEX(終値!$E:$E,MATCH(TEXT(C136,"0"),終値!$A:$A,0))-INDEX(終値!$E:$BL,MATCH(TEXT(C136,"0"),終値!$A:$A,0),$AN$2))/INDEX(終値!$E:$BL,MATCH(TEXT(C136,"0"),終値!$A:$A,0),$AN$2)*100,""))</f>
        <v/>
      </c>
      <c r="AJ136" s="623">
        <f t="array" ref="AJ136">IFERROR((終値!$E$5-INDEX(終値!$E$5:$BL$5,1,$AN$2))/INDEX(終値!$E$5:$BL$5,1,$AN$2)*100,"")</f>
        <v/>
      </c>
      <c r="AK136" s="624">
        <f>IF(OR(AI136="",AJ136=""),"",AI136-AJ136)</f>
        <v/>
      </c>
      <c r="AL136" s="394">
        <f>IF(AK136="","",IF(AK136&lt;-5,3,IF(AK136&lt;0,1,IF(AK136&lt;3,-1,-2))))</f>
        <v/>
      </c>
      <c r="AO136" s="398">
        <f>IF(OR($C136="",$E136="",$F136="",$H136="",$I136="",$H136-$I136&lt;=0),"-",IF(AND($H136-MAX($F136,$E136)&gt;=ABS($E136-$F136)*2,MIN($F136,$E136)-$I136&lt;=ABS($E136-$F136)*0.5,ABS($E136-$F136)&gt;0),"上ヒゲ陰線▼",IF(AND($E136&lt;$F136,ABS($E136-$F136)&gt;=($H136-$I136)*0.7),"大陰線▼",IF(AND(MIN($F136,$E136)-$I136&gt;=($H136-$I136)*0.5,$H136-MAX($F136,$E136)&lt;=($H136-$I136)*0.2),"長い下ヒゲ(反発警戒)","通常"))))</f>
        <v/>
      </c>
      <c r="AP136" s="625">
        <f>IF($AO136="上ヒゲ陰線▼",2,IF($AO136="大陰線▼",2,IF($AO136="長い下ヒゲ(反発警戒)",-2,0)))</f>
        <v/>
      </c>
      <c r="AQ136">
        <f>IF(C136&lt;&gt;"",始値!F169,"")</f>
        <v/>
      </c>
      <c r="AR136">
        <f>IF(C136&lt;&gt;"",高値!F169,"")</f>
        <v/>
      </c>
      <c r="AS136">
        <f>IF(C136&lt;&gt;"",安値!F169,"")</f>
        <v/>
      </c>
      <c r="AT136">
        <f>IF(OR(C136="",AQ136="",AR136="",AS136="",AR136-AS136&lt;=0),"-",IF(AND(AR136-MAX(G136,AQ136)&gt;=ABS(G136-AQ136)*2,MIN(G136,AQ136)-AS136&lt;=ABS(G136-AQ136)*0.5,ABS(G136-AQ136)&gt;0),"上ヒゲ陰線▼",IF(AND(G136&lt;AQ136,ABS(G136-AQ136)&gt;=(AR136-AS136)*0.7),"大陰線▼",IF(AND(MIN(G136,AQ136)-AS136&gt;=(AR136-AS136)*0.5,AR136-MAX(G136,AQ136)&lt;=(AR136-AS136)*0.2),"長い下ヒゲ(反発)","通常"))))</f>
        <v/>
      </c>
      <c r="AU136">
        <f>IF(AT136="上ヒゲ陰線▼",2,IF(AT136="大陰線▼",2,IF(AT136="長い下ヒゲ(反発)",-2,0)))</f>
        <v/>
      </c>
    </row>
    <row r="137" ht="14.25" customHeight="1" s="574">
      <c r="A137" s="344">
        <f>IF(銘柄管理!B177&lt;&gt;"",HYPERLINK("https://kabutan.jp/stock/?code="&amp;銘柄管理!B177,"株探"),"")</f>
        <v/>
      </c>
      <c r="B137" s="345" t="n"/>
      <c r="C137" s="345">
        <f>IF(銘柄管理!B177="","",銘柄管理!B177)</f>
        <v/>
      </c>
      <c r="D137" s="345">
        <f>IF(銘柄管理!C177="","",銘柄管理!C177)</f>
        <v/>
      </c>
      <c r="E137" s="346">
        <f>IF(C137&lt;&gt;"",_xll.RssMarket(C137,"現在値"),"")</f>
        <v/>
      </c>
      <c r="F137" s="346">
        <f>IF(C137&lt;&gt;"",_xll.RssMarket(C137,"始値"),"")</f>
        <v/>
      </c>
      <c r="G137" s="345">
        <f>IF(C137&lt;&gt;"",終値!F177,"")</f>
        <v/>
      </c>
      <c r="H137" s="346">
        <f>IF(C137&lt;&gt;"",_xll.RssMarket(C137,"高値"),"")</f>
        <v/>
      </c>
      <c r="I137" s="346">
        <f>IF(C137&lt;&gt;"",_xll.RssMarket(C137,"安値"),"")</f>
        <v/>
      </c>
      <c r="J137" s="346">
        <f>IF(C137&lt;&gt;"",_xll.RssMarket(C137,"出来高"),"")</f>
        <v/>
      </c>
      <c r="K137" s="346">
        <f>IF(C137&lt;&gt;"",_xll.RssMarket(C137,"年初来高値"),"")</f>
        <v/>
      </c>
      <c r="L137" s="619">
        <f>IF(AND(E137&lt;&gt;"",K137&lt;&gt;"",K137&lt;&gt;0),(E137-K137)/K137*100,"")</f>
        <v/>
      </c>
      <c r="M137" s="346">
        <f>IF(C137&lt;&gt;"",IFERROR(AVERAGE(出来高!E177:I177),""),"")</f>
        <v/>
      </c>
      <c r="N137" s="346">
        <f>IF(C137&lt;&gt;"",IFERROR(AVERAGE(出来高!E177:AC177),""),"")</f>
        <v/>
      </c>
      <c r="O137" s="620">
        <f>IF(AND(J137&lt;&gt;"",M137&lt;&gt;"",M137&lt;&gt;0),J137/M137,"")</f>
        <v/>
      </c>
      <c r="P137" s="345">
        <f>IF(O137="","",IF(O137&gt;=2,"急増↑↑",IF(O137&gt;=1.5,"増加↑",IF(O137&gt;=1,"普通→","減少↓"))))</f>
        <v/>
      </c>
      <c r="Q137" s="345">
        <f>IF(E137="","",IF(AND(E137&lt;G137,O137&gt;=1.5),"売り▼",IF(E137&gt;G137,"様子見▲","中立→")))</f>
        <v/>
      </c>
      <c r="R137" s="346">
        <f>IF(E137&lt;&gt;"",ROUND(E137*0.92,0),"")</f>
        <v/>
      </c>
      <c r="S137" s="346">
        <f>IF(E137&lt;&gt;"",ROUND(E137*1.04,0),"")</f>
        <v/>
      </c>
      <c r="T137" s="345">
        <f>IF(C137="","",IFERROR(IF(W137&gt;=70,3,IF(W137&gt;=60,2,IF(W137&gt;=50,1,0)))+IF(X137&lt;0,2,0)+IF(AD137="下降トレンド▼",3,IF(AD137="もみ合い→",1,0))+IF(V137="年初来安値圏●",3,IF(V137="安値圏",2,0))+IF(Q137="売り▼",2,0)+IF(P137="急増↑↑",2,IF(P137="増加↑",1,0))+IF(Z137&lt;0,1,0)+IF(L137&lt;=-30,2,IF(L137&lt;=-15,1,0))+IF(AE137="25日戻り売り★",2,IF(AE137="5日戻り売り○",1,0))+N(AL137)+N(AP137)+N(AU137),0))</f>
        <v/>
      </c>
      <c r="U137" s="345">
        <f>IF(T137="","",IF(AND(T137&gt;=3,O137&gt;=1.5),"有効",IF(T137&gt;=3,"要確認","除外")))</f>
        <v/>
      </c>
      <c r="V137" s="345">
        <f>IF(AND(I137&lt;&gt;"",K137&lt;&gt;""),IF(I137&lt;=K137*0.6,"年初来安値圏●",IF(I137&lt;=K137*0.75,"安値圏","通常")),"")</f>
        <v/>
      </c>
      <c r="W137" s="621">
        <f t="array" ref="W137">IFERROR(100-100/(1+SUMPRODUCT((終値!F177:R177&gt;終値!G177:S177)*(終値!F177:R177-終値!G177:S177))/SUMPRODUCT((終値!F177:R177&lt;終値!G177:S177)*(終値!G177:S177-終値!F177:R177))),50)</f>
        <v/>
      </c>
      <c r="X137" s="350">
        <f>IF(C137&lt;&gt;"",IFERROR(SUMPRODUCT(終値!E177:P177,{0.154,0.132,0.113,0.097,0.083,0.071,0.061,0.052,0.045,0.038,0.033,0.028})/SUMPRODUCT({0.154,0.132,0.113,0.097,0.083,0.071,0.061,0.052,0.045,0.038,0.033,0.028})-SUMPRODUCT(終値!E177:AD177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7" s="345">
        <f>IF(AF137="","",AF137&amp;" | "&amp;AD137&amp;IF(AE137&lt;&gt;"なし"," "&amp;AE137,"")&amp;IF(X137&lt;0," MACD-"," MACD+")&amp;" RSI:"&amp;TEXT(W137,"0.0")&amp;IF(W137&gt;=70," [過熱]",IF(W137&lt;=30," [売られ過ぎ]",""))&amp;" 前日比:"&amp;TEXT(Z137,"+0.0;-0.0;0.0")&amp;"%"&amp;IF(V137="年初来安値圏●"," [年初来安値圏]",IF(V137="安値圏"," [安値圏]",""))&amp;IF(OR(AO137="通常",AO137="-"),""," ["&amp;AO137&amp;"]")&amp;IF(OR(AT137="通常",AT137="-"),"","前日["&amp;AT137&amp;"]")&amp;" ["&amp;T137&amp;"点]")</f>
        <v/>
      </c>
      <c r="Z137" s="622">
        <f>IF(AND(E137&lt;&gt;"",G137&lt;&gt;"",G137&lt;&gt;0),(E137-G137)/G137*100,"")</f>
        <v/>
      </c>
      <c r="AA137" s="345">
        <f>IF(OR(C137="",E137="",E137=0),"",IF(E137&gt;G137,"上昇▲",IF(E137&lt;G137,"下落▼","横ばい→")))</f>
        <v/>
      </c>
      <c r="AB137" s="346">
        <f>IF(OR(C137="",C137="TOPX",終値!E177=""),"",IFERROR(((終値!E177*0.333)+(終値!F177*0.222)+(終値!G177*0.148)+(終値!H177*0.099)+(終値!I177*0.066))/(0.333+0.222+0.148+0.099+0.066),""))</f>
        <v/>
      </c>
      <c r="AC137" s="346">
        <f>IF(OR(C137="",C137="TOPX",終値!E177=""),"",IFERROR(SUMPRODUCT((終値!E177:AC177)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7" s="345">
        <f>IF(OR(C137="",AB137="",AC137="",AB137=0,AC137=0),"",IF(AND(E137&gt;AB137,AB137&gt;AC137),"パーフェクト▲",IF(E137&gt;AC137,"上昇トレンド▲",IF(AND(E137&lt;AB137,AB137&lt;AC137),"下降トレンド▼","もみ合い→"))))</f>
        <v/>
      </c>
      <c r="AE137" s="345">
        <f>IF(OR(C137="",AB137="",AC137=""),"",IF(AND(ABS(E137-AC137)/AC137&lt;=0.02,E137&lt;AC137),"25日戻り売り★",IF(AND(ABS(E137-AB137)/AB137&lt;=0.01,E137&lt;AB137),"5日戻り売り○","なし")))</f>
        <v/>
      </c>
      <c r="AF137">
        <f>IF(T137="","",IF(銘柄管理!$F$5="上昇▲",IF(AND(AD137="下降トレンド▼",OR(AE137="25日戻り売り★",AE137="5日戻り売り○")),"★逆張り売り",IF(AND(AD137="もみ合い→",OR(AE137="25日戻り売り★",AE137="5日戻り売り○")),"○逆張り売り",IF(W137&gt;=70,IF(Z137&lt;0,"◎反落確認","△過熱・様子見"),"相場上昇・見送り"))),IF(AND(T137&gt;=12,AD137="下降トレンド▼"),"★強い売り",IF(T137&gt;=12,"★強い売り",IF(AND(T137&gt;=8,OR(AE137="25日戻り売り★",AE137="5日戻り売り○")),"◎戻り売り",IF(T137&gt;=10,"○売り候補",IF(T137&gt;=6,"△注目",IF(T137&gt;=3,"様子見","見送り"))))))))</f>
        <v/>
      </c>
      <c r="AG137">
        <f>IF(AND(T137&gt;=7,C137&lt;&gt;""),T137,0)</f>
        <v/>
      </c>
      <c r="AH137">
        <f>IF(AG137&gt;0,AG137*10000-ROW(A137),0)</f>
        <v/>
      </c>
      <c r="AI137" s="623">
        <f t="array" ref="AI137">IF(C137="","",IFERROR((INDEX(終値!$E:$E,MATCH(TEXT(C137,"0"),終値!$A:$A,0))-INDEX(終値!$E:$BL,MATCH(TEXT(C137,"0"),終値!$A:$A,0),$AN$2))/INDEX(終値!$E:$BL,MATCH(TEXT(C137,"0"),終値!$A:$A,0),$AN$2)*100,""))</f>
        <v/>
      </c>
      <c r="AJ137" s="623">
        <f t="array" ref="AJ137">IFERROR((終値!$E$5-INDEX(終値!$E$5:$BL$5,1,$AN$2))/INDEX(終値!$E$5:$BL$5,1,$AN$2)*100,"")</f>
        <v/>
      </c>
      <c r="AK137" s="624">
        <f>IF(OR(AI137="",AJ137=""),"",AI137-AJ137)</f>
        <v/>
      </c>
      <c r="AL137" s="394">
        <f>IF(AK137="","",IF(AK137&lt;-5,3,IF(AK137&lt;0,1,IF(AK137&lt;3,-1,-2))))</f>
        <v/>
      </c>
      <c r="AO137" s="398">
        <f>IF(OR($C137="",$E137="",$F137="",$H137="",$I137="",$H137-$I137&lt;=0),"-",IF(AND($H137-MAX($F137,$E137)&gt;=ABS($E137-$F137)*2,MIN($F137,$E137)-$I137&lt;=ABS($E137-$F137)*0.5,ABS($E137-$F137)&gt;0),"上ヒゲ陰線▼",IF(AND($E137&lt;$F137,ABS($E137-$F137)&gt;=($H137-$I137)*0.7),"大陰線▼",IF(AND(MIN($F137,$E137)-$I137&gt;=($H137-$I137)*0.5,$H137-MAX($F137,$E137)&lt;=($H137-$I137)*0.2),"長い下ヒゲ(反発警戒)","通常"))))</f>
        <v/>
      </c>
      <c r="AP137" s="625">
        <f>IF($AO137="上ヒゲ陰線▼",2,IF($AO137="大陰線▼",2,IF($AO137="長い下ヒゲ(反発警戒)",-2,0)))</f>
        <v/>
      </c>
      <c r="AQ137">
        <f>IF(C137&lt;&gt;"",始値!F177,"")</f>
        <v/>
      </c>
      <c r="AR137">
        <f>IF(C137&lt;&gt;"",高値!F177,"")</f>
        <v/>
      </c>
      <c r="AS137">
        <f>IF(C137&lt;&gt;"",安値!F177,"")</f>
        <v/>
      </c>
      <c r="AT137">
        <f>IF(OR(C137="",AQ137="",AR137="",AS137="",AR137-AS137&lt;=0),"-",IF(AND(AR137-MAX(G137,AQ137)&gt;=ABS(G137-AQ137)*2,MIN(G137,AQ137)-AS137&lt;=ABS(G137-AQ137)*0.5,ABS(G137-AQ137)&gt;0),"上ヒゲ陰線▼",IF(AND(G137&lt;AQ137,ABS(G137-AQ137)&gt;=(AR137-AS137)*0.7),"大陰線▼",IF(AND(MIN(G137,AQ137)-AS137&gt;=(AR137-AS137)*0.5,AR137-MAX(G137,AQ137)&lt;=(AR137-AS137)*0.2),"長い下ヒゲ(反発)","通常"))))</f>
        <v/>
      </c>
      <c r="AU137">
        <f>IF(AT137="上ヒゲ陰線▼",2,IF(AT137="大陰線▼",2,IF(AT137="長い下ヒゲ(反発)",-2,0)))</f>
        <v/>
      </c>
    </row>
    <row r="138" ht="14.25" customHeight="1" s="574">
      <c r="A138" s="352">
        <f>IF(銘柄管理!B193&lt;&gt;"",HYPERLINK("https://kabutan.jp/stock/?code="&amp;銘柄管理!B193,"株探"),"")</f>
        <v/>
      </c>
      <c r="B138" s="225" t="n"/>
      <c r="C138" s="225">
        <f>IF(銘柄管理!B193="","",銘柄管理!B193)</f>
        <v/>
      </c>
      <c r="D138" s="225">
        <f>IF(銘柄管理!C193="","",銘柄管理!C193)</f>
        <v/>
      </c>
      <c r="E138" s="353">
        <f>IF(C138&lt;&gt;"",_xll.RssMarket(C138,"現在値"),"")</f>
        <v/>
      </c>
      <c r="F138" s="353">
        <f>IF(C138&lt;&gt;"",_xll.RssMarket(C138,"始値"),"")</f>
        <v/>
      </c>
      <c r="G138" s="225">
        <f>IF(C138&lt;&gt;"",終値!F193,"")</f>
        <v/>
      </c>
      <c r="H138" s="353">
        <f>IF(C138&lt;&gt;"",_xll.RssMarket(C138,"高値"),"")</f>
        <v/>
      </c>
      <c r="I138" s="353">
        <f>IF(C138&lt;&gt;"",_xll.RssMarket(C138,"安値"),"")</f>
        <v/>
      </c>
      <c r="J138" s="353">
        <f>IF(C138&lt;&gt;"",_xll.RssMarket(C138,"出来高"),"")</f>
        <v/>
      </c>
      <c r="K138" s="353">
        <f>IF(C138&lt;&gt;"",_xll.RssMarket(C138,"年初来高値"),"")</f>
        <v/>
      </c>
      <c r="L138" s="626">
        <f>IF(AND(E138&lt;&gt;"",K138&lt;&gt;"",K138&lt;&gt;0),(E138-K138)/K138*100,"")</f>
        <v/>
      </c>
      <c r="M138" s="353">
        <f>IF(C138&lt;&gt;"",IFERROR(AVERAGE(出来高!E193:I193),""),"")</f>
        <v/>
      </c>
      <c r="N138" s="353">
        <f>IF(C138&lt;&gt;"",IFERROR(AVERAGE(出来高!E193:AC193),""),"")</f>
        <v/>
      </c>
      <c r="O138" s="627">
        <f>IF(AND(J138&lt;&gt;"",M138&lt;&gt;"",M138&lt;&gt;0),J138/M138,"")</f>
        <v/>
      </c>
      <c r="P138" s="225">
        <f>IF(O138="","",IF(O138&gt;=2,"急増↑↑",IF(O138&gt;=1.5,"増加↑",IF(O138&gt;=1,"普通→","減少↓"))))</f>
        <v/>
      </c>
      <c r="Q138" s="225">
        <f>IF(E138="","",IF(AND(E138&lt;G138,O138&gt;=1.5),"売り▼",IF(E138&gt;G138,"様子見▲","中立→")))</f>
        <v/>
      </c>
      <c r="R138" s="353">
        <f>IF(E138&lt;&gt;"",ROUND(E138*0.92,0),"")</f>
        <v/>
      </c>
      <c r="S138" s="353">
        <f>IF(E138&lt;&gt;"",ROUND(E138*1.04,0),"")</f>
        <v/>
      </c>
      <c r="T138" s="345">
        <f>IF(C138="","",IFERROR(IF(W138&gt;=70,3,IF(W138&gt;=60,2,IF(W138&gt;=50,1,0)))+IF(X138&lt;0,2,0)+IF(AD138="下降トレンド▼",3,IF(AD138="もみ合い→",1,0))+IF(V138="年初来安値圏●",3,IF(V138="安値圏",2,0))+IF(Q138="売り▼",2,0)+IF(P138="急増↑↑",2,IF(P138="増加↑",1,0))+IF(Z138&lt;0,1,0)+IF(L138&lt;=-30,2,IF(L138&lt;=-15,1,0))+IF(AE138="25日戻り売り★",2,IF(AE138="5日戻り売り○",1,0))+N(AL138)+N(AP138)+N(AU138),0))</f>
        <v/>
      </c>
      <c r="U138" s="225">
        <f>IF(T138="","",IF(AND(T138&gt;=3,O138&gt;=1.5),"有効",IF(T138&gt;=3,"要確認","除外")))</f>
        <v/>
      </c>
      <c r="V138" s="225">
        <f>IF(AND(I138&lt;&gt;"",K138&lt;&gt;""),IF(I138&lt;=K138*0.6,"年初来安値圏●",IF(I138&lt;=K138*0.75,"安値圏","通常")),"")</f>
        <v/>
      </c>
      <c r="W138" s="628">
        <f t="array" ref="W138">IFERROR(100-100/(1+SUMPRODUCT((終値!F193:R193&gt;終値!G193:S193)*(終値!F193:R193-終値!G193:S193))/SUMPRODUCT((終値!F193:R193&lt;終値!G193:S193)*(終値!G193:S193-終値!F193:R193))),50)</f>
        <v/>
      </c>
      <c r="X138" s="357">
        <f>IF(C138&lt;&gt;"",IFERROR(SUMPRODUCT(終値!E193:P193,{0.154,0.132,0.113,0.097,0.083,0.071,0.061,0.052,0.045,0.038,0.033,0.028})/SUMPRODUCT({0.154,0.132,0.113,0.097,0.083,0.071,0.061,0.052,0.045,0.038,0.033,0.028})-SUMPRODUCT(終値!E193:AD193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8" s="225">
        <f>IF(AF138="","",AF138&amp;" | "&amp;AD138&amp;IF(AE138&lt;&gt;"なし"," "&amp;AE138,"")&amp;IF(X138&lt;0," MACD-"," MACD+")&amp;" RSI:"&amp;TEXT(W138,"0.0")&amp;IF(W138&gt;=70," [過熱]",IF(W138&lt;=30," [売られ過ぎ]",""))&amp;" 前日比:"&amp;TEXT(Z138,"+0.0;-0.0;0.0")&amp;"%"&amp;IF(V138="年初来安値圏●"," [年初来安値圏]",IF(V138="安値圏"," [安値圏]",""))&amp;IF(OR(AO138="通常",AO138="-"),""," ["&amp;AO138&amp;"]")&amp;IF(OR(AT138="通常",AT138="-"),"","前日["&amp;AT138&amp;"]")&amp;" ["&amp;T138&amp;"点]")</f>
        <v/>
      </c>
      <c r="Z138" s="629">
        <f>IF(AND(E138&lt;&gt;"",G138&lt;&gt;"",G138&lt;&gt;0),(E138-G138)/G138*100,"")</f>
        <v/>
      </c>
      <c r="AA138" s="225">
        <f>IF(OR(C138="",E138="",E138=0),"",IF(E138&gt;G138,"上昇▲",IF(E138&lt;G138,"下落▼","横ばい→")))</f>
        <v/>
      </c>
      <c r="AB138" s="353">
        <f>IF(OR(C138="",C138="TOPX",終値!E193=""),"",IFERROR(((終値!E193*0.333)+(終値!F193*0.222)+(終値!G193*0.148)+(終値!H193*0.099)+(終値!I193*0.066))/(0.333+0.222+0.148+0.099+0.066),""))</f>
        <v/>
      </c>
      <c r="AC138" s="353">
        <f>IF(OR(C138="",C138="TOPX",終値!E193=""),"",IFERROR(SUMPRODUCT((終値!E193:AC193)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8" s="225">
        <f>IF(OR(C138="",AB138="",AC138="",AB138=0,AC138=0),"",IF(AND(E138&gt;AB138,AB138&gt;AC138),"パーフェクト▲",IF(E138&gt;AC138,"上昇トレンド▲",IF(AND(E138&lt;AB138,AB138&lt;AC138),"下降トレンド▼","もみ合い→"))))</f>
        <v/>
      </c>
      <c r="AE138" s="225">
        <f>IF(OR(C138="",AB138="",AC138=""),"",IF(AND(ABS(E138-AC138)/AC138&lt;=0.02,E138&lt;AC138),"25日戻り売り★",IF(AND(ABS(E138-AB138)/AB138&lt;=0.01,E138&lt;AB138),"5日戻り売り○","なし")))</f>
        <v/>
      </c>
      <c r="AF138">
        <f>IF(T138="","",IF(銘柄管理!$F$5="上昇▲",IF(AND(AD138="下降トレンド▼",OR(AE138="25日戻り売り★",AE138="5日戻り売り○")),"★逆張り売り",IF(AND(AD138="もみ合い→",OR(AE138="25日戻り売り★",AE138="5日戻り売り○")),"○逆張り売り",IF(W138&gt;=70,IF(Z138&lt;0,"◎反落確認","△過熱・様子見"),"相場上昇・見送り"))),IF(AND(T138&gt;=12,AD138="下降トレンド▼"),"★強い売り",IF(T138&gt;=12,"★強い売り",IF(AND(T138&gt;=8,OR(AE138="25日戻り売り★",AE138="5日戻り売り○")),"◎戻り売り",IF(T138&gt;=10,"○売り候補",IF(T138&gt;=6,"△注目",IF(T138&gt;=3,"様子見","見送り"))))))))</f>
        <v/>
      </c>
      <c r="AG138">
        <f>IF(AND(T138&gt;=7,C138&lt;&gt;""),T138,0)</f>
        <v/>
      </c>
      <c r="AH138">
        <f>IF(AG138&gt;0,AG138*10000-ROW(A138),0)</f>
        <v/>
      </c>
      <c r="AI138" s="623">
        <f t="array" ref="AI138">IF(C138="","",IFERROR((INDEX(終値!$E:$E,MATCH(TEXT(C138,"0"),終値!$A:$A,0))-INDEX(終値!$E:$BL,MATCH(TEXT(C138,"0"),終値!$A:$A,0),$AN$2))/INDEX(終値!$E:$BL,MATCH(TEXT(C138,"0"),終値!$A:$A,0),$AN$2)*100,""))</f>
        <v/>
      </c>
      <c r="AJ138" s="623">
        <f t="array" ref="AJ138">IFERROR((終値!$E$5-INDEX(終値!$E$5:$BL$5,1,$AN$2))/INDEX(終値!$E$5:$BL$5,1,$AN$2)*100,"")</f>
        <v/>
      </c>
      <c r="AK138" s="624">
        <f>IF(OR(AI138="",AJ138=""),"",AI138-AJ138)</f>
        <v/>
      </c>
      <c r="AL138" s="394">
        <f>IF(AK138="","",IF(AK138&lt;-5,3,IF(AK138&lt;0,1,IF(AK138&lt;3,-1,-2))))</f>
        <v/>
      </c>
      <c r="AO138" s="398">
        <f>IF(OR($C138="",$E138="",$F138="",$H138="",$I138="",$H138-$I138&lt;=0),"-",IF(AND($H138-MAX($F138,$E138)&gt;=ABS($E138-$F138)*2,MIN($F138,$E138)-$I138&lt;=ABS($E138-$F138)*0.5,ABS($E138-$F138)&gt;0),"上ヒゲ陰線▼",IF(AND($E138&lt;$F138,ABS($E138-$F138)&gt;=($H138-$I138)*0.7),"大陰線▼",IF(AND(MIN($F138,$E138)-$I138&gt;=($H138-$I138)*0.5,$H138-MAX($F138,$E138)&lt;=($H138-$I138)*0.2),"長い下ヒゲ(反発警戒)","通常"))))</f>
        <v/>
      </c>
      <c r="AP138" s="625">
        <f>IF($AO138="上ヒゲ陰線▼",2,IF($AO138="大陰線▼",2,IF($AO138="長い下ヒゲ(反発警戒)",-2,0)))</f>
        <v/>
      </c>
      <c r="AQ138">
        <f>IF(C138&lt;&gt;"",始値!F193,"")</f>
        <v/>
      </c>
      <c r="AR138">
        <f>IF(C138&lt;&gt;"",高値!F193,"")</f>
        <v/>
      </c>
      <c r="AS138">
        <f>IF(C138&lt;&gt;"",安値!F193,"")</f>
        <v/>
      </c>
      <c r="AT138">
        <f>IF(OR(C138="",AQ138="",AR138="",AS138="",AR138-AS138&lt;=0),"-",IF(AND(AR138-MAX(G138,AQ138)&gt;=ABS(G138-AQ138)*2,MIN(G138,AQ138)-AS138&lt;=ABS(G138-AQ138)*0.5,ABS(G138-AQ138)&gt;0),"上ヒゲ陰線▼",IF(AND(G138&lt;AQ138,ABS(G138-AQ138)&gt;=(AR138-AS138)*0.7),"大陰線▼",IF(AND(MIN(G138,AQ138)-AS138&gt;=(AR138-AS138)*0.5,AR138-MAX(G138,AQ138)&lt;=(AR138-AS138)*0.2),"長い下ヒゲ(反発)","通常"))))</f>
        <v/>
      </c>
      <c r="AU138">
        <f>IF(AT138="上ヒゲ陰線▼",2,IF(AT138="大陰線▼",2,IF(AT138="長い下ヒゲ(反発)",-2,0)))</f>
        <v/>
      </c>
    </row>
    <row r="139" ht="14.25" customHeight="1" s="574">
      <c r="A139" s="344">
        <f>IF(銘柄管理!B11&lt;&gt;"",HYPERLINK("https://kabutan.jp/stock/?code="&amp;銘柄管理!B11,"株探"),"")</f>
        <v/>
      </c>
      <c r="B139" s="345" t="n"/>
      <c r="C139" s="345">
        <f>IF(銘柄管理!B11="","",銘柄管理!B11)</f>
        <v/>
      </c>
      <c r="D139" s="345">
        <f>IF(銘柄管理!C11="","",銘柄管理!C11)</f>
        <v/>
      </c>
      <c r="E139" s="346">
        <f>IF(C139&lt;&gt;"",_xll.RssMarket(C139,"現在値"),"")</f>
        <v/>
      </c>
      <c r="F139" s="346">
        <f>IF(C139&lt;&gt;"",_xll.RssMarket(C139,"始値"),"")</f>
        <v/>
      </c>
      <c r="G139" s="345">
        <f>IF(C139&lt;&gt;"",終値!F11,"")</f>
        <v/>
      </c>
      <c r="H139" s="346">
        <f>IF(C139&lt;&gt;"",_xll.RssMarket(C139,"高値"),"")</f>
        <v/>
      </c>
      <c r="I139" s="346">
        <f>IF(C139&lt;&gt;"",_xll.RssMarket(C139,"安値"),"")</f>
        <v/>
      </c>
      <c r="J139" s="346">
        <f>IF(C139&lt;&gt;"",_xll.RssMarket(C139,"出来高"),"")</f>
        <v/>
      </c>
      <c r="K139" s="346">
        <f>IF(C139&lt;&gt;"",_xll.RssMarket(C139,"年初来高値"),"")</f>
        <v/>
      </c>
      <c r="L139" s="619">
        <f>IF(AND(E139&lt;&gt;"",K139&lt;&gt;"",K139&lt;&gt;0),(E139-K139)/K139*100,"")</f>
        <v/>
      </c>
      <c r="M139" s="346">
        <f>IF(C139&lt;&gt;"",IFERROR(AVERAGE(出来高!E11:I11),""),"")</f>
        <v/>
      </c>
      <c r="N139" s="346">
        <f>IF(C139&lt;&gt;"",IFERROR(AVERAGE(出来高!E11:AC11),""),"")</f>
        <v/>
      </c>
      <c r="O139" s="620">
        <f>IF(AND(J139&lt;&gt;"",M139&lt;&gt;"",M139&lt;&gt;0),J139/M139,"")</f>
        <v/>
      </c>
      <c r="P139" s="345">
        <f>IF(O139="","",IF(O139&gt;=2,"急増↑↑",IF(O139&gt;=1.5,"増加↑",IF(O139&gt;=1,"普通→","減少↓"))))</f>
        <v/>
      </c>
      <c r="Q139" s="345">
        <f>IF(E139="","",IF(AND(E139&lt;G139,O139&gt;=1.5),"売り▼",IF(E139&gt;G139,"様子見▲","中立→")))</f>
        <v/>
      </c>
      <c r="R139" s="346">
        <f>IF(E139&lt;&gt;"",ROUND(E139*0.92,0),"")</f>
        <v/>
      </c>
      <c r="S139" s="346">
        <f>IF(E139&lt;&gt;"",ROUND(E139*1.04,0),"")</f>
        <v/>
      </c>
      <c r="T139" s="345">
        <f>IF(C139="","",IFERROR(IF(W139&gt;=70,3,IF(W139&gt;=60,2,IF(W139&gt;=50,1,0)))+IF(X139&lt;0,2,0)+IF(AD139="下降トレンド▼",3,IF(AD139="もみ合い→",1,0))+IF(V139="年初来安値圏●",3,IF(V139="安値圏",2,0))+IF(Q139="売り▼",2,0)+IF(P139="急増↑↑",2,IF(P139="増加↑",1,0))+IF(Z139&lt;0,1,0)+IF(L139&lt;=-30,2,IF(L139&lt;=-15,1,0))+IF(AE139="25日戻り売り★",2,IF(AE139="5日戻り売り○",1,0))+N(AL139)+N(AP139)+N(AU139),0))</f>
        <v/>
      </c>
      <c r="U139" s="345">
        <f>IF(T139="","",IF(AND(T139&gt;=3,O139&gt;=1.5),"有効",IF(T139&gt;=3,"要確認","除外")))</f>
        <v/>
      </c>
      <c r="V139" s="345">
        <f>IF(AND(I139&lt;&gt;"",K139&lt;&gt;""),IF(I139&lt;=K139*0.6,"年初来安値圏●",IF(I139&lt;=K139*0.75,"安値圏","通常")),"")</f>
        <v/>
      </c>
      <c r="W139" s="621">
        <f t="array" ref="W139">IFERROR(100-100/(1+SUMPRODUCT((終値!F11:R11&gt;終値!G11:S11)*(終値!F11:R11-終値!G11:S11))/SUMPRODUCT((終値!F11:R11&lt;終値!G11:S11)*(終値!G11:S11-終値!F11:R11))),50)</f>
        <v/>
      </c>
      <c r="X139" s="350">
        <f>IF(C139&lt;&gt;"",IFERROR(SUMPRODUCT(終値!E11:P11,{0.154,0.132,0.113,0.097,0.083,0.071,0.061,0.052,0.045,0.038,0.033,0.028})/SUMPRODUCT({0.154,0.132,0.113,0.097,0.083,0.071,0.061,0.052,0.045,0.038,0.033,0.028})-SUMPRODUCT(終値!E11:AD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9" s="345">
        <f>IF(AF139="","",AF139&amp;" | "&amp;AD139&amp;IF(AE139&lt;&gt;"なし"," "&amp;AE139,"")&amp;IF(X139&lt;0," MACD-"," MACD+")&amp;" RSI:"&amp;TEXT(W139,"0.0")&amp;IF(W139&gt;=70," [過熱]",IF(W139&lt;=30," [売られ過ぎ]",""))&amp;" 前日比:"&amp;TEXT(Z139,"+0.0;-0.0;0.0")&amp;"%"&amp;IF(V139="年初来安値圏●"," [年初来安値圏]",IF(V139="安値圏"," [安値圏]",""))&amp;IF(OR(AO139="通常",AO139="-"),""," ["&amp;AO139&amp;"]")&amp;IF(OR(AT139="通常",AT139="-"),"","前日["&amp;AT139&amp;"]")&amp;" ["&amp;T139&amp;"点]")</f>
        <v/>
      </c>
      <c r="Z139" s="622">
        <f>IF(AND(E139&lt;&gt;"",G139&lt;&gt;"",G139&lt;&gt;0),(E139-G139)/G139*100,"")</f>
        <v/>
      </c>
      <c r="AA139" s="345">
        <f>IF(OR(C139="",E139="",E139=0),"",IF(E139&gt;G139,"上昇▲",IF(E139&lt;G139,"下落▼","横ばい→")))</f>
        <v/>
      </c>
      <c r="AB139" s="346">
        <f>IF(OR(C139="",C139="TOPX",終値!E11=""),"",IFERROR(((終値!E11*0.333)+(終値!F11*0.222)+(終値!G11*0.148)+(終値!H11*0.099)+(終値!I11*0.066))/(0.333+0.222+0.148+0.099+0.066),""))</f>
        <v/>
      </c>
      <c r="AC139" s="346">
        <f>IF(OR(C139="",C139="TOPX",終値!E11=""),"",IFERROR(SUMPRODUCT((終値!E11:AC11)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9" s="345">
        <f>IF(OR(C139="",AB139="",AC139="",AB139=0,AC139=0),"",IF(AND(E139&gt;AB139,AB139&gt;AC139),"パーフェクト▲",IF(E139&gt;AC139,"上昇トレンド▲",IF(AND(E139&lt;AB139,AB139&lt;AC139),"下降トレンド▼","もみ合い→"))))</f>
        <v/>
      </c>
      <c r="AE139" s="345">
        <f>IF(OR(C139="",AB139="",AC139=""),"",IF(AND(ABS(E139-AC139)/AC139&lt;=0.02,E139&lt;AC139),"25日戻り売り★",IF(AND(ABS(E139-AB139)/AB139&lt;=0.01,E139&lt;AB139),"5日戻り売り○","なし")))</f>
        <v/>
      </c>
      <c r="AF139">
        <f>IF(T139="","",IF(銘柄管理!$F$5="上昇▲",IF(AND(AD139="下降トレンド▼",OR(AE139="25日戻り売り★",AE139="5日戻り売り○")),"★逆張り売り",IF(AND(AD139="もみ合い→",OR(AE139="25日戻り売り★",AE139="5日戻り売り○")),"○逆張り売り",IF(W139&gt;=70,IF(Z139&lt;0,"◎反落確認","△過熱・様子見"),"相場上昇・見送り"))),IF(AND(T139&gt;=12,AD139="下降トレンド▼"),"★強い売り",IF(T139&gt;=12,"★強い売り",IF(AND(T139&gt;=8,OR(AE139="25日戻り売り★",AE139="5日戻り売り○")),"◎戻り売り",IF(T139&gt;=10,"○売り候補",IF(T139&gt;=6,"△注目",IF(T139&gt;=3,"様子見","見送り"))))))))</f>
        <v/>
      </c>
      <c r="AG139">
        <f>IF(AND(T139&gt;=7,C139&lt;&gt;""),T139,0)</f>
        <v/>
      </c>
      <c r="AH139">
        <f>IF(AG139&gt;0,AG139*10000-ROW(A139),0)</f>
        <v/>
      </c>
      <c r="AI139" s="623">
        <f t="array" ref="AI139">IF(C139="","",IFERROR((INDEX(終値!$E:$E,MATCH(TEXT(C139,"0"),終値!$A:$A,0))-INDEX(終値!$E:$BL,MATCH(TEXT(C139,"0"),終値!$A:$A,0),$AN$2))/INDEX(終値!$E:$BL,MATCH(TEXT(C139,"0"),終値!$A:$A,0),$AN$2)*100,""))</f>
        <v/>
      </c>
      <c r="AJ139" s="623">
        <f t="array" ref="AJ139">IFERROR((終値!$E$5-INDEX(終値!$E$5:$BL$5,1,$AN$2))/INDEX(終値!$E$5:$BL$5,1,$AN$2)*100,"")</f>
        <v/>
      </c>
      <c r="AK139" s="624">
        <f>IF(OR(AI139="",AJ139=""),"",AI139-AJ139)</f>
        <v/>
      </c>
      <c r="AL139" s="394">
        <f>IF(AK139="","",IF(AK139&lt;-5,3,IF(AK139&lt;0,1,IF(AK139&lt;3,-1,-2))))</f>
        <v/>
      </c>
      <c r="AO139" s="398">
        <f>IF(OR($C139="",$E139="",$F139="",$H139="",$I139="",$H139-$I139&lt;=0),"-",IF(AND($H139-MAX($F139,$E139)&gt;=ABS($E139-$F139)*2,MIN($F139,$E139)-$I139&lt;=ABS($E139-$F139)*0.5,ABS($E139-$F139)&gt;0),"上ヒゲ陰線▼",IF(AND($E139&lt;$F139,ABS($E139-$F139)&gt;=($H139-$I139)*0.7),"大陰線▼",IF(AND(MIN($F139,$E139)-$I139&gt;=($H139-$I139)*0.5,$H139-MAX($F139,$E139)&lt;=($H139-$I139)*0.2),"長い下ヒゲ(反発警戒)","通常"))))</f>
        <v/>
      </c>
      <c r="AP139" s="625">
        <f>IF($AO139="上ヒゲ陰線▼",2,IF($AO139="大陰線▼",2,IF($AO139="長い下ヒゲ(反発警戒)",-2,0)))</f>
        <v/>
      </c>
      <c r="AQ139">
        <f>IF(C139&lt;&gt;"",始値!F11,"")</f>
        <v/>
      </c>
      <c r="AR139">
        <f>IF(C139&lt;&gt;"",高値!F11,"")</f>
        <v/>
      </c>
      <c r="AS139">
        <f>IF(C139&lt;&gt;"",安値!F11,"")</f>
        <v/>
      </c>
      <c r="AT139">
        <f>IF(OR(C139="",AQ139="",AR139="",AS139="",AR139-AS139&lt;=0),"-",IF(AND(AR139-MAX(G139,AQ139)&gt;=ABS(G139-AQ139)*2,MIN(G139,AQ139)-AS139&lt;=ABS(G139-AQ139)*0.5,ABS(G139-AQ139)&gt;0),"上ヒゲ陰線▼",IF(AND(G139&lt;AQ139,ABS(G139-AQ139)&gt;=(AR139-AS139)*0.7),"大陰線▼",IF(AND(MIN(G139,AQ139)-AS139&gt;=(AR139-AS139)*0.5,AR139-MAX(G139,AQ139)&lt;=(AR139-AS139)*0.2),"長い下ヒゲ(反発)","通常"))))</f>
        <v/>
      </c>
      <c r="AU139">
        <f>IF(AT139="上ヒゲ陰線▼",2,IF(AT139="大陰線▼",2,IF(AT139="長い下ヒゲ(反発)",-2,0)))</f>
        <v/>
      </c>
    </row>
    <row r="140" ht="14.25" customHeight="1" s="574">
      <c r="A140" s="352">
        <f>IF(銘柄管理!B24&lt;&gt;"",HYPERLINK("https://kabutan.jp/stock/?code="&amp;銘柄管理!B24,"株探"),"")</f>
        <v/>
      </c>
      <c r="B140" s="225" t="n"/>
      <c r="C140" s="225">
        <f>IF(銘柄管理!B24="","",銘柄管理!B24)</f>
        <v/>
      </c>
      <c r="D140" s="225">
        <f>IF(銘柄管理!C24="","",銘柄管理!C24)</f>
        <v/>
      </c>
      <c r="E140" s="353">
        <f>IF(C140&lt;&gt;"",_xll.RssMarket(C140,"現在値"),"")</f>
        <v/>
      </c>
      <c r="F140" s="353">
        <f>IF(C140&lt;&gt;"",_xll.RssMarket(C140,"始値"),"")</f>
        <v/>
      </c>
      <c r="G140" s="225">
        <f>IF(C140&lt;&gt;"",終値!F24,"")</f>
        <v/>
      </c>
      <c r="H140" s="353">
        <f>IF(C140&lt;&gt;"",_xll.RssMarket(C140,"高値"),"")</f>
        <v/>
      </c>
      <c r="I140" s="353">
        <f>IF(C140&lt;&gt;"",_xll.RssMarket(C140,"安値"),"")</f>
        <v/>
      </c>
      <c r="J140" s="353">
        <f>IF(C140&lt;&gt;"",_xll.RssMarket(C140,"出来高"),"")</f>
        <v/>
      </c>
      <c r="K140" s="353">
        <f>IF(C140&lt;&gt;"",_xll.RssMarket(C140,"年初来高値"),"")</f>
        <v/>
      </c>
      <c r="L140" s="626">
        <f>IF(AND(E140&lt;&gt;"",K140&lt;&gt;"",K140&lt;&gt;0),(E140-K140)/K140*100,"")</f>
        <v/>
      </c>
      <c r="M140" s="353">
        <f>IF(C140&lt;&gt;"",IFERROR(AVERAGE(出来高!E24:I24),""),"")</f>
        <v/>
      </c>
      <c r="N140" s="353">
        <f>IF(C140&lt;&gt;"",IFERROR(AVERAGE(出来高!E24:AC24),""),"")</f>
        <v/>
      </c>
      <c r="O140" s="627">
        <f>IF(AND(J140&lt;&gt;"",M140&lt;&gt;"",M140&lt;&gt;0),J140/M140,"")</f>
        <v/>
      </c>
      <c r="P140" s="225">
        <f>IF(O140="","",IF(O140&gt;=2,"急増↑↑",IF(O140&gt;=1.5,"増加↑",IF(O140&gt;=1,"普通→","減少↓"))))</f>
        <v/>
      </c>
      <c r="Q140" s="225">
        <f>IF(E140="","",IF(AND(E140&lt;G140,O140&gt;=1.5),"売り▼",IF(E140&gt;G140,"様子見▲","中立→")))</f>
        <v/>
      </c>
      <c r="R140" s="353">
        <f>IF(E140&lt;&gt;"",ROUND(E140*0.92,0),"")</f>
        <v/>
      </c>
      <c r="S140" s="353">
        <f>IF(E140&lt;&gt;"",ROUND(E140*1.04,0),"")</f>
        <v/>
      </c>
      <c r="T140" s="345">
        <f>IF(C140="","",IFERROR(IF(W140&gt;=70,3,IF(W140&gt;=60,2,IF(W140&gt;=50,1,0)))+IF(X140&lt;0,2,0)+IF(AD140="下降トレンド▼",3,IF(AD140="もみ合い→",1,0))+IF(V140="年初来安値圏●",3,IF(V140="安値圏",2,0))+IF(Q140="売り▼",2,0)+IF(P140="急増↑↑",2,IF(P140="増加↑",1,0))+IF(Z140&lt;0,1,0)+IF(L140&lt;=-30,2,IF(L140&lt;=-15,1,0))+IF(AE140="25日戻り売り★",2,IF(AE140="5日戻り売り○",1,0))+N(AL140)+N(AP140)+N(AU140),0))</f>
        <v/>
      </c>
      <c r="U140" s="225">
        <f>IF(T140="","",IF(AND(T140&gt;=3,O140&gt;=1.5),"有効",IF(T140&gt;=3,"要確認","除外")))</f>
        <v/>
      </c>
      <c r="V140" s="225">
        <f>IF(AND(I140&lt;&gt;"",K140&lt;&gt;""),IF(I140&lt;=K140*0.6,"年初来安値圏●",IF(I140&lt;=K140*0.75,"安値圏","通常")),"")</f>
        <v/>
      </c>
      <c r="W140" s="628">
        <f t="array" ref="W140">IFERROR(100-100/(1+SUMPRODUCT((終値!F24:R24&gt;終値!G24:S24)*(終値!F24:R24-終値!G24:S24))/SUMPRODUCT((終値!F24:R24&lt;終値!G24:S24)*(終値!G24:S24-終値!F24:R24))),50)</f>
        <v/>
      </c>
      <c r="X140" s="357">
        <f>IF(C140&lt;&gt;"",IFERROR(SUMPRODUCT(終値!E24:P24,{0.154,0.132,0.113,0.097,0.083,0.071,0.061,0.052,0.045,0.038,0.033,0.028})/SUMPRODUCT({0.154,0.132,0.113,0.097,0.083,0.071,0.061,0.052,0.045,0.038,0.033,0.028})-SUMPRODUCT(終値!E24:AD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0" s="225">
        <f>IF(AF140="","",AF140&amp;" | "&amp;AD140&amp;IF(AE140&lt;&gt;"なし"," "&amp;AE140,"")&amp;IF(X140&lt;0," MACD-"," MACD+")&amp;" RSI:"&amp;TEXT(W140,"0.0")&amp;IF(W140&gt;=70," [過熱]",IF(W140&lt;=30," [売られ過ぎ]",""))&amp;" 前日比:"&amp;TEXT(Z140,"+0.0;-0.0;0.0")&amp;"%"&amp;IF(V140="年初来安値圏●"," [年初来安値圏]",IF(V140="安値圏"," [安値圏]",""))&amp;IF(OR(AO140="通常",AO140="-"),""," ["&amp;AO140&amp;"]")&amp;IF(OR(AT140="通常",AT140="-"),"","前日["&amp;AT140&amp;"]")&amp;" ["&amp;T140&amp;"点]")</f>
        <v/>
      </c>
      <c r="Z140" s="629">
        <f>IF(AND(E140&lt;&gt;"",G140&lt;&gt;"",G140&lt;&gt;0),(E140-G140)/G140*100,"")</f>
        <v/>
      </c>
      <c r="AA140" s="225">
        <f>IF(OR(C140="",E140="",E140=0),"",IF(E140&gt;G140,"上昇▲",IF(E140&lt;G140,"下落▼","横ばい→")))</f>
        <v/>
      </c>
      <c r="AB140" s="353">
        <f>IF(OR(C140="",C140="TOPX",終値!E24=""),"",IFERROR(((終値!E24*0.333)+(終値!F24*0.222)+(終値!G24*0.148)+(終値!H24*0.099)+(終値!I24*0.066))/(0.333+0.222+0.148+0.099+0.066),""))</f>
        <v/>
      </c>
      <c r="AC140" s="353">
        <f>IF(OR(C140="",C140="TOPX",終値!E24=""),"",IFERROR(SUMPRODUCT((終値!E24:AC24)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0" s="225">
        <f>IF(OR(C140="",AB140="",AC140="",AB140=0,AC140=0),"",IF(AND(E140&gt;AB140,AB140&gt;AC140),"パーフェクト▲",IF(E140&gt;AC140,"上昇トレンド▲",IF(AND(E140&lt;AB140,AB140&lt;AC140),"下降トレンド▼","もみ合い→"))))</f>
        <v/>
      </c>
      <c r="AE140" s="225">
        <f>IF(OR(C140="",AB140="",AC140=""),"",IF(AND(ABS(E140-AC140)/AC140&lt;=0.02,E140&lt;AC140),"25日戻り売り★",IF(AND(ABS(E140-AB140)/AB140&lt;=0.01,E140&lt;AB140),"5日戻り売り○","なし")))</f>
        <v/>
      </c>
      <c r="AF140">
        <f>IF(T140="","",IF(銘柄管理!$F$5="上昇▲",IF(AND(AD140="下降トレンド▼",OR(AE140="25日戻り売り★",AE140="5日戻り売り○")),"★逆張り売り",IF(AND(AD140="もみ合い→",OR(AE140="25日戻り売り★",AE140="5日戻り売り○")),"○逆張り売り",IF(W140&gt;=70,IF(Z140&lt;0,"◎反落確認","△過熱・様子見"),"相場上昇・見送り"))),IF(AND(T140&gt;=12,AD140="下降トレンド▼"),"★強い売り",IF(T140&gt;=12,"★強い売り",IF(AND(T140&gt;=8,OR(AE140="25日戻り売り★",AE140="5日戻り売り○")),"◎戻り売り",IF(T140&gt;=10,"○売り候補",IF(T140&gt;=6,"△注目",IF(T140&gt;=3,"様子見","見送り"))))))))</f>
        <v/>
      </c>
      <c r="AG140">
        <f>IF(AND(T140&gt;=7,C140&lt;&gt;""),T140,0)</f>
        <v/>
      </c>
      <c r="AH140">
        <f>IF(AG140&gt;0,AG140*10000-ROW(A140),0)</f>
        <v/>
      </c>
      <c r="AI140" s="623">
        <f t="array" ref="AI140">IF(C140="","",IFERROR((INDEX(終値!$E:$E,MATCH(TEXT(C140,"0"),終値!$A:$A,0))-INDEX(終値!$E:$BL,MATCH(TEXT(C140,"0"),終値!$A:$A,0),$AN$2))/INDEX(終値!$E:$BL,MATCH(TEXT(C140,"0"),終値!$A:$A,0),$AN$2)*100,""))</f>
        <v/>
      </c>
      <c r="AJ140" s="623">
        <f t="array" ref="AJ140">IFERROR((終値!$E$5-INDEX(終値!$E$5:$BL$5,1,$AN$2))/INDEX(終値!$E$5:$BL$5,1,$AN$2)*100,"")</f>
        <v/>
      </c>
      <c r="AK140" s="624">
        <f>IF(OR(AI140="",AJ140=""),"",AI140-AJ140)</f>
        <v/>
      </c>
      <c r="AL140" s="394">
        <f>IF(AK140="","",IF(AK140&lt;-5,3,IF(AK140&lt;0,1,IF(AK140&lt;3,-1,-2))))</f>
        <v/>
      </c>
      <c r="AO140" s="398">
        <f>IF(OR($C140="",$E140="",$F140="",$H140="",$I140="",$H140-$I140&lt;=0),"-",IF(AND($H140-MAX($F140,$E140)&gt;=ABS($E140-$F140)*2,MIN($F140,$E140)-$I140&lt;=ABS($E140-$F140)*0.5,ABS($E140-$F140)&gt;0),"上ヒゲ陰線▼",IF(AND($E140&lt;$F140,ABS($E140-$F140)&gt;=($H140-$I140)*0.7),"大陰線▼",IF(AND(MIN($F140,$E140)-$I140&gt;=($H140-$I140)*0.5,$H140-MAX($F140,$E140)&lt;=($H140-$I140)*0.2),"長い下ヒゲ(反発警戒)","通常"))))</f>
        <v/>
      </c>
      <c r="AP140" s="625">
        <f>IF($AO140="上ヒゲ陰線▼",2,IF($AO140="大陰線▼",2,IF($AO140="長い下ヒゲ(反発警戒)",-2,0)))</f>
        <v/>
      </c>
      <c r="AQ140">
        <f>IF(C140&lt;&gt;"",始値!F24,"")</f>
        <v/>
      </c>
      <c r="AR140">
        <f>IF(C140&lt;&gt;"",高値!F24,"")</f>
        <v/>
      </c>
      <c r="AS140">
        <f>IF(C140&lt;&gt;"",安値!F24,"")</f>
        <v/>
      </c>
      <c r="AT140">
        <f>IF(OR(C140="",AQ140="",AR140="",AS140="",AR140-AS140&lt;=0),"-",IF(AND(AR140-MAX(G140,AQ140)&gt;=ABS(G140-AQ140)*2,MIN(G140,AQ140)-AS140&lt;=ABS(G140-AQ140)*0.5,ABS(G140-AQ140)&gt;0),"上ヒゲ陰線▼",IF(AND(G140&lt;AQ140,ABS(G140-AQ140)&gt;=(AR140-AS140)*0.7),"大陰線▼",IF(AND(MIN(G140,AQ140)-AS140&gt;=(AR140-AS140)*0.5,AR140-MAX(G140,AQ140)&lt;=(AR140-AS140)*0.2),"長い下ヒゲ(反発)","通常"))))</f>
        <v/>
      </c>
      <c r="AU140">
        <f>IF(AT140="上ヒゲ陰線▼",2,IF(AT140="大陰線▼",2,IF(AT140="長い下ヒゲ(反発)",-2,0)))</f>
        <v/>
      </c>
    </row>
    <row r="141" ht="14.25" customHeight="1" s="574">
      <c r="A141" s="344">
        <f>IF(銘柄管理!B29&lt;&gt;"",HYPERLINK("https://kabutan.jp/stock/?code="&amp;銘柄管理!B29,"株探"),"")</f>
        <v/>
      </c>
      <c r="B141" s="345" t="n"/>
      <c r="C141" s="345">
        <f>IF(銘柄管理!B29="","",銘柄管理!B29)</f>
        <v/>
      </c>
      <c r="D141" s="345">
        <f>IF(銘柄管理!C29="","",銘柄管理!C29)</f>
        <v/>
      </c>
      <c r="E141" s="346">
        <f>IF(C141&lt;&gt;"",_xll.RssMarket(C141,"現在値"),"")</f>
        <v/>
      </c>
      <c r="F141" s="346">
        <f>IF(C141&lt;&gt;"",_xll.RssMarket(C141,"始値"),"")</f>
        <v/>
      </c>
      <c r="G141" s="345">
        <f>IF(C141&lt;&gt;"",終値!F29,"")</f>
        <v/>
      </c>
      <c r="H141" s="346">
        <f>IF(C141&lt;&gt;"",_xll.RssMarket(C141,"高値"),"")</f>
        <v/>
      </c>
      <c r="I141" s="346">
        <f>IF(C141&lt;&gt;"",_xll.RssMarket(C141,"安値"),"")</f>
        <v/>
      </c>
      <c r="J141" s="346">
        <f>IF(C141&lt;&gt;"",_xll.RssMarket(C141,"出来高"),"")</f>
        <v/>
      </c>
      <c r="K141" s="346">
        <f>IF(C141&lt;&gt;"",_xll.RssMarket(C141,"年初来高値"),"")</f>
        <v/>
      </c>
      <c r="L141" s="619">
        <f>IF(AND(E141&lt;&gt;"",K141&lt;&gt;"",K141&lt;&gt;0),(E141-K141)/K141*100,"")</f>
        <v/>
      </c>
      <c r="M141" s="346">
        <f>IF(C141&lt;&gt;"",IFERROR(AVERAGE(出来高!E29:I29),""),"")</f>
        <v/>
      </c>
      <c r="N141" s="346">
        <f>IF(C141&lt;&gt;"",IFERROR(AVERAGE(出来高!E29:AC29),""),"")</f>
        <v/>
      </c>
      <c r="O141" s="620">
        <f>IF(AND(J141&lt;&gt;"",M141&lt;&gt;"",M141&lt;&gt;0),J141/M141,"")</f>
        <v/>
      </c>
      <c r="P141" s="345">
        <f>IF(O141="","",IF(O141&gt;=2,"急増↑↑",IF(O141&gt;=1.5,"増加↑",IF(O141&gt;=1,"普通→","減少↓"))))</f>
        <v/>
      </c>
      <c r="Q141" s="345">
        <f>IF(E141="","",IF(AND(E141&lt;G141,O141&gt;=1.5),"売り▼",IF(E141&gt;G141,"様子見▲","中立→")))</f>
        <v/>
      </c>
      <c r="R141" s="346">
        <f>IF(E141&lt;&gt;"",ROUND(E141*0.92,0),"")</f>
        <v/>
      </c>
      <c r="S141" s="346">
        <f>IF(E141&lt;&gt;"",ROUND(E141*1.04,0),"")</f>
        <v/>
      </c>
      <c r="T141" s="345">
        <f>IF(C141="","",IFERROR(IF(W141&gt;=70,3,IF(W141&gt;=60,2,IF(W141&gt;=50,1,0)))+IF(X141&lt;0,2,0)+IF(AD141="下降トレンド▼",3,IF(AD141="もみ合い→",1,0))+IF(V141="年初来安値圏●",3,IF(V141="安値圏",2,0))+IF(Q141="売り▼",2,0)+IF(P141="急増↑↑",2,IF(P141="増加↑",1,0))+IF(Z141&lt;0,1,0)+IF(L141&lt;=-30,2,IF(L141&lt;=-15,1,0))+IF(AE141="25日戻り売り★",2,IF(AE141="5日戻り売り○",1,0))+N(AL141)+N(AP141)+N(AU141),0))</f>
        <v/>
      </c>
      <c r="U141" s="345">
        <f>IF(T141="","",IF(AND(T141&gt;=3,O141&gt;=1.5),"有効",IF(T141&gt;=3,"要確認","除外")))</f>
        <v/>
      </c>
      <c r="V141" s="345">
        <f>IF(AND(I141&lt;&gt;"",K141&lt;&gt;""),IF(I141&lt;=K141*0.6,"年初来安値圏●",IF(I141&lt;=K141*0.75,"安値圏","通常")),"")</f>
        <v/>
      </c>
      <c r="W141" s="621">
        <f t="array" ref="W141">IFERROR(100-100/(1+SUMPRODUCT((終値!F29:R29&gt;終値!G29:S29)*(終値!F29:R29-終値!G29:S29))/SUMPRODUCT((終値!F29:R29&lt;終値!G29:S29)*(終値!G29:S29-終値!F29:R29))),50)</f>
        <v/>
      </c>
      <c r="X141" s="350">
        <f>IF(C141&lt;&gt;"",IFERROR(SUMPRODUCT(終値!E29:P29,{0.154,0.132,0.113,0.097,0.083,0.071,0.061,0.052,0.045,0.038,0.033,0.028})/SUMPRODUCT({0.154,0.132,0.113,0.097,0.083,0.071,0.061,0.052,0.045,0.038,0.033,0.028})-SUMPRODUCT(終値!E29:AD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1" s="345">
        <f>IF(AF141="","",AF141&amp;" | "&amp;AD141&amp;IF(AE141&lt;&gt;"なし"," "&amp;AE141,"")&amp;IF(X141&lt;0," MACD-"," MACD+")&amp;" RSI:"&amp;TEXT(W141,"0.0")&amp;IF(W141&gt;=70," [過熱]",IF(W141&lt;=30," [売られ過ぎ]",""))&amp;" 前日比:"&amp;TEXT(Z141,"+0.0;-0.0;0.0")&amp;"%"&amp;IF(V141="年初来安値圏●"," [年初来安値圏]",IF(V141="安値圏"," [安値圏]",""))&amp;IF(OR(AO141="通常",AO141="-"),""," ["&amp;AO141&amp;"]")&amp;IF(OR(AT141="通常",AT141="-"),"","前日["&amp;AT141&amp;"]")&amp;" ["&amp;T141&amp;"点]")</f>
        <v/>
      </c>
      <c r="Z141" s="622">
        <f>IF(AND(E141&lt;&gt;"",G141&lt;&gt;"",G141&lt;&gt;0),(E141-G141)/G141*100,"")</f>
        <v/>
      </c>
      <c r="AA141" s="345">
        <f>IF(OR(C141="",E141="",E141=0),"",IF(E141&gt;G141,"上昇▲",IF(E141&lt;G141,"下落▼","横ばい→")))</f>
        <v/>
      </c>
      <c r="AB141" s="346">
        <f>IF(OR(C141="",C141="TOPX",終値!E29=""),"",IFERROR(((終値!E29*0.333)+(終値!F29*0.222)+(終値!G29*0.148)+(終値!H29*0.099)+(終値!I29*0.066))/(0.333+0.222+0.148+0.099+0.066),""))</f>
        <v/>
      </c>
      <c r="AC141" s="346">
        <f>IF(OR(C141="",C141="TOPX",終値!E29=""),"",IFERROR(SUMPRODUCT((終値!E29:AC29)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1" s="345">
        <f>IF(OR(C141="",AB141="",AC141="",AB141=0,AC141=0),"",IF(AND(E141&gt;AB141,AB141&gt;AC141),"パーフェクト▲",IF(E141&gt;AC141,"上昇トレンド▲",IF(AND(E141&lt;AB141,AB141&lt;AC141),"下降トレンド▼","もみ合い→"))))</f>
        <v/>
      </c>
      <c r="AE141" s="345">
        <f>IF(OR(C141="",AB141="",AC141=""),"",IF(AND(ABS(E141-AC141)/AC141&lt;=0.02,E141&lt;AC141),"25日戻り売り★",IF(AND(ABS(E141-AB141)/AB141&lt;=0.01,E141&lt;AB141),"5日戻り売り○","なし")))</f>
        <v/>
      </c>
      <c r="AF141">
        <f>IF(T141="","",IF(銘柄管理!$F$5="上昇▲",IF(AND(AD141="下降トレンド▼",OR(AE141="25日戻り売り★",AE141="5日戻り売り○")),"★逆張り売り",IF(AND(AD141="もみ合い→",OR(AE141="25日戻り売り★",AE141="5日戻り売り○")),"○逆張り売り",IF(W141&gt;=70,IF(Z141&lt;0,"◎反落確認","△過熱・様子見"),"相場上昇・見送り"))),IF(AND(T141&gt;=12,AD141="下降トレンド▼"),"★強い売り",IF(T141&gt;=12,"★強い売り",IF(AND(T141&gt;=8,OR(AE141="25日戻り売り★",AE141="5日戻り売り○")),"◎戻り売り",IF(T141&gt;=10,"○売り候補",IF(T141&gt;=6,"△注目",IF(T141&gt;=3,"様子見","見送り"))))))))</f>
        <v/>
      </c>
      <c r="AG141">
        <f>IF(AND(T141&gt;=7,C141&lt;&gt;""),T141,0)</f>
        <v/>
      </c>
      <c r="AH141">
        <f>IF(AG141&gt;0,AG141*10000-ROW(A141),0)</f>
        <v/>
      </c>
      <c r="AI141" s="623">
        <f t="array" ref="AI141">IF(C141="","",IFERROR((INDEX(終値!$E:$E,MATCH(TEXT(C141,"0"),終値!$A:$A,0))-INDEX(終値!$E:$BL,MATCH(TEXT(C141,"0"),終値!$A:$A,0),$AN$2))/INDEX(終値!$E:$BL,MATCH(TEXT(C141,"0"),終値!$A:$A,0),$AN$2)*100,""))</f>
        <v/>
      </c>
      <c r="AJ141" s="623">
        <f t="array" ref="AJ141">IFERROR((終値!$E$5-INDEX(終値!$E$5:$BL$5,1,$AN$2))/INDEX(終値!$E$5:$BL$5,1,$AN$2)*100,"")</f>
        <v/>
      </c>
      <c r="AK141" s="624">
        <f>IF(OR(AI141="",AJ141=""),"",AI141-AJ141)</f>
        <v/>
      </c>
      <c r="AL141" s="394">
        <f>IF(AK141="","",IF(AK141&lt;-5,3,IF(AK141&lt;0,1,IF(AK141&lt;3,-1,-2))))</f>
        <v/>
      </c>
      <c r="AO141" s="398">
        <f>IF(OR($C141="",$E141="",$F141="",$H141="",$I141="",$H141-$I141&lt;=0),"-",IF(AND($H141-MAX($F141,$E141)&gt;=ABS($E141-$F141)*2,MIN($F141,$E141)-$I141&lt;=ABS($E141-$F141)*0.5,ABS($E141-$F141)&gt;0),"上ヒゲ陰線▼",IF(AND($E141&lt;$F141,ABS($E141-$F141)&gt;=($H141-$I141)*0.7),"大陰線▼",IF(AND(MIN($F141,$E141)-$I141&gt;=($H141-$I141)*0.5,$H141-MAX($F141,$E141)&lt;=($H141-$I141)*0.2),"長い下ヒゲ(反発警戒)","通常"))))</f>
        <v/>
      </c>
      <c r="AP141" s="625">
        <f>IF($AO141="上ヒゲ陰線▼",2,IF($AO141="大陰線▼",2,IF($AO141="長い下ヒゲ(反発警戒)",-2,0)))</f>
        <v/>
      </c>
      <c r="AQ141">
        <f>IF(C141&lt;&gt;"",始値!F29,"")</f>
        <v/>
      </c>
      <c r="AR141">
        <f>IF(C141&lt;&gt;"",高値!F29,"")</f>
        <v/>
      </c>
      <c r="AS141">
        <f>IF(C141&lt;&gt;"",安値!F29,"")</f>
        <v/>
      </c>
      <c r="AT141">
        <f>IF(OR(C141="",AQ141="",AR141="",AS141="",AR141-AS141&lt;=0),"-",IF(AND(AR141-MAX(G141,AQ141)&gt;=ABS(G141-AQ141)*2,MIN(G141,AQ141)-AS141&lt;=ABS(G141-AQ141)*0.5,ABS(G141-AQ141)&gt;0),"上ヒゲ陰線▼",IF(AND(G141&lt;AQ141,ABS(G141-AQ141)&gt;=(AR141-AS141)*0.7),"大陰線▼",IF(AND(MIN(G141,AQ141)-AS141&gt;=(AR141-AS141)*0.5,AR141-MAX(G141,AQ141)&lt;=(AR141-AS141)*0.2),"長い下ヒゲ(反発)","通常"))))</f>
        <v/>
      </c>
      <c r="AU141">
        <f>IF(AT141="上ヒゲ陰線▼",2,IF(AT141="大陰線▼",2,IF(AT141="長い下ヒゲ(反発)",-2,0)))</f>
        <v/>
      </c>
    </row>
    <row r="142" ht="14.25" customHeight="1" s="574">
      <c r="A142" s="352">
        <f>IF(銘柄管理!B48&lt;&gt;"",HYPERLINK("https://kabutan.jp/stock/?code="&amp;銘柄管理!B48,"株探"),"")</f>
        <v/>
      </c>
      <c r="B142" s="225" t="n"/>
      <c r="C142" s="225">
        <f>IF(銘柄管理!B48="","",銘柄管理!B48)</f>
        <v/>
      </c>
      <c r="D142" s="225">
        <f>IF(銘柄管理!C48="","",銘柄管理!C48)</f>
        <v/>
      </c>
      <c r="E142" s="353">
        <f>IF(C142&lt;&gt;"",_xll.RssMarket(C142,"現在値"),"")</f>
        <v/>
      </c>
      <c r="F142" s="353">
        <f>IF(C142&lt;&gt;"",_xll.RssMarket(C142,"始値"),"")</f>
        <v/>
      </c>
      <c r="G142" s="225">
        <f>IF(C142&lt;&gt;"",終値!F48,"")</f>
        <v/>
      </c>
      <c r="H142" s="353">
        <f>IF(C142&lt;&gt;"",_xll.RssMarket(C142,"高値"),"")</f>
        <v/>
      </c>
      <c r="I142" s="353">
        <f>IF(C142&lt;&gt;"",_xll.RssMarket(C142,"安値"),"")</f>
        <v/>
      </c>
      <c r="J142" s="353">
        <f>IF(C142&lt;&gt;"",_xll.RssMarket(C142,"出来高"),"")</f>
        <v/>
      </c>
      <c r="K142" s="353">
        <f>IF(C142&lt;&gt;"",_xll.RssMarket(C142,"年初来高値"),"")</f>
        <v/>
      </c>
      <c r="L142" s="626">
        <f>IF(AND(E142&lt;&gt;"",K142&lt;&gt;"",K142&lt;&gt;0),(E142-K142)/K142*100,"")</f>
        <v/>
      </c>
      <c r="M142" s="353">
        <f>IF(C142&lt;&gt;"",IFERROR(AVERAGE(出来高!E48:I48),""),"")</f>
        <v/>
      </c>
      <c r="N142" s="353">
        <f>IF(C142&lt;&gt;"",IFERROR(AVERAGE(出来高!E48:AC48),""),"")</f>
        <v/>
      </c>
      <c r="O142" s="627">
        <f>IF(AND(J142&lt;&gt;"",M142&lt;&gt;"",M142&lt;&gt;0),J142/M142,"")</f>
        <v/>
      </c>
      <c r="P142" s="225">
        <f>IF(O142="","",IF(O142&gt;=2,"急増↑↑",IF(O142&gt;=1.5,"増加↑",IF(O142&gt;=1,"普通→","減少↓"))))</f>
        <v/>
      </c>
      <c r="Q142" s="225">
        <f>IF(E142="","",IF(AND(E142&lt;G142,O142&gt;=1.5),"売り▼",IF(E142&gt;G142,"様子見▲","中立→")))</f>
        <v/>
      </c>
      <c r="R142" s="353">
        <f>IF(E142&lt;&gt;"",ROUND(E142*0.92,0),"")</f>
        <v/>
      </c>
      <c r="S142" s="353">
        <f>IF(E142&lt;&gt;"",ROUND(E142*1.04,0),"")</f>
        <v/>
      </c>
      <c r="T142" s="345">
        <f>IF(C142="","",IFERROR(IF(W142&gt;=70,3,IF(W142&gt;=60,2,IF(W142&gt;=50,1,0)))+IF(X142&lt;0,2,0)+IF(AD142="下降トレンド▼",3,IF(AD142="もみ合い→",1,0))+IF(V142="年初来安値圏●",3,IF(V142="安値圏",2,0))+IF(Q142="売り▼",2,0)+IF(P142="急増↑↑",2,IF(P142="増加↑",1,0))+IF(Z142&lt;0,1,0)+IF(L142&lt;=-30,2,IF(L142&lt;=-15,1,0))+IF(AE142="25日戻り売り★",2,IF(AE142="5日戻り売り○",1,0))+N(AL142)+N(AP142)+N(AU142),0))</f>
        <v/>
      </c>
      <c r="U142" s="225">
        <f>IF(T142="","",IF(AND(T142&gt;=3,O142&gt;=1.5),"有効",IF(T142&gt;=3,"要確認","除外")))</f>
        <v/>
      </c>
      <c r="V142" s="225">
        <f>IF(AND(I142&lt;&gt;"",K142&lt;&gt;""),IF(I142&lt;=K142*0.6,"年初来安値圏●",IF(I142&lt;=K142*0.75,"安値圏","通常")),"")</f>
        <v/>
      </c>
      <c r="W142" s="628">
        <f t="array" ref="W142">IFERROR(100-100/(1+SUMPRODUCT((終値!F48:R48&gt;終値!G48:S48)*(終値!F48:R48-終値!G48:S48))/SUMPRODUCT((終値!F48:R48&lt;終値!G48:S48)*(終値!G48:S48-終値!F48:R48))),50)</f>
        <v/>
      </c>
      <c r="X142" s="357">
        <f>IF(C142&lt;&gt;"",IFERROR(SUMPRODUCT(終値!E48:P48,{0.154,0.132,0.113,0.097,0.083,0.071,0.061,0.052,0.045,0.038,0.033,0.028})/SUMPRODUCT({0.154,0.132,0.113,0.097,0.083,0.071,0.061,0.052,0.045,0.038,0.033,0.028})-SUMPRODUCT(終値!E48:AD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2" s="225">
        <f>IF(AF142="","",AF142&amp;" | "&amp;AD142&amp;IF(AE142&lt;&gt;"なし"," "&amp;AE142,"")&amp;IF(X142&lt;0," MACD-"," MACD+")&amp;" RSI:"&amp;TEXT(W142,"0.0")&amp;IF(W142&gt;=70," [過熱]",IF(W142&lt;=30," [売られ過ぎ]",""))&amp;" 前日比:"&amp;TEXT(Z142,"+0.0;-0.0;0.0")&amp;"%"&amp;IF(V142="年初来安値圏●"," [年初来安値圏]",IF(V142="安値圏"," [安値圏]",""))&amp;IF(OR(AO142="通常",AO142="-"),""," ["&amp;AO142&amp;"]")&amp;IF(OR(AT142="通常",AT142="-"),"","前日["&amp;AT142&amp;"]")&amp;" ["&amp;T142&amp;"点]")</f>
        <v/>
      </c>
      <c r="Z142" s="629">
        <f>IF(AND(E142&lt;&gt;"",G142&lt;&gt;"",G142&lt;&gt;0),(E142-G142)/G142*100,"")</f>
        <v/>
      </c>
      <c r="AA142" s="225">
        <f>IF(OR(C142="",E142="",E142=0),"",IF(E142&gt;G142,"上昇▲",IF(E142&lt;G142,"下落▼","横ばい→")))</f>
        <v/>
      </c>
      <c r="AB142" s="353">
        <f>IF(OR(C142="",C142="TOPX",終値!E48=""),"",IFERROR(((終値!E48*0.333)+(終値!F48*0.222)+(終値!G48*0.148)+(終値!H48*0.099)+(終値!I48*0.066))/(0.333+0.222+0.148+0.099+0.066),""))</f>
        <v/>
      </c>
      <c r="AC142" s="353">
        <f>IF(OR(C142="",C142="TOPX",終値!E48=""),"",IFERROR(SUMPRODUCT((終値!E48:AC48)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2" s="225">
        <f>IF(OR(C142="",AB142="",AC142="",AB142=0,AC142=0),"",IF(AND(E142&gt;AB142,AB142&gt;AC142),"パーフェクト▲",IF(E142&gt;AC142,"上昇トレンド▲",IF(AND(E142&lt;AB142,AB142&lt;AC142),"下降トレンド▼","もみ合い→"))))</f>
        <v/>
      </c>
      <c r="AE142" s="225">
        <f>IF(OR(C142="",AB142="",AC142=""),"",IF(AND(ABS(E142-AC142)/AC142&lt;=0.02,E142&lt;AC142),"25日戻り売り★",IF(AND(ABS(E142-AB142)/AB142&lt;=0.01,E142&lt;AB142),"5日戻り売り○","なし")))</f>
        <v/>
      </c>
      <c r="AF142">
        <f>IF(T142="","",IF(銘柄管理!$F$5="上昇▲",IF(AND(AD142="下降トレンド▼",OR(AE142="25日戻り売り★",AE142="5日戻り売り○")),"★逆張り売り",IF(AND(AD142="もみ合い→",OR(AE142="25日戻り売り★",AE142="5日戻り売り○")),"○逆張り売り",IF(W142&gt;=70,IF(Z142&lt;0,"◎反落確認","△過熱・様子見"),"相場上昇・見送り"))),IF(AND(T142&gt;=12,AD142="下降トレンド▼"),"★強い売り",IF(T142&gt;=12,"★強い売り",IF(AND(T142&gt;=8,OR(AE142="25日戻り売り★",AE142="5日戻り売り○")),"◎戻り売り",IF(T142&gt;=10,"○売り候補",IF(T142&gt;=6,"△注目",IF(T142&gt;=3,"様子見","見送り"))))))))</f>
        <v/>
      </c>
      <c r="AG142">
        <f>IF(AND(T142&gt;=7,C142&lt;&gt;""),T142,0)</f>
        <v/>
      </c>
      <c r="AH142">
        <f>IF(AG142&gt;0,AG142*10000-ROW(A142),0)</f>
        <v/>
      </c>
      <c r="AI142" s="623">
        <f t="array" ref="AI142">IF(C142="","",IFERROR((INDEX(終値!$E:$E,MATCH(TEXT(C142,"0"),終値!$A:$A,0))-INDEX(終値!$E:$BL,MATCH(TEXT(C142,"0"),終値!$A:$A,0),$AN$2))/INDEX(終値!$E:$BL,MATCH(TEXT(C142,"0"),終値!$A:$A,0),$AN$2)*100,""))</f>
        <v/>
      </c>
      <c r="AJ142" s="623">
        <f t="array" ref="AJ142">IFERROR((終値!$E$5-INDEX(終値!$E$5:$BL$5,1,$AN$2))/INDEX(終値!$E$5:$BL$5,1,$AN$2)*100,"")</f>
        <v/>
      </c>
      <c r="AK142" s="624">
        <f>IF(OR(AI142="",AJ142=""),"",AI142-AJ142)</f>
        <v/>
      </c>
      <c r="AL142" s="394">
        <f>IF(AK142="","",IF(AK142&lt;-5,3,IF(AK142&lt;0,1,IF(AK142&lt;3,-1,-2))))</f>
        <v/>
      </c>
      <c r="AO142" s="398">
        <f>IF(OR($C142="",$E142="",$F142="",$H142="",$I142="",$H142-$I142&lt;=0),"-",IF(AND($H142-MAX($F142,$E142)&gt;=ABS($E142-$F142)*2,MIN($F142,$E142)-$I142&lt;=ABS($E142-$F142)*0.5,ABS($E142-$F142)&gt;0),"上ヒゲ陰線▼",IF(AND($E142&lt;$F142,ABS($E142-$F142)&gt;=($H142-$I142)*0.7),"大陰線▼",IF(AND(MIN($F142,$E142)-$I142&gt;=($H142-$I142)*0.5,$H142-MAX($F142,$E142)&lt;=($H142-$I142)*0.2),"長い下ヒゲ(反発警戒)","通常"))))</f>
        <v/>
      </c>
      <c r="AP142" s="625">
        <f>IF($AO142="上ヒゲ陰線▼",2,IF($AO142="大陰線▼",2,IF($AO142="長い下ヒゲ(反発警戒)",-2,0)))</f>
        <v/>
      </c>
      <c r="AQ142">
        <f>IF(C142&lt;&gt;"",始値!F48,"")</f>
        <v/>
      </c>
      <c r="AR142">
        <f>IF(C142&lt;&gt;"",高値!F48,"")</f>
        <v/>
      </c>
      <c r="AS142">
        <f>IF(C142&lt;&gt;"",安値!F48,"")</f>
        <v/>
      </c>
      <c r="AT142">
        <f>IF(OR(C142="",AQ142="",AR142="",AS142="",AR142-AS142&lt;=0),"-",IF(AND(AR142-MAX(G142,AQ142)&gt;=ABS(G142-AQ142)*2,MIN(G142,AQ142)-AS142&lt;=ABS(G142-AQ142)*0.5,ABS(G142-AQ142)&gt;0),"上ヒゲ陰線▼",IF(AND(G142&lt;AQ142,ABS(G142-AQ142)&gt;=(AR142-AS142)*0.7),"大陰線▼",IF(AND(MIN(G142,AQ142)-AS142&gt;=(AR142-AS142)*0.5,AR142-MAX(G142,AQ142)&lt;=(AR142-AS142)*0.2),"長い下ヒゲ(反発)","通常"))))</f>
        <v/>
      </c>
      <c r="AU142">
        <f>IF(AT142="上ヒゲ陰線▼",2,IF(AT142="大陰線▼",2,IF(AT142="長い下ヒゲ(反発)",-2,0)))</f>
        <v/>
      </c>
    </row>
    <row r="143" ht="14.25" customHeight="1" s="574">
      <c r="A143" s="344">
        <f>IF(銘柄管理!B88&lt;&gt;"",HYPERLINK("https://kabutan.jp/stock/?code="&amp;銘柄管理!B88,"株探"),"")</f>
        <v/>
      </c>
      <c r="B143" s="345" t="n"/>
      <c r="C143" s="345">
        <f>IF(銘柄管理!B88="","",銘柄管理!B88)</f>
        <v/>
      </c>
      <c r="D143" s="345">
        <f>IF(銘柄管理!C88="","",銘柄管理!C88)</f>
        <v/>
      </c>
      <c r="E143" s="346">
        <f>IF(C143&lt;&gt;"",_xll.RssMarket(C143,"現在値"),"")</f>
        <v/>
      </c>
      <c r="F143" s="346">
        <f>IF(C143&lt;&gt;"",_xll.RssMarket(C143,"始値"),"")</f>
        <v/>
      </c>
      <c r="G143" s="345">
        <f>IF(C143&lt;&gt;"",終値!F88,"")</f>
        <v/>
      </c>
      <c r="H143" s="346">
        <f>IF(C143&lt;&gt;"",_xll.RssMarket(C143,"高値"),"")</f>
        <v/>
      </c>
      <c r="I143" s="346">
        <f>IF(C143&lt;&gt;"",_xll.RssMarket(C143,"安値"),"")</f>
        <v/>
      </c>
      <c r="J143" s="346">
        <f>IF(C143&lt;&gt;"",_xll.RssMarket(C143,"出来高"),"")</f>
        <v/>
      </c>
      <c r="K143" s="346">
        <f>IF(C143&lt;&gt;"",_xll.RssMarket(C143,"年初来高値"),"")</f>
        <v/>
      </c>
      <c r="L143" s="619">
        <f>IF(AND(E143&lt;&gt;"",K143&lt;&gt;"",K143&lt;&gt;0),(E143-K143)/K143*100,"")</f>
        <v/>
      </c>
      <c r="M143" s="346">
        <f>IF(C143&lt;&gt;"",IFERROR(AVERAGE(出来高!E88:I88),""),"")</f>
        <v/>
      </c>
      <c r="N143" s="346">
        <f>IF(C143&lt;&gt;"",IFERROR(AVERAGE(出来高!E88:AC88),""),"")</f>
        <v/>
      </c>
      <c r="O143" s="620">
        <f>IF(AND(J143&lt;&gt;"",M143&lt;&gt;"",M143&lt;&gt;0),J143/M143,"")</f>
        <v/>
      </c>
      <c r="P143" s="345">
        <f>IF(O143="","",IF(O143&gt;=2,"急増↑↑",IF(O143&gt;=1.5,"増加↑",IF(O143&gt;=1,"普通→","減少↓"))))</f>
        <v/>
      </c>
      <c r="Q143" s="345">
        <f>IF(E143="","",IF(AND(E143&lt;G143,O143&gt;=1.5),"売り▼",IF(E143&gt;G143,"様子見▲","中立→")))</f>
        <v/>
      </c>
      <c r="R143" s="346">
        <f>IF(E143&lt;&gt;"",ROUND(E143*0.92,0),"")</f>
        <v/>
      </c>
      <c r="S143" s="346">
        <f>IF(E143&lt;&gt;"",ROUND(E143*1.04,0),"")</f>
        <v/>
      </c>
      <c r="T143" s="345">
        <f>IF(C143="","",IFERROR(IF(W143&gt;=70,3,IF(W143&gt;=60,2,IF(W143&gt;=50,1,0)))+IF(X143&lt;0,2,0)+IF(AD143="下降トレンド▼",3,IF(AD143="もみ合い→",1,0))+IF(V143="年初来安値圏●",3,IF(V143="安値圏",2,0))+IF(Q143="売り▼",2,0)+IF(P143="急増↑↑",2,IF(P143="増加↑",1,0))+IF(Z143&lt;0,1,0)+IF(L143&lt;=-30,2,IF(L143&lt;=-15,1,0))+IF(AE143="25日戻り売り★",2,IF(AE143="5日戻り売り○",1,0))+N(AL143)+N(AP143)+N(AU143),0))</f>
        <v/>
      </c>
      <c r="U143" s="345">
        <f>IF(T143="","",IF(AND(T143&gt;=3,O143&gt;=1.5),"有効",IF(T143&gt;=3,"要確認","除外")))</f>
        <v/>
      </c>
      <c r="V143" s="345">
        <f>IF(AND(I143&lt;&gt;"",K143&lt;&gt;""),IF(I143&lt;=K143*0.6,"年初来安値圏●",IF(I143&lt;=K143*0.75,"安値圏","通常")),"")</f>
        <v/>
      </c>
      <c r="W143" s="621">
        <f t="array" ref="W143">IFERROR(100-100/(1+SUMPRODUCT((終値!F88:R88&gt;終値!G88:S88)*(終値!F88:R88-終値!G88:S88))/SUMPRODUCT((終値!F88:R88&lt;終値!G88:S88)*(終値!G88:S88-終値!F88:R88))),50)</f>
        <v/>
      </c>
      <c r="X143" s="350">
        <f>IF(C143&lt;&gt;"",IFERROR(SUMPRODUCT(終値!E88:P88,{0.154,0.132,0.113,0.097,0.083,0.071,0.061,0.052,0.045,0.038,0.033,0.028})/SUMPRODUCT({0.154,0.132,0.113,0.097,0.083,0.071,0.061,0.052,0.045,0.038,0.033,0.028})-SUMPRODUCT(終値!E88:AD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3" s="345">
        <f>IF(AF143="","",AF143&amp;" | "&amp;AD143&amp;IF(AE143&lt;&gt;"なし"," "&amp;AE143,"")&amp;IF(X143&lt;0," MACD-"," MACD+")&amp;" RSI:"&amp;TEXT(W143,"0.0")&amp;IF(W143&gt;=70," [過熱]",IF(W143&lt;=30," [売られ過ぎ]",""))&amp;" 前日比:"&amp;TEXT(Z143,"+0.0;-0.0;0.0")&amp;"%"&amp;IF(V143="年初来安値圏●"," [年初来安値圏]",IF(V143="安値圏"," [安値圏]",""))&amp;IF(OR(AO143="通常",AO143="-"),""," ["&amp;AO143&amp;"]")&amp;IF(OR(AT143="通常",AT143="-"),"","前日["&amp;AT143&amp;"]")&amp;" ["&amp;T143&amp;"点]")</f>
        <v/>
      </c>
      <c r="Z143" s="622">
        <f>IF(AND(E143&lt;&gt;"",G143&lt;&gt;"",G143&lt;&gt;0),(E143-G143)/G143*100,"")</f>
        <v/>
      </c>
      <c r="AA143" s="345">
        <f>IF(OR(C143="",E143="",E143=0),"",IF(E143&gt;G143,"上昇▲",IF(E143&lt;G143,"下落▼","横ばい→")))</f>
        <v/>
      </c>
      <c r="AB143" s="346">
        <f>IF(OR(C143="",C143="TOPX",終値!E88=""),"",IFERROR(((終値!E88*0.333)+(終値!F88*0.222)+(終値!G88*0.148)+(終値!H88*0.099)+(終値!I88*0.066))/(0.333+0.222+0.148+0.099+0.066),""))</f>
        <v/>
      </c>
      <c r="AC143" s="346">
        <f>IF(OR(C143="",C143="TOPX",終値!E88=""),"",IFERROR(SUMPRODUCT((終値!E88:AC88)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3" s="345">
        <f>IF(OR(C143="",AB143="",AC143="",AB143=0,AC143=0),"",IF(AND(E143&gt;AB143,AB143&gt;AC143),"パーフェクト▲",IF(E143&gt;AC143,"上昇トレンド▲",IF(AND(E143&lt;AB143,AB143&lt;AC143),"下降トレンド▼","もみ合い→"))))</f>
        <v/>
      </c>
      <c r="AE143" s="345">
        <f>IF(OR(C143="",AB143="",AC143=""),"",IF(AND(ABS(E143-AC143)/AC143&lt;=0.02,E143&lt;AC143),"25日戻り売り★",IF(AND(ABS(E143-AB143)/AB143&lt;=0.01,E143&lt;AB143),"5日戻り売り○","なし")))</f>
        <v/>
      </c>
      <c r="AF143">
        <f>IF(T143="","",IF(銘柄管理!$F$5="上昇▲",IF(AND(AD143="下降トレンド▼",OR(AE143="25日戻り売り★",AE143="5日戻り売り○")),"★逆張り売り",IF(AND(AD143="もみ合い→",OR(AE143="25日戻り売り★",AE143="5日戻り売り○")),"○逆張り売り",IF(W143&gt;=70,IF(Z143&lt;0,"◎反落確認","△過熱・様子見"),"相場上昇・見送り"))),IF(AND(T143&gt;=12,AD143="下降トレンド▼"),"★強い売り",IF(T143&gt;=12,"★強い売り",IF(AND(T143&gt;=8,OR(AE143="25日戻り売り★",AE143="5日戻り売り○")),"◎戻り売り",IF(T143&gt;=10,"○売り候補",IF(T143&gt;=6,"△注目",IF(T143&gt;=3,"様子見","見送り"))))))))</f>
        <v/>
      </c>
      <c r="AG143">
        <f>IF(AND(T143&gt;=7,C143&lt;&gt;""),T143,0)</f>
        <v/>
      </c>
      <c r="AH143">
        <f>IF(AG143&gt;0,AG143*10000-ROW(A143),0)</f>
        <v/>
      </c>
      <c r="AI143" s="623">
        <f t="array" ref="AI143">IF(C143="","",IFERROR((INDEX(終値!$E:$E,MATCH(TEXT(C143,"0"),終値!$A:$A,0))-INDEX(終値!$E:$BL,MATCH(TEXT(C143,"0"),終値!$A:$A,0),$AN$2))/INDEX(終値!$E:$BL,MATCH(TEXT(C143,"0"),終値!$A:$A,0),$AN$2)*100,""))</f>
        <v/>
      </c>
      <c r="AJ143" s="623">
        <f t="array" ref="AJ143">IFERROR((終値!$E$5-INDEX(終値!$E$5:$BL$5,1,$AN$2))/INDEX(終値!$E$5:$BL$5,1,$AN$2)*100,"")</f>
        <v/>
      </c>
      <c r="AK143" s="624">
        <f>IF(OR(AI143="",AJ143=""),"",AI143-AJ143)</f>
        <v/>
      </c>
      <c r="AL143" s="394">
        <f>IF(AK143="","",IF(AK143&lt;-5,3,IF(AK143&lt;0,1,IF(AK143&lt;3,-1,-2))))</f>
        <v/>
      </c>
      <c r="AO143" s="398">
        <f>IF(OR($C143="",$E143="",$F143="",$H143="",$I143="",$H143-$I143&lt;=0),"-",IF(AND($H143-MAX($F143,$E143)&gt;=ABS($E143-$F143)*2,MIN($F143,$E143)-$I143&lt;=ABS($E143-$F143)*0.5,ABS($E143-$F143)&gt;0),"上ヒゲ陰線▼",IF(AND($E143&lt;$F143,ABS($E143-$F143)&gt;=($H143-$I143)*0.7),"大陰線▼",IF(AND(MIN($F143,$E143)-$I143&gt;=($H143-$I143)*0.5,$H143-MAX($F143,$E143)&lt;=($H143-$I143)*0.2),"長い下ヒゲ(反発警戒)","通常"))))</f>
        <v/>
      </c>
      <c r="AP143" s="625">
        <f>IF($AO143="上ヒゲ陰線▼",2,IF($AO143="大陰線▼",2,IF($AO143="長い下ヒゲ(反発警戒)",-2,0)))</f>
        <v/>
      </c>
      <c r="AQ143">
        <f>IF(C143&lt;&gt;"",始値!F88,"")</f>
        <v/>
      </c>
      <c r="AR143">
        <f>IF(C143&lt;&gt;"",高値!F88,"")</f>
        <v/>
      </c>
      <c r="AS143">
        <f>IF(C143&lt;&gt;"",安値!F88,"")</f>
        <v/>
      </c>
      <c r="AT143">
        <f>IF(OR(C143="",AQ143="",AR143="",AS143="",AR143-AS143&lt;=0),"-",IF(AND(AR143-MAX(G143,AQ143)&gt;=ABS(G143-AQ143)*2,MIN(G143,AQ143)-AS143&lt;=ABS(G143-AQ143)*0.5,ABS(G143-AQ143)&gt;0),"上ヒゲ陰線▼",IF(AND(G143&lt;AQ143,ABS(G143-AQ143)&gt;=(AR143-AS143)*0.7),"大陰線▼",IF(AND(MIN(G143,AQ143)-AS143&gt;=(AR143-AS143)*0.5,AR143-MAX(G143,AQ143)&lt;=(AR143-AS143)*0.2),"長い下ヒゲ(反発)","通常"))))</f>
        <v/>
      </c>
      <c r="AU143">
        <f>IF(AT143="上ヒゲ陰線▼",2,IF(AT143="大陰線▼",2,IF(AT143="長い下ヒゲ(反発)",-2,0)))</f>
        <v/>
      </c>
    </row>
    <row r="144" ht="14.25" customHeight="1" s="574">
      <c r="A144" s="352">
        <f>IF(銘柄管理!B93&lt;&gt;"",HYPERLINK("https://kabutan.jp/stock/?code="&amp;銘柄管理!B93,"株探"),"")</f>
        <v/>
      </c>
      <c r="B144" s="225" t="n"/>
      <c r="C144" s="225">
        <f>IF(銘柄管理!B93="","",銘柄管理!B93)</f>
        <v/>
      </c>
      <c r="D144" s="225">
        <f>IF(銘柄管理!C93="","",銘柄管理!C93)</f>
        <v/>
      </c>
      <c r="E144" s="353">
        <f>IF(C144&lt;&gt;"",_xll.RssMarket(C144,"現在値"),"")</f>
        <v/>
      </c>
      <c r="F144" s="353">
        <f>IF(C144&lt;&gt;"",_xll.RssMarket(C144,"始値"),"")</f>
        <v/>
      </c>
      <c r="G144" s="225">
        <f>IF(C144&lt;&gt;"",終値!F93,"")</f>
        <v/>
      </c>
      <c r="H144" s="353">
        <f>IF(C144&lt;&gt;"",_xll.RssMarket(C144,"高値"),"")</f>
        <v/>
      </c>
      <c r="I144" s="353">
        <f>IF(C144&lt;&gt;"",_xll.RssMarket(C144,"安値"),"")</f>
        <v/>
      </c>
      <c r="J144" s="353">
        <f>IF(C144&lt;&gt;"",_xll.RssMarket(C144,"出来高"),"")</f>
        <v/>
      </c>
      <c r="K144" s="353">
        <f>IF(C144&lt;&gt;"",_xll.RssMarket(C144,"年初来高値"),"")</f>
        <v/>
      </c>
      <c r="L144" s="626">
        <f>IF(AND(E144&lt;&gt;"",K144&lt;&gt;"",K144&lt;&gt;0),(E144-K144)/K144*100,"")</f>
        <v/>
      </c>
      <c r="M144" s="353">
        <f>IF(C144&lt;&gt;"",IFERROR(AVERAGE(出来高!E93:I93),""),"")</f>
        <v/>
      </c>
      <c r="N144" s="353">
        <f>IF(C144&lt;&gt;"",IFERROR(AVERAGE(出来高!E93:AC93),""),"")</f>
        <v/>
      </c>
      <c r="O144" s="627">
        <f>IF(AND(J144&lt;&gt;"",M144&lt;&gt;"",M144&lt;&gt;0),J144/M144,"")</f>
        <v/>
      </c>
      <c r="P144" s="225">
        <f>IF(O144="","",IF(O144&gt;=2,"急増↑↑",IF(O144&gt;=1.5,"増加↑",IF(O144&gt;=1,"普通→","減少↓"))))</f>
        <v/>
      </c>
      <c r="Q144" s="225">
        <f>IF(E144="","",IF(AND(E144&lt;G144,O144&gt;=1.5),"売り▼",IF(E144&gt;G144,"様子見▲","中立→")))</f>
        <v/>
      </c>
      <c r="R144" s="353">
        <f>IF(E144&lt;&gt;"",ROUND(E144*0.92,0),"")</f>
        <v/>
      </c>
      <c r="S144" s="353">
        <f>IF(E144&lt;&gt;"",ROUND(E144*1.04,0),"")</f>
        <v/>
      </c>
      <c r="T144" s="345">
        <f>IF(C144="","",IFERROR(IF(W144&gt;=70,3,IF(W144&gt;=60,2,IF(W144&gt;=50,1,0)))+IF(X144&lt;0,2,0)+IF(AD144="下降トレンド▼",3,IF(AD144="もみ合い→",1,0))+IF(V144="年初来安値圏●",3,IF(V144="安値圏",2,0))+IF(Q144="売り▼",2,0)+IF(P144="急増↑↑",2,IF(P144="増加↑",1,0))+IF(Z144&lt;0,1,0)+IF(L144&lt;=-30,2,IF(L144&lt;=-15,1,0))+IF(AE144="25日戻り売り★",2,IF(AE144="5日戻り売り○",1,0))+N(AL144)+N(AP144)+N(AU144),0))</f>
        <v/>
      </c>
      <c r="U144" s="225">
        <f>IF(T144="","",IF(AND(T144&gt;=3,O144&gt;=1.5),"有効",IF(T144&gt;=3,"要確認","除外")))</f>
        <v/>
      </c>
      <c r="V144" s="225">
        <f>IF(AND(I144&lt;&gt;"",K144&lt;&gt;""),IF(I144&lt;=K144*0.6,"年初来安値圏●",IF(I144&lt;=K144*0.75,"安値圏","通常")),"")</f>
        <v/>
      </c>
      <c r="W144" s="628">
        <f t="array" ref="W144">IFERROR(100-100/(1+SUMPRODUCT((終値!F93:R93&gt;終値!G93:S93)*(終値!F93:R93-終値!G93:S93))/SUMPRODUCT((終値!F93:R93&lt;終値!G93:S93)*(終値!G93:S93-終値!F93:R93))),50)</f>
        <v/>
      </c>
      <c r="X144" s="357">
        <f>IF(C144&lt;&gt;"",IFERROR(SUMPRODUCT(終値!E93:P93,{0.154,0.132,0.113,0.097,0.083,0.071,0.061,0.052,0.045,0.038,0.033,0.028})/SUMPRODUCT({0.154,0.132,0.113,0.097,0.083,0.071,0.061,0.052,0.045,0.038,0.033,0.028})-SUMPRODUCT(終値!E93:AD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4" s="225">
        <f>IF(AF144="","",AF144&amp;" | "&amp;AD144&amp;IF(AE144&lt;&gt;"なし"," "&amp;AE144,"")&amp;IF(X144&lt;0," MACD-"," MACD+")&amp;" RSI:"&amp;TEXT(W144,"0.0")&amp;IF(W144&gt;=70," [過熱]",IF(W144&lt;=30," [売られ過ぎ]",""))&amp;" 前日比:"&amp;TEXT(Z144,"+0.0;-0.0;0.0")&amp;"%"&amp;IF(V144="年初来安値圏●"," [年初来安値圏]",IF(V144="安値圏"," [安値圏]",""))&amp;IF(OR(AO144="通常",AO144="-"),""," ["&amp;AO144&amp;"]")&amp;IF(OR(AT144="通常",AT144="-"),"","前日["&amp;AT144&amp;"]")&amp;" ["&amp;T144&amp;"点]")</f>
        <v/>
      </c>
      <c r="Z144" s="629">
        <f>IF(AND(E144&lt;&gt;"",G144&lt;&gt;"",G144&lt;&gt;0),(E144-G144)/G144*100,"")</f>
        <v/>
      </c>
      <c r="AA144" s="225">
        <f>IF(OR(C144="",E144="",E144=0),"",IF(E144&gt;G144,"上昇▲",IF(E144&lt;G144,"下落▼","横ばい→")))</f>
        <v/>
      </c>
      <c r="AB144" s="353">
        <f>IF(OR(C144="",C144="TOPX",終値!E93=""),"",IFERROR(((終値!E93*0.333)+(終値!F93*0.222)+(終値!G93*0.148)+(終値!H93*0.099)+(終値!I93*0.066))/(0.333+0.222+0.148+0.099+0.066),""))</f>
        <v/>
      </c>
      <c r="AC144" s="353">
        <f>IF(OR(C144="",C144="TOPX",終値!E93=""),"",IFERROR(SUMPRODUCT((終値!E93:AC93)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4" s="225">
        <f>IF(OR(C144="",AB144="",AC144="",AB144=0,AC144=0),"",IF(AND(E144&gt;AB144,AB144&gt;AC144),"パーフェクト▲",IF(E144&gt;AC144,"上昇トレンド▲",IF(AND(E144&lt;AB144,AB144&lt;AC144),"下降トレンド▼","もみ合い→"))))</f>
        <v/>
      </c>
      <c r="AE144" s="225">
        <f>IF(OR(C144="",AB144="",AC144=""),"",IF(AND(ABS(E144-AC144)/AC144&lt;=0.02,E144&lt;AC144),"25日戻り売り★",IF(AND(ABS(E144-AB144)/AB144&lt;=0.01,E144&lt;AB144),"5日戻り売り○","なし")))</f>
        <v/>
      </c>
      <c r="AF144">
        <f>IF(T144="","",IF(銘柄管理!$F$5="上昇▲",IF(AND(AD144="下降トレンド▼",OR(AE144="25日戻り売り★",AE144="5日戻り売り○")),"★逆張り売り",IF(AND(AD144="もみ合い→",OR(AE144="25日戻り売り★",AE144="5日戻り売り○")),"○逆張り売り",IF(W144&gt;=70,IF(Z144&lt;0,"◎反落確認","△過熱・様子見"),"相場上昇・見送り"))),IF(AND(T144&gt;=12,AD144="下降トレンド▼"),"★強い売り",IF(T144&gt;=12,"★強い売り",IF(AND(T144&gt;=8,OR(AE144="25日戻り売り★",AE144="5日戻り売り○")),"◎戻り売り",IF(T144&gt;=10,"○売り候補",IF(T144&gt;=6,"△注目",IF(T144&gt;=3,"様子見","見送り"))))))))</f>
        <v/>
      </c>
      <c r="AG144">
        <f>IF(AND(T144&gt;=7,C144&lt;&gt;""),T144,0)</f>
        <v/>
      </c>
      <c r="AH144">
        <f>IF(AG144&gt;0,AG144*10000-ROW(A144),0)</f>
        <v/>
      </c>
      <c r="AI144" s="623">
        <f t="array" ref="AI144">IF(C144="","",IFERROR((INDEX(終値!$E:$E,MATCH(TEXT(C144,"0"),終値!$A:$A,0))-INDEX(終値!$E:$BL,MATCH(TEXT(C144,"0"),終値!$A:$A,0),$AN$2))/INDEX(終値!$E:$BL,MATCH(TEXT(C144,"0"),終値!$A:$A,0),$AN$2)*100,""))</f>
        <v/>
      </c>
      <c r="AJ144" s="623">
        <f t="array" ref="AJ144">IFERROR((終値!$E$5-INDEX(終値!$E$5:$BL$5,1,$AN$2))/INDEX(終値!$E$5:$BL$5,1,$AN$2)*100,"")</f>
        <v/>
      </c>
      <c r="AK144" s="624">
        <f>IF(OR(AI144="",AJ144=""),"",AI144-AJ144)</f>
        <v/>
      </c>
      <c r="AL144" s="394">
        <f>IF(AK144="","",IF(AK144&lt;-5,3,IF(AK144&lt;0,1,IF(AK144&lt;3,-1,-2))))</f>
        <v/>
      </c>
      <c r="AO144" s="398">
        <f>IF(OR($C144="",$E144="",$F144="",$H144="",$I144="",$H144-$I144&lt;=0),"-",IF(AND($H144-MAX($F144,$E144)&gt;=ABS($E144-$F144)*2,MIN($F144,$E144)-$I144&lt;=ABS($E144-$F144)*0.5,ABS($E144-$F144)&gt;0),"上ヒゲ陰線▼",IF(AND($E144&lt;$F144,ABS($E144-$F144)&gt;=($H144-$I144)*0.7),"大陰線▼",IF(AND(MIN($F144,$E144)-$I144&gt;=($H144-$I144)*0.5,$H144-MAX($F144,$E144)&lt;=($H144-$I144)*0.2),"長い下ヒゲ(反発警戒)","通常"))))</f>
        <v/>
      </c>
      <c r="AP144" s="625">
        <f>IF($AO144="上ヒゲ陰線▼",2,IF($AO144="大陰線▼",2,IF($AO144="長い下ヒゲ(反発警戒)",-2,0)))</f>
        <v/>
      </c>
      <c r="AQ144">
        <f>IF(C144&lt;&gt;"",始値!F93,"")</f>
        <v/>
      </c>
      <c r="AR144">
        <f>IF(C144&lt;&gt;"",高値!F93,"")</f>
        <v/>
      </c>
      <c r="AS144">
        <f>IF(C144&lt;&gt;"",安値!F93,"")</f>
        <v/>
      </c>
      <c r="AT144">
        <f>IF(OR(C144="",AQ144="",AR144="",AS144="",AR144-AS144&lt;=0),"-",IF(AND(AR144-MAX(G144,AQ144)&gt;=ABS(G144-AQ144)*2,MIN(G144,AQ144)-AS144&lt;=ABS(G144-AQ144)*0.5,ABS(G144-AQ144)&gt;0),"上ヒゲ陰線▼",IF(AND(G144&lt;AQ144,ABS(G144-AQ144)&gt;=(AR144-AS144)*0.7),"大陰線▼",IF(AND(MIN(G144,AQ144)-AS144&gt;=(AR144-AS144)*0.5,AR144-MAX(G144,AQ144)&lt;=(AR144-AS144)*0.2),"長い下ヒゲ(反発)","通常"))))</f>
        <v/>
      </c>
      <c r="AU144">
        <f>IF(AT144="上ヒゲ陰線▼",2,IF(AT144="大陰線▼",2,IF(AT144="長い下ヒゲ(反発)",-2,0)))</f>
        <v/>
      </c>
    </row>
    <row r="145" ht="14.25" customHeight="1" s="574">
      <c r="A145" s="344">
        <f>IF(銘柄管理!B98&lt;&gt;"",HYPERLINK("https://kabutan.jp/stock/?code="&amp;銘柄管理!B98,"株探"),"")</f>
        <v/>
      </c>
      <c r="B145" s="345" t="n"/>
      <c r="C145" s="345">
        <f>IF(銘柄管理!B98="","",銘柄管理!B98)</f>
        <v/>
      </c>
      <c r="D145" s="345">
        <f>IF(銘柄管理!C98="","",銘柄管理!C98)</f>
        <v/>
      </c>
      <c r="E145" s="346">
        <f>IF(C145&lt;&gt;"",_xll.RssMarket(C145,"現在値"),"")</f>
        <v/>
      </c>
      <c r="F145" s="346">
        <f>IF(C145&lt;&gt;"",_xll.RssMarket(C145,"始値"),"")</f>
        <v/>
      </c>
      <c r="G145" s="345">
        <f>IF(C145&lt;&gt;"",終値!F98,"")</f>
        <v/>
      </c>
      <c r="H145" s="346">
        <f>IF(C145&lt;&gt;"",_xll.RssMarket(C145,"高値"),"")</f>
        <v/>
      </c>
      <c r="I145" s="346">
        <f>IF(C145&lt;&gt;"",_xll.RssMarket(C145,"安値"),"")</f>
        <v/>
      </c>
      <c r="J145" s="346">
        <f>IF(C145&lt;&gt;"",_xll.RssMarket(C145,"出来高"),"")</f>
        <v/>
      </c>
      <c r="K145" s="346">
        <f>IF(C145&lt;&gt;"",_xll.RssMarket(C145,"年初来高値"),"")</f>
        <v/>
      </c>
      <c r="L145" s="619">
        <f>IF(AND(E145&lt;&gt;"",K145&lt;&gt;"",K145&lt;&gt;0),(E145-K145)/K145*100,"")</f>
        <v/>
      </c>
      <c r="M145" s="346">
        <f>IF(C145&lt;&gt;"",IFERROR(AVERAGE(出来高!E98:I98),""),"")</f>
        <v/>
      </c>
      <c r="N145" s="346">
        <f>IF(C145&lt;&gt;"",IFERROR(AVERAGE(出来高!E98:AC98),""),"")</f>
        <v/>
      </c>
      <c r="O145" s="620">
        <f>IF(AND(J145&lt;&gt;"",M145&lt;&gt;"",M145&lt;&gt;0),J145/M145,"")</f>
        <v/>
      </c>
      <c r="P145" s="345">
        <f>IF(O145="","",IF(O145&gt;=2,"急増↑↑",IF(O145&gt;=1.5,"増加↑",IF(O145&gt;=1,"普通→","減少↓"))))</f>
        <v/>
      </c>
      <c r="Q145" s="345">
        <f>IF(E145="","",IF(AND(E145&lt;G145,O145&gt;=1.5),"売り▼",IF(E145&gt;G145,"様子見▲","中立→")))</f>
        <v/>
      </c>
      <c r="R145" s="346">
        <f>IF(E145&lt;&gt;"",ROUND(E145*0.92,0),"")</f>
        <v/>
      </c>
      <c r="S145" s="346">
        <f>IF(E145&lt;&gt;"",ROUND(E145*1.04,0),"")</f>
        <v/>
      </c>
      <c r="T145" s="345">
        <f>IF(C145="","",IFERROR(IF(W145&gt;=70,3,IF(W145&gt;=60,2,IF(W145&gt;=50,1,0)))+IF(X145&lt;0,2,0)+IF(AD145="下降トレンド▼",3,IF(AD145="もみ合い→",1,0))+IF(V145="年初来安値圏●",3,IF(V145="安値圏",2,0))+IF(Q145="売り▼",2,0)+IF(P145="急増↑↑",2,IF(P145="増加↑",1,0))+IF(Z145&lt;0,1,0)+IF(L145&lt;=-30,2,IF(L145&lt;=-15,1,0))+IF(AE145="25日戻り売り★",2,IF(AE145="5日戻り売り○",1,0))+N(AL145)+N(AP145)+N(AU145),0))</f>
        <v/>
      </c>
      <c r="U145" s="345">
        <f>IF(T145="","",IF(AND(T145&gt;=3,O145&gt;=1.5),"有効",IF(T145&gt;=3,"要確認","除外")))</f>
        <v/>
      </c>
      <c r="V145" s="345">
        <f>IF(AND(I145&lt;&gt;"",K145&lt;&gt;""),IF(I145&lt;=K145*0.6,"年初来安値圏●",IF(I145&lt;=K145*0.75,"安値圏","通常")),"")</f>
        <v/>
      </c>
      <c r="W145" s="621">
        <f t="array" ref="W145">IFERROR(100-100/(1+SUMPRODUCT((終値!F98:R98&gt;終値!G98:S98)*(終値!F98:R98-終値!G98:S98))/SUMPRODUCT((終値!F98:R98&lt;終値!G98:S98)*(終値!G98:S98-終値!F98:R98))),50)</f>
        <v/>
      </c>
      <c r="X145" s="350">
        <f>IF(C145&lt;&gt;"",IFERROR(SUMPRODUCT(終値!E98:P98,{0.154,0.132,0.113,0.097,0.083,0.071,0.061,0.052,0.045,0.038,0.033,0.028})/SUMPRODUCT({0.154,0.132,0.113,0.097,0.083,0.071,0.061,0.052,0.045,0.038,0.033,0.028})-SUMPRODUCT(終値!E98:AD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5" s="345">
        <f>IF(AF145="","",AF145&amp;" | "&amp;AD145&amp;IF(AE145&lt;&gt;"なし"," "&amp;AE145,"")&amp;IF(X145&lt;0," MACD-"," MACD+")&amp;" RSI:"&amp;TEXT(W145,"0.0")&amp;IF(W145&gt;=70," [過熱]",IF(W145&lt;=30," [売られ過ぎ]",""))&amp;" 前日比:"&amp;TEXT(Z145,"+0.0;-0.0;0.0")&amp;"%"&amp;IF(V145="年初来安値圏●"," [年初来安値圏]",IF(V145="安値圏"," [安値圏]",""))&amp;IF(OR(AO145="通常",AO145="-"),""," ["&amp;AO145&amp;"]")&amp;IF(OR(AT145="通常",AT145="-"),"","前日["&amp;AT145&amp;"]")&amp;" ["&amp;T145&amp;"点]")</f>
        <v/>
      </c>
      <c r="Z145" s="622">
        <f>IF(AND(E145&lt;&gt;"",G145&lt;&gt;"",G145&lt;&gt;0),(E145-G145)/G145*100,"")</f>
        <v/>
      </c>
      <c r="AA145" s="345">
        <f>IF(OR(C145="",E145="",E145=0),"",IF(E145&gt;G145,"上昇▲",IF(E145&lt;G145,"下落▼","横ばい→")))</f>
        <v/>
      </c>
      <c r="AB145" s="346">
        <f>IF(OR(C145="",C145="TOPX",終値!E98=""),"",IFERROR(((終値!E98*0.333)+(終値!F98*0.222)+(終値!G98*0.148)+(終値!H98*0.099)+(終値!I98*0.066))/(0.333+0.222+0.148+0.099+0.066),""))</f>
        <v/>
      </c>
      <c r="AC145" s="346">
        <f>IF(OR(C145="",C145="TOPX",終値!E98=""),"",IFERROR(SUMPRODUCT((終値!E98:AC98)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5" s="345">
        <f>IF(OR(C145="",AB145="",AC145="",AB145=0,AC145=0),"",IF(AND(E145&gt;AB145,AB145&gt;AC145),"パーフェクト▲",IF(E145&gt;AC145,"上昇トレンド▲",IF(AND(E145&lt;AB145,AB145&lt;AC145),"下降トレンド▼","もみ合い→"))))</f>
        <v/>
      </c>
      <c r="AE145" s="345">
        <f>IF(OR(C145="",AB145="",AC145=""),"",IF(AND(ABS(E145-AC145)/AC145&lt;=0.02,E145&lt;AC145),"25日戻り売り★",IF(AND(ABS(E145-AB145)/AB145&lt;=0.01,E145&lt;AB145),"5日戻り売り○","なし")))</f>
        <v/>
      </c>
      <c r="AF145">
        <f>IF(T145="","",IF(銘柄管理!$F$5="上昇▲",IF(AND(AD145="下降トレンド▼",OR(AE145="25日戻り売り★",AE145="5日戻り売り○")),"★逆張り売り",IF(AND(AD145="もみ合い→",OR(AE145="25日戻り売り★",AE145="5日戻り売り○")),"○逆張り売り",IF(W145&gt;=70,IF(Z145&lt;0,"◎反落確認","△過熱・様子見"),"相場上昇・見送り"))),IF(AND(T145&gt;=12,AD145="下降トレンド▼"),"★強い売り",IF(T145&gt;=12,"★強い売り",IF(AND(T145&gt;=8,OR(AE145="25日戻り売り★",AE145="5日戻り売り○")),"◎戻り売り",IF(T145&gt;=10,"○売り候補",IF(T145&gt;=6,"△注目",IF(T145&gt;=3,"様子見","見送り"))))))))</f>
        <v/>
      </c>
      <c r="AG145">
        <f>IF(AND(T145&gt;=7,C145&lt;&gt;""),T145,0)</f>
        <v/>
      </c>
      <c r="AH145">
        <f>IF(AG145&gt;0,AG145*10000-ROW(A145),0)</f>
        <v/>
      </c>
      <c r="AI145" s="623">
        <f t="array" ref="AI145">IF(C145="","",IFERROR((INDEX(終値!$E:$E,MATCH(TEXT(C145,"0"),終値!$A:$A,0))-INDEX(終値!$E:$BL,MATCH(TEXT(C145,"0"),終値!$A:$A,0),$AN$2))/INDEX(終値!$E:$BL,MATCH(TEXT(C145,"0"),終値!$A:$A,0),$AN$2)*100,""))</f>
        <v/>
      </c>
      <c r="AJ145" s="623">
        <f t="array" ref="AJ145">IFERROR((終値!$E$5-INDEX(終値!$E$5:$BL$5,1,$AN$2))/INDEX(終値!$E$5:$BL$5,1,$AN$2)*100,"")</f>
        <v/>
      </c>
      <c r="AK145" s="624">
        <f>IF(OR(AI145="",AJ145=""),"",AI145-AJ145)</f>
        <v/>
      </c>
      <c r="AL145" s="394">
        <f>IF(AK145="","",IF(AK145&lt;-5,3,IF(AK145&lt;0,1,IF(AK145&lt;3,-1,-2))))</f>
        <v/>
      </c>
      <c r="AO145" s="398">
        <f>IF(OR($C145="",$E145="",$F145="",$H145="",$I145="",$H145-$I145&lt;=0),"-",IF(AND($H145-MAX($F145,$E145)&gt;=ABS($E145-$F145)*2,MIN($F145,$E145)-$I145&lt;=ABS($E145-$F145)*0.5,ABS($E145-$F145)&gt;0),"上ヒゲ陰線▼",IF(AND($E145&lt;$F145,ABS($E145-$F145)&gt;=($H145-$I145)*0.7),"大陰線▼",IF(AND(MIN($F145,$E145)-$I145&gt;=($H145-$I145)*0.5,$H145-MAX($F145,$E145)&lt;=($H145-$I145)*0.2),"長い下ヒゲ(反発警戒)","通常"))))</f>
        <v/>
      </c>
      <c r="AP145" s="625">
        <f>IF($AO145="上ヒゲ陰線▼",2,IF($AO145="大陰線▼",2,IF($AO145="長い下ヒゲ(反発警戒)",-2,0)))</f>
        <v/>
      </c>
      <c r="AQ145">
        <f>IF(C145&lt;&gt;"",始値!F98,"")</f>
        <v/>
      </c>
      <c r="AR145">
        <f>IF(C145&lt;&gt;"",高値!F98,"")</f>
        <v/>
      </c>
      <c r="AS145">
        <f>IF(C145&lt;&gt;"",安値!F98,"")</f>
        <v/>
      </c>
      <c r="AT145">
        <f>IF(OR(C145="",AQ145="",AR145="",AS145="",AR145-AS145&lt;=0),"-",IF(AND(AR145-MAX(G145,AQ145)&gt;=ABS(G145-AQ145)*2,MIN(G145,AQ145)-AS145&lt;=ABS(G145-AQ145)*0.5,ABS(G145-AQ145)&gt;0),"上ヒゲ陰線▼",IF(AND(G145&lt;AQ145,ABS(G145-AQ145)&gt;=(AR145-AS145)*0.7),"大陰線▼",IF(AND(MIN(G145,AQ145)-AS145&gt;=(AR145-AS145)*0.5,AR145-MAX(G145,AQ145)&lt;=(AR145-AS145)*0.2),"長い下ヒゲ(反発)","通常"))))</f>
        <v/>
      </c>
      <c r="AU145">
        <f>IF(AT145="上ヒゲ陰線▼",2,IF(AT145="大陰線▼",2,IF(AT145="長い下ヒゲ(反発)",-2,0)))</f>
        <v/>
      </c>
    </row>
    <row r="146" ht="14.25" customHeight="1" s="574">
      <c r="A146" s="352">
        <f>IF(銘柄管理!B111&lt;&gt;"",HYPERLINK("https://kabutan.jp/stock/?code="&amp;銘柄管理!B111,"株探"),"")</f>
        <v/>
      </c>
      <c r="B146" s="225" t="n"/>
      <c r="C146" s="225">
        <f>IF(銘柄管理!B111="","",銘柄管理!B111)</f>
        <v/>
      </c>
      <c r="D146" s="225">
        <f>IF(銘柄管理!C111="","",銘柄管理!C111)</f>
        <v/>
      </c>
      <c r="E146" s="353">
        <f>IF(C146&lt;&gt;"",_xll.RssMarket(C146,"現在値"),"")</f>
        <v/>
      </c>
      <c r="F146" s="353">
        <f>IF(C146&lt;&gt;"",_xll.RssMarket(C146,"始値"),"")</f>
        <v/>
      </c>
      <c r="G146" s="225">
        <f>IF(C146&lt;&gt;"",終値!F111,"")</f>
        <v/>
      </c>
      <c r="H146" s="353">
        <f>IF(C146&lt;&gt;"",_xll.RssMarket(C146,"高値"),"")</f>
        <v/>
      </c>
      <c r="I146" s="353">
        <f>IF(C146&lt;&gt;"",_xll.RssMarket(C146,"安値"),"")</f>
        <v/>
      </c>
      <c r="J146" s="353">
        <f>IF(C146&lt;&gt;"",_xll.RssMarket(C146,"出来高"),"")</f>
        <v/>
      </c>
      <c r="K146" s="353">
        <f>IF(C146&lt;&gt;"",_xll.RssMarket(C146,"年初来高値"),"")</f>
        <v/>
      </c>
      <c r="L146" s="626">
        <f>IF(AND(E146&lt;&gt;"",K146&lt;&gt;"",K146&lt;&gt;0),(E146-K146)/K146*100,"")</f>
        <v/>
      </c>
      <c r="M146" s="353">
        <f>IF(C146&lt;&gt;"",IFERROR(AVERAGE(出来高!E111:I111),""),"")</f>
        <v/>
      </c>
      <c r="N146" s="353">
        <f>IF(C146&lt;&gt;"",IFERROR(AVERAGE(出来高!E111:AC111),""),"")</f>
        <v/>
      </c>
      <c r="O146" s="627">
        <f>IF(AND(J146&lt;&gt;"",M146&lt;&gt;"",M146&lt;&gt;0),J146/M146,"")</f>
        <v/>
      </c>
      <c r="P146" s="225">
        <f>IF(O146="","",IF(O146&gt;=2,"急増↑↑",IF(O146&gt;=1.5,"増加↑",IF(O146&gt;=1,"普通→","減少↓"))))</f>
        <v/>
      </c>
      <c r="Q146" s="225">
        <f>IF(E146="","",IF(AND(E146&lt;G146,O146&gt;=1.5),"売り▼",IF(E146&gt;G146,"様子見▲","中立→")))</f>
        <v/>
      </c>
      <c r="R146" s="353">
        <f>IF(E146&lt;&gt;"",ROUND(E146*0.92,0),"")</f>
        <v/>
      </c>
      <c r="S146" s="353">
        <f>IF(E146&lt;&gt;"",ROUND(E146*1.04,0),"")</f>
        <v/>
      </c>
      <c r="T146" s="345">
        <f>IF(C146="","",IFERROR(IF(W146&gt;=70,3,IF(W146&gt;=60,2,IF(W146&gt;=50,1,0)))+IF(X146&lt;0,2,0)+IF(AD146="下降トレンド▼",3,IF(AD146="もみ合い→",1,0))+IF(V146="年初来安値圏●",3,IF(V146="安値圏",2,0))+IF(Q146="売り▼",2,0)+IF(P146="急増↑↑",2,IF(P146="増加↑",1,0))+IF(Z146&lt;0,1,0)+IF(L146&lt;=-30,2,IF(L146&lt;=-15,1,0))+IF(AE146="25日戻り売り★",2,IF(AE146="5日戻り売り○",1,0))+N(AL146)+N(AP146)+N(AU146),0))</f>
        <v/>
      </c>
      <c r="U146" s="225">
        <f>IF(T146="","",IF(AND(T146&gt;=3,O146&gt;=1.5),"有効",IF(T146&gt;=3,"要確認","除外")))</f>
        <v/>
      </c>
      <c r="V146" s="225">
        <f>IF(AND(I146&lt;&gt;"",K146&lt;&gt;""),IF(I146&lt;=K146*0.6,"年初来安値圏●",IF(I146&lt;=K146*0.75,"安値圏","通常")),"")</f>
        <v/>
      </c>
      <c r="W146" s="628">
        <f t="array" ref="W146">IFERROR(100-100/(1+SUMPRODUCT((終値!F111:R111&gt;終値!G111:S111)*(終値!F111:R111-終値!G111:S111))/SUMPRODUCT((終値!F111:R111&lt;終値!G111:S111)*(終値!G111:S111-終値!F111:R111))),50)</f>
        <v/>
      </c>
      <c r="X146" s="357">
        <f>IF(C146&lt;&gt;"",IFERROR(SUMPRODUCT(終値!E111:P111,{0.154,0.132,0.113,0.097,0.083,0.071,0.061,0.052,0.045,0.038,0.033,0.028})/SUMPRODUCT({0.154,0.132,0.113,0.097,0.083,0.071,0.061,0.052,0.045,0.038,0.033,0.028})-SUMPRODUCT(終値!E111:AD111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6" s="225">
        <f>IF(AF146="","",AF146&amp;" | "&amp;AD146&amp;IF(AE146&lt;&gt;"なし"," "&amp;AE146,"")&amp;IF(X146&lt;0," MACD-"," MACD+")&amp;" RSI:"&amp;TEXT(W146,"0.0")&amp;IF(W146&gt;=70," [過熱]",IF(W146&lt;=30," [売られ過ぎ]",""))&amp;" 前日比:"&amp;TEXT(Z146,"+0.0;-0.0;0.0")&amp;"%"&amp;IF(V146="年初来安値圏●"," [年初来安値圏]",IF(V146="安値圏"," [安値圏]",""))&amp;IF(OR(AO146="通常",AO146="-"),""," ["&amp;AO146&amp;"]")&amp;IF(OR(AT146="通常",AT146="-"),"","前日["&amp;AT146&amp;"]")&amp;" ["&amp;T146&amp;"点]")</f>
        <v/>
      </c>
      <c r="Z146" s="629">
        <f>IF(AND(E146&lt;&gt;"",G146&lt;&gt;"",G146&lt;&gt;0),(E146-G146)/G146*100,"")</f>
        <v/>
      </c>
      <c r="AA146" s="225">
        <f>IF(OR(C146="",E146="",E146=0),"",IF(E146&gt;G146,"上昇▲",IF(E146&lt;G146,"下落▼","横ばい→")))</f>
        <v/>
      </c>
      <c r="AB146" s="353">
        <f>IF(OR(C146="",C146="TOPX",終値!E111=""),"",IFERROR(((終値!E111*0.333)+(終値!F111*0.222)+(終値!G111*0.148)+(終値!H111*0.099)+(終値!I111*0.066))/(0.333+0.222+0.148+0.099+0.066),""))</f>
        <v/>
      </c>
      <c r="AC146" s="353">
        <f>IF(OR(C146="",C146="TOPX",終値!E111=""),"",IFERROR(SUMPRODUCT((終値!E111:AC111)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6" s="225">
        <f>IF(OR(C146="",AB146="",AC146="",AB146=0,AC146=0),"",IF(AND(E146&gt;AB146,AB146&gt;AC146),"パーフェクト▲",IF(E146&gt;AC146,"上昇トレンド▲",IF(AND(E146&lt;AB146,AB146&lt;AC146),"下降トレンド▼","もみ合い→"))))</f>
        <v/>
      </c>
      <c r="AE146" s="225">
        <f>IF(OR(C146="",AB146="",AC146=""),"",IF(AND(ABS(E146-AC146)/AC146&lt;=0.02,E146&lt;AC146),"25日戻り売り★",IF(AND(ABS(E146-AB146)/AB146&lt;=0.01,E146&lt;AB146),"5日戻り売り○","なし")))</f>
        <v/>
      </c>
      <c r="AF146">
        <f>IF(T146="","",IF(銘柄管理!$F$5="上昇▲",IF(AND(AD146="下降トレンド▼",OR(AE146="25日戻り売り★",AE146="5日戻り売り○")),"★逆張り売り",IF(AND(AD146="もみ合い→",OR(AE146="25日戻り売り★",AE146="5日戻り売り○")),"○逆張り売り",IF(W146&gt;=70,IF(Z146&lt;0,"◎反落確認","△過熱・様子見"),"相場上昇・見送り"))),IF(AND(T146&gt;=12,AD146="下降トレンド▼"),"★強い売り",IF(T146&gt;=12,"★強い売り",IF(AND(T146&gt;=8,OR(AE146="25日戻り売り★",AE146="5日戻り売り○")),"◎戻り売り",IF(T146&gt;=10,"○売り候補",IF(T146&gt;=6,"△注目",IF(T146&gt;=3,"様子見","見送り"))))))))</f>
        <v/>
      </c>
      <c r="AG146">
        <f>IF(AND(T146&gt;=7,C146&lt;&gt;""),T146,0)</f>
        <v/>
      </c>
      <c r="AH146">
        <f>IF(AG146&gt;0,AG146*10000-ROW(A146),0)</f>
        <v/>
      </c>
      <c r="AI146" s="623">
        <f t="array" ref="AI146">IF(C146="","",IFERROR((INDEX(終値!$E:$E,MATCH(TEXT(C146,"0"),終値!$A:$A,0))-INDEX(終値!$E:$BL,MATCH(TEXT(C146,"0"),終値!$A:$A,0),$AN$2))/INDEX(終値!$E:$BL,MATCH(TEXT(C146,"0"),終値!$A:$A,0),$AN$2)*100,""))</f>
        <v/>
      </c>
      <c r="AJ146" s="623">
        <f t="array" ref="AJ146">IFERROR((終値!$E$5-INDEX(終値!$E$5:$BL$5,1,$AN$2))/INDEX(終値!$E$5:$BL$5,1,$AN$2)*100,"")</f>
        <v/>
      </c>
      <c r="AK146" s="624">
        <f>IF(OR(AI146="",AJ146=""),"",AI146-AJ146)</f>
        <v/>
      </c>
      <c r="AL146" s="394">
        <f>IF(AK146="","",IF(AK146&lt;-5,3,IF(AK146&lt;0,1,IF(AK146&lt;3,-1,-2))))</f>
        <v/>
      </c>
      <c r="AO146" s="398">
        <f>IF(OR($C146="",$E146="",$F146="",$H146="",$I146="",$H146-$I146&lt;=0),"-",IF(AND($H146-MAX($F146,$E146)&gt;=ABS($E146-$F146)*2,MIN($F146,$E146)-$I146&lt;=ABS($E146-$F146)*0.5,ABS($E146-$F146)&gt;0),"上ヒゲ陰線▼",IF(AND($E146&lt;$F146,ABS($E146-$F146)&gt;=($H146-$I146)*0.7),"大陰線▼",IF(AND(MIN($F146,$E146)-$I146&gt;=($H146-$I146)*0.5,$H146-MAX($F146,$E146)&lt;=($H146-$I146)*0.2),"長い下ヒゲ(反発警戒)","通常"))))</f>
        <v/>
      </c>
      <c r="AP146" s="625">
        <f>IF($AO146="上ヒゲ陰線▼",2,IF($AO146="大陰線▼",2,IF($AO146="長い下ヒゲ(反発警戒)",-2,0)))</f>
        <v/>
      </c>
      <c r="AQ146">
        <f>IF(C146&lt;&gt;"",始値!F111,"")</f>
        <v/>
      </c>
      <c r="AR146">
        <f>IF(C146&lt;&gt;"",高値!F111,"")</f>
        <v/>
      </c>
      <c r="AS146">
        <f>IF(C146&lt;&gt;"",安値!F111,"")</f>
        <v/>
      </c>
      <c r="AT146">
        <f>IF(OR(C146="",AQ146="",AR146="",AS146="",AR146-AS146&lt;=0),"-",IF(AND(AR146-MAX(G146,AQ146)&gt;=ABS(G146-AQ146)*2,MIN(G146,AQ146)-AS146&lt;=ABS(G146-AQ146)*0.5,ABS(G146-AQ146)&gt;0),"上ヒゲ陰線▼",IF(AND(G146&lt;AQ146,ABS(G146-AQ146)&gt;=(AR146-AS146)*0.7),"大陰線▼",IF(AND(MIN(G146,AQ146)-AS146&gt;=(AR146-AS146)*0.5,AR146-MAX(G146,AQ146)&lt;=(AR146-AS146)*0.2),"長い下ヒゲ(反発)","通常"))))</f>
        <v/>
      </c>
      <c r="AU146">
        <f>IF(AT146="上ヒゲ陰線▼",2,IF(AT146="大陰線▼",2,IF(AT146="長い下ヒゲ(反発)",-2,0)))</f>
        <v/>
      </c>
    </row>
    <row r="147" ht="14.25" customHeight="1" s="574">
      <c r="A147" s="344">
        <f>IF(銘柄管理!B117&lt;&gt;"",HYPERLINK("https://kabutan.jp/stock/?code="&amp;銘柄管理!B117,"株探"),"")</f>
        <v/>
      </c>
      <c r="B147" s="345" t="n"/>
      <c r="C147" s="345">
        <f>IF(銘柄管理!B117="","",銘柄管理!B117)</f>
        <v/>
      </c>
      <c r="D147" s="345">
        <f>IF(銘柄管理!C117="","",銘柄管理!C117)</f>
        <v/>
      </c>
      <c r="E147" s="346">
        <f>IF(C147&lt;&gt;"",_xll.RssMarket(C147,"現在値"),"")</f>
        <v/>
      </c>
      <c r="F147" s="346">
        <f>IF(C147&lt;&gt;"",_xll.RssMarket(C147,"始値"),"")</f>
        <v/>
      </c>
      <c r="G147" s="345">
        <f>IF(C147&lt;&gt;"",終値!F117,"")</f>
        <v/>
      </c>
      <c r="H147" s="346">
        <f>IF(C147&lt;&gt;"",_xll.RssMarket(C147,"高値"),"")</f>
        <v/>
      </c>
      <c r="I147" s="346">
        <f>IF(C147&lt;&gt;"",_xll.RssMarket(C147,"安値"),"")</f>
        <v/>
      </c>
      <c r="J147" s="346">
        <f>IF(C147&lt;&gt;"",_xll.RssMarket(C147,"出来高"),"")</f>
        <v/>
      </c>
      <c r="K147" s="346">
        <f>IF(C147&lt;&gt;"",_xll.RssMarket(C147,"年初来高値"),"")</f>
        <v/>
      </c>
      <c r="L147" s="619">
        <f>IF(AND(E147&lt;&gt;"",K147&lt;&gt;"",K147&lt;&gt;0),(E147-K147)/K147*100,"")</f>
        <v/>
      </c>
      <c r="M147" s="346">
        <f>IF(C147&lt;&gt;"",IFERROR(AVERAGE(出来高!E117:I117),""),"")</f>
        <v/>
      </c>
      <c r="N147" s="346">
        <f>IF(C147&lt;&gt;"",IFERROR(AVERAGE(出来高!E117:AC117),""),"")</f>
        <v/>
      </c>
      <c r="O147" s="620">
        <f>IF(AND(J147&lt;&gt;"",M147&lt;&gt;"",M147&lt;&gt;0),J147/M147,"")</f>
        <v/>
      </c>
      <c r="P147" s="345">
        <f>IF(O147="","",IF(O147&gt;=2,"急増↑↑",IF(O147&gt;=1.5,"増加↑",IF(O147&gt;=1,"普通→","減少↓"))))</f>
        <v/>
      </c>
      <c r="Q147" s="345">
        <f>IF(E147="","",IF(AND(E147&lt;G147,O147&gt;=1.5),"売り▼",IF(E147&gt;G147,"様子見▲","中立→")))</f>
        <v/>
      </c>
      <c r="R147" s="346">
        <f>IF(E147&lt;&gt;"",ROUND(E147*0.92,0),"")</f>
        <v/>
      </c>
      <c r="S147" s="346">
        <f>IF(E147&lt;&gt;"",ROUND(E147*1.04,0),"")</f>
        <v/>
      </c>
      <c r="T147" s="345">
        <f>IF(C147="","",IFERROR(IF(W147&gt;=70,3,IF(W147&gt;=60,2,IF(W147&gt;=50,1,0)))+IF(X147&lt;0,2,0)+IF(AD147="下降トレンド▼",3,IF(AD147="もみ合い→",1,0))+IF(V147="年初来安値圏●",3,IF(V147="安値圏",2,0))+IF(Q147="売り▼",2,0)+IF(P147="急増↑↑",2,IF(P147="増加↑",1,0))+IF(Z147&lt;0,1,0)+IF(L147&lt;=-30,2,IF(L147&lt;=-15,1,0))+IF(AE147="25日戻り売り★",2,IF(AE147="5日戻り売り○",1,0))+N(AL147)+N(AP147)+N(AU147),0))</f>
        <v/>
      </c>
      <c r="U147" s="345">
        <f>IF(T147="","",IF(AND(T147&gt;=3,O147&gt;=1.5),"有効",IF(T147&gt;=3,"要確認","除外")))</f>
        <v/>
      </c>
      <c r="V147" s="345">
        <f>IF(AND(I147&lt;&gt;"",K147&lt;&gt;""),IF(I147&lt;=K147*0.6,"年初来安値圏●",IF(I147&lt;=K147*0.75,"安値圏","通常")),"")</f>
        <v/>
      </c>
      <c r="W147" s="621">
        <f t="array" ref="W147">IFERROR(100-100/(1+SUMPRODUCT((終値!F117:R117&gt;終値!G117:S117)*(終値!F117:R117-終値!G117:S117))/SUMPRODUCT((終値!F117:R117&lt;終値!G117:S117)*(終値!G117:S117-終値!F117:R117))),50)</f>
        <v/>
      </c>
      <c r="X147" s="350">
        <f>IF(C147&lt;&gt;"",IFERROR(SUMPRODUCT(終値!E117:P117,{0.154,0.132,0.113,0.097,0.083,0.071,0.061,0.052,0.045,0.038,0.033,0.028})/SUMPRODUCT({0.154,0.132,0.113,0.097,0.083,0.071,0.061,0.052,0.045,0.038,0.033,0.028})-SUMPRODUCT(終値!E117:AD117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7" s="345">
        <f>IF(AF147="","",AF147&amp;" | "&amp;AD147&amp;IF(AE147&lt;&gt;"なし"," "&amp;AE147,"")&amp;IF(X147&lt;0," MACD-"," MACD+")&amp;" RSI:"&amp;TEXT(W147,"0.0")&amp;IF(W147&gt;=70," [過熱]",IF(W147&lt;=30," [売られ過ぎ]",""))&amp;" 前日比:"&amp;TEXT(Z147,"+0.0;-0.0;0.0")&amp;"%"&amp;IF(V147="年初来安値圏●"," [年初来安値圏]",IF(V147="安値圏"," [安値圏]",""))&amp;IF(OR(AO147="通常",AO147="-"),""," ["&amp;AO147&amp;"]")&amp;IF(OR(AT147="通常",AT147="-"),"","前日["&amp;AT147&amp;"]")&amp;" ["&amp;T147&amp;"点]")</f>
        <v/>
      </c>
      <c r="Z147" s="622">
        <f>IF(AND(E147&lt;&gt;"",G147&lt;&gt;"",G147&lt;&gt;0),(E147-G147)/G147*100,"")</f>
        <v/>
      </c>
      <c r="AA147" s="345">
        <f>IF(OR(C147="",E147="",E147=0),"",IF(E147&gt;G147,"上昇▲",IF(E147&lt;G147,"下落▼","横ばい→")))</f>
        <v/>
      </c>
      <c r="AB147" s="346">
        <f>IF(OR(C147="",C147="TOPX",終値!E117=""),"",IFERROR(((終値!E117*0.333)+(終値!F117*0.222)+(終値!G117*0.148)+(終値!H117*0.099)+(終値!I117*0.066))/(0.333+0.222+0.148+0.099+0.066),""))</f>
        <v/>
      </c>
      <c r="AC147" s="346">
        <f>IF(OR(C147="",C147="TOPX",終値!E117=""),"",IFERROR(SUMPRODUCT((終値!E117:AC117)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7" s="345">
        <f>IF(OR(C147="",AB147="",AC147="",AB147=0,AC147=0),"",IF(AND(E147&gt;AB147,AB147&gt;AC147),"パーフェクト▲",IF(E147&gt;AC147,"上昇トレンド▲",IF(AND(E147&lt;AB147,AB147&lt;AC147),"下降トレンド▼","もみ合い→"))))</f>
        <v/>
      </c>
      <c r="AE147" s="345">
        <f>IF(OR(C147="",AB147="",AC147=""),"",IF(AND(ABS(E147-AC147)/AC147&lt;=0.02,E147&lt;AC147),"25日戻り売り★",IF(AND(ABS(E147-AB147)/AB147&lt;=0.01,E147&lt;AB147),"5日戻り売り○","なし")))</f>
        <v/>
      </c>
      <c r="AF147">
        <f>IF(T147="","",IF(銘柄管理!$F$5="上昇▲",IF(AND(AD147="下降トレンド▼",OR(AE147="25日戻り売り★",AE147="5日戻り売り○")),"★逆張り売り",IF(AND(AD147="もみ合い→",OR(AE147="25日戻り売り★",AE147="5日戻り売り○")),"○逆張り売り",IF(W147&gt;=70,IF(Z147&lt;0,"◎反落確認","△過熱・様子見"),"相場上昇・見送り"))),IF(AND(T147&gt;=12,AD147="下降トレンド▼"),"★強い売り",IF(T147&gt;=12,"★強い売り",IF(AND(T147&gt;=8,OR(AE147="25日戻り売り★",AE147="5日戻り売り○")),"◎戻り売り",IF(T147&gt;=10,"○売り候補",IF(T147&gt;=6,"△注目",IF(T147&gt;=3,"様子見","見送り"))))))))</f>
        <v/>
      </c>
      <c r="AG147">
        <f>IF(AND(T147&gt;=7,C147&lt;&gt;""),T147,0)</f>
        <v/>
      </c>
      <c r="AH147">
        <f>IF(AG147&gt;0,AG147*10000-ROW(A147),0)</f>
        <v/>
      </c>
      <c r="AI147" s="623">
        <f t="array" ref="AI147">IF(C147="","",IFERROR((INDEX(終値!$E:$E,MATCH(TEXT(C147,"0"),終値!$A:$A,0))-INDEX(終値!$E:$BL,MATCH(TEXT(C147,"0"),終値!$A:$A,0),$AN$2))/INDEX(終値!$E:$BL,MATCH(TEXT(C147,"0"),終値!$A:$A,0),$AN$2)*100,""))</f>
        <v/>
      </c>
      <c r="AJ147" s="623">
        <f t="array" ref="AJ147">IFERROR((終値!$E$5-INDEX(終値!$E$5:$BL$5,1,$AN$2))/INDEX(終値!$E$5:$BL$5,1,$AN$2)*100,"")</f>
        <v/>
      </c>
      <c r="AK147" s="624">
        <f>IF(OR(AI147="",AJ147=""),"",AI147-AJ147)</f>
        <v/>
      </c>
      <c r="AL147" s="394">
        <f>IF(AK147="","",IF(AK147&lt;-5,3,IF(AK147&lt;0,1,IF(AK147&lt;3,-1,-2))))</f>
        <v/>
      </c>
      <c r="AO147" s="398">
        <f>IF(OR($C147="",$E147="",$F147="",$H147="",$I147="",$H147-$I147&lt;=0),"-",IF(AND($H147-MAX($F147,$E147)&gt;=ABS($E147-$F147)*2,MIN($F147,$E147)-$I147&lt;=ABS($E147-$F147)*0.5,ABS($E147-$F147)&gt;0),"上ヒゲ陰線▼",IF(AND($E147&lt;$F147,ABS($E147-$F147)&gt;=($H147-$I147)*0.7),"大陰線▼",IF(AND(MIN($F147,$E147)-$I147&gt;=($H147-$I147)*0.5,$H147-MAX($F147,$E147)&lt;=($H147-$I147)*0.2),"長い下ヒゲ(反発警戒)","通常"))))</f>
        <v/>
      </c>
      <c r="AP147" s="625">
        <f>IF($AO147="上ヒゲ陰線▼",2,IF($AO147="大陰線▼",2,IF($AO147="長い下ヒゲ(反発警戒)",-2,0)))</f>
        <v/>
      </c>
      <c r="AQ147">
        <f>IF(C147&lt;&gt;"",始値!F117,"")</f>
        <v/>
      </c>
      <c r="AR147">
        <f>IF(C147&lt;&gt;"",高値!F117,"")</f>
        <v/>
      </c>
      <c r="AS147">
        <f>IF(C147&lt;&gt;"",安値!F117,"")</f>
        <v/>
      </c>
      <c r="AT147">
        <f>IF(OR(C147="",AQ147="",AR147="",AS147="",AR147-AS147&lt;=0),"-",IF(AND(AR147-MAX(G147,AQ147)&gt;=ABS(G147-AQ147)*2,MIN(G147,AQ147)-AS147&lt;=ABS(G147-AQ147)*0.5,ABS(G147-AQ147)&gt;0),"上ヒゲ陰線▼",IF(AND(G147&lt;AQ147,ABS(G147-AQ147)&gt;=(AR147-AS147)*0.7),"大陰線▼",IF(AND(MIN(G147,AQ147)-AS147&gt;=(AR147-AS147)*0.5,AR147-MAX(G147,AQ147)&lt;=(AR147-AS147)*0.2),"長い下ヒゲ(反発)","通常"))))</f>
        <v/>
      </c>
      <c r="AU147">
        <f>IF(AT147="上ヒゲ陰線▼",2,IF(AT147="大陰線▼",2,IF(AT147="長い下ヒゲ(反発)",-2,0)))</f>
        <v/>
      </c>
    </row>
    <row r="148" ht="14.25" customHeight="1" s="574">
      <c r="A148" s="352">
        <f>IF(銘柄管理!B121&lt;&gt;"",HYPERLINK("https://kabutan.jp/stock/?code="&amp;銘柄管理!B121,"株探"),"")</f>
        <v/>
      </c>
      <c r="B148" s="225" t="n"/>
      <c r="C148" s="225">
        <f>IF(銘柄管理!B121="","",銘柄管理!B121)</f>
        <v/>
      </c>
      <c r="D148" s="225">
        <f>IF(銘柄管理!C121="","",銘柄管理!C121)</f>
        <v/>
      </c>
      <c r="E148" s="353">
        <f>IF(C148&lt;&gt;"",_xll.RssMarket(C148,"現在値"),"")</f>
        <v/>
      </c>
      <c r="F148" s="353">
        <f>IF(C148&lt;&gt;"",_xll.RssMarket(C148,"始値"),"")</f>
        <v/>
      </c>
      <c r="G148" s="225">
        <f>IF(C148&lt;&gt;"",終値!F121,"")</f>
        <v/>
      </c>
      <c r="H148" s="353">
        <f>IF(C148&lt;&gt;"",_xll.RssMarket(C148,"高値"),"")</f>
        <v/>
      </c>
      <c r="I148" s="353">
        <f>IF(C148&lt;&gt;"",_xll.RssMarket(C148,"安値"),"")</f>
        <v/>
      </c>
      <c r="J148" s="353">
        <f>IF(C148&lt;&gt;"",_xll.RssMarket(C148,"出来高"),"")</f>
        <v/>
      </c>
      <c r="K148" s="353">
        <f>IF(C148&lt;&gt;"",_xll.RssMarket(C148,"年初来高値"),"")</f>
        <v/>
      </c>
      <c r="L148" s="626">
        <f>IF(AND(E148&lt;&gt;"",K148&lt;&gt;"",K148&lt;&gt;0),(E148-K148)/K148*100,"")</f>
        <v/>
      </c>
      <c r="M148" s="353">
        <f>IF(C148&lt;&gt;"",IFERROR(AVERAGE(出来高!E121:I121),""),"")</f>
        <v/>
      </c>
      <c r="N148" s="353">
        <f>IF(C148&lt;&gt;"",IFERROR(AVERAGE(出来高!E121:AC121),""),"")</f>
        <v/>
      </c>
      <c r="O148" s="627">
        <f>IF(AND(J148&lt;&gt;"",M148&lt;&gt;"",M148&lt;&gt;0),J148/M148,"")</f>
        <v/>
      </c>
      <c r="P148" s="225">
        <f>IF(O148="","",IF(O148&gt;=2,"急増↑↑",IF(O148&gt;=1.5,"増加↑",IF(O148&gt;=1,"普通→","減少↓"))))</f>
        <v/>
      </c>
      <c r="Q148" s="225">
        <f>IF(E148="","",IF(AND(E148&lt;G148,O148&gt;=1.5),"売り▼",IF(E148&gt;G148,"様子見▲","中立→")))</f>
        <v/>
      </c>
      <c r="R148" s="353">
        <f>IF(E148&lt;&gt;"",ROUND(E148*0.92,0),"")</f>
        <v/>
      </c>
      <c r="S148" s="353">
        <f>IF(E148&lt;&gt;"",ROUND(E148*1.04,0),"")</f>
        <v/>
      </c>
      <c r="T148" s="345">
        <f>IF(C148="","",IFERROR(IF(W148&gt;=70,3,IF(W148&gt;=60,2,IF(W148&gt;=50,1,0)))+IF(X148&lt;0,2,0)+IF(AD148="下降トレンド▼",3,IF(AD148="もみ合い→",1,0))+IF(V148="年初来安値圏●",3,IF(V148="安値圏",2,0))+IF(Q148="売り▼",2,0)+IF(P148="急増↑↑",2,IF(P148="増加↑",1,0))+IF(Z148&lt;0,1,0)+IF(L148&lt;=-30,2,IF(L148&lt;=-15,1,0))+IF(AE148="25日戻り売り★",2,IF(AE148="5日戻り売り○",1,0))+N(AL148)+N(AP148)+N(AU148),0))</f>
        <v/>
      </c>
      <c r="U148" s="225">
        <f>IF(T148="","",IF(AND(T148&gt;=3,O148&gt;=1.5),"有効",IF(T148&gt;=3,"要確認","除外")))</f>
        <v/>
      </c>
      <c r="V148" s="225">
        <f>IF(AND(I148&lt;&gt;"",K148&lt;&gt;""),IF(I148&lt;=K148*0.6,"年初来安値圏●",IF(I148&lt;=K148*0.75,"安値圏","通常")),"")</f>
        <v/>
      </c>
      <c r="W148" s="628">
        <f t="array" ref="W148">IFERROR(100-100/(1+SUMPRODUCT((終値!F121:R121&gt;終値!G121:S121)*(終値!F121:R121-終値!G121:S121))/SUMPRODUCT((終値!F121:R121&lt;終値!G121:S121)*(終値!G121:S121-終値!F121:R121))),50)</f>
        <v/>
      </c>
      <c r="X148" s="357">
        <f>IF(C148&lt;&gt;"",IFERROR(SUMPRODUCT(終値!E121:P121,{0.154,0.132,0.113,0.097,0.083,0.071,0.061,0.052,0.045,0.038,0.033,0.028})/SUMPRODUCT({0.154,0.132,0.113,0.097,0.083,0.071,0.061,0.052,0.045,0.038,0.033,0.028})-SUMPRODUCT(終値!E121:AD121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8" s="225">
        <f>IF(AF148="","",AF148&amp;" | "&amp;AD148&amp;IF(AE148&lt;&gt;"なし"," "&amp;AE148,"")&amp;IF(X148&lt;0," MACD-"," MACD+")&amp;" RSI:"&amp;TEXT(W148,"0.0")&amp;IF(W148&gt;=70," [過熱]",IF(W148&lt;=30," [売られ過ぎ]",""))&amp;" 前日比:"&amp;TEXT(Z148,"+0.0;-0.0;0.0")&amp;"%"&amp;IF(V148="年初来安値圏●"," [年初来安値圏]",IF(V148="安値圏"," [安値圏]",""))&amp;IF(OR(AO148="通常",AO148="-"),""," ["&amp;AO148&amp;"]")&amp;IF(OR(AT148="通常",AT148="-"),"","前日["&amp;AT148&amp;"]")&amp;" ["&amp;T148&amp;"点]")</f>
        <v/>
      </c>
      <c r="Z148" s="629">
        <f>IF(AND(E148&lt;&gt;"",G148&lt;&gt;"",G148&lt;&gt;0),(E148-G148)/G148*100,"")</f>
        <v/>
      </c>
      <c r="AA148" s="225">
        <f>IF(OR(C148="",E148="",E148=0),"",IF(E148&gt;G148,"上昇▲",IF(E148&lt;G148,"下落▼","横ばい→")))</f>
        <v/>
      </c>
      <c r="AB148" s="353">
        <f>IF(OR(C148="",C148="TOPX",終値!E121=""),"",IFERROR(((終値!E121*0.333)+(終値!F121*0.222)+(終値!G121*0.148)+(終値!H121*0.099)+(終値!I121*0.066))/(0.333+0.222+0.148+0.099+0.066),""))</f>
        <v/>
      </c>
      <c r="AC148" s="353">
        <f>IF(OR(C148="",C148="TOPX",終値!E121=""),"",IFERROR(SUMPRODUCT((終値!E121:AC121)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8" s="225">
        <f>IF(OR(C148="",AB148="",AC148="",AB148=0,AC148=0),"",IF(AND(E148&gt;AB148,AB148&gt;AC148),"パーフェクト▲",IF(E148&gt;AC148,"上昇トレンド▲",IF(AND(E148&lt;AB148,AB148&lt;AC148),"下降トレンド▼","もみ合い→"))))</f>
        <v/>
      </c>
      <c r="AE148" s="225">
        <f>IF(OR(C148="",AB148="",AC148=""),"",IF(AND(ABS(E148-AC148)/AC148&lt;=0.02,E148&lt;AC148),"25日戻り売り★",IF(AND(ABS(E148-AB148)/AB148&lt;=0.01,E148&lt;AB148),"5日戻り売り○","なし")))</f>
        <v/>
      </c>
      <c r="AF148">
        <f>IF(T148="","",IF(銘柄管理!$F$5="上昇▲",IF(AND(AD148="下降トレンド▼",OR(AE148="25日戻り売り★",AE148="5日戻り売り○")),"★逆張り売り",IF(AND(AD148="もみ合い→",OR(AE148="25日戻り売り★",AE148="5日戻り売り○")),"○逆張り売り",IF(W148&gt;=70,IF(Z148&lt;0,"◎反落確認","△過熱・様子見"),"相場上昇・見送り"))),IF(AND(T148&gt;=12,AD148="下降トレンド▼"),"★強い売り",IF(T148&gt;=12,"★強い売り",IF(AND(T148&gt;=8,OR(AE148="25日戻り売り★",AE148="5日戻り売り○")),"◎戻り売り",IF(T148&gt;=10,"○売り候補",IF(T148&gt;=6,"△注目",IF(T148&gt;=3,"様子見","見送り"))))))))</f>
        <v/>
      </c>
      <c r="AG148">
        <f>IF(AND(T148&gt;=7,C148&lt;&gt;""),T148,0)</f>
        <v/>
      </c>
      <c r="AH148">
        <f>IF(AG148&gt;0,AG148*10000-ROW(A148),0)</f>
        <v/>
      </c>
      <c r="AI148" s="623">
        <f t="array" ref="AI148">IF(C148="","",IFERROR((INDEX(終値!$E:$E,MATCH(TEXT(C148,"0"),終値!$A:$A,0))-INDEX(終値!$E:$BL,MATCH(TEXT(C148,"0"),終値!$A:$A,0),$AN$2))/INDEX(終値!$E:$BL,MATCH(TEXT(C148,"0"),終値!$A:$A,0),$AN$2)*100,""))</f>
        <v/>
      </c>
      <c r="AJ148" s="623">
        <f t="array" ref="AJ148">IFERROR((終値!$E$5-INDEX(終値!$E$5:$BL$5,1,$AN$2))/INDEX(終値!$E$5:$BL$5,1,$AN$2)*100,"")</f>
        <v/>
      </c>
      <c r="AK148" s="624">
        <f>IF(OR(AI148="",AJ148=""),"",AI148-AJ148)</f>
        <v/>
      </c>
      <c r="AL148" s="394">
        <f>IF(AK148="","",IF(AK148&lt;-5,3,IF(AK148&lt;0,1,IF(AK148&lt;3,-1,-2))))</f>
        <v/>
      </c>
      <c r="AO148" s="398">
        <f>IF(OR($C148="",$E148="",$F148="",$H148="",$I148="",$H148-$I148&lt;=0),"-",IF(AND($H148-MAX($F148,$E148)&gt;=ABS($E148-$F148)*2,MIN($F148,$E148)-$I148&lt;=ABS($E148-$F148)*0.5,ABS($E148-$F148)&gt;0),"上ヒゲ陰線▼",IF(AND($E148&lt;$F148,ABS($E148-$F148)&gt;=($H148-$I148)*0.7),"大陰線▼",IF(AND(MIN($F148,$E148)-$I148&gt;=($H148-$I148)*0.5,$H148-MAX($F148,$E148)&lt;=($H148-$I148)*0.2),"長い下ヒゲ(反発警戒)","通常"))))</f>
        <v/>
      </c>
      <c r="AP148" s="625">
        <f>IF($AO148="上ヒゲ陰線▼",2,IF($AO148="大陰線▼",2,IF($AO148="長い下ヒゲ(反発警戒)",-2,0)))</f>
        <v/>
      </c>
      <c r="AQ148">
        <f>IF(C148&lt;&gt;"",始値!F121,"")</f>
        <v/>
      </c>
      <c r="AR148">
        <f>IF(C148&lt;&gt;"",高値!F121,"")</f>
        <v/>
      </c>
      <c r="AS148">
        <f>IF(C148&lt;&gt;"",安値!F121,"")</f>
        <v/>
      </c>
      <c r="AT148">
        <f>IF(OR(C148="",AQ148="",AR148="",AS148="",AR148-AS148&lt;=0),"-",IF(AND(AR148-MAX(G148,AQ148)&gt;=ABS(G148-AQ148)*2,MIN(G148,AQ148)-AS148&lt;=ABS(G148-AQ148)*0.5,ABS(G148-AQ148)&gt;0),"上ヒゲ陰線▼",IF(AND(G148&lt;AQ148,ABS(G148-AQ148)&gt;=(AR148-AS148)*0.7),"大陰線▼",IF(AND(MIN(G148,AQ148)-AS148&gt;=(AR148-AS148)*0.5,AR148-MAX(G148,AQ148)&lt;=(AR148-AS148)*0.2),"長い下ヒゲ(反発)","通常"))))</f>
        <v/>
      </c>
      <c r="AU148">
        <f>IF(AT148="上ヒゲ陰線▼",2,IF(AT148="大陰線▼",2,IF(AT148="長い下ヒゲ(反発)",-2,0)))</f>
        <v/>
      </c>
    </row>
    <row r="149" ht="14.25" customHeight="1" s="574">
      <c r="A149" s="344">
        <f>IF(銘柄管理!B125&lt;&gt;"",HYPERLINK("https://kabutan.jp/stock/?code="&amp;銘柄管理!B125,"株探"),"")</f>
        <v/>
      </c>
      <c r="B149" s="345" t="n"/>
      <c r="C149" s="345">
        <f>IF(銘柄管理!B125="","",銘柄管理!B125)</f>
        <v/>
      </c>
      <c r="D149" s="345">
        <f>IF(銘柄管理!C125="","",銘柄管理!C125)</f>
        <v/>
      </c>
      <c r="E149" s="346">
        <f>IF(C149&lt;&gt;"",_xll.RssMarket(C149,"現在値"),"")</f>
        <v/>
      </c>
      <c r="F149" s="346">
        <f>IF(C149&lt;&gt;"",_xll.RssMarket(C149,"始値"),"")</f>
        <v/>
      </c>
      <c r="G149" s="345">
        <f>IF(C149&lt;&gt;"",終値!F125,"")</f>
        <v/>
      </c>
      <c r="H149" s="346">
        <f>IF(C149&lt;&gt;"",_xll.RssMarket(C149,"高値"),"")</f>
        <v/>
      </c>
      <c r="I149" s="346">
        <f>IF(C149&lt;&gt;"",_xll.RssMarket(C149,"安値"),"")</f>
        <v/>
      </c>
      <c r="J149" s="346">
        <f>IF(C149&lt;&gt;"",_xll.RssMarket(C149,"出来高"),"")</f>
        <v/>
      </c>
      <c r="K149" s="346">
        <f>IF(C149&lt;&gt;"",_xll.RssMarket(C149,"年初来高値"),"")</f>
        <v/>
      </c>
      <c r="L149" s="619">
        <f>IF(AND(E149&lt;&gt;"",K149&lt;&gt;"",K149&lt;&gt;0),(E149-K149)/K149*100,"")</f>
        <v/>
      </c>
      <c r="M149" s="346">
        <f>IF(C149&lt;&gt;"",IFERROR(AVERAGE(出来高!E125:I125),""),"")</f>
        <v/>
      </c>
      <c r="N149" s="346">
        <f>IF(C149&lt;&gt;"",IFERROR(AVERAGE(出来高!E125:AC125),""),"")</f>
        <v/>
      </c>
      <c r="O149" s="620">
        <f>IF(AND(J149&lt;&gt;"",M149&lt;&gt;"",M149&lt;&gt;0),J149/M149,"")</f>
        <v/>
      </c>
      <c r="P149" s="345">
        <f>IF(O149="","",IF(O149&gt;=2,"急増↑↑",IF(O149&gt;=1.5,"増加↑",IF(O149&gt;=1,"普通→","減少↓"))))</f>
        <v/>
      </c>
      <c r="Q149" s="345">
        <f>IF(E149="","",IF(AND(E149&lt;G149,O149&gt;=1.5),"売り▼",IF(E149&gt;G149,"様子見▲","中立→")))</f>
        <v/>
      </c>
      <c r="R149" s="346">
        <f>IF(E149&lt;&gt;"",ROUND(E149*0.92,0),"")</f>
        <v/>
      </c>
      <c r="S149" s="346">
        <f>IF(E149&lt;&gt;"",ROUND(E149*1.04,0),"")</f>
        <v/>
      </c>
      <c r="T149" s="345">
        <f>IF(C149="","",IFERROR(IF(W149&gt;=70,3,IF(W149&gt;=60,2,IF(W149&gt;=50,1,0)))+IF(X149&lt;0,2,0)+IF(AD149="下降トレンド▼",3,IF(AD149="もみ合い→",1,0))+IF(V149="年初来安値圏●",3,IF(V149="安値圏",2,0))+IF(Q149="売り▼",2,0)+IF(P149="急増↑↑",2,IF(P149="増加↑",1,0))+IF(Z149&lt;0,1,0)+IF(L149&lt;=-30,2,IF(L149&lt;=-15,1,0))+IF(AE149="25日戻り売り★",2,IF(AE149="5日戻り売り○",1,0))+N(AL149)+N(AP149)+N(AU149),0))</f>
        <v/>
      </c>
      <c r="U149" s="345">
        <f>IF(T149="","",IF(AND(T149&gt;=3,O149&gt;=1.5),"有効",IF(T149&gt;=3,"要確認","除外")))</f>
        <v/>
      </c>
      <c r="V149" s="345">
        <f>IF(AND(I149&lt;&gt;"",K149&lt;&gt;""),IF(I149&lt;=K149*0.6,"年初来安値圏●",IF(I149&lt;=K149*0.75,"安値圏","通常")),"")</f>
        <v/>
      </c>
      <c r="W149" s="621">
        <f t="array" ref="W149">IFERROR(100-100/(1+SUMPRODUCT((終値!F125:R125&gt;終値!G125:S125)*(終値!F125:R125-終値!G125:S125))/SUMPRODUCT((終値!F125:R125&lt;終値!G125:S125)*(終値!G125:S125-終値!F125:R125))),50)</f>
        <v/>
      </c>
      <c r="X149" s="350">
        <f>IF(C149&lt;&gt;"",IFERROR(SUMPRODUCT(終値!E125:P125,{0.154,0.132,0.113,0.097,0.083,0.071,0.061,0.052,0.045,0.038,0.033,0.028})/SUMPRODUCT({0.154,0.132,0.113,0.097,0.083,0.071,0.061,0.052,0.045,0.038,0.033,0.028})-SUMPRODUCT(終値!E125:AD125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9" s="345">
        <f>IF(AF149="","",AF149&amp;" | "&amp;AD149&amp;IF(AE149&lt;&gt;"なし"," "&amp;AE149,"")&amp;IF(X149&lt;0," MACD-"," MACD+")&amp;" RSI:"&amp;TEXT(W149,"0.0")&amp;IF(W149&gt;=70," [過熱]",IF(W149&lt;=30," [売られ過ぎ]",""))&amp;" 前日比:"&amp;TEXT(Z149,"+0.0;-0.0;0.0")&amp;"%"&amp;IF(V149="年初来安値圏●"," [年初来安値圏]",IF(V149="安値圏"," [安値圏]",""))&amp;IF(OR(AO149="通常",AO149="-"),""," ["&amp;AO149&amp;"]")&amp;IF(OR(AT149="通常",AT149="-"),"","前日["&amp;AT149&amp;"]")&amp;" ["&amp;T149&amp;"点]")</f>
        <v/>
      </c>
      <c r="Z149" s="622">
        <f>IF(AND(E149&lt;&gt;"",G149&lt;&gt;"",G149&lt;&gt;0),(E149-G149)/G149*100,"")</f>
        <v/>
      </c>
      <c r="AA149" s="345">
        <f>IF(OR(C149="",E149="",E149=0),"",IF(E149&gt;G149,"上昇▲",IF(E149&lt;G149,"下落▼","横ばい→")))</f>
        <v/>
      </c>
      <c r="AB149" s="346">
        <f>IF(OR(C149="",C149="TOPX",終値!E125=""),"",IFERROR(((終値!E125*0.333)+(終値!F125*0.222)+(終値!G125*0.148)+(終値!H125*0.099)+(終値!I125*0.066))/(0.333+0.222+0.148+0.099+0.066),""))</f>
        <v/>
      </c>
      <c r="AC149" s="346">
        <f>IF(OR(C149="",C149="TOPX",終値!E125=""),"",IFERROR(SUMPRODUCT((終値!E125:AC125)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9" s="345">
        <f>IF(OR(C149="",AB149="",AC149="",AB149=0,AC149=0),"",IF(AND(E149&gt;AB149,AB149&gt;AC149),"パーフェクト▲",IF(E149&gt;AC149,"上昇トレンド▲",IF(AND(E149&lt;AB149,AB149&lt;AC149),"下降トレンド▼","もみ合い→"))))</f>
        <v/>
      </c>
      <c r="AE149" s="345">
        <f>IF(OR(C149="",AB149="",AC149=""),"",IF(AND(ABS(E149-AC149)/AC149&lt;=0.02,E149&lt;AC149),"25日戻り売り★",IF(AND(ABS(E149-AB149)/AB149&lt;=0.01,E149&lt;AB149),"5日戻り売り○","なし")))</f>
        <v/>
      </c>
      <c r="AF149">
        <f>IF(T149="","",IF(銘柄管理!$F$5="上昇▲",IF(AND(AD149="下降トレンド▼",OR(AE149="25日戻り売り★",AE149="5日戻り売り○")),"★逆張り売り",IF(AND(AD149="もみ合い→",OR(AE149="25日戻り売り★",AE149="5日戻り売り○")),"○逆張り売り",IF(W149&gt;=70,IF(Z149&lt;0,"◎反落確認","△過熱・様子見"),"相場上昇・見送り"))),IF(AND(T149&gt;=12,AD149="下降トレンド▼"),"★強い売り",IF(T149&gt;=12,"★強い売り",IF(AND(T149&gt;=8,OR(AE149="25日戻り売り★",AE149="5日戻り売り○")),"◎戻り売り",IF(T149&gt;=10,"○売り候補",IF(T149&gt;=6,"△注目",IF(T149&gt;=3,"様子見","見送り"))))))))</f>
        <v/>
      </c>
      <c r="AG149">
        <f>IF(AND(T149&gt;=7,C149&lt;&gt;""),T149,0)</f>
        <v/>
      </c>
      <c r="AH149">
        <f>IF(AG149&gt;0,AG149*10000-ROW(A149),0)</f>
        <v/>
      </c>
      <c r="AI149" s="623">
        <f t="array" ref="AI149">IF(C149="","",IFERROR((INDEX(終値!$E:$E,MATCH(TEXT(C149,"0"),終値!$A:$A,0))-INDEX(終値!$E:$BL,MATCH(TEXT(C149,"0"),終値!$A:$A,0),$AN$2))/INDEX(終値!$E:$BL,MATCH(TEXT(C149,"0"),終値!$A:$A,0),$AN$2)*100,""))</f>
        <v/>
      </c>
      <c r="AJ149" s="623">
        <f t="array" ref="AJ149">IFERROR((終値!$E$5-INDEX(終値!$E$5:$BL$5,1,$AN$2))/INDEX(終値!$E$5:$BL$5,1,$AN$2)*100,"")</f>
        <v/>
      </c>
      <c r="AK149" s="624">
        <f>IF(OR(AI149="",AJ149=""),"",AI149-AJ149)</f>
        <v/>
      </c>
      <c r="AL149" s="394">
        <f>IF(AK149="","",IF(AK149&lt;-5,3,IF(AK149&lt;0,1,IF(AK149&lt;3,-1,-2))))</f>
        <v/>
      </c>
      <c r="AO149" s="398">
        <f>IF(OR($C149="",$E149="",$F149="",$H149="",$I149="",$H149-$I149&lt;=0),"-",IF(AND($H149-MAX($F149,$E149)&gt;=ABS($E149-$F149)*2,MIN($F149,$E149)-$I149&lt;=ABS($E149-$F149)*0.5,ABS($E149-$F149)&gt;0),"上ヒゲ陰線▼",IF(AND($E149&lt;$F149,ABS($E149-$F149)&gt;=($H149-$I149)*0.7),"大陰線▼",IF(AND(MIN($F149,$E149)-$I149&gt;=($H149-$I149)*0.5,$H149-MAX($F149,$E149)&lt;=($H149-$I149)*0.2),"長い下ヒゲ(反発警戒)","通常"))))</f>
        <v/>
      </c>
      <c r="AP149" s="625">
        <f>IF($AO149="上ヒゲ陰線▼",2,IF($AO149="大陰線▼",2,IF($AO149="長い下ヒゲ(反発警戒)",-2,0)))</f>
        <v/>
      </c>
      <c r="AQ149">
        <f>IF(C149&lt;&gt;"",始値!F125,"")</f>
        <v/>
      </c>
      <c r="AR149">
        <f>IF(C149&lt;&gt;"",高値!F125,"")</f>
        <v/>
      </c>
      <c r="AS149">
        <f>IF(C149&lt;&gt;"",安値!F125,"")</f>
        <v/>
      </c>
      <c r="AT149">
        <f>IF(OR(C149="",AQ149="",AR149="",AS149="",AR149-AS149&lt;=0),"-",IF(AND(AR149-MAX(G149,AQ149)&gt;=ABS(G149-AQ149)*2,MIN(G149,AQ149)-AS149&lt;=ABS(G149-AQ149)*0.5,ABS(G149-AQ149)&gt;0),"上ヒゲ陰線▼",IF(AND(G149&lt;AQ149,ABS(G149-AQ149)&gt;=(AR149-AS149)*0.7),"大陰線▼",IF(AND(MIN(G149,AQ149)-AS149&gt;=(AR149-AS149)*0.5,AR149-MAX(G149,AQ149)&lt;=(AR149-AS149)*0.2),"長い下ヒゲ(反発)","通常"))))</f>
        <v/>
      </c>
      <c r="AU149">
        <f>IF(AT149="上ヒゲ陰線▼",2,IF(AT149="大陰線▼",2,IF(AT149="長い下ヒゲ(反発)",-2,0)))</f>
        <v/>
      </c>
    </row>
    <row r="150" ht="14.25" customHeight="1" s="574">
      <c r="A150" s="352">
        <f>IF(銘柄管理!B137&lt;&gt;"",HYPERLINK("https://kabutan.jp/stock/?code="&amp;銘柄管理!B137,"株探"),"")</f>
        <v/>
      </c>
      <c r="B150" s="225" t="n"/>
      <c r="C150" s="225">
        <f>IF(銘柄管理!B137="","",銘柄管理!B137)</f>
        <v/>
      </c>
      <c r="D150" s="225">
        <f>IF(銘柄管理!C137="","",銘柄管理!C137)</f>
        <v/>
      </c>
      <c r="E150" s="353">
        <f>IF(C150&lt;&gt;"",_xll.RssMarket(C150,"現在値"),"")</f>
        <v/>
      </c>
      <c r="F150" s="353">
        <f>IF(C150&lt;&gt;"",_xll.RssMarket(C150,"始値"),"")</f>
        <v/>
      </c>
      <c r="G150" s="225">
        <f>IF(C150&lt;&gt;"",終値!F137,"")</f>
        <v/>
      </c>
      <c r="H150" s="353">
        <f>IF(C150&lt;&gt;"",_xll.RssMarket(C150,"高値"),"")</f>
        <v/>
      </c>
      <c r="I150" s="353">
        <f>IF(C150&lt;&gt;"",_xll.RssMarket(C150,"安値"),"")</f>
        <v/>
      </c>
      <c r="J150" s="353">
        <f>IF(C150&lt;&gt;"",_xll.RssMarket(C150,"出来高"),"")</f>
        <v/>
      </c>
      <c r="K150" s="353">
        <f>IF(C150&lt;&gt;"",_xll.RssMarket(C150,"年初来高値"),"")</f>
        <v/>
      </c>
      <c r="L150" s="626">
        <f>IF(AND(E150&lt;&gt;"",K150&lt;&gt;"",K150&lt;&gt;0),(E150-K150)/K150*100,"")</f>
        <v/>
      </c>
      <c r="M150" s="353">
        <f>IF(C150&lt;&gt;"",IFERROR(AVERAGE(出来高!E137:I137),""),"")</f>
        <v/>
      </c>
      <c r="N150" s="353">
        <f>IF(C150&lt;&gt;"",IFERROR(AVERAGE(出来高!E137:AC137),""),"")</f>
        <v/>
      </c>
      <c r="O150" s="627">
        <f>IF(AND(J150&lt;&gt;"",M150&lt;&gt;"",M150&lt;&gt;0),J150/M150,"")</f>
        <v/>
      </c>
      <c r="P150" s="225">
        <f>IF(O150="","",IF(O150&gt;=2,"急増↑↑",IF(O150&gt;=1.5,"増加↑",IF(O150&gt;=1,"普通→","減少↓"))))</f>
        <v/>
      </c>
      <c r="Q150" s="225">
        <f>IF(E150="","",IF(AND(E150&lt;G150,O150&gt;=1.5),"売り▼",IF(E150&gt;G150,"様子見▲","中立→")))</f>
        <v/>
      </c>
      <c r="R150" s="353">
        <f>IF(E150&lt;&gt;"",ROUND(E150*0.92,0),"")</f>
        <v/>
      </c>
      <c r="S150" s="353">
        <f>IF(E150&lt;&gt;"",ROUND(E150*1.04,0),"")</f>
        <v/>
      </c>
      <c r="T150" s="345">
        <f>IF(C150="","",IFERROR(IF(W150&gt;=70,3,IF(W150&gt;=60,2,IF(W150&gt;=50,1,0)))+IF(X150&lt;0,2,0)+IF(AD150="下降トレンド▼",3,IF(AD150="もみ合い→",1,0))+IF(V150="年初来安値圏●",3,IF(V150="安値圏",2,0))+IF(Q150="売り▼",2,0)+IF(P150="急増↑↑",2,IF(P150="増加↑",1,0))+IF(Z150&lt;0,1,0)+IF(L150&lt;=-30,2,IF(L150&lt;=-15,1,0))+IF(AE150="25日戻り売り★",2,IF(AE150="5日戻り売り○",1,0))+N(AL150)+N(AP150)+N(AU150),0))</f>
        <v/>
      </c>
      <c r="U150" s="225">
        <f>IF(T150="","",IF(AND(T150&gt;=3,O150&gt;=1.5),"有効",IF(T150&gt;=3,"要確認","除外")))</f>
        <v/>
      </c>
      <c r="V150" s="225">
        <f>IF(AND(I150&lt;&gt;"",K150&lt;&gt;""),IF(I150&lt;=K150*0.6,"年初来安値圏●",IF(I150&lt;=K150*0.75,"安値圏","通常")),"")</f>
        <v/>
      </c>
      <c r="W150" s="628">
        <f t="array" ref="W150">IFERROR(100-100/(1+SUMPRODUCT((終値!F137:R137&gt;終値!G137:S137)*(終値!F137:R137-終値!G137:S137))/SUMPRODUCT((終値!F137:R137&lt;終値!G137:S137)*(終値!G137:S137-終値!F137:R137))),50)</f>
        <v/>
      </c>
      <c r="X150" s="357">
        <f>IF(C150&lt;&gt;"",IFERROR(SUMPRODUCT(終値!E137:P137,{0.154,0.132,0.113,0.097,0.083,0.071,0.061,0.052,0.045,0.038,0.033,0.028})/SUMPRODUCT({0.154,0.132,0.113,0.097,0.083,0.071,0.061,0.052,0.045,0.038,0.033,0.028})-SUMPRODUCT(終値!E137:AD137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0" s="225">
        <f>IF(AF150="","",AF150&amp;" | "&amp;AD150&amp;IF(AE150&lt;&gt;"なし"," "&amp;AE150,"")&amp;IF(X150&lt;0," MACD-"," MACD+")&amp;" RSI:"&amp;TEXT(W150,"0.0")&amp;IF(W150&gt;=70," [過熱]",IF(W150&lt;=30," [売られ過ぎ]",""))&amp;" 前日比:"&amp;TEXT(Z150,"+0.0;-0.0;0.0")&amp;"%"&amp;IF(V150="年初来安値圏●"," [年初来安値圏]",IF(V150="安値圏"," [安値圏]",""))&amp;IF(OR(AO150="通常",AO150="-"),""," ["&amp;AO150&amp;"]")&amp;IF(OR(AT150="通常",AT150="-"),"","前日["&amp;AT150&amp;"]")&amp;" ["&amp;T150&amp;"点]")</f>
        <v/>
      </c>
      <c r="Z150" s="629">
        <f>IF(AND(E150&lt;&gt;"",G150&lt;&gt;"",G150&lt;&gt;0),(E150-G150)/G150*100,"")</f>
        <v/>
      </c>
      <c r="AA150" s="225">
        <f>IF(OR(C150="",E150="",E150=0),"",IF(E150&gt;G150,"上昇▲",IF(E150&lt;G150,"下落▼","横ばい→")))</f>
        <v/>
      </c>
      <c r="AB150" s="353">
        <f>IF(OR(C150="",C150="TOPX",終値!E137=""),"",IFERROR(((終値!E137*0.333)+(終値!F137*0.222)+(終値!G137*0.148)+(終値!H137*0.099)+(終値!I137*0.066))/(0.333+0.222+0.148+0.099+0.066),""))</f>
        <v/>
      </c>
      <c r="AC150" s="353">
        <f>IF(OR(C150="",C150="TOPX",終値!E137=""),"",IFERROR(SUMPRODUCT((終値!E137:AC137)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0" s="225">
        <f>IF(OR(C150="",AB150="",AC150="",AB150=0,AC150=0),"",IF(AND(E150&gt;AB150,AB150&gt;AC150),"パーフェクト▲",IF(E150&gt;AC150,"上昇トレンド▲",IF(AND(E150&lt;AB150,AB150&lt;AC150),"下降トレンド▼","もみ合い→"))))</f>
        <v/>
      </c>
      <c r="AE150" s="225">
        <f>IF(OR(C150="",AB150="",AC150=""),"",IF(AND(ABS(E150-AC150)/AC150&lt;=0.02,E150&lt;AC150),"25日戻り売り★",IF(AND(ABS(E150-AB150)/AB150&lt;=0.01,E150&lt;AB150),"5日戻り売り○","なし")))</f>
        <v/>
      </c>
      <c r="AF150">
        <f>IF(T150="","",IF(銘柄管理!$F$5="上昇▲",IF(AND(AD150="下降トレンド▼",OR(AE150="25日戻り売り★",AE150="5日戻り売り○")),"★逆張り売り",IF(AND(AD150="もみ合い→",OR(AE150="25日戻り売り★",AE150="5日戻り売り○")),"○逆張り売り",IF(W150&gt;=70,IF(Z150&lt;0,"◎反落確認","△過熱・様子見"),"相場上昇・見送り"))),IF(AND(T150&gt;=12,AD150="下降トレンド▼"),"★強い売り",IF(T150&gt;=12,"★強い売り",IF(AND(T150&gt;=8,OR(AE150="25日戻り売り★",AE150="5日戻り売り○")),"◎戻り売り",IF(T150&gt;=10,"○売り候補",IF(T150&gt;=6,"△注目",IF(T150&gt;=3,"様子見","見送り"))))))))</f>
        <v/>
      </c>
      <c r="AG150">
        <f>IF(AND(T150&gt;=7,C150&lt;&gt;""),T150,0)</f>
        <v/>
      </c>
      <c r="AH150">
        <f>IF(AG150&gt;0,AG150*10000-ROW(A150),0)</f>
        <v/>
      </c>
      <c r="AI150" s="623">
        <f t="array" ref="AI150">IF(C150="","",IFERROR((INDEX(終値!$E:$E,MATCH(TEXT(C150,"0"),終値!$A:$A,0))-INDEX(終値!$E:$BL,MATCH(TEXT(C150,"0"),終値!$A:$A,0),$AN$2))/INDEX(終値!$E:$BL,MATCH(TEXT(C150,"0"),終値!$A:$A,0),$AN$2)*100,""))</f>
        <v/>
      </c>
      <c r="AJ150" s="623">
        <f t="array" ref="AJ150">IFERROR((終値!$E$5-INDEX(終値!$E$5:$BL$5,1,$AN$2))/INDEX(終値!$E$5:$BL$5,1,$AN$2)*100,"")</f>
        <v/>
      </c>
      <c r="AK150" s="624">
        <f>IF(OR(AI150="",AJ150=""),"",AI150-AJ150)</f>
        <v/>
      </c>
      <c r="AL150" s="394">
        <f>IF(AK150="","",IF(AK150&lt;-5,3,IF(AK150&lt;0,1,IF(AK150&lt;3,-1,-2))))</f>
        <v/>
      </c>
      <c r="AO150" s="398">
        <f>IF(OR($C150="",$E150="",$F150="",$H150="",$I150="",$H150-$I150&lt;=0),"-",IF(AND($H150-MAX($F150,$E150)&gt;=ABS($E150-$F150)*2,MIN($F150,$E150)-$I150&lt;=ABS($E150-$F150)*0.5,ABS($E150-$F150)&gt;0),"上ヒゲ陰線▼",IF(AND($E150&lt;$F150,ABS($E150-$F150)&gt;=($H150-$I150)*0.7),"大陰線▼",IF(AND(MIN($F150,$E150)-$I150&gt;=($H150-$I150)*0.5,$H150-MAX($F150,$E150)&lt;=($H150-$I150)*0.2),"長い下ヒゲ(反発警戒)","通常"))))</f>
        <v/>
      </c>
      <c r="AP150" s="625">
        <f>IF($AO150="上ヒゲ陰線▼",2,IF($AO150="大陰線▼",2,IF($AO150="長い下ヒゲ(反発警戒)",-2,0)))</f>
        <v/>
      </c>
      <c r="AQ150">
        <f>IF(C150&lt;&gt;"",始値!F137,"")</f>
        <v/>
      </c>
      <c r="AR150">
        <f>IF(C150&lt;&gt;"",高値!F137,"")</f>
        <v/>
      </c>
      <c r="AS150">
        <f>IF(C150&lt;&gt;"",安値!F137,"")</f>
        <v/>
      </c>
      <c r="AT150">
        <f>IF(OR(C150="",AQ150="",AR150="",AS150="",AR150-AS150&lt;=0),"-",IF(AND(AR150-MAX(G150,AQ150)&gt;=ABS(G150-AQ150)*2,MIN(G150,AQ150)-AS150&lt;=ABS(G150-AQ150)*0.5,ABS(G150-AQ150)&gt;0),"上ヒゲ陰線▼",IF(AND(G150&lt;AQ150,ABS(G150-AQ150)&gt;=(AR150-AS150)*0.7),"大陰線▼",IF(AND(MIN(G150,AQ150)-AS150&gt;=(AR150-AS150)*0.5,AR150-MAX(G150,AQ150)&lt;=(AR150-AS150)*0.2),"長い下ヒゲ(反発)","通常"))))</f>
        <v/>
      </c>
      <c r="AU150">
        <f>IF(AT150="上ヒゲ陰線▼",2,IF(AT150="大陰線▼",2,IF(AT150="長い下ヒゲ(反発)",-2,0)))</f>
        <v/>
      </c>
    </row>
    <row r="151" ht="14.25" customHeight="1" s="574">
      <c r="A151" s="344">
        <f>IF(銘柄管理!B150&lt;&gt;"",HYPERLINK("https://kabutan.jp/stock/?code="&amp;銘柄管理!B150,"株探"),"")</f>
        <v/>
      </c>
      <c r="B151" s="345" t="n"/>
      <c r="C151" s="345">
        <f>IF(銘柄管理!B150="","",銘柄管理!B150)</f>
        <v/>
      </c>
      <c r="D151" s="345">
        <f>IF(銘柄管理!C150="","",銘柄管理!C150)</f>
        <v/>
      </c>
      <c r="E151" s="346">
        <f>IF(C151&lt;&gt;"",_xll.RssMarket(C151,"現在値"),"")</f>
        <v/>
      </c>
      <c r="F151" s="346">
        <f>IF(C151&lt;&gt;"",_xll.RssMarket(C151,"始値"),"")</f>
        <v/>
      </c>
      <c r="G151" s="345">
        <f>IF(C151&lt;&gt;"",終値!F150,"")</f>
        <v/>
      </c>
      <c r="H151" s="346">
        <f>IF(C151&lt;&gt;"",_xll.RssMarket(C151,"高値"),"")</f>
        <v/>
      </c>
      <c r="I151" s="346">
        <f>IF(C151&lt;&gt;"",_xll.RssMarket(C151,"安値"),"")</f>
        <v/>
      </c>
      <c r="J151" s="346">
        <f>IF(C151&lt;&gt;"",_xll.RssMarket(C151,"出来高"),"")</f>
        <v/>
      </c>
      <c r="K151" s="346">
        <f>IF(C151&lt;&gt;"",_xll.RssMarket(C151,"年初来高値"),"")</f>
        <v/>
      </c>
      <c r="L151" s="619">
        <f>IF(AND(E151&lt;&gt;"",K151&lt;&gt;"",K151&lt;&gt;0),(E151-K151)/K151*100,"")</f>
        <v/>
      </c>
      <c r="M151" s="346">
        <f>IF(C151&lt;&gt;"",IFERROR(AVERAGE(出来高!E150:I150),""),"")</f>
        <v/>
      </c>
      <c r="N151" s="346">
        <f>IF(C151&lt;&gt;"",IFERROR(AVERAGE(出来高!E150:AC150),""),"")</f>
        <v/>
      </c>
      <c r="O151" s="620">
        <f>IF(AND(J151&lt;&gt;"",M151&lt;&gt;"",M151&lt;&gt;0),J151/M151,"")</f>
        <v/>
      </c>
      <c r="P151" s="345">
        <f>IF(O151="","",IF(O151&gt;=2,"急増↑↑",IF(O151&gt;=1.5,"増加↑",IF(O151&gt;=1,"普通→","減少↓"))))</f>
        <v/>
      </c>
      <c r="Q151" s="345">
        <f>IF(E151="","",IF(AND(E151&lt;G151,O151&gt;=1.5),"売り▼",IF(E151&gt;G151,"様子見▲","中立→")))</f>
        <v/>
      </c>
      <c r="R151" s="346">
        <f>IF(E151&lt;&gt;"",ROUND(E151*0.92,0),"")</f>
        <v/>
      </c>
      <c r="S151" s="346">
        <f>IF(E151&lt;&gt;"",ROUND(E151*1.04,0),"")</f>
        <v/>
      </c>
      <c r="T151" s="345">
        <f>IF(C151="","",IFERROR(IF(W151&gt;=70,3,IF(W151&gt;=60,2,IF(W151&gt;=50,1,0)))+IF(X151&lt;0,2,0)+IF(AD151="下降トレンド▼",3,IF(AD151="もみ合い→",1,0))+IF(V151="年初来安値圏●",3,IF(V151="安値圏",2,0))+IF(Q151="売り▼",2,0)+IF(P151="急増↑↑",2,IF(P151="増加↑",1,0))+IF(Z151&lt;0,1,0)+IF(L151&lt;=-30,2,IF(L151&lt;=-15,1,0))+IF(AE151="25日戻り売り★",2,IF(AE151="5日戻り売り○",1,0))+N(AL151)+N(AP151)+N(AU151),0))</f>
        <v/>
      </c>
      <c r="U151" s="345">
        <f>IF(T151="","",IF(AND(T151&gt;=3,O151&gt;=1.5),"有効",IF(T151&gt;=3,"要確認","除外")))</f>
        <v/>
      </c>
      <c r="V151" s="345">
        <f>IF(AND(I151&lt;&gt;"",K151&lt;&gt;""),IF(I151&lt;=K151*0.6,"年初来安値圏●",IF(I151&lt;=K151*0.75,"安値圏","通常")),"")</f>
        <v/>
      </c>
      <c r="W151" s="621">
        <f t="array" ref="W151">IFERROR(100-100/(1+SUMPRODUCT((終値!F150:R150&gt;終値!G150:S150)*(終値!F150:R150-終値!G150:S150))/SUMPRODUCT((終値!F150:R150&lt;終値!G150:S150)*(終値!G150:S150-終値!F150:R150))),50)</f>
        <v/>
      </c>
      <c r="X151" s="350">
        <f>IF(C151&lt;&gt;"",IFERROR(SUMPRODUCT(終値!E150:P150,{0.154,0.132,0.113,0.097,0.083,0.071,0.061,0.052,0.045,0.038,0.033,0.028})/SUMPRODUCT({0.154,0.132,0.113,0.097,0.083,0.071,0.061,0.052,0.045,0.038,0.033,0.028})-SUMPRODUCT(終値!E150:AD150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1" s="345">
        <f>IF(AF151="","",AF151&amp;" | "&amp;AD151&amp;IF(AE151&lt;&gt;"なし"," "&amp;AE151,"")&amp;IF(X151&lt;0," MACD-"," MACD+")&amp;" RSI:"&amp;TEXT(W151,"0.0")&amp;IF(W151&gt;=70," [過熱]",IF(W151&lt;=30," [売られ過ぎ]",""))&amp;" 前日比:"&amp;TEXT(Z151,"+0.0;-0.0;0.0")&amp;"%"&amp;IF(V151="年初来安値圏●"," [年初来安値圏]",IF(V151="安値圏"," [安値圏]",""))&amp;IF(OR(AO151="通常",AO151="-"),""," ["&amp;AO151&amp;"]")&amp;IF(OR(AT151="通常",AT151="-"),"","前日["&amp;AT151&amp;"]")&amp;" ["&amp;T151&amp;"点]")</f>
        <v/>
      </c>
      <c r="Z151" s="622">
        <f>IF(AND(E151&lt;&gt;"",G151&lt;&gt;"",G151&lt;&gt;0),(E151-G151)/G151*100,"")</f>
        <v/>
      </c>
      <c r="AA151" s="345">
        <f>IF(OR(C151="",E151="",E151=0),"",IF(E151&gt;G151,"上昇▲",IF(E151&lt;G151,"下落▼","横ばい→")))</f>
        <v/>
      </c>
      <c r="AB151" s="346">
        <f>IF(OR(C151="",C151="TOPX",終値!E150=""),"",IFERROR(((終値!E150*0.333)+(終値!F150*0.222)+(終値!G150*0.148)+(終値!H150*0.099)+(終値!I150*0.066))/(0.333+0.222+0.148+0.099+0.066),""))</f>
        <v/>
      </c>
      <c r="AC151" s="346">
        <f>IF(OR(C151="",C151="TOPX",終値!E150=""),"",IFERROR(SUMPRODUCT((終値!E150:AC150)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1" s="345">
        <f>IF(OR(C151="",AB151="",AC151="",AB151=0,AC151=0),"",IF(AND(E151&gt;AB151,AB151&gt;AC151),"パーフェクト▲",IF(E151&gt;AC151,"上昇トレンド▲",IF(AND(E151&lt;AB151,AB151&lt;AC151),"下降トレンド▼","もみ合い→"))))</f>
        <v/>
      </c>
      <c r="AE151" s="345">
        <f>IF(OR(C151="",AB151="",AC151=""),"",IF(AND(ABS(E151-AC151)/AC151&lt;=0.02,E151&lt;AC151),"25日戻り売り★",IF(AND(ABS(E151-AB151)/AB151&lt;=0.01,E151&lt;AB151),"5日戻り売り○","なし")))</f>
        <v/>
      </c>
      <c r="AF151">
        <f>IF(T151="","",IF(銘柄管理!$F$5="上昇▲",IF(AND(AD151="下降トレンド▼",OR(AE151="25日戻り売り★",AE151="5日戻り売り○")),"★逆張り売り",IF(AND(AD151="もみ合い→",OR(AE151="25日戻り売り★",AE151="5日戻り売り○")),"○逆張り売り",IF(W151&gt;=70,IF(Z151&lt;0,"◎反落確認","△過熱・様子見"),"相場上昇・見送り"))),IF(AND(T151&gt;=12,AD151="下降トレンド▼"),"★強い売り",IF(T151&gt;=12,"★強い売り",IF(AND(T151&gt;=8,OR(AE151="25日戻り売り★",AE151="5日戻り売り○")),"◎戻り売り",IF(T151&gt;=10,"○売り候補",IF(T151&gt;=6,"△注目",IF(T151&gt;=3,"様子見","見送り"))))))))</f>
        <v/>
      </c>
      <c r="AG151">
        <f>IF(AND(T151&gt;=7,C151&lt;&gt;""),T151,0)</f>
        <v/>
      </c>
      <c r="AH151">
        <f>IF(AG151&gt;0,AG151*10000-ROW(A151),0)</f>
        <v/>
      </c>
      <c r="AI151" s="623">
        <f t="array" ref="AI151">IF(C151="","",IFERROR((INDEX(終値!$E:$E,MATCH(TEXT(C151,"0"),終値!$A:$A,0))-INDEX(終値!$E:$BL,MATCH(TEXT(C151,"0"),終値!$A:$A,0),$AN$2))/INDEX(終値!$E:$BL,MATCH(TEXT(C151,"0"),終値!$A:$A,0),$AN$2)*100,""))</f>
        <v/>
      </c>
      <c r="AJ151" s="623">
        <f t="array" ref="AJ151">IFERROR((終値!$E$5-INDEX(終値!$E$5:$BL$5,1,$AN$2))/INDEX(終値!$E$5:$BL$5,1,$AN$2)*100,"")</f>
        <v/>
      </c>
      <c r="AK151" s="624">
        <f>IF(OR(AI151="",AJ151=""),"",AI151-AJ151)</f>
        <v/>
      </c>
      <c r="AL151" s="394">
        <f>IF(AK151="","",IF(AK151&lt;-5,3,IF(AK151&lt;0,1,IF(AK151&lt;3,-1,-2))))</f>
        <v/>
      </c>
      <c r="AO151" s="398">
        <f>IF(OR($C151="",$E151="",$F151="",$H151="",$I151="",$H151-$I151&lt;=0),"-",IF(AND($H151-MAX($F151,$E151)&gt;=ABS($E151-$F151)*2,MIN($F151,$E151)-$I151&lt;=ABS($E151-$F151)*0.5,ABS($E151-$F151)&gt;0),"上ヒゲ陰線▼",IF(AND($E151&lt;$F151,ABS($E151-$F151)&gt;=($H151-$I151)*0.7),"大陰線▼",IF(AND(MIN($F151,$E151)-$I151&gt;=($H151-$I151)*0.5,$H151-MAX($F151,$E151)&lt;=($H151-$I151)*0.2),"長い下ヒゲ(反発警戒)","通常"))))</f>
        <v/>
      </c>
      <c r="AP151" s="625">
        <f>IF($AO151="上ヒゲ陰線▼",2,IF($AO151="大陰線▼",2,IF($AO151="長い下ヒゲ(反発警戒)",-2,0)))</f>
        <v/>
      </c>
      <c r="AQ151">
        <f>IF(C151&lt;&gt;"",始値!F150,"")</f>
        <v/>
      </c>
      <c r="AR151">
        <f>IF(C151&lt;&gt;"",高値!F150,"")</f>
        <v/>
      </c>
      <c r="AS151">
        <f>IF(C151&lt;&gt;"",安値!F150,"")</f>
        <v/>
      </c>
      <c r="AT151">
        <f>IF(OR(C151="",AQ151="",AR151="",AS151="",AR151-AS151&lt;=0),"-",IF(AND(AR151-MAX(G151,AQ151)&gt;=ABS(G151-AQ151)*2,MIN(G151,AQ151)-AS151&lt;=ABS(G151-AQ151)*0.5,ABS(G151-AQ151)&gt;0),"上ヒゲ陰線▼",IF(AND(G151&lt;AQ151,ABS(G151-AQ151)&gt;=(AR151-AS151)*0.7),"大陰線▼",IF(AND(MIN(G151,AQ151)-AS151&gt;=(AR151-AS151)*0.5,AR151-MAX(G151,AQ151)&lt;=(AR151-AS151)*0.2),"長い下ヒゲ(反発)","通常"))))</f>
        <v/>
      </c>
      <c r="AU151">
        <f>IF(AT151="上ヒゲ陰線▼",2,IF(AT151="大陰線▼",2,IF(AT151="長い下ヒゲ(反発)",-2,0)))</f>
        <v/>
      </c>
    </row>
    <row r="152" ht="14.25" customHeight="1" s="574">
      <c r="A152" s="352">
        <f>IF(銘柄管理!B157&lt;&gt;"",HYPERLINK("https://kabutan.jp/stock/?code="&amp;銘柄管理!B157,"株探"),"")</f>
        <v/>
      </c>
      <c r="B152" s="225" t="n"/>
      <c r="C152" s="225">
        <f>IF(銘柄管理!B157="","",銘柄管理!B157)</f>
        <v/>
      </c>
      <c r="D152" s="225">
        <f>IF(銘柄管理!C157="","",銘柄管理!C157)</f>
        <v/>
      </c>
      <c r="E152" s="353">
        <f>IF(C152&lt;&gt;"",_xll.RssMarket(C152,"現在値"),"")</f>
        <v/>
      </c>
      <c r="F152" s="353">
        <f>IF(C152&lt;&gt;"",_xll.RssMarket(C152,"始値"),"")</f>
        <v/>
      </c>
      <c r="G152" s="225">
        <f>IF(C152&lt;&gt;"",終値!F157,"")</f>
        <v/>
      </c>
      <c r="H152" s="353">
        <f>IF(C152&lt;&gt;"",_xll.RssMarket(C152,"高値"),"")</f>
        <v/>
      </c>
      <c r="I152" s="353">
        <f>IF(C152&lt;&gt;"",_xll.RssMarket(C152,"安値"),"")</f>
        <v/>
      </c>
      <c r="J152" s="353">
        <f>IF(C152&lt;&gt;"",_xll.RssMarket(C152,"出来高"),"")</f>
        <v/>
      </c>
      <c r="K152" s="353">
        <f>IF(C152&lt;&gt;"",_xll.RssMarket(C152,"年初来高値"),"")</f>
        <v/>
      </c>
      <c r="L152" s="626">
        <f>IF(AND(E152&lt;&gt;"",K152&lt;&gt;"",K152&lt;&gt;0),(E152-K152)/K152*100,"")</f>
        <v/>
      </c>
      <c r="M152" s="353">
        <f>IF(C152&lt;&gt;"",IFERROR(AVERAGE(出来高!E157:I157),""),"")</f>
        <v/>
      </c>
      <c r="N152" s="353">
        <f>IF(C152&lt;&gt;"",IFERROR(AVERAGE(出来高!E157:AC157),""),"")</f>
        <v/>
      </c>
      <c r="O152" s="627">
        <f>IF(AND(J152&lt;&gt;"",M152&lt;&gt;"",M152&lt;&gt;0),J152/M152,"")</f>
        <v/>
      </c>
      <c r="P152" s="225">
        <f>IF(O152="","",IF(O152&gt;=2,"急増↑↑",IF(O152&gt;=1.5,"増加↑",IF(O152&gt;=1,"普通→","減少↓"))))</f>
        <v/>
      </c>
      <c r="Q152" s="225">
        <f>IF(E152="","",IF(AND(E152&lt;G152,O152&gt;=1.5),"売り▼",IF(E152&gt;G152,"様子見▲","中立→")))</f>
        <v/>
      </c>
      <c r="R152" s="353">
        <f>IF(E152&lt;&gt;"",ROUND(E152*0.92,0),"")</f>
        <v/>
      </c>
      <c r="S152" s="353">
        <f>IF(E152&lt;&gt;"",ROUND(E152*1.04,0),"")</f>
        <v/>
      </c>
      <c r="T152" s="345">
        <f>IF(C152="","",IFERROR(IF(W152&gt;=70,3,IF(W152&gt;=60,2,IF(W152&gt;=50,1,0)))+IF(X152&lt;0,2,0)+IF(AD152="下降トレンド▼",3,IF(AD152="もみ合い→",1,0))+IF(V152="年初来安値圏●",3,IF(V152="安値圏",2,0))+IF(Q152="売り▼",2,0)+IF(P152="急増↑↑",2,IF(P152="増加↑",1,0))+IF(Z152&lt;0,1,0)+IF(L152&lt;=-30,2,IF(L152&lt;=-15,1,0))+IF(AE152="25日戻り売り★",2,IF(AE152="5日戻り売り○",1,0))+N(AL152)+N(AP152)+N(AU152),0))</f>
        <v/>
      </c>
      <c r="U152" s="225">
        <f>IF(T152="","",IF(AND(T152&gt;=3,O152&gt;=1.5),"有効",IF(T152&gt;=3,"要確認","除外")))</f>
        <v/>
      </c>
      <c r="V152" s="225">
        <f>IF(AND(I152&lt;&gt;"",K152&lt;&gt;""),IF(I152&lt;=K152*0.6,"年初来安値圏●",IF(I152&lt;=K152*0.75,"安値圏","通常")),"")</f>
        <v/>
      </c>
      <c r="W152" s="628">
        <f t="array" ref="W152">IFERROR(100-100/(1+SUMPRODUCT((終値!F157:R157&gt;終値!G157:S157)*(終値!F157:R157-終値!G157:S157))/SUMPRODUCT((終値!F157:R157&lt;終値!G157:S157)*(終値!G157:S157-終値!F157:R157))),50)</f>
        <v/>
      </c>
      <c r="X152" s="357">
        <f>IF(C152&lt;&gt;"",IFERROR(SUMPRODUCT(終値!E157:P157,{0.154,0.132,0.113,0.097,0.083,0.071,0.061,0.052,0.045,0.038,0.033,0.028})/SUMPRODUCT({0.154,0.132,0.113,0.097,0.083,0.071,0.061,0.052,0.045,0.038,0.033,0.028})-SUMPRODUCT(終値!E157:AD157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2" s="225">
        <f>IF(AF152="","",AF152&amp;" | "&amp;AD152&amp;IF(AE152&lt;&gt;"なし"," "&amp;AE152,"")&amp;IF(X152&lt;0," MACD-"," MACD+")&amp;" RSI:"&amp;TEXT(W152,"0.0")&amp;IF(W152&gt;=70," [過熱]",IF(W152&lt;=30," [売られ過ぎ]",""))&amp;" 前日比:"&amp;TEXT(Z152,"+0.0;-0.0;0.0")&amp;"%"&amp;IF(V152="年初来安値圏●"," [年初来安値圏]",IF(V152="安値圏"," [安値圏]",""))&amp;IF(OR(AO152="通常",AO152="-"),""," ["&amp;AO152&amp;"]")&amp;IF(OR(AT152="通常",AT152="-"),"","前日["&amp;AT152&amp;"]")&amp;" ["&amp;T152&amp;"点]")</f>
        <v/>
      </c>
      <c r="Z152" s="629">
        <f>IF(AND(E152&lt;&gt;"",G152&lt;&gt;"",G152&lt;&gt;0),(E152-G152)/G152*100,"")</f>
        <v/>
      </c>
      <c r="AA152" s="225">
        <f>IF(OR(C152="",E152="",E152=0),"",IF(E152&gt;G152,"上昇▲",IF(E152&lt;G152,"下落▼","横ばい→")))</f>
        <v/>
      </c>
      <c r="AB152" s="353">
        <f>IF(OR(C152="",C152="TOPX",終値!E157=""),"",IFERROR(((終値!E157*0.333)+(終値!F157*0.222)+(終値!G157*0.148)+(終値!H157*0.099)+(終値!I157*0.066))/(0.333+0.222+0.148+0.099+0.066),""))</f>
        <v/>
      </c>
      <c r="AC152" s="353">
        <f>IF(OR(C152="",C152="TOPX",終値!E157=""),"",IFERROR(SUMPRODUCT((終値!E157:AC157)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2" s="225">
        <f>IF(OR(C152="",AB152="",AC152="",AB152=0,AC152=0),"",IF(AND(E152&gt;AB152,AB152&gt;AC152),"パーフェクト▲",IF(E152&gt;AC152,"上昇トレンド▲",IF(AND(E152&lt;AB152,AB152&lt;AC152),"下降トレンド▼","もみ合い→"))))</f>
        <v/>
      </c>
      <c r="AE152" s="225">
        <f>IF(OR(C152="",AB152="",AC152=""),"",IF(AND(ABS(E152-AC152)/AC152&lt;=0.02,E152&lt;AC152),"25日戻り売り★",IF(AND(ABS(E152-AB152)/AB152&lt;=0.01,E152&lt;AB152),"5日戻り売り○","なし")))</f>
        <v/>
      </c>
      <c r="AF152">
        <f>IF(T152="","",IF(銘柄管理!$F$5="上昇▲",IF(AND(AD152="下降トレンド▼",OR(AE152="25日戻り売り★",AE152="5日戻り売り○")),"★逆張り売り",IF(AND(AD152="もみ合い→",OR(AE152="25日戻り売り★",AE152="5日戻り売り○")),"○逆張り売り",IF(W152&gt;=70,IF(Z152&lt;0,"◎反落確認","△過熱・様子見"),"相場上昇・見送り"))),IF(AND(T152&gt;=12,AD152="下降トレンド▼"),"★強い売り",IF(T152&gt;=12,"★強い売り",IF(AND(T152&gt;=8,OR(AE152="25日戻り売り★",AE152="5日戻り売り○")),"◎戻り売り",IF(T152&gt;=10,"○売り候補",IF(T152&gt;=6,"△注目",IF(T152&gt;=3,"様子見","見送り"))))))))</f>
        <v/>
      </c>
      <c r="AG152">
        <f>IF(AND(T152&gt;=7,C152&lt;&gt;""),T152,0)</f>
        <v/>
      </c>
      <c r="AH152">
        <f>IF(AG152&gt;0,AG152*10000-ROW(A152),0)</f>
        <v/>
      </c>
      <c r="AI152" s="623">
        <f t="array" ref="AI152">IF(C152="","",IFERROR((INDEX(終値!$E:$E,MATCH(TEXT(C152,"0"),終値!$A:$A,0))-INDEX(終値!$E:$BL,MATCH(TEXT(C152,"0"),終値!$A:$A,0),$AN$2))/INDEX(終値!$E:$BL,MATCH(TEXT(C152,"0"),終値!$A:$A,0),$AN$2)*100,""))</f>
        <v/>
      </c>
      <c r="AJ152" s="623">
        <f t="array" ref="AJ152">IFERROR((終値!$E$5-INDEX(終値!$E$5:$BL$5,1,$AN$2))/INDEX(終値!$E$5:$BL$5,1,$AN$2)*100,"")</f>
        <v/>
      </c>
      <c r="AK152" s="624">
        <f>IF(OR(AI152="",AJ152=""),"",AI152-AJ152)</f>
        <v/>
      </c>
      <c r="AL152" s="394">
        <f>IF(AK152="","",IF(AK152&lt;-5,3,IF(AK152&lt;0,1,IF(AK152&lt;3,-1,-2))))</f>
        <v/>
      </c>
      <c r="AO152" s="398">
        <f>IF(OR($C152="",$E152="",$F152="",$H152="",$I152="",$H152-$I152&lt;=0),"-",IF(AND($H152-MAX($F152,$E152)&gt;=ABS($E152-$F152)*2,MIN($F152,$E152)-$I152&lt;=ABS($E152-$F152)*0.5,ABS($E152-$F152)&gt;0),"上ヒゲ陰線▼",IF(AND($E152&lt;$F152,ABS($E152-$F152)&gt;=($H152-$I152)*0.7),"大陰線▼",IF(AND(MIN($F152,$E152)-$I152&gt;=($H152-$I152)*0.5,$H152-MAX($F152,$E152)&lt;=($H152-$I152)*0.2),"長い下ヒゲ(反発警戒)","通常"))))</f>
        <v/>
      </c>
      <c r="AP152" s="625">
        <f>IF($AO152="上ヒゲ陰線▼",2,IF($AO152="大陰線▼",2,IF($AO152="長い下ヒゲ(反発警戒)",-2,0)))</f>
        <v/>
      </c>
      <c r="AQ152">
        <f>IF(C152&lt;&gt;"",始値!F157,"")</f>
        <v/>
      </c>
      <c r="AR152">
        <f>IF(C152&lt;&gt;"",高値!F157,"")</f>
        <v/>
      </c>
      <c r="AS152">
        <f>IF(C152&lt;&gt;"",安値!F157,"")</f>
        <v/>
      </c>
      <c r="AT152">
        <f>IF(OR(C152="",AQ152="",AR152="",AS152="",AR152-AS152&lt;=0),"-",IF(AND(AR152-MAX(G152,AQ152)&gt;=ABS(G152-AQ152)*2,MIN(G152,AQ152)-AS152&lt;=ABS(G152-AQ152)*0.5,ABS(G152-AQ152)&gt;0),"上ヒゲ陰線▼",IF(AND(G152&lt;AQ152,ABS(G152-AQ152)&gt;=(AR152-AS152)*0.7),"大陰線▼",IF(AND(MIN(G152,AQ152)-AS152&gt;=(AR152-AS152)*0.5,AR152-MAX(G152,AQ152)&lt;=(AR152-AS152)*0.2),"長い下ヒゲ(反発)","通常"))))</f>
        <v/>
      </c>
      <c r="AU152">
        <f>IF(AT152="上ヒゲ陰線▼",2,IF(AT152="大陰線▼",2,IF(AT152="長い下ヒゲ(反発)",-2,0)))</f>
        <v/>
      </c>
    </row>
    <row r="153" ht="14.25" customHeight="1" s="574">
      <c r="A153" s="344">
        <f>IF(銘柄管理!B166&lt;&gt;"",HYPERLINK("https://kabutan.jp/stock/?code="&amp;銘柄管理!B166,"株探"),"")</f>
        <v/>
      </c>
      <c r="B153" s="345" t="n"/>
      <c r="C153" s="345">
        <f>IF(銘柄管理!B166="","",銘柄管理!B166)</f>
        <v/>
      </c>
      <c r="D153" s="345">
        <f>IF(銘柄管理!C166="","",銘柄管理!C166)</f>
        <v/>
      </c>
      <c r="E153" s="346">
        <f>IF(C153&lt;&gt;"",_xll.RssMarket(C153,"現在値"),"")</f>
        <v/>
      </c>
      <c r="F153" s="346">
        <f>IF(C153&lt;&gt;"",_xll.RssMarket(C153,"始値"),"")</f>
        <v/>
      </c>
      <c r="G153" s="345">
        <f>IF(C153&lt;&gt;"",終値!F166,"")</f>
        <v/>
      </c>
      <c r="H153" s="346">
        <f>IF(C153&lt;&gt;"",_xll.RssMarket(C153,"高値"),"")</f>
        <v/>
      </c>
      <c r="I153" s="346">
        <f>IF(C153&lt;&gt;"",_xll.RssMarket(C153,"安値"),"")</f>
        <v/>
      </c>
      <c r="J153" s="346">
        <f>IF(C153&lt;&gt;"",_xll.RssMarket(C153,"出来高"),"")</f>
        <v/>
      </c>
      <c r="K153" s="346">
        <f>IF(C153&lt;&gt;"",_xll.RssMarket(C153,"年初来高値"),"")</f>
        <v/>
      </c>
      <c r="L153" s="619">
        <f>IF(AND(E153&lt;&gt;"",K153&lt;&gt;"",K153&lt;&gt;0),(E153-K153)/K153*100,"")</f>
        <v/>
      </c>
      <c r="M153" s="346">
        <f>IF(C153&lt;&gt;"",IFERROR(AVERAGE(出来高!E166:I166),""),"")</f>
        <v/>
      </c>
      <c r="N153" s="346">
        <f>IF(C153&lt;&gt;"",IFERROR(AVERAGE(出来高!E166:AC166),""),"")</f>
        <v/>
      </c>
      <c r="O153" s="620">
        <f>IF(AND(J153&lt;&gt;"",M153&lt;&gt;"",M153&lt;&gt;0),J153/M153,"")</f>
        <v/>
      </c>
      <c r="P153" s="345">
        <f>IF(O153="","",IF(O153&gt;=2,"急増↑↑",IF(O153&gt;=1.5,"増加↑",IF(O153&gt;=1,"普通→","減少↓"))))</f>
        <v/>
      </c>
      <c r="Q153" s="345">
        <f>IF(E153="","",IF(AND(E153&lt;G153,O153&gt;=1.5),"売り▼",IF(E153&gt;G153,"様子見▲","中立→")))</f>
        <v/>
      </c>
      <c r="R153" s="346">
        <f>IF(E153&lt;&gt;"",ROUND(E153*0.92,0),"")</f>
        <v/>
      </c>
      <c r="S153" s="346">
        <f>IF(E153&lt;&gt;"",ROUND(E153*1.04,0),"")</f>
        <v/>
      </c>
      <c r="T153" s="345">
        <f>IF(C153="","",IFERROR(IF(W153&gt;=70,3,IF(W153&gt;=60,2,IF(W153&gt;=50,1,0)))+IF(X153&lt;0,2,0)+IF(AD153="下降トレンド▼",3,IF(AD153="もみ合い→",1,0))+IF(V153="年初来安値圏●",3,IF(V153="安値圏",2,0))+IF(Q153="売り▼",2,0)+IF(P153="急増↑↑",2,IF(P153="増加↑",1,0))+IF(Z153&lt;0,1,0)+IF(L153&lt;=-30,2,IF(L153&lt;=-15,1,0))+IF(AE153="25日戻り売り★",2,IF(AE153="5日戻り売り○",1,0))+N(AL153)+N(AP153)+N(AU153),0))</f>
        <v/>
      </c>
      <c r="U153" s="345">
        <f>IF(T153="","",IF(AND(T153&gt;=3,O153&gt;=1.5),"有効",IF(T153&gt;=3,"要確認","除外")))</f>
        <v/>
      </c>
      <c r="V153" s="345">
        <f>IF(AND(I153&lt;&gt;"",K153&lt;&gt;""),IF(I153&lt;=K153*0.6,"年初来安値圏●",IF(I153&lt;=K153*0.75,"安値圏","通常")),"")</f>
        <v/>
      </c>
      <c r="W153" s="621">
        <f t="array" ref="W153">IFERROR(100-100/(1+SUMPRODUCT((終値!F166:R166&gt;終値!G166:S166)*(終値!F166:R166-終値!G166:S166))/SUMPRODUCT((終値!F166:R166&lt;終値!G166:S166)*(終値!G166:S166-終値!F166:R166))),50)</f>
        <v/>
      </c>
      <c r="X153" s="350">
        <f>IF(C153&lt;&gt;"",IFERROR(SUMPRODUCT(終値!E166:P166,{0.154,0.132,0.113,0.097,0.083,0.071,0.061,0.052,0.045,0.038,0.033,0.028})/SUMPRODUCT({0.154,0.132,0.113,0.097,0.083,0.071,0.061,0.052,0.045,0.038,0.033,0.028})-SUMPRODUCT(終値!E166:AD166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3" s="345">
        <f>IF(AF153="","",AF153&amp;" | "&amp;AD153&amp;IF(AE153&lt;&gt;"なし"," "&amp;AE153,"")&amp;IF(X153&lt;0," MACD-"," MACD+")&amp;" RSI:"&amp;TEXT(W153,"0.0")&amp;IF(W153&gt;=70," [過熱]",IF(W153&lt;=30," [売られ過ぎ]",""))&amp;" 前日比:"&amp;TEXT(Z153,"+0.0;-0.0;0.0")&amp;"%"&amp;IF(V153="年初来安値圏●"," [年初来安値圏]",IF(V153="安値圏"," [安値圏]",""))&amp;IF(OR(AO153="通常",AO153="-"),""," ["&amp;AO153&amp;"]")&amp;IF(OR(AT153="通常",AT153="-"),"","前日["&amp;AT153&amp;"]")&amp;" ["&amp;T153&amp;"点]")</f>
        <v/>
      </c>
      <c r="Z153" s="622">
        <f>IF(AND(E153&lt;&gt;"",G153&lt;&gt;"",G153&lt;&gt;0),(E153-G153)/G153*100,"")</f>
        <v/>
      </c>
      <c r="AA153" s="345">
        <f>IF(OR(C153="",E153="",E153=0),"",IF(E153&gt;G153,"上昇▲",IF(E153&lt;G153,"下落▼","横ばい→")))</f>
        <v/>
      </c>
      <c r="AB153" s="346">
        <f>IF(OR(C153="",C153="TOPX",終値!E166=""),"",IFERROR(((終値!E166*0.333)+(終値!F166*0.222)+(終値!G166*0.148)+(終値!H166*0.099)+(終値!I166*0.066))/(0.333+0.222+0.148+0.099+0.066),""))</f>
        <v/>
      </c>
      <c r="AC153" s="346">
        <f>IF(OR(C153="",C153="TOPX",終値!E166=""),"",IFERROR(SUMPRODUCT((終値!E166:AC166)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3" s="345">
        <f>IF(OR(C153="",AB153="",AC153="",AB153=0,AC153=0),"",IF(AND(E153&gt;AB153,AB153&gt;AC153),"パーフェクト▲",IF(E153&gt;AC153,"上昇トレンド▲",IF(AND(E153&lt;AB153,AB153&lt;AC153),"下降トレンド▼","もみ合い→"))))</f>
        <v/>
      </c>
      <c r="AE153" s="345">
        <f>IF(OR(C153="",AB153="",AC153=""),"",IF(AND(ABS(E153-AC153)/AC153&lt;=0.02,E153&lt;AC153),"25日戻り売り★",IF(AND(ABS(E153-AB153)/AB153&lt;=0.01,E153&lt;AB153),"5日戻り売り○","なし")))</f>
        <v/>
      </c>
      <c r="AF153">
        <f>IF(T153="","",IF(銘柄管理!$F$5="上昇▲",IF(AND(AD153="下降トレンド▼",OR(AE153="25日戻り売り★",AE153="5日戻り売り○")),"★逆張り売り",IF(AND(AD153="もみ合い→",OR(AE153="25日戻り売り★",AE153="5日戻り売り○")),"○逆張り売り",IF(W153&gt;=70,IF(Z153&lt;0,"◎反落確認","△過熱・様子見"),"相場上昇・見送り"))),IF(AND(T153&gt;=12,AD153="下降トレンド▼"),"★強い売り",IF(T153&gt;=12,"★強い売り",IF(AND(T153&gt;=8,OR(AE153="25日戻り売り★",AE153="5日戻り売り○")),"◎戻り売り",IF(T153&gt;=10,"○売り候補",IF(T153&gt;=6,"△注目",IF(T153&gt;=3,"様子見","見送り"))))))))</f>
        <v/>
      </c>
      <c r="AG153">
        <f>IF(AND(T153&gt;=7,C153&lt;&gt;""),T153,0)</f>
        <v/>
      </c>
      <c r="AH153">
        <f>IF(AG153&gt;0,AG153*10000-ROW(A153),0)</f>
        <v/>
      </c>
      <c r="AI153" s="623">
        <f t="array" ref="AI153">IF(C153="","",IFERROR((INDEX(終値!$E:$E,MATCH(TEXT(C153,"0"),終値!$A:$A,0))-INDEX(終値!$E:$BL,MATCH(TEXT(C153,"0"),終値!$A:$A,0),$AN$2))/INDEX(終値!$E:$BL,MATCH(TEXT(C153,"0"),終値!$A:$A,0),$AN$2)*100,""))</f>
        <v/>
      </c>
      <c r="AJ153" s="623">
        <f t="array" ref="AJ153">IFERROR((終値!$E$5-INDEX(終値!$E$5:$BL$5,1,$AN$2))/INDEX(終値!$E$5:$BL$5,1,$AN$2)*100,"")</f>
        <v/>
      </c>
      <c r="AK153" s="624">
        <f>IF(OR(AI153="",AJ153=""),"",AI153-AJ153)</f>
        <v/>
      </c>
      <c r="AL153" s="394">
        <f>IF(AK153="","",IF(AK153&lt;-5,3,IF(AK153&lt;0,1,IF(AK153&lt;3,-1,-2))))</f>
        <v/>
      </c>
      <c r="AO153" s="398">
        <f>IF(OR($C153="",$E153="",$F153="",$H153="",$I153="",$H153-$I153&lt;=0),"-",IF(AND($H153-MAX($F153,$E153)&gt;=ABS($E153-$F153)*2,MIN($F153,$E153)-$I153&lt;=ABS($E153-$F153)*0.5,ABS($E153-$F153)&gt;0),"上ヒゲ陰線▼",IF(AND($E153&lt;$F153,ABS($E153-$F153)&gt;=($H153-$I153)*0.7),"大陰線▼",IF(AND(MIN($F153,$E153)-$I153&gt;=($H153-$I153)*0.5,$H153-MAX($F153,$E153)&lt;=($H153-$I153)*0.2),"長い下ヒゲ(反発警戒)","通常"))))</f>
        <v/>
      </c>
      <c r="AP153" s="625">
        <f>IF($AO153="上ヒゲ陰線▼",2,IF($AO153="大陰線▼",2,IF($AO153="長い下ヒゲ(反発警戒)",-2,0)))</f>
        <v/>
      </c>
      <c r="AQ153">
        <f>IF(C153&lt;&gt;"",始値!F166,"")</f>
        <v/>
      </c>
      <c r="AR153">
        <f>IF(C153&lt;&gt;"",高値!F166,"")</f>
        <v/>
      </c>
      <c r="AS153">
        <f>IF(C153&lt;&gt;"",安値!F166,"")</f>
        <v/>
      </c>
      <c r="AT153">
        <f>IF(OR(C153="",AQ153="",AR153="",AS153="",AR153-AS153&lt;=0),"-",IF(AND(AR153-MAX(G153,AQ153)&gt;=ABS(G153-AQ153)*2,MIN(G153,AQ153)-AS153&lt;=ABS(G153-AQ153)*0.5,ABS(G153-AQ153)&gt;0),"上ヒゲ陰線▼",IF(AND(G153&lt;AQ153,ABS(G153-AQ153)&gt;=(AR153-AS153)*0.7),"大陰線▼",IF(AND(MIN(G153,AQ153)-AS153&gt;=(AR153-AS153)*0.5,AR153-MAX(G153,AQ153)&lt;=(AR153-AS153)*0.2),"長い下ヒゲ(反発)","通常"))))</f>
        <v/>
      </c>
      <c r="AU153">
        <f>IF(AT153="上ヒゲ陰線▼",2,IF(AT153="大陰線▼",2,IF(AT153="長い下ヒゲ(反発)",-2,0)))</f>
        <v/>
      </c>
    </row>
    <row r="154" ht="14.25" customHeight="1" s="574">
      <c r="A154" s="352">
        <f>IF(銘柄管理!B174&lt;&gt;"",HYPERLINK("https://kabutan.jp/stock/?code="&amp;銘柄管理!B174,"株探"),"")</f>
        <v/>
      </c>
      <c r="B154" s="225" t="n"/>
      <c r="C154" s="225">
        <f>IF(銘柄管理!B174="","",銘柄管理!B174)</f>
        <v/>
      </c>
      <c r="D154" s="225">
        <f>IF(銘柄管理!C174="","",銘柄管理!C174)</f>
        <v/>
      </c>
      <c r="E154" s="353">
        <f>IF(C154&lt;&gt;"",_xll.RssMarket(C154,"現在値"),"")</f>
        <v/>
      </c>
      <c r="F154" s="353">
        <f>IF(C154&lt;&gt;"",_xll.RssMarket(C154,"始値"),"")</f>
        <v/>
      </c>
      <c r="G154" s="225">
        <f>IF(C154&lt;&gt;"",終値!F174,"")</f>
        <v/>
      </c>
      <c r="H154" s="353">
        <f>IF(C154&lt;&gt;"",_xll.RssMarket(C154,"高値"),"")</f>
        <v/>
      </c>
      <c r="I154" s="353">
        <f>IF(C154&lt;&gt;"",_xll.RssMarket(C154,"安値"),"")</f>
        <v/>
      </c>
      <c r="J154" s="353">
        <f>IF(C154&lt;&gt;"",_xll.RssMarket(C154,"出来高"),"")</f>
        <v/>
      </c>
      <c r="K154" s="353">
        <f>IF(C154&lt;&gt;"",_xll.RssMarket(C154,"年初来高値"),"")</f>
        <v/>
      </c>
      <c r="L154" s="626">
        <f>IF(AND(E154&lt;&gt;"",K154&lt;&gt;"",K154&lt;&gt;0),(E154-K154)/K154*100,"")</f>
        <v/>
      </c>
      <c r="M154" s="353">
        <f>IF(C154&lt;&gt;"",IFERROR(AVERAGE(出来高!E174:I174),""),"")</f>
        <v/>
      </c>
      <c r="N154" s="353">
        <f>IF(C154&lt;&gt;"",IFERROR(AVERAGE(出来高!E174:AC174),""),"")</f>
        <v/>
      </c>
      <c r="O154" s="627">
        <f>IF(AND(J154&lt;&gt;"",M154&lt;&gt;"",M154&lt;&gt;0),J154/M154,"")</f>
        <v/>
      </c>
      <c r="P154" s="225">
        <f>IF(O154="","",IF(O154&gt;=2,"急増↑↑",IF(O154&gt;=1.5,"増加↑",IF(O154&gt;=1,"普通→","減少↓"))))</f>
        <v/>
      </c>
      <c r="Q154" s="225">
        <f>IF(E154="","",IF(AND(E154&lt;G154,O154&gt;=1.5),"売り▼",IF(E154&gt;G154,"様子見▲","中立→")))</f>
        <v/>
      </c>
      <c r="R154" s="353">
        <f>IF(E154&lt;&gt;"",ROUND(E154*0.92,0),"")</f>
        <v/>
      </c>
      <c r="S154" s="353">
        <f>IF(E154&lt;&gt;"",ROUND(E154*1.04,0),"")</f>
        <v/>
      </c>
      <c r="T154" s="345">
        <f>IF(C154="","",IFERROR(IF(W154&gt;=70,3,IF(W154&gt;=60,2,IF(W154&gt;=50,1,0)))+IF(X154&lt;0,2,0)+IF(AD154="下降トレンド▼",3,IF(AD154="もみ合い→",1,0))+IF(V154="年初来安値圏●",3,IF(V154="安値圏",2,0))+IF(Q154="売り▼",2,0)+IF(P154="急増↑↑",2,IF(P154="増加↑",1,0))+IF(Z154&lt;0,1,0)+IF(L154&lt;=-30,2,IF(L154&lt;=-15,1,0))+IF(AE154="25日戻り売り★",2,IF(AE154="5日戻り売り○",1,0))+N(AL154)+N(AP154)+N(AU154),0))</f>
        <v/>
      </c>
      <c r="U154" s="225">
        <f>IF(T154="","",IF(AND(T154&gt;=3,O154&gt;=1.5),"有効",IF(T154&gt;=3,"要確認","除外")))</f>
        <v/>
      </c>
      <c r="V154" s="225">
        <f>IF(AND(I154&lt;&gt;"",K154&lt;&gt;""),IF(I154&lt;=K154*0.6,"年初来安値圏●",IF(I154&lt;=K154*0.75,"安値圏","通常")),"")</f>
        <v/>
      </c>
      <c r="W154" s="628">
        <f t="array" ref="W154">IFERROR(100-100/(1+SUMPRODUCT((終値!F174:R174&gt;終値!G174:S174)*(終値!F174:R174-終値!G174:S174))/SUMPRODUCT((終値!F174:R174&lt;終値!G174:S174)*(終値!G174:S174-終値!F174:R174))),50)</f>
        <v/>
      </c>
      <c r="X154" s="357">
        <f>IF(C154&lt;&gt;"",IFERROR(SUMPRODUCT(終値!E174:P174,{0.154,0.132,0.113,0.097,0.083,0.071,0.061,0.052,0.045,0.038,0.033,0.028})/SUMPRODUCT({0.154,0.132,0.113,0.097,0.083,0.071,0.061,0.052,0.045,0.038,0.033,0.028})-SUMPRODUCT(終値!E174:AD174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4" s="225">
        <f>IF(AF154="","",AF154&amp;" | "&amp;AD154&amp;IF(AE154&lt;&gt;"なし"," "&amp;AE154,"")&amp;IF(X154&lt;0," MACD-"," MACD+")&amp;" RSI:"&amp;TEXT(W154,"0.0")&amp;IF(W154&gt;=70," [過熱]",IF(W154&lt;=30," [売られ過ぎ]",""))&amp;" 前日比:"&amp;TEXT(Z154,"+0.0;-0.0;0.0")&amp;"%"&amp;IF(V154="年初来安値圏●"," [年初来安値圏]",IF(V154="安値圏"," [安値圏]",""))&amp;IF(OR(AO154="通常",AO154="-"),""," ["&amp;AO154&amp;"]")&amp;IF(OR(AT154="通常",AT154="-"),"","前日["&amp;AT154&amp;"]")&amp;" ["&amp;T154&amp;"点]")</f>
        <v/>
      </c>
      <c r="Z154" s="629">
        <f>IF(AND(E154&lt;&gt;"",G154&lt;&gt;"",G154&lt;&gt;0),(E154-G154)/G154*100,"")</f>
        <v/>
      </c>
      <c r="AA154" s="225">
        <f>IF(OR(C154="",E154="",E154=0),"",IF(E154&gt;G154,"上昇▲",IF(E154&lt;G154,"下落▼","横ばい→")))</f>
        <v/>
      </c>
      <c r="AB154" s="353">
        <f>IF(OR(C154="",C154="TOPX",終値!E174=""),"",IFERROR(((終値!E174*0.333)+(終値!F174*0.222)+(終値!G174*0.148)+(終値!H174*0.099)+(終値!I174*0.066))/(0.333+0.222+0.148+0.099+0.066),""))</f>
        <v/>
      </c>
      <c r="AC154" s="353">
        <f>IF(OR(C154="",C154="TOPX",終値!E174=""),"",IFERROR(SUMPRODUCT((終値!E174:AC174)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4" s="225">
        <f>IF(OR(C154="",AB154="",AC154="",AB154=0,AC154=0),"",IF(AND(E154&gt;AB154,AB154&gt;AC154),"パーフェクト▲",IF(E154&gt;AC154,"上昇トレンド▲",IF(AND(E154&lt;AB154,AB154&lt;AC154),"下降トレンド▼","もみ合い→"))))</f>
        <v/>
      </c>
      <c r="AE154" s="225">
        <f>IF(OR(C154="",AB154="",AC154=""),"",IF(AND(ABS(E154-AC154)/AC154&lt;=0.02,E154&lt;AC154),"25日戻り売り★",IF(AND(ABS(E154-AB154)/AB154&lt;=0.01,E154&lt;AB154),"5日戻り売り○","なし")))</f>
        <v/>
      </c>
      <c r="AF154">
        <f>IF(T154="","",IF(銘柄管理!$F$5="上昇▲",IF(AND(AD154="下降トレンド▼",OR(AE154="25日戻り売り★",AE154="5日戻り売り○")),"★逆張り売り",IF(AND(AD154="もみ合い→",OR(AE154="25日戻り売り★",AE154="5日戻り売り○")),"○逆張り売り",IF(W154&gt;=70,IF(Z154&lt;0,"◎反落確認","△過熱・様子見"),"相場上昇・見送り"))),IF(AND(T154&gt;=12,AD154="下降トレンド▼"),"★強い売り",IF(T154&gt;=12,"★強い売り",IF(AND(T154&gt;=8,OR(AE154="25日戻り売り★",AE154="5日戻り売り○")),"◎戻り売り",IF(T154&gt;=10,"○売り候補",IF(T154&gt;=6,"△注目",IF(T154&gt;=3,"様子見","見送り"))))))))</f>
        <v/>
      </c>
      <c r="AG154">
        <f>IF(AND(T154&gt;=7,C154&lt;&gt;""),T154,0)</f>
        <v/>
      </c>
      <c r="AH154">
        <f>IF(AG154&gt;0,AG154*10000-ROW(A154),0)</f>
        <v/>
      </c>
      <c r="AI154" s="623">
        <f t="array" ref="AI154">IF(C154="","",IFERROR((INDEX(終値!$E:$E,MATCH(TEXT(C154,"0"),終値!$A:$A,0))-INDEX(終値!$E:$BL,MATCH(TEXT(C154,"0"),終値!$A:$A,0),$AN$2))/INDEX(終値!$E:$BL,MATCH(TEXT(C154,"0"),終値!$A:$A,0),$AN$2)*100,""))</f>
        <v/>
      </c>
      <c r="AJ154" s="623">
        <f t="array" ref="AJ154">IFERROR((終値!$E$5-INDEX(終値!$E$5:$BL$5,1,$AN$2))/INDEX(終値!$E$5:$BL$5,1,$AN$2)*100,"")</f>
        <v/>
      </c>
      <c r="AK154" s="624">
        <f>IF(OR(AI154="",AJ154=""),"",AI154-AJ154)</f>
        <v/>
      </c>
      <c r="AL154" s="394">
        <f>IF(AK154="","",IF(AK154&lt;-5,3,IF(AK154&lt;0,1,IF(AK154&lt;3,-1,-2))))</f>
        <v/>
      </c>
      <c r="AO154" s="398">
        <f>IF(OR($C154="",$E154="",$F154="",$H154="",$I154="",$H154-$I154&lt;=0),"-",IF(AND($H154-MAX($F154,$E154)&gt;=ABS($E154-$F154)*2,MIN($F154,$E154)-$I154&lt;=ABS($E154-$F154)*0.5,ABS($E154-$F154)&gt;0),"上ヒゲ陰線▼",IF(AND($E154&lt;$F154,ABS($E154-$F154)&gt;=($H154-$I154)*0.7),"大陰線▼",IF(AND(MIN($F154,$E154)-$I154&gt;=($H154-$I154)*0.5,$H154-MAX($F154,$E154)&lt;=($H154-$I154)*0.2),"長い下ヒゲ(反発警戒)","通常"))))</f>
        <v/>
      </c>
      <c r="AP154" s="625">
        <f>IF($AO154="上ヒゲ陰線▼",2,IF($AO154="大陰線▼",2,IF($AO154="長い下ヒゲ(反発警戒)",-2,0)))</f>
        <v/>
      </c>
      <c r="AQ154">
        <f>IF(C154&lt;&gt;"",始値!F174,"")</f>
        <v/>
      </c>
      <c r="AR154">
        <f>IF(C154&lt;&gt;"",高値!F174,"")</f>
        <v/>
      </c>
      <c r="AS154">
        <f>IF(C154&lt;&gt;"",安値!F174,"")</f>
        <v/>
      </c>
      <c r="AT154">
        <f>IF(OR(C154="",AQ154="",AR154="",AS154="",AR154-AS154&lt;=0),"-",IF(AND(AR154-MAX(G154,AQ154)&gt;=ABS(G154-AQ154)*2,MIN(G154,AQ154)-AS154&lt;=ABS(G154-AQ154)*0.5,ABS(G154-AQ154)&gt;0),"上ヒゲ陰線▼",IF(AND(G154&lt;AQ154,ABS(G154-AQ154)&gt;=(AR154-AS154)*0.7),"大陰線▼",IF(AND(MIN(G154,AQ154)-AS154&gt;=(AR154-AS154)*0.5,AR154-MAX(G154,AQ154)&lt;=(AR154-AS154)*0.2),"長い下ヒゲ(反発)","通常"))))</f>
        <v/>
      </c>
      <c r="AU154">
        <f>IF(AT154="上ヒゲ陰線▼",2,IF(AT154="大陰線▼",2,IF(AT154="長い下ヒゲ(反発)",-2,0)))</f>
        <v/>
      </c>
    </row>
    <row r="155" ht="14.25" customHeight="1" s="574">
      <c r="A155" s="344">
        <f>IF(銘柄管理!B178&lt;&gt;"",HYPERLINK("https://kabutan.jp/stock/?code="&amp;銘柄管理!B178,"株探"),"")</f>
        <v/>
      </c>
      <c r="B155" s="345" t="n"/>
      <c r="C155" s="345">
        <f>IF(銘柄管理!B178="","",銘柄管理!B178)</f>
        <v/>
      </c>
      <c r="D155" s="345">
        <f>IF(銘柄管理!C178="","",銘柄管理!C178)</f>
        <v/>
      </c>
      <c r="E155" s="346">
        <f>IF(C155&lt;&gt;"",_xll.RssMarket(C155,"現在値"),"")</f>
        <v/>
      </c>
      <c r="F155" s="346">
        <f>IF(C155&lt;&gt;"",_xll.RssMarket(C155,"始値"),"")</f>
        <v/>
      </c>
      <c r="G155" s="345">
        <f>IF(C155&lt;&gt;"",終値!F178,"")</f>
        <v/>
      </c>
      <c r="H155" s="346">
        <f>IF(C155&lt;&gt;"",_xll.RssMarket(C155,"高値"),"")</f>
        <v/>
      </c>
      <c r="I155" s="346">
        <f>IF(C155&lt;&gt;"",_xll.RssMarket(C155,"安値"),"")</f>
        <v/>
      </c>
      <c r="J155" s="346">
        <f>IF(C155&lt;&gt;"",_xll.RssMarket(C155,"出来高"),"")</f>
        <v/>
      </c>
      <c r="K155" s="346">
        <f>IF(C155&lt;&gt;"",_xll.RssMarket(C155,"年初来高値"),"")</f>
        <v/>
      </c>
      <c r="L155" s="619">
        <f>IF(AND(E155&lt;&gt;"",K155&lt;&gt;"",K155&lt;&gt;0),(E155-K155)/K155*100,"")</f>
        <v/>
      </c>
      <c r="M155" s="346">
        <f>IF(C155&lt;&gt;"",IFERROR(AVERAGE(出来高!E178:I178),""),"")</f>
        <v/>
      </c>
      <c r="N155" s="346">
        <f>IF(C155&lt;&gt;"",IFERROR(AVERAGE(出来高!E178:AC178),""),"")</f>
        <v/>
      </c>
      <c r="O155" s="620">
        <f>IF(AND(J155&lt;&gt;"",M155&lt;&gt;"",M155&lt;&gt;0),J155/M155,"")</f>
        <v/>
      </c>
      <c r="P155" s="345">
        <f>IF(O155="","",IF(O155&gt;=2,"急増↑↑",IF(O155&gt;=1.5,"増加↑",IF(O155&gt;=1,"普通→","減少↓"))))</f>
        <v/>
      </c>
      <c r="Q155" s="345">
        <f>IF(E155="","",IF(AND(E155&lt;G155,O155&gt;=1.5),"売り▼",IF(E155&gt;G155,"様子見▲","中立→")))</f>
        <v/>
      </c>
      <c r="R155" s="346">
        <f>IF(E155&lt;&gt;"",ROUND(E155*0.92,0),"")</f>
        <v/>
      </c>
      <c r="S155" s="346">
        <f>IF(E155&lt;&gt;"",ROUND(E155*1.04,0),"")</f>
        <v/>
      </c>
      <c r="T155" s="345">
        <f>IF(C155="","",IFERROR(IF(W155&gt;=70,3,IF(W155&gt;=60,2,IF(W155&gt;=50,1,0)))+IF(X155&lt;0,2,0)+IF(AD155="下降トレンド▼",3,IF(AD155="もみ合い→",1,0))+IF(V155="年初来安値圏●",3,IF(V155="安値圏",2,0))+IF(Q155="売り▼",2,0)+IF(P155="急増↑↑",2,IF(P155="増加↑",1,0))+IF(Z155&lt;0,1,0)+IF(L155&lt;=-30,2,IF(L155&lt;=-15,1,0))+IF(AE155="25日戻り売り★",2,IF(AE155="5日戻り売り○",1,0))+N(AL155)+N(AP155)+N(AU155),0))</f>
        <v/>
      </c>
      <c r="U155" s="345">
        <f>IF(T155="","",IF(AND(T155&gt;=3,O155&gt;=1.5),"有効",IF(T155&gt;=3,"要確認","除外")))</f>
        <v/>
      </c>
      <c r="V155" s="345">
        <f>IF(AND(I155&lt;&gt;"",K155&lt;&gt;""),IF(I155&lt;=K155*0.6,"年初来安値圏●",IF(I155&lt;=K155*0.75,"安値圏","通常")),"")</f>
        <v/>
      </c>
      <c r="W155" s="621">
        <f t="array" ref="W155">IFERROR(100-100/(1+SUMPRODUCT((終値!F178:R178&gt;終値!G178:S178)*(終値!F178:R178-終値!G178:S178))/SUMPRODUCT((終値!F178:R178&lt;終値!G178:S178)*(終値!G178:S178-終値!F178:R178))),50)</f>
        <v/>
      </c>
      <c r="X155" s="350">
        <f>IF(C155&lt;&gt;"",IFERROR(SUMPRODUCT(終値!E178:P178,{0.154,0.132,0.113,0.097,0.083,0.071,0.061,0.052,0.045,0.038,0.033,0.028})/SUMPRODUCT({0.154,0.132,0.113,0.097,0.083,0.071,0.061,0.052,0.045,0.038,0.033,0.028})-SUMPRODUCT(終値!E178:AD178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5" s="345">
        <f>IF(AF155="","",AF155&amp;" | "&amp;AD155&amp;IF(AE155&lt;&gt;"なし"," "&amp;AE155,"")&amp;IF(X155&lt;0," MACD-"," MACD+")&amp;" RSI:"&amp;TEXT(W155,"0.0")&amp;IF(W155&gt;=70," [過熱]",IF(W155&lt;=30," [売られ過ぎ]",""))&amp;" 前日比:"&amp;TEXT(Z155,"+0.0;-0.0;0.0")&amp;"%"&amp;IF(V155="年初来安値圏●"," [年初来安値圏]",IF(V155="安値圏"," [安値圏]",""))&amp;IF(OR(AO155="通常",AO155="-"),""," ["&amp;AO155&amp;"]")&amp;IF(OR(AT155="通常",AT155="-"),"","前日["&amp;AT155&amp;"]")&amp;" ["&amp;T155&amp;"点]")</f>
        <v/>
      </c>
      <c r="Z155" s="622">
        <f>IF(AND(E155&lt;&gt;"",G155&lt;&gt;"",G155&lt;&gt;0),(E155-G155)/G155*100,"")</f>
        <v/>
      </c>
      <c r="AA155" s="345">
        <f>IF(OR(C155="",E155="",E155=0),"",IF(E155&gt;G155,"上昇▲",IF(E155&lt;G155,"下落▼","横ばい→")))</f>
        <v/>
      </c>
      <c r="AB155" s="346">
        <f>IF(OR(C155="",C155="TOPX",終値!E178=""),"",IFERROR(((終値!E178*0.333)+(終値!F178*0.222)+(終値!G178*0.148)+(終値!H178*0.099)+(終値!I178*0.066))/(0.333+0.222+0.148+0.099+0.066),""))</f>
        <v/>
      </c>
      <c r="AC155" s="346">
        <f>IF(OR(C155="",C155="TOPX",終値!E178=""),"",IFERROR(SUMPRODUCT((終値!E178:AC178)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5" s="345">
        <f>IF(OR(C155="",AB155="",AC155="",AB155=0,AC155=0),"",IF(AND(E155&gt;AB155,AB155&gt;AC155),"パーフェクト▲",IF(E155&gt;AC155,"上昇トレンド▲",IF(AND(E155&lt;AB155,AB155&lt;AC155),"下降トレンド▼","もみ合い→"))))</f>
        <v/>
      </c>
      <c r="AE155" s="345">
        <f>IF(OR(C155="",AB155="",AC155=""),"",IF(AND(ABS(E155-AC155)/AC155&lt;=0.02,E155&lt;AC155),"25日戻り売り★",IF(AND(ABS(E155-AB155)/AB155&lt;=0.01,E155&lt;AB155),"5日戻り売り○","なし")))</f>
        <v/>
      </c>
      <c r="AF155">
        <f>IF(T155="","",IF(銘柄管理!$F$5="上昇▲",IF(AND(AD155="下降トレンド▼",OR(AE155="25日戻り売り★",AE155="5日戻り売り○")),"★逆張り売り",IF(AND(AD155="もみ合い→",OR(AE155="25日戻り売り★",AE155="5日戻り売り○")),"○逆張り売り",IF(W155&gt;=70,IF(Z155&lt;0,"◎反落確認","△過熱・様子見"),"相場上昇・見送り"))),IF(AND(T155&gt;=12,AD155="下降トレンド▼"),"★強い売り",IF(T155&gt;=12,"★強い売り",IF(AND(T155&gt;=8,OR(AE155="25日戻り売り★",AE155="5日戻り売り○")),"◎戻り売り",IF(T155&gt;=10,"○売り候補",IF(T155&gt;=6,"△注目",IF(T155&gt;=3,"様子見","見送り"))))))))</f>
        <v/>
      </c>
      <c r="AG155">
        <f>IF(AND(T155&gt;=7,C155&lt;&gt;""),T155,0)</f>
        <v/>
      </c>
      <c r="AH155">
        <f>IF(AG155&gt;0,AG155*10000-ROW(A155),0)</f>
        <v/>
      </c>
      <c r="AI155" s="623">
        <f t="array" ref="AI155">IF(C155="","",IFERROR((INDEX(終値!$E:$E,MATCH(TEXT(C155,"0"),終値!$A:$A,0))-INDEX(終値!$E:$BL,MATCH(TEXT(C155,"0"),終値!$A:$A,0),$AN$2))/INDEX(終値!$E:$BL,MATCH(TEXT(C155,"0"),終値!$A:$A,0),$AN$2)*100,""))</f>
        <v/>
      </c>
      <c r="AJ155" s="623">
        <f t="array" ref="AJ155">IFERROR((終値!$E$5-INDEX(終値!$E$5:$BL$5,1,$AN$2))/INDEX(終値!$E$5:$BL$5,1,$AN$2)*100,"")</f>
        <v/>
      </c>
      <c r="AK155" s="624">
        <f>IF(OR(AI155="",AJ155=""),"",AI155-AJ155)</f>
        <v/>
      </c>
      <c r="AL155" s="394">
        <f>IF(AK155="","",IF(AK155&lt;-5,3,IF(AK155&lt;0,1,IF(AK155&lt;3,-1,-2))))</f>
        <v/>
      </c>
      <c r="AO155" s="398">
        <f>IF(OR($C155="",$E155="",$F155="",$H155="",$I155="",$H155-$I155&lt;=0),"-",IF(AND($H155-MAX($F155,$E155)&gt;=ABS($E155-$F155)*2,MIN($F155,$E155)-$I155&lt;=ABS($E155-$F155)*0.5,ABS($E155-$F155)&gt;0),"上ヒゲ陰線▼",IF(AND($E155&lt;$F155,ABS($E155-$F155)&gt;=($H155-$I155)*0.7),"大陰線▼",IF(AND(MIN($F155,$E155)-$I155&gt;=($H155-$I155)*0.5,$H155-MAX($F155,$E155)&lt;=($H155-$I155)*0.2),"長い下ヒゲ(反発警戒)","通常"))))</f>
        <v/>
      </c>
      <c r="AP155" s="625">
        <f>IF($AO155="上ヒゲ陰線▼",2,IF($AO155="大陰線▼",2,IF($AO155="長い下ヒゲ(反発警戒)",-2,0)))</f>
        <v/>
      </c>
      <c r="AQ155">
        <f>IF(C155&lt;&gt;"",始値!F178,"")</f>
        <v/>
      </c>
      <c r="AR155">
        <f>IF(C155&lt;&gt;"",高値!F178,"")</f>
        <v/>
      </c>
      <c r="AS155">
        <f>IF(C155&lt;&gt;"",安値!F178,"")</f>
        <v/>
      </c>
      <c r="AT155">
        <f>IF(OR(C155="",AQ155="",AR155="",AS155="",AR155-AS155&lt;=0),"-",IF(AND(AR155-MAX(G155,AQ155)&gt;=ABS(G155-AQ155)*2,MIN(G155,AQ155)-AS155&lt;=ABS(G155-AQ155)*0.5,ABS(G155-AQ155)&gt;0),"上ヒゲ陰線▼",IF(AND(G155&lt;AQ155,ABS(G155-AQ155)&gt;=(AR155-AS155)*0.7),"大陰線▼",IF(AND(MIN(G155,AQ155)-AS155&gt;=(AR155-AS155)*0.5,AR155-MAX(G155,AQ155)&lt;=(AR155-AS155)*0.2),"長い下ヒゲ(反発)","通常"))))</f>
        <v/>
      </c>
      <c r="AU155">
        <f>IF(AT155="上ヒゲ陰線▼",2,IF(AT155="大陰線▼",2,IF(AT155="長い下ヒゲ(反発)",-2,0)))</f>
        <v/>
      </c>
    </row>
    <row r="156" ht="14.25" customHeight="1" s="574">
      <c r="A156" s="352">
        <f>IF(銘柄管理!B180&lt;&gt;"",HYPERLINK("https://kabutan.jp/stock/?code="&amp;銘柄管理!B180,"株探"),"")</f>
        <v/>
      </c>
      <c r="B156" s="225" t="n"/>
      <c r="C156" s="225">
        <f>IF(銘柄管理!B180="","",銘柄管理!B180)</f>
        <v/>
      </c>
      <c r="D156" s="225">
        <f>IF(銘柄管理!C180="","",銘柄管理!C180)</f>
        <v/>
      </c>
      <c r="E156" s="353">
        <f>IF(C156&lt;&gt;"",_xll.RssMarket(C156,"現在値"),"")</f>
        <v/>
      </c>
      <c r="F156" s="353">
        <f>IF(C156&lt;&gt;"",_xll.RssMarket(C156,"始値"),"")</f>
        <v/>
      </c>
      <c r="G156" s="225">
        <f>IF(C156&lt;&gt;"",終値!F180,"")</f>
        <v/>
      </c>
      <c r="H156" s="353">
        <f>IF(C156&lt;&gt;"",_xll.RssMarket(C156,"高値"),"")</f>
        <v/>
      </c>
      <c r="I156" s="353">
        <f>IF(C156&lt;&gt;"",_xll.RssMarket(C156,"安値"),"")</f>
        <v/>
      </c>
      <c r="J156" s="353">
        <f>IF(C156&lt;&gt;"",_xll.RssMarket(C156,"出来高"),"")</f>
        <v/>
      </c>
      <c r="K156" s="353">
        <f>IF(C156&lt;&gt;"",_xll.RssMarket(C156,"年初来高値"),"")</f>
        <v/>
      </c>
      <c r="L156" s="626">
        <f>IF(AND(E156&lt;&gt;"",K156&lt;&gt;"",K156&lt;&gt;0),(E156-K156)/K156*100,"")</f>
        <v/>
      </c>
      <c r="M156" s="353">
        <f>IF(C156&lt;&gt;"",IFERROR(AVERAGE(出来高!E180:I180),""),"")</f>
        <v/>
      </c>
      <c r="N156" s="353">
        <f>IF(C156&lt;&gt;"",IFERROR(AVERAGE(出来高!E180:AC180),""),"")</f>
        <v/>
      </c>
      <c r="O156" s="627">
        <f>IF(AND(J156&lt;&gt;"",M156&lt;&gt;"",M156&lt;&gt;0),J156/M156,"")</f>
        <v/>
      </c>
      <c r="P156" s="225">
        <f>IF(O156="","",IF(O156&gt;=2,"急増↑↑",IF(O156&gt;=1.5,"増加↑",IF(O156&gt;=1,"普通→","減少↓"))))</f>
        <v/>
      </c>
      <c r="Q156" s="225">
        <f>IF(E156="","",IF(AND(E156&lt;G156,O156&gt;=1.5),"売り▼",IF(E156&gt;G156,"様子見▲","中立→")))</f>
        <v/>
      </c>
      <c r="R156" s="353">
        <f>IF(E156&lt;&gt;"",ROUND(E156*0.92,0),"")</f>
        <v/>
      </c>
      <c r="S156" s="353">
        <f>IF(E156&lt;&gt;"",ROUND(E156*1.04,0),"")</f>
        <v/>
      </c>
      <c r="T156" s="345">
        <f>IF(C156="","",IFERROR(IF(W156&gt;=70,3,IF(W156&gt;=60,2,IF(W156&gt;=50,1,0)))+IF(X156&lt;0,2,0)+IF(AD156="下降トレンド▼",3,IF(AD156="もみ合い→",1,0))+IF(V156="年初来安値圏●",3,IF(V156="安値圏",2,0))+IF(Q156="売り▼",2,0)+IF(P156="急増↑↑",2,IF(P156="増加↑",1,0))+IF(Z156&lt;0,1,0)+IF(L156&lt;=-30,2,IF(L156&lt;=-15,1,0))+IF(AE156="25日戻り売り★",2,IF(AE156="5日戻り売り○",1,0))+N(AL156)+N(AP156)+N(AU156),0))</f>
        <v/>
      </c>
      <c r="U156" s="225">
        <f>IF(T156="","",IF(AND(T156&gt;=3,O156&gt;=1.5),"有効",IF(T156&gt;=3,"要確認","除外")))</f>
        <v/>
      </c>
      <c r="V156" s="225">
        <f>IF(AND(I156&lt;&gt;"",K156&lt;&gt;""),IF(I156&lt;=K156*0.6,"年初来安値圏●",IF(I156&lt;=K156*0.75,"安値圏","通常")),"")</f>
        <v/>
      </c>
      <c r="W156" s="628">
        <f t="array" ref="W156">IFERROR(100-100/(1+SUMPRODUCT((終値!F180:R180&gt;終値!G180:S180)*(終値!F180:R180-終値!G180:S180))/SUMPRODUCT((終値!F180:R180&lt;終値!G180:S180)*(終値!G180:S180-終値!F180:R180))),50)</f>
        <v/>
      </c>
      <c r="X156" s="357">
        <f>IF(C156&lt;&gt;"",IFERROR(SUMPRODUCT(終値!E180:P180,{0.154,0.132,0.113,0.097,0.083,0.071,0.061,0.052,0.045,0.038,0.033,0.028})/SUMPRODUCT({0.154,0.132,0.113,0.097,0.083,0.071,0.061,0.052,0.045,0.038,0.033,0.028})-SUMPRODUCT(終値!E180:AD180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6" s="225">
        <f>IF(AF156="","",AF156&amp;" | "&amp;AD156&amp;IF(AE156&lt;&gt;"なし"," "&amp;AE156,"")&amp;IF(X156&lt;0," MACD-"," MACD+")&amp;" RSI:"&amp;TEXT(W156,"0.0")&amp;IF(W156&gt;=70," [過熱]",IF(W156&lt;=30," [売られ過ぎ]",""))&amp;" 前日比:"&amp;TEXT(Z156,"+0.0;-0.0;0.0")&amp;"%"&amp;IF(V156="年初来安値圏●"," [年初来安値圏]",IF(V156="安値圏"," [安値圏]",""))&amp;IF(OR(AO156="通常",AO156="-"),""," ["&amp;AO156&amp;"]")&amp;IF(OR(AT156="通常",AT156="-"),"","前日["&amp;AT156&amp;"]")&amp;" ["&amp;T156&amp;"点]")</f>
        <v/>
      </c>
      <c r="Z156" s="629">
        <f>IF(AND(E156&lt;&gt;"",G156&lt;&gt;"",G156&lt;&gt;0),(E156-G156)/G156*100,"")</f>
        <v/>
      </c>
      <c r="AA156" s="225">
        <f>IF(OR(C156="",E156="",E156=0),"",IF(E156&gt;G156,"上昇▲",IF(E156&lt;G156,"下落▼","横ばい→")))</f>
        <v/>
      </c>
      <c r="AB156" s="353">
        <f>IF(OR(C156="",C156="TOPX",終値!E180=""),"",IFERROR(((終値!E180*0.333)+(終値!F180*0.222)+(終値!G180*0.148)+(終値!H180*0.099)+(終値!I180*0.066))/(0.333+0.222+0.148+0.099+0.066),""))</f>
        <v/>
      </c>
      <c r="AC156" s="353">
        <f>IF(OR(C156="",C156="TOPX",終値!E180=""),"",IFERROR(SUMPRODUCT((終値!E180:AC180)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6" s="225">
        <f>IF(OR(C156="",AB156="",AC156="",AB156=0,AC156=0),"",IF(AND(E156&gt;AB156,AB156&gt;AC156),"パーフェクト▲",IF(E156&gt;AC156,"上昇トレンド▲",IF(AND(E156&lt;AB156,AB156&lt;AC156),"下降トレンド▼","もみ合い→"))))</f>
        <v/>
      </c>
      <c r="AE156" s="225">
        <f>IF(OR(C156="",AB156="",AC156=""),"",IF(AND(ABS(E156-AC156)/AC156&lt;=0.02,E156&lt;AC156),"25日戻り売り★",IF(AND(ABS(E156-AB156)/AB156&lt;=0.01,E156&lt;AB156),"5日戻り売り○","なし")))</f>
        <v/>
      </c>
      <c r="AF156">
        <f>IF(T156="","",IF(銘柄管理!$F$5="上昇▲",IF(AND(AD156="下降トレンド▼",OR(AE156="25日戻り売り★",AE156="5日戻り売り○")),"★逆張り売り",IF(AND(AD156="もみ合い→",OR(AE156="25日戻り売り★",AE156="5日戻り売り○")),"○逆張り売り",IF(W156&gt;=70,IF(Z156&lt;0,"◎反落確認","△過熱・様子見"),"相場上昇・見送り"))),IF(AND(T156&gt;=12,AD156="下降トレンド▼"),"★強い売り",IF(T156&gt;=12,"★強い売り",IF(AND(T156&gt;=8,OR(AE156="25日戻り売り★",AE156="5日戻り売り○")),"◎戻り売り",IF(T156&gt;=10,"○売り候補",IF(T156&gt;=6,"△注目",IF(T156&gt;=3,"様子見","見送り"))))))))</f>
        <v/>
      </c>
      <c r="AG156">
        <f>IF(AND(T156&gt;=7,C156&lt;&gt;""),T156,0)</f>
        <v/>
      </c>
      <c r="AH156">
        <f>IF(AG156&gt;0,AG156*10000-ROW(A156),0)</f>
        <v/>
      </c>
      <c r="AI156" s="623">
        <f t="array" ref="AI156">IF(C156="","",IFERROR((INDEX(終値!$E:$E,MATCH(TEXT(C156,"0"),終値!$A:$A,0))-INDEX(終値!$E:$BL,MATCH(TEXT(C156,"0"),終値!$A:$A,0),$AN$2))/INDEX(終値!$E:$BL,MATCH(TEXT(C156,"0"),終値!$A:$A,0),$AN$2)*100,""))</f>
        <v/>
      </c>
      <c r="AJ156" s="623">
        <f t="array" ref="AJ156">IFERROR((終値!$E$5-INDEX(終値!$E$5:$BL$5,1,$AN$2))/INDEX(終値!$E$5:$BL$5,1,$AN$2)*100,"")</f>
        <v/>
      </c>
      <c r="AK156" s="624">
        <f>IF(OR(AI156="",AJ156=""),"",AI156-AJ156)</f>
        <v/>
      </c>
      <c r="AL156" s="394">
        <f>IF(AK156="","",IF(AK156&lt;-5,3,IF(AK156&lt;0,1,IF(AK156&lt;3,-1,-2))))</f>
        <v/>
      </c>
      <c r="AO156" s="398">
        <f>IF(OR($C156="",$E156="",$F156="",$H156="",$I156="",$H156-$I156&lt;=0),"-",IF(AND($H156-MAX($F156,$E156)&gt;=ABS($E156-$F156)*2,MIN($F156,$E156)-$I156&lt;=ABS($E156-$F156)*0.5,ABS($E156-$F156)&gt;0),"上ヒゲ陰線▼",IF(AND($E156&lt;$F156,ABS($E156-$F156)&gt;=($H156-$I156)*0.7),"大陰線▼",IF(AND(MIN($F156,$E156)-$I156&gt;=($H156-$I156)*0.5,$H156-MAX($F156,$E156)&lt;=($H156-$I156)*0.2),"長い下ヒゲ(反発警戒)","通常"))))</f>
        <v/>
      </c>
      <c r="AP156" s="625">
        <f>IF($AO156="上ヒゲ陰線▼",2,IF($AO156="大陰線▼",2,IF($AO156="長い下ヒゲ(反発警戒)",-2,0)))</f>
        <v/>
      </c>
      <c r="AQ156">
        <f>IF(C156&lt;&gt;"",始値!F180,"")</f>
        <v/>
      </c>
      <c r="AR156">
        <f>IF(C156&lt;&gt;"",高値!F180,"")</f>
        <v/>
      </c>
      <c r="AS156">
        <f>IF(C156&lt;&gt;"",安値!F180,"")</f>
        <v/>
      </c>
      <c r="AT156">
        <f>IF(OR(C156="",AQ156="",AR156="",AS156="",AR156-AS156&lt;=0),"-",IF(AND(AR156-MAX(G156,AQ156)&gt;=ABS(G156-AQ156)*2,MIN(G156,AQ156)-AS156&lt;=ABS(G156-AQ156)*0.5,ABS(G156-AQ156)&gt;0),"上ヒゲ陰線▼",IF(AND(G156&lt;AQ156,ABS(G156-AQ156)&gt;=(AR156-AS156)*0.7),"大陰線▼",IF(AND(MIN(G156,AQ156)-AS156&gt;=(AR156-AS156)*0.5,AR156-MAX(G156,AQ156)&lt;=(AR156-AS156)*0.2),"長い下ヒゲ(反発)","通常"))))</f>
        <v/>
      </c>
      <c r="AU156">
        <f>IF(AT156="上ヒゲ陰線▼",2,IF(AT156="大陰線▼",2,IF(AT156="長い下ヒゲ(反発)",-2,0)))</f>
        <v/>
      </c>
    </row>
    <row r="157" ht="14.25" customHeight="1" s="574">
      <c r="A157" s="344">
        <f>IF(銘柄管理!B181&lt;&gt;"",HYPERLINK("https://kabutan.jp/stock/?code="&amp;銘柄管理!B181,"株探"),"")</f>
        <v/>
      </c>
      <c r="B157" s="345" t="n"/>
      <c r="C157" s="345">
        <f>IF(銘柄管理!B181="","",銘柄管理!B181)</f>
        <v/>
      </c>
      <c r="D157" s="345">
        <f>IF(銘柄管理!C181="","",銘柄管理!C181)</f>
        <v/>
      </c>
      <c r="E157" s="346">
        <f>IF(C157&lt;&gt;"",_xll.RssMarket(C157,"現在値"),"")</f>
        <v/>
      </c>
      <c r="F157" s="346">
        <f>IF(C157&lt;&gt;"",_xll.RssMarket(C157,"始値"),"")</f>
        <v/>
      </c>
      <c r="G157" s="345">
        <f>IF(C157&lt;&gt;"",終値!F181,"")</f>
        <v/>
      </c>
      <c r="H157" s="346">
        <f>IF(C157&lt;&gt;"",_xll.RssMarket(C157,"高値"),"")</f>
        <v/>
      </c>
      <c r="I157" s="346">
        <f>IF(C157&lt;&gt;"",_xll.RssMarket(C157,"安値"),"")</f>
        <v/>
      </c>
      <c r="J157" s="346">
        <f>IF(C157&lt;&gt;"",_xll.RssMarket(C157,"出来高"),"")</f>
        <v/>
      </c>
      <c r="K157" s="346">
        <f>IF(C157&lt;&gt;"",_xll.RssMarket(C157,"年初来高値"),"")</f>
        <v/>
      </c>
      <c r="L157" s="619">
        <f>IF(AND(E157&lt;&gt;"",K157&lt;&gt;"",K157&lt;&gt;0),(E157-K157)/K157*100,"")</f>
        <v/>
      </c>
      <c r="M157" s="346">
        <f>IF(C157&lt;&gt;"",IFERROR(AVERAGE(出来高!E181:I181),""),"")</f>
        <v/>
      </c>
      <c r="N157" s="346">
        <f>IF(C157&lt;&gt;"",IFERROR(AVERAGE(出来高!E181:AC181),""),"")</f>
        <v/>
      </c>
      <c r="O157" s="620">
        <f>IF(AND(J157&lt;&gt;"",M157&lt;&gt;"",M157&lt;&gt;0),J157/M157,"")</f>
        <v/>
      </c>
      <c r="P157" s="345">
        <f>IF(O157="","",IF(O157&gt;=2,"急増↑↑",IF(O157&gt;=1.5,"増加↑",IF(O157&gt;=1,"普通→","減少↓"))))</f>
        <v/>
      </c>
      <c r="Q157" s="345">
        <f>IF(E157="","",IF(AND(E157&lt;G157,O157&gt;=1.5),"売り▼",IF(E157&gt;G157,"様子見▲","中立→")))</f>
        <v/>
      </c>
      <c r="R157" s="346">
        <f>IF(E157&lt;&gt;"",ROUND(E157*0.92,0),"")</f>
        <v/>
      </c>
      <c r="S157" s="346">
        <f>IF(E157&lt;&gt;"",ROUND(E157*1.04,0),"")</f>
        <v/>
      </c>
      <c r="T157" s="345">
        <f>IF(C157="","",IFERROR(IF(W157&gt;=70,3,IF(W157&gt;=60,2,IF(W157&gt;=50,1,0)))+IF(X157&lt;0,2,0)+IF(AD157="下降トレンド▼",3,IF(AD157="もみ合い→",1,0))+IF(V157="年初来安値圏●",3,IF(V157="安値圏",2,0))+IF(Q157="売り▼",2,0)+IF(P157="急増↑↑",2,IF(P157="増加↑",1,0))+IF(Z157&lt;0,1,0)+IF(L157&lt;=-30,2,IF(L157&lt;=-15,1,0))+IF(AE157="25日戻り売り★",2,IF(AE157="5日戻り売り○",1,0))+N(AL157)+N(AP157)+N(AU157),0))</f>
        <v/>
      </c>
      <c r="U157" s="345">
        <f>IF(T157="","",IF(AND(T157&gt;=3,O157&gt;=1.5),"有効",IF(T157&gt;=3,"要確認","除外")))</f>
        <v/>
      </c>
      <c r="V157" s="345">
        <f>IF(AND(I157&lt;&gt;"",K157&lt;&gt;""),IF(I157&lt;=K157*0.6,"年初来安値圏●",IF(I157&lt;=K157*0.75,"安値圏","通常")),"")</f>
        <v/>
      </c>
      <c r="W157" s="621">
        <f t="array" ref="W157">IFERROR(100-100/(1+SUMPRODUCT((終値!F181:R181&gt;終値!G181:S181)*(終値!F181:R181-終値!G181:S181))/SUMPRODUCT((終値!F181:R181&lt;終値!G181:S181)*(終値!G181:S181-終値!F181:R181))),50)</f>
        <v/>
      </c>
      <c r="X157" s="350">
        <f>IF(C157&lt;&gt;"",IFERROR(SUMPRODUCT(終値!E181:P181,{0.154,0.132,0.113,0.097,0.083,0.071,0.061,0.052,0.045,0.038,0.033,0.028})/SUMPRODUCT({0.154,0.132,0.113,0.097,0.083,0.071,0.061,0.052,0.045,0.038,0.033,0.028})-SUMPRODUCT(終値!E181:AD181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7" s="345">
        <f>IF(AF157="","",AF157&amp;" | "&amp;AD157&amp;IF(AE157&lt;&gt;"なし"," "&amp;AE157,"")&amp;IF(X157&lt;0," MACD-"," MACD+")&amp;" RSI:"&amp;TEXT(W157,"0.0")&amp;IF(W157&gt;=70," [過熱]",IF(W157&lt;=30," [売られ過ぎ]",""))&amp;" 前日比:"&amp;TEXT(Z157,"+0.0;-0.0;0.0")&amp;"%"&amp;IF(V157="年初来安値圏●"," [年初来安値圏]",IF(V157="安値圏"," [安値圏]",""))&amp;IF(OR(AO157="通常",AO157="-"),""," ["&amp;AO157&amp;"]")&amp;IF(OR(AT157="通常",AT157="-"),"","前日["&amp;AT157&amp;"]")&amp;" ["&amp;T157&amp;"点]")</f>
        <v/>
      </c>
      <c r="Z157" s="622">
        <f>IF(AND(E157&lt;&gt;"",G157&lt;&gt;"",G157&lt;&gt;0),(E157-G157)/G157*100,"")</f>
        <v/>
      </c>
      <c r="AA157" s="345">
        <f>IF(OR(C157="",E157="",E157=0),"",IF(E157&gt;G157,"上昇▲",IF(E157&lt;G157,"下落▼","横ばい→")))</f>
        <v/>
      </c>
      <c r="AB157" s="346">
        <f>IF(OR(C157="",C157="TOPX",終値!E181=""),"",IFERROR(((終値!E181*0.333)+(終値!F181*0.222)+(終値!G181*0.148)+(終値!H181*0.099)+(終値!I181*0.066))/(0.333+0.222+0.148+0.099+0.066),""))</f>
        <v/>
      </c>
      <c r="AC157" s="346">
        <f>IF(OR(C157="",C157="TOPX",終値!E181=""),"",IFERROR(SUMPRODUCT((終値!E181:AC181)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7" s="345">
        <f>IF(OR(C157="",AB157="",AC157="",AB157=0,AC157=0),"",IF(AND(E157&gt;AB157,AB157&gt;AC157),"パーフェクト▲",IF(E157&gt;AC157,"上昇トレンド▲",IF(AND(E157&lt;AB157,AB157&lt;AC157),"下降トレンド▼","もみ合い→"))))</f>
        <v/>
      </c>
      <c r="AE157" s="345">
        <f>IF(OR(C157="",AB157="",AC157=""),"",IF(AND(ABS(E157-AC157)/AC157&lt;=0.02,E157&lt;AC157),"25日戻り売り★",IF(AND(ABS(E157-AB157)/AB157&lt;=0.01,E157&lt;AB157),"5日戻り売り○","なし")))</f>
        <v/>
      </c>
      <c r="AF157">
        <f>IF(T157="","",IF(銘柄管理!$F$5="上昇▲",IF(AND(AD157="下降トレンド▼",OR(AE157="25日戻り売り★",AE157="5日戻り売り○")),"★逆張り売り",IF(AND(AD157="もみ合い→",OR(AE157="25日戻り売り★",AE157="5日戻り売り○")),"○逆張り売り",IF(W157&gt;=70,IF(Z157&lt;0,"◎反落確認","△過熱・様子見"),"相場上昇・見送り"))),IF(AND(T157&gt;=12,AD157="下降トレンド▼"),"★強い売り",IF(T157&gt;=12,"★強い売り",IF(AND(T157&gt;=8,OR(AE157="25日戻り売り★",AE157="5日戻り売り○")),"◎戻り売り",IF(T157&gt;=10,"○売り候補",IF(T157&gt;=6,"△注目",IF(T157&gt;=3,"様子見","見送り"))))))))</f>
        <v/>
      </c>
      <c r="AG157">
        <f>IF(AND(T157&gt;=7,C157&lt;&gt;""),T157,0)</f>
        <v/>
      </c>
      <c r="AH157">
        <f>IF(AG157&gt;0,AG157*10000-ROW(A157),0)</f>
        <v/>
      </c>
      <c r="AI157" s="623">
        <f t="array" ref="AI157">IF(C157="","",IFERROR((INDEX(終値!$E:$E,MATCH(TEXT(C157,"0"),終値!$A:$A,0))-INDEX(終値!$E:$BL,MATCH(TEXT(C157,"0"),終値!$A:$A,0),$AN$2))/INDEX(終値!$E:$BL,MATCH(TEXT(C157,"0"),終値!$A:$A,0),$AN$2)*100,""))</f>
        <v/>
      </c>
      <c r="AJ157" s="623">
        <f t="array" ref="AJ157">IFERROR((終値!$E$5-INDEX(終値!$E$5:$BL$5,1,$AN$2))/INDEX(終値!$E$5:$BL$5,1,$AN$2)*100,"")</f>
        <v/>
      </c>
      <c r="AK157" s="624">
        <f>IF(OR(AI157="",AJ157=""),"",AI157-AJ157)</f>
        <v/>
      </c>
      <c r="AL157" s="394">
        <f>IF(AK157="","",IF(AK157&lt;-5,3,IF(AK157&lt;0,1,IF(AK157&lt;3,-1,-2))))</f>
        <v/>
      </c>
      <c r="AO157" s="398">
        <f>IF(OR($C157="",$E157="",$F157="",$H157="",$I157="",$H157-$I157&lt;=0),"-",IF(AND($H157-MAX($F157,$E157)&gt;=ABS($E157-$F157)*2,MIN($F157,$E157)-$I157&lt;=ABS($E157-$F157)*0.5,ABS($E157-$F157)&gt;0),"上ヒゲ陰線▼",IF(AND($E157&lt;$F157,ABS($E157-$F157)&gt;=($H157-$I157)*0.7),"大陰線▼",IF(AND(MIN($F157,$E157)-$I157&gt;=($H157-$I157)*0.5,$H157-MAX($F157,$E157)&lt;=($H157-$I157)*0.2),"長い下ヒゲ(反発警戒)","通常"))))</f>
        <v/>
      </c>
      <c r="AP157" s="625">
        <f>IF($AO157="上ヒゲ陰線▼",2,IF($AO157="大陰線▼",2,IF($AO157="長い下ヒゲ(反発警戒)",-2,0)))</f>
        <v/>
      </c>
      <c r="AQ157">
        <f>IF(C157&lt;&gt;"",始値!F181,"")</f>
        <v/>
      </c>
      <c r="AR157">
        <f>IF(C157&lt;&gt;"",高値!F181,"")</f>
        <v/>
      </c>
      <c r="AS157">
        <f>IF(C157&lt;&gt;"",安値!F181,"")</f>
        <v/>
      </c>
      <c r="AT157">
        <f>IF(OR(C157="",AQ157="",AR157="",AS157="",AR157-AS157&lt;=0),"-",IF(AND(AR157-MAX(G157,AQ157)&gt;=ABS(G157-AQ157)*2,MIN(G157,AQ157)-AS157&lt;=ABS(G157-AQ157)*0.5,ABS(G157-AQ157)&gt;0),"上ヒゲ陰線▼",IF(AND(G157&lt;AQ157,ABS(G157-AQ157)&gt;=(AR157-AS157)*0.7),"大陰線▼",IF(AND(MIN(G157,AQ157)-AS157&gt;=(AR157-AS157)*0.5,AR157-MAX(G157,AQ157)&lt;=(AR157-AS157)*0.2),"長い下ヒゲ(反発)","通常"))))</f>
        <v/>
      </c>
      <c r="AU157">
        <f>IF(AT157="上ヒゲ陰線▼",2,IF(AT157="大陰線▼",2,IF(AT157="長い下ヒゲ(反発)",-2,0)))</f>
        <v/>
      </c>
    </row>
    <row r="158" ht="14.25" customHeight="1" s="574">
      <c r="A158" s="352">
        <f>IF(銘柄管理!B182&lt;&gt;"",HYPERLINK("https://kabutan.jp/stock/?code="&amp;銘柄管理!B182,"株探"),"")</f>
        <v/>
      </c>
      <c r="B158" s="225" t="n"/>
      <c r="C158" s="225">
        <f>IF(銘柄管理!B182="","",銘柄管理!B182)</f>
        <v/>
      </c>
      <c r="D158" s="225">
        <f>IF(銘柄管理!C182="","",銘柄管理!C182)</f>
        <v/>
      </c>
      <c r="E158" s="353">
        <f>IF(C158&lt;&gt;"",_xll.RssMarket(C158,"現在値"),"")</f>
        <v/>
      </c>
      <c r="F158" s="353">
        <f>IF(C158&lt;&gt;"",_xll.RssMarket(C158,"始値"),"")</f>
        <v/>
      </c>
      <c r="G158" s="225">
        <f>IF(C158&lt;&gt;"",終値!F182,"")</f>
        <v/>
      </c>
      <c r="H158" s="353">
        <f>IF(C158&lt;&gt;"",_xll.RssMarket(C158,"高値"),"")</f>
        <v/>
      </c>
      <c r="I158" s="353">
        <f>IF(C158&lt;&gt;"",_xll.RssMarket(C158,"安値"),"")</f>
        <v/>
      </c>
      <c r="J158" s="353">
        <f>IF(C158&lt;&gt;"",_xll.RssMarket(C158,"出来高"),"")</f>
        <v/>
      </c>
      <c r="K158" s="353">
        <f>IF(C158&lt;&gt;"",_xll.RssMarket(C158,"年初来高値"),"")</f>
        <v/>
      </c>
      <c r="L158" s="626">
        <f>IF(AND(E158&lt;&gt;"",K158&lt;&gt;"",K158&lt;&gt;0),(E158-K158)/K158*100,"")</f>
        <v/>
      </c>
      <c r="M158" s="353">
        <f>IF(C158&lt;&gt;"",IFERROR(AVERAGE(出来高!E182:I182),""),"")</f>
        <v/>
      </c>
      <c r="N158" s="353">
        <f>IF(C158&lt;&gt;"",IFERROR(AVERAGE(出来高!E182:AC182),""),"")</f>
        <v/>
      </c>
      <c r="O158" s="627">
        <f>IF(AND(J158&lt;&gt;"",M158&lt;&gt;"",M158&lt;&gt;0),J158/M158,"")</f>
        <v/>
      </c>
      <c r="P158" s="225">
        <f>IF(O158="","",IF(O158&gt;=2,"急増↑↑",IF(O158&gt;=1.5,"増加↑",IF(O158&gt;=1,"普通→","減少↓"))))</f>
        <v/>
      </c>
      <c r="Q158" s="225">
        <f>IF(E158="","",IF(AND(E158&lt;G158,O158&gt;=1.5),"売り▼",IF(E158&gt;G158,"様子見▲","中立→")))</f>
        <v/>
      </c>
      <c r="R158" s="353">
        <f>IF(E158&lt;&gt;"",ROUND(E158*0.92,0),"")</f>
        <v/>
      </c>
      <c r="S158" s="353">
        <f>IF(E158&lt;&gt;"",ROUND(E158*1.04,0),"")</f>
        <v/>
      </c>
      <c r="T158" s="345">
        <f>IF(C158="","",IFERROR(IF(W158&gt;=70,3,IF(W158&gt;=60,2,IF(W158&gt;=50,1,0)))+IF(X158&lt;0,2,0)+IF(AD158="下降トレンド▼",3,IF(AD158="もみ合い→",1,0))+IF(V158="年初来安値圏●",3,IF(V158="安値圏",2,0))+IF(Q158="売り▼",2,0)+IF(P158="急増↑↑",2,IF(P158="増加↑",1,0))+IF(Z158&lt;0,1,0)+IF(L158&lt;=-30,2,IF(L158&lt;=-15,1,0))+IF(AE158="25日戻り売り★",2,IF(AE158="5日戻り売り○",1,0))+N(AL158)+N(AP158)+N(AU158),0))</f>
        <v/>
      </c>
      <c r="U158" s="225">
        <f>IF(T158="","",IF(AND(T158&gt;=3,O158&gt;=1.5),"有効",IF(T158&gt;=3,"要確認","除外")))</f>
        <v/>
      </c>
      <c r="V158" s="225">
        <f>IF(AND(I158&lt;&gt;"",K158&lt;&gt;""),IF(I158&lt;=K158*0.6,"年初来安値圏●",IF(I158&lt;=K158*0.75,"安値圏","通常")),"")</f>
        <v/>
      </c>
      <c r="W158" s="628">
        <f t="array" ref="W158">IFERROR(100-100/(1+SUMPRODUCT((終値!F182:R182&gt;終値!G182:S182)*(終値!F182:R182-終値!G182:S182))/SUMPRODUCT((終値!F182:R182&lt;終値!G182:S182)*(終値!G182:S182-終値!F182:R182))),50)</f>
        <v/>
      </c>
      <c r="X158" s="357">
        <f>IF(C158&lt;&gt;"",IFERROR(SUMPRODUCT(終値!E182:P182,{0.154,0.132,0.113,0.097,0.083,0.071,0.061,0.052,0.045,0.038,0.033,0.028})/SUMPRODUCT({0.154,0.132,0.113,0.097,0.083,0.071,0.061,0.052,0.045,0.038,0.033,0.028})-SUMPRODUCT(終値!E182:AD182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8" s="225">
        <f>IF(AF158="","",AF158&amp;" | "&amp;AD158&amp;IF(AE158&lt;&gt;"なし"," "&amp;AE158,"")&amp;IF(X158&lt;0," MACD-"," MACD+")&amp;" RSI:"&amp;TEXT(W158,"0.0")&amp;IF(W158&gt;=70," [過熱]",IF(W158&lt;=30," [売られ過ぎ]",""))&amp;" 前日比:"&amp;TEXT(Z158,"+0.0;-0.0;0.0")&amp;"%"&amp;IF(V158="年初来安値圏●"," [年初来安値圏]",IF(V158="安値圏"," [安値圏]",""))&amp;IF(OR(AO158="通常",AO158="-"),""," ["&amp;AO158&amp;"]")&amp;IF(OR(AT158="通常",AT158="-"),"","前日["&amp;AT158&amp;"]")&amp;" ["&amp;T158&amp;"点]")</f>
        <v/>
      </c>
      <c r="Z158" s="629">
        <f>IF(AND(E158&lt;&gt;"",G158&lt;&gt;"",G158&lt;&gt;0),(E158-G158)/G158*100,"")</f>
        <v/>
      </c>
      <c r="AA158" s="225">
        <f>IF(OR(C158="",E158="",E158=0),"",IF(E158&gt;G158,"上昇▲",IF(E158&lt;G158,"下落▼","横ばい→")))</f>
        <v/>
      </c>
      <c r="AB158" s="353">
        <f>IF(OR(C158="",C158="TOPX",終値!E182=""),"",IFERROR(((終値!E182*0.333)+(終値!F182*0.222)+(終値!G182*0.148)+(終値!H182*0.099)+(終値!I182*0.066))/(0.333+0.222+0.148+0.099+0.066),""))</f>
        <v/>
      </c>
      <c r="AC158" s="353">
        <f>IF(OR(C158="",C158="TOPX",終値!E182=""),"",IFERROR(SUMPRODUCT((終値!E182:AC182)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8" s="225">
        <f>IF(OR(C158="",AB158="",AC158="",AB158=0,AC158=0),"",IF(AND(E158&gt;AB158,AB158&gt;AC158),"パーフェクト▲",IF(E158&gt;AC158,"上昇トレンド▲",IF(AND(E158&lt;AB158,AB158&lt;AC158),"下降トレンド▼","もみ合い→"))))</f>
        <v/>
      </c>
      <c r="AE158" s="225">
        <f>IF(OR(C158="",AB158="",AC158=""),"",IF(AND(ABS(E158-AC158)/AC158&lt;=0.02,E158&lt;AC158),"25日戻り売り★",IF(AND(ABS(E158-AB158)/AB158&lt;=0.01,E158&lt;AB158),"5日戻り売り○","なし")))</f>
        <v/>
      </c>
      <c r="AF158">
        <f>IF(T158="","",IF(銘柄管理!$F$5="上昇▲",IF(AND(AD158="下降トレンド▼",OR(AE158="25日戻り売り★",AE158="5日戻り売り○")),"★逆張り売り",IF(AND(AD158="もみ合い→",OR(AE158="25日戻り売り★",AE158="5日戻り売り○")),"○逆張り売り",IF(W158&gt;=70,IF(Z158&lt;0,"◎反落確認","△過熱・様子見"),"相場上昇・見送り"))),IF(AND(T158&gt;=12,AD158="下降トレンド▼"),"★強い売り",IF(T158&gt;=12,"★強い売り",IF(AND(T158&gt;=8,OR(AE158="25日戻り売り★",AE158="5日戻り売り○")),"◎戻り売り",IF(T158&gt;=10,"○売り候補",IF(T158&gt;=6,"△注目",IF(T158&gt;=3,"様子見","見送り"))))))))</f>
        <v/>
      </c>
      <c r="AG158">
        <f>IF(AND(T158&gt;=7,C158&lt;&gt;""),T158,0)</f>
        <v/>
      </c>
      <c r="AH158">
        <f>IF(AG158&gt;0,AG158*10000-ROW(A158),0)</f>
        <v/>
      </c>
      <c r="AI158" s="623">
        <f t="array" ref="AI158">IF(C158="","",IFERROR((INDEX(終値!$E:$E,MATCH(TEXT(C158,"0"),終値!$A:$A,0))-INDEX(終値!$E:$BL,MATCH(TEXT(C158,"0"),終値!$A:$A,0),$AN$2))/INDEX(終値!$E:$BL,MATCH(TEXT(C158,"0"),終値!$A:$A,0),$AN$2)*100,""))</f>
        <v/>
      </c>
      <c r="AJ158" s="623">
        <f t="array" ref="AJ158">IFERROR((終値!$E$5-INDEX(終値!$E$5:$BL$5,1,$AN$2))/INDEX(終値!$E$5:$BL$5,1,$AN$2)*100,"")</f>
        <v/>
      </c>
      <c r="AK158" s="624">
        <f>IF(OR(AI158="",AJ158=""),"",AI158-AJ158)</f>
        <v/>
      </c>
      <c r="AL158" s="394">
        <f>IF(AK158="","",IF(AK158&lt;-5,3,IF(AK158&lt;0,1,IF(AK158&lt;3,-1,-2))))</f>
        <v/>
      </c>
      <c r="AO158" s="398">
        <f>IF(OR($C158="",$E158="",$F158="",$H158="",$I158="",$H158-$I158&lt;=0),"-",IF(AND($H158-MAX($F158,$E158)&gt;=ABS($E158-$F158)*2,MIN($F158,$E158)-$I158&lt;=ABS($E158-$F158)*0.5,ABS($E158-$F158)&gt;0),"上ヒゲ陰線▼",IF(AND($E158&lt;$F158,ABS($E158-$F158)&gt;=($H158-$I158)*0.7),"大陰線▼",IF(AND(MIN($F158,$E158)-$I158&gt;=($H158-$I158)*0.5,$H158-MAX($F158,$E158)&lt;=($H158-$I158)*0.2),"長い下ヒゲ(反発警戒)","通常"))))</f>
        <v/>
      </c>
      <c r="AP158" s="625">
        <f>IF($AO158="上ヒゲ陰線▼",2,IF($AO158="大陰線▼",2,IF($AO158="長い下ヒゲ(反発警戒)",-2,0)))</f>
        <v/>
      </c>
      <c r="AQ158">
        <f>IF(C158&lt;&gt;"",始値!F182,"")</f>
        <v/>
      </c>
      <c r="AR158">
        <f>IF(C158&lt;&gt;"",高値!F182,"")</f>
        <v/>
      </c>
      <c r="AS158">
        <f>IF(C158&lt;&gt;"",安値!F182,"")</f>
        <v/>
      </c>
      <c r="AT158">
        <f>IF(OR(C158="",AQ158="",AR158="",AS158="",AR158-AS158&lt;=0),"-",IF(AND(AR158-MAX(G158,AQ158)&gt;=ABS(G158-AQ158)*2,MIN(G158,AQ158)-AS158&lt;=ABS(G158-AQ158)*0.5,ABS(G158-AQ158)&gt;0),"上ヒゲ陰線▼",IF(AND(G158&lt;AQ158,ABS(G158-AQ158)&gt;=(AR158-AS158)*0.7),"大陰線▼",IF(AND(MIN(G158,AQ158)-AS158&gt;=(AR158-AS158)*0.5,AR158-MAX(G158,AQ158)&lt;=(AR158-AS158)*0.2),"長い下ヒゲ(反発)","通常"))))</f>
        <v/>
      </c>
      <c r="AU158">
        <f>IF(AT158="上ヒゲ陰線▼",2,IF(AT158="大陰線▼",2,IF(AT158="長い下ヒゲ(反発)",-2,0)))</f>
        <v/>
      </c>
    </row>
    <row r="159" ht="14.25" customHeight="1" s="574">
      <c r="A159" s="344">
        <f>IF(銘柄管理!B184&lt;&gt;"",HYPERLINK("https://kabutan.jp/stock/?code="&amp;銘柄管理!B184,"株探"),"")</f>
        <v/>
      </c>
      <c r="B159" s="345" t="n"/>
      <c r="C159" s="345">
        <f>IF(銘柄管理!B184="","",銘柄管理!B184)</f>
        <v/>
      </c>
      <c r="D159" s="345">
        <f>IF(銘柄管理!C184="","",銘柄管理!C184)</f>
        <v/>
      </c>
      <c r="E159" s="346">
        <f>IF(C159&lt;&gt;"",_xll.RssMarket(C159,"現在値"),"")</f>
        <v/>
      </c>
      <c r="F159" s="346">
        <f>IF(C159&lt;&gt;"",_xll.RssMarket(C159,"始値"),"")</f>
        <v/>
      </c>
      <c r="G159" s="345">
        <f>IF(C159&lt;&gt;"",終値!F184,"")</f>
        <v/>
      </c>
      <c r="H159" s="346">
        <f>IF(C159&lt;&gt;"",_xll.RssMarket(C159,"高値"),"")</f>
        <v/>
      </c>
      <c r="I159" s="346">
        <f>IF(C159&lt;&gt;"",_xll.RssMarket(C159,"安値"),"")</f>
        <v/>
      </c>
      <c r="J159" s="346">
        <f>IF(C159&lt;&gt;"",_xll.RssMarket(C159,"出来高"),"")</f>
        <v/>
      </c>
      <c r="K159" s="346">
        <f>IF(C159&lt;&gt;"",_xll.RssMarket(C159,"年初来高値"),"")</f>
        <v/>
      </c>
      <c r="L159" s="619">
        <f>IF(AND(E159&lt;&gt;"",K159&lt;&gt;"",K159&lt;&gt;0),(E159-K159)/K159*100,"")</f>
        <v/>
      </c>
      <c r="M159" s="346">
        <f>IF(C159&lt;&gt;"",IFERROR(AVERAGE(出来高!E184:I184),""),"")</f>
        <v/>
      </c>
      <c r="N159" s="346">
        <f>IF(C159&lt;&gt;"",IFERROR(AVERAGE(出来高!E184:AC184),""),"")</f>
        <v/>
      </c>
      <c r="O159" s="620">
        <f>IF(AND(J159&lt;&gt;"",M159&lt;&gt;"",M159&lt;&gt;0),J159/M159,"")</f>
        <v/>
      </c>
      <c r="P159" s="345">
        <f>IF(O159="","",IF(O159&gt;=2,"急増↑↑",IF(O159&gt;=1.5,"増加↑",IF(O159&gt;=1,"普通→","減少↓"))))</f>
        <v/>
      </c>
      <c r="Q159" s="345">
        <f>IF(E159="","",IF(AND(E159&lt;G159,O159&gt;=1.5),"売り▼",IF(E159&gt;G159,"様子見▲","中立→")))</f>
        <v/>
      </c>
      <c r="R159" s="346">
        <f>IF(E159&lt;&gt;"",ROUND(E159*0.92,0),"")</f>
        <v/>
      </c>
      <c r="S159" s="346">
        <f>IF(E159&lt;&gt;"",ROUND(E159*1.04,0),"")</f>
        <v/>
      </c>
      <c r="T159" s="345">
        <f>IF(C159="","",IFERROR(IF(W159&gt;=70,3,IF(W159&gt;=60,2,IF(W159&gt;=50,1,0)))+IF(X159&lt;0,2,0)+IF(AD159="下降トレンド▼",3,IF(AD159="もみ合い→",1,0))+IF(V159="年初来安値圏●",3,IF(V159="安値圏",2,0))+IF(Q159="売り▼",2,0)+IF(P159="急増↑↑",2,IF(P159="増加↑",1,0))+IF(Z159&lt;0,1,0)+IF(L159&lt;=-30,2,IF(L159&lt;=-15,1,0))+IF(AE159="25日戻り売り★",2,IF(AE159="5日戻り売り○",1,0))+N(AL159)+N(AP159)+N(AU159),0))</f>
        <v/>
      </c>
      <c r="U159" s="345">
        <f>IF(T159="","",IF(AND(T159&gt;=3,O159&gt;=1.5),"有効",IF(T159&gt;=3,"要確認","除外")))</f>
        <v/>
      </c>
      <c r="V159" s="345">
        <f>IF(AND(I159&lt;&gt;"",K159&lt;&gt;""),IF(I159&lt;=K159*0.6,"年初来安値圏●",IF(I159&lt;=K159*0.75,"安値圏","通常")),"")</f>
        <v/>
      </c>
      <c r="W159" s="621">
        <f t="array" ref="W159">IFERROR(100-100/(1+SUMPRODUCT((終値!F184:R184&gt;終値!G184:S184)*(終値!F184:R184-終値!G184:S184))/SUMPRODUCT((終値!F184:R184&lt;終値!G184:S184)*(終値!G184:S184-終値!F184:R184))),50)</f>
        <v/>
      </c>
      <c r="X159" s="350">
        <f>IF(C159&lt;&gt;"",IFERROR(SUMPRODUCT(終値!E184:P184,{0.154,0.132,0.113,0.097,0.083,0.071,0.061,0.052,0.045,0.038,0.033,0.028})/SUMPRODUCT({0.154,0.132,0.113,0.097,0.083,0.071,0.061,0.052,0.045,0.038,0.033,0.028})-SUMPRODUCT(終値!E184:AD184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9" s="345">
        <f>IF(AF159="","",AF159&amp;" | "&amp;AD159&amp;IF(AE159&lt;&gt;"なし"," "&amp;AE159,"")&amp;IF(X159&lt;0," MACD-"," MACD+")&amp;" RSI:"&amp;TEXT(W159,"0.0")&amp;IF(W159&gt;=70," [過熱]",IF(W159&lt;=30," [売られ過ぎ]",""))&amp;" 前日比:"&amp;TEXT(Z159,"+0.0;-0.0;0.0")&amp;"%"&amp;IF(V159="年初来安値圏●"," [年初来安値圏]",IF(V159="安値圏"," [安値圏]",""))&amp;IF(OR(AO159="通常",AO159="-"),""," ["&amp;AO159&amp;"]")&amp;IF(OR(AT159="通常",AT159="-"),"","前日["&amp;AT159&amp;"]")&amp;" ["&amp;T159&amp;"点]")</f>
        <v/>
      </c>
      <c r="Z159" s="622">
        <f>IF(AND(E159&lt;&gt;"",G159&lt;&gt;"",G159&lt;&gt;0),(E159-G159)/G159*100,"")</f>
        <v/>
      </c>
      <c r="AA159" s="345">
        <f>IF(OR(C159="",E159="",E159=0),"",IF(E159&gt;G159,"上昇▲",IF(E159&lt;G159,"下落▼","横ばい→")))</f>
        <v/>
      </c>
      <c r="AB159" s="346">
        <f>IF(OR(C159="",C159="TOPX",終値!E184=""),"",IFERROR(((終値!E184*0.333)+(終値!F184*0.222)+(終値!G184*0.148)+(終値!H184*0.099)+(終値!I184*0.066))/(0.333+0.222+0.148+0.099+0.066),""))</f>
        <v/>
      </c>
      <c r="AC159" s="346">
        <f>IF(OR(C159="",C159="TOPX",終値!E184=""),"",IFERROR(SUMPRODUCT((終値!E184:AC184)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9" s="345">
        <f>IF(OR(C159="",AB159="",AC159="",AB159=0,AC159=0),"",IF(AND(E159&gt;AB159,AB159&gt;AC159),"パーフェクト▲",IF(E159&gt;AC159,"上昇トレンド▲",IF(AND(E159&lt;AB159,AB159&lt;AC159),"下降トレンド▼","もみ合い→"))))</f>
        <v/>
      </c>
      <c r="AE159" s="345">
        <f>IF(OR(C159="",AB159="",AC159=""),"",IF(AND(ABS(E159-AC159)/AC159&lt;=0.02,E159&lt;AC159),"25日戻り売り★",IF(AND(ABS(E159-AB159)/AB159&lt;=0.01,E159&lt;AB159),"5日戻り売り○","なし")))</f>
        <v/>
      </c>
      <c r="AF159">
        <f>IF(T159="","",IF(銘柄管理!$F$5="上昇▲",IF(AND(AD159="下降トレンド▼",OR(AE159="25日戻り売り★",AE159="5日戻り売り○")),"★逆張り売り",IF(AND(AD159="もみ合い→",OR(AE159="25日戻り売り★",AE159="5日戻り売り○")),"○逆張り売り",IF(W159&gt;=70,IF(Z159&lt;0,"◎反落確認","△過熱・様子見"),"相場上昇・見送り"))),IF(AND(T159&gt;=12,AD159="下降トレンド▼"),"★強い売り",IF(T159&gt;=12,"★強い売り",IF(AND(T159&gt;=8,OR(AE159="25日戻り売り★",AE159="5日戻り売り○")),"◎戻り売り",IF(T159&gt;=10,"○売り候補",IF(T159&gt;=6,"△注目",IF(T159&gt;=3,"様子見","見送り"))))))))</f>
        <v/>
      </c>
      <c r="AG159">
        <f>IF(AND(T159&gt;=7,C159&lt;&gt;""),T159,0)</f>
        <v/>
      </c>
      <c r="AH159">
        <f>IF(AG159&gt;0,AG159*10000-ROW(A159),0)</f>
        <v/>
      </c>
      <c r="AI159" s="623">
        <f t="array" ref="AI159">IF(C159="","",IFERROR((INDEX(終値!$E:$E,MATCH(TEXT(C159,"0"),終値!$A:$A,0))-INDEX(終値!$E:$BL,MATCH(TEXT(C159,"0"),終値!$A:$A,0),$AN$2))/INDEX(終値!$E:$BL,MATCH(TEXT(C159,"0"),終値!$A:$A,0),$AN$2)*100,""))</f>
        <v/>
      </c>
      <c r="AJ159" s="623">
        <f t="array" ref="AJ159">IFERROR((終値!$E$5-INDEX(終値!$E$5:$BL$5,1,$AN$2))/INDEX(終値!$E$5:$BL$5,1,$AN$2)*100,"")</f>
        <v/>
      </c>
      <c r="AK159" s="624">
        <f>IF(OR(AI159="",AJ159=""),"",AI159-AJ159)</f>
        <v/>
      </c>
      <c r="AL159" s="394">
        <f>IF(AK159="","",IF(AK159&lt;-5,3,IF(AK159&lt;0,1,IF(AK159&lt;3,-1,-2))))</f>
        <v/>
      </c>
      <c r="AO159" s="398">
        <f>IF(OR($C159="",$E159="",$F159="",$H159="",$I159="",$H159-$I159&lt;=0),"-",IF(AND($H159-MAX($F159,$E159)&gt;=ABS($E159-$F159)*2,MIN($F159,$E159)-$I159&lt;=ABS($E159-$F159)*0.5,ABS($E159-$F159)&gt;0),"上ヒゲ陰線▼",IF(AND($E159&lt;$F159,ABS($E159-$F159)&gt;=($H159-$I159)*0.7),"大陰線▼",IF(AND(MIN($F159,$E159)-$I159&gt;=($H159-$I159)*0.5,$H159-MAX($F159,$E159)&lt;=($H159-$I159)*0.2),"長い下ヒゲ(反発警戒)","通常"))))</f>
        <v/>
      </c>
      <c r="AP159" s="625">
        <f>IF($AO159="上ヒゲ陰線▼",2,IF($AO159="大陰線▼",2,IF($AO159="長い下ヒゲ(反発警戒)",-2,0)))</f>
        <v/>
      </c>
      <c r="AQ159">
        <f>IF(C159&lt;&gt;"",始値!F184,"")</f>
        <v/>
      </c>
      <c r="AR159">
        <f>IF(C159&lt;&gt;"",高値!F184,"")</f>
        <v/>
      </c>
      <c r="AS159">
        <f>IF(C159&lt;&gt;"",安値!F184,"")</f>
        <v/>
      </c>
      <c r="AT159">
        <f>IF(OR(C159="",AQ159="",AR159="",AS159="",AR159-AS159&lt;=0),"-",IF(AND(AR159-MAX(G159,AQ159)&gt;=ABS(G159-AQ159)*2,MIN(G159,AQ159)-AS159&lt;=ABS(G159-AQ159)*0.5,ABS(G159-AQ159)&gt;0),"上ヒゲ陰線▼",IF(AND(G159&lt;AQ159,ABS(G159-AQ159)&gt;=(AR159-AS159)*0.7),"大陰線▼",IF(AND(MIN(G159,AQ159)-AS159&gt;=(AR159-AS159)*0.5,AR159-MAX(G159,AQ159)&lt;=(AR159-AS159)*0.2),"長い下ヒゲ(反発)","通常"))))</f>
        <v/>
      </c>
      <c r="AU159">
        <f>IF(AT159="上ヒゲ陰線▼",2,IF(AT159="大陰線▼",2,IF(AT159="長い下ヒゲ(反発)",-2,0)))</f>
        <v/>
      </c>
    </row>
    <row r="160" ht="14.25" customHeight="1" s="574">
      <c r="A160" s="352">
        <f>IF(銘柄管理!B185&lt;&gt;"",HYPERLINK("https://kabutan.jp/stock/?code="&amp;銘柄管理!B185,"株探"),"")</f>
        <v/>
      </c>
      <c r="B160" s="225" t="n"/>
      <c r="C160" s="225">
        <f>IF(銘柄管理!B185="","",銘柄管理!B185)</f>
        <v/>
      </c>
      <c r="D160" s="225">
        <f>IF(銘柄管理!C185="","",銘柄管理!C185)</f>
        <v/>
      </c>
      <c r="E160" s="353">
        <f>IF(C160&lt;&gt;"",_xll.RssMarket(C160,"現在値"),"")</f>
        <v/>
      </c>
      <c r="F160" s="353">
        <f>IF(C160&lt;&gt;"",_xll.RssMarket(C160,"始値"),"")</f>
        <v/>
      </c>
      <c r="G160" s="225">
        <f>IF(C160&lt;&gt;"",終値!F185,"")</f>
        <v/>
      </c>
      <c r="H160" s="353">
        <f>IF(C160&lt;&gt;"",_xll.RssMarket(C160,"高値"),"")</f>
        <v/>
      </c>
      <c r="I160" s="353">
        <f>IF(C160&lt;&gt;"",_xll.RssMarket(C160,"安値"),"")</f>
        <v/>
      </c>
      <c r="J160" s="353">
        <f>IF(C160&lt;&gt;"",_xll.RssMarket(C160,"出来高"),"")</f>
        <v/>
      </c>
      <c r="K160" s="353">
        <f>IF(C160&lt;&gt;"",_xll.RssMarket(C160,"年初来高値"),"")</f>
        <v/>
      </c>
      <c r="L160" s="626">
        <f>IF(AND(E160&lt;&gt;"",K160&lt;&gt;"",K160&lt;&gt;0),(E160-K160)/K160*100,"")</f>
        <v/>
      </c>
      <c r="M160" s="353">
        <f>IF(C160&lt;&gt;"",IFERROR(AVERAGE(出来高!E185:I185),""),"")</f>
        <v/>
      </c>
      <c r="N160" s="353">
        <f>IF(C160&lt;&gt;"",IFERROR(AVERAGE(出来高!E185:AC185),""),"")</f>
        <v/>
      </c>
      <c r="O160" s="627">
        <f>IF(AND(J160&lt;&gt;"",M160&lt;&gt;"",M160&lt;&gt;0),J160/M160,"")</f>
        <v/>
      </c>
      <c r="P160" s="225">
        <f>IF(O160="","",IF(O160&gt;=2,"急増↑↑",IF(O160&gt;=1.5,"増加↑",IF(O160&gt;=1,"普通→","減少↓"))))</f>
        <v/>
      </c>
      <c r="Q160" s="225">
        <f>IF(E160="","",IF(AND(E160&lt;G160,O160&gt;=1.5),"売り▼",IF(E160&gt;G160,"様子見▲","中立→")))</f>
        <v/>
      </c>
      <c r="R160" s="353">
        <f>IF(E160&lt;&gt;"",ROUND(E160*0.92,0),"")</f>
        <v/>
      </c>
      <c r="S160" s="353">
        <f>IF(E160&lt;&gt;"",ROUND(E160*1.04,0),"")</f>
        <v/>
      </c>
      <c r="T160" s="345">
        <f>IF(C160="","",IFERROR(IF(W160&gt;=70,3,IF(W160&gt;=60,2,IF(W160&gt;=50,1,0)))+IF(X160&lt;0,2,0)+IF(AD160="下降トレンド▼",3,IF(AD160="もみ合い→",1,0))+IF(V160="年初来安値圏●",3,IF(V160="安値圏",2,0))+IF(Q160="売り▼",2,0)+IF(P160="急増↑↑",2,IF(P160="増加↑",1,0))+IF(Z160&lt;0,1,0)+IF(L160&lt;=-30,2,IF(L160&lt;=-15,1,0))+IF(AE160="25日戻り売り★",2,IF(AE160="5日戻り売り○",1,0))+N(AL160)+N(AP160)+N(AU160),0))</f>
        <v/>
      </c>
      <c r="U160" s="225">
        <f>IF(T160="","",IF(AND(T160&gt;=3,O160&gt;=1.5),"有効",IF(T160&gt;=3,"要確認","除外")))</f>
        <v/>
      </c>
      <c r="V160" s="225">
        <f>IF(AND(I160&lt;&gt;"",K160&lt;&gt;""),IF(I160&lt;=K160*0.6,"年初来安値圏●",IF(I160&lt;=K160*0.75,"安値圏","通常")),"")</f>
        <v/>
      </c>
      <c r="W160" s="628">
        <f t="array" ref="W160">IFERROR(100-100/(1+SUMPRODUCT((終値!F185:R185&gt;終値!G185:S185)*(終値!F185:R185-終値!G185:S185))/SUMPRODUCT((終値!F185:R185&lt;終値!G185:S185)*(終値!G185:S185-終値!F185:R185))),50)</f>
        <v/>
      </c>
      <c r="X160" s="357">
        <f>IF(C160&lt;&gt;"",IFERROR(SUMPRODUCT(終値!E185:P185,{0.154,0.132,0.113,0.097,0.083,0.071,0.061,0.052,0.045,0.038,0.033,0.028})/SUMPRODUCT({0.154,0.132,0.113,0.097,0.083,0.071,0.061,0.052,0.045,0.038,0.033,0.028})-SUMPRODUCT(終値!E185:AD185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0" s="225">
        <f>IF(AF160="","",AF160&amp;" | "&amp;AD160&amp;IF(AE160&lt;&gt;"なし"," "&amp;AE160,"")&amp;IF(X160&lt;0," MACD-"," MACD+")&amp;" RSI:"&amp;TEXT(W160,"0.0")&amp;IF(W160&gt;=70," [過熱]",IF(W160&lt;=30," [売られ過ぎ]",""))&amp;" 前日比:"&amp;TEXT(Z160,"+0.0;-0.0;0.0")&amp;"%"&amp;IF(V160="年初来安値圏●"," [年初来安値圏]",IF(V160="安値圏"," [安値圏]",""))&amp;IF(OR(AO160="通常",AO160="-"),""," ["&amp;AO160&amp;"]")&amp;IF(OR(AT160="通常",AT160="-"),"","前日["&amp;AT160&amp;"]")&amp;" ["&amp;T160&amp;"点]")</f>
        <v/>
      </c>
      <c r="Z160" s="629">
        <f>IF(AND(E160&lt;&gt;"",G160&lt;&gt;"",G160&lt;&gt;0),(E160-G160)/G160*100,"")</f>
        <v/>
      </c>
      <c r="AA160" s="225">
        <f>IF(OR(C160="",E160="",E160=0),"",IF(E160&gt;G160,"上昇▲",IF(E160&lt;G160,"下落▼","横ばい→")))</f>
        <v/>
      </c>
      <c r="AB160" s="353">
        <f>IF(OR(C160="",C160="TOPX",終値!E185=""),"",IFERROR(((終値!E185*0.333)+(終値!F185*0.222)+(終値!G185*0.148)+(終値!H185*0.099)+(終値!I185*0.066))/(0.333+0.222+0.148+0.099+0.066),""))</f>
        <v/>
      </c>
      <c r="AC160" s="353">
        <f>IF(OR(C160="",C160="TOPX",終値!E185=""),"",IFERROR(SUMPRODUCT((終値!E185:AC185)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0" s="225">
        <f>IF(OR(C160="",AB160="",AC160="",AB160=0,AC160=0),"",IF(AND(E160&gt;AB160,AB160&gt;AC160),"パーフェクト▲",IF(E160&gt;AC160,"上昇トレンド▲",IF(AND(E160&lt;AB160,AB160&lt;AC160),"下降トレンド▼","もみ合い→"))))</f>
        <v/>
      </c>
      <c r="AE160" s="225">
        <f>IF(OR(C160="",AB160="",AC160=""),"",IF(AND(ABS(E160-AC160)/AC160&lt;=0.02,E160&lt;AC160),"25日戻り売り★",IF(AND(ABS(E160-AB160)/AB160&lt;=0.01,E160&lt;AB160),"5日戻り売り○","なし")))</f>
        <v/>
      </c>
      <c r="AF160">
        <f>IF(T160="","",IF(銘柄管理!$F$5="上昇▲",IF(AND(AD160="下降トレンド▼",OR(AE160="25日戻り売り★",AE160="5日戻り売り○")),"★逆張り売り",IF(AND(AD160="もみ合い→",OR(AE160="25日戻り売り★",AE160="5日戻り売り○")),"○逆張り売り",IF(W160&gt;=70,IF(Z160&lt;0,"◎反落確認","△過熱・様子見"),"相場上昇・見送り"))),IF(AND(T160&gt;=12,AD160="下降トレンド▼"),"★強い売り",IF(T160&gt;=12,"★強い売り",IF(AND(T160&gt;=8,OR(AE160="25日戻り売り★",AE160="5日戻り売り○")),"◎戻り売り",IF(T160&gt;=10,"○売り候補",IF(T160&gt;=6,"△注目",IF(T160&gt;=3,"様子見","見送り"))))))))</f>
        <v/>
      </c>
      <c r="AG160">
        <f>IF(AND(T160&gt;=7,C160&lt;&gt;""),T160,0)</f>
        <v/>
      </c>
      <c r="AH160">
        <f>IF(AG160&gt;0,AG160*10000-ROW(A160),0)</f>
        <v/>
      </c>
      <c r="AI160" s="623">
        <f t="array" ref="AI160">IF(C160="","",IFERROR((INDEX(終値!$E:$E,MATCH(TEXT(C160,"0"),終値!$A:$A,0))-INDEX(終値!$E:$BL,MATCH(TEXT(C160,"0"),終値!$A:$A,0),$AN$2))/INDEX(終値!$E:$BL,MATCH(TEXT(C160,"0"),終値!$A:$A,0),$AN$2)*100,""))</f>
        <v/>
      </c>
      <c r="AJ160" s="623">
        <f t="array" ref="AJ160">IFERROR((終値!$E$5-INDEX(終値!$E$5:$BL$5,1,$AN$2))/INDEX(終値!$E$5:$BL$5,1,$AN$2)*100,"")</f>
        <v/>
      </c>
      <c r="AK160" s="624">
        <f>IF(OR(AI160="",AJ160=""),"",AI160-AJ160)</f>
        <v/>
      </c>
      <c r="AL160" s="394">
        <f>IF(AK160="","",IF(AK160&lt;-5,3,IF(AK160&lt;0,1,IF(AK160&lt;3,-1,-2))))</f>
        <v/>
      </c>
      <c r="AO160" s="398">
        <f>IF(OR($C160="",$E160="",$F160="",$H160="",$I160="",$H160-$I160&lt;=0),"-",IF(AND($H160-MAX($F160,$E160)&gt;=ABS($E160-$F160)*2,MIN($F160,$E160)-$I160&lt;=ABS($E160-$F160)*0.5,ABS($E160-$F160)&gt;0),"上ヒゲ陰線▼",IF(AND($E160&lt;$F160,ABS($E160-$F160)&gt;=($H160-$I160)*0.7),"大陰線▼",IF(AND(MIN($F160,$E160)-$I160&gt;=($H160-$I160)*0.5,$H160-MAX($F160,$E160)&lt;=($H160-$I160)*0.2),"長い下ヒゲ(反発警戒)","通常"))))</f>
        <v/>
      </c>
      <c r="AP160" s="625">
        <f>IF($AO160="上ヒゲ陰線▼",2,IF($AO160="大陰線▼",2,IF($AO160="長い下ヒゲ(反発警戒)",-2,0)))</f>
        <v/>
      </c>
      <c r="AQ160">
        <f>IF(C160&lt;&gt;"",始値!F185,"")</f>
        <v/>
      </c>
      <c r="AR160">
        <f>IF(C160&lt;&gt;"",高値!F185,"")</f>
        <v/>
      </c>
      <c r="AS160">
        <f>IF(C160&lt;&gt;"",安値!F185,"")</f>
        <v/>
      </c>
      <c r="AT160">
        <f>IF(OR(C160="",AQ160="",AR160="",AS160="",AR160-AS160&lt;=0),"-",IF(AND(AR160-MAX(G160,AQ160)&gt;=ABS(G160-AQ160)*2,MIN(G160,AQ160)-AS160&lt;=ABS(G160-AQ160)*0.5,ABS(G160-AQ160)&gt;0),"上ヒゲ陰線▼",IF(AND(G160&lt;AQ160,ABS(G160-AQ160)&gt;=(AR160-AS160)*0.7),"大陰線▼",IF(AND(MIN(G160,AQ160)-AS160&gt;=(AR160-AS160)*0.5,AR160-MAX(G160,AQ160)&lt;=(AR160-AS160)*0.2),"長い下ヒゲ(反発)","通常"))))</f>
        <v/>
      </c>
      <c r="AU160">
        <f>IF(AT160="上ヒゲ陰線▼",2,IF(AT160="大陰線▼",2,IF(AT160="長い下ヒゲ(反発)",-2,0)))</f>
        <v/>
      </c>
    </row>
    <row r="161" ht="14.25" customHeight="1" s="574">
      <c r="A161" s="344">
        <f>IF(銘柄管理!B187&lt;&gt;"",HYPERLINK("https://kabutan.jp/stock/?code="&amp;銘柄管理!B187,"株探"),"")</f>
        <v/>
      </c>
      <c r="B161" s="345" t="n"/>
      <c r="C161" s="345">
        <f>IF(銘柄管理!B187="","",銘柄管理!B187)</f>
        <v/>
      </c>
      <c r="D161" s="345">
        <f>IF(銘柄管理!C187="","",銘柄管理!C187)</f>
        <v/>
      </c>
      <c r="E161" s="346">
        <f>IF(C161&lt;&gt;"",_xll.RssMarket(C161,"現在値"),"")</f>
        <v/>
      </c>
      <c r="F161" s="346">
        <f>IF(C161&lt;&gt;"",_xll.RssMarket(C161,"始値"),"")</f>
        <v/>
      </c>
      <c r="G161" s="345">
        <f>IF(C161&lt;&gt;"",終値!F187,"")</f>
        <v/>
      </c>
      <c r="H161" s="346">
        <f>IF(C161&lt;&gt;"",_xll.RssMarket(C161,"高値"),"")</f>
        <v/>
      </c>
      <c r="I161" s="346">
        <f>IF(C161&lt;&gt;"",_xll.RssMarket(C161,"安値"),"")</f>
        <v/>
      </c>
      <c r="J161" s="346">
        <f>IF(C161&lt;&gt;"",_xll.RssMarket(C161,"出来高"),"")</f>
        <v/>
      </c>
      <c r="K161" s="346">
        <f>IF(C161&lt;&gt;"",_xll.RssMarket(C161,"年初来高値"),"")</f>
        <v/>
      </c>
      <c r="L161" s="619">
        <f>IF(AND(E161&lt;&gt;"",K161&lt;&gt;"",K161&lt;&gt;0),(E161-K161)/K161*100,"")</f>
        <v/>
      </c>
      <c r="M161" s="346">
        <f>IF(C161&lt;&gt;"",IFERROR(AVERAGE(出来高!E187:I187),""),"")</f>
        <v/>
      </c>
      <c r="N161" s="346">
        <f>IF(C161&lt;&gt;"",IFERROR(AVERAGE(出来高!E187:AC187),""),"")</f>
        <v/>
      </c>
      <c r="O161" s="620">
        <f>IF(AND(J161&lt;&gt;"",M161&lt;&gt;"",M161&lt;&gt;0),J161/M161,"")</f>
        <v/>
      </c>
      <c r="P161" s="345">
        <f>IF(O161="","",IF(O161&gt;=2,"急増↑↑",IF(O161&gt;=1.5,"増加↑",IF(O161&gt;=1,"普通→","減少↓"))))</f>
        <v/>
      </c>
      <c r="Q161" s="345">
        <f>IF(E161="","",IF(AND(E161&lt;G161,O161&gt;=1.5),"売り▼",IF(E161&gt;G161,"様子見▲","中立→")))</f>
        <v/>
      </c>
      <c r="R161" s="346">
        <f>IF(E161&lt;&gt;"",ROUND(E161*0.92,0),"")</f>
        <v/>
      </c>
      <c r="S161" s="346">
        <f>IF(E161&lt;&gt;"",ROUND(E161*1.04,0),"")</f>
        <v/>
      </c>
      <c r="T161" s="345">
        <f>IF(C161="","",IFERROR(IF(W161&gt;=70,3,IF(W161&gt;=60,2,IF(W161&gt;=50,1,0)))+IF(X161&lt;0,2,0)+IF(AD161="下降トレンド▼",3,IF(AD161="もみ合い→",1,0))+IF(V161="年初来安値圏●",3,IF(V161="安値圏",2,0))+IF(Q161="売り▼",2,0)+IF(P161="急増↑↑",2,IF(P161="増加↑",1,0))+IF(Z161&lt;0,1,0)+IF(L161&lt;=-30,2,IF(L161&lt;=-15,1,0))+IF(AE161="25日戻り売り★",2,IF(AE161="5日戻り売り○",1,0))+N(AL161)+N(AP161)+N(AU161),0))</f>
        <v/>
      </c>
      <c r="U161" s="345">
        <f>IF(T161="","",IF(AND(T161&gt;=3,O161&gt;=1.5),"有効",IF(T161&gt;=3,"要確認","除外")))</f>
        <v/>
      </c>
      <c r="V161" s="345">
        <f>IF(AND(I161&lt;&gt;"",K161&lt;&gt;""),IF(I161&lt;=K161*0.6,"年初来安値圏●",IF(I161&lt;=K161*0.75,"安値圏","通常")),"")</f>
        <v/>
      </c>
      <c r="W161" s="621">
        <f t="array" ref="W161">IFERROR(100-100/(1+SUMPRODUCT((終値!F187:R187&gt;終値!G187:S187)*(終値!F187:R187-終値!G187:S187))/SUMPRODUCT((終値!F187:R187&lt;終値!G187:S187)*(終値!G187:S187-終値!F187:R187))),50)</f>
        <v/>
      </c>
      <c r="X161" s="350">
        <f>IF(C161&lt;&gt;"",IFERROR(SUMPRODUCT(終値!E187:P187,{0.154,0.132,0.113,0.097,0.083,0.071,0.061,0.052,0.045,0.038,0.033,0.028})/SUMPRODUCT({0.154,0.132,0.113,0.097,0.083,0.071,0.061,0.052,0.045,0.038,0.033,0.028})-SUMPRODUCT(終値!E187:AD187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1" s="345">
        <f>IF(AF161="","",AF161&amp;" | "&amp;AD161&amp;IF(AE161&lt;&gt;"なし"," "&amp;AE161,"")&amp;IF(X161&lt;0," MACD-"," MACD+")&amp;" RSI:"&amp;TEXT(W161,"0.0")&amp;IF(W161&gt;=70," [過熱]",IF(W161&lt;=30," [売られ過ぎ]",""))&amp;" 前日比:"&amp;TEXT(Z161,"+0.0;-0.0;0.0")&amp;"%"&amp;IF(V161="年初来安値圏●"," [年初来安値圏]",IF(V161="安値圏"," [安値圏]",""))&amp;IF(OR(AO161="通常",AO161="-"),""," ["&amp;AO161&amp;"]")&amp;IF(OR(AT161="通常",AT161="-"),"","前日["&amp;AT161&amp;"]")&amp;" ["&amp;T161&amp;"点]")</f>
        <v/>
      </c>
      <c r="Z161" s="622">
        <f>IF(AND(E161&lt;&gt;"",G161&lt;&gt;"",G161&lt;&gt;0),(E161-G161)/G161*100,"")</f>
        <v/>
      </c>
      <c r="AA161" s="345">
        <f>IF(OR(C161="",E161="",E161=0),"",IF(E161&gt;G161,"上昇▲",IF(E161&lt;G161,"下落▼","横ばい→")))</f>
        <v/>
      </c>
      <c r="AB161" s="346">
        <f>IF(OR(C161="",C161="TOPX",終値!E187=""),"",IFERROR(((終値!E187*0.333)+(終値!F187*0.222)+(終値!G187*0.148)+(終値!H187*0.099)+(終値!I187*0.066))/(0.333+0.222+0.148+0.099+0.066),""))</f>
        <v/>
      </c>
      <c r="AC161" s="346">
        <f>IF(OR(C161="",C161="TOPX",終値!E187=""),"",IFERROR(SUMPRODUCT((終値!E187:AC187)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1" s="345">
        <f>IF(OR(C161="",AB161="",AC161="",AB161=0,AC161=0),"",IF(AND(E161&gt;AB161,AB161&gt;AC161),"パーフェクト▲",IF(E161&gt;AC161,"上昇トレンド▲",IF(AND(E161&lt;AB161,AB161&lt;AC161),"下降トレンド▼","もみ合い→"))))</f>
        <v/>
      </c>
      <c r="AE161" s="345">
        <f>IF(OR(C161="",AB161="",AC161=""),"",IF(AND(ABS(E161-AC161)/AC161&lt;=0.02,E161&lt;AC161),"25日戻り売り★",IF(AND(ABS(E161-AB161)/AB161&lt;=0.01,E161&lt;AB161),"5日戻り売り○","なし")))</f>
        <v/>
      </c>
      <c r="AF161">
        <f>IF(T161="","",IF(銘柄管理!$F$5="上昇▲",IF(AND(AD161="下降トレンド▼",OR(AE161="25日戻り売り★",AE161="5日戻り売り○")),"★逆張り売り",IF(AND(AD161="もみ合い→",OR(AE161="25日戻り売り★",AE161="5日戻り売り○")),"○逆張り売り",IF(W161&gt;=70,IF(Z161&lt;0,"◎反落確認","△過熱・様子見"),"相場上昇・見送り"))),IF(AND(T161&gt;=12,AD161="下降トレンド▼"),"★強い売り",IF(T161&gt;=12,"★強い売り",IF(AND(T161&gt;=8,OR(AE161="25日戻り売り★",AE161="5日戻り売り○")),"◎戻り売り",IF(T161&gt;=10,"○売り候補",IF(T161&gt;=6,"△注目",IF(T161&gt;=3,"様子見","見送り"))))))))</f>
        <v/>
      </c>
      <c r="AG161">
        <f>IF(AND(T161&gt;=7,C161&lt;&gt;""),T161,0)</f>
        <v/>
      </c>
      <c r="AH161">
        <f>IF(AG161&gt;0,AG161*10000-ROW(A161),0)</f>
        <v/>
      </c>
      <c r="AI161" s="623">
        <f t="array" ref="AI161">IF(C161="","",IFERROR((INDEX(終値!$E:$E,MATCH(TEXT(C161,"0"),終値!$A:$A,0))-INDEX(終値!$E:$BL,MATCH(TEXT(C161,"0"),終値!$A:$A,0),$AN$2))/INDEX(終値!$E:$BL,MATCH(TEXT(C161,"0"),終値!$A:$A,0),$AN$2)*100,""))</f>
        <v/>
      </c>
      <c r="AJ161" s="623">
        <f t="array" ref="AJ161">IFERROR((終値!$E$5-INDEX(終値!$E$5:$BL$5,1,$AN$2))/INDEX(終値!$E$5:$BL$5,1,$AN$2)*100,"")</f>
        <v/>
      </c>
      <c r="AK161" s="624">
        <f>IF(OR(AI161="",AJ161=""),"",AI161-AJ161)</f>
        <v/>
      </c>
      <c r="AL161" s="394">
        <f>IF(AK161="","",IF(AK161&lt;-5,3,IF(AK161&lt;0,1,IF(AK161&lt;3,-1,-2))))</f>
        <v/>
      </c>
      <c r="AO161" s="398">
        <f>IF(OR($C161="",$E161="",$F161="",$H161="",$I161="",$H161-$I161&lt;=0),"-",IF(AND($H161-MAX($F161,$E161)&gt;=ABS($E161-$F161)*2,MIN($F161,$E161)-$I161&lt;=ABS($E161-$F161)*0.5,ABS($E161-$F161)&gt;0),"上ヒゲ陰線▼",IF(AND($E161&lt;$F161,ABS($E161-$F161)&gt;=($H161-$I161)*0.7),"大陰線▼",IF(AND(MIN($F161,$E161)-$I161&gt;=($H161-$I161)*0.5,$H161-MAX($F161,$E161)&lt;=($H161-$I161)*0.2),"長い下ヒゲ(反発警戒)","通常"))))</f>
        <v/>
      </c>
      <c r="AP161" s="625">
        <f>IF($AO161="上ヒゲ陰線▼",2,IF($AO161="大陰線▼",2,IF($AO161="長い下ヒゲ(反発警戒)",-2,0)))</f>
        <v/>
      </c>
      <c r="AQ161">
        <f>IF(C161&lt;&gt;"",始値!F187,"")</f>
        <v/>
      </c>
      <c r="AR161">
        <f>IF(C161&lt;&gt;"",高値!F187,"")</f>
        <v/>
      </c>
      <c r="AS161">
        <f>IF(C161&lt;&gt;"",安値!F187,"")</f>
        <v/>
      </c>
      <c r="AT161">
        <f>IF(OR(C161="",AQ161="",AR161="",AS161="",AR161-AS161&lt;=0),"-",IF(AND(AR161-MAX(G161,AQ161)&gt;=ABS(G161-AQ161)*2,MIN(G161,AQ161)-AS161&lt;=ABS(G161-AQ161)*0.5,ABS(G161-AQ161)&gt;0),"上ヒゲ陰線▼",IF(AND(G161&lt;AQ161,ABS(G161-AQ161)&gt;=(AR161-AS161)*0.7),"大陰線▼",IF(AND(MIN(G161,AQ161)-AS161&gt;=(AR161-AS161)*0.5,AR161-MAX(G161,AQ161)&lt;=(AR161-AS161)*0.2),"長い下ヒゲ(反発)","通常"))))</f>
        <v/>
      </c>
      <c r="AU161">
        <f>IF(AT161="上ヒゲ陰線▼",2,IF(AT161="大陰線▼",2,IF(AT161="長い下ヒゲ(反発)",-2,0)))</f>
        <v/>
      </c>
    </row>
    <row r="162" ht="14.25" customHeight="1" s="574">
      <c r="A162" s="352">
        <f>IF(銘柄管理!B188&lt;&gt;"",HYPERLINK("https://kabutan.jp/stock/?code="&amp;銘柄管理!B188,"株探"),"")</f>
        <v/>
      </c>
      <c r="B162" s="225" t="n"/>
      <c r="C162" s="225">
        <f>IF(銘柄管理!B188="","",銘柄管理!B188)</f>
        <v/>
      </c>
      <c r="D162" s="225">
        <f>IF(銘柄管理!C188="","",銘柄管理!C188)</f>
        <v/>
      </c>
      <c r="E162" s="353">
        <f>IF(C162&lt;&gt;"",_xll.RssMarket(C162,"現在値"),"")</f>
        <v/>
      </c>
      <c r="F162" s="353">
        <f>IF(C162&lt;&gt;"",_xll.RssMarket(C162,"始値"),"")</f>
        <v/>
      </c>
      <c r="G162" s="225">
        <f>IF(C162&lt;&gt;"",終値!F188,"")</f>
        <v/>
      </c>
      <c r="H162" s="353">
        <f>IF(C162&lt;&gt;"",_xll.RssMarket(C162,"高値"),"")</f>
        <v/>
      </c>
      <c r="I162" s="353">
        <f>IF(C162&lt;&gt;"",_xll.RssMarket(C162,"安値"),"")</f>
        <v/>
      </c>
      <c r="J162" s="353">
        <f>IF(C162&lt;&gt;"",_xll.RssMarket(C162,"出来高"),"")</f>
        <v/>
      </c>
      <c r="K162" s="353">
        <f>IF(C162&lt;&gt;"",_xll.RssMarket(C162,"年初来高値"),"")</f>
        <v/>
      </c>
      <c r="L162" s="626">
        <f>IF(AND(E162&lt;&gt;"",K162&lt;&gt;"",K162&lt;&gt;0),(E162-K162)/K162*100,"")</f>
        <v/>
      </c>
      <c r="M162" s="353">
        <f>IF(C162&lt;&gt;"",IFERROR(AVERAGE(出来高!E188:I188),""),"")</f>
        <v/>
      </c>
      <c r="N162" s="353">
        <f>IF(C162&lt;&gt;"",IFERROR(AVERAGE(出来高!E188:AC188),""),"")</f>
        <v/>
      </c>
      <c r="O162" s="627">
        <f>IF(AND(J162&lt;&gt;"",M162&lt;&gt;"",M162&lt;&gt;0),J162/M162,"")</f>
        <v/>
      </c>
      <c r="P162" s="225">
        <f>IF(O162="","",IF(O162&gt;=2,"急増↑↑",IF(O162&gt;=1.5,"増加↑",IF(O162&gt;=1,"普通→","減少↓"))))</f>
        <v/>
      </c>
      <c r="Q162" s="225">
        <f>IF(E162="","",IF(AND(E162&lt;G162,O162&gt;=1.5),"売り▼",IF(E162&gt;G162,"様子見▲","中立→")))</f>
        <v/>
      </c>
      <c r="R162" s="353">
        <f>IF(E162&lt;&gt;"",ROUND(E162*0.92,0),"")</f>
        <v/>
      </c>
      <c r="S162" s="353">
        <f>IF(E162&lt;&gt;"",ROUND(E162*1.04,0),"")</f>
        <v/>
      </c>
      <c r="T162" s="345">
        <f>IF(C162="","",IFERROR(IF(W162&gt;=70,3,IF(W162&gt;=60,2,IF(W162&gt;=50,1,0)))+IF(X162&lt;0,2,0)+IF(AD162="下降トレンド▼",3,IF(AD162="もみ合い→",1,0))+IF(V162="年初来安値圏●",3,IF(V162="安値圏",2,0))+IF(Q162="売り▼",2,0)+IF(P162="急増↑↑",2,IF(P162="増加↑",1,0))+IF(Z162&lt;0,1,0)+IF(L162&lt;=-30,2,IF(L162&lt;=-15,1,0))+IF(AE162="25日戻り売り★",2,IF(AE162="5日戻り売り○",1,0))+N(AL162)+N(AP162)+N(AU162),0))</f>
        <v/>
      </c>
      <c r="U162" s="225">
        <f>IF(T162="","",IF(AND(T162&gt;=3,O162&gt;=1.5),"有効",IF(T162&gt;=3,"要確認","除外")))</f>
        <v/>
      </c>
      <c r="V162" s="225">
        <f>IF(AND(I162&lt;&gt;"",K162&lt;&gt;""),IF(I162&lt;=K162*0.6,"年初来安値圏●",IF(I162&lt;=K162*0.75,"安値圏","通常")),"")</f>
        <v/>
      </c>
      <c r="W162" s="628">
        <f t="array" ref="W162">IFERROR(100-100/(1+SUMPRODUCT((終値!F188:R188&gt;終値!G188:S188)*(終値!F188:R188-終値!G188:S188))/SUMPRODUCT((終値!F188:R188&lt;終値!G188:S188)*(終値!G188:S188-終値!F188:R188))),50)</f>
        <v/>
      </c>
      <c r="X162" s="357">
        <f>IF(C162&lt;&gt;"",IFERROR(SUMPRODUCT(終値!E188:P188,{0.154,0.132,0.113,0.097,0.083,0.071,0.061,0.052,0.045,0.038,0.033,0.028})/SUMPRODUCT({0.154,0.132,0.113,0.097,0.083,0.071,0.061,0.052,0.045,0.038,0.033,0.028})-SUMPRODUCT(終値!E188:AD188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2" s="225">
        <f>IF(AF162="","",AF162&amp;" | "&amp;AD162&amp;IF(AE162&lt;&gt;"なし"," "&amp;AE162,"")&amp;IF(X162&lt;0," MACD-"," MACD+")&amp;" RSI:"&amp;TEXT(W162,"0.0")&amp;IF(W162&gt;=70," [過熱]",IF(W162&lt;=30," [売られ過ぎ]",""))&amp;" 前日比:"&amp;TEXT(Z162,"+0.0;-0.0;0.0")&amp;"%"&amp;IF(V162="年初来安値圏●"," [年初来安値圏]",IF(V162="安値圏"," [安値圏]",""))&amp;IF(OR(AO162="通常",AO162="-"),""," ["&amp;AO162&amp;"]")&amp;IF(OR(AT162="通常",AT162="-"),"","前日["&amp;AT162&amp;"]")&amp;" ["&amp;T162&amp;"点]")</f>
        <v/>
      </c>
      <c r="Z162" s="629">
        <f>IF(AND(E162&lt;&gt;"",G162&lt;&gt;"",G162&lt;&gt;0),(E162-G162)/G162*100,"")</f>
        <v/>
      </c>
      <c r="AA162" s="225">
        <f>IF(OR(C162="",E162="",E162=0),"",IF(E162&gt;G162,"上昇▲",IF(E162&lt;G162,"下落▼","横ばい→")))</f>
        <v/>
      </c>
      <c r="AB162" s="353">
        <f>IF(OR(C162="",C162="TOPX",終値!E188=""),"",IFERROR(((終値!E188*0.333)+(終値!F188*0.222)+(終値!G188*0.148)+(終値!H188*0.099)+(終値!I188*0.066))/(0.333+0.222+0.148+0.099+0.066),""))</f>
        <v/>
      </c>
      <c r="AC162" s="353">
        <f>IF(OR(C162="",C162="TOPX",終値!E188=""),"",IFERROR(SUMPRODUCT((終値!E188:AC188)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2" s="225">
        <f>IF(OR(C162="",AB162="",AC162="",AB162=0,AC162=0),"",IF(AND(E162&gt;AB162,AB162&gt;AC162),"パーフェクト▲",IF(E162&gt;AC162,"上昇トレンド▲",IF(AND(E162&lt;AB162,AB162&lt;AC162),"下降トレンド▼","もみ合い→"))))</f>
        <v/>
      </c>
      <c r="AE162" s="225">
        <f>IF(OR(C162="",AB162="",AC162=""),"",IF(AND(ABS(E162-AC162)/AC162&lt;=0.02,E162&lt;AC162),"25日戻り売り★",IF(AND(ABS(E162-AB162)/AB162&lt;=0.01,E162&lt;AB162),"5日戻り売り○","なし")))</f>
        <v/>
      </c>
      <c r="AF162">
        <f>IF(T162="","",IF(銘柄管理!$F$5="上昇▲",IF(AND(AD162="下降トレンド▼",OR(AE162="25日戻り売り★",AE162="5日戻り売り○")),"★逆張り売り",IF(AND(AD162="もみ合い→",OR(AE162="25日戻り売り★",AE162="5日戻り売り○")),"○逆張り売り",IF(W162&gt;=70,IF(Z162&lt;0,"◎反落確認","△過熱・様子見"),"相場上昇・見送り"))),IF(AND(T162&gt;=12,AD162="下降トレンド▼"),"★強い売り",IF(T162&gt;=12,"★強い売り",IF(AND(T162&gt;=8,OR(AE162="25日戻り売り★",AE162="5日戻り売り○")),"◎戻り売り",IF(T162&gt;=10,"○売り候補",IF(T162&gt;=6,"△注目",IF(T162&gt;=3,"様子見","見送り"))))))))</f>
        <v/>
      </c>
      <c r="AG162">
        <f>IF(AND(T162&gt;=7,C162&lt;&gt;""),T162,0)</f>
        <v/>
      </c>
      <c r="AH162">
        <f>IF(AG162&gt;0,AG162*10000-ROW(A162),0)</f>
        <v/>
      </c>
      <c r="AI162" s="623">
        <f t="array" ref="AI162">IF(C162="","",IFERROR((INDEX(終値!$E:$E,MATCH(TEXT(C162,"0"),終値!$A:$A,0))-INDEX(終値!$E:$BL,MATCH(TEXT(C162,"0"),終値!$A:$A,0),$AN$2))/INDEX(終値!$E:$BL,MATCH(TEXT(C162,"0"),終値!$A:$A,0),$AN$2)*100,""))</f>
        <v/>
      </c>
      <c r="AJ162" s="623">
        <f t="array" ref="AJ162">IFERROR((終値!$E$5-INDEX(終値!$E$5:$BL$5,1,$AN$2))/INDEX(終値!$E$5:$BL$5,1,$AN$2)*100,"")</f>
        <v/>
      </c>
      <c r="AK162" s="624">
        <f>IF(OR(AI162="",AJ162=""),"",AI162-AJ162)</f>
        <v/>
      </c>
      <c r="AL162" s="394">
        <f>IF(AK162="","",IF(AK162&lt;-5,3,IF(AK162&lt;0,1,IF(AK162&lt;3,-1,-2))))</f>
        <v/>
      </c>
      <c r="AO162" s="398">
        <f>IF(OR($C162="",$E162="",$F162="",$H162="",$I162="",$H162-$I162&lt;=0),"-",IF(AND($H162-MAX($F162,$E162)&gt;=ABS($E162-$F162)*2,MIN($F162,$E162)-$I162&lt;=ABS($E162-$F162)*0.5,ABS($E162-$F162)&gt;0),"上ヒゲ陰線▼",IF(AND($E162&lt;$F162,ABS($E162-$F162)&gt;=($H162-$I162)*0.7),"大陰線▼",IF(AND(MIN($F162,$E162)-$I162&gt;=($H162-$I162)*0.5,$H162-MAX($F162,$E162)&lt;=($H162-$I162)*0.2),"長い下ヒゲ(反発警戒)","通常"))))</f>
        <v/>
      </c>
      <c r="AP162" s="625">
        <f>IF($AO162="上ヒゲ陰線▼",2,IF($AO162="大陰線▼",2,IF($AO162="長い下ヒゲ(反発警戒)",-2,0)))</f>
        <v/>
      </c>
      <c r="AQ162">
        <f>IF(C162&lt;&gt;"",始値!F188,"")</f>
        <v/>
      </c>
      <c r="AR162">
        <f>IF(C162&lt;&gt;"",高値!F188,"")</f>
        <v/>
      </c>
      <c r="AS162">
        <f>IF(C162&lt;&gt;"",安値!F188,"")</f>
        <v/>
      </c>
      <c r="AT162">
        <f>IF(OR(C162="",AQ162="",AR162="",AS162="",AR162-AS162&lt;=0),"-",IF(AND(AR162-MAX(G162,AQ162)&gt;=ABS(G162-AQ162)*2,MIN(G162,AQ162)-AS162&lt;=ABS(G162-AQ162)*0.5,ABS(G162-AQ162)&gt;0),"上ヒゲ陰線▼",IF(AND(G162&lt;AQ162,ABS(G162-AQ162)&gt;=(AR162-AS162)*0.7),"大陰線▼",IF(AND(MIN(G162,AQ162)-AS162&gt;=(AR162-AS162)*0.5,AR162-MAX(G162,AQ162)&lt;=(AR162-AS162)*0.2),"長い下ヒゲ(反発)","通常"))))</f>
        <v/>
      </c>
      <c r="AU162">
        <f>IF(AT162="上ヒゲ陰線▼",2,IF(AT162="大陰線▼",2,IF(AT162="長い下ヒゲ(反発)",-2,0)))</f>
        <v/>
      </c>
    </row>
    <row r="163" ht="14.25" customHeight="1" s="574">
      <c r="A163" s="344">
        <f>IF(銘柄管理!B189&lt;&gt;"",HYPERLINK("https://kabutan.jp/stock/?code="&amp;銘柄管理!B189,"株探"),"")</f>
        <v/>
      </c>
      <c r="B163" s="345" t="n"/>
      <c r="C163" s="345">
        <f>IF(銘柄管理!B189="","",銘柄管理!B189)</f>
        <v/>
      </c>
      <c r="D163" s="345">
        <f>IF(銘柄管理!C189="","",銘柄管理!C189)</f>
        <v/>
      </c>
      <c r="E163" s="346">
        <f>IF(C163&lt;&gt;"",_xll.RssMarket(C163,"現在値"),"")</f>
        <v/>
      </c>
      <c r="F163" s="346">
        <f>IF(C163&lt;&gt;"",_xll.RssMarket(C163,"始値"),"")</f>
        <v/>
      </c>
      <c r="G163" s="345">
        <f>IF(C163&lt;&gt;"",終値!F189,"")</f>
        <v/>
      </c>
      <c r="H163" s="346">
        <f>IF(C163&lt;&gt;"",_xll.RssMarket(C163,"高値"),"")</f>
        <v/>
      </c>
      <c r="I163" s="346">
        <f>IF(C163&lt;&gt;"",_xll.RssMarket(C163,"安値"),"")</f>
        <v/>
      </c>
      <c r="J163" s="346">
        <f>IF(C163&lt;&gt;"",_xll.RssMarket(C163,"出来高"),"")</f>
        <v/>
      </c>
      <c r="K163" s="346">
        <f>IF(C163&lt;&gt;"",_xll.RssMarket(C163,"年初来高値"),"")</f>
        <v/>
      </c>
      <c r="L163" s="619">
        <f>IF(AND(E163&lt;&gt;"",K163&lt;&gt;"",K163&lt;&gt;0),(E163-K163)/K163*100,"")</f>
        <v/>
      </c>
      <c r="M163" s="346">
        <f>IF(C163&lt;&gt;"",IFERROR(AVERAGE(出来高!E189:I189),""),"")</f>
        <v/>
      </c>
      <c r="N163" s="346">
        <f>IF(C163&lt;&gt;"",IFERROR(AVERAGE(出来高!E189:AC189),""),"")</f>
        <v/>
      </c>
      <c r="O163" s="620">
        <f>IF(AND(J163&lt;&gt;"",M163&lt;&gt;"",M163&lt;&gt;0),J163/M163,"")</f>
        <v/>
      </c>
      <c r="P163" s="345">
        <f>IF(O163="","",IF(O163&gt;=2,"急増↑↑",IF(O163&gt;=1.5,"増加↑",IF(O163&gt;=1,"普通→","減少↓"))))</f>
        <v/>
      </c>
      <c r="Q163" s="345">
        <f>IF(E163="","",IF(AND(E163&lt;G163,O163&gt;=1.5),"売り▼",IF(E163&gt;G163,"様子見▲","中立→")))</f>
        <v/>
      </c>
      <c r="R163" s="346">
        <f>IF(E163&lt;&gt;"",ROUND(E163*0.92,0),"")</f>
        <v/>
      </c>
      <c r="S163" s="346">
        <f>IF(E163&lt;&gt;"",ROUND(E163*1.04,0),"")</f>
        <v/>
      </c>
      <c r="T163" s="345">
        <f>IF(C163="","",IFERROR(IF(W163&gt;=70,3,IF(W163&gt;=60,2,IF(W163&gt;=50,1,0)))+IF(X163&lt;0,2,0)+IF(AD163="下降トレンド▼",3,IF(AD163="もみ合い→",1,0))+IF(V163="年初来安値圏●",3,IF(V163="安値圏",2,0))+IF(Q163="売り▼",2,0)+IF(P163="急増↑↑",2,IF(P163="増加↑",1,0))+IF(Z163&lt;0,1,0)+IF(L163&lt;=-30,2,IF(L163&lt;=-15,1,0))+IF(AE163="25日戻り売り★",2,IF(AE163="5日戻り売り○",1,0))+N(AL163)+N(AP163)+N(AU163),0))</f>
        <v/>
      </c>
      <c r="U163" s="345">
        <f>IF(T163="","",IF(AND(T163&gt;=3,O163&gt;=1.5),"有効",IF(T163&gt;=3,"要確認","除外")))</f>
        <v/>
      </c>
      <c r="V163" s="345">
        <f>IF(AND(I163&lt;&gt;"",K163&lt;&gt;""),IF(I163&lt;=K163*0.6,"年初来安値圏●",IF(I163&lt;=K163*0.75,"安値圏","通常")),"")</f>
        <v/>
      </c>
      <c r="W163" s="621">
        <f t="array" ref="W163">IFERROR(100-100/(1+SUMPRODUCT((終値!F189:R189&gt;終値!G189:S189)*(終値!F189:R189-終値!G189:S189))/SUMPRODUCT((終値!F189:R189&lt;終値!G189:S189)*(終値!G189:S189-終値!F189:R189))),50)</f>
        <v/>
      </c>
      <c r="X163" s="350">
        <f>IF(C163&lt;&gt;"",IFERROR(SUMPRODUCT(終値!E189:P189,{0.154,0.132,0.113,0.097,0.083,0.071,0.061,0.052,0.045,0.038,0.033,0.028})/SUMPRODUCT({0.154,0.132,0.113,0.097,0.083,0.071,0.061,0.052,0.045,0.038,0.033,0.028})-SUMPRODUCT(終値!E189:AD189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3" s="345">
        <f>IF(AF163="","",AF163&amp;" | "&amp;AD163&amp;IF(AE163&lt;&gt;"なし"," "&amp;AE163,"")&amp;IF(X163&lt;0," MACD-"," MACD+")&amp;" RSI:"&amp;TEXT(W163,"0.0")&amp;IF(W163&gt;=70," [過熱]",IF(W163&lt;=30," [売られ過ぎ]",""))&amp;" 前日比:"&amp;TEXT(Z163,"+0.0;-0.0;0.0")&amp;"%"&amp;IF(V163="年初来安値圏●"," [年初来安値圏]",IF(V163="安値圏"," [安値圏]",""))&amp;IF(OR(AO163="通常",AO163="-"),""," ["&amp;AO163&amp;"]")&amp;IF(OR(AT163="通常",AT163="-"),"","前日["&amp;AT163&amp;"]")&amp;" ["&amp;T163&amp;"点]")</f>
        <v/>
      </c>
      <c r="Z163" s="622">
        <f>IF(AND(E163&lt;&gt;"",G163&lt;&gt;"",G163&lt;&gt;0),(E163-G163)/G163*100,"")</f>
        <v/>
      </c>
      <c r="AA163" s="345">
        <f>IF(OR(C163="",E163="",E163=0),"",IF(E163&gt;G163,"上昇▲",IF(E163&lt;G163,"下落▼","横ばい→")))</f>
        <v/>
      </c>
      <c r="AB163" s="346">
        <f>IF(OR(C163="",C163="TOPX",終値!E189=""),"",IFERROR(((終値!E189*0.333)+(終値!F189*0.222)+(終値!G189*0.148)+(終値!H189*0.099)+(終値!I189*0.066))/(0.333+0.222+0.148+0.099+0.066),""))</f>
        <v/>
      </c>
      <c r="AC163" s="346">
        <f>IF(OR(C163="",C163="TOPX",終値!E189=""),"",IFERROR(SUMPRODUCT((終値!E189:AC189)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3" s="345">
        <f>IF(OR(C163="",AB163="",AC163="",AB163=0,AC163=0),"",IF(AND(E163&gt;AB163,AB163&gt;AC163),"パーフェクト▲",IF(E163&gt;AC163,"上昇トレンド▲",IF(AND(E163&lt;AB163,AB163&lt;AC163),"下降トレンド▼","もみ合い→"))))</f>
        <v/>
      </c>
      <c r="AE163" s="345">
        <f>IF(OR(C163="",AB163="",AC163=""),"",IF(AND(ABS(E163-AC163)/AC163&lt;=0.02,E163&lt;AC163),"25日戻り売り★",IF(AND(ABS(E163-AB163)/AB163&lt;=0.01,E163&lt;AB163),"5日戻り売り○","なし")))</f>
        <v/>
      </c>
      <c r="AF163">
        <f>IF(T163="","",IF(銘柄管理!$F$5="上昇▲",IF(AND(AD163="下降トレンド▼",OR(AE163="25日戻り売り★",AE163="5日戻り売り○")),"★逆張り売り",IF(AND(AD163="もみ合い→",OR(AE163="25日戻り売り★",AE163="5日戻り売り○")),"○逆張り売り",IF(W163&gt;=70,IF(Z163&lt;0,"◎反落確認","△過熱・様子見"),"相場上昇・見送り"))),IF(AND(T163&gt;=12,AD163="下降トレンド▼"),"★強い売り",IF(T163&gt;=12,"★強い売り",IF(AND(T163&gt;=8,OR(AE163="25日戻り売り★",AE163="5日戻り売り○")),"◎戻り売り",IF(T163&gt;=10,"○売り候補",IF(T163&gt;=6,"△注目",IF(T163&gt;=3,"様子見","見送り"))))))))</f>
        <v/>
      </c>
      <c r="AG163">
        <f>IF(AND(T163&gt;=7,C163&lt;&gt;""),T163,0)</f>
        <v/>
      </c>
      <c r="AH163">
        <f>IF(AG163&gt;0,AG163*10000-ROW(A163),0)</f>
        <v/>
      </c>
      <c r="AI163" s="623">
        <f t="array" ref="AI163">IF(C163="","",IFERROR((INDEX(終値!$E:$E,MATCH(TEXT(C163,"0"),終値!$A:$A,0))-INDEX(終値!$E:$BL,MATCH(TEXT(C163,"0"),終値!$A:$A,0),$AN$2))/INDEX(終値!$E:$BL,MATCH(TEXT(C163,"0"),終値!$A:$A,0),$AN$2)*100,""))</f>
        <v/>
      </c>
      <c r="AJ163" s="623">
        <f t="array" ref="AJ163">IFERROR((終値!$E$5-INDEX(終値!$E$5:$BL$5,1,$AN$2))/INDEX(終値!$E$5:$BL$5,1,$AN$2)*100,"")</f>
        <v/>
      </c>
      <c r="AK163" s="624">
        <f>IF(OR(AI163="",AJ163=""),"",AI163-AJ163)</f>
        <v/>
      </c>
      <c r="AL163" s="394">
        <f>IF(AK163="","",IF(AK163&lt;-5,3,IF(AK163&lt;0,1,IF(AK163&lt;3,-1,-2))))</f>
        <v/>
      </c>
      <c r="AO163" s="398">
        <f>IF(OR($C163="",$E163="",$F163="",$H163="",$I163="",$H163-$I163&lt;=0),"-",IF(AND($H163-MAX($F163,$E163)&gt;=ABS($E163-$F163)*2,MIN($F163,$E163)-$I163&lt;=ABS($E163-$F163)*0.5,ABS($E163-$F163)&gt;0),"上ヒゲ陰線▼",IF(AND($E163&lt;$F163,ABS($E163-$F163)&gt;=($H163-$I163)*0.7),"大陰線▼",IF(AND(MIN($F163,$E163)-$I163&gt;=($H163-$I163)*0.5,$H163-MAX($F163,$E163)&lt;=($H163-$I163)*0.2),"長い下ヒゲ(反発警戒)","通常"))))</f>
        <v/>
      </c>
      <c r="AP163" s="625">
        <f>IF($AO163="上ヒゲ陰線▼",2,IF($AO163="大陰線▼",2,IF($AO163="長い下ヒゲ(反発警戒)",-2,0)))</f>
        <v/>
      </c>
      <c r="AQ163">
        <f>IF(C163&lt;&gt;"",始値!F189,"")</f>
        <v/>
      </c>
      <c r="AR163">
        <f>IF(C163&lt;&gt;"",高値!F189,"")</f>
        <v/>
      </c>
      <c r="AS163">
        <f>IF(C163&lt;&gt;"",安値!F189,"")</f>
        <v/>
      </c>
      <c r="AT163">
        <f>IF(OR(C163="",AQ163="",AR163="",AS163="",AR163-AS163&lt;=0),"-",IF(AND(AR163-MAX(G163,AQ163)&gt;=ABS(G163-AQ163)*2,MIN(G163,AQ163)-AS163&lt;=ABS(G163-AQ163)*0.5,ABS(G163-AQ163)&gt;0),"上ヒゲ陰線▼",IF(AND(G163&lt;AQ163,ABS(G163-AQ163)&gt;=(AR163-AS163)*0.7),"大陰線▼",IF(AND(MIN(G163,AQ163)-AS163&gt;=(AR163-AS163)*0.5,AR163-MAX(G163,AQ163)&lt;=(AR163-AS163)*0.2),"長い下ヒゲ(反発)","通常"))))</f>
        <v/>
      </c>
      <c r="AU163">
        <f>IF(AT163="上ヒゲ陰線▼",2,IF(AT163="大陰線▼",2,IF(AT163="長い下ヒゲ(反発)",-2,0)))</f>
        <v/>
      </c>
    </row>
    <row r="164" ht="14.25" customHeight="1" s="574">
      <c r="A164" s="352">
        <f>IF(銘柄管理!B206&lt;&gt;"",HYPERLINK("https://kabutan.jp/stock/?code="&amp;銘柄管理!B206,"株探"),"")</f>
        <v/>
      </c>
      <c r="B164" s="225" t="n"/>
      <c r="C164" s="225">
        <f>IF(銘柄管理!B206="","",銘柄管理!B206)</f>
        <v/>
      </c>
      <c r="D164" s="225">
        <f>IF(銘柄管理!C206="","",銘柄管理!C206)</f>
        <v/>
      </c>
      <c r="E164" s="353">
        <f>IF(C164&lt;&gt;"",_xll.RssMarket(C164,"現在値"),"")</f>
        <v/>
      </c>
      <c r="F164" s="353">
        <f>IF(C164&lt;&gt;"",_xll.RssMarket(C164,"始値"),"")</f>
        <v/>
      </c>
      <c r="G164" s="225">
        <f>IF(C164&lt;&gt;"",終値!F206,"")</f>
        <v/>
      </c>
      <c r="H164" s="353">
        <f>IF(C164&lt;&gt;"",_xll.RssMarket(C164,"高値"),"")</f>
        <v/>
      </c>
      <c r="I164" s="353">
        <f>IF(C164&lt;&gt;"",_xll.RssMarket(C164,"安値"),"")</f>
        <v/>
      </c>
      <c r="J164" s="353">
        <f>IF(C164&lt;&gt;"",_xll.RssMarket(C164,"出来高"),"")</f>
        <v/>
      </c>
      <c r="K164" s="353">
        <f>IF(C164&lt;&gt;"",_xll.RssMarket(C164,"年初来高値"),"")</f>
        <v/>
      </c>
      <c r="L164" s="626">
        <f>IF(AND(E164&lt;&gt;"",K164&lt;&gt;"",K164&lt;&gt;0),(E164-K164)/K164*100,"")</f>
        <v/>
      </c>
      <c r="M164" s="353">
        <f>IF(C164&lt;&gt;"",IFERROR(AVERAGE(出来高!E206:I206),""),"")</f>
        <v/>
      </c>
      <c r="N164" s="353">
        <f>IF(C164&lt;&gt;"",IFERROR(AVERAGE(出来高!E206:AC206),""),"")</f>
        <v/>
      </c>
      <c r="O164" s="627">
        <f>IF(AND(J164&lt;&gt;"",M164&lt;&gt;"",M164&lt;&gt;0),J164/M164,"")</f>
        <v/>
      </c>
      <c r="P164" s="225">
        <f>IF(O164="","",IF(O164&gt;=2,"急増↑↑",IF(O164&gt;=1.5,"増加↑",IF(O164&gt;=1,"普通→","減少↓"))))</f>
        <v/>
      </c>
      <c r="Q164" s="225">
        <f>IF(E164="","",IF(AND(E164&lt;G164,O164&gt;=1.5),"売り▼",IF(E164&gt;G164,"様子見▲","中立→")))</f>
        <v/>
      </c>
      <c r="R164" s="353">
        <f>IF(E164&lt;&gt;"",ROUND(E164*0.92,0),"")</f>
        <v/>
      </c>
      <c r="S164" s="353">
        <f>IF(E164&lt;&gt;"",ROUND(E164*1.04,0),"")</f>
        <v/>
      </c>
      <c r="T164" s="345">
        <f>IF(C164="","",IFERROR(IF(W164&gt;=70,3,IF(W164&gt;=60,2,IF(W164&gt;=50,1,0)))+IF(X164&lt;0,2,0)+IF(AD164="下降トレンド▼",3,IF(AD164="もみ合い→",1,0))+IF(V164="年初来安値圏●",3,IF(V164="安値圏",2,0))+IF(Q164="売り▼",2,0)+IF(P164="急増↑↑",2,IF(P164="増加↑",1,0))+IF(Z164&lt;0,1,0)+IF(L164&lt;=-30,2,IF(L164&lt;=-15,1,0))+IF(AE164="25日戻り売り★",2,IF(AE164="5日戻り売り○",1,0))+N(AL164)+N(AP164)+N(AU164),0))</f>
        <v/>
      </c>
      <c r="U164" s="225">
        <f>IF(T164="","",IF(AND(T164&gt;=3,O164&gt;=1.5),"有効",IF(T164&gt;=3,"要確認","除外")))</f>
        <v/>
      </c>
      <c r="V164" s="225">
        <f>IF(AND(I164&lt;&gt;"",K164&lt;&gt;""),IF(I164&lt;=K164*0.6,"年初来安値圏●",IF(I164&lt;=K164*0.75,"安値圏","通常")),"")</f>
        <v/>
      </c>
      <c r="W164" s="628">
        <f t="array" ref="W164">IFERROR(100-100/(1+SUMPRODUCT((終値!F206:R206&gt;終値!G206:S206)*(終値!F206:R206-終値!G206:S206))/SUMPRODUCT((終値!F206:R206&lt;終値!G206:S206)*(終値!G206:S206-終値!F206:R206))),50)</f>
        <v/>
      </c>
      <c r="X164" s="357">
        <f>IF(C164&lt;&gt;"",IFERROR(SUMPRODUCT(終値!E206:P206,{0.154,0.132,0.113,0.097,0.083,0.071,0.061,0.052,0.045,0.038,0.033,0.028})/SUMPRODUCT({0.154,0.132,0.113,0.097,0.083,0.071,0.061,0.052,0.045,0.038,0.033,0.028})-SUMPRODUCT(終値!E206:AD206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4" s="225">
        <f>IF(AF164="","",AF164&amp;" | "&amp;AD164&amp;IF(AE164&lt;&gt;"なし"," "&amp;AE164,"")&amp;IF(X164&lt;0," MACD-"," MACD+")&amp;" RSI:"&amp;TEXT(W164,"0.0")&amp;IF(W164&gt;=70," [過熱]",IF(W164&lt;=30," [売られ過ぎ]",""))&amp;" 前日比:"&amp;TEXT(Z164,"+0.0;-0.0;0.0")&amp;"%"&amp;IF(V164="年初来安値圏●"," [年初来安値圏]",IF(V164="安値圏"," [安値圏]",""))&amp;IF(OR(AO164="通常",AO164="-"),""," ["&amp;AO164&amp;"]")&amp;IF(OR(AT164="通常",AT164="-"),"","前日["&amp;AT164&amp;"]")&amp;" ["&amp;T164&amp;"点]")</f>
        <v/>
      </c>
      <c r="Z164" s="629">
        <f>IF(AND(E164&lt;&gt;"",G164&lt;&gt;"",G164&lt;&gt;0),(E164-G164)/G164*100,"")</f>
        <v/>
      </c>
      <c r="AA164" s="225">
        <f>IF(OR(C164="",E164="",E164=0),"",IF(E164&gt;G164,"上昇▲",IF(E164&lt;G164,"下落▼","横ばい→")))</f>
        <v/>
      </c>
      <c r="AB164" s="353">
        <f>IF(OR(C164="",C164="TOPX",終値!E206=""),"",IFERROR(((終値!E206*0.333)+(終値!F206*0.222)+(終値!G206*0.148)+(終値!H206*0.099)+(終値!I206*0.066))/(0.333+0.222+0.148+0.099+0.066),""))</f>
        <v/>
      </c>
      <c r="AC164" s="353">
        <f>IF(OR(C164="",C164="TOPX",終値!E206=""),"",IFERROR(SUMPRODUCT((終値!E206:AC206)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4" s="225">
        <f>IF(OR(C164="",AB164="",AC164="",AB164=0,AC164=0),"",IF(AND(E164&gt;AB164,AB164&gt;AC164),"パーフェクト▲",IF(E164&gt;AC164,"上昇トレンド▲",IF(AND(E164&lt;AB164,AB164&lt;AC164),"下降トレンド▼","もみ合い→"))))</f>
        <v/>
      </c>
      <c r="AE164" s="225">
        <f>IF(OR(C164="",AB164="",AC164=""),"",IF(AND(ABS(E164-AC164)/AC164&lt;=0.02,E164&lt;AC164),"25日戻り売り★",IF(AND(ABS(E164-AB164)/AB164&lt;=0.01,E164&lt;AB164),"5日戻り売り○","なし")))</f>
        <v/>
      </c>
      <c r="AF164">
        <f>IF(T164="","",IF(銘柄管理!$F$5="上昇▲",IF(AND(AD164="下降トレンド▼",OR(AE164="25日戻り売り★",AE164="5日戻り売り○")),"★逆張り売り",IF(AND(AD164="もみ合い→",OR(AE164="25日戻り売り★",AE164="5日戻り売り○")),"○逆張り売り",IF(W164&gt;=70,IF(Z164&lt;0,"◎反落確認","△過熱・様子見"),"相場上昇・見送り"))),IF(AND(T164&gt;=12,AD164="下降トレンド▼"),"★強い売り",IF(T164&gt;=12,"★強い売り",IF(AND(T164&gt;=8,OR(AE164="25日戻り売り★",AE164="5日戻り売り○")),"◎戻り売り",IF(T164&gt;=10,"○売り候補",IF(T164&gt;=6,"△注目",IF(T164&gt;=3,"様子見","見送り"))))))))</f>
        <v/>
      </c>
      <c r="AG164">
        <f>IF(AND(T164&gt;=7,C164&lt;&gt;""),T164,0)</f>
        <v/>
      </c>
      <c r="AH164">
        <f>IF(AG164&gt;0,AG164*10000-ROW(A164),0)</f>
        <v/>
      </c>
      <c r="AI164" s="623">
        <f t="array" ref="AI164">IF(C164="","",IFERROR((INDEX(終値!$E:$E,MATCH(TEXT(C164,"0"),終値!$A:$A,0))-INDEX(終値!$E:$BL,MATCH(TEXT(C164,"0"),終値!$A:$A,0),$AN$2))/INDEX(終値!$E:$BL,MATCH(TEXT(C164,"0"),終値!$A:$A,0),$AN$2)*100,""))</f>
        <v/>
      </c>
      <c r="AJ164" s="623">
        <f t="array" ref="AJ164">IFERROR((終値!$E$5-INDEX(終値!$E$5:$BL$5,1,$AN$2))/INDEX(終値!$E$5:$BL$5,1,$AN$2)*100,"")</f>
        <v/>
      </c>
      <c r="AK164" s="624">
        <f>IF(OR(AI164="",AJ164=""),"",AI164-AJ164)</f>
        <v/>
      </c>
      <c r="AL164" s="394">
        <f>IF(AK164="","",IF(AK164&lt;-5,3,IF(AK164&lt;0,1,IF(AK164&lt;3,-1,-2))))</f>
        <v/>
      </c>
      <c r="AO164" s="398">
        <f>IF(OR($C164="",$E164="",$F164="",$H164="",$I164="",$H164-$I164&lt;=0),"-",IF(AND($H164-MAX($F164,$E164)&gt;=ABS($E164-$F164)*2,MIN($F164,$E164)-$I164&lt;=ABS($E164-$F164)*0.5,ABS($E164-$F164)&gt;0),"上ヒゲ陰線▼",IF(AND($E164&lt;$F164,ABS($E164-$F164)&gt;=($H164-$I164)*0.7),"大陰線▼",IF(AND(MIN($F164,$E164)-$I164&gt;=($H164-$I164)*0.5,$H164-MAX($F164,$E164)&lt;=($H164-$I164)*0.2),"長い下ヒゲ(反発警戒)","通常"))))</f>
        <v/>
      </c>
      <c r="AP164" s="625">
        <f>IF($AO164="上ヒゲ陰線▼",2,IF($AO164="大陰線▼",2,IF($AO164="長い下ヒゲ(反発警戒)",-2,0)))</f>
        <v/>
      </c>
      <c r="AQ164">
        <f>IF(C164&lt;&gt;"",始値!F206,"")</f>
        <v/>
      </c>
      <c r="AR164">
        <f>IF(C164&lt;&gt;"",高値!F206,"")</f>
        <v/>
      </c>
      <c r="AS164">
        <f>IF(C164&lt;&gt;"",安値!F206,"")</f>
        <v/>
      </c>
      <c r="AT164">
        <f>IF(OR(C164="",AQ164="",AR164="",AS164="",AR164-AS164&lt;=0),"-",IF(AND(AR164-MAX(G164,AQ164)&gt;=ABS(G164-AQ164)*2,MIN(G164,AQ164)-AS164&lt;=ABS(G164-AQ164)*0.5,ABS(G164-AQ164)&gt;0),"上ヒゲ陰線▼",IF(AND(G164&lt;AQ164,ABS(G164-AQ164)&gt;=(AR164-AS164)*0.7),"大陰線▼",IF(AND(MIN(G164,AQ164)-AS164&gt;=(AR164-AS164)*0.5,AR164-MAX(G164,AQ164)&lt;=(AR164-AS164)*0.2),"長い下ヒゲ(反発)","通常"))))</f>
        <v/>
      </c>
      <c r="AU164">
        <f>IF(AT164="上ヒゲ陰線▼",2,IF(AT164="大陰線▼",2,IF(AT164="長い下ヒゲ(反発)",-2,0)))</f>
        <v/>
      </c>
    </row>
    <row r="165" ht="14.25" customHeight="1" s="574">
      <c r="A165" s="344">
        <f>IF(銘柄管理!B7&lt;&gt;"",HYPERLINK("https://kabutan.jp/stock/?code="&amp;銘柄管理!B7,"株探"),"")</f>
        <v/>
      </c>
      <c r="B165" s="345" t="n"/>
      <c r="C165" s="345">
        <f>IF(銘柄管理!B7="","",銘柄管理!B7)</f>
        <v/>
      </c>
      <c r="D165" s="345">
        <f>IF(銘柄管理!C7="","",銘柄管理!C7)</f>
        <v/>
      </c>
      <c r="E165" s="346">
        <f>IF(C165&lt;&gt;"",_xll.RssMarket(C165,"現在値"),"")</f>
        <v/>
      </c>
      <c r="F165" s="346">
        <f>IF(C165&lt;&gt;"",_xll.RssMarket(C165,"始値"),"")</f>
        <v/>
      </c>
      <c r="G165" s="345">
        <f>IF(C165&lt;&gt;"",終値!F7,"")</f>
        <v/>
      </c>
      <c r="H165" s="346">
        <f>IF(C165&lt;&gt;"",_xll.RssMarket(C165,"高値"),"")</f>
        <v/>
      </c>
      <c r="I165" s="346">
        <f>IF(C165&lt;&gt;"",_xll.RssMarket(C165,"安値"),"")</f>
        <v/>
      </c>
      <c r="J165" s="346">
        <f>IF(C165&lt;&gt;"",_xll.RssMarket(C165,"出来高"),"")</f>
        <v/>
      </c>
      <c r="K165" s="346">
        <f>IF(C165&lt;&gt;"",_xll.RssMarket(C165,"年初来高値"),"")</f>
        <v/>
      </c>
      <c r="L165" s="619">
        <f>IF(AND(E165&lt;&gt;"",K165&lt;&gt;"",K165&lt;&gt;0),(E165-K165)/K165*100,"")</f>
        <v/>
      </c>
      <c r="M165" s="346">
        <f>IF(C165&lt;&gt;"",IFERROR(AVERAGE(出来高!E7:I7),""),"")</f>
        <v/>
      </c>
      <c r="N165" s="346">
        <f>IF(C165&lt;&gt;"",IFERROR(AVERAGE(出来高!E7:AC7),""),"")</f>
        <v/>
      </c>
      <c r="O165" s="620">
        <f>IF(AND(J165&lt;&gt;"",M165&lt;&gt;"",M165&lt;&gt;0),J165/M165,"")</f>
        <v/>
      </c>
      <c r="P165" s="345">
        <f>IF(O165="","",IF(O165&gt;=2,"急増↑↑",IF(O165&gt;=1.5,"増加↑",IF(O165&gt;=1,"普通→","減少↓"))))</f>
        <v/>
      </c>
      <c r="Q165" s="345">
        <f>IF(E165="","",IF(AND(E165&lt;G165,O165&gt;=1.5),"売り▼",IF(E165&gt;G165,"様子見▲","中立→")))</f>
        <v/>
      </c>
      <c r="R165" s="346">
        <f>IF(E165&lt;&gt;"",ROUND(E165*0.92,0),"")</f>
        <v/>
      </c>
      <c r="S165" s="346">
        <f>IF(E165&lt;&gt;"",ROUND(E165*1.04,0),"")</f>
        <v/>
      </c>
      <c r="T165" s="345">
        <f>IF(C165="","",IFERROR(IF(W165&gt;=70,3,IF(W165&gt;=60,2,IF(W165&gt;=50,1,0)))+IF(X165&lt;0,2,0)+IF(AD165="下降トレンド▼",3,IF(AD165="もみ合い→",1,0))+IF(V165="年初来安値圏●",3,IF(V165="安値圏",2,0))+IF(Q165="売り▼",2,0)+IF(P165="急増↑↑",2,IF(P165="増加↑",1,0))+IF(Z165&lt;0,1,0)+IF(L165&lt;=-30,2,IF(L165&lt;=-15,1,0))+IF(AE165="25日戻り売り★",2,IF(AE165="5日戻り売り○",1,0))+N(AL165)+N(AP165)+N(AU165),0))</f>
        <v/>
      </c>
      <c r="U165" s="345">
        <f>IF(T165="","",IF(AND(T165&gt;=3,O165&gt;=1.5),"有効",IF(T165&gt;=3,"要確認","除外")))</f>
        <v/>
      </c>
      <c r="V165" s="345">
        <f>IF(AND(I165&lt;&gt;"",K165&lt;&gt;""),IF(I165&lt;=K165*0.6,"年初来安値圏●",IF(I165&lt;=K165*0.75,"安値圏","通常")),"")</f>
        <v/>
      </c>
      <c r="W165" s="621">
        <f t="array" ref="W165">IFERROR(100-100/(1+SUMPRODUCT((終値!F7:R7&gt;終値!G7:S7)*(終値!F7:R7-終値!G7:S7))/SUMPRODUCT((終値!F7:R7&lt;終値!G7:S7)*(終値!G7:S7-終値!F7:R7))),50)</f>
        <v/>
      </c>
      <c r="X165" s="350">
        <f>IF(C165&lt;&gt;"",IFERROR(SUMPRODUCT(終値!E7:P7,{0.154,0.132,0.113,0.097,0.083,0.071,0.061,0.052,0.045,0.038,0.033,0.028})/SUMPRODUCT({0.154,0.132,0.113,0.097,0.083,0.071,0.061,0.052,0.045,0.038,0.033,0.028})-SUMPRODUCT(終値!E7:AD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5" s="345">
        <f>IF(AF165="","",AF165&amp;" | "&amp;AD165&amp;IF(AE165&lt;&gt;"なし"," "&amp;AE165,"")&amp;IF(X165&lt;0," MACD-"," MACD+")&amp;" RSI:"&amp;TEXT(W165,"0.0")&amp;IF(W165&gt;=70," [過熱]",IF(W165&lt;=30," [売られ過ぎ]",""))&amp;" 前日比:"&amp;TEXT(Z165,"+0.0;-0.0;0.0")&amp;"%"&amp;IF(V165="年初来安値圏●"," [年初来安値圏]",IF(V165="安値圏"," [安値圏]",""))&amp;IF(OR(AO165="通常",AO165="-"),""," ["&amp;AO165&amp;"]")&amp;IF(OR(AT165="通常",AT165="-"),"","前日["&amp;AT165&amp;"]")&amp;" ["&amp;T165&amp;"点]")</f>
        <v/>
      </c>
      <c r="Z165" s="622">
        <f>IF(AND(E165&lt;&gt;"",G165&lt;&gt;"",G165&lt;&gt;0),(E165-G165)/G165*100,"")</f>
        <v/>
      </c>
      <c r="AA165" s="345">
        <f>IF(OR(C165="",E165="",E165=0),"",IF(E165&gt;G165,"上昇▲",IF(E165&lt;G165,"下落▼","横ばい→")))</f>
        <v/>
      </c>
      <c r="AB165" s="346">
        <f>IF(OR(C165="",C165="TOPX",終値!E7=""),"",IFERROR(((終値!E7*0.333)+(終値!F7*0.222)+(終値!G7*0.148)+(終値!H7*0.099)+(終値!I7*0.066))/(0.333+0.222+0.148+0.099+0.066),""))</f>
        <v/>
      </c>
      <c r="AC165" s="346">
        <f>IF(OR(C165="",C165="TOPX",終値!E7=""),"",IFERROR(SUMPRODUCT((終値!E7:AC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5" s="345">
        <f>IF(OR(C165="",AB165="",AC165="",AB165=0,AC165=0),"",IF(AND(E165&gt;AB165,AB165&gt;AC165),"パーフェクト▲",IF(E165&gt;AC165,"上昇トレンド▲",IF(AND(E165&lt;AB165,AB165&lt;AC165),"下降トレンド▼","もみ合い→"))))</f>
        <v/>
      </c>
      <c r="AE165" s="345">
        <f>IF(OR(C165="",AB165="",AC165=""),"",IF(AND(ABS(E165-AC165)/AC165&lt;=0.02,E165&lt;AC165),"25日戻り売り★",IF(AND(ABS(E165-AB165)/AB165&lt;=0.01,E165&lt;AB165),"5日戻り売り○","なし")))</f>
        <v/>
      </c>
      <c r="AF165">
        <f>IF(T165="","",IF(銘柄管理!$F$5="上昇▲",IF(AND(AD165="下降トレンド▼",OR(AE165="25日戻り売り★",AE165="5日戻り売り○")),"★逆張り売り",IF(AND(AD165="もみ合い→",OR(AE165="25日戻り売り★",AE165="5日戻り売り○")),"○逆張り売り",IF(W165&gt;=70,IF(Z165&lt;0,"◎反落確認","△過熱・様子見"),"相場上昇・見送り"))),IF(AND(T165&gt;=12,AD165="下降トレンド▼"),"★強い売り",IF(T165&gt;=12,"★強い売り",IF(AND(T165&gt;=8,OR(AE165="25日戻り売り★",AE165="5日戻り売り○")),"◎戻り売り",IF(T165&gt;=10,"○売り候補",IF(T165&gt;=6,"△注目",IF(T165&gt;=3,"様子見","見送り"))))))))</f>
        <v/>
      </c>
      <c r="AG165">
        <f>IF(AND(T165&gt;=7,C165&lt;&gt;""),T165,0)</f>
        <v/>
      </c>
      <c r="AH165">
        <f>IF(AG165&gt;0,AG165*10000-ROW(A165),0)</f>
        <v/>
      </c>
      <c r="AI165" s="623">
        <f t="array" ref="AI165">IF(C165="","",IFERROR((INDEX(終値!$E:$E,MATCH(TEXT(C165,"0"),終値!$A:$A,0))-INDEX(終値!$E:$BL,MATCH(TEXT(C165,"0"),終値!$A:$A,0),$AN$2))/INDEX(終値!$E:$BL,MATCH(TEXT(C165,"0"),終値!$A:$A,0),$AN$2)*100,""))</f>
        <v/>
      </c>
      <c r="AJ165" s="623">
        <f t="array" ref="AJ165">IFERROR((終値!$E$5-INDEX(終値!$E$5:$BL$5,1,$AN$2))/INDEX(終値!$E$5:$BL$5,1,$AN$2)*100,"")</f>
        <v/>
      </c>
      <c r="AK165" s="624">
        <f>IF(OR(AI165="",AJ165=""),"",AI165-AJ165)</f>
        <v/>
      </c>
      <c r="AL165" s="394">
        <f>IF(AK165="","",IF(AK165&lt;-5,3,IF(AK165&lt;0,1,IF(AK165&lt;3,-1,-2))))</f>
        <v/>
      </c>
      <c r="AO165" s="398">
        <f>IF(OR($C165="",$E165="",$F165="",$H165="",$I165="",$H165-$I165&lt;=0),"-",IF(AND($H165-MAX($F165,$E165)&gt;=ABS($E165-$F165)*2,MIN($F165,$E165)-$I165&lt;=ABS($E165-$F165)*0.5,ABS($E165-$F165)&gt;0),"上ヒゲ陰線▼",IF(AND($E165&lt;$F165,ABS($E165-$F165)&gt;=($H165-$I165)*0.7),"大陰線▼",IF(AND(MIN($F165,$E165)-$I165&gt;=($H165-$I165)*0.5,$H165-MAX($F165,$E165)&lt;=($H165-$I165)*0.2),"長い下ヒゲ(反発警戒)","通常"))))</f>
        <v/>
      </c>
      <c r="AP165" s="625">
        <f>IF($AO165="上ヒゲ陰線▼",2,IF($AO165="大陰線▼",2,IF($AO165="長い下ヒゲ(反発警戒)",-2,0)))</f>
        <v/>
      </c>
      <c r="AQ165">
        <f>IF(C165&lt;&gt;"",始値!F7,"")</f>
        <v/>
      </c>
      <c r="AR165">
        <f>IF(C165&lt;&gt;"",高値!F7,"")</f>
        <v/>
      </c>
      <c r="AS165">
        <f>IF(C165&lt;&gt;"",安値!F7,"")</f>
        <v/>
      </c>
      <c r="AT165">
        <f>IF(OR(C165="",AQ165="",AR165="",AS165="",AR165-AS165&lt;=0),"-",IF(AND(AR165-MAX(G165,AQ165)&gt;=ABS(G165-AQ165)*2,MIN(G165,AQ165)-AS165&lt;=ABS(G165-AQ165)*0.5,ABS(G165-AQ165)&gt;0),"上ヒゲ陰線▼",IF(AND(G165&lt;AQ165,ABS(G165-AQ165)&gt;=(AR165-AS165)*0.7),"大陰線▼",IF(AND(MIN(G165,AQ165)-AS165&gt;=(AR165-AS165)*0.5,AR165-MAX(G165,AQ165)&lt;=(AR165-AS165)*0.2),"長い下ヒゲ(反発)","通常"))))</f>
        <v/>
      </c>
      <c r="AU165">
        <f>IF(AT165="上ヒゲ陰線▼",2,IF(AT165="大陰線▼",2,IF(AT165="長い下ヒゲ(反発)",-2,0)))</f>
        <v/>
      </c>
    </row>
    <row r="166" ht="14.25" customHeight="1" s="574">
      <c r="A166" s="352">
        <f>IF(銘柄管理!B12&lt;&gt;"",HYPERLINK("https://kabutan.jp/stock/?code="&amp;銘柄管理!B12,"株探"),"")</f>
        <v/>
      </c>
      <c r="B166" s="225" t="n"/>
      <c r="C166" s="225">
        <f>IF(銘柄管理!B12="","",銘柄管理!B12)</f>
        <v/>
      </c>
      <c r="D166" s="225">
        <f>IF(銘柄管理!C12="","",銘柄管理!C12)</f>
        <v/>
      </c>
      <c r="E166" s="353">
        <f>IF(C166&lt;&gt;"",_xll.RssMarket(C166,"現在値"),"")</f>
        <v/>
      </c>
      <c r="F166" s="353">
        <f>IF(C166&lt;&gt;"",_xll.RssMarket(C166,"始値"),"")</f>
        <v/>
      </c>
      <c r="G166" s="225">
        <f>IF(C166&lt;&gt;"",終値!F12,"")</f>
        <v/>
      </c>
      <c r="H166" s="353">
        <f>IF(C166&lt;&gt;"",_xll.RssMarket(C166,"高値"),"")</f>
        <v/>
      </c>
      <c r="I166" s="353">
        <f>IF(C166&lt;&gt;"",_xll.RssMarket(C166,"安値"),"")</f>
        <v/>
      </c>
      <c r="J166" s="353">
        <f>IF(C166&lt;&gt;"",_xll.RssMarket(C166,"出来高"),"")</f>
        <v/>
      </c>
      <c r="K166" s="353">
        <f>IF(C166&lt;&gt;"",_xll.RssMarket(C166,"年初来高値"),"")</f>
        <v/>
      </c>
      <c r="L166" s="626">
        <f>IF(AND(E166&lt;&gt;"",K166&lt;&gt;"",K166&lt;&gt;0),(E166-K166)/K166*100,"")</f>
        <v/>
      </c>
      <c r="M166" s="353">
        <f>IF(C166&lt;&gt;"",IFERROR(AVERAGE(出来高!E12:I12),""),"")</f>
        <v/>
      </c>
      <c r="N166" s="353">
        <f>IF(C166&lt;&gt;"",IFERROR(AVERAGE(出来高!E12:AC12),""),"")</f>
        <v/>
      </c>
      <c r="O166" s="627">
        <f>IF(AND(J166&lt;&gt;"",M166&lt;&gt;"",M166&lt;&gt;0),J166/M166,"")</f>
        <v/>
      </c>
      <c r="P166" s="225">
        <f>IF(O166="","",IF(O166&gt;=2,"急増↑↑",IF(O166&gt;=1.5,"増加↑",IF(O166&gt;=1,"普通→","減少↓"))))</f>
        <v/>
      </c>
      <c r="Q166" s="225">
        <f>IF(E166="","",IF(AND(E166&lt;G166,O166&gt;=1.5),"売り▼",IF(E166&gt;G166,"様子見▲","中立→")))</f>
        <v/>
      </c>
      <c r="R166" s="353">
        <f>IF(E166&lt;&gt;"",ROUND(E166*0.92,0),"")</f>
        <v/>
      </c>
      <c r="S166" s="353">
        <f>IF(E166&lt;&gt;"",ROUND(E166*1.04,0),"")</f>
        <v/>
      </c>
      <c r="T166" s="345">
        <f>IF(C166="","",IFERROR(IF(W166&gt;=70,3,IF(W166&gt;=60,2,IF(W166&gt;=50,1,0)))+IF(X166&lt;0,2,0)+IF(AD166="下降トレンド▼",3,IF(AD166="もみ合い→",1,0))+IF(V166="年初来安値圏●",3,IF(V166="安値圏",2,0))+IF(Q166="売り▼",2,0)+IF(P166="急増↑↑",2,IF(P166="増加↑",1,0))+IF(Z166&lt;0,1,0)+IF(L166&lt;=-30,2,IF(L166&lt;=-15,1,0))+IF(AE166="25日戻り売り★",2,IF(AE166="5日戻り売り○",1,0))+N(AL166)+N(AP166)+N(AU166),0))</f>
        <v/>
      </c>
      <c r="U166" s="225">
        <f>IF(T166="","",IF(AND(T166&gt;=3,O166&gt;=1.5),"有効",IF(T166&gt;=3,"要確認","除外")))</f>
        <v/>
      </c>
      <c r="V166" s="225">
        <f>IF(AND(I166&lt;&gt;"",K166&lt;&gt;""),IF(I166&lt;=K166*0.6,"年初来安値圏●",IF(I166&lt;=K166*0.75,"安値圏","通常")),"")</f>
        <v/>
      </c>
      <c r="W166" s="628">
        <f t="array" ref="W166">IFERROR(100-100/(1+SUMPRODUCT((終値!F12:R12&gt;終値!G12:S12)*(終値!F12:R12-終値!G12:S12))/SUMPRODUCT((終値!F12:R12&lt;終値!G12:S12)*(終値!G12:S12-終値!F12:R12))),50)</f>
        <v/>
      </c>
      <c r="X166" s="357">
        <f>IF(C166&lt;&gt;"",IFERROR(SUMPRODUCT(終値!E12:P12,{0.154,0.132,0.113,0.097,0.083,0.071,0.061,0.052,0.045,0.038,0.033,0.028})/SUMPRODUCT({0.154,0.132,0.113,0.097,0.083,0.071,0.061,0.052,0.045,0.038,0.033,0.028})-SUMPRODUCT(終値!E12:AD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6" s="225">
        <f>IF(AF166="","",AF166&amp;" | "&amp;AD166&amp;IF(AE166&lt;&gt;"なし"," "&amp;AE166,"")&amp;IF(X166&lt;0," MACD-"," MACD+")&amp;" RSI:"&amp;TEXT(W166,"0.0")&amp;IF(W166&gt;=70," [過熱]",IF(W166&lt;=30," [売られ過ぎ]",""))&amp;" 前日比:"&amp;TEXT(Z166,"+0.0;-0.0;0.0")&amp;"%"&amp;IF(V166="年初来安値圏●"," [年初来安値圏]",IF(V166="安値圏"," [安値圏]",""))&amp;IF(OR(AO166="通常",AO166="-"),""," ["&amp;AO166&amp;"]")&amp;IF(OR(AT166="通常",AT166="-"),"","前日["&amp;AT166&amp;"]")&amp;" ["&amp;T166&amp;"点]")</f>
        <v/>
      </c>
      <c r="Z166" s="629">
        <f>IF(AND(E166&lt;&gt;"",G166&lt;&gt;"",G166&lt;&gt;0),(E166-G166)/G166*100,"")</f>
        <v/>
      </c>
      <c r="AA166" s="225">
        <f>IF(OR(C166="",E166="",E166=0),"",IF(E166&gt;G166,"上昇▲",IF(E166&lt;G166,"下落▼","横ばい→")))</f>
        <v/>
      </c>
      <c r="AB166" s="353">
        <f>IF(OR(C166="",C166="TOPX",終値!E12=""),"",IFERROR(((終値!E12*0.333)+(終値!F12*0.222)+(終値!G12*0.148)+(終値!H12*0.099)+(終値!I12*0.066))/(0.333+0.222+0.148+0.099+0.066),""))</f>
        <v/>
      </c>
      <c r="AC166" s="353">
        <f>IF(OR(C166="",C166="TOPX",終値!E12=""),"",IFERROR(SUMPRODUCT((終値!E12:AC12)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6" s="225">
        <f>IF(OR(C166="",AB166="",AC166="",AB166=0,AC166=0),"",IF(AND(E166&gt;AB166,AB166&gt;AC166),"パーフェクト▲",IF(E166&gt;AC166,"上昇トレンド▲",IF(AND(E166&lt;AB166,AB166&lt;AC166),"下降トレンド▼","もみ合い→"))))</f>
        <v/>
      </c>
      <c r="AE166" s="225">
        <f>IF(OR(C166="",AB166="",AC166=""),"",IF(AND(ABS(E166-AC166)/AC166&lt;=0.02,E166&lt;AC166),"25日戻り売り★",IF(AND(ABS(E166-AB166)/AB166&lt;=0.01,E166&lt;AB166),"5日戻り売り○","なし")))</f>
        <v/>
      </c>
      <c r="AF166">
        <f>IF(T166="","",IF(銘柄管理!$F$5="上昇▲",IF(AND(AD166="下降トレンド▼",OR(AE166="25日戻り売り★",AE166="5日戻り売り○")),"★逆張り売り",IF(AND(AD166="もみ合い→",OR(AE166="25日戻り売り★",AE166="5日戻り売り○")),"○逆張り売り",IF(W166&gt;=70,IF(Z166&lt;0,"◎反落確認","△過熱・様子見"),"相場上昇・見送り"))),IF(AND(T166&gt;=12,AD166="下降トレンド▼"),"★強い売り",IF(T166&gt;=12,"★強い売り",IF(AND(T166&gt;=8,OR(AE166="25日戻り売り★",AE166="5日戻り売り○")),"◎戻り売り",IF(T166&gt;=10,"○売り候補",IF(T166&gt;=6,"△注目",IF(T166&gt;=3,"様子見","見送り"))))))))</f>
        <v/>
      </c>
      <c r="AG166">
        <f>IF(AND(T166&gt;=7,C166&lt;&gt;""),T166,0)</f>
        <v/>
      </c>
      <c r="AH166">
        <f>IF(AG166&gt;0,AG166*10000-ROW(A166),0)</f>
        <v/>
      </c>
      <c r="AI166" s="623">
        <f t="array" ref="AI166">IF(C166="","",IFERROR((INDEX(終値!$E:$E,MATCH(TEXT(C166,"0"),終値!$A:$A,0))-INDEX(終値!$E:$BL,MATCH(TEXT(C166,"0"),終値!$A:$A,0),$AN$2))/INDEX(終値!$E:$BL,MATCH(TEXT(C166,"0"),終値!$A:$A,0),$AN$2)*100,""))</f>
        <v/>
      </c>
      <c r="AJ166" s="623">
        <f t="array" ref="AJ166">IFERROR((終値!$E$5-INDEX(終値!$E$5:$BL$5,1,$AN$2))/INDEX(終値!$E$5:$BL$5,1,$AN$2)*100,"")</f>
        <v/>
      </c>
      <c r="AK166" s="624">
        <f>IF(OR(AI166="",AJ166=""),"",AI166-AJ166)</f>
        <v/>
      </c>
      <c r="AL166" s="394">
        <f>IF(AK166="","",IF(AK166&lt;-5,3,IF(AK166&lt;0,1,IF(AK166&lt;3,-1,-2))))</f>
        <v/>
      </c>
      <c r="AO166" s="398">
        <f>IF(OR($C166="",$E166="",$F166="",$H166="",$I166="",$H166-$I166&lt;=0),"-",IF(AND($H166-MAX($F166,$E166)&gt;=ABS($E166-$F166)*2,MIN($F166,$E166)-$I166&lt;=ABS($E166-$F166)*0.5,ABS($E166-$F166)&gt;0),"上ヒゲ陰線▼",IF(AND($E166&lt;$F166,ABS($E166-$F166)&gt;=($H166-$I166)*0.7),"大陰線▼",IF(AND(MIN($F166,$E166)-$I166&gt;=($H166-$I166)*0.5,$H166-MAX($F166,$E166)&lt;=($H166-$I166)*0.2),"長い下ヒゲ(反発警戒)","通常"))))</f>
        <v/>
      </c>
      <c r="AP166" s="625">
        <f>IF($AO166="上ヒゲ陰線▼",2,IF($AO166="大陰線▼",2,IF($AO166="長い下ヒゲ(反発警戒)",-2,0)))</f>
        <v/>
      </c>
      <c r="AQ166">
        <f>IF(C166&lt;&gt;"",始値!F12,"")</f>
        <v/>
      </c>
      <c r="AR166">
        <f>IF(C166&lt;&gt;"",高値!F12,"")</f>
        <v/>
      </c>
      <c r="AS166">
        <f>IF(C166&lt;&gt;"",安値!F12,"")</f>
        <v/>
      </c>
      <c r="AT166">
        <f>IF(OR(C166="",AQ166="",AR166="",AS166="",AR166-AS166&lt;=0),"-",IF(AND(AR166-MAX(G166,AQ166)&gt;=ABS(G166-AQ166)*2,MIN(G166,AQ166)-AS166&lt;=ABS(G166-AQ166)*0.5,ABS(G166-AQ166)&gt;0),"上ヒゲ陰線▼",IF(AND(G166&lt;AQ166,ABS(G166-AQ166)&gt;=(AR166-AS166)*0.7),"大陰線▼",IF(AND(MIN(G166,AQ166)-AS166&gt;=(AR166-AS166)*0.5,AR166-MAX(G166,AQ166)&lt;=(AR166-AS166)*0.2),"長い下ヒゲ(反発)","通常"))))</f>
        <v/>
      </c>
      <c r="AU166">
        <f>IF(AT166="上ヒゲ陰線▼",2,IF(AT166="大陰線▼",2,IF(AT166="長い下ヒゲ(反発)",-2,0)))</f>
        <v/>
      </c>
    </row>
    <row r="167" ht="14.25" customHeight="1" s="574">
      <c r="A167" s="344">
        <f>IF(銘柄管理!B14&lt;&gt;"",HYPERLINK("https://kabutan.jp/stock/?code="&amp;銘柄管理!B14,"株探"),"")</f>
        <v/>
      </c>
      <c r="B167" s="345" t="n"/>
      <c r="C167" s="345">
        <f>IF(銘柄管理!B14="","",銘柄管理!B14)</f>
        <v/>
      </c>
      <c r="D167" s="345">
        <f>IF(銘柄管理!C14="","",銘柄管理!C14)</f>
        <v/>
      </c>
      <c r="E167" s="346">
        <f>IF(C167&lt;&gt;"",_xll.RssMarket(C167,"現在値"),"")</f>
        <v/>
      </c>
      <c r="F167" s="346">
        <f>IF(C167&lt;&gt;"",_xll.RssMarket(C167,"始値"),"")</f>
        <v/>
      </c>
      <c r="G167" s="345">
        <f>IF(C167&lt;&gt;"",終値!F14,"")</f>
        <v/>
      </c>
      <c r="H167" s="346">
        <f>IF(C167&lt;&gt;"",_xll.RssMarket(C167,"高値"),"")</f>
        <v/>
      </c>
      <c r="I167" s="346">
        <f>IF(C167&lt;&gt;"",_xll.RssMarket(C167,"安値"),"")</f>
        <v/>
      </c>
      <c r="J167" s="346">
        <f>IF(C167&lt;&gt;"",_xll.RssMarket(C167,"出来高"),"")</f>
        <v/>
      </c>
      <c r="K167" s="346">
        <f>IF(C167&lt;&gt;"",_xll.RssMarket(C167,"年初来高値"),"")</f>
        <v/>
      </c>
      <c r="L167" s="619">
        <f>IF(AND(E167&lt;&gt;"",K167&lt;&gt;"",K167&lt;&gt;0),(E167-K167)/K167*100,"")</f>
        <v/>
      </c>
      <c r="M167" s="346">
        <f>IF(C167&lt;&gt;"",IFERROR(AVERAGE(出来高!E14:I14),""),"")</f>
        <v/>
      </c>
      <c r="N167" s="346">
        <f>IF(C167&lt;&gt;"",IFERROR(AVERAGE(出来高!E14:AC14),""),"")</f>
        <v/>
      </c>
      <c r="O167" s="620">
        <f>IF(AND(J167&lt;&gt;"",M167&lt;&gt;"",M167&lt;&gt;0),J167/M167,"")</f>
        <v/>
      </c>
      <c r="P167" s="345">
        <f>IF(O167="","",IF(O167&gt;=2,"急増↑↑",IF(O167&gt;=1.5,"増加↑",IF(O167&gt;=1,"普通→","減少↓"))))</f>
        <v/>
      </c>
      <c r="Q167" s="345">
        <f>IF(E167="","",IF(AND(E167&lt;G167,O167&gt;=1.5),"売り▼",IF(E167&gt;G167,"様子見▲","中立→")))</f>
        <v/>
      </c>
      <c r="R167" s="346">
        <f>IF(E167&lt;&gt;"",ROUND(E167*0.92,0),"")</f>
        <v/>
      </c>
      <c r="S167" s="346">
        <f>IF(E167&lt;&gt;"",ROUND(E167*1.04,0),"")</f>
        <v/>
      </c>
      <c r="T167" s="345">
        <f>IF(C167="","",IFERROR(IF(W167&gt;=70,3,IF(W167&gt;=60,2,IF(W167&gt;=50,1,0)))+IF(X167&lt;0,2,0)+IF(AD167="下降トレンド▼",3,IF(AD167="もみ合い→",1,0))+IF(V167="年初来安値圏●",3,IF(V167="安値圏",2,0))+IF(Q167="売り▼",2,0)+IF(P167="急増↑↑",2,IF(P167="増加↑",1,0))+IF(Z167&lt;0,1,0)+IF(L167&lt;=-30,2,IF(L167&lt;=-15,1,0))+IF(AE167="25日戻り売り★",2,IF(AE167="5日戻り売り○",1,0))+N(AL167)+N(AP167)+N(AU167),0))</f>
        <v/>
      </c>
      <c r="U167" s="345">
        <f>IF(T167="","",IF(AND(T167&gt;=3,O167&gt;=1.5),"有効",IF(T167&gt;=3,"要確認","除外")))</f>
        <v/>
      </c>
      <c r="V167" s="345">
        <f>IF(AND(I167&lt;&gt;"",K167&lt;&gt;""),IF(I167&lt;=K167*0.6,"年初来安値圏●",IF(I167&lt;=K167*0.75,"安値圏","通常")),"")</f>
        <v/>
      </c>
      <c r="W167" s="621">
        <f t="array" ref="W167">IFERROR(100-100/(1+SUMPRODUCT((終値!F14:R14&gt;終値!G14:S14)*(終値!F14:R14-終値!G14:S14))/SUMPRODUCT((終値!F14:R14&lt;終値!G14:S14)*(終値!G14:S14-終値!F14:R14))),50)</f>
        <v/>
      </c>
      <c r="X167" s="350">
        <f>IF(C167&lt;&gt;"",IFERROR(SUMPRODUCT(終値!E14:P14,{0.154,0.132,0.113,0.097,0.083,0.071,0.061,0.052,0.045,0.038,0.033,0.028})/SUMPRODUCT({0.154,0.132,0.113,0.097,0.083,0.071,0.061,0.052,0.045,0.038,0.033,0.028})-SUMPRODUCT(終値!E14:AD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7" s="345">
        <f>IF(AF167="","",AF167&amp;" | "&amp;AD167&amp;IF(AE167&lt;&gt;"なし"," "&amp;AE167,"")&amp;IF(X167&lt;0," MACD-"," MACD+")&amp;" RSI:"&amp;TEXT(W167,"0.0")&amp;IF(W167&gt;=70," [過熱]",IF(W167&lt;=30," [売られ過ぎ]",""))&amp;" 前日比:"&amp;TEXT(Z167,"+0.0;-0.0;0.0")&amp;"%"&amp;IF(V167="年初来安値圏●"," [年初来安値圏]",IF(V167="安値圏"," [安値圏]",""))&amp;IF(OR(AO167="通常",AO167="-"),""," ["&amp;AO167&amp;"]")&amp;IF(OR(AT167="通常",AT167="-"),"","前日["&amp;AT167&amp;"]")&amp;" ["&amp;T167&amp;"点]")</f>
        <v/>
      </c>
      <c r="Z167" s="622">
        <f>IF(AND(E167&lt;&gt;"",G167&lt;&gt;"",G167&lt;&gt;0),(E167-G167)/G167*100,"")</f>
        <v/>
      </c>
      <c r="AA167" s="345">
        <f>IF(OR(C167="",E167="",E167=0),"",IF(E167&gt;G167,"上昇▲",IF(E167&lt;G167,"下落▼","横ばい→")))</f>
        <v/>
      </c>
      <c r="AB167" s="346">
        <f>IF(OR(C167="",C167="TOPX",終値!E14=""),"",IFERROR(((終値!E14*0.333)+(終値!F14*0.222)+(終値!G14*0.148)+(終値!H14*0.099)+(終値!I14*0.066))/(0.333+0.222+0.148+0.099+0.066),""))</f>
        <v/>
      </c>
      <c r="AC167" s="346">
        <f>IF(OR(C167="",C167="TOPX",終値!E14=""),"",IFERROR(SUMPRODUCT((終値!E14:AC14)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7" s="345">
        <f>IF(OR(C167="",AB167="",AC167="",AB167=0,AC167=0),"",IF(AND(E167&gt;AB167,AB167&gt;AC167),"パーフェクト▲",IF(E167&gt;AC167,"上昇トレンド▲",IF(AND(E167&lt;AB167,AB167&lt;AC167),"下降トレンド▼","もみ合い→"))))</f>
        <v/>
      </c>
      <c r="AE167" s="345">
        <f>IF(OR(C167="",AB167="",AC167=""),"",IF(AND(ABS(E167-AC167)/AC167&lt;=0.02,E167&lt;AC167),"25日戻り売り★",IF(AND(ABS(E167-AB167)/AB167&lt;=0.01,E167&lt;AB167),"5日戻り売り○","なし")))</f>
        <v/>
      </c>
      <c r="AF167">
        <f>IF(T167="","",IF(銘柄管理!$F$5="上昇▲",IF(AND(AD167="下降トレンド▼",OR(AE167="25日戻り売り★",AE167="5日戻り売り○")),"★逆張り売り",IF(AND(AD167="もみ合い→",OR(AE167="25日戻り売り★",AE167="5日戻り売り○")),"○逆張り売り",IF(W167&gt;=70,IF(Z167&lt;0,"◎反落確認","△過熱・様子見"),"相場上昇・見送り"))),IF(AND(T167&gt;=12,AD167="下降トレンド▼"),"★強い売り",IF(T167&gt;=12,"★強い売り",IF(AND(T167&gt;=8,OR(AE167="25日戻り売り★",AE167="5日戻り売り○")),"◎戻り売り",IF(T167&gt;=10,"○売り候補",IF(T167&gt;=6,"△注目",IF(T167&gt;=3,"様子見","見送り"))))))))</f>
        <v/>
      </c>
      <c r="AG167">
        <f>IF(AND(T167&gt;=7,C167&lt;&gt;""),T167,0)</f>
        <v/>
      </c>
      <c r="AH167">
        <f>IF(AG167&gt;0,AG167*10000-ROW(A167),0)</f>
        <v/>
      </c>
      <c r="AI167" s="623">
        <f t="array" ref="AI167">IF(C167="","",IFERROR((INDEX(終値!$E:$E,MATCH(TEXT(C167,"0"),終値!$A:$A,0))-INDEX(終値!$E:$BL,MATCH(TEXT(C167,"0"),終値!$A:$A,0),$AN$2))/INDEX(終値!$E:$BL,MATCH(TEXT(C167,"0"),終値!$A:$A,0),$AN$2)*100,""))</f>
        <v/>
      </c>
      <c r="AJ167" s="623">
        <f t="array" ref="AJ167">IFERROR((終値!$E$5-INDEX(終値!$E$5:$BL$5,1,$AN$2))/INDEX(終値!$E$5:$BL$5,1,$AN$2)*100,"")</f>
        <v/>
      </c>
      <c r="AK167" s="624">
        <f>IF(OR(AI167="",AJ167=""),"",AI167-AJ167)</f>
        <v/>
      </c>
      <c r="AL167" s="394">
        <f>IF(AK167="","",IF(AK167&lt;-5,3,IF(AK167&lt;0,1,IF(AK167&lt;3,-1,-2))))</f>
        <v/>
      </c>
      <c r="AO167" s="398">
        <f>IF(OR($C167="",$E167="",$F167="",$H167="",$I167="",$H167-$I167&lt;=0),"-",IF(AND($H167-MAX($F167,$E167)&gt;=ABS($E167-$F167)*2,MIN($F167,$E167)-$I167&lt;=ABS($E167-$F167)*0.5,ABS($E167-$F167)&gt;0),"上ヒゲ陰線▼",IF(AND($E167&lt;$F167,ABS($E167-$F167)&gt;=($H167-$I167)*0.7),"大陰線▼",IF(AND(MIN($F167,$E167)-$I167&gt;=($H167-$I167)*0.5,$H167-MAX($F167,$E167)&lt;=($H167-$I167)*0.2),"長い下ヒゲ(反発警戒)","通常"))))</f>
        <v/>
      </c>
      <c r="AP167" s="625">
        <f>IF($AO167="上ヒゲ陰線▼",2,IF($AO167="大陰線▼",2,IF($AO167="長い下ヒゲ(反発警戒)",-2,0)))</f>
        <v/>
      </c>
      <c r="AQ167">
        <f>IF(C167&lt;&gt;"",始値!F14,"")</f>
        <v/>
      </c>
      <c r="AR167">
        <f>IF(C167&lt;&gt;"",高値!F14,"")</f>
        <v/>
      </c>
      <c r="AS167">
        <f>IF(C167&lt;&gt;"",安値!F14,"")</f>
        <v/>
      </c>
      <c r="AT167">
        <f>IF(OR(C167="",AQ167="",AR167="",AS167="",AR167-AS167&lt;=0),"-",IF(AND(AR167-MAX(G167,AQ167)&gt;=ABS(G167-AQ167)*2,MIN(G167,AQ167)-AS167&lt;=ABS(G167-AQ167)*0.5,ABS(G167-AQ167)&gt;0),"上ヒゲ陰線▼",IF(AND(G167&lt;AQ167,ABS(G167-AQ167)&gt;=(AR167-AS167)*0.7),"大陰線▼",IF(AND(MIN(G167,AQ167)-AS167&gt;=(AR167-AS167)*0.5,AR167-MAX(G167,AQ167)&lt;=(AR167-AS167)*0.2),"長い下ヒゲ(反発)","通常"))))</f>
        <v/>
      </c>
      <c r="AU167">
        <f>IF(AT167="上ヒゲ陰線▼",2,IF(AT167="大陰線▼",2,IF(AT167="長い下ヒゲ(反発)",-2,0)))</f>
        <v/>
      </c>
    </row>
    <row r="168" ht="14.25" customHeight="1" s="574">
      <c r="A168" s="352">
        <f>IF(銘柄管理!B22&lt;&gt;"",HYPERLINK("https://kabutan.jp/stock/?code="&amp;銘柄管理!B22,"株探"),"")</f>
        <v/>
      </c>
      <c r="B168" s="225" t="n"/>
      <c r="C168" s="225">
        <f>IF(銘柄管理!B22="","",銘柄管理!B22)</f>
        <v/>
      </c>
      <c r="D168" s="225">
        <f>IF(銘柄管理!C22="","",銘柄管理!C22)</f>
        <v/>
      </c>
      <c r="E168" s="353">
        <f>IF(C168&lt;&gt;"",_xll.RssMarket(C168,"現在値"),"")</f>
        <v/>
      </c>
      <c r="F168" s="353">
        <f>IF(C168&lt;&gt;"",_xll.RssMarket(C168,"始値"),"")</f>
        <v/>
      </c>
      <c r="G168" s="225">
        <f>IF(C168&lt;&gt;"",終値!F22,"")</f>
        <v/>
      </c>
      <c r="H168" s="353">
        <f>IF(C168&lt;&gt;"",_xll.RssMarket(C168,"高値"),"")</f>
        <v/>
      </c>
      <c r="I168" s="353">
        <f>IF(C168&lt;&gt;"",_xll.RssMarket(C168,"安値"),"")</f>
        <v/>
      </c>
      <c r="J168" s="353">
        <f>IF(C168&lt;&gt;"",_xll.RssMarket(C168,"出来高"),"")</f>
        <v/>
      </c>
      <c r="K168" s="353">
        <f>IF(C168&lt;&gt;"",_xll.RssMarket(C168,"年初来高値"),"")</f>
        <v/>
      </c>
      <c r="L168" s="626">
        <f>IF(AND(E168&lt;&gt;"",K168&lt;&gt;"",K168&lt;&gt;0),(E168-K168)/K168*100,"")</f>
        <v/>
      </c>
      <c r="M168" s="353">
        <f>IF(C168&lt;&gt;"",IFERROR(AVERAGE(出来高!E22:I22),""),"")</f>
        <v/>
      </c>
      <c r="N168" s="353">
        <f>IF(C168&lt;&gt;"",IFERROR(AVERAGE(出来高!E22:AC22),""),"")</f>
        <v/>
      </c>
      <c r="O168" s="627">
        <f>IF(AND(J168&lt;&gt;"",M168&lt;&gt;"",M168&lt;&gt;0),J168/M168,"")</f>
        <v/>
      </c>
      <c r="P168" s="225">
        <f>IF(O168="","",IF(O168&gt;=2,"急増↑↑",IF(O168&gt;=1.5,"増加↑",IF(O168&gt;=1,"普通→","減少↓"))))</f>
        <v/>
      </c>
      <c r="Q168" s="225">
        <f>IF(E168="","",IF(AND(E168&lt;G168,O168&gt;=1.5),"売り▼",IF(E168&gt;G168,"様子見▲","中立→")))</f>
        <v/>
      </c>
      <c r="R168" s="353">
        <f>IF(E168&lt;&gt;"",ROUND(E168*0.92,0),"")</f>
        <v/>
      </c>
      <c r="S168" s="353">
        <f>IF(E168&lt;&gt;"",ROUND(E168*1.04,0),"")</f>
        <v/>
      </c>
      <c r="T168" s="345">
        <f>IF(C168="","",IFERROR(IF(W168&gt;=70,3,IF(W168&gt;=60,2,IF(W168&gt;=50,1,0)))+IF(X168&lt;0,2,0)+IF(AD168="下降トレンド▼",3,IF(AD168="もみ合い→",1,0))+IF(V168="年初来安値圏●",3,IF(V168="安値圏",2,0))+IF(Q168="売り▼",2,0)+IF(P168="急増↑↑",2,IF(P168="増加↑",1,0))+IF(Z168&lt;0,1,0)+IF(L168&lt;=-30,2,IF(L168&lt;=-15,1,0))+IF(AE168="25日戻り売り★",2,IF(AE168="5日戻り売り○",1,0))+N(AL168)+N(AP168)+N(AU168),0))</f>
        <v/>
      </c>
      <c r="U168" s="225">
        <f>IF(T168="","",IF(AND(T168&gt;=3,O168&gt;=1.5),"有効",IF(T168&gt;=3,"要確認","除外")))</f>
        <v/>
      </c>
      <c r="V168" s="225">
        <f>IF(AND(I168&lt;&gt;"",K168&lt;&gt;""),IF(I168&lt;=K168*0.6,"年初来安値圏●",IF(I168&lt;=K168*0.75,"安値圏","通常")),"")</f>
        <v/>
      </c>
      <c r="W168" s="628">
        <f t="array" ref="W168">IFERROR(100-100/(1+SUMPRODUCT((終値!F22:R22&gt;終値!G22:S22)*(終値!F22:R22-終値!G22:S22))/SUMPRODUCT((終値!F22:R22&lt;終値!G22:S22)*(終値!G22:S22-終値!F22:R22))),50)</f>
        <v/>
      </c>
      <c r="X168" s="357">
        <f>IF(C168&lt;&gt;"",IFERROR(SUMPRODUCT(終値!E22:P22,{0.154,0.132,0.113,0.097,0.083,0.071,0.061,0.052,0.045,0.038,0.033,0.028})/SUMPRODUCT({0.154,0.132,0.113,0.097,0.083,0.071,0.061,0.052,0.045,0.038,0.033,0.028})-SUMPRODUCT(終値!E22:AD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8" s="225">
        <f>IF(AF168="","",AF168&amp;" | "&amp;AD168&amp;IF(AE168&lt;&gt;"なし"," "&amp;AE168,"")&amp;IF(X168&lt;0," MACD-"," MACD+")&amp;" RSI:"&amp;TEXT(W168,"0.0")&amp;IF(W168&gt;=70," [過熱]",IF(W168&lt;=30," [売られ過ぎ]",""))&amp;" 前日比:"&amp;TEXT(Z168,"+0.0;-0.0;0.0")&amp;"%"&amp;IF(V168="年初来安値圏●"," [年初来安値圏]",IF(V168="安値圏"," [安値圏]",""))&amp;IF(OR(AO168="通常",AO168="-"),""," ["&amp;AO168&amp;"]")&amp;IF(OR(AT168="通常",AT168="-"),"","前日["&amp;AT168&amp;"]")&amp;" ["&amp;T168&amp;"点]")</f>
        <v/>
      </c>
      <c r="Z168" s="629">
        <f>IF(AND(E168&lt;&gt;"",G168&lt;&gt;"",G168&lt;&gt;0),(E168-G168)/G168*100,"")</f>
        <v/>
      </c>
      <c r="AA168" s="225">
        <f>IF(OR(C168="",E168="",E168=0),"",IF(E168&gt;G168,"上昇▲",IF(E168&lt;G168,"下落▼","横ばい→")))</f>
        <v/>
      </c>
      <c r="AB168" s="353">
        <f>IF(OR(C168="",C168="TOPX",終値!E22=""),"",IFERROR(((終値!E22*0.333)+(終値!F22*0.222)+(終値!G22*0.148)+(終値!H22*0.099)+(終値!I22*0.066))/(0.333+0.222+0.148+0.099+0.066),""))</f>
        <v/>
      </c>
      <c r="AC168" s="353">
        <f>IF(OR(C168="",C168="TOPX",終値!E22=""),"",IFERROR(SUMPRODUCT((終値!E22:AC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8" s="225">
        <f>IF(OR(C168="",AB168="",AC168="",AB168=0,AC168=0),"",IF(AND(E168&gt;AB168,AB168&gt;AC168),"パーフェクト▲",IF(E168&gt;AC168,"上昇トレンド▲",IF(AND(E168&lt;AB168,AB168&lt;AC168),"下降トレンド▼","もみ合い→"))))</f>
        <v/>
      </c>
      <c r="AE168" s="225">
        <f>IF(OR(C168="",AB168="",AC168=""),"",IF(AND(ABS(E168-AC168)/AC168&lt;=0.02,E168&lt;AC168),"25日戻り売り★",IF(AND(ABS(E168-AB168)/AB168&lt;=0.01,E168&lt;AB168),"5日戻り売り○","なし")))</f>
        <v/>
      </c>
      <c r="AF168">
        <f>IF(T168="","",IF(銘柄管理!$F$5="上昇▲",IF(AND(AD168="下降トレンド▼",OR(AE168="25日戻り売り★",AE168="5日戻り売り○")),"★逆張り売り",IF(AND(AD168="もみ合い→",OR(AE168="25日戻り売り★",AE168="5日戻り売り○")),"○逆張り売り",IF(W168&gt;=70,IF(Z168&lt;0,"◎反落確認","△過熱・様子見"),"相場上昇・見送り"))),IF(AND(T168&gt;=12,AD168="下降トレンド▼"),"★強い売り",IF(T168&gt;=12,"★強い売り",IF(AND(T168&gt;=8,OR(AE168="25日戻り売り★",AE168="5日戻り売り○")),"◎戻り売り",IF(T168&gt;=10,"○売り候補",IF(T168&gt;=6,"△注目",IF(T168&gt;=3,"様子見","見送り"))))))))</f>
        <v/>
      </c>
      <c r="AG168">
        <f>IF(AND(T168&gt;=7,C168&lt;&gt;""),T168,0)</f>
        <v/>
      </c>
      <c r="AH168">
        <f>IF(AG168&gt;0,AG168*10000-ROW(A168),0)</f>
        <v/>
      </c>
      <c r="AI168" s="623">
        <f t="array" ref="AI168">IF(C168="","",IFERROR((INDEX(終値!$E:$E,MATCH(TEXT(C168,"0"),終値!$A:$A,0))-INDEX(終値!$E:$BL,MATCH(TEXT(C168,"0"),終値!$A:$A,0),$AN$2))/INDEX(終値!$E:$BL,MATCH(TEXT(C168,"0"),終値!$A:$A,0),$AN$2)*100,""))</f>
        <v/>
      </c>
      <c r="AJ168" s="623">
        <f t="array" ref="AJ168">IFERROR((終値!$E$5-INDEX(終値!$E$5:$BL$5,1,$AN$2))/INDEX(終値!$E$5:$BL$5,1,$AN$2)*100,"")</f>
        <v/>
      </c>
      <c r="AK168" s="624">
        <f>IF(OR(AI168="",AJ168=""),"",AI168-AJ168)</f>
        <v/>
      </c>
      <c r="AL168" s="394">
        <f>IF(AK168="","",IF(AK168&lt;-5,3,IF(AK168&lt;0,1,IF(AK168&lt;3,-1,-2))))</f>
        <v/>
      </c>
      <c r="AO168" s="398">
        <f>IF(OR($C168="",$E168="",$F168="",$H168="",$I168="",$H168-$I168&lt;=0),"-",IF(AND($H168-MAX($F168,$E168)&gt;=ABS($E168-$F168)*2,MIN($F168,$E168)-$I168&lt;=ABS($E168-$F168)*0.5,ABS($E168-$F168)&gt;0),"上ヒゲ陰線▼",IF(AND($E168&lt;$F168,ABS($E168-$F168)&gt;=($H168-$I168)*0.7),"大陰線▼",IF(AND(MIN($F168,$E168)-$I168&gt;=($H168-$I168)*0.5,$H168-MAX($F168,$E168)&lt;=($H168-$I168)*0.2),"長い下ヒゲ(反発警戒)","通常"))))</f>
        <v/>
      </c>
      <c r="AP168" s="625">
        <f>IF($AO168="上ヒゲ陰線▼",2,IF($AO168="大陰線▼",2,IF($AO168="長い下ヒゲ(反発警戒)",-2,0)))</f>
        <v/>
      </c>
      <c r="AQ168">
        <f>IF(C168&lt;&gt;"",始値!F22,"")</f>
        <v/>
      </c>
      <c r="AR168">
        <f>IF(C168&lt;&gt;"",高値!F22,"")</f>
        <v/>
      </c>
      <c r="AS168">
        <f>IF(C168&lt;&gt;"",安値!F22,"")</f>
        <v/>
      </c>
      <c r="AT168">
        <f>IF(OR(C168="",AQ168="",AR168="",AS168="",AR168-AS168&lt;=0),"-",IF(AND(AR168-MAX(G168,AQ168)&gt;=ABS(G168-AQ168)*2,MIN(G168,AQ168)-AS168&lt;=ABS(G168-AQ168)*0.5,ABS(G168-AQ168)&gt;0),"上ヒゲ陰線▼",IF(AND(G168&lt;AQ168,ABS(G168-AQ168)&gt;=(AR168-AS168)*0.7),"大陰線▼",IF(AND(MIN(G168,AQ168)-AS168&gt;=(AR168-AS168)*0.5,AR168-MAX(G168,AQ168)&lt;=(AR168-AS168)*0.2),"長い下ヒゲ(反発)","通常"))))</f>
        <v/>
      </c>
      <c r="AU168">
        <f>IF(AT168="上ヒゲ陰線▼",2,IF(AT168="大陰線▼",2,IF(AT168="長い下ヒゲ(反発)",-2,0)))</f>
        <v/>
      </c>
    </row>
    <row r="169" ht="14.25" customHeight="1" s="574">
      <c r="A169" s="344">
        <f>IF(銘柄管理!B27&lt;&gt;"",HYPERLINK("https://kabutan.jp/stock/?code="&amp;銘柄管理!B27,"株探"),"")</f>
        <v/>
      </c>
      <c r="B169" s="345" t="n"/>
      <c r="C169" s="345">
        <f>IF(銘柄管理!B27="","",銘柄管理!B27)</f>
        <v/>
      </c>
      <c r="D169" s="345">
        <f>IF(銘柄管理!C27="","",銘柄管理!C27)</f>
        <v/>
      </c>
      <c r="E169" s="346">
        <f>IF(C169&lt;&gt;"",_xll.RssMarket(C169,"現在値"),"")</f>
        <v/>
      </c>
      <c r="F169" s="346">
        <f>IF(C169&lt;&gt;"",_xll.RssMarket(C169,"始値"),"")</f>
        <v/>
      </c>
      <c r="G169" s="345">
        <f>IF(C169&lt;&gt;"",終値!F27,"")</f>
        <v/>
      </c>
      <c r="H169" s="346">
        <f>IF(C169&lt;&gt;"",_xll.RssMarket(C169,"高値"),"")</f>
        <v/>
      </c>
      <c r="I169" s="346">
        <f>IF(C169&lt;&gt;"",_xll.RssMarket(C169,"安値"),"")</f>
        <v/>
      </c>
      <c r="J169" s="346">
        <f>IF(C169&lt;&gt;"",_xll.RssMarket(C169,"出来高"),"")</f>
        <v/>
      </c>
      <c r="K169" s="346">
        <f>IF(C169&lt;&gt;"",_xll.RssMarket(C169,"年初来高値"),"")</f>
        <v/>
      </c>
      <c r="L169" s="619">
        <f>IF(AND(E169&lt;&gt;"",K169&lt;&gt;"",K169&lt;&gt;0),(E169-K169)/K169*100,"")</f>
        <v/>
      </c>
      <c r="M169" s="346">
        <f>IF(C169&lt;&gt;"",IFERROR(AVERAGE(出来高!E27:I27),""),"")</f>
        <v/>
      </c>
      <c r="N169" s="346">
        <f>IF(C169&lt;&gt;"",IFERROR(AVERAGE(出来高!E27:AC27),""),"")</f>
        <v/>
      </c>
      <c r="O169" s="620">
        <f>IF(AND(J169&lt;&gt;"",M169&lt;&gt;"",M169&lt;&gt;0),J169/M169,"")</f>
        <v/>
      </c>
      <c r="P169" s="345">
        <f>IF(O169="","",IF(O169&gt;=2,"急増↑↑",IF(O169&gt;=1.5,"増加↑",IF(O169&gt;=1,"普通→","減少↓"))))</f>
        <v/>
      </c>
      <c r="Q169" s="345">
        <f>IF(E169="","",IF(AND(E169&lt;G169,O169&gt;=1.5),"売り▼",IF(E169&gt;G169,"様子見▲","中立→")))</f>
        <v/>
      </c>
      <c r="R169" s="346">
        <f>IF(E169&lt;&gt;"",ROUND(E169*0.92,0),"")</f>
        <v/>
      </c>
      <c r="S169" s="346">
        <f>IF(E169&lt;&gt;"",ROUND(E169*1.04,0),"")</f>
        <v/>
      </c>
      <c r="T169" s="345">
        <f>IF(C169="","",IFERROR(IF(W169&gt;=70,3,IF(W169&gt;=60,2,IF(W169&gt;=50,1,0)))+IF(X169&lt;0,2,0)+IF(AD169="下降トレンド▼",3,IF(AD169="もみ合い→",1,0))+IF(V169="年初来安値圏●",3,IF(V169="安値圏",2,0))+IF(Q169="売り▼",2,0)+IF(P169="急増↑↑",2,IF(P169="増加↑",1,0))+IF(Z169&lt;0,1,0)+IF(L169&lt;=-30,2,IF(L169&lt;=-15,1,0))+IF(AE169="25日戻り売り★",2,IF(AE169="5日戻り売り○",1,0))+N(AL169)+N(AP169)+N(AU169),0))</f>
        <v/>
      </c>
      <c r="U169" s="345">
        <f>IF(T169="","",IF(AND(T169&gt;=3,O169&gt;=1.5),"有効",IF(T169&gt;=3,"要確認","除外")))</f>
        <v/>
      </c>
      <c r="V169" s="345">
        <f>IF(AND(I169&lt;&gt;"",K169&lt;&gt;""),IF(I169&lt;=K169*0.6,"年初来安値圏●",IF(I169&lt;=K169*0.75,"安値圏","通常")),"")</f>
        <v/>
      </c>
      <c r="W169" s="621">
        <f t="array" ref="W169">IFERROR(100-100/(1+SUMPRODUCT((終値!F27:R27&gt;終値!G27:S27)*(終値!F27:R27-終値!G27:S27))/SUMPRODUCT((終値!F27:R27&lt;終値!G27:S27)*(終値!G27:S27-終値!F27:R27))),50)</f>
        <v/>
      </c>
      <c r="X169" s="350">
        <f>IF(C169&lt;&gt;"",IFERROR(SUMPRODUCT(終値!E27:P27,{0.154,0.132,0.113,0.097,0.083,0.071,0.061,0.052,0.045,0.038,0.033,0.028})/SUMPRODUCT({0.154,0.132,0.113,0.097,0.083,0.071,0.061,0.052,0.045,0.038,0.033,0.028})-SUMPRODUCT(終値!E27:AD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9" s="345">
        <f>IF(AF169="","",AF169&amp;" | "&amp;AD169&amp;IF(AE169&lt;&gt;"なし"," "&amp;AE169,"")&amp;IF(X169&lt;0," MACD-"," MACD+")&amp;" RSI:"&amp;TEXT(W169,"0.0")&amp;IF(W169&gt;=70," [過熱]",IF(W169&lt;=30," [売られ過ぎ]",""))&amp;" 前日比:"&amp;TEXT(Z169,"+0.0;-0.0;0.0")&amp;"%"&amp;IF(V169="年初来安値圏●"," [年初来安値圏]",IF(V169="安値圏"," [安値圏]",""))&amp;IF(OR(AO169="通常",AO169="-"),""," ["&amp;AO169&amp;"]")&amp;IF(OR(AT169="通常",AT169="-"),"","前日["&amp;AT169&amp;"]")&amp;" ["&amp;T169&amp;"点]")</f>
        <v/>
      </c>
      <c r="Z169" s="622">
        <f>IF(AND(E169&lt;&gt;"",G169&lt;&gt;"",G169&lt;&gt;0),(E169-G169)/G169*100,"")</f>
        <v/>
      </c>
      <c r="AA169" s="345">
        <f>IF(OR(C169="",E169="",E169=0),"",IF(E169&gt;G169,"上昇▲",IF(E169&lt;G169,"下落▼","横ばい→")))</f>
        <v/>
      </c>
      <c r="AB169" s="346">
        <f>IF(OR(C169="",C169="TOPX",終値!E27=""),"",IFERROR(((終値!E27*0.333)+(終値!F27*0.222)+(終値!G27*0.148)+(終値!H27*0.099)+(終値!I27*0.066))/(0.333+0.222+0.148+0.099+0.066),""))</f>
        <v/>
      </c>
      <c r="AC169" s="346">
        <f>IF(OR(C169="",C169="TOPX",終値!E27=""),"",IFERROR(SUMPRODUCT((終値!E27:AC27)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9" s="345">
        <f>IF(OR(C169="",AB169="",AC169="",AB169=0,AC169=0),"",IF(AND(E169&gt;AB169,AB169&gt;AC169),"パーフェクト▲",IF(E169&gt;AC169,"上昇トレンド▲",IF(AND(E169&lt;AB169,AB169&lt;AC169),"下降トレンド▼","もみ合い→"))))</f>
        <v/>
      </c>
      <c r="AE169" s="345">
        <f>IF(OR(C169="",AB169="",AC169=""),"",IF(AND(ABS(E169-AC169)/AC169&lt;=0.02,E169&lt;AC169),"25日戻り売り★",IF(AND(ABS(E169-AB169)/AB169&lt;=0.01,E169&lt;AB169),"5日戻り売り○","なし")))</f>
        <v/>
      </c>
      <c r="AF169">
        <f>IF(T169="","",IF(銘柄管理!$F$5="上昇▲",IF(AND(AD169="下降トレンド▼",OR(AE169="25日戻り売り★",AE169="5日戻り売り○")),"★逆張り売り",IF(AND(AD169="もみ合い→",OR(AE169="25日戻り売り★",AE169="5日戻り売り○")),"○逆張り売り",IF(W169&gt;=70,IF(Z169&lt;0,"◎反落確認","△過熱・様子見"),"相場上昇・見送り"))),IF(AND(T169&gt;=12,AD169="下降トレンド▼"),"★強い売り",IF(T169&gt;=12,"★強い売り",IF(AND(T169&gt;=8,OR(AE169="25日戻り売り★",AE169="5日戻り売り○")),"◎戻り売り",IF(T169&gt;=10,"○売り候補",IF(T169&gt;=6,"△注目",IF(T169&gt;=3,"様子見","見送り"))))))))</f>
        <v/>
      </c>
      <c r="AG169">
        <f>IF(AND(T169&gt;=7,C169&lt;&gt;""),T169,0)</f>
        <v/>
      </c>
      <c r="AH169">
        <f>IF(AG169&gt;0,AG169*10000-ROW(A169),0)</f>
        <v/>
      </c>
      <c r="AI169" s="623">
        <f t="array" ref="AI169">IF(C169="","",IFERROR((INDEX(終値!$E:$E,MATCH(TEXT(C169,"0"),終値!$A:$A,0))-INDEX(終値!$E:$BL,MATCH(TEXT(C169,"0"),終値!$A:$A,0),$AN$2))/INDEX(終値!$E:$BL,MATCH(TEXT(C169,"0"),終値!$A:$A,0),$AN$2)*100,""))</f>
        <v/>
      </c>
      <c r="AJ169" s="623">
        <f t="array" ref="AJ169">IFERROR((終値!$E$5-INDEX(終値!$E$5:$BL$5,1,$AN$2))/INDEX(終値!$E$5:$BL$5,1,$AN$2)*100,"")</f>
        <v/>
      </c>
      <c r="AK169" s="624">
        <f>IF(OR(AI169="",AJ169=""),"",AI169-AJ169)</f>
        <v/>
      </c>
      <c r="AL169" s="394">
        <f>IF(AK169="","",IF(AK169&lt;-5,3,IF(AK169&lt;0,1,IF(AK169&lt;3,-1,-2))))</f>
        <v/>
      </c>
      <c r="AO169" s="398">
        <f>IF(OR($C169="",$E169="",$F169="",$H169="",$I169="",$H169-$I169&lt;=0),"-",IF(AND($H169-MAX($F169,$E169)&gt;=ABS($E169-$F169)*2,MIN($F169,$E169)-$I169&lt;=ABS($E169-$F169)*0.5,ABS($E169-$F169)&gt;0),"上ヒゲ陰線▼",IF(AND($E169&lt;$F169,ABS($E169-$F169)&gt;=($H169-$I169)*0.7),"大陰線▼",IF(AND(MIN($F169,$E169)-$I169&gt;=($H169-$I169)*0.5,$H169-MAX($F169,$E169)&lt;=($H169-$I169)*0.2),"長い下ヒゲ(反発警戒)","通常"))))</f>
        <v/>
      </c>
      <c r="AP169" s="625">
        <f>IF($AO169="上ヒゲ陰線▼",2,IF($AO169="大陰線▼",2,IF($AO169="長い下ヒゲ(反発警戒)",-2,0)))</f>
        <v/>
      </c>
      <c r="AQ169">
        <f>IF(C169&lt;&gt;"",始値!F27,"")</f>
        <v/>
      </c>
      <c r="AR169">
        <f>IF(C169&lt;&gt;"",高値!F27,"")</f>
        <v/>
      </c>
      <c r="AS169">
        <f>IF(C169&lt;&gt;"",安値!F27,"")</f>
        <v/>
      </c>
      <c r="AT169">
        <f>IF(OR(C169="",AQ169="",AR169="",AS169="",AR169-AS169&lt;=0),"-",IF(AND(AR169-MAX(G169,AQ169)&gt;=ABS(G169-AQ169)*2,MIN(G169,AQ169)-AS169&lt;=ABS(G169-AQ169)*0.5,ABS(G169-AQ169)&gt;0),"上ヒゲ陰線▼",IF(AND(G169&lt;AQ169,ABS(G169-AQ169)&gt;=(AR169-AS169)*0.7),"大陰線▼",IF(AND(MIN(G169,AQ169)-AS169&gt;=(AR169-AS169)*0.5,AR169-MAX(G169,AQ169)&lt;=(AR169-AS169)*0.2),"長い下ヒゲ(反発)","通常"))))</f>
        <v/>
      </c>
      <c r="AU169">
        <f>IF(AT169="上ヒゲ陰線▼",2,IF(AT169="大陰線▼",2,IF(AT169="長い下ヒゲ(反発)",-2,0)))</f>
        <v/>
      </c>
    </row>
    <row r="170" ht="14.25" customHeight="1" s="574">
      <c r="A170" s="352">
        <f>IF(銘柄管理!B34&lt;&gt;"",HYPERLINK("https://kabutan.jp/stock/?code="&amp;銘柄管理!B34,"株探"),"")</f>
        <v/>
      </c>
      <c r="B170" s="225" t="n"/>
      <c r="C170" s="225">
        <f>IF(銘柄管理!B34="","",銘柄管理!B34)</f>
        <v/>
      </c>
      <c r="D170" s="225">
        <f>IF(銘柄管理!C34="","",銘柄管理!C34)</f>
        <v/>
      </c>
      <c r="E170" s="353">
        <f>IF(C170&lt;&gt;"",_xll.RssMarket(C170,"現在値"),"")</f>
        <v/>
      </c>
      <c r="F170" s="353">
        <f>IF(C170&lt;&gt;"",_xll.RssMarket(C170,"始値"),"")</f>
        <v/>
      </c>
      <c r="G170" s="225">
        <f>IF(C170&lt;&gt;"",終値!F34,"")</f>
        <v/>
      </c>
      <c r="H170" s="353">
        <f>IF(C170&lt;&gt;"",_xll.RssMarket(C170,"高値"),"")</f>
        <v/>
      </c>
      <c r="I170" s="353">
        <f>IF(C170&lt;&gt;"",_xll.RssMarket(C170,"安値"),"")</f>
        <v/>
      </c>
      <c r="J170" s="353">
        <f>IF(C170&lt;&gt;"",_xll.RssMarket(C170,"出来高"),"")</f>
        <v/>
      </c>
      <c r="K170" s="353">
        <f>IF(C170&lt;&gt;"",_xll.RssMarket(C170,"年初来高値"),"")</f>
        <v/>
      </c>
      <c r="L170" s="626">
        <f>IF(AND(E170&lt;&gt;"",K170&lt;&gt;"",K170&lt;&gt;0),(E170-K170)/K170*100,"")</f>
        <v/>
      </c>
      <c r="M170" s="353">
        <f>IF(C170&lt;&gt;"",IFERROR(AVERAGE(出来高!E34:I34),""),"")</f>
        <v/>
      </c>
      <c r="N170" s="353">
        <f>IF(C170&lt;&gt;"",IFERROR(AVERAGE(出来高!E34:AC34),""),"")</f>
        <v/>
      </c>
      <c r="O170" s="627">
        <f>IF(AND(J170&lt;&gt;"",M170&lt;&gt;"",M170&lt;&gt;0),J170/M170,"")</f>
        <v/>
      </c>
      <c r="P170" s="225">
        <f>IF(O170="","",IF(O170&gt;=2,"急増↑↑",IF(O170&gt;=1.5,"増加↑",IF(O170&gt;=1,"普通→","減少↓"))))</f>
        <v/>
      </c>
      <c r="Q170" s="225">
        <f>IF(E170="","",IF(AND(E170&lt;G170,O170&gt;=1.5),"売り▼",IF(E170&gt;G170,"様子見▲","中立→")))</f>
        <v/>
      </c>
      <c r="R170" s="353">
        <f>IF(E170&lt;&gt;"",ROUND(E170*0.92,0),"")</f>
        <v/>
      </c>
      <c r="S170" s="353">
        <f>IF(E170&lt;&gt;"",ROUND(E170*1.04,0),"")</f>
        <v/>
      </c>
      <c r="T170" s="345">
        <f>IF(C170="","",IFERROR(IF(W170&gt;=70,3,IF(W170&gt;=60,2,IF(W170&gt;=50,1,0)))+IF(X170&lt;0,2,0)+IF(AD170="下降トレンド▼",3,IF(AD170="もみ合い→",1,0))+IF(V170="年初来安値圏●",3,IF(V170="安値圏",2,0))+IF(Q170="売り▼",2,0)+IF(P170="急増↑↑",2,IF(P170="増加↑",1,0))+IF(Z170&lt;0,1,0)+IF(L170&lt;=-30,2,IF(L170&lt;=-15,1,0))+IF(AE170="25日戻り売り★",2,IF(AE170="5日戻り売り○",1,0))+N(AL170)+N(AP170)+N(AU170),0))</f>
        <v/>
      </c>
      <c r="U170" s="225">
        <f>IF(T170="","",IF(AND(T170&gt;=3,O170&gt;=1.5),"有効",IF(T170&gt;=3,"要確認","除外")))</f>
        <v/>
      </c>
      <c r="V170" s="225">
        <f>IF(AND(I170&lt;&gt;"",K170&lt;&gt;""),IF(I170&lt;=K170*0.6,"年初来安値圏●",IF(I170&lt;=K170*0.75,"安値圏","通常")),"")</f>
        <v/>
      </c>
      <c r="W170" s="628">
        <f t="array" ref="W170">IFERROR(100-100/(1+SUMPRODUCT((終値!F34:R34&gt;終値!G34:S34)*(終値!F34:R34-終値!G34:S34))/SUMPRODUCT((終値!F34:R34&lt;終値!G34:S34)*(終値!G34:S34-終値!F34:R34))),50)</f>
        <v/>
      </c>
      <c r="X170" s="357">
        <f>IF(C170&lt;&gt;"",IFERROR(SUMPRODUCT(終値!E34:P34,{0.154,0.132,0.113,0.097,0.083,0.071,0.061,0.052,0.045,0.038,0.033,0.028})/SUMPRODUCT({0.154,0.132,0.113,0.097,0.083,0.071,0.061,0.052,0.045,0.038,0.033,0.028})-SUMPRODUCT(終値!E34:AD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0" s="225">
        <f>IF(AF170="","",AF170&amp;" | "&amp;AD170&amp;IF(AE170&lt;&gt;"なし"," "&amp;AE170,"")&amp;IF(X170&lt;0," MACD-"," MACD+")&amp;" RSI:"&amp;TEXT(W170,"0.0")&amp;IF(W170&gt;=70," [過熱]",IF(W170&lt;=30," [売られ過ぎ]",""))&amp;" 前日比:"&amp;TEXT(Z170,"+0.0;-0.0;0.0")&amp;"%"&amp;IF(V170="年初来安値圏●"," [年初来安値圏]",IF(V170="安値圏"," [安値圏]",""))&amp;IF(OR(AO170="通常",AO170="-"),""," ["&amp;AO170&amp;"]")&amp;IF(OR(AT170="通常",AT170="-"),"","前日["&amp;AT170&amp;"]")&amp;" ["&amp;T170&amp;"点]")</f>
        <v/>
      </c>
      <c r="Z170" s="629">
        <f>IF(AND(E170&lt;&gt;"",G170&lt;&gt;"",G170&lt;&gt;0),(E170-G170)/G170*100,"")</f>
        <v/>
      </c>
      <c r="AA170" s="225">
        <f>IF(OR(C170="",E170="",E170=0),"",IF(E170&gt;G170,"上昇▲",IF(E170&lt;G170,"下落▼","横ばい→")))</f>
        <v/>
      </c>
      <c r="AB170" s="353">
        <f>IF(OR(C170="",C170="TOPX",終値!E34=""),"",IFERROR(((終値!E34*0.333)+(終値!F34*0.222)+(終値!G34*0.148)+(終値!H34*0.099)+(終値!I34*0.066))/(0.333+0.222+0.148+0.099+0.066),""))</f>
        <v/>
      </c>
      <c r="AC170" s="353">
        <f>IF(OR(C170="",C170="TOPX",終値!E34=""),"",IFERROR(SUMPRODUCT((終値!E34:AC34)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0" s="225">
        <f>IF(OR(C170="",AB170="",AC170="",AB170=0,AC170=0),"",IF(AND(E170&gt;AB170,AB170&gt;AC170),"パーフェクト▲",IF(E170&gt;AC170,"上昇トレンド▲",IF(AND(E170&lt;AB170,AB170&lt;AC170),"下降トレンド▼","もみ合い→"))))</f>
        <v/>
      </c>
      <c r="AE170" s="225">
        <f>IF(OR(C170="",AB170="",AC170=""),"",IF(AND(ABS(E170-AC170)/AC170&lt;=0.02,E170&lt;AC170),"25日戻り売り★",IF(AND(ABS(E170-AB170)/AB170&lt;=0.01,E170&lt;AB170),"5日戻り売り○","なし")))</f>
        <v/>
      </c>
      <c r="AF170">
        <f>IF(T170="","",IF(銘柄管理!$F$5="上昇▲",IF(AND(AD170="下降トレンド▼",OR(AE170="25日戻り売り★",AE170="5日戻り売り○")),"★逆張り売り",IF(AND(AD170="もみ合い→",OR(AE170="25日戻り売り★",AE170="5日戻り売り○")),"○逆張り売り",IF(W170&gt;=70,IF(Z170&lt;0,"◎反落確認","△過熱・様子見"),"相場上昇・見送り"))),IF(AND(T170&gt;=12,AD170="下降トレンド▼"),"★強い売り",IF(T170&gt;=12,"★強い売り",IF(AND(T170&gt;=8,OR(AE170="25日戻り売り★",AE170="5日戻り売り○")),"◎戻り売り",IF(T170&gt;=10,"○売り候補",IF(T170&gt;=6,"△注目",IF(T170&gt;=3,"様子見","見送り"))))))))</f>
        <v/>
      </c>
      <c r="AG170">
        <f>IF(AND(T170&gt;=7,C170&lt;&gt;""),T170,0)</f>
        <v/>
      </c>
      <c r="AH170">
        <f>IF(AG170&gt;0,AG170*10000-ROW(A170),0)</f>
        <v/>
      </c>
      <c r="AI170" s="623">
        <f t="array" ref="AI170">IF(C170="","",IFERROR((INDEX(終値!$E:$E,MATCH(TEXT(C170,"0"),終値!$A:$A,0))-INDEX(終値!$E:$BL,MATCH(TEXT(C170,"0"),終値!$A:$A,0),$AN$2))/INDEX(終値!$E:$BL,MATCH(TEXT(C170,"0"),終値!$A:$A,0),$AN$2)*100,""))</f>
        <v/>
      </c>
      <c r="AJ170" s="623">
        <f t="array" ref="AJ170">IFERROR((終値!$E$5-INDEX(終値!$E$5:$BL$5,1,$AN$2))/INDEX(終値!$E$5:$BL$5,1,$AN$2)*100,"")</f>
        <v/>
      </c>
      <c r="AK170" s="624">
        <f>IF(OR(AI170="",AJ170=""),"",AI170-AJ170)</f>
        <v/>
      </c>
      <c r="AL170" s="394">
        <f>IF(AK170="","",IF(AK170&lt;-5,3,IF(AK170&lt;0,1,IF(AK170&lt;3,-1,-2))))</f>
        <v/>
      </c>
      <c r="AO170" s="398">
        <f>IF(OR($C170="",$E170="",$F170="",$H170="",$I170="",$H170-$I170&lt;=0),"-",IF(AND($H170-MAX($F170,$E170)&gt;=ABS($E170-$F170)*2,MIN($F170,$E170)-$I170&lt;=ABS($E170-$F170)*0.5,ABS($E170-$F170)&gt;0),"上ヒゲ陰線▼",IF(AND($E170&lt;$F170,ABS($E170-$F170)&gt;=($H170-$I170)*0.7),"大陰線▼",IF(AND(MIN($F170,$E170)-$I170&gt;=($H170-$I170)*0.5,$H170-MAX($F170,$E170)&lt;=($H170-$I170)*0.2),"長い下ヒゲ(反発警戒)","通常"))))</f>
        <v/>
      </c>
      <c r="AP170" s="625">
        <f>IF($AO170="上ヒゲ陰線▼",2,IF($AO170="大陰線▼",2,IF($AO170="長い下ヒゲ(反発警戒)",-2,0)))</f>
        <v/>
      </c>
      <c r="AQ170">
        <f>IF(C170&lt;&gt;"",始値!F34,"")</f>
        <v/>
      </c>
      <c r="AR170">
        <f>IF(C170&lt;&gt;"",高値!F34,"")</f>
        <v/>
      </c>
      <c r="AS170">
        <f>IF(C170&lt;&gt;"",安値!F34,"")</f>
        <v/>
      </c>
      <c r="AT170">
        <f>IF(OR(C170="",AQ170="",AR170="",AS170="",AR170-AS170&lt;=0),"-",IF(AND(AR170-MAX(G170,AQ170)&gt;=ABS(G170-AQ170)*2,MIN(G170,AQ170)-AS170&lt;=ABS(G170-AQ170)*0.5,ABS(G170-AQ170)&gt;0),"上ヒゲ陰線▼",IF(AND(G170&lt;AQ170,ABS(G170-AQ170)&gt;=(AR170-AS170)*0.7),"大陰線▼",IF(AND(MIN(G170,AQ170)-AS170&gt;=(AR170-AS170)*0.5,AR170-MAX(G170,AQ170)&lt;=(AR170-AS170)*0.2),"長い下ヒゲ(反発)","通常"))))</f>
        <v/>
      </c>
      <c r="AU170">
        <f>IF(AT170="上ヒゲ陰線▼",2,IF(AT170="大陰線▼",2,IF(AT170="長い下ヒゲ(反発)",-2,0)))</f>
        <v/>
      </c>
    </row>
    <row r="171" ht="14.25" customHeight="1" s="574">
      <c r="A171" s="344">
        <f>IF(銘柄管理!B39&lt;&gt;"",HYPERLINK("https://kabutan.jp/stock/?code="&amp;銘柄管理!B39,"株探"),"")</f>
        <v/>
      </c>
      <c r="B171" s="345" t="n"/>
      <c r="C171" s="345">
        <f>IF(銘柄管理!B39="","",銘柄管理!B39)</f>
        <v/>
      </c>
      <c r="D171" s="345">
        <f>IF(銘柄管理!C39="","",銘柄管理!C39)</f>
        <v/>
      </c>
      <c r="E171" s="346">
        <f>IF(C171&lt;&gt;"",_xll.RssMarket(C171,"現在値"),"")</f>
        <v/>
      </c>
      <c r="F171" s="346">
        <f>IF(C171&lt;&gt;"",_xll.RssMarket(C171,"始値"),"")</f>
        <v/>
      </c>
      <c r="G171" s="345">
        <f>IF(C171&lt;&gt;"",終値!F39,"")</f>
        <v/>
      </c>
      <c r="H171" s="346">
        <f>IF(C171&lt;&gt;"",_xll.RssMarket(C171,"高値"),"")</f>
        <v/>
      </c>
      <c r="I171" s="346">
        <f>IF(C171&lt;&gt;"",_xll.RssMarket(C171,"安値"),"")</f>
        <v/>
      </c>
      <c r="J171" s="346">
        <f>IF(C171&lt;&gt;"",_xll.RssMarket(C171,"出来高"),"")</f>
        <v/>
      </c>
      <c r="K171" s="346">
        <f>IF(C171&lt;&gt;"",_xll.RssMarket(C171,"年初来高値"),"")</f>
        <v/>
      </c>
      <c r="L171" s="619">
        <f>IF(AND(E171&lt;&gt;"",K171&lt;&gt;"",K171&lt;&gt;0),(E171-K171)/K171*100,"")</f>
        <v/>
      </c>
      <c r="M171" s="346">
        <f>IF(C171&lt;&gt;"",IFERROR(AVERAGE(出来高!E39:I39),""),"")</f>
        <v/>
      </c>
      <c r="N171" s="346">
        <f>IF(C171&lt;&gt;"",IFERROR(AVERAGE(出来高!E39:AC39),""),"")</f>
        <v/>
      </c>
      <c r="O171" s="620">
        <f>IF(AND(J171&lt;&gt;"",M171&lt;&gt;"",M171&lt;&gt;0),J171/M171,"")</f>
        <v/>
      </c>
      <c r="P171" s="345">
        <f>IF(O171="","",IF(O171&gt;=2,"急増↑↑",IF(O171&gt;=1.5,"増加↑",IF(O171&gt;=1,"普通→","減少↓"))))</f>
        <v/>
      </c>
      <c r="Q171" s="345">
        <f>IF(E171="","",IF(AND(E171&lt;G171,O171&gt;=1.5),"売り▼",IF(E171&gt;G171,"様子見▲","中立→")))</f>
        <v/>
      </c>
      <c r="R171" s="346">
        <f>IF(E171&lt;&gt;"",ROUND(E171*0.92,0),"")</f>
        <v/>
      </c>
      <c r="S171" s="346">
        <f>IF(E171&lt;&gt;"",ROUND(E171*1.04,0),"")</f>
        <v/>
      </c>
      <c r="T171" s="345">
        <f>IF(C171="","",IFERROR(IF(W171&gt;=70,3,IF(W171&gt;=60,2,IF(W171&gt;=50,1,0)))+IF(X171&lt;0,2,0)+IF(AD171="下降トレンド▼",3,IF(AD171="もみ合い→",1,0))+IF(V171="年初来安値圏●",3,IF(V171="安値圏",2,0))+IF(Q171="売り▼",2,0)+IF(P171="急増↑↑",2,IF(P171="増加↑",1,0))+IF(Z171&lt;0,1,0)+IF(L171&lt;=-30,2,IF(L171&lt;=-15,1,0))+IF(AE171="25日戻り売り★",2,IF(AE171="5日戻り売り○",1,0))+N(AL171)+N(AP171)+N(AU171),0))</f>
        <v/>
      </c>
      <c r="U171" s="345">
        <f>IF(T171="","",IF(AND(T171&gt;=3,O171&gt;=1.5),"有効",IF(T171&gt;=3,"要確認","除外")))</f>
        <v/>
      </c>
      <c r="V171" s="345">
        <f>IF(AND(I171&lt;&gt;"",K171&lt;&gt;""),IF(I171&lt;=K171*0.6,"年初来安値圏●",IF(I171&lt;=K171*0.75,"安値圏","通常")),"")</f>
        <v/>
      </c>
      <c r="W171" s="621">
        <f t="array" ref="W171">IFERROR(100-100/(1+SUMPRODUCT((終値!F39:R39&gt;終値!G39:S39)*(終値!F39:R39-終値!G39:S39))/SUMPRODUCT((終値!F39:R39&lt;終値!G39:S39)*(終値!G39:S39-終値!F39:R39))),50)</f>
        <v/>
      </c>
      <c r="X171" s="350">
        <f>IF(C171&lt;&gt;"",IFERROR(SUMPRODUCT(終値!E39:P39,{0.154,0.132,0.113,0.097,0.083,0.071,0.061,0.052,0.045,0.038,0.033,0.028})/SUMPRODUCT({0.154,0.132,0.113,0.097,0.083,0.071,0.061,0.052,0.045,0.038,0.033,0.028})-SUMPRODUCT(終値!E39:AD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1" s="345">
        <f>IF(AF171="","",AF171&amp;" | "&amp;AD171&amp;IF(AE171&lt;&gt;"なし"," "&amp;AE171,"")&amp;IF(X171&lt;0," MACD-"," MACD+")&amp;" RSI:"&amp;TEXT(W171,"0.0")&amp;IF(W171&gt;=70," [過熱]",IF(W171&lt;=30," [売られ過ぎ]",""))&amp;" 前日比:"&amp;TEXT(Z171,"+0.0;-0.0;0.0")&amp;"%"&amp;IF(V171="年初来安値圏●"," [年初来安値圏]",IF(V171="安値圏"," [安値圏]",""))&amp;IF(OR(AO171="通常",AO171="-"),""," ["&amp;AO171&amp;"]")&amp;IF(OR(AT171="通常",AT171="-"),"","前日["&amp;AT171&amp;"]")&amp;" ["&amp;T171&amp;"点]")</f>
        <v/>
      </c>
      <c r="Z171" s="622">
        <f>IF(AND(E171&lt;&gt;"",G171&lt;&gt;"",G171&lt;&gt;0),(E171-G171)/G171*100,"")</f>
        <v/>
      </c>
      <c r="AA171" s="345">
        <f>IF(OR(C171="",E171="",E171=0),"",IF(E171&gt;G171,"上昇▲",IF(E171&lt;G171,"下落▼","横ばい→")))</f>
        <v/>
      </c>
      <c r="AB171" s="346">
        <f>IF(OR(C171="",C171="TOPX",終値!E39=""),"",IFERROR(((終値!E39*0.333)+(終値!F39*0.222)+(終値!G39*0.148)+(終値!H39*0.099)+(終値!I39*0.066))/(0.333+0.222+0.148+0.099+0.066),""))</f>
        <v/>
      </c>
      <c r="AC171" s="346">
        <f>IF(OR(C171="",C171="TOPX",終値!E39=""),"",IFERROR(SUMPRODUCT((終値!E39:AC39)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1" s="345">
        <f>IF(OR(C171="",AB171="",AC171="",AB171=0,AC171=0),"",IF(AND(E171&gt;AB171,AB171&gt;AC171),"パーフェクト▲",IF(E171&gt;AC171,"上昇トレンド▲",IF(AND(E171&lt;AB171,AB171&lt;AC171),"下降トレンド▼","もみ合い→"))))</f>
        <v/>
      </c>
      <c r="AE171" s="345">
        <f>IF(OR(C171="",AB171="",AC171=""),"",IF(AND(ABS(E171-AC171)/AC171&lt;=0.02,E171&lt;AC171),"25日戻り売り★",IF(AND(ABS(E171-AB171)/AB171&lt;=0.01,E171&lt;AB171),"5日戻り売り○","なし")))</f>
        <v/>
      </c>
      <c r="AF171">
        <f>IF(T171="","",IF(銘柄管理!$F$5="上昇▲",IF(AND(AD171="下降トレンド▼",OR(AE171="25日戻り売り★",AE171="5日戻り売り○")),"★逆張り売り",IF(AND(AD171="もみ合い→",OR(AE171="25日戻り売り★",AE171="5日戻り売り○")),"○逆張り売り",IF(W171&gt;=70,IF(Z171&lt;0,"◎反落確認","△過熱・様子見"),"相場上昇・見送り"))),IF(AND(T171&gt;=12,AD171="下降トレンド▼"),"★強い売り",IF(T171&gt;=12,"★強い売り",IF(AND(T171&gt;=8,OR(AE171="25日戻り売り★",AE171="5日戻り売り○")),"◎戻り売り",IF(T171&gt;=10,"○売り候補",IF(T171&gt;=6,"△注目",IF(T171&gt;=3,"様子見","見送り"))))))))</f>
        <v/>
      </c>
      <c r="AG171">
        <f>IF(AND(T171&gt;=7,C171&lt;&gt;""),T171,0)</f>
        <v/>
      </c>
      <c r="AH171">
        <f>IF(AG171&gt;0,AG171*10000-ROW(A171),0)</f>
        <v/>
      </c>
      <c r="AI171" s="623">
        <f t="array" ref="AI171">IF(C171="","",IFERROR((INDEX(終値!$E:$E,MATCH(TEXT(C171,"0"),終値!$A:$A,0))-INDEX(終値!$E:$BL,MATCH(TEXT(C171,"0"),終値!$A:$A,0),$AN$2))/INDEX(終値!$E:$BL,MATCH(TEXT(C171,"0"),終値!$A:$A,0),$AN$2)*100,""))</f>
        <v/>
      </c>
      <c r="AJ171" s="623">
        <f t="array" ref="AJ171">IFERROR((終値!$E$5-INDEX(終値!$E$5:$BL$5,1,$AN$2))/INDEX(終値!$E$5:$BL$5,1,$AN$2)*100,"")</f>
        <v/>
      </c>
      <c r="AK171" s="624">
        <f>IF(OR(AI171="",AJ171=""),"",AI171-AJ171)</f>
        <v/>
      </c>
      <c r="AL171" s="394">
        <f>IF(AK171="","",IF(AK171&lt;-5,3,IF(AK171&lt;0,1,IF(AK171&lt;3,-1,-2))))</f>
        <v/>
      </c>
      <c r="AO171" s="398">
        <f>IF(OR($C171="",$E171="",$F171="",$H171="",$I171="",$H171-$I171&lt;=0),"-",IF(AND($H171-MAX($F171,$E171)&gt;=ABS($E171-$F171)*2,MIN($F171,$E171)-$I171&lt;=ABS($E171-$F171)*0.5,ABS($E171-$F171)&gt;0),"上ヒゲ陰線▼",IF(AND($E171&lt;$F171,ABS($E171-$F171)&gt;=($H171-$I171)*0.7),"大陰線▼",IF(AND(MIN($F171,$E171)-$I171&gt;=($H171-$I171)*0.5,$H171-MAX($F171,$E171)&lt;=($H171-$I171)*0.2),"長い下ヒゲ(反発警戒)","通常"))))</f>
        <v/>
      </c>
      <c r="AP171" s="625">
        <f>IF($AO171="上ヒゲ陰線▼",2,IF($AO171="大陰線▼",2,IF($AO171="長い下ヒゲ(反発警戒)",-2,0)))</f>
        <v/>
      </c>
      <c r="AQ171">
        <f>IF(C171&lt;&gt;"",始値!F39,"")</f>
        <v/>
      </c>
      <c r="AR171">
        <f>IF(C171&lt;&gt;"",高値!F39,"")</f>
        <v/>
      </c>
      <c r="AS171">
        <f>IF(C171&lt;&gt;"",安値!F39,"")</f>
        <v/>
      </c>
      <c r="AT171">
        <f>IF(OR(C171="",AQ171="",AR171="",AS171="",AR171-AS171&lt;=0),"-",IF(AND(AR171-MAX(G171,AQ171)&gt;=ABS(G171-AQ171)*2,MIN(G171,AQ171)-AS171&lt;=ABS(G171-AQ171)*0.5,ABS(G171-AQ171)&gt;0),"上ヒゲ陰線▼",IF(AND(G171&lt;AQ171,ABS(G171-AQ171)&gt;=(AR171-AS171)*0.7),"大陰線▼",IF(AND(MIN(G171,AQ171)-AS171&gt;=(AR171-AS171)*0.5,AR171-MAX(G171,AQ171)&lt;=(AR171-AS171)*0.2),"長い下ヒゲ(反発)","通常"))))</f>
        <v/>
      </c>
      <c r="AU171">
        <f>IF(AT171="上ヒゲ陰線▼",2,IF(AT171="大陰線▼",2,IF(AT171="長い下ヒゲ(反発)",-2,0)))</f>
        <v/>
      </c>
    </row>
    <row r="172" ht="14.25" customHeight="1" s="574">
      <c r="A172" s="352">
        <f>IF(銘柄管理!B44&lt;&gt;"",HYPERLINK("https://kabutan.jp/stock/?code="&amp;銘柄管理!B44,"株探"),"")</f>
        <v/>
      </c>
      <c r="B172" s="225" t="n"/>
      <c r="C172" s="225">
        <f>IF(銘柄管理!B44="","",銘柄管理!B44)</f>
        <v/>
      </c>
      <c r="D172" s="225">
        <f>IF(銘柄管理!C44="","",銘柄管理!C44)</f>
        <v/>
      </c>
      <c r="E172" s="353">
        <f>IF(C172&lt;&gt;"",_xll.RssMarket(C172,"現在値"),"")</f>
        <v/>
      </c>
      <c r="F172" s="353">
        <f>IF(C172&lt;&gt;"",_xll.RssMarket(C172,"始値"),"")</f>
        <v/>
      </c>
      <c r="G172" s="225">
        <f>IF(C172&lt;&gt;"",終値!F44,"")</f>
        <v/>
      </c>
      <c r="H172" s="353">
        <f>IF(C172&lt;&gt;"",_xll.RssMarket(C172,"高値"),"")</f>
        <v/>
      </c>
      <c r="I172" s="353">
        <f>IF(C172&lt;&gt;"",_xll.RssMarket(C172,"安値"),"")</f>
        <v/>
      </c>
      <c r="J172" s="353">
        <f>IF(C172&lt;&gt;"",_xll.RssMarket(C172,"出来高"),"")</f>
        <v/>
      </c>
      <c r="K172" s="353">
        <f>IF(C172&lt;&gt;"",_xll.RssMarket(C172,"年初来高値"),"")</f>
        <v/>
      </c>
      <c r="L172" s="626">
        <f>IF(AND(E172&lt;&gt;"",K172&lt;&gt;"",K172&lt;&gt;0),(E172-K172)/K172*100,"")</f>
        <v/>
      </c>
      <c r="M172" s="353">
        <f>IF(C172&lt;&gt;"",IFERROR(AVERAGE(出来高!E44:I44),""),"")</f>
        <v/>
      </c>
      <c r="N172" s="353">
        <f>IF(C172&lt;&gt;"",IFERROR(AVERAGE(出来高!E44:AC44),""),"")</f>
        <v/>
      </c>
      <c r="O172" s="627">
        <f>IF(AND(J172&lt;&gt;"",M172&lt;&gt;"",M172&lt;&gt;0),J172/M172,"")</f>
        <v/>
      </c>
      <c r="P172" s="225">
        <f>IF(O172="","",IF(O172&gt;=2,"急増↑↑",IF(O172&gt;=1.5,"増加↑",IF(O172&gt;=1,"普通→","減少↓"))))</f>
        <v/>
      </c>
      <c r="Q172" s="225">
        <f>IF(E172="","",IF(AND(E172&lt;G172,O172&gt;=1.5),"売り▼",IF(E172&gt;G172,"様子見▲","中立→")))</f>
        <v/>
      </c>
      <c r="R172" s="353">
        <f>IF(E172&lt;&gt;"",ROUND(E172*0.92,0),"")</f>
        <v/>
      </c>
      <c r="S172" s="353">
        <f>IF(E172&lt;&gt;"",ROUND(E172*1.04,0),"")</f>
        <v/>
      </c>
      <c r="T172" s="345">
        <f>IF(C172="","",IFERROR(IF(W172&gt;=70,3,IF(W172&gt;=60,2,IF(W172&gt;=50,1,0)))+IF(X172&lt;0,2,0)+IF(AD172="下降トレンド▼",3,IF(AD172="もみ合い→",1,0))+IF(V172="年初来安値圏●",3,IF(V172="安値圏",2,0))+IF(Q172="売り▼",2,0)+IF(P172="急増↑↑",2,IF(P172="増加↑",1,0))+IF(Z172&lt;0,1,0)+IF(L172&lt;=-30,2,IF(L172&lt;=-15,1,0))+IF(AE172="25日戻り売り★",2,IF(AE172="5日戻り売り○",1,0))+N(AL172)+N(AP172)+N(AU172),0))</f>
        <v/>
      </c>
      <c r="U172" s="225">
        <f>IF(T172="","",IF(AND(T172&gt;=3,O172&gt;=1.5),"有効",IF(T172&gt;=3,"要確認","除外")))</f>
        <v/>
      </c>
      <c r="V172" s="225">
        <f>IF(AND(I172&lt;&gt;"",K172&lt;&gt;""),IF(I172&lt;=K172*0.6,"年初来安値圏●",IF(I172&lt;=K172*0.75,"安値圏","通常")),"")</f>
        <v/>
      </c>
      <c r="W172" s="628">
        <f t="array" ref="W172">IFERROR(100-100/(1+SUMPRODUCT((終値!F44:R44&gt;終値!G44:S44)*(終値!F44:R44-終値!G44:S44))/SUMPRODUCT((終値!F44:R44&lt;終値!G44:S44)*(終値!G44:S44-終値!F44:R44))),50)</f>
        <v/>
      </c>
      <c r="X172" s="357">
        <f>IF(C172&lt;&gt;"",IFERROR(SUMPRODUCT(終値!E44:P44,{0.154,0.132,0.113,0.097,0.083,0.071,0.061,0.052,0.045,0.038,0.033,0.028})/SUMPRODUCT({0.154,0.132,0.113,0.097,0.083,0.071,0.061,0.052,0.045,0.038,0.033,0.028})-SUMPRODUCT(終値!E44:AD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2" s="225">
        <f>IF(AF172="","",AF172&amp;" | "&amp;AD172&amp;IF(AE172&lt;&gt;"なし"," "&amp;AE172,"")&amp;IF(X172&lt;0," MACD-"," MACD+")&amp;" RSI:"&amp;TEXT(W172,"0.0")&amp;IF(W172&gt;=70," [過熱]",IF(W172&lt;=30," [売られ過ぎ]",""))&amp;" 前日比:"&amp;TEXT(Z172,"+0.0;-0.0;0.0")&amp;"%"&amp;IF(V172="年初来安値圏●"," [年初来安値圏]",IF(V172="安値圏"," [安値圏]",""))&amp;IF(OR(AO172="通常",AO172="-"),""," ["&amp;AO172&amp;"]")&amp;IF(OR(AT172="通常",AT172="-"),"","前日["&amp;AT172&amp;"]")&amp;" ["&amp;T172&amp;"点]")</f>
        <v/>
      </c>
      <c r="Z172" s="629">
        <f>IF(AND(E172&lt;&gt;"",G172&lt;&gt;"",G172&lt;&gt;0),(E172-G172)/G172*100,"")</f>
        <v/>
      </c>
      <c r="AA172" s="225">
        <f>IF(OR(C172="",E172="",E172=0),"",IF(E172&gt;G172,"上昇▲",IF(E172&lt;G172,"下落▼","横ばい→")))</f>
        <v/>
      </c>
      <c r="AB172" s="353">
        <f>IF(OR(C172="",C172="TOPX",終値!E44=""),"",IFERROR(((終値!E44*0.333)+(終値!F44*0.222)+(終値!G44*0.148)+(終値!H44*0.099)+(終値!I44*0.066))/(0.333+0.222+0.148+0.099+0.066),""))</f>
        <v/>
      </c>
      <c r="AC172" s="353">
        <f>IF(OR(C172="",C172="TOPX",終値!E44=""),"",IFERROR(SUMPRODUCT((終値!E44:AC44)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2" s="225">
        <f>IF(OR(C172="",AB172="",AC172="",AB172=0,AC172=0),"",IF(AND(E172&gt;AB172,AB172&gt;AC172),"パーフェクト▲",IF(E172&gt;AC172,"上昇トレンド▲",IF(AND(E172&lt;AB172,AB172&lt;AC172),"下降トレンド▼","もみ合い→"))))</f>
        <v/>
      </c>
      <c r="AE172" s="225">
        <f>IF(OR(C172="",AB172="",AC172=""),"",IF(AND(ABS(E172-AC172)/AC172&lt;=0.02,E172&lt;AC172),"25日戻り売り★",IF(AND(ABS(E172-AB172)/AB172&lt;=0.01,E172&lt;AB172),"5日戻り売り○","なし")))</f>
        <v/>
      </c>
      <c r="AF172">
        <f>IF(T172="","",IF(銘柄管理!$F$5="上昇▲",IF(AND(AD172="下降トレンド▼",OR(AE172="25日戻り売り★",AE172="5日戻り売り○")),"★逆張り売り",IF(AND(AD172="もみ合い→",OR(AE172="25日戻り売り★",AE172="5日戻り売り○")),"○逆張り売り",IF(W172&gt;=70,IF(Z172&lt;0,"◎反落確認","△過熱・様子見"),"相場上昇・見送り"))),IF(AND(T172&gt;=12,AD172="下降トレンド▼"),"★強い売り",IF(T172&gt;=12,"★強い売り",IF(AND(T172&gt;=8,OR(AE172="25日戻り売り★",AE172="5日戻り売り○")),"◎戻り売り",IF(T172&gt;=10,"○売り候補",IF(T172&gt;=6,"△注目",IF(T172&gt;=3,"様子見","見送り"))))))))</f>
        <v/>
      </c>
      <c r="AG172">
        <f>IF(AND(T172&gt;=7,C172&lt;&gt;""),T172,0)</f>
        <v/>
      </c>
      <c r="AH172">
        <f>IF(AG172&gt;0,AG172*10000-ROW(A172),0)</f>
        <v/>
      </c>
      <c r="AI172" s="623">
        <f t="array" ref="AI172">IF(C172="","",IFERROR((INDEX(終値!$E:$E,MATCH(TEXT(C172,"0"),終値!$A:$A,0))-INDEX(終値!$E:$BL,MATCH(TEXT(C172,"0"),終値!$A:$A,0),$AN$2))/INDEX(終値!$E:$BL,MATCH(TEXT(C172,"0"),終値!$A:$A,0),$AN$2)*100,""))</f>
        <v/>
      </c>
      <c r="AJ172" s="623">
        <f t="array" ref="AJ172">IFERROR((終値!$E$5-INDEX(終値!$E$5:$BL$5,1,$AN$2))/INDEX(終値!$E$5:$BL$5,1,$AN$2)*100,"")</f>
        <v/>
      </c>
      <c r="AK172" s="624">
        <f>IF(OR(AI172="",AJ172=""),"",AI172-AJ172)</f>
        <v/>
      </c>
      <c r="AL172" s="394">
        <f>IF(AK172="","",IF(AK172&lt;-5,3,IF(AK172&lt;0,1,IF(AK172&lt;3,-1,-2))))</f>
        <v/>
      </c>
      <c r="AO172" s="398">
        <f>IF(OR($C172="",$E172="",$F172="",$H172="",$I172="",$H172-$I172&lt;=0),"-",IF(AND($H172-MAX($F172,$E172)&gt;=ABS($E172-$F172)*2,MIN($F172,$E172)-$I172&lt;=ABS($E172-$F172)*0.5,ABS($E172-$F172)&gt;0),"上ヒゲ陰線▼",IF(AND($E172&lt;$F172,ABS($E172-$F172)&gt;=($H172-$I172)*0.7),"大陰線▼",IF(AND(MIN($F172,$E172)-$I172&gt;=($H172-$I172)*0.5,$H172-MAX($F172,$E172)&lt;=($H172-$I172)*0.2),"長い下ヒゲ(反発警戒)","通常"))))</f>
        <v/>
      </c>
      <c r="AP172" s="625">
        <f>IF($AO172="上ヒゲ陰線▼",2,IF($AO172="大陰線▼",2,IF($AO172="長い下ヒゲ(反発警戒)",-2,0)))</f>
        <v/>
      </c>
      <c r="AQ172">
        <f>IF(C172&lt;&gt;"",始値!F44,"")</f>
        <v/>
      </c>
      <c r="AR172">
        <f>IF(C172&lt;&gt;"",高値!F44,"")</f>
        <v/>
      </c>
      <c r="AS172">
        <f>IF(C172&lt;&gt;"",安値!F44,"")</f>
        <v/>
      </c>
      <c r="AT172">
        <f>IF(OR(C172="",AQ172="",AR172="",AS172="",AR172-AS172&lt;=0),"-",IF(AND(AR172-MAX(G172,AQ172)&gt;=ABS(G172-AQ172)*2,MIN(G172,AQ172)-AS172&lt;=ABS(G172-AQ172)*0.5,ABS(G172-AQ172)&gt;0),"上ヒゲ陰線▼",IF(AND(G172&lt;AQ172,ABS(G172-AQ172)&gt;=(AR172-AS172)*0.7),"大陰線▼",IF(AND(MIN(G172,AQ172)-AS172&gt;=(AR172-AS172)*0.5,AR172-MAX(G172,AQ172)&lt;=(AR172-AS172)*0.2),"長い下ヒゲ(反発)","通常"))))</f>
        <v/>
      </c>
      <c r="AU172">
        <f>IF(AT172="上ヒゲ陰線▼",2,IF(AT172="大陰線▼",2,IF(AT172="長い下ヒゲ(反発)",-2,0)))</f>
        <v/>
      </c>
    </row>
    <row r="173" ht="14.25" customHeight="1" s="574">
      <c r="A173" s="344">
        <f>IF(銘柄管理!B46&lt;&gt;"",HYPERLINK("https://kabutan.jp/stock/?code="&amp;銘柄管理!B46,"株探"),"")</f>
        <v/>
      </c>
      <c r="B173" s="345" t="n"/>
      <c r="C173" s="345">
        <f>IF(銘柄管理!B46="","",銘柄管理!B46)</f>
        <v/>
      </c>
      <c r="D173" s="345">
        <f>IF(銘柄管理!C46="","",銘柄管理!C46)</f>
        <v/>
      </c>
      <c r="E173" s="346">
        <f>IF(C173&lt;&gt;"",_xll.RssMarket(C173,"現在値"),"")</f>
        <v/>
      </c>
      <c r="F173" s="346">
        <f>IF(C173&lt;&gt;"",_xll.RssMarket(C173,"始値"),"")</f>
        <v/>
      </c>
      <c r="G173" s="345">
        <f>IF(C173&lt;&gt;"",終値!F46,"")</f>
        <v/>
      </c>
      <c r="H173" s="346">
        <f>IF(C173&lt;&gt;"",_xll.RssMarket(C173,"高値"),"")</f>
        <v/>
      </c>
      <c r="I173" s="346">
        <f>IF(C173&lt;&gt;"",_xll.RssMarket(C173,"安値"),"")</f>
        <v/>
      </c>
      <c r="J173" s="346">
        <f>IF(C173&lt;&gt;"",_xll.RssMarket(C173,"出来高"),"")</f>
        <v/>
      </c>
      <c r="K173" s="346">
        <f>IF(C173&lt;&gt;"",_xll.RssMarket(C173,"年初来高値"),"")</f>
        <v/>
      </c>
      <c r="L173" s="619">
        <f>IF(AND(E173&lt;&gt;"",K173&lt;&gt;"",K173&lt;&gt;0),(E173-K173)/K173*100,"")</f>
        <v/>
      </c>
      <c r="M173" s="346">
        <f>IF(C173&lt;&gt;"",IFERROR(AVERAGE(出来高!E46:I46),""),"")</f>
        <v/>
      </c>
      <c r="N173" s="346">
        <f>IF(C173&lt;&gt;"",IFERROR(AVERAGE(出来高!E46:AC46),""),"")</f>
        <v/>
      </c>
      <c r="O173" s="620">
        <f>IF(AND(J173&lt;&gt;"",M173&lt;&gt;"",M173&lt;&gt;0),J173/M173,"")</f>
        <v/>
      </c>
      <c r="P173" s="345">
        <f>IF(O173="","",IF(O173&gt;=2,"急増↑↑",IF(O173&gt;=1.5,"増加↑",IF(O173&gt;=1,"普通→","減少↓"))))</f>
        <v/>
      </c>
      <c r="Q173" s="345">
        <f>IF(E173="","",IF(AND(E173&lt;G173,O173&gt;=1.5),"売り▼",IF(E173&gt;G173,"様子見▲","中立→")))</f>
        <v/>
      </c>
      <c r="R173" s="346">
        <f>IF(E173&lt;&gt;"",ROUND(E173*0.92,0),"")</f>
        <v/>
      </c>
      <c r="S173" s="346">
        <f>IF(E173&lt;&gt;"",ROUND(E173*1.04,0),"")</f>
        <v/>
      </c>
      <c r="T173" s="345">
        <f>IF(C173="","",IFERROR(IF(W173&gt;=70,3,IF(W173&gt;=60,2,IF(W173&gt;=50,1,0)))+IF(X173&lt;0,2,0)+IF(AD173="下降トレンド▼",3,IF(AD173="もみ合い→",1,0))+IF(V173="年初来安値圏●",3,IF(V173="安値圏",2,0))+IF(Q173="売り▼",2,0)+IF(P173="急増↑↑",2,IF(P173="増加↑",1,0))+IF(Z173&lt;0,1,0)+IF(L173&lt;=-30,2,IF(L173&lt;=-15,1,0))+IF(AE173="25日戻り売り★",2,IF(AE173="5日戻り売り○",1,0))+N(AL173)+N(AP173)+N(AU173),0))</f>
        <v/>
      </c>
      <c r="U173" s="345">
        <f>IF(T173="","",IF(AND(T173&gt;=3,O173&gt;=1.5),"有効",IF(T173&gt;=3,"要確認","除外")))</f>
        <v/>
      </c>
      <c r="V173" s="345">
        <f>IF(AND(I173&lt;&gt;"",K173&lt;&gt;""),IF(I173&lt;=K173*0.6,"年初来安値圏●",IF(I173&lt;=K173*0.75,"安値圏","通常")),"")</f>
        <v/>
      </c>
      <c r="W173" s="621">
        <f t="array" ref="W173">IFERROR(100-100/(1+SUMPRODUCT((終値!F46:R46&gt;終値!G46:S46)*(終値!F46:R46-終値!G46:S46))/SUMPRODUCT((終値!F46:R46&lt;終値!G46:S46)*(終値!G46:S46-終値!F46:R46))),50)</f>
        <v/>
      </c>
      <c r="X173" s="350">
        <f>IF(C173&lt;&gt;"",IFERROR(SUMPRODUCT(終値!E46:P46,{0.154,0.132,0.113,0.097,0.083,0.071,0.061,0.052,0.045,0.038,0.033,0.028})/SUMPRODUCT({0.154,0.132,0.113,0.097,0.083,0.071,0.061,0.052,0.045,0.038,0.033,0.028})-SUMPRODUCT(終値!E46:AD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3" s="345">
        <f>IF(AF173="","",AF173&amp;" | "&amp;AD173&amp;IF(AE173&lt;&gt;"なし"," "&amp;AE173,"")&amp;IF(X173&lt;0," MACD-"," MACD+")&amp;" RSI:"&amp;TEXT(W173,"0.0")&amp;IF(W173&gt;=70," [過熱]",IF(W173&lt;=30," [売られ過ぎ]",""))&amp;" 前日比:"&amp;TEXT(Z173,"+0.0;-0.0;0.0")&amp;"%"&amp;IF(V173="年初来安値圏●"," [年初来安値圏]",IF(V173="安値圏"," [安値圏]",""))&amp;IF(OR(AO173="通常",AO173="-"),""," ["&amp;AO173&amp;"]")&amp;IF(OR(AT173="通常",AT173="-"),"","前日["&amp;AT173&amp;"]")&amp;" ["&amp;T173&amp;"点]")</f>
        <v/>
      </c>
      <c r="Z173" s="622">
        <f>IF(AND(E173&lt;&gt;"",G173&lt;&gt;"",G173&lt;&gt;0),(E173-G173)/G173*100,"")</f>
        <v/>
      </c>
      <c r="AA173" s="345">
        <f>IF(OR(C173="",E173="",E173=0),"",IF(E173&gt;G173,"上昇▲",IF(E173&lt;G173,"下落▼","横ばい→")))</f>
        <v/>
      </c>
      <c r="AB173" s="346">
        <f>IF(OR(C173="",C173="TOPX",終値!E46=""),"",IFERROR(((終値!E46*0.333)+(終値!F46*0.222)+(終値!G46*0.148)+(終値!H46*0.099)+(終値!I46*0.066))/(0.333+0.222+0.148+0.099+0.066),""))</f>
        <v/>
      </c>
      <c r="AC173" s="346">
        <f>IF(OR(C173="",C173="TOPX",終値!E46=""),"",IFERROR(SUMPRODUCT((終値!E46:AC46)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3" s="345">
        <f>IF(OR(C173="",AB173="",AC173="",AB173=0,AC173=0),"",IF(AND(E173&gt;AB173,AB173&gt;AC173),"パーフェクト▲",IF(E173&gt;AC173,"上昇トレンド▲",IF(AND(E173&lt;AB173,AB173&lt;AC173),"下降トレンド▼","もみ合い→"))))</f>
        <v/>
      </c>
      <c r="AE173" s="345">
        <f>IF(OR(C173="",AB173="",AC173=""),"",IF(AND(ABS(E173-AC173)/AC173&lt;=0.02,E173&lt;AC173),"25日戻り売り★",IF(AND(ABS(E173-AB173)/AB173&lt;=0.01,E173&lt;AB173),"5日戻り売り○","なし")))</f>
        <v/>
      </c>
      <c r="AF173">
        <f>IF(T173="","",IF(銘柄管理!$F$5="上昇▲",IF(AND(AD173="下降トレンド▼",OR(AE173="25日戻り売り★",AE173="5日戻り売り○")),"★逆張り売り",IF(AND(AD173="もみ合い→",OR(AE173="25日戻り売り★",AE173="5日戻り売り○")),"○逆張り売り",IF(W173&gt;=70,IF(Z173&lt;0,"◎反落確認","△過熱・様子見"),"相場上昇・見送り"))),IF(AND(T173&gt;=12,AD173="下降トレンド▼"),"★強い売り",IF(T173&gt;=12,"★強い売り",IF(AND(T173&gt;=8,OR(AE173="25日戻り売り★",AE173="5日戻り売り○")),"◎戻り売り",IF(T173&gt;=10,"○売り候補",IF(T173&gt;=6,"△注目",IF(T173&gt;=3,"様子見","見送り"))))))))</f>
        <v/>
      </c>
      <c r="AG173">
        <f>IF(AND(T173&gt;=7,C173&lt;&gt;""),T173,0)</f>
        <v/>
      </c>
      <c r="AH173">
        <f>IF(AG173&gt;0,AG173*10000-ROW(A173),0)</f>
        <v/>
      </c>
      <c r="AI173" s="623">
        <f t="array" ref="AI173">IF(C173="","",IFERROR((INDEX(終値!$E:$E,MATCH(TEXT(C173,"0"),終値!$A:$A,0))-INDEX(終値!$E:$BL,MATCH(TEXT(C173,"0"),終値!$A:$A,0),$AN$2))/INDEX(終値!$E:$BL,MATCH(TEXT(C173,"0"),終値!$A:$A,0),$AN$2)*100,""))</f>
        <v/>
      </c>
      <c r="AJ173" s="623">
        <f t="array" ref="AJ173">IFERROR((終値!$E$5-INDEX(終値!$E$5:$BL$5,1,$AN$2))/INDEX(終値!$E$5:$BL$5,1,$AN$2)*100,"")</f>
        <v/>
      </c>
      <c r="AK173" s="624">
        <f>IF(OR(AI173="",AJ173=""),"",AI173-AJ173)</f>
        <v/>
      </c>
      <c r="AL173" s="394">
        <f>IF(AK173="","",IF(AK173&lt;-5,3,IF(AK173&lt;0,1,IF(AK173&lt;3,-1,-2))))</f>
        <v/>
      </c>
      <c r="AO173" s="398">
        <f>IF(OR($C173="",$E173="",$F173="",$H173="",$I173="",$H173-$I173&lt;=0),"-",IF(AND($H173-MAX($F173,$E173)&gt;=ABS($E173-$F173)*2,MIN($F173,$E173)-$I173&lt;=ABS($E173-$F173)*0.5,ABS($E173-$F173)&gt;0),"上ヒゲ陰線▼",IF(AND($E173&lt;$F173,ABS($E173-$F173)&gt;=($H173-$I173)*0.7),"大陰線▼",IF(AND(MIN($F173,$E173)-$I173&gt;=($H173-$I173)*0.5,$H173-MAX($F173,$E173)&lt;=($H173-$I173)*0.2),"長い下ヒゲ(反発警戒)","通常"))))</f>
        <v/>
      </c>
      <c r="AP173" s="625">
        <f>IF($AO173="上ヒゲ陰線▼",2,IF($AO173="大陰線▼",2,IF($AO173="長い下ヒゲ(反発警戒)",-2,0)))</f>
        <v/>
      </c>
      <c r="AQ173">
        <f>IF(C173&lt;&gt;"",始値!F46,"")</f>
        <v/>
      </c>
      <c r="AR173">
        <f>IF(C173&lt;&gt;"",高値!F46,"")</f>
        <v/>
      </c>
      <c r="AS173">
        <f>IF(C173&lt;&gt;"",安値!F46,"")</f>
        <v/>
      </c>
      <c r="AT173">
        <f>IF(OR(C173="",AQ173="",AR173="",AS173="",AR173-AS173&lt;=0),"-",IF(AND(AR173-MAX(G173,AQ173)&gt;=ABS(G173-AQ173)*2,MIN(G173,AQ173)-AS173&lt;=ABS(G173-AQ173)*0.5,ABS(G173-AQ173)&gt;0),"上ヒゲ陰線▼",IF(AND(G173&lt;AQ173,ABS(G173-AQ173)&gt;=(AR173-AS173)*0.7),"大陰線▼",IF(AND(MIN(G173,AQ173)-AS173&gt;=(AR173-AS173)*0.5,AR173-MAX(G173,AQ173)&lt;=(AR173-AS173)*0.2),"長い下ヒゲ(反発)","通常"))))</f>
        <v/>
      </c>
      <c r="AU173">
        <f>IF(AT173="上ヒゲ陰線▼",2,IF(AT173="大陰線▼",2,IF(AT173="長い下ヒゲ(反発)",-2,0)))</f>
        <v/>
      </c>
    </row>
    <row r="174" ht="14.25" customHeight="1" s="574">
      <c r="A174" s="352">
        <f>IF(銘柄管理!B52&lt;&gt;"",HYPERLINK("https://kabutan.jp/stock/?code="&amp;銘柄管理!B52,"株探"),"")</f>
        <v/>
      </c>
      <c r="B174" s="225" t="n"/>
      <c r="C174" s="225">
        <f>IF(銘柄管理!B52="","",銘柄管理!B52)</f>
        <v/>
      </c>
      <c r="D174" s="225">
        <f>IF(銘柄管理!C52="","",銘柄管理!C52)</f>
        <v/>
      </c>
      <c r="E174" s="353">
        <f>IF(C174&lt;&gt;"",_xll.RssMarket(C174,"現在値"),"")</f>
        <v/>
      </c>
      <c r="F174" s="353">
        <f>IF(C174&lt;&gt;"",_xll.RssMarket(C174,"始値"),"")</f>
        <v/>
      </c>
      <c r="G174" s="225">
        <f>IF(C174&lt;&gt;"",終値!F52,"")</f>
        <v/>
      </c>
      <c r="H174" s="353">
        <f>IF(C174&lt;&gt;"",_xll.RssMarket(C174,"高値"),"")</f>
        <v/>
      </c>
      <c r="I174" s="353">
        <f>IF(C174&lt;&gt;"",_xll.RssMarket(C174,"安値"),"")</f>
        <v/>
      </c>
      <c r="J174" s="353">
        <f>IF(C174&lt;&gt;"",_xll.RssMarket(C174,"出来高"),"")</f>
        <v/>
      </c>
      <c r="K174" s="353">
        <f>IF(C174&lt;&gt;"",_xll.RssMarket(C174,"年初来高値"),"")</f>
        <v/>
      </c>
      <c r="L174" s="626">
        <f>IF(AND(E174&lt;&gt;"",K174&lt;&gt;"",K174&lt;&gt;0),(E174-K174)/K174*100,"")</f>
        <v/>
      </c>
      <c r="M174" s="353">
        <f>IF(C174&lt;&gt;"",IFERROR(AVERAGE(出来高!E52:I52),""),"")</f>
        <v/>
      </c>
      <c r="N174" s="353">
        <f>IF(C174&lt;&gt;"",IFERROR(AVERAGE(出来高!E52:AC52),""),"")</f>
        <v/>
      </c>
      <c r="O174" s="627">
        <f>IF(AND(J174&lt;&gt;"",M174&lt;&gt;"",M174&lt;&gt;0),J174/M174,"")</f>
        <v/>
      </c>
      <c r="P174" s="225">
        <f>IF(O174="","",IF(O174&gt;=2,"急増↑↑",IF(O174&gt;=1.5,"増加↑",IF(O174&gt;=1,"普通→","減少↓"))))</f>
        <v/>
      </c>
      <c r="Q174" s="225">
        <f>IF(E174="","",IF(AND(E174&lt;G174,O174&gt;=1.5),"売り▼",IF(E174&gt;G174,"様子見▲","中立→")))</f>
        <v/>
      </c>
      <c r="R174" s="353">
        <f>IF(E174&lt;&gt;"",ROUND(E174*0.92,0),"")</f>
        <v/>
      </c>
      <c r="S174" s="353">
        <f>IF(E174&lt;&gt;"",ROUND(E174*1.04,0),"")</f>
        <v/>
      </c>
      <c r="T174" s="345">
        <f>IF(C174="","",IFERROR(IF(W174&gt;=70,3,IF(W174&gt;=60,2,IF(W174&gt;=50,1,0)))+IF(X174&lt;0,2,0)+IF(AD174="下降トレンド▼",3,IF(AD174="もみ合い→",1,0))+IF(V174="年初来安値圏●",3,IF(V174="安値圏",2,0))+IF(Q174="売り▼",2,0)+IF(P174="急増↑↑",2,IF(P174="増加↑",1,0))+IF(Z174&lt;0,1,0)+IF(L174&lt;=-30,2,IF(L174&lt;=-15,1,0))+IF(AE174="25日戻り売り★",2,IF(AE174="5日戻り売り○",1,0))+N(AL174)+N(AP174)+N(AU174),0))</f>
        <v/>
      </c>
      <c r="U174" s="225">
        <f>IF(T174="","",IF(AND(T174&gt;=3,O174&gt;=1.5),"有効",IF(T174&gt;=3,"要確認","除外")))</f>
        <v/>
      </c>
      <c r="V174" s="225">
        <f>IF(AND(I174&lt;&gt;"",K174&lt;&gt;""),IF(I174&lt;=K174*0.6,"年初来安値圏●",IF(I174&lt;=K174*0.75,"安値圏","通常")),"")</f>
        <v/>
      </c>
      <c r="W174" s="628">
        <f t="array" ref="W174">IFERROR(100-100/(1+SUMPRODUCT((終値!F52:R52&gt;終値!G52:S52)*(終値!F52:R52-終値!G52:S52))/SUMPRODUCT((終値!F52:R52&lt;終値!G52:S52)*(終値!G52:S52-終値!F52:R52))),50)</f>
        <v/>
      </c>
      <c r="X174" s="357">
        <f>IF(C174&lt;&gt;"",IFERROR(SUMPRODUCT(終値!E52:P52,{0.154,0.132,0.113,0.097,0.083,0.071,0.061,0.052,0.045,0.038,0.033,0.028})/SUMPRODUCT({0.154,0.132,0.113,0.097,0.083,0.071,0.061,0.052,0.045,0.038,0.033,0.028})-SUMPRODUCT(終値!E52:AD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4" s="225">
        <f>IF(AF174="","",AF174&amp;" | "&amp;AD174&amp;IF(AE174&lt;&gt;"なし"," "&amp;AE174,"")&amp;IF(X174&lt;0," MACD-"," MACD+")&amp;" RSI:"&amp;TEXT(W174,"0.0")&amp;IF(W174&gt;=70," [過熱]",IF(W174&lt;=30," [売られ過ぎ]",""))&amp;" 前日比:"&amp;TEXT(Z174,"+0.0;-0.0;0.0")&amp;"%"&amp;IF(V174="年初来安値圏●"," [年初来安値圏]",IF(V174="安値圏"," [安値圏]",""))&amp;IF(OR(AO174="通常",AO174="-"),""," ["&amp;AO174&amp;"]")&amp;IF(OR(AT174="通常",AT174="-"),"","前日["&amp;AT174&amp;"]")&amp;" ["&amp;T174&amp;"点]")</f>
        <v/>
      </c>
      <c r="Z174" s="629">
        <f>IF(AND(E174&lt;&gt;"",G174&lt;&gt;"",G174&lt;&gt;0),(E174-G174)/G174*100,"")</f>
        <v/>
      </c>
      <c r="AA174" s="225">
        <f>IF(OR(C174="",E174="",E174=0),"",IF(E174&gt;G174,"上昇▲",IF(E174&lt;G174,"下落▼","横ばい→")))</f>
        <v/>
      </c>
      <c r="AB174" s="353">
        <f>IF(OR(C174="",C174="TOPX",終値!E52=""),"",IFERROR(((終値!E52*0.333)+(終値!F52*0.222)+(終値!G52*0.148)+(終値!H52*0.099)+(終値!I52*0.066))/(0.333+0.222+0.148+0.099+0.066),""))</f>
        <v/>
      </c>
      <c r="AC174" s="353">
        <f>IF(OR(C174="",C174="TOPX",終値!E52=""),"",IFERROR(SUMPRODUCT((終値!E52:AC52)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4" s="225">
        <f>IF(OR(C174="",AB174="",AC174="",AB174=0,AC174=0),"",IF(AND(E174&gt;AB174,AB174&gt;AC174),"パーフェクト▲",IF(E174&gt;AC174,"上昇トレンド▲",IF(AND(E174&lt;AB174,AB174&lt;AC174),"下降トレンド▼","もみ合い→"))))</f>
        <v/>
      </c>
      <c r="AE174" s="225">
        <f>IF(OR(C174="",AB174="",AC174=""),"",IF(AND(ABS(E174-AC174)/AC174&lt;=0.02,E174&lt;AC174),"25日戻り売り★",IF(AND(ABS(E174-AB174)/AB174&lt;=0.01,E174&lt;AB174),"5日戻り売り○","なし")))</f>
        <v/>
      </c>
      <c r="AF174">
        <f>IF(T174="","",IF(銘柄管理!$F$5="上昇▲",IF(AND(AD174="下降トレンド▼",OR(AE174="25日戻り売り★",AE174="5日戻り売り○")),"★逆張り売り",IF(AND(AD174="もみ合い→",OR(AE174="25日戻り売り★",AE174="5日戻り売り○")),"○逆張り売り",IF(W174&gt;=70,IF(Z174&lt;0,"◎反落確認","△過熱・様子見"),"相場上昇・見送り"))),IF(AND(T174&gt;=12,AD174="下降トレンド▼"),"★強い売り",IF(T174&gt;=12,"★強い売り",IF(AND(T174&gt;=8,OR(AE174="25日戻り売り★",AE174="5日戻り売り○")),"◎戻り売り",IF(T174&gt;=10,"○売り候補",IF(T174&gt;=6,"△注目",IF(T174&gt;=3,"様子見","見送り"))))))))</f>
        <v/>
      </c>
      <c r="AG174">
        <f>IF(AND(T174&gt;=7,C174&lt;&gt;""),T174,0)</f>
        <v/>
      </c>
      <c r="AH174">
        <f>IF(AG174&gt;0,AG174*10000-ROW(A174),0)</f>
        <v/>
      </c>
      <c r="AI174" s="623">
        <f t="array" ref="AI174">IF(C174="","",IFERROR((INDEX(終値!$E:$E,MATCH(TEXT(C174,"0"),終値!$A:$A,0))-INDEX(終値!$E:$BL,MATCH(TEXT(C174,"0"),終値!$A:$A,0),$AN$2))/INDEX(終値!$E:$BL,MATCH(TEXT(C174,"0"),終値!$A:$A,0),$AN$2)*100,""))</f>
        <v/>
      </c>
      <c r="AJ174" s="623">
        <f t="array" ref="AJ174">IFERROR((終値!$E$5-INDEX(終値!$E$5:$BL$5,1,$AN$2))/INDEX(終値!$E$5:$BL$5,1,$AN$2)*100,"")</f>
        <v/>
      </c>
      <c r="AK174" s="624">
        <f>IF(OR(AI174="",AJ174=""),"",AI174-AJ174)</f>
        <v/>
      </c>
      <c r="AL174" s="394">
        <f>IF(AK174="","",IF(AK174&lt;-5,3,IF(AK174&lt;0,1,IF(AK174&lt;3,-1,-2))))</f>
        <v/>
      </c>
      <c r="AO174" s="398">
        <f>IF(OR($C174="",$E174="",$F174="",$H174="",$I174="",$H174-$I174&lt;=0),"-",IF(AND($H174-MAX($F174,$E174)&gt;=ABS($E174-$F174)*2,MIN($F174,$E174)-$I174&lt;=ABS($E174-$F174)*0.5,ABS($E174-$F174)&gt;0),"上ヒゲ陰線▼",IF(AND($E174&lt;$F174,ABS($E174-$F174)&gt;=($H174-$I174)*0.7),"大陰線▼",IF(AND(MIN($F174,$E174)-$I174&gt;=($H174-$I174)*0.5,$H174-MAX($F174,$E174)&lt;=($H174-$I174)*0.2),"長い下ヒゲ(反発警戒)","通常"))))</f>
        <v/>
      </c>
      <c r="AP174" s="625">
        <f>IF($AO174="上ヒゲ陰線▼",2,IF($AO174="大陰線▼",2,IF($AO174="長い下ヒゲ(反発警戒)",-2,0)))</f>
        <v/>
      </c>
      <c r="AQ174">
        <f>IF(C174&lt;&gt;"",始値!F52,"")</f>
        <v/>
      </c>
      <c r="AR174">
        <f>IF(C174&lt;&gt;"",高値!F52,"")</f>
        <v/>
      </c>
      <c r="AS174">
        <f>IF(C174&lt;&gt;"",安値!F52,"")</f>
        <v/>
      </c>
      <c r="AT174">
        <f>IF(OR(C174="",AQ174="",AR174="",AS174="",AR174-AS174&lt;=0),"-",IF(AND(AR174-MAX(G174,AQ174)&gt;=ABS(G174-AQ174)*2,MIN(G174,AQ174)-AS174&lt;=ABS(G174-AQ174)*0.5,ABS(G174-AQ174)&gt;0),"上ヒゲ陰線▼",IF(AND(G174&lt;AQ174,ABS(G174-AQ174)&gt;=(AR174-AS174)*0.7),"大陰線▼",IF(AND(MIN(G174,AQ174)-AS174&gt;=(AR174-AS174)*0.5,AR174-MAX(G174,AQ174)&lt;=(AR174-AS174)*0.2),"長い下ヒゲ(反発)","通常"))))</f>
        <v/>
      </c>
      <c r="AU174">
        <f>IF(AT174="上ヒゲ陰線▼",2,IF(AT174="大陰線▼",2,IF(AT174="長い下ヒゲ(反発)",-2,0)))</f>
        <v/>
      </c>
    </row>
    <row r="175" ht="14.25" customHeight="1" s="574">
      <c r="A175" s="344">
        <f>IF(銘柄管理!B53&lt;&gt;"",HYPERLINK("https://kabutan.jp/stock/?code="&amp;銘柄管理!B53,"株探"),"")</f>
        <v/>
      </c>
      <c r="B175" s="345" t="n"/>
      <c r="C175" s="345">
        <f>IF(銘柄管理!B53="","",銘柄管理!B53)</f>
        <v/>
      </c>
      <c r="D175" s="345">
        <f>IF(銘柄管理!C53="","",銘柄管理!C53)</f>
        <v/>
      </c>
      <c r="E175" s="346">
        <f>IF(C175&lt;&gt;"",_xll.RssMarket(C175,"現在値"),"")</f>
        <v/>
      </c>
      <c r="F175" s="346">
        <f>IF(C175&lt;&gt;"",_xll.RssMarket(C175,"始値"),"")</f>
        <v/>
      </c>
      <c r="G175" s="345">
        <f>IF(C175&lt;&gt;"",終値!F53,"")</f>
        <v/>
      </c>
      <c r="H175" s="346">
        <f>IF(C175&lt;&gt;"",_xll.RssMarket(C175,"高値"),"")</f>
        <v/>
      </c>
      <c r="I175" s="346">
        <f>IF(C175&lt;&gt;"",_xll.RssMarket(C175,"安値"),"")</f>
        <v/>
      </c>
      <c r="J175" s="346">
        <f>IF(C175&lt;&gt;"",_xll.RssMarket(C175,"出来高"),"")</f>
        <v/>
      </c>
      <c r="K175" s="346">
        <f>IF(C175&lt;&gt;"",_xll.RssMarket(C175,"年初来高値"),"")</f>
        <v/>
      </c>
      <c r="L175" s="619">
        <f>IF(AND(E175&lt;&gt;"",K175&lt;&gt;"",K175&lt;&gt;0),(E175-K175)/K175*100,"")</f>
        <v/>
      </c>
      <c r="M175" s="346">
        <f>IF(C175&lt;&gt;"",IFERROR(AVERAGE(出来高!E53:I53),""),"")</f>
        <v/>
      </c>
      <c r="N175" s="346">
        <f>IF(C175&lt;&gt;"",IFERROR(AVERAGE(出来高!E53:AC53),""),"")</f>
        <v/>
      </c>
      <c r="O175" s="620">
        <f>IF(AND(J175&lt;&gt;"",M175&lt;&gt;"",M175&lt;&gt;0),J175/M175,"")</f>
        <v/>
      </c>
      <c r="P175" s="345">
        <f>IF(O175="","",IF(O175&gt;=2,"急増↑↑",IF(O175&gt;=1.5,"増加↑",IF(O175&gt;=1,"普通→","減少↓"))))</f>
        <v/>
      </c>
      <c r="Q175" s="345">
        <f>IF(E175="","",IF(AND(E175&lt;G175,O175&gt;=1.5),"売り▼",IF(E175&gt;G175,"様子見▲","中立→")))</f>
        <v/>
      </c>
      <c r="R175" s="346">
        <f>IF(E175&lt;&gt;"",ROUND(E175*0.92,0),"")</f>
        <v/>
      </c>
      <c r="S175" s="346">
        <f>IF(E175&lt;&gt;"",ROUND(E175*1.04,0),"")</f>
        <v/>
      </c>
      <c r="T175" s="345">
        <f>IF(C175="","",IFERROR(IF(W175&gt;=70,3,IF(W175&gt;=60,2,IF(W175&gt;=50,1,0)))+IF(X175&lt;0,2,0)+IF(AD175="下降トレンド▼",3,IF(AD175="もみ合い→",1,0))+IF(V175="年初来安値圏●",3,IF(V175="安値圏",2,0))+IF(Q175="売り▼",2,0)+IF(P175="急増↑↑",2,IF(P175="増加↑",1,0))+IF(Z175&lt;0,1,0)+IF(L175&lt;=-30,2,IF(L175&lt;=-15,1,0))+IF(AE175="25日戻り売り★",2,IF(AE175="5日戻り売り○",1,0))+N(AL175)+N(AP175)+N(AU175),0))</f>
        <v/>
      </c>
      <c r="U175" s="345">
        <f>IF(T175="","",IF(AND(T175&gt;=3,O175&gt;=1.5),"有効",IF(T175&gt;=3,"要確認","除外")))</f>
        <v/>
      </c>
      <c r="V175" s="345">
        <f>IF(AND(I175&lt;&gt;"",K175&lt;&gt;""),IF(I175&lt;=K175*0.6,"年初来安値圏●",IF(I175&lt;=K175*0.75,"安値圏","通常")),"")</f>
        <v/>
      </c>
      <c r="W175" s="621">
        <f t="array" ref="W175">IFERROR(100-100/(1+SUMPRODUCT((終値!F53:R53&gt;終値!G53:S53)*(終値!F53:R53-終値!G53:S53))/SUMPRODUCT((終値!F53:R53&lt;終値!G53:S53)*(終値!G53:S53-終値!F53:R53))),50)</f>
        <v/>
      </c>
      <c r="X175" s="350">
        <f>IF(C175&lt;&gt;"",IFERROR(SUMPRODUCT(終値!E53:P53,{0.154,0.132,0.113,0.097,0.083,0.071,0.061,0.052,0.045,0.038,0.033,0.028})/SUMPRODUCT({0.154,0.132,0.113,0.097,0.083,0.071,0.061,0.052,0.045,0.038,0.033,0.028})-SUMPRODUCT(終値!E53:AD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5" s="345">
        <f>IF(AF175="","",AF175&amp;" | "&amp;AD175&amp;IF(AE175&lt;&gt;"なし"," "&amp;AE175,"")&amp;IF(X175&lt;0," MACD-"," MACD+")&amp;" RSI:"&amp;TEXT(W175,"0.0")&amp;IF(W175&gt;=70," [過熱]",IF(W175&lt;=30," [売られ過ぎ]",""))&amp;" 前日比:"&amp;TEXT(Z175,"+0.0;-0.0;0.0")&amp;"%"&amp;IF(V175="年初来安値圏●"," [年初来安値圏]",IF(V175="安値圏"," [安値圏]",""))&amp;IF(OR(AO175="通常",AO175="-"),""," ["&amp;AO175&amp;"]")&amp;IF(OR(AT175="通常",AT175="-"),"","前日["&amp;AT175&amp;"]")&amp;" ["&amp;T175&amp;"点]")</f>
        <v/>
      </c>
      <c r="Z175" s="622">
        <f>IF(AND(E175&lt;&gt;"",G175&lt;&gt;"",G175&lt;&gt;0),(E175-G175)/G175*100,"")</f>
        <v/>
      </c>
      <c r="AA175" s="345">
        <f>IF(OR(C175="",E175="",E175=0),"",IF(E175&gt;G175,"上昇▲",IF(E175&lt;G175,"下落▼","横ばい→")))</f>
        <v/>
      </c>
      <c r="AB175" s="346">
        <f>IF(OR(C175="",C175="TOPX",終値!E53=""),"",IFERROR(((終値!E53*0.333)+(終値!F53*0.222)+(終値!G53*0.148)+(終値!H53*0.099)+(終値!I53*0.066))/(0.333+0.222+0.148+0.099+0.066),""))</f>
        <v/>
      </c>
      <c r="AC175" s="346">
        <f>IF(OR(C175="",C175="TOPX",終値!E53=""),"",IFERROR(SUMPRODUCT((終値!E53:AC53)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5" s="345">
        <f>IF(OR(C175="",AB175="",AC175="",AB175=0,AC175=0),"",IF(AND(E175&gt;AB175,AB175&gt;AC175),"パーフェクト▲",IF(E175&gt;AC175,"上昇トレンド▲",IF(AND(E175&lt;AB175,AB175&lt;AC175),"下降トレンド▼","もみ合い→"))))</f>
        <v/>
      </c>
      <c r="AE175" s="345">
        <f>IF(OR(C175="",AB175="",AC175=""),"",IF(AND(ABS(E175-AC175)/AC175&lt;=0.02,E175&lt;AC175),"25日戻り売り★",IF(AND(ABS(E175-AB175)/AB175&lt;=0.01,E175&lt;AB175),"5日戻り売り○","なし")))</f>
        <v/>
      </c>
      <c r="AF175">
        <f>IF(T175="","",IF(銘柄管理!$F$5="上昇▲",IF(AND(AD175="下降トレンド▼",OR(AE175="25日戻り売り★",AE175="5日戻り売り○")),"★逆張り売り",IF(AND(AD175="もみ合い→",OR(AE175="25日戻り売り★",AE175="5日戻り売り○")),"○逆張り売り",IF(W175&gt;=70,IF(Z175&lt;0,"◎反落確認","△過熱・様子見"),"相場上昇・見送り"))),IF(AND(T175&gt;=12,AD175="下降トレンド▼"),"★強い売り",IF(T175&gt;=12,"★強い売り",IF(AND(T175&gt;=8,OR(AE175="25日戻り売り★",AE175="5日戻り売り○")),"◎戻り売り",IF(T175&gt;=10,"○売り候補",IF(T175&gt;=6,"△注目",IF(T175&gt;=3,"様子見","見送り"))))))))</f>
        <v/>
      </c>
      <c r="AG175">
        <f>IF(AND(T175&gt;=7,C175&lt;&gt;""),T175,0)</f>
        <v/>
      </c>
      <c r="AH175">
        <f>IF(AG175&gt;0,AG175*10000-ROW(A175),0)</f>
        <v/>
      </c>
      <c r="AI175" s="623">
        <f t="array" ref="AI175">IF(C175="","",IFERROR((INDEX(終値!$E:$E,MATCH(TEXT(C175,"0"),終値!$A:$A,0))-INDEX(終値!$E:$BL,MATCH(TEXT(C175,"0"),終値!$A:$A,0),$AN$2))/INDEX(終値!$E:$BL,MATCH(TEXT(C175,"0"),終値!$A:$A,0),$AN$2)*100,""))</f>
        <v/>
      </c>
      <c r="AJ175" s="623">
        <f t="array" ref="AJ175">IFERROR((終値!$E$5-INDEX(終値!$E$5:$BL$5,1,$AN$2))/INDEX(終値!$E$5:$BL$5,1,$AN$2)*100,"")</f>
        <v/>
      </c>
      <c r="AK175" s="624">
        <f>IF(OR(AI175="",AJ175=""),"",AI175-AJ175)</f>
        <v/>
      </c>
      <c r="AL175" s="394">
        <f>IF(AK175="","",IF(AK175&lt;-5,3,IF(AK175&lt;0,1,IF(AK175&lt;3,-1,-2))))</f>
        <v/>
      </c>
      <c r="AO175" s="398">
        <f>IF(OR($C175="",$E175="",$F175="",$H175="",$I175="",$H175-$I175&lt;=0),"-",IF(AND($H175-MAX($F175,$E175)&gt;=ABS($E175-$F175)*2,MIN($F175,$E175)-$I175&lt;=ABS($E175-$F175)*0.5,ABS($E175-$F175)&gt;0),"上ヒゲ陰線▼",IF(AND($E175&lt;$F175,ABS($E175-$F175)&gt;=($H175-$I175)*0.7),"大陰線▼",IF(AND(MIN($F175,$E175)-$I175&gt;=($H175-$I175)*0.5,$H175-MAX($F175,$E175)&lt;=($H175-$I175)*0.2),"長い下ヒゲ(反発警戒)","通常"))))</f>
        <v/>
      </c>
      <c r="AP175" s="625">
        <f>IF($AO175="上ヒゲ陰線▼",2,IF($AO175="大陰線▼",2,IF($AO175="長い下ヒゲ(反発警戒)",-2,0)))</f>
        <v/>
      </c>
      <c r="AQ175">
        <f>IF(C175&lt;&gt;"",始値!F53,"")</f>
        <v/>
      </c>
      <c r="AR175">
        <f>IF(C175&lt;&gt;"",高値!F53,"")</f>
        <v/>
      </c>
      <c r="AS175">
        <f>IF(C175&lt;&gt;"",安値!F53,"")</f>
        <v/>
      </c>
      <c r="AT175">
        <f>IF(OR(C175="",AQ175="",AR175="",AS175="",AR175-AS175&lt;=0),"-",IF(AND(AR175-MAX(G175,AQ175)&gt;=ABS(G175-AQ175)*2,MIN(G175,AQ175)-AS175&lt;=ABS(G175-AQ175)*0.5,ABS(G175-AQ175)&gt;0),"上ヒゲ陰線▼",IF(AND(G175&lt;AQ175,ABS(G175-AQ175)&gt;=(AR175-AS175)*0.7),"大陰線▼",IF(AND(MIN(G175,AQ175)-AS175&gt;=(AR175-AS175)*0.5,AR175-MAX(G175,AQ175)&lt;=(AR175-AS175)*0.2),"長い下ヒゲ(反発)","通常"))))</f>
        <v/>
      </c>
      <c r="AU175">
        <f>IF(AT175="上ヒゲ陰線▼",2,IF(AT175="大陰線▼",2,IF(AT175="長い下ヒゲ(反発)",-2,0)))</f>
        <v/>
      </c>
    </row>
    <row r="176" ht="14.25" customHeight="1" s="574">
      <c r="A176" s="352">
        <f>IF(銘柄管理!B54&lt;&gt;"",HYPERLINK("https://kabutan.jp/stock/?code="&amp;銘柄管理!B54,"株探"),"")</f>
        <v/>
      </c>
      <c r="B176" s="225" t="n"/>
      <c r="C176" s="225">
        <f>IF(銘柄管理!B54="","",銘柄管理!B54)</f>
        <v/>
      </c>
      <c r="D176" s="225">
        <f>IF(銘柄管理!C54="","",銘柄管理!C54)</f>
        <v/>
      </c>
      <c r="E176" s="353">
        <f>IF(C176&lt;&gt;"",_xll.RssMarket(C176,"現在値"),"")</f>
        <v/>
      </c>
      <c r="F176" s="353">
        <f>IF(C176&lt;&gt;"",_xll.RssMarket(C176,"始値"),"")</f>
        <v/>
      </c>
      <c r="G176" s="225">
        <f>IF(C176&lt;&gt;"",終値!F54,"")</f>
        <v/>
      </c>
      <c r="H176" s="353">
        <f>IF(C176&lt;&gt;"",_xll.RssMarket(C176,"高値"),"")</f>
        <v/>
      </c>
      <c r="I176" s="353">
        <f>IF(C176&lt;&gt;"",_xll.RssMarket(C176,"安値"),"")</f>
        <v/>
      </c>
      <c r="J176" s="353">
        <f>IF(C176&lt;&gt;"",_xll.RssMarket(C176,"出来高"),"")</f>
        <v/>
      </c>
      <c r="K176" s="353">
        <f>IF(C176&lt;&gt;"",_xll.RssMarket(C176,"年初来高値"),"")</f>
        <v/>
      </c>
      <c r="L176" s="626">
        <f>IF(AND(E176&lt;&gt;"",K176&lt;&gt;"",K176&lt;&gt;0),(E176-K176)/K176*100,"")</f>
        <v/>
      </c>
      <c r="M176" s="353">
        <f>IF(C176&lt;&gt;"",IFERROR(AVERAGE(出来高!E54:I54),""),"")</f>
        <v/>
      </c>
      <c r="N176" s="353">
        <f>IF(C176&lt;&gt;"",IFERROR(AVERAGE(出来高!E54:AC54),""),"")</f>
        <v/>
      </c>
      <c r="O176" s="627">
        <f>IF(AND(J176&lt;&gt;"",M176&lt;&gt;"",M176&lt;&gt;0),J176/M176,"")</f>
        <v/>
      </c>
      <c r="P176" s="225">
        <f>IF(O176="","",IF(O176&gt;=2,"急増↑↑",IF(O176&gt;=1.5,"増加↑",IF(O176&gt;=1,"普通→","減少↓"))))</f>
        <v/>
      </c>
      <c r="Q176" s="225">
        <f>IF(E176="","",IF(AND(E176&lt;G176,O176&gt;=1.5),"売り▼",IF(E176&gt;G176,"様子見▲","中立→")))</f>
        <v/>
      </c>
      <c r="R176" s="353">
        <f>IF(E176&lt;&gt;"",ROUND(E176*0.92,0),"")</f>
        <v/>
      </c>
      <c r="S176" s="353">
        <f>IF(E176&lt;&gt;"",ROUND(E176*1.04,0),"")</f>
        <v/>
      </c>
      <c r="T176" s="345">
        <f>IF(C176="","",IFERROR(IF(W176&gt;=70,3,IF(W176&gt;=60,2,IF(W176&gt;=50,1,0)))+IF(X176&lt;0,2,0)+IF(AD176="下降トレンド▼",3,IF(AD176="もみ合い→",1,0))+IF(V176="年初来安値圏●",3,IF(V176="安値圏",2,0))+IF(Q176="売り▼",2,0)+IF(P176="急増↑↑",2,IF(P176="増加↑",1,0))+IF(Z176&lt;0,1,0)+IF(L176&lt;=-30,2,IF(L176&lt;=-15,1,0))+IF(AE176="25日戻り売り★",2,IF(AE176="5日戻り売り○",1,0))+N(AL176)+N(AP176)+N(AU176),0))</f>
        <v/>
      </c>
      <c r="U176" s="225">
        <f>IF(T176="","",IF(AND(T176&gt;=3,O176&gt;=1.5),"有効",IF(T176&gt;=3,"要確認","除外")))</f>
        <v/>
      </c>
      <c r="V176" s="225">
        <f>IF(AND(I176&lt;&gt;"",K176&lt;&gt;""),IF(I176&lt;=K176*0.6,"年初来安値圏●",IF(I176&lt;=K176*0.75,"安値圏","通常")),"")</f>
        <v/>
      </c>
      <c r="W176" s="628">
        <f t="array" ref="W176">IFERROR(100-100/(1+SUMPRODUCT((終値!F54:R54&gt;終値!G54:S54)*(終値!F54:R54-終値!G54:S54))/SUMPRODUCT((終値!F54:R54&lt;終値!G54:S54)*(終値!G54:S54-終値!F54:R54))),50)</f>
        <v/>
      </c>
      <c r="X176" s="357">
        <f>IF(C176&lt;&gt;"",IFERROR(SUMPRODUCT(終値!E54:P54,{0.154,0.132,0.113,0.097,0.083,0.071,0.061,0.052,0.045,0.038,0.033,0.028})/SUMPRODUCT({0.154,0.132,0.113,0.097,0.083,0.071,0.061,0.052,0.045,0.038,0.033,0.028})-SUMPRODUCT(終値!E54:AD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6" s="225">
        <f>IF(AF176="","",AF176&amp;" | "&amp;AD176&amp;IF(AE176&lt;&gt;"なし"," "&amp;AE176,"")&amp;IF(X176&lt;0," MACD-"," MACD+")&amp;" RSI:"&amp;TEXT(W176,"0.0")&amp;IF(W176&gt;=70," [過熱]",IF(W176&lt;=30," [売られ過ぎ]",""))&amp;" 前日比:"&amp;TEXT(Z176,"+0.0;-0.0;0.0")&amp;"%"&amp;IF(V176="年初来安値圏●"," [年初来安値圏]",IF(V176="安値圏"," [安値圏]",""))&amp;IF(OR(AO176="通常",AO176="-"),""," ["&amp;AO176&amp;"]")&amp;IF(OR(AT176="通常",AT176="-"),"","前日["&amp;AT176&amp;"]")&amp;" ["&amp;T176&amp;"点]")</f>
        <v/>
      </c>
      <c r="Z176" s="629">
        <f>IF(AND(E176&lt;&gt;"",G176&lt;&gt;"",G176&lt;&gt;0),(E176-G176)/G176*100,"")</f>
        <v/>
      </c>
      <c r="AA176" s="225">
        <f>IF(OR(C176="",E176="",E176=0),"",IF(E176&gt;G176,"上昇▲",IF(E176&lt;G176,"下落▼","横ばい→")))</f>
        <v/>
      </c>
      <c r="AB176" s="353">
        <f>IF(OR(C176="",C176="TOPX",終値!E54=""),"",IFERROR(((終値!E54*0.333)+(終値!F54*0.222)+(終値!G54*0.148)+(終値!H54*0.099)+(終値!I54*0.066))/(0.333+0.222+0.148+0.099+0.066),""))</f>
        <v/>
      </c>
      <c r="AC176" s="353">
        <f>IF(OR(C176="",C176="TOPX",終値!E54=""),"",IFERROR(SUMPRODUCT((終値!E54:AC54)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6" s="225">
        <f>IF(OR(C176="",AB176="",AC176="",AB176=0,AC176=0),"",IF(AND(E176&gt;AB176,AB176&gt;AC176),"パーフェクト▲",IF(E176&gt;AC176,"上昇トレンド▲",IF(AND(E176&lt;AB176,AB176&lt;AC176),"下降トレンド▼","もみ合い→"))))</f>
        <v/>
      </c>
      <c r="AE176" s="225">
        <f>IF(OR(C176="",AB176="",AC176=""),"",IF(AND(ABS(E176-AC176)/AC176&lt;=0.02,E176&lt;AC176),"25日戻り売り★",IF(AND(ABS(E176-AB176)/AB176&lt;=0.01,E176&lt;AB176),"5日戻り売り○","なし")))</f>
        <v/>
      </c>
      <c r="AF176">
        <f>IF(T176="","",IF(銘柄管理!$F$5="上昇▲",IF(AND(AD176="下降トレンド▼",OR(AE176="25日戻り売り★",AE176="5日戻り売り○")),"★逆張り売り",IF(AND(AD176="もみ合い→",OR(AE176="25日戻り売り★",AE176="5日戻り売り○")),"○逆張り売り",IF(W176&gt;=70,IF(Z176&lt;0,"◎反落確認","△過熱・様子見"),"相場上昇・見送り"))),IF(AND(T176&gt;=12,AD176="下降トレンド▼"),"★強い売り",IF(T176&gt;=12,"★強い売り",IF(AND(T176&gt;=8,OR(AE176="25日戻り売り★",AE176="5日戻り売り○")),"◎戻り売り",IF(T176&gt;=10,"○売り候補",IF(T176&gt;=6,"△注目",IF(T176&gt;=3,"様子見","見送り"))))))))</f>
        <v/>
      </c>
      <c r="AG176">
        <f>IF(AND(T176&gt;=7,C176&lt;&gt;""),T176,0)</f>
        <v/>
      </c>
      <c r="AH176">
        <f>IF(AG176&gt;0,AG176*10000-ROW(A176),0)</f>
        <v/>
      </c>
      <c r="AI176" s="623">
        <f t="array" ref="AI176">IF(C176="","",IFERROR((INDEX(終値!$E:$E,MATCH(TEXT(C176,"0"),終値!$A:$A,0))-INDEX(終値!$E:$BL,MATCH(TEXT(C176,"0"),終値!$A:$A,0),$AN$2))/INDEX(終値!$E:$BL,MATCH(TEXT(C176,"0"),終値!$A:$A,0),$AN$2)*100,""))</f>
        <v/>
      </c>
      <c r="AJ176" s="623">
        <f t="array" ref="AJ176">IFERROR((終値!$E$5-INDEX(終値!$E$5:$BL$5,1,$AN$2))/INDEX(終値!$E$5:$BL$5,1,$AN$2)*100,"")</f>
        <v/>
      </c>
      <c r="AK176" s="624">
        <f>IF(OR(AI176="",AJ176=""),"",AI176-AJ176)</f>
        <v/>
      </c>
      <c r="AL176" s="394">
        <f>IF(AK176="","",IF(AK176&lt;-5,3,IF(AK176&lt;0,1,IF(AK176&lt;3,-1,-2))))</f>
        <v/>
      </c>
      <c r="AO176" s="398">
        <f>IF(OR($C176="",$E176="",$F176="",$H176="",$I176="",$H176-$I176&lt;=0),"-",IF(AND($H176-MAX($F176,$E176)&gt;=ABS($E176-$F176)*2,MIN($F176,$E176)-$I176&lt;=ABS($E176-$F176)*0.5,ABS($E176-$F176)&gt;0),"上ヒゲ陰線▼",IF(AND($E176&lt;$F176,ABS($E176-$F176)&gt;=($H176-$I176)*0.7),"大陰線▼",IF(AND(MIN($F176,$E176)-$I176&gt;=($H176-$I176)*0.5,$H176-MAX($F176,$E176)&lt;=($H176-$I176)*0.2),"長い下ヒゲ(反発警戒)","通常"))))</f>
        <v/>
      </c>
      <c r="AP176" s="625">
        <f>IF($AO176="上ヒゲ陰線▼",2,IF($AO176="大陰線▼",2,IF($AO176="長い下ヒゲ(反発警戒)",-2,0)))</f>
        <v/>
      </c>
      <c r="AQ176">
        <f>IF(C176&lt;&gt;"",始値!F54,"")</f>
        <v/>
      </c>
      <c r="AR176">
        <f>IF(C176&lt;&gt;"",高値!F54,"")</f>
        <v/>
      </c>
      <c r="AS176">
        <f>IF(C176&lt;&gt;"",安値!F54,"")</f>
        <v/>
      </c>
      <c r="AT176">
        <f>IF(OR(C176="",AQ176="",AR176="",AS176="",AR176-AS176&lt;=0),"-",IF(AND(AR176-MAX(G176,AQ176)&gt;=ABS(G176-AQ176)*2,MIN(G176,AQ176)-AS176&lt;=ABS(G176-AQ176)*0.5,ABS(G176-AQ176)&gt;0),"上ヒゲ陰線▼",IF(AND(G176&lt;AQ176,ABS(G176-AQ176)&gt;=(AR176-AS176)*0.7),"大陰線▼",IF(AND(MIN(G176,AQ176)-AS176&gt;=(AR176-AS176)*0.5,AR176-MAX(G176,AQ176)&lt;=(AR176-AS176)*0.2),"長い下ヒゲ(反発)","通常"))))</f>
        <v/>
      </c>
      <c r="AU176">
        <f>IF(AT176="上ヒゲ陰線▼",2,IF(AT176="大陰線▼",2,IF(AT176="長い下ヒゲ(反発)",-2,0)))</f>
        <v/>
      </c>
    </row>
    <row r="177" ht="14.25" customHeight="1" s="574">
      <c r="A177" s="344">
        <f>IF(銘柄管理!B58&lt;&gt;"",HYPERLINK("https://kabutan.jp/stock/?code="&amp;銘柄管理!B58,"株探"),"")</f>
        <v/>
      </c>
      <c r="B177" s="345" t="n"/>
      <c r="C177" s="345">
        <f>IF(銘柄管理!B58="","",銘柄管理!B58)</f>
        <v/>
      </c>
      <c r="D177" s="345">
        <f>IF(銘柄管理!C58="","",銘柄管理!C58)</f>
        <v/>
      </c>
      <c r="E177" s="346">
        <f>IF(C177&lt;&gt;"",_xll.RssMarket(C177,"現在値"),"")</f>
        <v/>
      </c>
      <c r="F177" s="346">
        <f>IF(C177&lt;&gt;"",_xll.RssMarket(C177,"始値"),"")</f>
        <v/>
      </c>
      <c r="G177" s="345">
        <f>IF(C177&lt;&gt;"",終値!F58,"")</f>
        <v/>
      </c>
      <c r="H177" s="346">
        <f>IF(C177&lt;&gt;"",_xll.RssMarket(C177,"高値"),"")</f>
        <v/>
      </c>
      <c r="I177" s="346">
        <f>IF(C177&lt;&gt;"",_xll.RssMarket(C177,"安値"),"")</f>
        <v/>
      </c>
      <c r="J177" s="346">
        <f>IF(C177&lt;&gt;"",_xll.RssMarket(C177,"出来高"),"")</f>
        <v/>
      </c>
      <c r="K177" s="346">
        <f>IF(C177&lt;&gt;"",_xll.RssMarket(C177,"年初来高値"),"")</f>
        <v/>
      </c>
      <c r="L177" s="619">
        <f>IF(AND(E177&lt;&gt;"",K177&lt;&gt;"",K177&lt;&gt;0),(E177-K177)/K177*100,"")</f>
        <v/>
      </c>
      <c r="M177" s="346">
        <f>IF(C177&lt;&gt;"",IFERROR(AVERAGE(出来高!E58:I58),""),"")</f>
        <v/>
      </c>
      <c r="N177" s="346">
        <f>IF(C177&lt;&gt;"",IFERROR(AVERAGE(出来高!E58:AC58),""),"")</f>
        <v/>
      </c>
      <c r="O177" s="620">
        <f>IF(AND(J177&lt;&gt;"",M177&lt;&gt;"",M177&lt;&gt;0),J177/M177,"")</f>
        <v/>
      </c>
      <c r="P177" s="345">
        <f>IF(O177="","",IF(O177&gt;=2,"急増↑↑",IF(O177&gt;=1.5,"増加↑",IF(O177&gt;=1,"普通→","減少↓"))))</f>
        <v/>
      </c>
      <c r="Q177" s="345">
        <f>IF(E177="","",IF(AND(E177&lt;G177,O177&gt;=1.5),"売り▼",IF(E177&gt;G177,"様子見▲","中立→")))</f>
        <v/>
      </c>
      <c r="R177" s="346">
        <f>IF(E177&lt;&gt;"",ROUND(E177*0.92,0),"")</f>
        <v/>
      </c>
      <c r="S177" s="346">
        <f>IF(E177&lt;&gt;"",ROUND(E177*1.04,0),"")</f>
        <v/>
      </c>
      <c r="T177" s="345">
        <f>IF(C177="","",IFERROR(IF(W177&gt;=70,3,IF(W177&gt;=60,2,IF(W177&gt;=50,1,0)))+IF(X177&lt;0,2,0)+IF(AD177="下降トレンド▼",3,IF(AD177="もみ合い→",1,0))+IF(V177="年初来安値圏●",3,IF(V177="安値圏",2,0))+IF(Q177="売り▼",2,0)+IF(P177="急増↑↑",2,IF(P177="増加↑",1,0))+IF(Z177&lt;0,1,0)+IF(L177&lt;=-30,2,IF(L177&lt;=-15,1,0))+IF(AE177="25日戻り売り★",2,IF(AE177="5日戻り売り○",1,0))+N(AL177)+N(AP177)+N(AU177),0))</f>
        <v/>
      </c>
      <c r="U177" s="345">
        <f>IF(T177="","",IF(AND(T177&gt;=3,O177&gt;=1.5),"有効",IF(T177&gt;=3,"要確認","除外")))</f>
        <v/>
      </c>
      <c r="V177" s="345">
        <f>IF(AND(I177&lt;&gt;"",K177&lt;&gt;""),IF(I177&lt;=K177*0.6,"年初来安値圏●",IF(I177&lt;=K177*0.75,"安値圏","通常")),"")</f>
        <v/>
      </c>
      <c r="W177" s="621">
        <f t="array" ref="W177">IFERROR(100-100/(1+SUMPRODUCT((終値!F58:R58&gt;終値!G58:S58)*(終値!F58:R58-終値!G58:S58))/SUMPRODUCT((終値!F58:R58&lt;終値!G58:S58)*(終値!G58:S58-終値!F58:R58))),50)</f>
        <v/>
      </c>
      <c r="X177" s="350">
        <f>IF(C177&lt;&gt;"",IFERROR(SUMPRODUCT(終値!E58:P58,{0.154,0.132,0.113,0.097,0.083,0.071,0.061,0.052,0.045,0.038,0.033,0.028})/SUMPRODUCT({0.154,0.132,0.113,0.097,0.083,0.071,0.061,0.052,0.045,0.038,0.033,0.028})-SUMPRODUCT(終値!E58:AD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7" s="345">
        <f>IF(AF177="","",AF177&amp;" | "&amp;AD177&amp;IF(AE177&lt;&gt;"なし"," "&amp;AE177,"")&amp;IF(X177&lt;0," MACD-"," MACD+")&amp;" RSI:"&amp;TEXT(W177,"0.0")&amp;IF(W177&gt;=70," [過熱]",IF(W177&lt;=30," [売られ過ぎ]",""))&amp;" 前日比:"&amp;TEXT(Z177,"+0.0;-0.0;0.0")&amp;"%"&amp;IF(V177="年初来安値圏●"," [年初来安値圏]",IF(V177="安値圏"," [安値圏]",""))&amp;IF(OR(AO177="通常",AO177="-"),""," ["&amp;AO177&amp;"]")&amp;IF(OR(AT177="通常",AT177="-"),"","前日["&amp;AT177&amp;"]")&amp;" ["&amp;T177&amp;"点]")</f>
        <v/>
      </c>
      <c r="Z177" s="622">
        <f>IF(AND(E177&lt;&gt;"",G177&lt;&gt;"",G177&lt;&gt;0),(E177-G177)/G177*100,"")</f>
        <v/>
      </c>
      <c r="AA177" s="345">
        <f>IF(OR(C177="",E177="",E177=0),"",IF(E177&gt;G177,"上昇▲",IF(E177&lt;G177,"下落▼","横ばい→")))</f>
        <v/>
      </c>
      <c r="AB177" s="346">
        <f>IF(OR(C177="",C177="TOPX",終値!E58=""),"",IFERROR(((終値!E58*0.333)+(終値!F58*0.222)+(終値!G58*0.148)+(終値!H58*0.099)+(終値!I58*0.066))/(0.333+0.222+0.148+0.099+0.066),""))</f>
        <v/>
      </c>
      <c r="AC177" s="346">
        <f>IF(OR(C177="",C177="TOPX",終値!E58=""),"",IFERROR(SUMPRODUCT((終値!E58:AC58)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7" s="345">
        <f>IF(OR(C177="",AB177="",AC177="",AB177=0,AC177=0),"",IF(AND(E177&gt;AB177,AB177&gt;AC177),"パーフェクト▲",IF(E177&gt;AC177,"上昇トレンド▲",IF(AND(E177&lt;AB177,AB177&lt;AC177),"下降トレンド▼","もみ合い→"))))</f>
        <v/>
      </c>
      <c r="AE177" s="345">
        <f>IF(OR(C177="",AB177="",AC177=""),"",IF(AND(ABS(E177-AC177)/AC177&lt;=0.02,E177&lt;AC177),"25日戻り売り★",IF(AND(ABS(E177-AB177)/AB177&lt;=0.01,E177&lt;AB177),"5日戻り売り○","なし")))</f>
        <v/>
      </c>
      <c r="AF177">
        <f>IF(T177="","",IF(銘柄管理!$F$5="上昇▲",IF(AND(AD177="下降トレンド▼",OR(AE177="25日戻り売り★",AE177="5日戻り売り○")),"★逆張り売り",IF(AND(AD177="もみ合い→",OR(AE177="25日戻り売り★",AE177="5日戻り売り○")),"○逆張り売り",IF(W177&gt;=70,IF(Z177&lt;0,"◎反落確認","△過熱・様子見"),"相場上昇・見送り"))),IF(AND(T177&gt;=12,AD177="下降トレンド▼"),"★強い売り",IF(T177&gt;=12,"★強い売り",IF(AND(T177&gt;=8,OR(AE177="25日戻り売り★",AE177="5日戻り売り○")),"◎戻り売り",IF(T177&gt;=10,"○売り候補",IF(T177&gt;=6,"△注目",IF(T177&gt;=3,"様子見","見送り"))))))))</f>
        <v/>
      </c>
      <c r="AG177">
        <f>IF(AND(T177&gt;=7,C177&lt;&gt;""),T177,0)</f>
        <v/>
      </c>
      <c r="AH177">
        <f>IF(AG177&gt;0,AG177*10000-ROW(A177),0)</f>
        <v/>
      </c>
      <c r="AI177" s="623">
        <f t="array" ref="AI177">IF(C177="","",IFERROR((INDEX(終値!$E:$E,MATCH(TEXT(C177,"0"),終値!$A:$A,0))-INDEX(終値!$E:$BL,MATCH(TEXT(C177,"0"),終値!$A:$A,0),$AN$2))/INDEX(終値!$E:$BL,MATCH(TEXT(C177,"0"),終値!$A:$A,0),$AN$2)*100,""))</f>
        <v/>
      </c>
      <c r="AJ177" s="623">
        <f t="array" ref="AJ177">IFERROR((終値!$E$5-INDEX(終値!$E$5:$BL$5,1,$AN$2))/INDEX(終値!$E$5:$BL$5,1,$AN$2)*100,"")</f>
        <v/>
      </c>
      <c r="AK177" s="624">
        <f>IF(OR(AI177="",AJ177=""),"",AI177-AJ177)</f>
        <v/>
      </c>
      <c r="AL177" s="394">
        <f>IF(AK177="","",IF(AK177&lt;-5,3,IF(AK177&lt;0,1,IF(AK177&lt;3,-1,-2))))</f>
        <v/>
      </c>
      <c r="AO177" s="398">
        <f>IF(OR($C177="",$E177="",$F177="",$H177="",$I177="",$H177-$I177&lt;=0),"-",IF(AND($H177-MAX($F177,$E177)&gt;=ABS($E177-$F177)*2,MIN($F177,$E177)-$I177&lt;=ABS($E177-$F177)*0.5,ABS($E177-$F177)&gt;0),"上ヒゲ陰線▼",IF(AND($E177&lt;$F177,ABS($E177-$F177)&gt;=($H177-$I177)*0.7),"大陰線▼",IF(AND(MIN($F177,$E177)-$I177&gt;=($H177-$I177)*0.5,$H177-MAX($F177,$E177)&lt;=($H177-$I177)*0.2),"長い下ヒゲ(反発警戒)","通常"))))</f>
        <v/>
      </c>
      <c r="AP177" s="625">
        <f>IF($AO177="上ヒゲ陰線▼",2,IF($AO177="大陰線▼",2,IF($AO177="長い下ヒゲ(反発警戒)",-2,0)))</f>
        <v/>
      </c>
      <c r="AQ177">
        <f>IF(C177&lt;&gt;"",始値!F58,"")</f>
        <v/>
      </c>
      <c r="AR177">
        <f>IF(C177&lt;&gt;"",高値!F58,"")</f>
        <v/>
      </c>
      <c r="AS177">
        <f>IF(C177&lt;&gt;"",安値!F58,"")</f>
        <v/>
      </c>
      <c r="AT177">
        <f>IF(OR(C177="",AQ177="",AR177="",AS177="",AR177-AS177&lt;=0),"-",IF(AND(AR177-MAX(G177,AQ177)&gt;=ABS(G177-AQ177)*2,MIN(G177,AQ177)-AS177&lt;=ABS(G177-AQ177)*0.5,ABS(G177-AQ177)&gt;0),"上ヒゲ陰線▼",IF(AND(G177&lt;AQ177,ABS(G177-AQ177)&gt;=(AR177-AS177)*0.7),"大陰線▼",IF(AND(MIN(G177,AQ177)-AS177&gt;=(AR177-AS177)*0.5,AR177-MAX(G177,AQ177)&lt;=(AR177-AS177)*0.2),"長い下ヒゲ(反発)","通常"))))</f>
        <v/>
      </c>
      <c r="AU177">
        <f>IF(AT177="上ヒゲ陰線▼",2,IF(AT177="大陰線▼",2,IF(AT177="長い下ヒゲ(反発)",-2,0)))</f>
        <v/>
      </c>
    </row>
    <row r="178" ht="14.25" customHeight="1" s="574">
      <c r="A178" s="352">
        <f>IF(銘柄管理!B61&lt;&gt;"",HYPERLINK("https://kabutan.jp/stock/?code="&amp;銘柄管理!B61,"株探"),"")</f>
        <v/>
      </c>
      <c r="B178" s="225" t="n"/>
      <c r="C178" s="225">
        <f>IF(銘柄管理!B61="","",銘柄管理!B61)</f>
        <v/>
      </c>
      <c r="D178" s="225">
        <f>IF(銘柄管理!C61="","",銘柄管理!C61)</f>
        <v/>
      </c>
      <c r="E178" s="353">
        <f>IF(C178&lt;&gt;"",_xll.RssMarket(C178,"現在値"),"")</f>
        <v/>
      </c>
      <c r="F178" s="353">
        <f>IF(C178&lt;&gt;"",_xll.RssMarket(C178,"始値"),"")</f>
        <v/>
      </c>
      <c r="G178" s="225">
        <f>IF(C178&lt;&gt;"",終値!F61,"")</f>
        <v/>
      </c>
      <c r="H178" s="353">
        <f>IF(C178&lt;&gt;"",_xll.RssMarket(C178,"高値"),"")</f>
        <v/>
      </c>
      <c r="I178" s="353">
        <f>IF(C178&lt;&gt;"",_xll.RssMarket(C178,"安値"),"")</f>
        <v/>
      </c>
      <c r="J178" s="353">
        <f>IF(C178&lt;&gt;"",_xll.RssMarket(C178,"出来高"),"")</f>
        <v/>
      </c>
      <c r="K178" s="353">
        <f>IF(C178&lt;&gt;"",_xll.RssMarket(C178,"年初来高値"),"")</f>
        <v/>
      </c>
      <c r="L178" s="626">
        <f>IF(AND(E178&lt;&gt;"",K178&lt;&gt;"",K178&lt;&gt;0),(E178-K178)/K178*100,"")</f>
        <v/>
      </c>
      <c r="M178" s="353">
        <f>IF(C178&lt;&gt;"",IFERROR(AVERAGE(出来高!E61:I61),""),"")</f>
        <v/>
      </c>
      <c r="N178" s="353">
        <f>IF(C178&lt;&gt;"",IFERROR(AVERAGE(出来高!E61:AC61),""),"")</f>
        <v/>
      </c>
      <c r="O178" s="627">
        <f>IF(AND(J178&lt;&gt;"",M178&lt;&gt;"",M178&lt;&gt;0),J178/M178,"")</f>
        <v/>
      </c>
      <c r="P178" s="225">
        <f>IF(O178="","",IF(O178&gt;=2,"急増↑↑",IF(O178&gt;=1.5,"増加↑",IF(O178&gt;=1,"普通→","減少↓"))))</f>
        <v/>
      </c>
      <c r="Q178" s="225">
        <f>IF(E178="","",IF(AND(E178&lt;G178,O178&gt;=1.5),"売り▼",IF(E178&gt;G178,"様子見▲","中立→")))</f>
        <v/>
      </c>
      <c r="R178" s="353">
        <f>IF(E178&lt;&gt;"",ROUND(E178*0.92,0),"")</f>
        <v/>
      </c>
      <c r="S178" s="353">
        <f>IF(E178&lt;&gt;"",ROUND(E178*1.04,0),"")</f>
        <v/>
      </c>
      <c r="T178" s="345">
        <f>IF(C178="","",IFERROR(IF(W178&gt;=70,3,IF(W178&gt;=60,2,IF(W178&gt;=50,1,0)))+IF(X178&lt;0,2,0)+IF(AD178="下降トレンド▼",3,IF(AD178="もみ合い→",1,0))+IF(V178="年初来安値圏●",3,IF(V178="安値圏",2,0))+IF(Q178="売り▼",2,0)+IF(P178="急増↑↑",2,IF(P178="増加↑",1,0))+IF(Z178&lt;0,1,0)+IF(L178&lt;=-30,2,IF(L178&lt;=-15,1,0))+IF(AE178="25日戻り売り★",2,IF(AE178="5日戻り売り○",1,0))+N(AL178)+N(AP178)+N(AU178),0))</f>
        <v/>
      </c>
      <c r="U178" s="225">
        <f>IF(T178="","",IF(AND(T178&gt;=3,O178&gt;=1.5),"有効",IF(T178&gt;=3,"要確認","除外")))</f>
        <v/>
      </c>
      <c r="V178" s="225">
        <f>IF(AND(I178&lt;&gt;"",K178&lt;&gt;""),IF(I178&lt;=K178*0.6,"年初来安値圏●",IF(I178&lt;=K178*0.75,"安値圏","通常")),"")</f>
        <v/>
      </c>
      <c r="W178" s="628">
        <f t="array" ref="W178">IFERROR(100-100/(1+SUMPRODUCT((終値!F61:R61&gt;終値!G61:S61)*(終値!F61:R61-終値!G61:S61))/SUMPRODUCT((終値!F61:R61&lt;終値!G61:S61)*(終値!G61:S61-終値!F61:R61))),50)</f>
        <v/>
      </c>
      <c r="X178" s="357">
        <f>IF(C178&lt;&gt;"",IFERROR(SUMPRODUCT(終値!E61:P61,{0.154,0.132,0.113,0.097,0.083,0.071,0.061,0.052,0.045,0.038,0.033,0.028})/SUMPRODUCT({0.154,0.132,0.113,0.097,0.083,0.071,0.061,0.052,0.045,0.038,0.033,0.028})-SUMPRODUCT(終値!E61:AD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8" s="225">
        <f>IF(AF178="","",AF178&amp;" | "&amp;AD178&amp;IF(AE178&lt;&gt;"なし"," "&amp;AE178,"")&amp;IF(X178&lt;0," MACD-"," MACD+")&amp;" RSI:"&amp;TEXT(W178,"0.0")&amp;IF(W178&gt;=70," [過熱]",IF(W178&lt;=30," [売られ過ぎ]",""))&amp;" 前日比:"&amp;TEXT(Z178,"+0.0;-0.0;0.0")&amp;"%"&amp;IF(V178="年初来安値圏●"," [年初来安値圏]",IF(V178="安値圏"," [安値圏]",""))&amp;IF(OR(AO178="通常",AO178="-"),""," ["&amp;AO178&amp;"]")&amp;IF(OR(AT178="通常",AT178="-"),"","前日["&amp;AT178&amp;"]")&amp;" ["&amp;T178&amp;"点]")</f>
        <v/>
      </c>
      <c r="Z178" s="629">
        <f>IF(AND(E178&lt;&gt;"",G178&lt;&gt;"",G178&lt;&gt;0),(E178-G178)/G178*100,"")</f>
        <v/>
      </c>
      <c r="AA178" s="225">
        <f>IF(OR(C178="",E178="",E178=0),"",IF(E178&gt;G178,"上昇▲",IF(E178&lt;G178,"下落▼","横ばい→")))</f>
        <v/>
      </c>
      <c r="AB178" s="353">
        <f>IF(OR(C178="",C178="TOPX",終値!E61=""),"",IFERROR(((終値!E61*0.333)+(終値!F61*0.222)+(終値!G61*0.148)+(終値!H61*0.099)+(終値!I61*0.066))/(0.333+0.222+0.148+0.099+0.066),""))</f>
        <v/>
      </c>
      <c r="AC178" s="353">
        <f>IF(OR(C178="",C178="TOPX",終値!E61=""),"",IFERROR(SUMPRODUCT((終値!E61:AC61)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8" s="225">
        <f>IF(OR(C178="",AB178="",AC178="",AB178=0,AC178=0),"",IF(AND(E178&gt;AB178,AB178&gt;AC178),"パーフェクト▲",IF(E178&gt;AC178,"上昇トレンド▲",IF(AND(E178&lt;AB178,AB178&lt;AC178),"下降トレンド▼","もみ合い→"))))</f>
        <v/>
      </c>
      <c r="AE178" s="225">
        <f>IF(OR(C178="",AB178="",AC178=""),"",IF(AND(ABS(E178-AC178)/AC178&lt;=0.02,E178&lt;AC178),"25日戻り売り★",IF(AND(ABS(E178-AB178)/AB178&lt;=0.01,E178&lt;AB178),"5日戻り売り○","なし")))</f>
        <v/>
      </c>
      <c r="AF178">
        <f>IF(T178="","",IF(銘柄管理!$F$5="上昇▲",IF(AND(AD178="下降トレンド▼",OR(AE178="25日戻り売り★",AE178="5日戻り売り○")),"★逆張り売り",IF(AND(AD178="もみ合い→",OR(AE178="25日戻り売り★",AE178="5日戻り売り○")),"○逆張り売り",IF(W178&gt;=70,IF(Z178&lt;0,"◎反落確認","△過熱・様子見"),"相場上昇・見送り"))),IF(AND(T178&gt;=12,AD178="下降トレンド▼"),"★強い売り",IF(T178&gt;=12,"★強い売り",IF(AND(T178&gt;=8,OR(AE178="25日戻り売り★",AE178="5日戻り売り○")),"◎戻り売り",IF(T178&gt;=10,"○売り候補",IF(T178&gt;=6,"△注目",IF(T178&gt;=3,"様子見","見送り"))))))))</f>
        <v/>
      </c>
      <c r="AG178">
        <f>IF(AND(T178&gt;=7,C178&lt;&gt;""),T178,0)</f>
        <v/>
      </c>
      <c r="AH178">
        <f>IF(AG178&gt;0,AG178*10000-ROW(A178),0)</f>
        <v/>
      </c>
      <c r="AI178" s="623">
        <f t="array" ref="AI178">IF(C178="","",IFERROR((INDEX(終値!$E:$E,MATCH(TEXT(C178,"0"),終値!$A:$A,0))-INDEX(終値!$E:$BL,MATCH(TEXT(C178,"0"),終値!$A:$A,0),$AN$2))/INDEX(終値!$E:$BL,MATCH(TEXT(C178,"0"),終値!$A:$A,0),$AN$2)*100,""))</f>
        <v/>
      </c>
      <c r="AJ178" s="623">
        <f t="array" ref="AJ178">IFERROR((終値!$E$5-INDEX(終値!$E$5:$BL$5,1,$AN$2))/INDEX(終値!$E$5:$BL$5,1,$AN$2)*100,"")</f>
        <v/>
      </c>
      <c r="AK178" s="624">
        <f>IF(OR(AI178="",AJ178=""),"",AI178-AJ178)</f>
        <v/>
      </c>
      <c r="AL178" s="394">
        <f>IF(AK178="","",IF(AK178&lt;-5,3,IF(AK178&lt;0,1,IF(AK178&lt;3,-1,-2))))</f>
        <v/>
      </c>
      <c r="AO178" s="398">
        <f>IF(OR($C178="",$E178="",$F178="",$H178="",$I178="",$H178-$I178&lt;=0),"-",IF(AND($H178-MAX($F178,$E178)&gt;=ABS($E178-$F178)*2,MIN($F178,$E178)-$I178&lt;=ABS($E178-$F178)*0.5,ABS($E178-$F178)&gt;0),"上ヒゲ陰線▼",IF(AND($E178&lt;$F178,ABS($E178-$F178)&gt;=($H178-$I178)*0.7),"大陰線▼",IF(AND(MIN($F178,$E178)-$I178&gt;=($H178-$I178)*0.5,$H178-MAX($F178,$E178)&lt;=($H178-$I178)*0.2),"長い下ヒゲ(反発警戒)","通常"))))</f>
        <v/>
      </c>
      <c r="AP178" s="625">
        <f>IF($AO178="上ヒゲ陰線▼",2,IF($AO178="大陰線▼",2,IF($AO178="長い下ヒゲ(反発警戒)",-2,0)))</f>
        <v/>
      </c>
      <c r="AQ178">
        <f>IF(C178&lt;&gt;"",始値!F61,"")</f>
        <v/>
      </c>
      <c r="AR178">
        <f>IF(C178&lt;&gt;"",高値!F61,"")</f>
        <v/>
      </c>
      <c r="AS178">
        <f>IF(C178&lt;&gt;"",安値!F61,"")</f>
        <v/>
      </c>
      <c r="AT178">
        <f>IF(OR(C178="",AQ178="",AR178="",AS178="",AR178-AS178&lt;=0),"-",IF(AND(AR178-MAX(G178,AQ178)&gt;=ABS(G178-AQ178)*2,MIN(G178,AQ178)-AS178&lt;=ABS(G178-AQ178)*0.5,ABS(G178-AQ178)&gt;0),"上ヒゲ陰線▼",IF(AND(G178&lt;AQ178,ABS(G178-AQ178)&gt;=(AR178-AS178)*0.7),"大陰線▼",IF(AND(MIN(G178,AQ178)-AS178&gt;=(AR178-AS178)*0.5,AR178-MAX(G178,AQ178)&lt;=(AR178-AS178)*0.2),"長い下ヒゲ(反発)","通常"))))</f>
        <v/>
      </c>
      <c r="AU178">
        <f>IF(AT178="上ヒゲ陰線▼",2,IF(AT178="大陰線▼",2,IF(AT178="長い下ヒゲ(反発)",-2,0)))</f>
        <v/>
      </c>
    </row>
    <row r="179" ht="14.25" customHeight="1" s="574">
      <c r="A179" s="344">
        <f>IF(銘柄管理!B63&lt;&gt;"",HYPERLINK("https://kabutan.jp/stock/?code="&amp;銘柄管理!B63,"株探"),"")</f>
        <v/>
      </c>
      <c r="B179" s="345" t="n"/>
      <c r="C179" s="345">
        <f>IF(銘柄管理!B63="","",銘柄管理!B63)</f>
        <v/>
      </c>
      <c r="D179" s="345">
        <f>IF(銘柄管理!C63="","",銘柄管理!C63)</f>
        <v/>
      </c>
      <c r="E179" s="346">
        <f>IF(C179&lt;&gt;"",_xll.RssMarket(C179,"現在値"),"")</f>
        <v/>
      </c>
      <c r="F179" s="346">
        <f>IF(C179&lt;&gt;"",_xll.RssMarket(C179,"始値"),"")</f>
        <v/>
      </c>
      <c r="G179" s="345">
        <f>IF(C179&lt;&gt;"",終値!F63,"")</f>
        <v/>
      </c>
      <c r="H179" s="346">
        <f>IF(C179&lt;&gt;"",_xll.RssMarket(C179,"高値"),"")</f>
        <v/>
      </c>
      <c r="I179" s="346">
        <f>IF(C179&lt;&gt;"",_xll.RssMarket(C179,"安値"),"")</f>
        <v/>
      </c>
      <c r="J179" s="346">
        <f>IF(C179&lt;&gt;"",_xll.RssMarket(C179,"出来高"),"")</f>
        <v/>
      </c>
      <c r="K179" s="346">
        <f>IF(C179&lt;&gt;"",_xll.RssMarket(C179,"年初来高値"),"")</f>
        <v/>
      </c>
      <c r="L179" s="619">
        <f>IF(AND(E179&lt;&gt;"",K179&lt;&gt;"",K179&lt;&gt;0),(E179-K179)/K179*100,"")</f>
        <v/>
      </c>
      <c r="M179" s="346">
        <f>IF(C179&lt;&gt;"",IFERROR(AVERAGE(出来高!E63:I63),""),"")</f>
        <v/>
      </c>
      <c r="N179" s="346">
        <f>IF(C179&lt;&gt;"",IFERROR(AVERAGE(出来高!E63:AC63),""),"")</f>
        <v/>
      </c>
      <c r="O179" s="620">
        <f>IF(AND(J179&lt;&gt;"",M179&lt;&gt;"",M179&lt;&gt;0),J179/M179,"")</f>
        <v/>
      </c>
      <c r="P179" s="345">
        <f>IF(O179="","",IF(O179&gt;=2,"急増↑↑",IF(O179&gt;=1.5,"増加↑",IF(O179&gt;=1,"普通→","減少↓"))))</f>
        <v/>
      </c>
      <c r="Q179" s="345">
        <f>IF(E179="","",IF(AND(E179&lt;G179,O179&gt;=1.5),"売り▼",IF(E179&gt;G179,"様子見▲","中立→")))</f>
        <v/>
      </c>
      <c r="R179" s="346">
        <f>IF(E179&lt;&gt;"",ROUND(E179*0.92,0),"")</f>
        <v/>
      </c>
      <c r="S179" s="346">
        <f>IF(E179&lt;&gt;"",ROUND(E179*1.04,0),"")</f>
        <v/>
      </c>
      <c r="T179" s="345">
        <f>IF(C179="","",IFERROR(IF(W179&gt;=70,3,IF(W179&gt;=60,2,IF(W179&gt;=50,1,0)))+IF(X179&lt;0,2,0)+IF(AD179="下降トレンド▼",3,IF(AD179="もみ合い→",1,0))+IF(V179="年初来安値圏●",3,IF(V179="安値圏",2,0))+IF(Q179="売り▼",2,0)+IF(P179="急増↑↑",2,IF(P179="増加↑",1,0))+IF(Z179&lt;0,1,0)+IF(L179&lt;=-30,2,IF(L179&lt;=-15,1,0))+IF(AE179="25日戻り売り★",2,IF(AE179="5日戻り売り○",1,0))+N(AL179)+N(AP179)+N(AU179),0))</f>
        <v/>
      </c>
      <c r="U179" s="345">
        <f>IF(T179="","",IF(AND(T179&gt;=3,O179&gt;=1.5),"有効",IF(T179&gt;=3,"要確認","除外")))</f>
        <v/>
      </c>
      <c r="V179" s="345">
        <f>IF(AND(I179&lt;&gt;"",K179&lt;&gt;""),IF(I179&lt;=K179*0.6,"年初来安値圏●",IF(I179&lt;=K179*0.75,"安値圏","通常")),"")</f>
        <v/>
      </c>
      <c r="W179" s="621">
        <f t="array" ref="W179">IFERROR(100-100/(1+SUMPRODUCT((終値!F63:R63&gt;終値!G63:S63)*(終値!F63:R63-終値!G63:S63))/SUMPRODUCT((終値!F63:R63&lt;終値!G63:S63)*(終値!G63:S63-終値!F63:R63))),50)</f>
        <v/>
      </c>
      <c r="X179" s="350">
        <f>IF(C179&lt;&gt;"",IFERROR(SUMPRODUCT(終値!E63:P63,{0.154,0.132,0.113,0.097,0.083,0.071,0.061,0.052,0.045,0.038,0.033,0.028})/SUMPRODUCT({0.154,0.132,0.113,0.097,0.083,0.071,0.061,0.052,0.045,0.038,0.033,0.028})-SUMPRODUCT(終値!E63:AD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9" s="345">
        <f>IF(AF179="","",AF179&amp;" | "&amp;AD179&amp;IF(AE179&lt;&gt;"なし"," "&amp;AE179,"")&amp;IF(X179&lt;0," MACD-"," MACD+")&amp;" RSI:"&amp;TEXT(W179,"0.0")&amp;IF(W179&gt;=70," [過熱]",IF(W179&lt;=30," [売られ過ぎ]",""))&amp;" 前日比:"&amp;TEXT(Z179,"+0.0;-0.0;0.0")&amp;"%"&amp;IF(V179="年初来安値圏●"," [年初来安値圏]",IF(V179="安値圏"," [安値圏]",""))&amp;IF(OR(AO179="通常",AO179="-"),""," ["&amp;AO179&amp;"]")&amp;IF(OR(AT179="通常",AT179="-"),"","前日["&amp;AT179&amp;"]")&amp;" ["&amp;T179&amp;"点]")</f>
        <v/>
      </c>
      <c r="Z179" s="622">
        <f>IF(AND(E179&lt;&gt;"",G179&lt;&gt;"",G179&lt;&gt;0),(E179-G179)/G179*100,"")</f>
        <v/>
      </c>
      <c r="AA179" s="345">
        <f>IF(OR(C179="",E179="",E179=0),"",IF(E179&gt;G179,"上昇▲",IF(E179&lt;G179,"下落▼","横ばい→")))</f>
        <v/>
      </c>
      <c r="AB179" s="346">
        <f>IF(OR(C179="",C179="TOPX",終値!E63=""),"",IFERROR(((終値!E63*0.333)+(終値!F63*0.222)+(終値!G63*0.148)+(終値!H63*0.099)+(終値!I63*0.066))/(0.333+0.222+0.148+0.099+0.066),""))</f>
        <v/>
      </c>
      <c r="AC179" s="346">
        <f>IF(OR(C179="",C179="TOPX",終値!E63=""),"",IFERROR(SUMPRODUCT((終値!E63:AC63)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9" s="345">
        <f>IF(OR(C179="",AB179="",AC179="",AB179=0,AC179=0),"",IF(AND(E179&gt;AB179,AB179&gt;AC179),"パーフェクト▲",IF(E179&gt;AC179,"上昇トレンド▲",IF(AND(E179&lt;AB179,AB179&lt;AC179),"下降トレンド▼","もみ合い→"))))</f>
        <v/>
      </c>
      <c r="AE179" s="345">
        <f>IF(OR(C179="",AB179="",AC179=""),"",IF(AND(ABS(E179-AC179)/AC179&lt;=0.02,E179&lt;AC179),"25日戻り売り★",IF(AND(ABS(E179-AB179)/AB179&lt;=0.01,E179&lt;AB179),"5日戻り売り○","なし")))</f>
        <v/>
      </c>
      <c r="AF179">
        <f>IF(T179="","",IF(銘柄管理!$F$5="上昇▲",IF(AND(AD179="下降トレンド▼",OR(AE179="25日戻り売り★",AE179="5日戻り売り○")),"★逆張り売り",IF(AND(AD179="もみ合い→",OR(AE179="25日戻り売り★",AE179="5日戻り売り○")),"○逆張り売り",IF(W179&gt;=70,IF(Z179&lt;0,"◎反落確認","△過熱・様子見"),"相場上昇・見送り"))),IF(AND(T179&gt;=12,AD179="下降トレンド▼"),"★強い売り",IF(T179&gt;=12,"★強い売り",IF(AND(T179&gt;=8,OR(AE179="25日戻り売り★",AE179="5日戻り売り○")),"◎戻り売り",IF(T179&gt;=10,"○売り候補",IF(T179&gt;=6,"△注目",IF(T179&gt;=3,"様子見","見送り"))))))))</f>
        <v/>
      </c>
      <c r="AG179">
        <f>IF(AND(T179&gt;=7,C179&lt;&gt;""),T179,0)</f>
        <v/>
      </c>
      <c r="AH179">
        <f>IF(AG179&gt;0,AG179*10000-ROW(A179),0)</f>
        <v/>
      </c>
      <c r="AI179" s="623">
        <f t="array" ref="AI179">IF(C179="","",IFERROR((INDEX(終値!$E:$E,MATCH(TEXT(C179,"0"),終値!$A:$A,0))-INDEX(終値!$E:$BL,MATCH(TEXT(C179,"0"),終値!$A:$A,0),$AN$2))/INDEX(終値!$E:$BL,MATCH(TEXT(C179,"0"),終値!$A:$A,0),$AN$2)*100,""))</f>
        <v/>
      </c>
      <c r="AJ179" s="623">
        <f t="array" ref="AJ179">IFERROR((終値!$E$5-INDEX(終値!$E$5:$BL$5,1,$AN$2))/INDEX(終値!$E$5:$BL$5,1,$AN$2)*100,"")</f>
        <v/>
      </c>
      <c r="AK179" s="624">
        <f>IF(OR(AI179="",AJ179=""),"",AI179-AJ179)</f>
        <v/>
      </c>
      <c r="AL179" s="394">
        <f>IF(AK179="","",IF(AK179&lt;-5,3,IF(AK179&lt;0,1,IF(AK179&lt;3,-1,-2))))</f>
        <v/>
      </c>
      <c r="AO179" s="398">
        <f>IF(OR($C179="",$E179="",$F179="",$H179="",$I179="",$H179-$I179&lt;=0),"-",IF(AND($H179-MAX($F179,$E179)&gt;=ABS($E179-$F179)*2,MIN($F179,$E179)-$I179&lt;=ABS($E179-$F179)*0.5,ABS($E179-$F179)&gt;0),"上ヒゲ陰線▼",IF(AND($E179&lt;$F179,ABS($E179-$F179)&gt;=($H179-$I179)*0.7),"大陰線▼",IF(AND(MIN($F179,$E179)-$I179&gt;=($H179-$I179)*0.5,$H179-MAX($F179,$E179)&lt;=($H179-$I179)*0.2),"長い下ヒゲ(反発警戒)","通常"))))</f>
        <v/>
      </c>
      <c r="AP179" s="625">
        <f>IF($AO179="上ヒゲ陰線▼",2,IF($AO179="大陰線▼",2,IF($AO179="長い下ヒゲ(反発警戒)",-2,0)))</f>
        <v/>
      </c>
      <c r="AQ179">
        <f>IF(C179&lt;&gt;"",始値!F63,"")</f>
        <v/>
      </c>
      <c r="AR179">
        <f>IF(C179&lt;&gt;"",高値!F63,"")</f>
        <v/>
      </c>
      <c r="AS179">
        <f>IF(C179&lt;&gt;"",安値!F63,"")</f>
        <v/>
      </c>
      <c r="AT179">
        <f>IF(OR(C179="",AQ179="",AR179="",AS179="",AR179-AS179&lt;=0),"-",IF(AND(AR179-MAX(G179,AQ179)&gt;=ABS(G179-AQ179)*2,MIN(G179,AQ179)-AS179&lt;=ABS(G179-AQ179)*0.5,ABS(G179-AQ179)&gt;0),"上ヒゲ陰線▼",IF(AND(G179&lt;AQ179,ABS(G179-AQ179)&gt;=(AR179-AS179)*0.7),"大陰線▼",IF(AND(MIN(G179,AQ179)-AS179&gt;=(AR179-AS179)*0.5,AR179-MAX(G179,AQ179)&lt;=(AR179-AS179)*0.2),"長い下ヒゲ(反発)","通常"))))</f>
        <v/>
      </c>
      <c r="AU179">
        <f>IF(AT179="上ヒゲ陰線▼",2,IF(AT179="大陰線▼",2,IF(AT179="長い下ヒゲ(反発)",-2,0)))</f>
        <v/>
      </c>
    </row>
    <row r="180" ht="14.25" customHeight="1" s="574">
      <c r="A180" s="352">
        <f>IF(銘柄管理!B80&lt;&gt;"",HYPERLINK("https://kabutan.jp/stock/?code="&amp;銘柄管理!B80,"株探"),"")</f>
        <v/>
      </c>
      <c r="B180" s="225" t="n"/>
      <c r="C180" s="225">
        <f>IF(銘柄管理!B80="","",銘柄管理!B80)</f>
        <v/>
      </c>
      <c r="D180" s="225">
        <f>IF(銘柄管理!C80="","",銘柄管理!C80)</f>
        <v/>
      </c>
      <c r="E180" s="353">
        <f>IF(C180&lt;&gt;"",_xll.RssMarket(C180,"現在値"),"")</f>
        <v/>
      </c>
      <c r="F180" s="353">
        <f>IF(C180&lt;&gt;"",_xll.RssMarket(C180,"始値"),"")</f>
        <v/>
      </c>
      <c r="G180" s="225">
        <f>IF(C180&lt;&gt;"",終値!F80,"")</f>
        <v/>
      </c>
      <c r="H180" s="353">
        <f>IF(C180&lt;&gt;"",_xll.RssMarket(C180,"高値"),"")</f>
        <v/>
      </c>
      <c r="I180" s="353">
        <f>IF(C180&lt;&gt;"",_xll.RssMarket(C180,"安値"),"")</f>
        <v/>
      </c>
      <c r="J180" s="353">
        <f>IF(C180&lt;&gt;"",_xll.RssMarket(C180,"出来高"),"")</f>
        <v/>
      </c>
      <c r="K180" s="353">
        <f>IF(C180&lt;&gt;"",_xll.RssMarket(C180,"年初来高値"),"")</f>
        <v/>
      </c>
      <c r="L180" s="626">
        <f>IF(AND(E180&lt;&gt;"",K180&lt;&gt;"",K180&lt;&gt;0),(E180-K180)/K180*100,"")</f>
        <v/>
      </c>
      <c r="M180" s="353">
        <f>IF(C180&lt;&gt;"",IFERROR(AVERAGE(出来高!E80:I80),""),"")</f>
        <v/>
      </c>
      <c r="N180" s="353">
        <f>IF(C180&lt;&gt;"",IFERROR(AVERAGE(出来高!E80:AC80),""),"")</f>
        <v/>
      </c>
      <c r="O180" s="627">
        <f>IF(AND(J180&lt;&gt;"",M180&lt;&gt;"",M180&lt;&gt;0),J180/M180,"")</f>
        <v/>
      </c>
      <c r="P180" s="225">
        <f>IF(O180="","",IF(O180&gt;=2,"急増↑↑",IF(O180&gt;=1.5,"増加↑",IF(O180&gt;=1,"普通→","減少↓"))))</f>
        <v/>
      </c>
      <c r="Q180" s="225">
        <f>IF(E180="","",IF(AND(E180&lt;G180,O180&gt;=1.5),"売り▼",IF(E180&gt;G180,"様子見▲","中立→")))</f>
        <v/>
      </c>
      <c r="R180" s="353">
        <f>IF(E180&lt;&gt;"",ROUND(E180*0.92,0),"")</f>
        <v/>
      </c>
      <c r="S180" s="353">
        <f>IF(E180&lt;&gt;"",ROUND(E180*1.04,0),"")</f>
        <v/>
      </c>
      <c r="T180" s="345">
        <f>IF(C180="","",IFERROR(IF(W180&gt;=70,3,IF(W180&gt;=60,2,IF(W180&gt;=50,1,0)))+IF(X180&lt;0,2,0)+IF(AD180="下降トレンド▼",3,IF(AD180="もみ合い→",1,0))+IF(V180="年初来安値圏●",3,IF(V180="安値圏",2,0))+IF(Q180="売り▼",2,0)+IF(P180="急増↑↑",2,IF(P180="増加↑",1,0))+IF(Z180&lt;0,1,0)+IF(L180&lt;=-30,2,IF(L180&lt;=-15,1,0))+IF(AE180="25日戻り売り★",2,IF(AE180="5日戻り売り○",1,0))+N(AL180)+N(AP180)+N(AU180),0))</f>
        <v/>
      </c>
      <c r="U180" s="225">
        <f>IF(T180="","",IF(AND(T180&gt;=3,O180&gt;=1.5),"有効",IF(T180&gt;=3,"要確認","除外")))</f>
        <v/>
      </c>
      <c r="V180" s="225">
        <f>IF(AND(I180&lt;&gt;"",K180&lt;&gt;""),IF(I180&lt;=K180*0.6,"年初来安値圏●",IF(I180&lt;=K180*0.75,"安値圏","通常")),"")</f>
        <v/>
      </c>
      <c r="W180" s="628">
        <f t="array" ref="W180">IFERROR(100-100/(1+SUMPRODUCT((終値!F80:R80&gt;終値!G80:S80)*(終値!F80:R80-終値!G80:S80))/SUMPRODUCT((終値!F80:R80&lt;終値!G80:S80)*(終値!G80:S80-終値!F80:R80))),50)</f>
        <v/>
      </c>
      <c r="X180" s="357">
        <f>IF(C180&lt;&gt;"",IFERROR(SUMPRODUCT(終値!E80:P80,{0.154,0.132,0.113,0.097,0.083,0.071,0.061,0.052,0.045,0.038,0.033,0.028})/SUMPRODUCT({0.154,0.132,0.113,0.097,0.083,0.071,0.061,0.052,0.045,0.038,0.033,0.028})-SUMPRODUCT(終値!E80:AD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0" s="225">
        <f>IF(AF180="","",AF180&amp;" | "&amp;AD180&amp;IF(AE180&lt;&gt;"なし"," "&amp;AE180,"")&amp;IF(X180&lt;0," MACD-"," MACD+")&amp;" RSI:"&amp;TEXT(W180,"0.0")&amp;IF(W180&gt;=70," [過熱]",IF(W180&lt;=30," [売られ過ぎ]",""))&amp;" 前日比:"&amp;TEXT(Z180,"+0.0;-0.0;0.0")&amp;"%"&amp;IF(V180="年初来安値圏●"," [年初来安値圏]",IF(V180="安値圏"," [安値圏]",""))&amp;IF(OR(AO180="通常",AO180="-"),""," ["&amp;AO180&amp;"]")&amp;IF(OR(AT180="通常",AT180="-"),"","前日["&amp;AT180&amp;"]")&amp;" ["&amp;T180&amp;"点]")</f>
        <v/>
      </c>
      <c r="Z180" s="629">
        <f>IF(AND(E180&lt;&gt;"",G180&lt;&gt;"",G180&lt;&gt;0),(E180-G180)/G180*100,"")</f>
        <v/>
      </c>
      <c r="AA180" s="225">
        <f>IF(OR(C180="",E180="",E180=0),"",IF(E180&gt;G180,"上昇▲",IF(E180&lt;G180,"下落▼","横ばい→")))</f>
        <v/>
      </c>
      <c r="AB180" s="353">
        <f>IF(OR(C180="",C180="TOPX",終値!E80=""),"",IFERROR(((終値!E80*0.333)+(終値!F80*0.222)+(終値!G80*0.148)+(終値!H80*0.099)+(終値!I80*0.066))/(0.333+0.222+0.148+0.099+0.066),""))</f>
        <v/>
      </c>
      <c r="AC180" s="353">
        <f>IF(OR(C180="",C180="TOPX",終値!E80=""),"",IFERROR(SUMPRODUCT((終値!E80:AC80)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0" s="225">
        <f>IF(OR(C180="",AB180="",AC180="",AB180=0,AC180=0),"",IF(AND(E180&gt;AB180,AB180&gt;AC180),"パーフェクト▲",IF(E180&gt;AC180,"上昇トレンド▲",IF(AND(E180&lt;AB180,AB180&lt;AC180),"下降トレンド▼","もみ合い→"))))</f>
        <v/>
      </c>
      <c r="AE180" s="225">
        <f>IF(OR(C180="",AB180="",AC180=""),"",IF(AND(ABS(E180-AC180)/AC180&lt;=0.02,E180&lt;AC180),"25日戻り売り★",IF(AND(ABS(E180-AB180)/AB180&lt;=0.01,E180&lt;AB180),"5日戻り売り○","なし")))</f>
        <v/>
      </c>
      <c r="AF180">
        <f>IF(T180="","",IF(銘柄管理!$F$5="上昇▲",IF(AND(AD180="下降トレンド▼",OR(AE180="25日戻り売り★",AE180="5日戻り売り○")),"★逆張り売り",IF(AND(AD180="もみ合い→",OR(AE180="25日戻り売り★",AE180="5日戻り売り○")),"○逆張り売り",IF(W180&gt;=70,IF(Z180&lt;0,"◎反落確認","△過熱・様子見"),"相場上昇・見送り"))),IF(AND(T180&gt;=12,AD180="下降トレンド▼"),"★強い売り",IF(T180&gt;=12,"★強い売り",IF(AND(T180&gt;=8,OR(AE180="25日戻り売り★",AE180="5日戻り売り○")),"◎戻り売り",IF(T180&gt;=10,"○売り候補",IF(T180&gt;=6,"△注目",IF(T180&gt;=3,"様子見","見送り"))))))))</f>
        <v/>
      </c>
      <c r="AG180">
        <f>IF(AND(T180&gt;=7,C180&lt;&gt;""),T180,0)</f>
        <v/>
      </c>
      <c r="AH180">
        <f>IF(AG180&gt;0,AG180*10000-ROW(A180),0)</f>
        <v/>
      </c>
      <c r="AI180" s="623">
        <f t="array" ref="AI180">IF(C180="","",IFERROR((INDEX(終値!$E:$E,MATCH(TEXT(C180,"0"),終値!$A:$A,0))-INDEX(終値!$E:$BL,MATCH(TEXT(C180,"0"),終値!$A:$A,0),$AN$2))/INDEX(終値!$E:$BL,MATCH(TEXT(C180,"0"),終値!$A:$A,0),$AN$2)*100,""))</f>
        <v/>
      </c>
      <c r="AJ180" s="623">
        <f t="array" ref="AJ180">IFERROR((終値!$E$5-INDEX(終値!$E$5:$BL$5,1,$AN$2))/INDEX(終値!$E$5:$BL$5,1,$AN$2)*100,"")</f>
        <v/>
      </c>
      <c r="AK180" s="624">
        <f>IF(OR(AI180="",AJ180=""),"",AI180-AJ180)</f>
        <v/>
      </c>
      <c r="AL180" s="394">
        <f>IF(AK180="","",IF(AK180&lt;-5,3,IF(AK180&lt;0,1,IF(AK180&lt;3,-1,-2))))</f>
        <v/>
      </c>
      <c r="AO180" s="398">
        <f>IF(OR($C180="",$E180="",$F180="",$H180="",$I180="",$H180-$I180&lt;=0),"-",IF(AND($H180-MAX($F180,$E180)&gt;=ABS($E180-$F180)*2,MIN($F180,$E180)-$I180&lt;=ABS($E180-$F180)*0.5,ABS($E180-$F180)&gt;0),"上ヒゲ陰線▼",IF(AND($E180&lt;$F180,ABS($E180-$F180)&gt;=($H180-$I180)*0.7),"大陰線▼",IF(AND(MIN($F180,$E180)-$I180&gt;=($H180-$I180)*0.5,$H180-MAX($F180,$E180)&lt;=($H180-$I180)*0.2),"長い下ヒゲ(反発警戒)","通常"))))</f>
        <v/>
      </c>
      <c r="AP180" s="625">
        <f>IF($AO180="上ヒゲ陰線▼",2,IF($AO180="大陰線▼",2,IF($AO180="長い下ヒゲ(反発警戒)",-2,0)))</f>
        <v/>
      </c>
      <c r="AQ180">
        <f>IF(C180&lt;&gt;"",始値!F80,"")</f>
        <v/>
      </c>
      <c r="AR180">
        <f>IF(C180&lt;&gt;"",高値!F80,"")</f>
        <v/>
      </c>
      <c r="AS180">
        <f>IF(C180&lt;&gt;"",安値!F80,"")</f>
        <v/>
      </c>
      <c r="AT180">
        <f>IF(OR(C180="",AQ180="",AR180="",AS180="",AR180-AS180&lt;=0),"-",IF(AND(AR180-MAX(G180,AQ180)&gt;=ABS(G180-AQ180)*2,MIN(G180,AQ180)-AS180&lt;=ABS(G180-AQ180)*0.5,ABS(G180-AQ180)&gt;0),"上ヒゲ陰線▼",IF(AND(G180&lt;AQ180,ABS(G180-AQ180)&gt;=(AR180-AS180)*0.7),"大陰線▼",IF(AND(MIN(G180,AQ180)-AS180&gt;=(AR180-AS180)*0.5,AR180-MAX(G180,AQ180)&lt;=(AR180-AS180)*0.2),"長い下ヒゲ(反発)","通常"))))</f>
        <v/>
      </c>
      <c r="AU180">
        <f>IF(AT180="上ヒゲ陰線▼",2,IF(AT180="大陰線▼",2,IF(AT180="長い下ヒゲ(反発)",-2,0)))</f>
        <v/>
      </c>
    </row>
    <row r="181" ht="14.25" customHeight="1" s="574">
      <c r="A181" s="344">
        <f>IF(銘柄管理!B83&lt;&gt;"",HYPERLINK("https://kabutan.jp/stock/?code="&amp;銘柄管理!B83,"株探"),"")</f>
        <v/>
      </c>
      <c r="B181" s="345" t="n"/>
      <c r="C181" s="345">
        <f>IF(銘柄管理!B83="","",銘柄管理!B83)</f>
        <v/>
      </c>
      <c r="D181" s="345">
        <f>IF(銘柄管理!C83="","",銘柄管理!C83)</f>
        <v/>
      </c>
      <c r="E181" s="346">
        <f>IF(C181&lt;&gt;"",_xll.RssMarket(C181,"現在値"),"")</f>
        <v/>
      </c>
      <c r="F181" s="346">
        <f>IF(C181&lt;&gt;"",_xll.RssMarket(C181,"始値"),"")</f>
        <v/>
      </c>
      <c r="G181" s="345">
        <f>IF(C181&lt;&gt;"",終値!F83,"")</f>
        <v/>
      </c>
      <c r="H181" s="346">
        <f>IF(C181&lt;&gt;"",_xll.RssMarket(C181,"高値"),"")</f>
        <v/>
      </c>
      <c r="I181" s="346">
        <f>IF(C181&lt;&gt;"",_xll.RssMarket(C181,"安値"),"")</f>
        <v/>
      </c>
      <c r="J181" s="346">
        <f>IF(C181&lt;&gt;"",_xll.RssMarket(C181,"出来高"),"")</f>
        <v/>
      </c>
      <c r="K181" s="346">
        <f>IF(C181&lt;&gt;"",_xll.RssMarket(C181,"年初来高値"),"")</f>
        <v/>
      </c>
      <c r="L181" s="619">
        <f>IF(AND(E181&lt;&gt;"",K181&lt;&gt;"",K181&lt;&gt;0),(E181-K181)/K181*100,"")</f>
        <v/>
      </c>
      <c r="M181" s="346">
        <f>IF(C181&lt;&gt;"",IFERROR(AVERAGE(出来高!E83:I83),""),"")</f>
        <v/>
      </c>
      <c r="N181" s="346">
        <f>IF(C181&lt;&gt;"",IFERROR(AVERAGE(出来高!E83:AC83),""),"")</f>
        <v/>
      </c>
      <c r="O181" s="620">
        <f>IF(AND(J181&lt;&gt;"",M181&lt;&gt;"",M181&lt;&gt;0),J181/M181,"")</f>
        <v/>
      </c>
      <c r="P181" s="345">
        <f>IF(O181="","",IF(O181&gt;=2,"急増↑↑",IF(O181&gt;=1.5,"増加↑",IF(O181&gt;=1,"普通→","減少↓"))))</f>
        <v/>
      </c>
      <c r="Q181" s="345">
        <f>IF(E181="","",IF(AND(E181&lt;G181,O181&gt;=1.5),"売り▼",IF(E181&gt;G181,"様子見▲","中立→")))</f>
        <v/>
      </c>
      <c r="R181" s="346">
        <f>IF(E181&lt;&gt;"",ROUND(E181*0.92,0),"")</f>
        <v/>
      </c>
      <c r="S181" s="346">
        <f>IF(E181&lt;&gt;"",ROUND(E181*1.04,0),"")</f>
        <v/>
      </c>
      <c r="T181" s="345">
        <f>IF(C181="","",IFERROR(IF(W181&gt;=70,3,IF(W181&gt;=60,2,IF(W181&gt;=50,1,0)))+IF(X181&lt;0,2,0)+IF(AD181="下降トレンド▼",3,IF(AD181="もみ合い→",1,0))+IF(V181="年初来安値圏●",3,IF(V181="安値圏",2,0))+IF(Q181="売り▼",2,0)+IF(P181="急増↑↑",2,IF(P181="増加↑",1,0))+IF(Z181&lt;0,1,0)+IF(L181&lt;=-30,2,IF(L181&lt;=-15,1,0))+IF(AE181="25日戻り売り★",2,IF(AE181="5日戻り売り○",1,0))+N(AL181)+N(AP181)+N(AU181),0))</f>
        <v/>
      </c>
      <c r="U181" s="345">
        <f>IF(T181="","",IF(AND(T181&gt;=3,O181&gt;=1.5),"有効",IF(T181&gt;=3,"要確認","除外")))</f>
        <v/>
      </c>
      <c r="V181" s="345">
        <f>IF(AND(I181&lt;&gt;"",K181&lt;&gt;""),IF(I181&lt;=K181*0.6,"年初来安値圏●",IF(I181&lt;=K181*0.75,"安値圏","通常")),"")</f>
        <v/>
      </c>
      <c r="W181" s="621">
        <f t="array" ref="W181">IFERROR(100-100/(1+SUMPRODUCT((終値!F83:R83&gt;終値!G83:S83)*(終値!F83:R83-終値!G83:S83))/SUMPRODUCT((終値!F83:R83&lt;終値!G83:S83)*(終値!G83:S83-終値!F83:R83))),50)</f>
        <v/>
      </c>
      <c r="X181" s="350">
        <f>IF(C181&lt;&gt;"",IFERROR(SUMPRODUCT(終値!E83:P83,{0.154,0.132,0.113,0.097,0.083,0.071,0.061,0.052,0.045,0.038,0.033,0.028})/SUMPRODUCT({0.154,0.132,0.113,0.097,0.083,0.071,0.061,0.052,0.045,0.038,0.033,0.028})-SUMPRODUCT(終値!E83:AD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1" s="345">
        <f>IF(AF181="","",AF181&amp;" | "&amp;AD181&amp;IF(AE181&lt;&gt;"なし"," "&amp;AE181,"")&amp;IF(X181&lt;0," MACD-"," MACD+")&amp;" RSI:"&amp;TEXT(W181,"0.0")&amp;IF(W181&gt;=70," [過熱]",IF(W181&lt;=30," [売られ過ぎ]",""))&amp;" 前日比:"&amp;TEXT(Z181,"+0.0;-0.0;0.0")&amp;"%"&amp;IF(V181="年初来安値圏●"," [年初来安値圏]",IF(V181="安値圏"," [安値圏]",""))&amp;IF(OR(AO181="通常",AO181="-"),""," ["&amp;AO181&amp;"]")&amp;IF(OR(AT181="通常",AT181="-"),"","前日["&amp;AT181&amp;"]")&amp;" ["&amp;T181&amp;"点]")</f>
        <v/>
      </c>
      <c r="Z181" s="622">
        <f>IF(AND(E181&lt;&gt;"",G181&lt;&gt;"",G181&lt;&gt;0),(E181-G181)/G181*100,"")</f>
        <v/>
      </c>
      <c r="AA181" s="345">
        <f>IF(OR(C181="",E181="",E181=0),"",IF(E181&gt;G181,"上昇▲",IF(E181&lt;G181,"下落▼","横ばい→")))</f>
        <v/>
      </c>
      <c r="AB181" s="346">
        <f>IF(OR(C181="",C181="TOPX",終値!E83=""),"",IFERROR(((終値!E83*0.333)+(終値!F83*0.222)+(終値!G83*0.148)+(終値!H83*0.099)+(終値!I83*0.066))/(0.333+0.222+0.148+0.099+0.066),""))</f>
        <v/>
      </c>
      <c r="AC181" s="346">
        <f>IF(OR(C181="",C181="TOPX",終値!E83=""),"",IFERROR(SUMPRODUCT((終値!E83:AC83)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1" s="345">
        <f>IF(OR(C181="",AB181="",AC181="",AB181=0,AC181=0),"",IF(AND(E181&gt;AB181,AB181&gt;AC181),"パーフェクト▲",IF(E181&gt;AC181,"上昇トレンド▲",IF(AND(E181&lt;AB181,AB181&lt;AC181),"下降トレンド▼","もみ合い→"))))</f>
        <v/>
      </c>
      <c r="AE181" s="345">
        <f>IF(OR(C181="",AB181="",AC181=""),"",IF(AND(ABS(E181-AC181)/AC181&lt;=0.02,E181&lt;AC181),"25日戻り売り★",IF(AND(ABS(E181-AB181)/AB181&lt;=0.01,E181&lt;AB181),"5日戻り売り○","なし")))</f>
        <v/>
      </c>
      <c r="AF181">
        <f>IF(T181="","",IF(銘柄管理!$F$5="上昇▲",IF(AND(AD181="下降トレンド▼",OR(AE181="25日戻り売り★",AE181="5日戻り売り○")),"★逆張り売り",IF(AND(AD181="もみ合い→",OR(AE181="25日戻り売り★",AE181="5日戻り売り○")),"○逆張り売り",IF(W181&gt;=70,IF(Z181&lt;0,"◎反落確認","△過熱・様子見"),"相場上昇・見送り"))),IF(AND(T181&gt;=12,AD181="下降トレンド▼"),"★強い売り",IF(T181&gt;=12,"★強い売り",IF(AND(T181&gt;=8,OR(AE181="25日戻り売り★",AE181="5日戻り売り○")),"◎戻り売り",IF(T181&gt;=10,"○売り候補",IF(T181&gt;=6,"△注目",IF(T181&gt;=3,"様子見","見送り"))))))))</f>
        <v/>
      </c>
      <c r="AG181">
        <f>IF(AND(T181&gt;=7,C181&lt;&gt;""),T181,0)</f>
        <v/>
      </c>
      <c r="AH181">
        <f>IF(AG181&gt;0,AG181*10000-ROW(A181),0)</f>
        <v/>
      </c>
      <c r="AI181" s="623">
        <f t="array" ref="AI181">IF(C181="","",IFERROR((INDEX(終値!$E:$E,MATCH(TEXT(C181,"0"),終値!$A:$A,0))-INDEX(終値!$E:$BL,MATCH(TEXT(C181,"0"),終値!$A:$A,0),$AN$2))/INDEX(終値!$E:$BL,MATCH(TEXT(C181,"0"),終値!$A:$A,0),$AN$2)*100,""))</f>
        <v/>
      </c>
      <c r="AJ181" s="623">
        <f t="array" ref="AJ181">IFERROR((終値!$E$5-INDEX(終値!$E$5:$BL$5,1,$AN$2))/INDEX(終値!$E$5:$BL$5,1,$AN$2)*100,"")</f>
        <v/>
      </c>
      <c r="AK181" s="624">
        <f>IF(OR(AI181="",AJ181=""),"",AI181-AJ181)</f>
        <v/>
      </c>
      <c r="AL181" s="394">
        <f>IF(AK181="","",IF(AK181&lt;-5,3,IF(AK181&lt;0,1,IF(AK181&lt;3,-1,-2))))</f>
        <v/>
      </c>
      <c r="AO181" s="398">
        <f>IF(OR($C181="",$E181="",$F181="",$H181="",$I181="",$H181-$I181&lt;=0),"-",IF(AND($H181-MAX($F181,$E181)&gt;=ABS($E181-$F181)*2,MIN($F181,$E181)-$I181&lt;=ABS($E181-$F181)*0.5,ABS($E181-$F181)&gt;0),"上ヒゲ陰線▼",IF(AND($E181&lt;$F181,ABS($E181-$F181)&gt;=($H181-$I181)*0.7),"大陰線▼",IF(AND(MIN($F181,$E181)-$I181&gt;=($H181-$I181)*0.5,$H181-MAX($F181,$E181)&lt;=($H181-$I181)*0.2),"長い下ヒゲ(反発警戒)","通常"))))</f>
        <v/>
      </c>
      <c r="AP181" s="625">
        <f>IF($AO181="上ヒゲ陰線▼",2,IF($AO181="大陰線▼",2,IF($AO181="長い下ヒゲ(反発警戒)",-2,0)))</f>
        <v/>
      </c>
      <c r="AQ181">
        <f>IF(C181&lt;&gt;"",始値!F83,"")</f>
        <v/>
      </c>
      <c r="AR181">
        <f>IF(C181&lt;&gt;"",高値!F83,"")</f>
        <v/>
      </c>
      <c r="AS181">
        <f>IF(C181&lt;&gt;"",安値!F83,"")</f>
        <v/>
      </c>
      <c r="AT181">
        <f>IF(OR(C181="",AQ181="",AR181="",AS181="",AR181-AS181&lt;=0),"-",IF(AND(AR181-MAX(G181,AQ181)&gt;=ABS(G181-AQ181)*2,MIN(G181,AQ181)-AS181&lt;=ABS(G181-AQ181)*0.5,ABS(G181-AQ181)&gt;0),"上ヒゲ陰線▼",IF(AND(G181&lt;AQ181,ABS(G181-AQ181)&gt;=(AR181-AS181)*0.7),"大陰線▼",IF(AND(MIN(G181,AQ181)-AS181&gt;=(AR181-AS181)*0.5,AR181-MAX(G181,AQ181)&lt;=(AR181-AS181)*0.2),"長い下ヒゲ(反発)","通常"))))</f>
        <v/>
      </c>
      <c r="AU181">
        <f>IF(AT181="上ヒゲ陰線▼",2,IF(AT181="大陰線▼",2,IF(AT181="長い下ヒゲ(反発)",-2,0)))</f>
        <v/>
      </c>
    </row>
    <row r="182" ht="14.25" customHeight="1" s="574">
      <c r="A182" s="352">
        <f>IF(銘柄管理!B87&lt;&gt;"",HYPERLINK("https://kabutan.jp/stock/?code="&amp;銘柄管理!B87,"株探"),"")</f>
        <v/>
      </c>
      <c r="B182" s="225" t="n"/>
      <c r="C182" s="225">
        <f>IF(銘柄管理!B87="","",銘柄管理!B87)</f>
        <v/>
      </c>
      <c r="D182" s="225">
        <f>IF(銘柄管理!C87="","",銘柄管理!C87)</f>
        <v/>
      </c>
      <c r="E182" s="353">
        <f>IF(C182&lt;&gt;"",_xll.RssMarket(C182,"現在値"),"")</f>
        <v/>
      </c>
      <c r="F182" s="353">
        <f>IF(C182&lt;&gt;"",_xll.RssMarket(C182,"始値"),"")</f>
        <v/>
      </c>
      <c r="G182" s="225">
        <f>IF(C182&lt;&gt;"",終値!F87,"")</f>
        <v/>
      </c>
      <c r="H182" s="353">
        <f>IF(C182&lt;&gt;"",_xll.RssMarket(C182,"高値"),"")</f>
        <v/>
      </c>
      <c r="I182" s="353">
        <f>IF(C182&lt;&gt;"",_xll.RssMarket(C182,"安値"),"")</f>
        <v/>
      </c>
      <c r="J182" s="353">
        <f>IF(C182&lt;&gt;"",_xll.RssMarket(C182,"出来高"),"")</f>
        <v/>
      </c>
      <c r="K182" s="353">
        <f>IF(C182&lt;&gt;"",_xll.RssMarket(C182,"年初来高値"),"")</f>
        <v/>
      </c>
      <c r="L182" s="626">
        <f>IF(AND(E182&lt;&gt;"",K182&lt;&gt;"",K182&lt;&gt;0),(E182-K182)/K182*100,"")</f>
        <v/>
      </c>
      <c r="M182" s="353">
        <f>IF(C182&lt;&gt;"",IFERROR(AVERAGE(出来高!E87:I87),""),"")</f>
        <v/>
      </c>
      <c r="N182" s="353">
        <f>IF(C182&lt;&gt;"",IFERROR(AVERAGE(出来高!E87:AC87),""),"")</f>
        <v/>
      </c>
      <c r="O182" s="627">
        <f>IF(AND(J182&lt;&gt;"",M182&lt;&gt;"",M182&lt;&gt;0),J182/M182,"")</f>
        <v/>
      </c>
      <c r="P182" s="225">
        <f>IF(O182="","",IF(O182&gt;=2,"急増↑↑",IF(O182&gt;=1.5,"増加↑",IF(O182&gt;=1,"普通→","減少↓"))))</f>
        <v/>
      </c>
      <c r="Q182" s="225">
        <f>IF(E182="","",IF(AND(E182&lt;G182,O182&gt;=1.5),"売り▼",IF(E182&gt;G182,"様子見▲","中立→")))</f>
        <v/>
      </c>
      <c r="R182" s="353">
        <f>IF(E182&lt;&gt;"",ROUND(E182*0.92,0),"")</f>
        <v/>
      </c>
      <c r="S182" s="353">
        <f>IF(E182&lt;&gt;"",ROUND(E182*1.04,0),"")</f>
        <v/>
      </c>
      <c r="T182" s="345">
        <f>IF(C182="","",IFERROR(IF(W182&gt;=70,3,IF(W182&gt;=60,2,IF(W182&gt;=50,1,0)))+IF(X182&lt;0,2,0)+IF(AD182="下降トレンド▼",3,IF(AD182="もみ合い→",1,0))+IF(V182="年初来安値圏●",3,IF(V182="安値圏",2,0))+IF(Q182="売り▼",2,0)+IF(P182="急増↑↑",2,IF(P182="増加↑",1,0))+IF(Z182&lt;0,1,0)+IF(L182&lt;=-30,2,IF(L182&lt;=-15,1,0))+IF(AE182="25日戻り売り★",2,IF(AE182="5日戻り売り○",1,0))+N(AL182)+N(AP182)+N(AU182),0))</f>
        <v/>
      </c>
      <c r="U182" s="225">
        <f>IF(T182="","",IF(AND(T182&gt;=3,O182&gt;=1.5),"有効",IF(T182&gt;=3,"要確認","除外")))</f>
        <v/>
      </c>
      <c r="V182" s="225">
        <f>IF(AND(I182&lt;&gt;"",K182&lt;&gt;""),IF(I182&lt;=K182*0.6,"年初来安値圏●",IF(I182&lt;=K182*0.75,"安値圏","通常")),"")</f>
        <v/>
      </c>
      <c r="W182" s="628">
        <f t="array" ref="W182">IFERROR(100-100/(1+SUMPRODUCT((終値!F87:R87&gt;終値!G87:S87)*(終値!F87:R87-終値!G87:S87))/SUMPRODUCT((終値!F87:R87&lt;終値!G87:S87)*(終値!G87:S87-終値!F87:R87))),50)</f>
        <v/>
      </c>
      <c r="X182" s="357">
        <f>IF(C182&lt;&gt;"",IFERROR(SUMPRODUCT(終値!E87:P87,{0.154,0.132,0.113,0.097,0.083,0.071,0.061,0.052,0.045,0.038,0.033,0.028})/SUMPRODUCT({0.154,0.132,0.113,0.097,0.083,0.071,0.061,0.052,0.045,0.038,0.033,0.028})-SUMPRODUCT(終値!E87:AD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2" s="225">
        <f>IF(AF182="","",AF182&amp;" | "&amp;AD182&amp;IF(AE182&lt;&gt;"なし"," "&amp;AE182,"")&amp;IF(X182&lt;0," MACD-"," MACD+")&amp;" RSI:"&amp;TEXT(W182,"0.0")&amp;IF(W182&gt;=70," [過熱]",IF(W182&lt;=30," [売られ過ぎ]",""))&amp;" 前日比:"&amp;TEXT(Z182,"+0.0;-0.0;0.0")&amp;"%"&amp;IF(V182="年初来安値圏●"," [年初来安値圏]",IF(V182="安値圏"," [安値圏]",""))&amp;IF(OR(AO182="通常",AO182="-"),""," ["&amp;AO182&amp;"]")&amp;IF(OR(AT182="通常",AT182="-"),"","前日["&amp;AT182&amp;"]")&amp;" ["&amp;T182&amp;"点]")</f>
        <v/>
      </c>
      <c r="Z182" s="629">
        <f>IF(AND(E182&lt;&gt;"",G182&lt;&gt;"",G182&lt;&gt;0),(E182-G182)/G182*100,"")</f>
        <v/>
      </c>
      <c r="AA182" s="225">
        <f>IF(OR(C182="",E182="",E182=0),"",IF(E182&gt;G182,"上昇▲",IF(E182&lt;G182,"下落▼","横ばい→")))</f>
        <v/>
      </c>
      <c r="AB182" s="353">
        <f>IF(OR(C182="",C182="TOPX",終値!E87=""),"",IFERROR(((終値!E87*0.333)+(終値!F87*0.222)+(終値!G87*0.148)+(終値!H87*0.099)+(終値!I87*0.066))/(0.333+0.222+0.148+0.099+0.066),""))</f>
        <v/>
      </c>
      <c r="AC182" s="353">
        <f>IF(OR(C182="",C182="TOPX",終値!E87=""),"",IFERROR(SUMPRODUCT((終値!E87:AC87)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2" s="225">
        <f>IF(OR(C182="",AB182="",AC182="",AB182=0,AC182=0),"",IF(AND(E182&gt;AB182,AB182&gt;AC182),"パーフェクト▲",IF(E182&gt;AC182,"上昇トレンド▲",IF(AND(E182&lt;AB182,AB182&lt;AC182),"下降トレンド▼","もみ合い→"))))</f>
        <v/>
      </c>
      <c r="AE182" s="225">
        <f>IF(OR(C182="",AB182="",AC182=""),"",IF(AND(ABS(E182-AC182)/AC182&lt;=0.02,E182&lt;AC182),"25日戻り売り★",IF(AND(ABS(E182-AB182)/AB182&lt;=0.01,E182&lt;AB182),"5日戻り売り○","なし")))</f>
        <v/>
      </c>
      <c r="AF182">
        <f>IF(T182="","",IF(銘柄管理!$F$5="上昇▲",IF(AND(AD182="下降トレンド▼",OR(AE182="25日戻り売り★",AE182="5日戻り売り○")),"★逆張り売り",IF(AND(AD182="もみ合い→",OR(AE182="25日戻り売り★",AE182="5日戻り売り○")),"○逆張り売り",IF(W182&gt;=70,IF(Z182&lt;0,"◎反落確認","△過熱・様子見"),"相場上昇・見送り"))),IF(AND(T182&gt;=12,AD182="下降トレンド▼"),"★強い売り",IF(T182&gt;=12,"★強い売り",IF(AND(T182&gt;=8,OR(AE182="25日戻り売り★",AE182="5日戻り売り○")),"◎戻り売り",IF(T182&gt;=10,"○売り候補",IF(T182&gt;=6,"△注目",IF(T182&gt;=3,"様子見","見送り"))))))))</f>
        <v/>
      </c>
      <c r="AG182">
        <f>IF(AND(T182&gt;=7,C182&lt;&gt;""),T182,0)</f>
        <v/>
      </c>
      <c r="AH182">
        <f>IF(AG182&gt;0,AG182*10000-ROW(A182),0)</f>
        <v/>
      </c>
      <c r="AI182" s="623">
        <f t="array" ref="AI182">IF(C182="","",IFERROR((INDEX(終値!$E:$E,MATCH(TEXT(C182,"0"),終値!$A:$A,0))-INDEX(終値!$E:$BL,MATCH(TEXT(C182,"0"),終値!$A:$A,0),$AN$2))/INDEX(終値!$E:$BL,MATCH(TEXT(C182,"0"),終値!$A:$A,0),$AN$2)*100,""))</f>
        <v/>
      </c>
      <c r="AJ182" s="623">
        <f t="array" ref="AJ182">IFERROR((終値!$E$5-INDEX(終値!$E$5:$BL$5,1,$AN$2))/INDEX(終値!$E$5:$BL$5,1,$AN$2)*100,"")</f>
        <v/>
      </c>
      <c r="AK182" s="624">
        <f>IF(OR(AI182="",AJ182=""),"",AI182-AJ182)</f>
        <v/>
      </c>
      <c r="AL182" s="394">
        <f>IF(AK182="","",IF(AK182&lt;-5,3,IF(AK182&lt;0,1,IF(AK182&lt;3,-1,-2))))</f>
        <v/>
      </c>
      <c r="AO182" s="398">
        <f>IF(OR($C182="",$E182="",$F182="",$H182="",$I182="",$H182-$I182&lt;=0),"-",IF(AND($H182-MAX($F182,$E182)&gt;=ABS($E182-$F182)*2,MIN($F182,$E182)-$I182&lt;=ABS($E182-$F182)*0.5,ABS($E182-$F182)&gt;0),"上ヒゲ陰線▼",IF(AND($E182&lt;$F182,ABS($E182-$F182)&gt;=($H182-$I182)*0.7),"大陰線▼",IF(AND(MIN($F182,$E182)-$I182&gt;=($H182-$I182)*0.5,$H182-MAX($F182,$E182)&lt;=($H182-$I182)*0.2),"長い下ヒゲ(反発警戒)","通常"))))</f>
        <v/>
      </c>
      <c r="AP182" s="625">
        <f>IF($AO182="上ヒゲ陰線▼",2,IF($AO182="大陰線▼",2,IF($AO182="長い下ヒゲ(反発警戒)",-2,0)))</f>
        <v/>
      </c>
      <c r="AQ182">
        <f>IF(C182&lt;&gt;"",始値!F87,"")</f>
        <v/>
      </c>
      <c r="AR182">
        <f>IF(C182&lt;&gt;"",高値!F87,"")</f>
        <v/>
      </c>
      <c r="AS182">
        <f>IF(C182&lt;&gt;"",安値!F87,"")</f>
        <v/>
      </c>
      <c r="AT182">
        <f>IF(OR(C182="",AQ182="",AR182="",AS182="",AR182-AS182&lt;=0),"-",IF(AND(AR182-MAX(G182,AQ182)&gt;=ABS(G182-AQ182)*2,MIN(G182,AQ182)-AS182&lt;=ABS(G182-AQ182)*0.5,ABS(G182-AQ182)&gt;0),"上ヒゲ陰線▼",IF(AND(G182&lt;AQ182,ABS(G182-AQ182)&gt;=(AR182-AS182)*0.7),"大陰線▼",IF(AND(MIN(G182,AQ182)-AS182&gt;=(AR182-AS182)*0.5,AR182-MAX(G182,AQ182)&lt;=(AR182-AS182)*0.2),"長い下ヒゲ(反発)","通常"))))</f>
        <v/>
      </c>
      <c r="AU182">
        <f>IF(AT182="上ヒゲ陰線▼",2,IF(AT182="大陰線▼",2,IF(AT182="長い下ヒゲ(反発)",-2,0)))</f>
        <v/>
      </c>
    </row>
    <row r="183" ht="14.25" customHeight="1" s="574">
      <c r="A183" s="344">
        <f>IF(銘柄管理!B94&lt;&gt;"",HYPERLINK("https://kabutan.jp/stock/?code="&amp;銘柄管理!B94,"株探"),"")</f>
        <v/>
      </c>
      <c r="B183" s="345" t="n"/>
      <c r="C183" s="345">
        <f>IF(銘柄管理!B94="","",銘柄管理!B94)</f>
        <v/>
      </c>
      <c r="D183" s="345">
        <f>IF(銘柄管理!C94="","",銘柄管理!C94)</f>
        <v/>
      </c>
      <c r="E183" s="346">
        <f>IF(C183&lt;&gt;"",_xll.RssMarket(C183,"現在値"),"")</f>
        <v/>
      </c>
      <c r="F183" s="346">
        <f>IF(C183&lt;&gt;"",_xll.RssMarket(C183,"始値"),"")</f>
        <v/>
      </c>
      <c r="G183" s="345">
        <f>IF(C183&lt;&gt;"",終値!F94,"")</f>
        <v/>
      </c>
      <c r="H183" s="346">
        <f>IF(C183&lt;&gt;"",_xll.RssMarket(C183,"高値"),"")</f>
        <v/>
      </c>
      <c r="I183" s="346">
        <f>IF(C183&lt;&gt;"",_xll.RssMarket(C183,"安値"),"")</f>
        <v/>
      </c>
      <c r="J183" s="346">
        <f>IF(C183&lt;&gt;"",_xll.RssMarket(C183,"出来高"),"")</f>
        <v/>
      </c>
      <c r="K183" s="346">
        <f>IF(C183&lt;&gt;"",_xll.RssMarket(C183,"年初来高値"),"")</f>
        <v/>
      </c>
      <c r="L183" s="619">
        <f>IF(AND(E183&lt;&gt;"",K183&lt;&gt;"",K183&lt;&gt;0),(E183-K183)/K183*100,"")</f>
        <v/>
      </c>
      <c r="M183" s="346">
        <f>IF(C183&lt;&gt;"",IFERROR(AVERAGE(出来高!E94:I94),""),"")</f>
        <v/>
      </c>
      <c r="N183" s="346">
        <f>IF(C183&lt;&gt;"",IFERROR(AVERAGE(出来高!E94:AC94),""),"")</f>
        <v/>
      </c>
      <c r="O183" s="620">
        <f>IF(AND(J183&lt;&gt;"",M183&lt;&gt;"",M183&lt;&gt;0),J183/M183,"")</f>
        <v/>
      </c>
      <c r="P183" s="345">
        <f>IF(O183="","",IF(O183&gt;=2,"急増↑↑",IF(O183&gt;=1.5,"増加↑",IF(O183&gt;=1,"普通→","減少↓"))))</f>
        <v/>
      </c>
      <c r="Q183" s="345">
        <f>IF(E183="","",IF(AND(E183&lt;G183,O183&gt;=1.5),"売り▼",IF(E183&gt;G183,"様子見▲","中立→")))</f>
        <v/>
      </c>
      <c r="R183" s="346">
        <f>IF(E183&lt;&gt;"",ROUND(E183*0.92,0),"")</f>
        <v/>
      </c>
      <c r="S183" s="346">
        <f>IF(E183&lt;&gt;"",ROUND(E183*1.04,0),"")</f>
        <v/>
      </c>
      <c r="T183" s="345">
        <f>IF(C183="","",IFERROR(IF(W183&gt;=70,3,IF(W183&gt;=60,2,IF(W183&gt;=50,1,0)))+IF(X183&lt;0,2,0)+IF(AD183="下降トレンド▼",3,IF(AD183="もみ合い→",1,0))+IF(V183="年初来安値圏●",3,IF(V183="安値圏",2,0))+IF(Q183="売り▼",2,0)+IF(P183="急増↑↑",2,IF(P183="増加↑",1,0))+IF(Z183&lt;0,1,0)+IF(L183&lt;=-30,2,IF(L183&lt;=-15,1,0))+IF(AE183="25日戻り売り★",2,IF(AE183="5日戻り売り○",1,0))+N(AL183)+N(AP183)+N(AU183),0))</f>
        <v/>
      </c>
      <c r="U183" s="345">
        <f>IF(T183="","",IF(AND(T183&gt;=3,O183&gt;=1.5),"有効",IF(T183&gt;=3,"要確認","除外")))</f>
        <v/>
      </c>
      <c r="V183" s="345">
        <f>IF(AND(I183&lt;&gt;"",K183&lt;&gt;""),IF(I183&lt;=K183*0.6,"年初来安値圏●",IF(I183&lt;=K183*0.75,"安値圏","通常")),"")</f>
        <v/>
      </c>
      <c r="W183" s="621">
        <f t="array" ref="W183">IFERROR(100-100/(1+SUMPRODUCT((終値!F94:R94&gt;終値!G94:S94)*(終値!F94:R94-終値!G94:S94))/SUMPRODUCT((終値!F94:R94&lt;終値!G94:S94)*(終値!G94:S94-終値!F94:R94))),50)</f>
        <v/>
      </c>
      <c r="X183" s="350">
        <f>IF(C183&lt;&gt;"",IFERROR(SUMPRODUCT(終値!E94:P94,{0.154,0.132,0.113,0.097,0.083,0.071,0.061,0.052,0.045,0.038,0.033,0.028})/SUMPRODUCT({0.154,0.132,0.113,0.097,0.083,0.071,0.061,0.052,0.045,0.038,0.033,0.028})-SUMPRODUCT(終値!E94:AD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3" s="345">
        <f>IF(AF183="","",AF183&amp;" | "&amp;AD183&amp;IF(AE183&lt;&gt;"なし"," "&amp;AE183,"")&amp;IF(X183&lt;0," MACD-"," MACD+")&amp;" RSI:"&amp;TEXT(W183,"0.0")&amp;IF(W183&gt;=70," [過熱]",IF(W183&lt;=30," [売られ過ぎ]",""))&amp;" 前日比:"&amp;TEXT(Z183,"+0.0;-0.0;0.0")&amp;"%"&amp;IF(V183="年初来安値圏●"," [年初来安値圏]",IF(V183="安値圏"," [安値圏]",""))&amp;IF(OR(AO183="通常",AO183="-"),""," ["&amp;AO183&amp;"]")&amp;IF(OR(AT183="通常",AT183="-"),"","前日["&amp;AT183&amp;"]")&amp;" ["&amp;T183&amp;"点]")</f>
        <v/>
      </c>
      <c r="Z183" s="622">
        <f>IF(AND(E183&lt;&gt;"",G183&lt;&gt;"",G183&lt;&gt;0),(E183-G183)/G183*100,"")</f>
        <v/>
      </c>
      <c r="AA183" s="345">
        <f>IF(OR(C183="",E183="",E183=0),"",IF(E183&gt;G183,"上昇▲",IF(E183&lt;G183,"下落▼","横ばい→")))</f>
        <v/>
      </c>
      <c r="AB183" s="346">
        <f>IF(OR(C183="",C183="TOPX",終値!E94=""),"",IFERROR(((終値!E94*0.333)+(終値!F94*0.222)+(終値!G94*0.148)+(終値!H94*0.099)+(終値!I94*0.066))/(0.333+0.222+0.148+0.099+0.066),""))</f>
        <v/>
      </c>
      <c r="AC183" s="346">
        <f>IF(OR(C183="",C183="TOPX",終値!E94=""),"",IFERROR(SUMPRODUCT((終値!E94:AC94)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3" s="345">
        <f>IF(OR(C183="",AB183="",AC183="",AB183=0,AC183=0),"",IF(AND(E183&gt;AB183,AB183&gt;AC183),"パーフェクト▲",IF(E183&gt;AC183,"上昇トレンド▲",IF(AND(E183&lt;AB183,AB183&lt;AC183),"下降トレンド▼","もみ合い→"))))</f>
        <v/>
      </c>
      <c r="AE183" s="345">
        <f>IF(OR(C183="",AB183="",AC183=""),"",IF(AND(ABS(E183-AC183)/AC183&lt;=0.02,E183&lt;AC183),"25日戻り売り★",IF(AND(ABS(E183-AB183)/AB183&lt;=0.01,E183&lt;AB183),"5日戻り売り○","なし")))</f>
        <v/>
      </c>
      <c r="AF183">
        <f>IF(T183="","",IF(銘柄管理!$F$5="上昇▲",IF(AND(AD183="下降トレンド▼",OR(AE183="25日戻り売り★",AE183="5日戻り売り○")),"★逆張り売り",IF(AND(AD183="もみ合い→",OR(AE183="25日戻り売り★",AE183="5日戻り売り○")),"○逆張り売り",IF(W183&gt;=70,IF(Z183&lt;0,"◎反落確認","△過熱・様子見"),"相場上昇・見送り"))),IF(AND(T183&gt;=12,AD183="下降トレンド▼"),"★強い売り",IF(T183&gt;=12,"★強い売り",IF(AND(T183&gt;=8,OR(AE183="25日戻り売り★",AE183="5日戻り売り○")),"◎戻り売り",IF(T183&gt;=10,"○売り候補",IF(T183&gt;=6,"△注目",IF(T183&gt;=3,"様子見","見送り"))))))))</f>
        <v/>
      </c>
      <c r="AG183">
        <f>IF(AND(T183&gt;=7,C183&lt;&gt;""),T183,0)</f>
        <v/>
      </c>
      <c r="AH183">
        <f>IF(AG183&gt;0,AG183*10000-ROW(A183),0)</f>
        <v/>
      </c>
      <c r="AI183" s="623">
        <f t="array" ref="AI183">IF(C183="","",IFERROR((INDEX(終値!$E:$E,MATCH(TEXT(C183,"0"),終値!$A:$A,0))-INDEX(終値!$E:$BL,MATCH(TEXT(C183,"0"),終値!$A:$A,0),$AN$2))/INDEX(終値!$E:$BL,MATCH(TEXT(C183,"0"),終値!$A:$A,0),$AN$2)*100,""))</f>
        <v/>
      </c>
      <c r="AJ183" s="623">
        <f t="array" ref="AJ183">IFERROR((終値!$E$5-INDEX(終値!$E$5:$BL$5,1,$AN$2))/INDEX(終値!$E$5:$BL$5,1,$AN$2)*100,"")</f>
        <v/>
      </c>
      <c r="AK183" s="624">
        <f>IF(OR(AI183="",AJ183=""),"",AI183-AJ183)</f>
        <v/>
      </c>
      <c r="AL183" s="394">
        <f>IF(AK183="","",IF(AK183&lt;-5,3,IF(AK183&lt;0,1,IF(AK183&lt;3,-1,-2))))</f>
        <v/>
      </c>
      <c r="AO183" s="398">
        <f>IF(OR($C183="",$E183="",$F183="",$H183="",$I183="",$H183-$I183&lt;=0),"-",IF(AND($H183-MAX($F183,$E183)&gt;=ABS($E183-$F183)*2,MIN($F183,$E183)-$I183&lt;=ABS($E183-$F183)*0.5,ABS($E183-$F183)&gt;0),"上ヒゲ陰線▼",IF(AND($E183&lt;$F183,ABS($E183-$F183)&gt;=($H183-$I183)*0.7),"大陰線▼",IF(AND(MIN($F183,$E183)-$I183&gt;=($H183-$I183)*0.5,$H183-MAX($F183,$E183)&lt;=($H183-$I183)*0.2),"長い下ヒゲ(反発警戒)","通常"))))</f>
        <v/>
      </c>
      <c r="AP183" s="625">
        <f>IF($AO183="上ヒゲ陰線▼",2,IF($AO183="大陰線▼",2,IF($AO183="長い下ヒゲ(反発警戒)",-2,0)))</f>
        <v/>
      </c>
      <c r="AQ183">
        <f>IF(C183&lt;&gt;"",始値!F94,"")</f>
        <v/>
      </c>
      <c r="AR183">
        <f>IF(C183&lt;&gt;"",高値!F94,"")</f>
        <v/>
      </c>
      <c r="AS183">
        <f>IF(C183&lt;&gt;"",安値!F94,"")</f>
        <v/>
      </c>
      <c r="AT183">
        <f>IF(OR(C183="",AQ183="",AR183="",AS183="",AR183-AS183&lt;=0),"-",IF(AND(AR183-MAX(G183,AQ183)&gt;=ABS(G183-AQ183)*2,MIN(G183,AQ183)-AS183&lt;=ABS(G183-AQ183)*0.5,ABS(G183-AQ183)&gt;0),"上ヒゲ陰線▼",IF(AND(G183&lt;AQ183,ABS(G183-AQ183)&gt;=(AR183-AS183)*0.7),"大陰線▼",IF(AND(MIN(G183,AQ183)-AS183&gt;=(AR183-AS183)*0.5,AR183-MAX(G183,AQ183)&lt;=(AR183-AS183)*0.2),"長い下ヒゲ(反発)","通常"))))</f>
        <v/>
      </c>
      <c r="AU183">
        <f>IF(AT183="上ヒゲ陰線▼",2,IF(AT183="大陰線▼",2,IF(AT183="長い下ヒゲ(反発)",-2,0)))</f>
        <v/>
      </c>
    </row>
    <row r="184" ht="14.25" customHeight="1" s="574">
      <c r="A184" s="352">
        <f>IF(銘柄管理!B99&lt;&gt;"",HYPERLINK("https://kabutan.jp/stock/?code="&amp;銘柄管理!B99,"株探"),"")</f>
        <v/>
      </c>
      <c r="B184" s="225" t="n"/>
      <c r="C184" s="225">
        <f>IF(銘柄管理!B99="","",銘柄管理!B99)</f>
        <v/>
      </c>
      <c r="D184" s="225">
        <f>IF(銘柄管理!C99="","",銘柄管理!C99)</f>
        <v/>
      </c>
      <c r="E184" s="353">
        <f>IF(C184&lt;&gt;"",_xll.RssMarket(C184,"現在値"),"")</f>
        <v/>
      </c>
      <c r="F184" s="353">
        <f>IF(C184&lt;&gt;"",_xll.RssMarket(C184,"始値"),"")</f>
        <v/>
      </c>
      <c r="G184" s="225">
        <f>IF(C184&lt;&gt;"",終値!F99,"")</f>
        <v/>
      </c>
      <c r="H184" s="353">
        <f>IF(C184&lt;&gt;"",_xll.RssMarket(C184,"高値"),"")</f>
        <v/>
      </c>
      <c r="I184" s="353">
        <f>IF(C184&lt;&gt;"",_xll.RssMarket(C184,"安値"),"")</f>
        <v/>
      </c>
      <c r="J184" s="353">
        <f>IF(C184&lt;&gt;"",_xll.RssMarket(C184,"出来高"),"")</f>
        <v/>
      </c>
      <c r="K184" s="353">
        <f>IF(C184&lt;&gt;"",_xll.RssMarket(C184,"年初来高値"),"")</f>
        <v/>
      </c>
      <c r="L184" s="626">
        <f>IF(AND(E184&lt;&gt;"",K184&lt;&gt;"",K184&lt;&gt;0),(E184-K184)/K184*100,"")</f>
        <v/>
      </c>
      <c r="M184" s="353">
        <f>IF(C184&lt;&gt;"",IFERROR(AVERAGE(出来高!E99:I99),""),"")</f>
        <v/>
      </c>
      <c r="N184" s="353">
        <f>IF(C184&lt;&gt;"",IFERROR(AVERAGE(出来高!E99:AC99),""),"")</f>
        <v/>
      </c>
      <c r="O184" s="627">
        <f>IF(AND(J184&lt;&gt;"",M184&lt;&gt;"",M184&lt;&gt;0),J184/M184,"")</f>
        <v/>
      </c>
      <c r="P184" s="225">
        <f>IF(O184="","",IF(O184&gt;=2,"急増↑↑",IF(O184&gt;=1.5,"増加↑",IF(O184&gt;=1,"普通→","減少↓"))))</f>
        <v/>
      </c>
      <c r="Q184" s="225">
        <f>IF(E184="","",IF(AND(E184&lt;G184,O184&gt;=1.5),"売り▼",IF(E184&gt;G184,"様子見▲","中立→")))</f>
        <v/>
      </c>
      <c r="R184" s="353">
        <f>IF(E184&lt;&gt;"",ROUND(E184*0.92,0),"")</f>
        <v/>
      </c>
      <c r="S184" s="353">
        <f>IF(E184&lt;&gt;"",ROUND(E184*1.04,0),"")</f>
        <v/>
      </c>
      <c r="T184" s="345">
        <f>IF(C184="","",IFERROR(IF(W184&gt;=70,3,IF(W184&gt;=60,2,IF(W184&gt;=50,1,0)))+IF(X184&lt;0,2,0)+IF(AD184="下降トレンド▼",3,IF(AD184="もみ合い→",1,0))+IF(V184="年初来安値圏●",3,IF(V184="安値圏",2,0))+IF(Q184="売り▼",2,0)+IF(P184="急増↑↑",2,IF(P184="増加↑",1,0))+IF(Z184&lt;0,1,0)+IF(L184&lt;=-30,2,IF(L184&lt;=-15,1,0))+IF(AE184="25日戻り売り★",2,IF(AE184="5日戻り売り○",1,0))+N(AL184)+N(AP184)+N(AU184),0))</f>
        <v/>
      </c>
      <c r="U184" s="225">
        <f>IF(T184="","",IF(AND(T184&gt;=3,O184&gt;=1.5),"有効",IF(T184&gt;=3,"要確認","除外")))</f>
        <v/>
      </c>
      <c r="V184" s="225">
        <f>IF(AND(I184&lt;&gt;"",K184&lt;&gt;""),IF(I184&lt;=K184*0.6,"年初来安値圏●",IF(I184&lt;=K184*0.75,"安値圏","通常")),"")</f>
        <v/>
      </c>
      <c r="W184" s="628">
        <f t="array" ref="W184">IFERROR(100-100/(1+SUMPRODUCT((終値!F99:R99&gt;終値!G99:S99)*(終値!F99:R99-終値!G99:S99))/SUMPRODUCT((終値!F99:R99&lt;終値!G99:S99)*(終値!G99:S99-終値!F99:R99))),50)</f>
        <v/>
      </c>
      <c r="X184" s="357">
        <f>IF(C184&lt;&gt;"",IFERROR(SUMPRODUCT(終値!E99:P99,{0.154,0.132,0.113,0.097,0.083,0.071,0.061,0.052,0.045,0.038,0.033,0.028})/SUMPRODUCT({0.154,0.132,0.113,0.097,0.083,0.071,0.061,0.052,0.045,0.038,0.033,0.028})-SUMPRODUCT(終値!E99:AD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4" s="225">
        <f>IF(AF184="","",AF184&amp;" | "&amp;AD184&amp;IF(AE184&lt;&gt;"なし"," "&amp;AE184,"")&amp;IF(X184&lt;0," MACD-"," MACD+")&amp;" RSI:"&amp;TEXT(W184,"0.0")&amp;IF(W184&gt;=70," [過熱]",IF(W184&lt;=30," [売られ過ぎ]",""))&amp;" 前日比:"&amp;TEXT(Z184,"+0.0;-0.0;0.0")&amp;"%"&amp;IF(V184="年初来安値圏●"," [年初来安値圏]",IF(V184="安値圏"," [安値圏]",""))&amp;IF(OR(AO184="通常",AO184="-"),""," ["&amp;AO184&amp;"]")&amp;IF(OR(AT184="通常",AT184="-"),"","前日["&amp;AT184&amp;"]")&amp;" ["&amp;T184&amp;"点]")</f>
        <v/>
      </c>
      <c r="Z184" s="629">
        <f>IF(AND(E184&lt;&gt;"",G184&lt;&gt;"",G184&lt;&gt;0),(E184-G184)/G184*100,"")</f>
        <v/>
      </c>
      <c r="AA184" s="225">
        <f>IF(OR(C184="",E184="",E184=0),"",IF(E184&gt;G184,"上昇▲",IF(E184&lt;G184,"下落▼","横ばい→")))</f>
        <v/>
      </c>
      <c r="AB184" s="353">
        <f>IF(OR(C184="",C184="TOPX",終値!E99=""),"",IFERROR(((終値!E99*0.333)+(終値!F99*0.222)+(終値!G99*0.148)+(終値!H99*0.099)+(終値!I99*0.066))/(0.333+0.222+0.148+0.099+0.066),""))</f>
        <v/>
      </c>
      <c r="AC184" s="353">
        <f>IF(OR(C184="",C184="TOPX",終値!E99=""),"",IFERROR(SUMPRODUCT((終値!E99:AC99)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4" s="225">
        <f>IF(OR(C184="",AB184="",AC184="",AB184=0,AC184=0),"",IF(AND(E184&gt;AB184,AB184&gt;AC184),"パーフェクト▲",IF(E184&gt;AC184,"上昇トレンド▲",IF(AND(E184&lt;AB184,AB184&lt;AC184),"下降トレンド▼","もみ合い→"))))</f>
        <v/>
      </c>
      <c r="AE184" s="225">
        <f>IF(OR(C184="",AB184="",AC184=""),"",IF(AND(ABS(E184-AC184)/AC184&lt;=0.02,E184&lt;AC184),"25日戻り売り★",IF(AND(ABS(E184-AB184)/AB184&lt;=0.01,E184&lt;AB184),"5日戻り売り○","なし")))</f>
        <v/>
      </c>
      <c r="AF184">
        <f>IF(T184="","",IF(銘柄管理!$F$5="上昇▲",IF(AND(AD184="下降トレンド▼",OR(AE184="25日戻り売り★",AE184="5日戻り売り○")),"★逆張り売り",IF(AND(AD184="もみ合い→",OR(AE184="25日戻り売り★",AE184="5日戻り売り○")),"○逆張り売り",IF(W184&gt;=70,IF(Z184&lt;0,"◎反落確認","△過熱・様子見"),"相場上昇・見送り"))),IF(AND(T184&gt;=12,AD184="下降トレンド▼"),"★強い売り",IF(T184&gt;=12,"★強い売り",IF(AND(T184&gt;=8,OR(AE184="25日戻り売り★",AE184="5日戻り売り○")),"◎戻り売り",IF(T184&gt;=10,"○売り候補",IF(T184&gt;=6,"△注目",IF(T184&gt;=3,"様子見","見送り"))))))))</f>
        <v/>
      </c>
      <c r="AG184">
        <f>IF(AND(T184&gt;=7,C184&lt;&gt;""),T184,0)</f>
        <v/>
      </c>
      <c r="AH184">
        <f>IF(AG184&gt;0,AG184*10000-ROW(A184),0)</f>
        <v/>
      </c>
      <c r="AI184" s="623">
        <f t="array" ref="AI184">IF(C184="","",IFERROR((INDEX(終値!$E:$E,MATCH(TEXT(C184,"0"),終値!$A:$A,0))-INDEX(終値!$E:$BL,MATCH(TEXT(C184,"0"),終値!$A:$A,0),$AN$2))/INDEX(終値!$E:$BL,MATCH(TEXT(C184,"0"),終値!$A:$A,0),$AN$2)*100,""))</f>
        <v/>
      </c>
      <c r="AJ184" s="623">
        <f t="array" ref="AJ184">IFERROR((終値!$E$5-INDEX(終値!$E$5:$BL$5,1,$AN$2))/INDEX(終値!$E$5:$BL$5,1,$AN$2)*100,"")</f>
        <v/>
      </c>
      <c r="AK184" s="624">
        <f>IF(OR(AI184="",AJ184=""),"",AI184-AJ184)</f>
        <v/>
      </c>
      <c r="AL184" s="394">
        <f>IF(AK184="","",IF(AK184&lt;-5,3,IF(AK184&lt;0,1,IF(AK184&lt;3,-1,-2))))</f>
        <v/>
      </c>
      <c r="AO184" s="398">
        <f>IF(OR($C184="",$E184="",$F184="",$H184="",$I184="",$H184-$I184&lt;=0),"-",IF(AND($H184-MAX($F184,$E184)&gt;=ABS($E184-$F184)*2,MIN($F184,$E184)-$I184&lt;=ABS($E184-$F184)*0.5,ABS($E184-$F184)&gt;0),"上ヒゲ陰線▼",IF(AND($E184&lt;$F184,ABS($E184-$F184)&gt;=($H184-$I184)*0.7),"大陰線▼",IF(AND(MIN($F184,$E184)-$I184&gt;=($H184-$I184)*0.5,$H184-MAX($F184,$E184)&lt;=($H184-$I184)*0.2),"長い下ヒゲ(反発警戒)","通常"))))</f>
        <v/>
      </c>
      <c r="AP184" s="625">
        <f>IF($AO184="上ヒゲ陰線▼",2,IF($AO184="大陰線▼",2,IF($AO184="長い下ヒゲ(反発警戒)",-2,0)))</f>
        <v/>
      </c>
      <c r="AQ184">
        <f>IF(C184&lt;&gt;"",始値!F99,"")</f>
        <v/>
      </c>
      <c r="AR184">
        <f>IF(C184&lt;&gt;"",高値!F99,"")</f>
        <v/>
      </c>
      <c r="AS184">
        <f>IF(C184&lt;&gt;"",安値!F99,"")</f>
        <v/>
      </c>
      <c r="AT184">
        <f>IF(OR(C184="",AQ184="",AR184="",AS184="",AR184-AS184&lt;=0),"-",IF(AND(AR184-MAX(G184,AQ184)&gt;=ABS(G184-AQ184)*2,MIN(G184,AQ184)-AS184&lt;=ABS(G184-AQ184)*0.5,ABS(G184-AQ184)&gt;0),"上ヒゲ陰線▼",IF(AND(G184&lt;AQ184,ABS(G184-AQ184)&gt;=(AR184-AS184)*0.7),"大陰線▼",IF(AND(MIN(G184,AQ184)-AS184&gt;=(AR184-AS184)*0.5,AR184-MAX(G184,AQ184)&lt;=(AR184-AS184)*0.2),"長い下ヒゲ(反発)","通常"))))</f>
        <v/>
      </c>
      <c r="AU184">
        <f>IF(AT184="上ヒゲ陰線▼",2,IF(AT184="大陰線▼",2,IF(AT184="長い下ヒゲ(反発)",-2,0)))</f>
        <v/>
      </c>
    </row>
    <row r="185" ht="14.25" customHeight="1" s="574">
      <c r="A185" s="344">
        <f>IF(銘柄管理!B108&lt;&gt;"",HYPERLINK("https://kabutan.jp/stock/?code="&amp;銘柄管理!B108,"株探"),"")</f>
        <v/>
      </c>
      <c r="B185" s="345" t="n"/>
      <c r="C185" s="345">
        <f>IF(銘柄管理!B108="","",銘柄管理!B108)</f>
        <v/>
      </c>
      <c r="D185" s="345">
        <f>IF(銘柄管理!C108="","",銘柄管理!C108)</f>
        <v/>
      </c>
      <c r="E185" s="346">
        <f>IF(C185&lt;&gt;"",_xll.RssMarket(C185,"現在値"),"")</f>
        <v/>
      </c>
      <c r="F185" s="346">
        <f>IF(C185&lt;&gt;"",_xll.RssMarket(C185,"始値"),"")</f>
        <v/>
      </c>
      <c r="G185" s="345">
        <f>IF(C185&lt;&gt;"",終値!F108,"")</f>
        <v/>
      </c>
      <c r="H185" s="346">
        <f>IF(C185&lt;&gt;"",_xll.RssMarket(C185,"高値"),"")</f>
        <v/>
      </c>
      <c r="I185" s="346">
        <f>IF(C185&lt;&gt;"",_xll.RssMarket(C185,"安値"),"")</f>
        <v/>
      </c>
      <c r="J185" s="346">
        <f>IF(C185&lt;&gt;"",_xll.RssMarket(C185,"出来高"),"")</f>
        <v/>
      </c>
      <c r="K185" s="346">
        <f>IF(C185&lt;&gt;"",_xll.RssMarket(C185,"年初来高値"),"")</f>
        <v/>
      </c>
      <c r="L185" s="619">
        <f>IF(AND(E185&lt;&gt;"",K185&lt;&gt;"",K185&lt;&gt;0),(E185-K185)/K185*100,"")</f>
        <v/>
      </c>
      <c r="M185" s="346">
        <f>IF(C185&lt;&gt;"",IFERROR(AVERAGE(出来高!E108:I108),""),"")</f>
        <v/>
      </c>
      <c r="N185" s="346">
        <f>IF(C185&lt;&gt;"",IFERROR(AVERAGE(出来高!E108:AC108),""),"")</f>
        <v/>
      </c>
      <c r="O185" s="620">
        <f>IF(AND(J185&lt;&gt;"",M185&lt;&gt;"",M185&lt;&gt;0),J185/M185,"")</f>
        <v/>
      </c>
      <c r="P185" s="345">
        <f>IF(O185="","",IF(O185&gt;=2,"急増↑↑",IF(O185&gt;=1.5,"増加↑",IF(O185&gt;=1,"普通→","減少↓"))))</f>
        <v/>
      </c>
      <c r="Q185" s="345">
        <f>IF(E185="","",IF(AND(E185&lt;G185,O185&gt;=1.5),"売り▼",IF(E185&gt;G185,"様子見▲","中立→")))</f>
        <v/>
      </c>
      <c r="R185" s="346">
        <f>IF(E185&lt;&gt;"",ROUND(E185*0.92,0),"")</f>
        <v/>
      </c>
      <c r="S185" s="346">
        <f>IF(E185&lt;&gt;"",ROUND(E185*1.04,0),"")</f>
        <v/>
      </c>
      <c r="T185" s="345">
        <f>IF(C185="","",IFERROR(IF(W185&gt;=70,3,IF(W185&gt;=60,2,IF(W185&gt;=50,1,0)))+IF(X185&lt;0,2,0)+IF(AD185="下降トレンド▼",3,IF(AD185="もみ合い→",1,0))+IF(V185="年初来安値圏●",3,IF(V185="安値圏",2,0))+IF(Q185="売り▼",2,0)+IF(P185="急増↑↑",2,IF(P185="増加↑",1,0))+IF(Z185&lt;0,1,0)+IF(L185&lt;=-30,2,IF(L185&lt;=-15,1,0))+IF(AE185="25日戻り売り★",2,IF(AE185="5日戻り売り○",1,0))+N(AL185)+N(AP185)+N(AU185),0))</f>
        <v/>
      </c>
      <c r="U185" s="345">
        <f>IF(T185="","",IF(AND(T185&gt;=3,O185&gt;=1.5),"有効",IF(T185&gt;=3,"要確認","除外")))</f>
        <v/>
      </c>
      <c r="V185" s="345">
        <f>IF(AND(I185&lt;&gt;"",K185&lt;&gt;""),IF(I185&lt;=K185*0.6,"年初来安値圏●",IF(I185&lt;=K185*0.75,"安値圏","通常")),"")</f>
        <v/>
      </c>
      <c r="W185" s="621">
        <f t="array" ref="W185">IFERROR(100-100/(1+SUMPRODUCT((終値!F108:R108&gt;終値!G108:S108)*(終値!F108:R108-終値!G108:S108))/SUMPRODUCT((終値!F108:R108&lt;終値!G108:S108)*(終値!G108:S108-終値!F108:R108))),50)</f>
        <v/>
      </c>
      <c r="X185" s="350">
        <f>IF(C185&lt;&gt;"",IFERROR(SUMPRODUCT(終値!E108:P108,{0.154,0.132,0.113,0.097,0.083,0.071,0.061,0.052,0.045,0.038,0.033,0.028})/SUMPRODUCT({0.154,0.132,0.113,0.097,0.083,0.071,0.061,0.052,0.045,0.038,0.033,0.028})-SUMPRODUCT(終値!E108:AD108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5" s="345">
        <f>IF(AF185="","",AF185&amp;" | "&amp;AD185&amp;IF(AE185&lt;&gt;"なし"," "&amp;AE185,"")&amp;IF(X185&lt;0," MACD-"," MACD+")&amp;" RSI:"&amp;TEXT(W185,"0.0")&amp;IF(W185&gt;=70," [過熱]",IF(W185&lt;=30," [売られ過ぎ]",""))&amp;" 前日比:"&amp;TEXT(Z185,"+0.0;-0.0;0.0")&amp;"%"&amp;IF(V185="年初来安値圏●"," [年初来安値圏]",IF(V185="安値圏"," [安値圏]",""))&amp;IF(OR(AO185="通常",AO185="-"),""," ["&amp;AO185&amp;"]")&amp;IF(OR(AT185="通常",AT185="-"),"","前日["&amp;AT185&amp;"]")&amp;" ["&amp;T185&amp;"点]")</f>
        <v/>
      </c>
      <c r="Z185" s="622">
        <f>IF(AND(E185&lt;&gt;"",G185&lt;&gt;"",G185&lt;&gt;0),(E185-G185)/G185*100,"")</f>
        <v/>
      </c>
      <c r="AA185" s="345">
        <f>IF(OR(C185="",E185="",E185=0),"",IF(E185&gt;G185,"上昇▲",IF(E185&lt;G185,"下落▼","横ばい→")))</f>
        <v/>
      </c>
      <c r="AB185" s="346">
        <f>IF(OR(C185="",C185="TOPX",終値!E108=""),"",IFERROR(((終値!E108*0.333)+(終値!F108*0.222)+(終値!G108*0.148)+(終値!H108*0.099)+(終値!I108*0.066))/(0.333+0.222+0.148+0.099+0.066),""))</f>
        <v/>
      </c>
      <c r="AC185" s="346">
        <f>IF(OR(C185="",C185="TOPX",終値!E108=""),"",IFERROR(SUMPRODUCT((終値!E108:AC108)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5" s="345">
        <f>IF(OR(C185="",AB185="",AC185="",AB185=0,AC185=0),"",IF(AND(E185&gt;AB185,AB185&gt;AC185),"パーフェクト▲",IF(E185&gt;AC185,"上昇トレンド▲",IF(AND(E185&lt;AB185,AB185&lt;AC185),"下降トレンド▼","もみ合い→"))))</f>
        <v/>
      </c>
      <c r="AE185" s="345">
        <f>IF(OR(C185="",AB185="",AC185=""),"",IF(AND(ABS(E185-AC185)/AC185&lt;=0.02,E185&lt;AC185),"25日戻り売り★",IF(AND(ABS(E185-AB185)/AB185&lt;=0.01,E185&lt;AB185),"5日戻り売り○","なし")))</f>
        <v/>
      </c>
      <c r="AF185">
        <f>IF(T185="","",IF(銘柄管理!$F$5="上昇▲",IF(AND(AD185="下降トレンド▼",OR(AE185="25日戻り売り★",AE185="5日戻り売り○")),"★逆張り売り",IF(AND(AD185="もみ合い→",OR(AE185="25日戻り売り★",AE185="5日戻り売り○")),"○逆張り売り",IF(W185&gt;=70,IF(Z185&lt;0,"◎反落確認","△過熱・様子見"),"相場上昇・見送り"))),IF(AND(T185&gt;=12,AD185="下降トレンド▼"),"★強い売り",IF(T185&gt;=12,"★強い売り",IF(AND(T185&gt;=8,OR(AE185="25日戻り売り★",AE185="5日戻り売り○")),"◎戻り売り",IF(T185&gt;=10,"○売り候補",IF(T185&gt;=6,"△注目",IF(T185&gt;=3,"様子見","見送り"))))))))</f>
        <v/>
      </c>
      <c r="AG185">
        <f>IF(AND(T185&gt;=7,C185&lt;&gt;""),T185,0)</f>
        <v/>
      </c>
      <c r="AH185">
        <f>IF(AG185&gt;0,AG185*10000-ROW(A185),0)</f>
        <v/>
      </c>
      <c r="AI185" s="623">
        <f t="array" ref="AI185">IF(C185="","",IFERROR((INDEX(終値!$E:$E,MATCH(TEXT(C185,"0"),終値!$A:$A,0))-INDEX(終値!$E:$BL,MATCH(TEXT(C185,"0"),終値!$A:$A,0),$AN$2))/INDEX(終値!$E:$BL,MATCH(TEXT(C185,"0"),終値!$A:$A,0),$AN$2)*100,""))</f>
        <v/>
      </c>
      <c r="AJ185" s="623">
        <f t="array" ref="AJ185">IFERROR((終値!$E$5-INDEX(終値!$E$5:$BL$5,1,$AN$2))/INDEX(終値!$E$5:$BL$5,1,$AN$2)*100,"")</f>
        <v/>
      </c>
      <c r="AK185" s="624">
        <f>IF(OR(AI185="",AJ185=""),"",AI185-AJ185)</f>
        <v/>
      </c>
      <c r="AL185" s="394">
        <f>IF(AK185="","",IF(AK185&lt;-5,3,IF(AK185&lt;0,1,IF(AK185&lt;3,-1,-2))))</f>
        <v/>
      </c>
      <c r="AO185" s="398">
        <f>IF(OR($C185="",$E185="",$F185="",$H185="",$I185="",$H185-$I185&lt;=0),"-",IF(AND($H185-MAX($F185,$E185)&gt;=ABS($E185-$F185)*2,MIN($F185,$E185)-$I185&lt;=ABS($E185-$F185)*0.5,ABS($E185-$F185)&gt;0),"上ヒゲ陰線▼",IF(AND($E185&lt;$F185,ABS($E185-$F185)&gt;=($H185-$I185)*0.7),"大陰線▼",IF(AND(MIN($F185,$E185)-$I185&gt;=($H185-$I185)*0.5,$H185-MAX($F185,$E185)&lt;=($H185-$I185)*0.2),"長い下ヒゲ(反発警戒)","通常"))))</f>
        <v/>
      </c>
      <c r="AP185" s="625">
        <f>IF($AO185="上ヒゲ陰線▼",2,IF($AO185="大陰線▼",2,IF($AO185="長い下ヒゲ(反発警戒)",-2,0)))</f>
        <v/>
      </c>
      <c r="AQ185">
        <f>IF(C185&lt;&gt;"",始値!F108,"")</f>
        <v/>
      </c>
      <c r="AR185">
        <f>IF(C185&lt;&gt;"",高値!F108,"")</f>
        <v/>
      </c>
      <c r="AS185">
        <f>IF(C185&lt;&gt;"",安値!F108,"")</f>
        <v/>
      </c>
      <c r="AT185">
        <f>IF(OR(C185="",AQ185="",AR185="",AS185="",AR185-AS185&lt;=0),"-",IF(AND(AR185-MAX(G185,AQ185)&gt;=ABS(G185-AQ185)*2,MIN(G185,AQ185)-AS185&lt;=ABS(G185-AQ185)*0.5,ABS(G185-AQ185)&gt;0),"上ヒゲ陰線▼",IF(AND(G185&lt;AQ185,ABS(G185-AQ185)&gt;=(AR185-AS185)*0.7),"大陰線▼",IF(AND(MIN(G185,AQ185)-AS185&gt;=(AR185-AS185)*0.5,AR185-MAX(G185,AQ185)&lt;=(AR185-AS185)*0.2),"長い下ヒゲ(反発)","通常"))))</f>
        <v/>
      </c>
      <c r="AU185">
        <f>IF(AT185="上ヒゲ陰線▼",2,IF(AT185="大陰線▼",2,IF(AT185="長い下ヒゲ(反発)",-2,0)))</f>
        <v/>
      </c>
    </row>
    <row r="186" ht="14.25" customHeight="1" s="574">
      <c r="A186" s="352">
        <f>IF(銘柄管理!B128&lt;&gt;"",HYPERLINK("https://kabutan.jp/stock/?code="&amp;銘柄管理!B128,"株探"),"")</f>
        <v/>
      </c>
      <c r="B186" s="225" t="n"/>
      <c r="C186" s="225">
        <f>IF(銘柄管理!B128="","",銘柄管理!B128)</f>
        <v/>
      </c>
      <c r="D186" s="225">
        <f>IF(銘柄管理!C128="","",銘柄管理!C128)</f>
        <v/>
      </c>
      <c r="E186" s="353">
        <f>IF(C186&lt;&gt;"",_xll.RssMarket(C186,"現在値"),"")</f>
        <v/>
      </c>
      <c r="F186" s="353">
        <f>IF(C186&lt;&gt;"",_xll.RssMarket(C186,"始値"),"")</f>
        <v/>
      </c>
      <c r="G186" s="225">
        <f>IF(C186&lt;&gt;"",終値!F128,"")</f>
        <v/>
      </c>
      <c r="H186" s="353">
        <f>IF(C186&lt;&gt;"",_xll.RssMarket(C186,"高値"),"")</f>
        <v/>
      </c>
      <c r="I186" s="353">
        <f>IF(C186&lt;&gt;"",_xll.RssMarket(C186,"安値"),"")</f>
        <v/>
      </c>
      <c r="J186" s="353">
        <f>IF(C186&lt;&gt;"",_xll.RssMarket(C186,"出来高"),"")</f>
        <v/>
      </c>
      <c r="K186" s="353">
        <f>IF(C186&lt;&gt;"",_xll.RssMarket(C186,"年初来高値"),"")</f>
        <v/>
      </c>
      <c r="L186" s="626">
        <f>IF(AND(E186&lt;&gt;"",K186&lt;&gt;"",K186&lt;&gt;0),(E186-K186)/K186*100,"")</f>
        <v/>
      </c>
      <c r="M186" s="353">
        <f>IF(C186&lt;&gt;"",IFERROR(AVERAGE(出来高!E128:I128),""),"")</f>
        <v/>
      </c>
      <c r="N186" s="353">
        <f>IF(C186&lt;&gt;"",IFERROR(AVERAGE(出来高!E128:AC128),""),"")</f>
        <v/>
      </c>
      <c r="O186" s="627">
        <f>IF(AND(J186&lt;&gt;"",M186&lt;&gt;"",M186&lt;&gt;0),J186/M186,"")</f>
        <v/>
      </c>
      <c r="P186" s="225">
        <f>IF(O186="","",IF(O186&gt;=2,"急増↑↑",IF(O186&gt;=1.5,"増加↑",IF(O186&gt;=1,"普通→","減少↓"))))</f>
        <v/>
      </c>
      <c r="Q186" s="225">
        <f>IF(E186="","",IF(AND(E186&lt;G186,O186&gt;=1.5),"売り▼",IF(E186&gt;G186,"様子見▲","中立→")))</f>
        <v/>
      </c>
      <c r="R186" s="353">
        <f>IF(E186&lt;&gt;"",ROUND(E186*0.92,0),"")</f>
        <v/>
      </c>
      <c r="S186" s="353">
        <f>IF(E186&lt;&gt;"",ROUND(E186*1.04,0),"")</f>
        <v/>
      </c>
      <c r="T186" s="345">
        <f>IF(C186="","",IFERROR(IF(W186&gt;=70,3,IF(W186&gt;=60,2,IF(W186&gt;=50,1,0)))+IF(X186&lt;0,2,0)+IF(AD186="下降トレンド▼",3,IF(AD186="もみ合い→",1,0))+IF(V186="年初来安値圏●",3,IF(V186="安値圏",2,0))+IF(Q186="売り▼",2,0)+IF(P186="急増↑↑",2,IF(P186="増加↑",1,0))+IF(Z186&lt;0,1,0)+IF(L186&lt;=-30,2,IF(L186&lt;=-15,1,0))+IF(AE186="25日戻り売り★",2,IF(AE186="5日戻り売り○",1,0))+N(AL186)+N(AP186)+N(AU186),0))</f>
        <v/>
      </c>
      <c r="U186" s="225">
        <f>IF(T186="","",IF(AND(T186&gt;=3,O186&gt;=1.5),"有効",IF(T186&gt;=3,"要確認","除外")))</f>
        <v/>
      </c>
      <c r="V186" s="225">
        <f>IF(AND(I186&lt;&gt;"",K186&lt;&gt;""),IF(I186&lt;=K186*0.6,"年初来安値圏●",IF(I186&lt;=K186*0.75,"安値圏","通常")),"")</f>
        <v/>
      </c>
      <c r="W186" s="628">
        <f t="array" ref="W186">IFERROR(100-100/(1+SUMPRODUCT((終値!F128:R128&gt;終値!G128:S128)*(終値!F128:R128-終値!G128:S128))/SUMPRODUCT((終値!F128:R128&lt;終値!G128:S128)*(終値!G128:S128-終値!F128:R128))),50)</f>
        <v/>
      </c>
      <c r="X186" s="357">
        <f>IF(C186&lt;&gt;"",IFERROR(SUMPRODUCT(終値!E128:P128,{0.154,0.132,0.113,0.097,0.083,0.071,0.061,0.052,0.045,0.038,0.033,0.028})/SUMPRODUCT({0.154,0.132,0.113,0.097,0.083,0.071,0.061,0.052,0.045,0.038,0.033,0.028})-SUMPRODUCT(終値!E128:AD128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6" s="225">
        <f>IF(AF186="","",AF186&amp;" | "&amp;AD186&amp;IF(AE186&lt;&gt;"なし"," "&amp;AE186,"")&amp;IF(X186&lt;0," MACD-"," MACD+")&amp;" RSI:"&amp;TEXT(W186,"0.0")&amp;IF(W186&gt;=70," [過熱]",IF(W186&lt;=30," [売られ過ぎ]",""))&amp;" 前日比:"&amp;TEXT(Z186,"+0.0;-0.0;0.0")&amp;"%"&amp;IF(V186="年初来安値圏●"," [年初来安値圏]",IF(V186="安値圏"," [安値圏]",""))&amp;IF(OR(AO186="通常",AO186="-"),""," ["&amp;AO186&amp;"]")&amp;IF(OR(AT186="通常",AT186="-"),"","前日["&amp;AT186&amp;"]")&amp;" ["&amp;T186&amp;"点]")</f>
        <v/>
      </c>
      <c r="Z186" s="629">
        <f>IF(AND(E186&lt;&gt;"",G186&lt;&gt;"",G186&lt;&gt;0),(E186-G186)/G186*100,"")</f>
        <v/>
      </c>
      <c r="AA186" s="225">
        <f>IF(OR(C186="",E186="",E186=0),"",IF(E186&gt;G186,"上昇▲",IF(E186&lt;G186,"下落▼","横ばい→")))</f>
        <v/>
      </c>
      <c r="AB186" s="353">
        <f>IF(OR(C186="",C186="TOPX",終値!E128=""),"",IFERROR(((終値!E128*0.333)+(終値!F128*0.222)+(終値!G128*0.148)+(終値!H128*0.099)+(終値!I128*0.066))/(0.333+0.222+0.148+0.099+0.066),""))</f>
        <v/>
      </c>
      <c r="AC186" s="353">
        <f>IF(OR(C186="",C186="TOPX",終値!E128=""),"",IFERROR(SUMPRODUCT((終値!E128:AC128)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6" s="225">
        <f>IF(OR(C186="",AB186="",AC186="",AB186=0,AC186=0),"",IF(AND(E186&gt;AB186,AB186&gt;AC186),"パーフェクト▲",IF(E186&gt;AC186,"上昇トレンド▲",IF(AND(E186&lt;AB186,AB186&lt;AC186),"下降トレンド▼","もみ合い→"))))</f>
        <v/>
      </c>
      <c r="AE186" s="225">
        <f>IF(OR(C186="",AB186="",AC186=""),"",IF(AND(ABS(E186-AC186)/AC186&lt;=0.02,E186&lt;AC186),"25日戻り売り★",IF(AND(ABS(E186-AB186)/AB186&lt;=0.01,E186&lt;AB186),"5日戻り売り○","なし")))</f>
        <v/>
      </c>
      <c r="AF186">
        <f>IF(T186="","",IF(銘柄管理!$F$5="上昇▲",IF(AND(AD186="下降トレンド▼",OR(AE186="25日戻り売り★",AE186="5日戻り売り○")),"★逆張り売り",IF(AND(AD186="もみ合い→",OR(AE186="25日戻り売り★",AE186="5日戻り売り○")),"○逆張り売り",IF(W186&gt;=70,IF(Z186&lt;0,"◎反落確認","△過熱・様子見"),"相場上昇・見送り"))),IF(AND(T186&gt;=12,AD186="下降トレンド▼"),"★強い売り",IF(T186&gt;=12,"★強い売り",IF(AND(T186&gt;=8,OR(AE186="25日戻り売り★",AE186="5日戻り売り○")),"◎戻り売り",IF(T186&gt;=10,"○売り候補",IF(T186&gt;=6,"△注目",IF(T186&gt;=3,"様子見","見送り"))))))))</f>
        <v/>
      </c>
      <c r="AG186">
        <f>IF(AND(T186&gt;=7,C186&lt;&gt;""),T186,0)</f>
        <v/>
      </c>
      <c r="AH186">
        <f>IF(AG186&gt;0,AG186*10000-ROW(A186),0)</f>
        <v/>
      </c>
      <c r="AI186" s="623">
        <f t="array" ref="AI186">IF(C186="","",IFERROR((INDEX(終値!$E:$E,MATCH(TEXT(C186,"0"),終値!$A:$A,0))-INDEX(終値!$E:$BL,MATCH(TEXT(C186,"0"),終値!$A:$A,0),$AN$2))/INDEX(終値!$E:$BL,MATCH(TEXT(C186,"0"),終値!$A:$A,0),$AN$2)*100,""))</f>
        <v/>
      </c>
      <c r="AJ186" s="623">
        <f t="array" ref="AJ186">IFERROR((終値!$E$5-INDEX(終値!$E$5:$BL$5,1,$AN$2))/INDEX(終値!$E$5:$BL$5,1,$AN$2)*100,"")</f>
        <v/>
      </c>
      <c r="AK186" s="624">
        <f>IF(OR(AI186="",AJ186=""),"",AI186-AJ186)</f>
        <v/>
      </c>
      <c r="AL186" s="394">
        <f>IF(AK186="","",IF(AK186&lt;-5,3,IF(AK186&lt;0,1,IF(AK186&lt;3,-1,-2))))</f>
        <v/>
      </c>
      <c r="AO186" s="398">
        <f>IF(OR($C186="",$E186="",$F186="",$H186="",$I186="",$H186-$I186&lt;=0),"-",IF(AND($H186-MAX($F186,$E186)&gt;=ABS($E186-$F186)*2,MIN($F186,$E186)-$I186&lt;=ABS($E186-$F186)*0.5,ABS($E186-$F186)&gt;0),"上ヒゲ陰線▼",IF(AND($E186&lt;$F186,ABS($E186-$F186)&gt;=($H186-$I186)*0.7),"大陰線▼",IF(AND(MIN($F186,$E186)-$I186&gt;=($H186-$I186)*0.5,$H186-MAX($F186,$E186)&lt;=($H186-$I186)*0.2),"長い下ヒゲ(反発警戒)","通常"))))</f>
        <v/>
      </c>
      <c r="AP186" s="625">
        <f>IF($AO186="上ヒゲ陰線▼",2,IF($AO186="大陰線▼",2,IF($AO186="長い下ヒゲ(反発警戒)",-2,0)))</f>
        <v/>
      </c>
      <c r="AQ186">
        <f>IF(C186&lt;&gt;"",始値!F128,"")</f>
        <v/>
      </c>
      <c r="AR186">
        <f>IF(C186&lt;&gt;"",高値!F128,"")</f>
        <v/>
      </c>
      <c r="AS186">
        <f>IF(C186&lt;&gt;"",安値!F128,"")</f>
        <v/>
      </c>
      <c r="AT186">
        <f>IF(OR(C186="",AQ186="",AR186="",AS186="",AR186-AS186&lt;=0),"-",IF(AND(AR186-MAX(G186,AQ186)&gt;=ABS(G186-AQ186)*2,MIN(G186,AQ186)-AS186&lt;=ABS(G186-AQ186)*0.5,ABS(G186-AQ186)&gt;0),"上ヒゲ陰線▼",IF(AND(G186&lt;AQ186,ABS(G186-AQ186)&gt;=(AR186-AS186)*0.7),"大陰線▼",IF(AND(MIN(G186,AQ186)-AS186&gt;=(AR186-AS186)*0.5,AR186-MAX(G186,AQ186)&lt;=(AR186-AS186)*0.2),"長い下ヒゲ(反発)","通常"))))</f>
        <v/>
      </c>
      <c r="AU186">
        <f>IF(AT186="上ヒゲ陰線▼",2,IF(AT186="大陰線▼",2,IF(AT186="長い下ヒゲ(反発)",-2,0)))</f>
        <v/>
      </c>
    </row>
    <row r="187" ht="14.25" customHeight="1" s="574">
      <c r="A187" s="344">
        <f>IF(銘柄管理!B131&lt;&gt;"",HYPERLINK("https://kabutan.jp/stock/?code="&amp;銘柄管理!B131,"株探"),"")</f>
        <v/>
      </c>
      <c r="B187" s="345" t="n"/>
      <c r="C187" s="345">
        <f>IF(銘柄管理!B131="","",銘柄管理!B131)</f>
        <v/>
      </c>
      <c r="D187" s="345">
        <f>IF(銘柄管理!C131="","",銘柄管理!C131)</f>
        <v/>
      </c>
      <c r="E187" s="346">
        <f>IF(C187&lt;&gt;"",_xll.RssMarket(C187,"現在値"),"")</f>
        <v/>
      </c>
      <c r="F187" s="346">
        <f>IF(C187&lt;&gt;"",_xll.RssMarket(C187,"始値"),"")</f>
        <v/>
      </c>
      <c r="G187" s="345">
        <f>IF(C187&lt;&gt;"",終値!F131,"")</f>
        <v/>
      </c>
      <c r="H187" s="346">
        <f>IF(C187&lt;&gt;"",_xll.RssMarket(C187,"高値"),"")</f>
        <v/>
      </c>
      <c r="I187" s="346">
        <f>IF(C187&lt;&gt;"",_xll.RssMarket(C187,"安値"),"")</f>
        <v/>
      </c>
      <c r="J187" s="346">
        <f>IF(C187&lt;&gt;"",_xll.RssMarket(C187,"出来高"),"")</f>
        <v/>
      </c>
      <c r="K187" s="346">
        <f>IF(C187&lt;&gt;"",_xll.RssMarket(C187,"年初来高値"),"")</f>
        <v/>
      </c>
      <c r="L187" s="619">
        <f>IF(AND(E187&lt;&gt;"",K187&lt;&gt;"",K187&lt;&gt;0),(E187-K187)/K187*100,"")</f>
        <v/>
      </c>
      <c r="M187" s="346">
        <f>IF(C187&lt;&gt;"",IFERROR(AVERAGE(出来高!E131:I131),""),"")</f>
        <v/>
      </c>
      <c r="N187" s="346">
        <f>IF(C187&lt;&gt;"",IFERROR(AVERAGE(出来高!E131:AC131),""),"")</f>
        <v/>
      </c>
      <c r="O187" s="620">
        <f>IF(AND(J187&lt;&gt;"",M187&lt;&gt;"",M187&lt;&gt;0),J187/M187,"")</f>
        <v/>
      </c>
      <c r="P187" s="345">
        <f>IF(O187="","",IF(O187&gt;=2,"急増↑↑",IF(O187&gt;=1.5,"増加↑",IF(O187&gt;=1,"普通→","減少↓"))))</f>
        <v/>
      </c>
      <c r="Q187" s="345">
        <f>IF(E187="","",IF(AND(E187&lt;G187,O187&gt;=1.5),"売り▼",IF(E187&gt;G187,"様子見▲","中立→")))</f>
        <v/>
      </c>
      <c r="R187" s="346">
        <f>IF(E187&lt;&gt;"",ROUND(E187*0.92,0),"")</f>
        <v/>
      </c>
      <c r="S187" s="346">
        <f>IF(E187&lt;&gt;"",ROUND(E187*1.04,0),"")</f>
        <v/>
      </c>
      <c r="T187" s="345">
        <f>IF(C187="","",IFERROR(IF(W187&gt;=70,3,IF(W187&gt;=60,2,IF(W187&gt;=50,1,0)))+IF(X187&lt;0,2,0)+IF(AD187="下降トレンド▼",3,IF(AD187="もみ合い→",1,0))+IF(V187="年初来安値圏●",3,IF(V187="安値圏",2,0))+IF(Q187="売り▼",2,0)+IF(P187="急増↑↑",2,IF(P187="増加↑",1,0))+IF(Z187&lt;0,1,0)+IF(L187&lt;=-30,2,IF(L187&lt;=-15,1,0))+IF(AE187="25日戻り売り★",2,IF(AE187="5日戻り売り○",1,0))+N(AL187)+N(AP187)+N(AU187),0))</f>
        <v/>
      </c>
      <c r="U187" s="345">
        <f>IF(T187="","",IF(AND(T187&gt;=3,O187&gt;=1.5),"有効",IF(T187&gt;=3,"要確認","除外")))</f>
        <v/>
      </c>
      <c r="V187" s="345">
        <f>IF(AND(I187&lt;&gt;"",K187&lt;&gt;""),IF(I187&lt;=K187*0.6,"年初来安値圏●",IF(I187&lt;=K187*0.75,"安値圏","通常")),"")</f>
        <v/>
      </c>
      <c r="W187" s="621">
        <f t="array" ref="W187">IFERROR(100-100/(1+SUMPRODUCT((終値!F131:R131&gt;終値!G131:S131)*(終値!F131:R131-終値!G131:S131))/SUMPRODUCT((終値!F131:R131&lt;終値!G131:S131)*(終値!G131:S131-終値!F131:R131))),50)</f>
        <v/>
      </c>
      <c r="X187" s="350">
        <f>IF(C187&lt;&gt;"",IFERROR(SUMPRODUCT(終値!E131:P131,{0.154,0.132,0.113,0.097,0.083,0.071,0.061,0.052,0.045,0.038,0.033,0.028})/SUMPRODUCT({0.154,0.132,0.113,0.097,0.083,0.071,0.061,0.052,0.045,0.038,0.033,0.028})-SUMPRODUCT(終値!E131:AD131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7" s="345">
        <f>IF(AF187="","",AF187&amp;" | "&amp;AD187&amp;IF(AE187&lt;&gt;"なし"," "&amp;AE187,"")&amp;IF(X187&lt;0," MACD-"," MACD+")&amp;" RSI:"&amp;TEXT(W187,"0.0")&amp;IF(W187&gt;=70," [過熱]",IF(W187&lt;=30," [売られ過ぎ]",""))&amp;" 前日比:"&amp;TEXT(Z187,"+0.0;-0.0;0.0")&amp;"%"&amp;IF(V187="年初来安値圏●"," [年初来安値圏]",IF(V187="安値圏"," [安値圏]",""))&amp;IF(OR(AO187="通常",AO187="-"),""," ["&amp;AO187&amp;"]")&amp;IF(OR(AT187="通常",AT187="-"),"","前日["&amp;AT187&amp;"]")&amp;" ["&amp;T187&amp;"点]")</f>
        <v/>
      </c>
      <c r="Z187" s="622">
        <f>IF(AND(E187&lt;&gt;"",G187&lt;&gt;"",G187&lt;&gt;0),(E187-G187)/G187*100,"")</f>
        <v/>
      </c>
      <c r="AA187" s="345">
        <f>IF(OR(C187="",E187="",E187=0),"",IF(E187&gt;G187,"上昇▲",IF(E187&lt;G187,"下落▼","横ばい→")))</f>
        <v/>
      </c>
      <c r="AB187" s="346">
        <f>IF(OR(C187="",C187="TOPX",終値!E131=""),"",IFERROR(((終値!E131*0.333)+(終値!F131*0.222)+(終値!G131*0.148)+(終値!H131*0.099)+(終値!I131*0.066))/(0.333+0.222+0.148+0.099+0.066),""))</f>
        <v/>
      </c>
      <c r="AC187" s="346">
        <f>IF(OR(C187="",C187="TOPX",終値!E131=""),"",IFERROR(SUMPRODUCT((終値!E131:AC131)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7" s="345">
        <f>IF(OR(C187="",AB187="",AC187="",AB187=0,AC187=0),"",IF(AND(E187&gt;AB187,AB187&gt;AC187),"パーフェクト▲",IF(E187&gt;AC187,"上昇トレンド▲",IF(AND(E187&lt;AB187,AB187&lt;AC187),"下降トレンド▼","もみ合い→"))))</f>
        <v/>
      </c>
      <c r="AE187" s="345">
        <f>IF(OR(C187="",AB187="",AC187=""),"",IF(AND(ABS(E187-AC187)/AC187&lt;=0.02,E187&lt;AC187),"25日戻り売り★",IF(AND(ABS(E187-AB187)/AB187&lt;=0.01,E187&lt;AB187),"5日戻り売り○","なし")))</f>
        <v/>
      </c>
      <c r="AF187">
        <f>IF(T187="","",IF(銘柄管理!$F$5="上昇▲",IF(AND(AD187="下降トレンド▼",OR(AE187="25日戻り売り★",AE187="5日戻り売り○")),"★逆張り売り",IF(AND(AD187="もみ合い→",OR(AE187="25日戻り売り★",AE187="5日戻り売り○")),"○逆張り売り",IF(W187&gt;=70,IF(Z187&lt;0,"◎反落確認","△過熱・様子見"),"相場上昇・見送り"))),IF(AND(T187&gt;=12,AD187="下降トレンド▼"),"★強い売り",IF(T187&gt;=12,"★強い売り",IF(AND(T187&gt;=8,OR(AE187="25日戻り売り★",AE187="5日戻り売り○")),"◎戻り売り",IF(T187&gt;=10,"○売り候補",IF(T187&gt;=6,"△注目",IF(T187&gt;=3,"様子見","見送り"))))))))</f>
        <v/>
      </c>
      <c r="AG187">
        <f>IF(AND(T187&gt;=7,C187&lt;&gt;""),T187,0)</f>
        <v/>
      </c>
      <c r="AH187">
        <f>IF(AG187&gt;0,AG187*10000-ROW(A187),0)</f>
        <v/>
      </c>
      <c r="AI187" s="623">
        <f t="array" ref="AI187">IF(C187="","",IFERROR((INDEX(終値!$E:$E,MATCH(TEXT(C187,"0"),終値!$A:$A,0))-INDEX(終値!$E:$BL,MATCH(TEXT(C187,"0"),終値!$A:$A,0),$AN$2))/INDEX(終値!$E:$BL,MATCH(TEXT(C187,"0"),終値!$A:$A,0),$AN$2)*100,""))</f>
        <v/>
      </c>
      <c r="AJ187" s="623">
        <f t="array" ref="AJ187">IFERROR((終値!$E$5-INDEX(終値!$E$5:$BL$5,1,$AN$2))/INDEX(終値!$E$5:$BL$5,1,$AN$2)*100,"")</f>
        <v/>
      </c>
      <c r="AK187" s="624">
        <f>IF(OR(AI187="",AJ187=""),"",AI187-AJ187)</f>
        <v/>
      </c>
      <c r="AL187" s="394">
        <f>IF(AK187="","",IF(AK187&lt;-5,3,IF(AK187&lt;0,1,IF(AK187&lt;3,-1,-2))))</f>
        <v/>
      </c>
      <c r="AO187" s="398">
        <f>IF(OR($C187="",$E187="",$F187="",$H187="",$I187="",$H187-$I187&lt;=0),"-",IF(AND($H187-MAX($F187,$E187)&gt;=ABS($E187-$F187)*2,MIN($F187,$E187)-$I187&lt;=ABS($E187-$F187)*0.5,ABS($E187-$F187)&gt;0),"上ヒゲ陰線▼",IF(AND($E187&lt;$F187,ABS($E187-$F187)&gt;=($H187-$I187)*0.7),"大陰線▼",IF(AND(MIN($F187,$E187)-$I187&gt;=($H187-$I187)*0.5,$H187-MAX($F187,$E187)&lt;=($H187-$I187)*0.2),"長い下ヒゲ(反発警戒)","通常"))))</f>
        <v/>
      </c>
      <c r="AP187" s="625">
        <f>IF($AO187="上ヒゲ陰線▼",2,IF($AO187="大陰線▼",2,IF($AO187="長い下ヒゲ(反発警戒)",-2,0)))</f>
        <v/>
      </c>
      <c r="AQ187">
        <f>IF(C187&lt;&gt;"",始値!F131,"")</f>
        <v/>
      </c>
      <c r="AR187">
        <f>IF(C187&lt;&gt;"",高値!F131,"")</f>
        <v/>
      </c>
      <c r="AS187">
        <f>IF(C187&lt;&gt;"",安値!F131,"")</f>
        <v/>
      </c>
      <c r="AT187">
        <f>IF(OR(C187="",AQ187="",AR187="",AS187="",AR187-AS187&lt;=0),"-",IF(AND(AR187-MAX(G187,AQ187)&gt;=ABS(G187-AQ187)*2,MIN(G187,AQ187)-AS187&lt;=ABS(G187-AQ187)*0.5,ABS(G187-AQ187)&gt;0),"上ヒゲ陰線▼",IF(AND(G187&lt;AQ187,ABS(G187-AQ187)&gt;=(AR187-AS187)*0.7),"大陰線▼",IF(AND(MIN(G187,AQ187)-AS187&gt;=(AR187-AS187)*0.5,AR187-MAX(G187,AQ187)&lt;=(AR187-AS187)*0.2),"長い下ヒゲ(反発)","通常"))))</f>
        <v/>
      </c>
      <c r="AU187">
        <f>IF(AT187="上ヒゲ陰線▼",2,IF(AT187="大陰線▼",2,IF(AT187="長い下ヒゲ(反発)",-2,0)))</f>
        <v/>
      </c>
    </row>
    <row r="188" ht="14.25" customHeight="1" s="574">
      <c r="A188" s="352">
        <f>IF(銘柄管理!B139&lt;&gt;"",HYPERLINK("https://kabutan.jp/stock/?code="&amp;銘柄管理!B139,"株探"),"")</f>
        <v/>
      </c>
      <c r="B188" s="225" t="n"/>
      <c r="C188" s="225">
        <f>IF(銘柄管理!B139="","",銘柄管理!B139)</f>
        <v/>
      </c>
      <c r="D188" s="225">
        <f>IF(銘柄管理!C139="","",銘柄管理!C139)</f>
        <v/>
      </c>
      <c r="E188" s="353">
        <f>IF(C188&lt;&gt;"",_xll.RssMarket(C188,"現在値"),"")</f>
        <v/>
      </c>
      <c r="F188" s="353">
        <f>IF(C188&lt;&gt;"",_xll.RssMarket(C188,"始値"),"")</f>
        <v/>
      </c>
      <c r="G188" s="225">
        <f>IF(C188&lt;&gt;"",終値!F139,"")</f>
        <v/>
      </c>
      <c r="H188" s="353">
        <f>IF(C188&lt;&gt;"",_xll.RssMarket(C188,"高値"),"")</f>
        <v/>
      </c>
      <c r="I188" s="353">
        <f>IF(C188&lt;&gt;"",_xll.RssMarket(C188,"安値"),"")</f>
        <v/>
      </c>
      <c r="J188" s="353">
        <f>IF(C188&lt;&gt;"",_xll.RssMarket(C188,"出来高"),"")</f>
        <v/>
      </c>
      <c r="K188" s="353">
        <f>IF(C188&lt;&gt;"",_xll.RssMarket(C188,"年初来高値"),"")</f>
        <v/>
      </c>
      <c r="L188" s="626">
        <f>IF(AND(E188&lt;&gt;"",K188&lt;&gt;"",K188&lt;&gt;0),(E188-K188)/K188*100,"")</f>
        <v/>
      </c>
      <c r="M188" s="353">
        <f>IF(C188&lt;&gt;"",IFERROR(AVERAGE(出来高!E139:I139),""),"")</f>
        <v/>
      </c>
      <c r="N188" s="353">
        <f>IF(C188&lt;&gt;"",IFERROR(AVERAGE(出来高!E139:AC139),""),"")</f>
        <v/>
      </c>
      <c r="O188" s="627">
        <f>IF(AND(J188&lt;&gt;"",M188&lt;&gt;"",M188&lt;&gt;0),J188/M188,"")</f>
        <v/>
      </c>
      <c r="P188" s="225">
        <f>IF(O188="","",IF(O188&gt;=2,"急増↑↑",IF(O188&gt;=1.5,"増加↑",IF(O188&gt;=1,"普通→","減少↓"))))</f>
        <v/>
      </c>
      <c r="Q188" s="225">
        <f>IF(E188="","",IF(AND(E188&lt;G188,O188&gt;=1.5),"売り▼",IF(E188&gt;G188,"様子見▲","中立→")))</f>
        <v/>
      </c>
      <c r="R188" s="353">
        <f>IF(E188&lt;&gt;"",ROUND(E188*0.92,0),"")</f>
        <v/>
      </c>
      <c r="S188" s="353">
        <f>IF(E188&lt;&gt;"",ROUND(E188*1.04,0),"")</f>
        <v/>
      </c>
      <c r="T188" s="345">
        <f>IF(C188="","",IFERROR(IF(W188&gt;=70,3,IF(W188&gt;=60,2,IF(W188&gt;=50,1,0)))+IF(X188&lt;0,2,0)+IF(AD188="下降トレンド▼",3,IF(AD188="もみ合い→",1,0))+IF(V188="年初来安値圏●",3,IF(V188="安値圏",2,0))+IF(Q188="売り▼",2,0)+IF(P188="急増↑↑",2,IF(P188="増加↑",1,0))+IF(Z188&lt;0,1,0)+IF(L188&lt;=-30,2,IF(L188&lt;=-15,1,0))+IF(AE188="25日戻り売り★",2,IF(AE188="5日戻り売り○",1,0))+N(AL188)+N(AP188)+N(AU188),0))</f>
        <v/>
      </c>
      <c r="U188" s="225">
        <f>IF(T188="","",IF(AND(T188&gt;=3,O188&gt;=1.5),"有効",IF(T188&gt;=3,"要確認","除外")))</f>
        <v/>
      </c>
      <c r="V188" s="225">
        <f>IF(AND(I188&lt;&gt;"",K188&lt;&gt;""),IF(I188&lt;=K188*0.6,"年初来安値圏●",IF(I188&lt;=K188*0.75,"安値圏","通常")),"")</f>
        <v/>
      </c>
      <c r="W188" s="628">
        <f t="array" ref="W188">IFERROR(100-100/(1+SUMPRODUCT((終値!F139:R139&gt;終値!G139:S139)*(終値!F139:R139-終値!G139:S139))/SUMPRODUCT((終値!F139:R139&lt;終値!G139:S139)*(終値!G139:S139-終値!F139:R139))),50)</f>
        <v/>
      </c>
      <c r="X188" s="357">
        <f>IF(C188&lt;&gt;"",IFERROR(SUMPRODUCT(終値!E139:P139,{0.154,0.132,0.113,0.097,0.083,0.071,0.061,0.052,0.045,0.038,0.033,0.028})/SUMPRODUCT({0.154,0.132,0.113,0.097,0.083,0.071,0.061,0.052,0.045,0.038,0.033,0.028})-SUMPRODUCT(終値!E139:AD139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8" s="225">
        <f>IF(AF188="","",AF188&amp;" | "&amp;AD188&amp;IF(AE188&lt;&gt;"なし"," "&amp;AE188,"")&amp;IF(X188&lt;0," MACD-"," MACD+")&amp;" RSI:"&amp;TEXT(W188,"0.0")&amp;IF(W188&gt;=70," [過熱]",IF(W188&lt;=30," [売られ過ぎ]",""))&amp;" 前日比:"&amp;TEXT(Z188,"+0.0;-0.0;0.0")&amp;"%"&amp;IF(V188="年初来安値圏●"," [年初来安値圏]",IF(V188="安値圏"," [安値圏]",""))&amp;IF(OR(AO188="通常",AO188="-"),""," ["&amp;AO188&amp;"]")&amp;IF(OR(AT188="通常",AT188="-"),"","前日["&amp;AT188&amp;"]")&amp;" ["&amp;T188&amp;"点]")</f>
        <v/>
      </c>
      <c r="Z188" s="629">
        <f>IF(AND(E188&lt;&gt;"",G188&lt;&gt;"",G188&lt;&gt;0),(E188-G188)/G188*100,"")</f>
        <v/>
      </c>
      <c r="AA188" s="225">
        <f>IF(OR(C188="",E188="",E188=0),"",IF(E188&gt;G188,"上昇▲",IF(E188&lt;G188,"下落▼","横ばい→")))</f>
        <v/>
      </c>
      <c r="AB188" s="353">
        <f>IF(OR(C188="",C188="TOPX",終値!E139=""),"",IFERROR(((終値!E139*0.333)+(終値!F139*0.222)+(終値!G139*0.148)+(終値!H139*0.099)+(終値!I139*0.066))/(0.333+0.222+0.148+0.099+0.066),""))</f>
        <v/>
      </c>
      <c r="AC188" s="353">
        <f>IF(OR(C188="",C188="TOPX",終値!E139=""),"",IFERROR(SUMPRODUCT((終値!E139:AC139)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8" s="225">
        <f>IF(OR(C188="",AB188="",AC188="",AB188=0,AC188=0),"",IF(AND(E188&gt;AB188,AB188&gt;AC188),"パーフェクト▲",IF(E188&gt;AC188,"上昇トレンド▲",IF(AND(E188&lt;AB188,AB188&lt;AC188),"下降トレンド▼","もみ合い→"))))</f>
        <v/>
      </c>
      <c r="AE188" s="225">
        <f>IF(OR(C188="",AB188="",AC188=""),"",IF(AND(ABS(E188-AC188)/AC188&lt;=0.02,E188&lt;AC188),"25日戻り売り★",IF(AND(ABS(E188-AB188)/AB188&lt;=0.01,E188&lt;AB188),"5日戻り売り○","なし")))</f>
        <v/>
      </c>
      <c r="AF188">
        <f>IF(T188="","",IF(銘柄管理!$F$5="上昇▲",IF(AND(AD188="下降トレンド▼",OR(AE188="25日戻り売り★",AE188="5日戻り売り○")),"★逆張り売り",IF(AND(AD188="もみ合い→",OR(AE188="25日戻り売り★",AE188="5日戻り売り○")),"○逆張り売り",IF(W188&gt;=70,IF(Z188&lt;0,"◎反落確認","△過熱・様子見"),"相場上昇・見送り"))),IF(AND(T188&gt;=12,AD188="下降トレンド▼"),"★強い売り",IF(T188&gt;=12,"★強い売り",IF(AND(T188&gt;=8,OR(AE188="25日戻り売り★",AE188="5日戻り売り○")),"◎戻り売り",IF(T188&gt;=10,"○売り候補",IF(T188&gt;=6,"△注目",IF(T188&gt;=3,"様子見","見送り"))))))))</f>
        <v/>
      </c>
      <c r="AG188">
        <f>IF(AND(T188&gt;=7,C188&lt;&gt;""),T188,0)</f>
        <v/>
      </c>
      <c r="AH188">
        <f>IF(AG188&gt;0,AG188*10000-ROW(A188),0)</f>
        <v/>
      </c>
      <c r="AI188" s="623">
        <f t="array" ref="AI188">IF(C188="","",IFERROR((INDEX(終値!$E:$E,MATCH(TEXT(C188,"0"),終値!$A:$A,0))-INDEX(終値!$E:$BL,MATCH(TEXT(C188,"0"),終値!$A:$A,0),$AN$2))/INDEX(終値!$E:$BL,MATCH(TEXT(C188,"0"),終値!$A:$A,0),$AN$2)*100,""))</f>
        <v/>
      </c>
      <c r="AJ188" s="623">
        <f t="array" ref="AJ188">IFERROR((終値!$E$5-INDEX(終値!$E$5:$BL$5,1,$AN$2))/INDEX(終値!$E$5:$BL$5,1,$AN$2)*100,"")</f>
        <v/>
      </c>
      <c r="AK188" s="624">
        <f>IF(OR(AI188="",AJ188=""),"",AI188-AJ188)</f>
        <v/>
      </c>
      <c r="AL188" s="394">
        <f>IF(AK188="","",IF(AK188&lt;-5,3,IF(AK188&lt;0,1,IF(AK188&lt;3,-1,-2))))</f>
        <v/>
      </c>
      <c r="AO188" s="398">
        <f>IF(OR($C188="",$E188="",$F188="",$H188="",$I188="",$H188-$I188&lt;=0),"-",IF(AND($H188-MAX($F188,$E188)&gt;=ABS($E188-$F188)*2,MIN($F188,$E188)-$I188&lt;=ABS($E188-$F188)*0.5,ABS($E188-$F188)&gt;0),"上ヒゲ陰線▼",IF(AND($E188&lt;$F188,ABS($E188-$F188)&gt;=($H188-$I188)*0.7),"大陰線▼",IF(AND(MIN($F188,$E188)-$I188&gt;=($H188-$I188)*0.5,$H188-MAX($F188,$E188)&lt;=($H188-$I188)*0.2),"長い下ヒゲ(反発警戒)","通常"))))</f>
        <v/>
      </c>
      <c r="AP188" s="625">
        <f>IF($AO188="上ヒゲ陰線▼",2,IF($AO188="大陰線▼",2,IF($AO188="長い下ヒゲ(反発警戒)",-2,0)))</f>
        <v/>
      </c>
      <c r="AQ188">
        <f>IF(C188&lt;&gt;"",始値!F139,"")</f>
        <v/>
      </c>
      <c r="AR188">
        <f>IF(C188&lt;&gt;"",高値!F139,"")</f>
        <v/>
      </c>
      <c r="AS188">
        <f>IF(C188&lt;&gt;"",安値!F139,"")</f>
        <v/>
      </c>
      <c r="AT188">
        <f>IF(OR(C188="",AQ188="",AR188="",AS188="",AR188-AS188&lt;=0),"-",IF(AND(AR188-MAX(G188,AQ188)&gt;=ABS(G188-AQ188)*2,MIN(G188,AQ188)-AS188&lt;=ABS(G188-AQ188)*0.5,ABS(G188-AQ188)&gt;0),"上ヒゲ陰線▼",IF(AND(G188&lt;AQ188,ABS(G188-AQ188)&gt;=(AR188-AS188)*0.7),"大陰線▼",IF(AND(MIN(G188,AQ188)-AS188&gt;=(AR188-AS188)*0.5,AR188-MAX(G188,AQ188)&lt;=(AR188-AS188)*0.2),"長い下ヒゲ(反発)","通常"))))</f>
        <v/>
      </c>
      <c r="AU188">
        <f>IF(AT188="上ヒゲ陰線▼",2,IF(AT188="大陰線▼",2,IF(AT188="長い下ヒゲ(反発)",-2,0)))</f>
        <v/>
      </c>
    </row>
    <row r="189" ht="14.25" customHeight="1" s="574">
      <c r="A189" s="344">
        <f>IF(銘柄管理!B140&lt;&gt;"",HYPERLINK("https://kabutan.jp/stock/?code="&amp;銘柄管理!B140,"株探"),"")</f>
        <v/>
      </c>
      <c r="B189" s="345" t="n"/>
      <c r="C189" s="345">
        <f>IF(銘柄管理!B140="","",銘柄管理!B140)</f>
        <v/>
      </c>
      <c r="D189" s="345">
        <f>IF(銘柄管理!C140="","",銘柄管理!C140)</f>
        <v/>
      </c>
      <c r="E189" s="346">
        <f>IF(C189&lt;&gt;"",_xll.RssMarket(C189,"現在値"),"")</f>
        <v/>
      </c>
      <c r="F189" s="346">
        <f>IF(C189&lt;&gt;"",_xll.RssMarket(C189,"始値"),"")</f>
        <v/>
      </c>
      <c r="G189" s="345">
        <f>IF(C189&lt;&gt;"",終値!F140,"")</f>
        <v/>
      </c>
      <c r="H189" s="346">
        <f>IF(C189&lt;&gt;"",_xll.RssMarket(C189,"高値"),"")</f>
        <v/>
      </c>
      <c r="I189" s="346">
        <f>IF(C189&lt;&gt;"",_xll.RssMarket(C189,"安値"),"")</f>
        <v/>
      </c>
      <c r="J189" s="346">
        <f>IF(C189&lt;&gt;"",_xll.RssMarket(C189,"出来高"),"")</f>
        <v/>
      </c>
      <c r="K189" s="346">
        <f>IF(C189&lt;&gt;"",_xll.RssMarket(C189,"年初来高値"),"")</f>
        <v/>
      </c>
      <c r="L189" s="619">
        <f>IF(AND(E189&lt;&gt;"",K189&lt;&gt;"",K189&lt;&gt;0),(E189-K189)/K189*100,"")</f>
        <v/>
      </c>
      <c r="M189" s="346">
        <f>IF(C189&lt;&gt;"",IFERROR(AVERAGE(出来高!E140:I140),""),"")</f>
        <v/>
      </c>
      <c r="N189" s="346">
        <f>IF(C189&lt;&gt;"",IFERROR(AVERAGE(出来高!E140:AC140),""),"")</f>
        <v/>
      </c>
      <c r="O189" s="620">
        <f>IF(AND(J189&lt;&gt;"",M189&lt;&gt;"",M189&lt;&gt;0),J189/M189,"")</f>
        <v/>
      </c>
      <c r="P189" s="345">
        <f>IF(O189="","",IF(O189&gt;=2,"急増↑↑",IF(O189&gt;=1.5,"増加↑",IF(O189&gt;=1,"普通→","減少↓"))))</f>
        <v/>
      </c>
      <c r="Q189" s="345">
        <f>IF(E189="","",IF(AND(E189&lt;G189,O189&gt;=1.5),"売り▼",IF(E189&gt;G189,"様子見▲","中立→")))</f>
        <v/>
      </c>
      <c r="R189" s="346">
        <f>IF(E189&lt;&gt;"",ROUND(E189*0.92,0),"")</f>
        <v/>
      </c>
      <c r="S189" s="346">
        <f>IF(E189&lt;&gt;"",ROUND(E189*1.04,0),"")</f>
        <v/>
      </c>
      <c r="T189" s="345">
        <f>IF(C189="","",IFERROR(IF(W189&gt;=70,3,IF(W189&gt;=60,2,IF(W189&gt;=50,1,0)))+IF(X189&lt;0,2,0)+IF(AD189="下降トレンド▼",3,IF(AD189="もみ合い→",1,0))+IF(V189="年初来安値圏●",3,IF(V189="安値圏",2,0))+IF(Q189="売り▼",2,0)+IF(P189="急増↑↑",2,IF(P189="増加↑",1,0))+IF(Z189&lt;0,1,0)+IF(L189&lt;=-30,2,IF(L189&lt;=-15,1,0))+IF(AE189="25日戻り売り★",2,IF(AE189="5日戻り売り○",1,0))+N(AL189)+N(AP189)+N(AU189),0))</f>
        <v/>
      </c>
      <c r="U189" s="345">
        <f>IF(T189="","",IF(AND(T189&gt;=3,O189&gt;=1.5),"有効",IF(T189&gt;=3,"要確認","除外")))</f>
        <v/>
      </c>
      <c r="V189" s="345">
        <f>IF(AND(I189&lt;&gt;"",K189&lt;&gt;""),IF(I189&lt;=K189*0.6,"年初来安値圏●",IF(I189&lt;=K189*0.75,"安値圏","通常")),"")</f>
        <v/>
      </c>
      <c r="W189" s="621">
        <f t="array" ref="W189">IFERROR(100-100/(1+SUMPRODUCT((終値!F140:R140&gt;終値!G140:S140)*(終値!F140:R140-終値!G140:S140))/SUMPRODUCT((終値!F140:R140&lt;終値!G140:S140)*(終値!G140:S140-終値!F140:R140))),50)</f>
        <v/>
      </c>
      <c r="X189" s="350">
        <f>IF(C189&lt;&gt;"",IFERROR(SUMPRODUCT(終値!E140:P140,{0.154,0.132,0.113,0.097,0.083,0.071,0.061,0.052,0.045,0.038,0.033,0.028})/SUMPRODUCT({0.154,0.132,0.113,0.097,0.083,0.071,0.061,0.052,0.045,0.038,0.033,0.028})-SUMPRODUCT(終値!E140:AD140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9" s="345">
        <f>IF(AF189="","",AF189&amp;" | "&amp;AD189&amp;IF(AE189&lt;&gt;"なし"," "&amp;AE189,"")&amp;IF(X189&lt;0," MACD-"," MACD+")&amp;" RSI:"&amp;TEXT(W189,"0.0")&amp;IF(W189&gt;=70," [過熱]",IF(W189&lt;=30," [売られ過ぎ]",""))&amp;" 前日比:"&amp;TEXT(Z189,"+0.0;-0.0;0.0")&amp;"%"&amp;IF(V189="年初来安値圏●"," [年初来安値圏]",IF(V189="安値圏"," [安値圏]",""))&amp;IF(OR(AO189="通常",AO189="-"),""," ["&amp;AO189&amp;"]")&amp;IF(OR(AT189="通常",AT189="-"),"","前日["&amp;AT189&amp;"]")&amp;" ["&amp;T189&amp;"点]")</f>
        <v/>
      </c>
      <c r="Z189" s="622">
        <f>IF(AND(E189&lt;&gt;"",G189&lt;&gt;"",G189&lt;&gt;0),(E189-G189)/G189*100,"")</f>
        <v/>
      </c>
      <c r="AA189" s="345">
        <f>IF(OR(C189="",E189="",E189=0),"",IF(E189&gt;G189,"上昇▲",IF(E189&lt;G189,"下落▼","横ばい→")))</f>
        <v/>
      </c>
      <c r="AB189" s="346">
        <f>IF(OR(C189="",C189="TOPX",終値!E140=""),"",IFERROR(((終値!E140*0.333)+(終値!F140*0.222)+(終値!G140*0.148)+(終値!H140*0.099)+(終値!I140*0.066))/(0.333+0.222+0.148+0.099+0.066),""))</f>
        <v/>
      </c>
      <c r="AC189" s="346">
        <f>IF(OR(C189="",C189="TOPX",終値!E140=""),"",IFERROR(SUMPRODUCT((終値!E140:AC140)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9" s="345">
        <f>IF(OR(C189="",AB189="",AC189="",AB189=0,AC189=0),"",IF(AND(E189&gt;AB189,AB189&gt;AC189),"パーフェクト▲",IF(E189&gt;AC189,"上昇トレンド▲",IF(AND(E189&lt;AB189,AB189&lt;AC189),"下降トレンド▼","もみ合い→"))))</f>
        <v/>
      </c>
      <c r="AE189" s="345">
        <f>IF(OR(C189="",AB189="",AC189=""),"",IF(AND(ABS(E189-AC189)/AC189&lt;=0.02,E189&lt;AC189),"25日戻り売り★",IF(AND(ABS(E189-AB189)/AB189&lt;=0.01,E189&lt;AB189),"5日戻り売り○","なし")))</f>
        <v/>
      </c>
      <c r="AF189">
        <f>IF(T189="","",IF(銘柄管理!$F$5="上昇▲",IF(AND(AD189="下降トレンド▼",OR(AE189="25日戻り売り★",AE189="5日戻り売り○")),"★逆張り売り",IF(AND(AD189="もみ合い→",OR(AE189="25日戻り売り★",AE189="5日戻り売り○")),"○逆張り売り",IF(W189&gt;=70,IF(Z189&lt;0,"◎反落確認","△過熱・様子見"),"相場上昇・見送り"))),IF(AND(T189&gt;=12,AD189="下降トレンド▼"),"★強い売り",IF(T189&gt;=12,"★強い売り",IF(AND(T189&gt;=8,OR(AE189="25日戻り売り★",AE189="5日戻り売り○")),"◎戻り売り",IF(T189&gt;=10,"○売り候補",IF(T189&gt;=6,"△注目",IF(T189&gt;=3,"様子見","見送り"))))))))</f>
        <v/>
      </c>
      <c r="AG189">
        <f>IF(AND(T189&gt;=7,C189&lt;&gt;""),T189,0)</f>
        <v/>
      </c>
      <c r="AH189">
        <f>IF(AG189&gt;0,AG189*10000-ROW(A189),0)</f>
        <v/>
      </c>
      <c r="AI189" s="623">
        <f t="array" ref="AI189">IF(C189="","",IFERROR((INDEX(終値!$E:$E,MATCH(TEXT(C189,"0"),終値!$A:$A,0))-INDEX(終値!$E:$BL,MATCH(TEXT(C189,"0"),終値!$A:$A,0),$AN$2))/INDEX(終値!$E:$BL,MATCH(TEXT(C189,"0"),終値!$A:$A,0),$AN$2)*100,""))</f>
        <v/>
      </c>
      <c r="AJ189" s="623">
        <f t="array" ref="AJ189">IFERROR((終値!$E$5-INDEX(終値!$E$5:$BL$5,1,$AN$2))/INDEX(終値!$E$5:$BL$5,1,$AN$2)*100,"")</f>
        <v/>
      </c>
      <c r="AK189" s="624">
        <f>IF(OR(AI189="",AJ189=""),"",AI189-AJ189)</f>
        <v/>
      </c>
      <c r="AL189" s="394">
        <f>IF(AK189="","",IF(AK189&lt;-5,3,IF(AK189&lt;0,1,IF(AK189&lt;3,-1,-2))))</f>
        <v/>
      </c>
      <c r="AO189" s="398">
        <f>IF(OR($C189="",$E189="",$F189="",$H189="",$I189="",$H189-$I189&lt;=0),"-",IF(AND($H189-MAX($F189,$E189)&gt;=ABS($E189-$F189)*2,MIN($F189,$E189)-$I189&lt;=ABS($E189-$F189)*0.5,ABS($E189-$F189)&gt;0),"上ヒゲ陰線▼",IF(AND($E189&lt;$F189,ABS($E189-$F189)&gt;=($H189-$I189)*0.7),"大陰線▼",IF(AND(MIN($F189,$E189)-$I189&gt;=($H189-$I189)*0.5,$H189-MAX($F189,$E189)&lt;=($H189-$I189)*0.2),"長い下ヒゲ(反発警戒)","通常"))))</f>
        <v/>
      </c>
      <c r="AP189" s="625">
        <f>IF($AO189="上ヒゲ陰線▼",2,IF($AO189="大陰線▼",2,IF($AO189="長い下ヒゲ(反発警戒)",-2,0)))</f>
        <v/>
      </c>
      <c r="AQ189">
        <f>IF(C189&lt;&gt;"",始値!F140,"")</f>
        <v/>
      </c>
      <c r="AR189">
        <f>IF(C189&lt;&gt;"",高値!F140,"")</f>
        <v/>
      </c>
      <c r="AS189">
        <f>IF(C189&lt;&gt;"",安値!F140,"")</f>
        <v/>
      </c>
      <c r="AT189">
        <f>IF(OR(C189="",AQ189="",AR189="",AS189="",AR189-AS189&lt;=0),"-",IF(AND(AR189-MAX(G189,AQ189)&gt;=ABS(G189-AQ189)*2,MIN(G189,AQ189)-AS189&lt;=ABS(G189-AQ189)*0.5,ABS(G189-AQ189)&gt;0),"上ヒゲ陰線▼",IF(AND(G189&lt;AQ189,ABS(G189-AQ189)&gt;=(AR189-AS189)*0.7),"大陰線▼",IF(AND(MIN(G189,AQ189)-AS189&gt;=(AR189-AS189)*0.5,AR189-MAX(G189,AQ189)&lt;=(AR189-AS189)*0.2),"長い下ヒゲ(反発)","通常"))))</f>
        <v/>
      </c>
      <c r="AU189">
        <f>IF(AT189="上ヒゲ陰線▼",2,IF(AT189="大陰線▼",2,IF(AT189="長い下ヒゲ(反発)",-2,0)))</f>
        <v/>
      </c>
    </row>
    <row r="190" ht="14.25" customHeight="1" s="574">
      <c r="A190" s="352">
        <f>IF(銘柄管理!B149&lt;&gt;"",HYPERLINK("https://kabutan.jp/stock/?code="&amp;銘柄管理!B149,"株探"),"")</f>
        <v/>
      </c>
      <c r="B190" s="225" t="n"/>
      <c r="C190" s="225">
        <f>IF(銘柄管理!B149="","",銘柄管理!B149)</f>
        <v/>
      </c>
      <c r="D190" s="225">
        <f>IF(銘柄管理!C149="","",銘柄管理!C149)</f>
        <v/>
      </c>
      <c r="E190" s="353">
        <f>IF(C190&lt;&gt;"",_xll.RssMarket(C190,"現在値"),"")</f>
        <v/>
      </c>
      <c r="F190" s="353">
        <f>IF(C190&lt;&gt;"",_xll.RssMarket(C190,"始値"),"")</f>
        <v/>
      </c>
      <c r="G190" s="225">
        <f>IF(C190&lt;&gt;"",終値!F149,"")</f>
        <v/>
      </c>
      <c r="H190" s="353">
        <f>IF(C190&lt;&gt;"",_xll.RssMarket(C190,"高値"),"")</f>
        <v/>
      </c>
      <c r="I190" s="353">
        <f>IF(C190&lt;&gt;"",_xll.RssMarket(C190,"安値"),"")</f>
        <v/>
      </c>
      <c r="J190" s="353">
        <f>IF(C190&lt;&gt;"",_xll.RssMarket(C190,"出来高"),"")</f>
        <v/>
      </c>
      <c r="K190" s="353">
        <f>IF(C190&lt;&gt;"",_xll.RssMarket(C190,"年初来高値"),"")</f>
        <v/>
      </c>
      <c r="L190" s="626">
        <f>IF(AND(E190&lt;&gt;"",K190&lt;&gt;"",K190&lt;&gt;0),(E190-K190)/K190*100,"")</f>
        <v/>
      </c>
      <c r="M190" s="353">
        <f>IF(C190&lt;&gt;"",IFERROR(AVERAGE(出来高!E149:I149),""),"")</f>
        <v/>
      </c>
      <c r="N190" s="353">
        <f>IF(C190&lt;&gt;"",IFERROR(AVERAGE(出来高!E149:AC149),""),"")</f>
        <v/>
      </c>
      <c r="O190" s="627">
        <f>IF(AND(J190&lt;&gt;"",M190&lt;&gt;"",M190&lt;&gt;0),J190/M190,"")</f>
        <v/>
      </c>
      <c r="P190" s="225">
        <f>IF(O190="","",IF(O190&gt;=2,"急増↑↑",IF(O190&gt;=1.5,"増加↑",IF(O190&gt;=1,"普通→","減少↓"))))</f>
        <v/>
      </c>
      <c r="Q190" s="225">
        <f>IF(E190="","",IF(AND(E190&lt;G190,O190&gt;=1.5),"売り▼",IF(E190&gt;G190,"様子見▲","中立→")))</f>
        <v/>
      </c>
      <c r="R190" s="353">
        <f>IF(E190&lt;&gt;"",ROUND(E190*0.92,0),"")</f>
        <v/>
      </c>
      <c r="S190" s="353">
        <f>IF(E190&lt;&gt;"",ROUND(E190*1.04,0),"")</f>
        <v/>
      </c>
      <c r="T190" s="345">
        <f>IF(C190="","",IFERROR(IF(W190&gt;=70,3,IF(W190&gt;=60,2,IF(W190&gt;=50,1,0)))+IF(X190&lt;0,2,0)+IF(AD190="下降トレンド▼",3,IF(AD190="もみ合い→",1,0))+IF(V190="年初来安値圏●",3,IF(V190="安値圏",2,0))+IF(Q190="売り▼",2,0)+IF(P190="急増↑↑",2,IF(P190="増加↑",1,0))+IF(Z190&lt;0,1,0)+IF(L190&lt;=-30,2,IF(L190&lt;=-15,1,0))+IF(AE190="25日戻り売り★",2,IF(AE190="5日戻り売り○",1,0))+N(AL190)+N(AP190)+N(AU190),0))</f>
        <v/>
      </c>
      <c r="U190" s="225">
        <f>IF(T190="","",IF(AND(T190&gt;=3,O190&gt;=1.5),"有効",IF(T190&gt;=3,"要確認","除外")))</f>
        <v/>
      </c>
      <c r="V190" s="225">
        <f>IF(AND(I190&lt;&gt;"",K190&lt;&gt;""),IF(I190&lt;=K190*0.6,"年初来安値圏●",IF(I190&lt;=K190*0.75,"安値圏","通常")),"")</f>
        <v/>
      </c>
      <c r="W190" s="628">
        <f t="array" ref="W190">IFERROR(100-100/(1+SUMPRODUCT((終値!F149:R149&gt;終値!G149:S149)*(終値!F149:R149-終値!G149:S149))/SUMPRODUCT((終値!F149:R149&lt;終値!G149:S149)*(終値!G149:S149-終値!F149:R149))),50)</f>
        <v/>
      </c>
      <c r="X190" s="357">
        <f>IF(C190&lt;&gt;"",IFERROR(SUMPRODUCT(終値!E149:P149,{0.154,0.132,0.113,0.097,0.083,0.071,0.061,0.052,0.045,0.038,0.033,0.028})/SUMPRODUCT({0.154,0.132,0.113,0.097,0.083,0.071,0.061,0.052,0.045,0.038,0.033,0.028})-SUMPRODUCT(終値!E149:AD149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0" s="225">
        <f>IF(AF190="","",AF190&amp;" | "&amp;AD190&amp;IF(AE190&lt;&gt;"なし"," "&amp;AE190,"")&amp;IF(X190&lt;0," MACD-"," MACD+")&amp;" RSI:"&amp;TEXT(W190,"0.0")&amp;IF(W190&gt;=70," [過熱]",IF(W190&lt;=30," [売られ過ぎ]",""))&amp;" 前日比:"&amp;TEXT(Z190,"+0.0;-0.0;0.0")&amp;"%"&amp;IF(V190="年初来安値圏●"," [年初来安値圏]",IF(V190="安値圏"," [安値圏]",""))&amp;IF(OR(AO190="通常",AO190="-"),""," ["&amp;AO190&amp;"]")&amp;IF(OR(AT190="通常",AT190="-"),"","前日["&amp;AT190&amp;"]")&amp;" ["&amp;T190&amp;"点]")</f>
        <v/>
      </c>
      <c r="Z190" s="629">
        <f>IF(AND(E190&lt;&gt;"",G190&lt;&gt;"",G190&lt;&gt;0),(E190-G190)/G190*100,"")</f>
        <v/>
      </c>
      <c r="AA190" s="225">
        <f>IF(OR(C190="",E190="",E190=0),"",IF(E190&gt;G190,"上昇▲",IF(E190&lt;G190,"下落▼","横ばい→")))</f>
        <v/>
      </c>
      <c r="AB190" s="353">
        <f>IF(OR(C190="",C190="TOPX",終値!E149=""),"",IFERROR(((終値!E149*0.333)+(終値!F149*0.222)+(終値!G149*0.148)+(終値!H149*0.099)+(終値!I149*0.066))/(0.333+0.222+0.148+0.099+0.066),""))</f>
        <v/>
      </c>
      <c r="AC190" s="353">
        <f>IF(OR(C190="",C190="TOPX",終値!E149=""),"",IFERROR(SUMPRODUCT((終値!E149:AC149)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0" s="225">
        <f>IF(OR(C190="",AB190="",AC190="",AB190=0,AC190=0),"",IF(AND(E190&gt;AB190,AB190&gt;AC190),"パーフェクト▲",IF(E190&gt;AC190,"上昇トレンド▲",IF(AND(E190&lt;AB190,AB190&lt;AC190),"下降トレンド▼","もみ合い→"))))</f>
        <v/>
      </c>
      <c r="AE190" s="225">
        <f>IF(OR(C190="",AB190="",AC190=""),"",IF(AND(ABS(E190-AC190)/AC190&lt;=0.02,E190&lt;AC190),"25日戻り売り★",IF(AND(ABS(E190-AB190)/AB190&lt;=0.01,E190&lt;AB190),"5日戻り売り○","なし")))</f>
        <v/>
      </c>
      <c r="AF190">
        <f>IF(T190="","",IF(銘柄管理!$F$5="上昇▲",IF(AND(AD190="下降トレンド▼",OR(AE190="25日戻り売り★",AE190="5日戻り売り○")),"★逆張り売り",IF(AND(AD190="もみ合い→",OR(AE190="25日戻り売り★",AE190="5日戻り売り○")),"○逆張り売り",IF(W190&gt;=70,IF(Z190&lt;0,"◎反落確認","△過熱・様子見"),"相場上昇・見送り"))),IF(AND(T190&gt;=12,AD190="下降トレンド▼"),"★強い売り",IF(T190&gt;=12,"★強い売り",IF(AND(T190&gt;=8,OR(AE190="25日戻り売り★",AE190="5日戻り売り○")),"◎戻り売り",IF(T190&gt;=10,"○売り候補",IF(T190&gt;=6,"△注目",IF(T190&gt;=3,"様子見","見送り"))))))))</f>
        <v/>
      </c>
      <c r="AG190">
        <f>IF(AND(T190&gt;=7,C190&lt;&gt;""),T190,0)</f>
        <v/>
      </c>
      <c r="AH190">
        <f>IF(AG190&gt;0,AG190*10000-ROW(A190),0)</f>
        <v/>
      </c>
      <c r="AI190" s="623">
        <f t="array" ref="AI190">IF(C190="","",IFERROR((INDEX(終値!$E:$E,MATCH(TEXT(C190,"0"),終値!$A:$A,0))-INDEX(終値!$E:$BL,MATCH(TEXT(C190,"0"),終値!$A:$A,0),$AN$2))/INDEX(終値!$E:$BL,MATCH(TEXT(C190,"0"),終値!$A:$A,0),$AN$2)*100,""))</f>
        <v/>
      </c>
      <c r="AJ190" s="623">
        <f t="array" ref="AJ190">IFERROR((終値!$E$5-INDEX(終値!$E$5:$BL$5,1,$AN$2))/INDEX(終値!$E$5:$BL$5,1,$AN$2)*100,"")</f>
        <v/>
      </c>
      <c r="AK190" s="624">
        <f>IF(OR(AI190="",AJ190=""),"",AI190-AJ190)</f>
        <v/>
      </c>
      <c r="AL190" s="394">
        <f>IF(AK190="","",IF(AK190&lt;-5,3,IF(AK190&lt;0,1,IF(AK190&lt;3,-1,-2))))</f>
        <v/>
      </c>
      <c r="AO190" s="398">
        <f>IF(OR($C190="",$E190="",$F190="",$H190="",$I190="",$H190-$I190&lt;=0),"-",IF(AND($H190-MAX($F190,$E190)&gt;=ABS($E190-$F190)*2,MIN($F190,$E190)-$I190&lt;=ABS($E190-$F190)*0.5,ABS($E190-$F190)&gt;0),"上ヒゲ陰線▼",IF(AND($E190&lt;$F190,ABS($E190-$F190)&gt;=($H190-$I190)*0.7),"大陰線▼",IF(AND(MIN($F190,$E190)-$I190&gt;=($H190-$I190)*0.5,$H190-MAX($F190,$E190)&lt;=($H190-$I190)*0.2),"長い下ヒゲ(反発警戒)","通常"))))</f>
        <v/>
      </c>
      <c r="AP190" s="625">
        <f>IF($AO190="上ヒゲ陰線▼",2,IF($AO190="大陰線▼",2,IF($AO190="長い下ヒゲ(反発警戒)",-2,0)))</f>
        <v/>
      </c>
      <c r="AQ190">
        <f>IF(C190&lt;&gt;"",始値!F149,"")</f>
        <v/>
      </c>
      <c r="AR190">
        <f>IF(C190&lt;&gt;"",高値!F149,"")</f>
        <v/>
      </c>
      <c r="AS190">
        <f>IF(C190&lt;&gt;"",安値!F149,"")</f>
        <v/>
      </c>
      <c r="AT190">
        <f>IF(OR(C190="",AQ190="",AR190="",AS190="",AR190-AS190&lt;=0),"-",IF(AND(AR190-MAX(G190,AQ190)&gt;=ABS(G190-AQ190)*2,MIN(G190,AQ190)-AS190&lt;=ABS(G190-AQ190)*0.5,ABS(G190-AQ190)&gt;0),"上ヒゲ陰線▼",IF(AND(G190&lt;AQ190,ABS(G190-AQ190)&gt;=(AR190-AS190)*0.7),"大陰線▼",IF(AND(MIN(G190,AQ190)-AS190&gt;=(AR190-AS190)*0.5,AR190-MAX(G190,AQ190)&lt;=(AR190-AS190)*0.2),"長い下ヒゲ(反発)","通常"))))</f>
        <v/>
      </c>
      <c r="AU190">
        <f>IF(AT190="上ヒゲ陰線▼",2,IF(AT190="大陰線▼",2,IF(AT190="長い下ヒゲ(反発)",-2,0)))</f>
        <v/>
      </c>
    </row>
    <row r="191" ht="14.25" customHeight="1" s="574">
      <c r="A191" s="344">
        <f>IF(銘柄管理!B172&lt;&gt;"",HYPERLINK("https://kabutan.jp/stock/?code="&amp;銘柄管理!B172,"株探"),"")</f>
        <v/>
      </c>
      <c r="B191" s="345" t="n"/>
      <c r="C191" s="345">
        <f>IF(銘柄管理!B172="","",銘柄管理!B172)</f>
        <v/>
      </c>
      <c r="D191" s="345">
        <f>IF(銘柄管理!C172="","",銘柄管理!C172)</f>
        <v/>
      </c>
      <c r="E191" s="346">
        <f>IF(C191&lt;&gt;"",_xll.RssMarket(C191,"現在値"),"")</f>
        <v/>
      </c>
      <c r="F191" s="346">
        <f>IF(C191&lt;&gt;"",_xll.RssMarket(C191,"始値"),"")</f>
        <v/>
      </c>
      <c r="G191" s="345">
        <f>IF(C191&lt;&gt;"",終値!F172,"")</f>
        <v/>
      </c>
      <c r="H191" s="346">
        <f>IF(C191&lt;&gt;"",_xll.RssMarket(C191,"高値"),"")</f>
        <v/>
      </c>
      <c r="I191" s="346">
        <f>IF(C191&lt;&gt;"",_xll.RssMarket(C191,"安値"),"")</f>
        <v/>
      </c>
      <c r="J191" s="346">
        <f>IF(C191&lt;&gt;"",_xll.RssMarket(C191,"出来高"),"")</f>
        <v/>
      </c>
      <c r="K191" s="346">
        <f>IF(C191&lt;&gt;"",_xll.RssMarket(C191,"年初来高値"),"")</f>
        <v/>
      </c>
      <c r="L191" s="619">
        <f>IF(AND(E191&lt;&gt;"",K191&lt;&gt;"",K191&lt;&gt;0),(E191-K191)/K191*100,"")</f>
        <v/>
      </c>
      <c r="M191" s="346">
        <f>IF(C191&lt;&gt;"",IFERROR(AVERAGE(出来高!E172:I172),""),"")</f>
        <v/>
      </c>
      <c r="N191" s="346">
        <f>IF(C191&lt;&gt;"",IFERROR(AVERAGE(出来高!E172:AC172),""),"")</f>
        <v/>
      </c>
      <c r="O191" s="620">
        <f>IF(AND(J191&lt;&gt;"",M191&lt;&gt;"",M191&lt;&gt;0),J191/M191,"")</f>
        <v/>
      </c>
      <c r="P191" s="345">
        <f>IF(O191="","",IF(O191&gt;=2,"急増↑↑",IF(O191&gt;=1.5,"増加↑",IF(O191&gt;=1,"普通→","減少↓"))))</f>
        <v/>
      </c>
      <c r="Q191" s="345">
        <f>IF(E191="","",IF(AND(E191&lt;G191,O191&gt;=1.5),"売り▼",IF(E191&gt;G191,"様子見▲","中立→")))</f>
        <v/>
      </c>
      <c r="R191" s="346">
        <f>IF(E191&lt;&gt;"",ROUND(E191*0.92,0),"")</f>
        <v/>
      </c>
      <c r="S191" s="346">
        <f>IF(E191&lt;&gt;"",ROUND(E191*1.04,0),"")</f>
        <v/>
      </c>
      <c r="T191" s="345">
        <f>IF(C191="","",IFERROR(IF(W191&gt;=70,3,IF(W191&gt;=60,2,IF(W191&gt;=50,1,0)))+IF(X191&lt;0,2,0)+IF(AD191="下降トレンド▼",3,IF(AD191="もみ合い→",1,0))+IF(V191="年初来安値圏●",3,IF(V191="安値圏",2,0))+IF(Q191="売り▼",2,0)+IF(P191="急増↑↑",2,IF(P191="増加↑",1,0))+IF(Z191&lt;0,1,0)+IF(L191&lt;=-30,2,IF(L191&lt;=-15,1,0))+IF(AE191="25日戻り売り★",2,IF(AE191="5日戻り売り○",1,0))+N(AL191)+N(AP191)+N(AU191),0))</f>
        <v/>
      </c>
      <c r="U191" s="345">
        <f>IF(T191="","",IF(AND(T191&gt;=3,O191&gt;=1.5),"有効",IF(T191&gt;=3,"要確認","除外")))</f>
        <v/>
      </c>
      <c r="V191" s="345">
        <f>IF(AND(I191&lt;&gt;"",K191&lt;&gt;""),IF(I191&lt;=K191*0.6,"年初来安値圏●",IF(I191&lt;=K191*0.75,"安値圏","通常")),"")</f>
        <v/>
      </c>
      <c r="W191" s="621">
        <f t="array" ref="W191">IFERROR(100-100/(1+SUMPRODUCT((終値!F172:R172&gt;終値!G172:S172)*(終値!F172:R172-終値!G172:S172))/SUMPRODUCT((終値!F172:R172&lt;終値!G172:S172)*(終値!G172:S172-終値!F172:R172))),50)</f>
        <v/>
      </c>
      <c r="X191" s="350">
        <f>IF(C191&lt;&gt;"",IFERROR(SUMPRODUCT(終値!E172:P172,{0.154,0.132,0.113,0.097,0.083,0.071,0.061,0.052,0.045,0.038,0.033,0.028})/SUMPRODUCT({0.154,0.132,0.113,0.097,0.083,0.071,0.061,0.052,0.045,0.038,0.033,0.028})-SUMPRODUCT(終値!E172:AD172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1" s="345">
        <f>IF(AF191="","",AF191&amp;" | "&amp;AD191&amp;IF(AE191&lt;&gt;"なし"," "&amp;AE191,"")&amp;IF(X191&lt;0," MACD-"," MACD+")&amp;" RSI:"&amp;TEXT(W191,"0.0")&amp;IF(W191&gt;=70," [過熱]",IF(W191&lt;=30," [売られ過ぎ]",""))&amp;" 前日比:"&amp;TEXT(Z191,"+0.0;-0.0;0.0")&amp;"%"&amp;IF(V191="年初来安値圏●"," [年初来安値圏]",IF(V191="安値圏"," [安値圏]",""))&amp;IF(OR(AO191="通常",AO191="-"),""," ["&amp;AO191&amp;"]")&amp;IF(OR(AT191="通常",AT191="-"),"","前日["&amp;AT191&amp;"]")&amp;" ["&amp;T191&amp;"点]")</f>
        <v/>
      </c>
      <c r="Z191" s="622">
        <f>IF(AND(E191&lt;&gt;"",G191&lt;&gt;"",G191&lt;&gt;0),(E191-G191)/G191*100,"")</f>
        <v/>
      </c>
      <c r="AA191" s="345">
        <f>IF(OR(C191="",E191="",E191=0),"",IF(E191&gt;G191,"上昇▲",IF(E191&lt;G191,"下落▼","横ばい→")))</f>
        <v/>
      </c>
      <c r="AB191" s="346">
        <f>IF(OR(C191="",C191="TOPX",終値!E172=""),"",IFERROR(((終値!E172*0.333)+(終値!F172*0.222)+(終値!G172*0.148)+(終値!H172*0.099)+(終値!I172*0.066))/(0.333+0.222+0.148+0.099+0.066),""))</f>
        <v/>
      </c>
      <c r="AC191" s="346">
        <f>IF(OR(C191="",C191="TOPX",終値!E172=""),"",IFERROR(SUMPRODUCT((終値!E172:AC172)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1" s="345">
        <f>IF(OR(C191="",AB191="",AC191="",AB191=0,AC191=0),"",IF(AND(E191&gt;AB191,AB191&gt;AC191),"パーフェクト▲",IF(E191&gt;AC191,"上昇トレンド▲",IF(AND(E191&lt;AB191,AB191&lt;AC191),"下降トレンド▼","もみ合い→"))))</f>
        <v/>
      </c>
      <c r="AE191" s="345">
        <f>IF(OR(C191="",AB191="",AC191=""),"",IF(AND(ABS(E191-AC191)/AC191&lt;=0.02,E191&lt;AC191),"25日戻り売り★",IF(AND(ABS(E191-AB191)/AB191&lt;=0.01,E191&lt;AB191),"5日戻り売り○","なし")))</f>
        <v/>
      </c>
      <c r="AF191">
        <f>IF(T191="","",IF(銘柄管理!$F$5="上昇▲",IF(AND(AD191="下降トレンド▼",OR(AE191="25日戻り売り★",AE191="5日戻り売り○")),"★逆張り売り",IF(AND(AD191="もみ合い→",OR(AE191="25日戻り売り★",AE191="5日戻り売り○")),"○逆張り売り",IF(W191&gt;=70,IF(Z191&lt;0,"◎反落確認","△過熱・様子見"),"相場上昇・見送り"))),IF(AND(T191&gt;=12,AD191="下降トレンド▼"),"★強い売り",IF(T191&gt;=12,"★強い売り",IF(AND(T191&gt;=8,OR(AE191="25日戻り売り★",AE191="5日戻り売り○")),"◎戻り売り",IF(T191&gt;=10,"○売り候補",IF(T191&gt;=6,"△注目",IF(T191&gt;=3,"様子見","見送り"))))))))</f>
        <v/>
      </c>
      <c r="AG191">
        <f>IF(AND(T191&gt;=7,C191&lt;&gt;""),T191,0)</f>
        <v/>
      </c>
      <c r="AH191">
        <f>IF(AG191&gt;0,AG191*10000-ROW(A191),0)</f>
        <v/>
      </c>
      <c r="AI191" s="623">
        <f t="array" ref="AI191">IF(C191="","",IFERROR((INDEX(終値!$E:$E,MATCH(TEXT(C191,"0"),終値!$A:$A,0))-INDEX(終値!$E:$BL,MATCH(TEXT(C191,"0"),終値!$A:$A,0),$AN$2))/INDEX(終値!$E:$BL,MATCH(TEXT(C191,"0"),終値!$A:$A,0),$AN$2)*100,""))</f>
        <v/>
      </c>
      <c r="AJ191" s="623">
        <f t="array" ref="AJ191">IFERROR((終値!$E$5-INDEX(終値!$E$5:$BL$5,1,$AN$2))/INDEX(終値!$E$5:$BL$5,1,$AN$2)*100,"")</f>
        <v/>
      </c>
      <c r="AK191" s="624">
        <f>IF(OR(AI191="",AJ191=""),"",AI191-AJ191)</f>
        <v/>
      </c>
      <c r="AL191" s="394">
        <f>IF(AK191="","",IF(AK191&lt;-5,3,IF(AK191&lt;0,1,IF(AK191&lt;3,-1,-2))))</f>
        <v/>
      </c>
      <c r="AO191" s="398">
        <f>IF(OR($C191="",$E191="",$F191="",$H191="",$I191="",$H191-$I191&lt;=0),"-",IF(AND($H191-MAX($F191,$E191)&gt;=ABS($E191-$F191)*2,MIN($F191,$E191)-$I191&lt;=ABS($E191-$F191)*0.5,ABS($E191-$F191)&gt;0),"上ヒゲ陰線▼",IF(AND($E191&lt;$F191,ABS($E191-$F191)&gt;=($H191-$I191)*0.7),"大陰線▼",IF(AND(MIN($F191,$E191)-$I191&gt;=($H191-$I191)*0.5,$H191-MAX($F191,$E191)&lt;=($H191-$I191)*0.2),"長い下ヒゲ(反発警戒)","通常"))))</f>
        <v/>
      </c>
      <c r="AP191" s="625">
        <f>IF($AO191="上ヒゲ陰線▼",2,IF($AO191="大陰線▼",2,IF($AO191="長い下ヒゲ(反発警戒)",-2,0)))</f>
        <v/>
      </c>
      <c r="AQ191">
        <f>IF(C191&lt;&gt;"",始値!F172,"")</f>
        <v/>
      </c>
      <c r="AR191">
        <f>IF(C191&lt;&gt;"",高値!F172,"")</f>
        <v/>
      </c>
      <c r="AS191">
        <f>IF(C191&lt;&gt;"",安値!F172,"")</f>
        <v/>
      </c>
      <c r="AT191">
        <f>IF(OR(C191="",AQ191="",AR191="",AS191="",AR191-AS191&lt;=0),"-",IF(AND(AR191-MAX(G191,AQ191)&gt;=ABS(G191-AQ191)*2,MIN(G191,AQ191)-AS191&lt;=ABS(G191-AQ191)*0.5,ABS(G191-AQ191)&gt;0),"上ヒゲ陰線▼",IF(AND(G191&lt;AQ191,ABS(G191-AQ191)&gt;=(AR191-AS191)*0.7),"大陰線▼",IF(AND(MIN(G191,AQ191)-AS191&gt;=(AR191-AS191)*0.5,AR191-MAX(G191,AQ191)&lt;=(AR191-AS191)*0.2),"長い下ヒゲ(反発)","通常"))))</f>
        <v/>
      </c>
      <c r="AU191">
        <f>IF(AT191="上ヒゲ陰線▼",2,IF(AT191="大陰線▼",2,IF(AT191="長い下ヒゲ(反発)",-2,0)))</f>
        <v/>
      </c>
    </row>
    <row r="192" ht="14.25" customHeight="1" s="574">
      <c r="A192" s="352">
        <f>IF(銘柄管理!B173&lt;&gt;"",HYPERLINK("https://kabutan.jp/stock/?code="&amp;銘柄管理!B173,"株探"),"")</f>
        <v/>
      </c>
      <c r="B192" s="225" t="n"/>
      <c r="C192" s="225">
        <f>IF(銘柄管理!B173="","",銘柄管理!B173)</f>
        <v/>
      </c>
      <c r="D192" s="225">
        <f>IF(銘柄管理!C173="","",銘柄管理!C173)</f>
        <v/>
      </c>
      <c r="E192" s="353">
        <f>IF(C192&lt;&gt;"",_xll.RssMarket(C192,"現在値"),"")</f>
        <v/>
      </c>
      <c r="F192" s="353">
        <f>IF(C192&lt;&gt;"",_xll.RssMarket(C192,"始値"),"")</f>
        <v/>
      </c>
      <c r="G192" s="225">
        <f>IF(C192&lt;&gt;"",終値!F173,"")</f>
        <v/>
      </c>
      <c r="H192" s="353">
        <f>IF(C192&lt;&gt;"",_xll.RssMarket(C192,"高値"),"")</f>
        <v/>
      </c>
      <c r="I192" s="353">
        <f>IF(C192&lt;&gt;"",_xll.RssMarket(C192,"安値"),"")</f>
        <v/>
      </c>
      <c r="J192" s="353">
        <f>IF(C192&lt;&gt;"",_xll.RssMarket(C192,"出来高"),"")</f>
        <v/>
      </c>
      <c r="K192" s="353">
        <f>IF(C192&lt;&gt;"",_xll.RssMarket(C192,"年初来高値"),"")</f>
        <v/>
      </c>
      <c r="L192" s="626">
        <f>IF(AND(E192&lt;&gt;"",K192&lt;&gt;"",K192&lt;&gt;0),(E192-K192)/K192*100,"")</f>
        <v/>
      </c>
      <c r="M192" s="353">
        <f>IF(C192&lt;&gt;"",IFERROR(AVERAGE(出来高!E173:I173),""),"")</f>
        <v/>
      </c>
      <c r="N192" s="353">
        <f>IF(C192&lt;&gt;"",IFERROR(AVERAGE(出来高!E173:AC173),""),"")</f>
        <v/>
      </c>
      <c r="O192" s="627">
        <f>IF(AND(J192&lt;&gt;"",M192&lt;&gt;"",M192&lt;&gt;0),J192/M192,"")</f>
        <v/>
      </c>
      <c r="P192" s="225">
        <f>IF(O192="","",IF(O192&gt;=2,"急増↑↑",IF(O192&gt;=1.5,"増加↑",IF(O192&gt;=1,"普通→","減少↓"))))</f>
        <v/>
      </c>
      <c r="Q192" s="225">
        <f>IF(E192="","",IF(AND(E192&lt;G192,O192&gt;=1.5),"売り▼",IF(E192&gt;G192,"様子見▲","中立→")))</f>
        <v/>
      </c>
      <c r="R192" s="353">
        <f>IF(E192&lt;&gt;"",ROUND(E192*0.92,0),"")</f>
        <v/>
      </c>
      <c r="S192" s="353">
        <f>IF(E192&lt;&gt;"",ROUND(E192*1.04,0),"")</f>
        <v/>
      </c>
      <c r="T192" s="345">
        <f>IF(C192="","",IFERROR(IF(W192&gt;=70,3,IF(W192&gt;=60,2,IF(W192&gt;=50,1,0)))+IF(X192&lt;0,2,0)+IF(AD192="下降トレンド▼",3,IF(AD192="もみ合い→",1,0))+IF(V192="年初来安値圏●",3,IF(V192="安値圏",2,0))+IF(Q192="売り▼",2,0)+IF(P192="急増↑↑",2,IF(P192="増加↑",1,0))+IF(Z192&lt;0,1,0)+IF(L192&lt;=-30,2,IF(L192&lt;=-15,1,0))+IF(AE192="25日戻り売り★",2,IF(AE192="5日戻り売り○",1,0))+N(AL192)+N(AP192)+N(AU192),0))</f>
        <v/>
      </c>
      <c r="U192" s="225">
        <f>IF(T192="","",IF(AND(T192&gt;=3,O192&gt;=1.5),"有効",IF(T192&gt;=3,"要確認","除外")))</f>
        <v/>
      </c>
      <c r="V192" s="225">
        <f>IF(AND(I192&lt;&gt;"",K192&lt;&gt;""),IF(I192&lt;=K192*0.6,"年初来安値圏●",IF(I192&lt;=K192*0.75,"安値圏","通常")),"")</f>
        <v/>
      </c>
      <c r="W192" s="628">
        <f t="array" ref="W192">IFERROR(100-100/(1+SUMPRODUCT((終値!F173:R173&gt;終値!G173:S173)*(終値!F173:R173-終値!G173:S173))/SUMPRODUCT((終値!F173:R173&lt;終値!G173:S173)*(終値!G173:S173-終値!F173:R173))),50)</f>
        <v/>
      </c>
      <c r="X192" s="357">
        <f>IF(C192&lt;&gt;"",IFERROR(SUMPRODUCT(終値!E173:P173,{0.154,0.132,0.113,0.097,0.083,0.071,0.061,0.052,0.045,0.038,0.033,0.028})/SUMPRODUCT({0.154,0.132,0.113,0.097,0.083,0.071,0.061,0.052,0.045,0.038,0.033,0.028})-SUMPRODUCT(終値!E173:AD173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2" s="225">
        <f>IF(AF192="","",AF192&amp;" | "&amp;AD192&amp;IF(AE192&lt;&gt;"なし"," "&amp;AE192,"")&amp;IF(X192&lt;0," MACD-"," MACD+")&amp;" RSI:"&amp;TEXT(W192,"0.0")&amp;IF(W192&gt;=70," [過熱]",IF(W192&lt;=30," [売られ過ぎ]",""))&amp;" 前日比:"&amp;TEXT(Z192,"+0.0;-0.0;0.0")&amp;"%"&amp;IF(V192="年初来安値圏●"," [年初来安値圏]",IF(V192="安値圏"," [安値圏]",""))&amp;IF(OR(AO192="通常",AO192="-"),""," ["&amp;AO192&amp;"]")&amp;IF(OR(AT192="通常",AT192="-"),"","前日["&amp;AT192&amp;"]")&amp;" ["&amp;T192&amp;"点]")</f>
        <v/>
      </c>
      <c r="Z192" s="629">
        <f>IF(AND(E192&lt;&gt;"",G192&lt;&gt;"",G192&lt;&gt;0),(E192-G192)/G192*100,"")</f>
        <v/>
      </c>
      <c r="AA192" s="225">
        <f>IF(OR(C192="",E192="",E192=0),"",IF(E192&gt;G192,"上昇▲",IF(E192&lt;G192,"下落▼","横ばい→")))</f>
        <v/>
      </c>
      <c r="AB192" s="353">
        <f>IF(OR(C192="",C192="TOPX",終値!E173=""),"",IFERROR(((終値!E173*0.333)+(終値!F173*0.222)+(終値!G173*0.148)+(終値!H173*0.099)+(終値!I173*0.066))/(0.333+0.222+0.148+0.099+0.066),""))</f>
        <v/>
      </c>
      <c r="AC192" s="353">
        <f>IF(OR(C192="",C192="TOPX",終値!E173=""),"",IFERROR(SUMPRODUCT((終値!E173:AC173)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2" s="225">
        <f>IF(OR(C192="",AB192="",AC192="",AB192=0,AC192=0),"",IF(AND(E192&gt;AB192,AB192&gt;AC192),"パーフェクト▲",IF(E192&gt;AC192,"上昇トレンド▲",IF(AND(E192&lt;AB192,AB192&lt;AC192),"下降トレンド▼","もみ合い→"))))</f>
        <v/>
      </c>
      <c r="AE192" s="225">
        <f>IF(OR(C192="",AB192="",AC192=""),"",IF(AND(ABS(E192-AC192)/AC192&lt;=0.02,E192&lt;AC192),"25日戻り売り★",IF(AND(ABS(E192-AB192)/AB192&lt;=0.01,E192&lt;AB192),"5日戻り売り○","なし")))</f>
        <v/>
      </c>
      <c r="AF192">
        <f>IF(T192="","",IF(銘柄管理!$F$5="上昇▲",IF(AND(AD192="下降トレンド▼",OR(AE192="25日戻り売り★",AE192="5日戻り売り○")),"★逆張り売り",IF(AND(AD192="もみ合い→",OR(AE192="25日戻り売り★",AE192="5日戻り売り○")),"○逆張り売り",IF(W192&gt;=70,IF(Z192&lt;0,"◎反落確認","△過熱・様子見"),"相場上昇・見送り"))),IF(AND(T192&gt;=12,AD192="下降トレンド▼"),"★強い売り",IF(T192&gt;=12,"★強い売り",IF(AND(T192&gt;=8,OR(AE192="25日戻り売り★",AE192="5日戻り売り○")),"◎戻り売り",IF(T192&gt;=10,"○売り候補",IF(T192&gt;=6,"△注目",IF(T192&gt;=3,"様子見","見送り"))))))))</f>
        <v/>
      </c>
      <c r="AG192">
        <f>IF(AND(T192&gt;=7,C192&lt;&gt;""),T192,0)</f>
        <v/>
      </c>
      <c r="AH192">
        <f>IF(AG192&gt;0,AG192*10000-ROW(A192),0)</f>
        <v/>
      </c>
      <c r="AI192" s="623">
        <f t="array" ref="AI192">IF(C192="","",IFERROR((INDEX(終値!$E:$E,MATCH(TEXT(C192,"0"),終値!$A:$A,0))-INDEX(終値!$E:$BL,MATCH(TEXT(C192,"0"),終値!$A:$A,0),$AN$2))/INDEX(終値!$E:$BL,MATCH(TEXT(C192,"0"),終値!$A:$A,0),$AN$2)*100,""))</f>
        <v/>
      </c>
      <c r="AJ192" s="623">
        <f t="array" ref="AJ192">IFERROR((終値!$E$5-INDEX(終値!$E$5:$BL$5,1,$AN$2))/INDEX(終値!$E$5:$BL$5,1,$AN$2)*100,"")</f>
        <v/>
      </c>
      <c r="AK192" s="624">
        <f>IF(OR(AI192="",AJ192=""),"",AI192-AJ192)</f>
        <v/>
      </c>
      <c r="AL192" s="394">
        <f>IF(AK192="","",IF(AK192&lt;-5,3,IF(AK192&lt;0,1,IF(AK192&lt;3,-1,-2))))</f>
        <v/>
      </c>
      <c r="AO192" s="398">
        <f>IF(OR($C192="",$E192="",$F192="",$H192="",$I192="",$H192-$I192&lt;=0),"-",IF(AND($H192-MAX($F192,$E192)&gt;=ABS($E192-$F192)*2,MIN($F192,$E192)-$I192&lt;=ABS($E192-$F192)*0.5,ABS($E192-$F192)&gt;0),"上ヒゲ陰線▼",IF(AND($E192&lt;$F192,ABS($E192-$F192)&gt;=($H192-$I192)*0.7),"大陰線▼",IF(AND(MIN($F192,$E192)-$I192&gt;=($H192-$I192)*0.5,$H192-MAX($F192,$E192)&lt;=($H192-$I192)*0.2),"長い下ヒゲ(反発警戒)","通常"))))</f>
        <v/>
      </c>
      <c r="AP192" s="625">
        <f>IF($AO192="上ヒゲ陰線▼",2,IF($AO192="大陰線▼",2,IF($AO192="長い下ヒゲ(反発警戒)",-2,0)))</f>
        <v/>
      </c>
      <c r="AQ192">
        <f>IF(C192&lt;&gt;"",始値!F173,"")</f>
        <v/>
      </c>
      <c r="AR192">
        <f>IF(C192&lt;&gt;"",高値!F173,"")</f>
        <v/>
      </c>
      <c r="AS192">
        <f>IF(C192&lt;&gt;"",安値!F173,"")</f>
        <v/>
      </c>
      <c r="AT192">
        <f>IF(OR(C192="",AQ192="",AR192="",AS192="",AR192-AS192&lt;=0),"-",IF(AND(AR192-MAX(G192,AQ192)&gt;=ABS(G192-AQ192)*2,MIN(G192,AQ192)-AS192&lt;=ABS(G192-AQ192)*0.5,ABS(G192-AQ192)&gt;0),"上ヒゲ陰線▼",IF(AND(G192&lt;AQ192,ABS(G192-AQ192)&gt;=(AR192-AS192)*0.7),"大陰線▼",IF(AND(MIN(G192,AQ192)-AS192&gt;=(AR192-AS192)*0.5,AR192-MAX(G192,AQ192)&lt;=(AR192-AS192)*0.2),"長い下ヒゲ(反発)","通常"))))</f>
        <v/>
      </c>
      <c r="AU192">
        <f>IF(AT192="上ヒゲ陰線▼",2,IF(AT192="大陰線▼",2,IF(AT192="長い下ヒゲ(反発)",-2,0)))</f>
        <v/>
      </c>
    </row>
    <row r="193" ht="14.25" customHeight="1" s="574">
      <c r="A193" s="344">
        <f>IF(銘柄管理!B186&lt;&gt;"",HYPERLINK("https://kabutan.jp/stock/?code="&amp;銘柄管理!B186,"株探"),"")</f>
        <v/>
      </c>
      <c r="B193" s="345" t="n"/>
      <c r="C193" s="345">
        <f>IF(銘柄管理!B186="","",銘柄管理!B186)</f>
        <v/>
      </c>
      <c r="D193" s="345">
        <f>IF(銘柄管理!C186="","",銘柄管理!C186)</f>
        <v/>
      </c>
      <c r="E193" s="346">
        <f>IF(C193&lt;&gt;"",_xll.RssMarket(C193,"現在値"),"")</f>
        <v/>
      </c>
      <c r="F193" s="346">
        <f>IF(C193&lt;&gt;"",_xll.RssMarket(C193,"始値"),"")</f>
        <v/>
      </c>
      <c r="G193" s="345">
        <f>IF(C193&lt;&gt;"",終値!F186,"")</f>
        <v/>
      </c>
      <c r="H193" s="346">
        <f>IF(C193&lt;&gt;"",_xll.RssMarket(C193,"高値"),"")</f>
        <v/>
      </c>
      <c r="I193" s="346">
        <f>IF(C193&lt;&gt;"",_xll.RssMarket(C193,"安値"),"")</f>
        <v/>
      </c>
      <c r="J193" s="346">
        <f>IF(C193&lt;&gt;"",_xll.RssMarket(C193,"出来高"),"")</f>
        <v/>
      </c>
      <c r="K193" s="346">
        <f>IF(C193&lt;&gt;"",_xll.RssMarket(C193,"年初来高値"),"")</f>
        <v/>
      </c>
      <c r="L193" s="619">
        <f>IF(AND(E193&lt;&gt;"",K193&lt;&gt;"",K193&lt;&gt;0),(E193-K193)/K193*100,"")</f>
        <v/>
      </c>
      <c r="M193" s="346">
        <f>IF(C193&lt;&gt;"",IFERROR(AVERAGE(出来高!E186:I186),""),"")</f>
        <v/>
      </c>
      <c r="N193" s="346">
        <f>IF(C193&lt;&gt;"",IFERROR(AVERAGE(出来高!E186:AC186),""),"")</f>
        <v/>
      </c>
      <c r="O193" s="620">
        <f>IF(AND(J193&lt;&gt;"",M193&lt;&gt;"",M193&lt;&gt;0),J193/M193,"")</f>
        <v/>
      </c>
      <c r="P193" s="345">
        <f>IF(O193="","",IF(O193&gt;=2,"急増↑↑",IF(O193&gt;=1.5,"増加↑",IF(O193&gt;=1,"普通→","減少↓"))))</f>
        <v/>
      </c>
      <c r="Q193" s="345">
        <f>IF(E193="","",IF(AND(E193&lt;G193,O193&gt;=1.5),"売り▼",IF(E193&gt;G193,"様子見▲","中立→")))</f>
        <v/>
      </c>
      <c r="R193" s="346">
        <f>IF(E193&lt;&gt;"",ROUND(E193*0.92,0),"")</f>
        <v/>
      </c>
      <c r="S193" s="346">
        <f>IF(E193&lt;&gt;"",ROUND(E193*1.04,0),"")</f>
        <v/>
      </c>
      <c r="T193" s="345">
        <f>IF(C193="","",IFERROR(IF(W193&gt;=70,3,IF(W193&gt;=60,2,IF(W193&gt;=50,1,0)))+IF(X193&lt;0,2,0)+IF(AD193="下降トレンド▼",3,IF(AD193="もみ合い→",1,0))+IF(V193="年初来安値圏●",3,IF(V193="安値圏",2,0))+IF(Q193="売り▼",2,0)+IF(P193="急増↑↑",2,IF(P193="増加↑",1,0))+IF(Z193&lt;0,1,0)+IF(L193&lt;=-30,2,IF(L193&lt;=-15,1,0))+IF(AE193="25日戻り売り★",2,IF(AE193="5日戻り売り○",1,0))+N(AL193)+N(AP193)+N(AU193),0))</f>
        <v/>
      </c>
      <c r="U193" s="345">
        <f>IF(T193="","",IF(AND(T193&gt;=3,O193&gt;=1.5),"有効",IF(T193&gt;=3,"要確認","除外")))</f>
        <v/>
      </c>
      <c r="V193" s="345">
        <f>IF(AND(I193&lt;&gt;"",K193&lt;&gt;""),IF(I193&lt;=K193*0.6,"年初来安値圏●",IF(I193&lt;=K193*0.75,"安値圏","通常")),"")</f>
        <v/>
      </c>
      <c r="W193" s="621">
        <f t="array" ref="W193">IFERROR(100-100/(1+SUMPRODUCT((終値!F186:R186&gt;終値!G186:S186)*(終値!F186:R186-終値!G186:S186))/SUMPRODUCT((終値!F186:R186&lt;終値!G186:S186)*(終値!G186:S186-終値!F186:R186))),50)</f>
        <v/>
      </c>
      <c r="X193" s="350">
        <f>IF(C193&lt;&gt;"",IFERROR(SUMPRODUCT(終値!E186:P186,{0.154,0.132,0.113,0.097,0.083,0.071,0.061,0.052,0.045,0.038,0.033,0.028})/SUMPRODUCT({0.154,0.132,0.113,0.097,0.083,0.071,0.061,0.052,0.045,0.038,0.033,0.028})-SUMPRODUCT(終値!E186:AD186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3" s="345">
        <f>IF(AF193="","",AF193&amp;" | "&amp;AD193&amp;IF(AE193&lt;&gt;"なし"," "&amp;AE193,"")&amp;IF(X193&lt;0," MACD-"," MACD+")&amp;" RSI:"&amp;TEXT(W193,"0.0")&amp;IF(W193&gt;=70," [過熱]",IF(W193&lt;=30," [売られ過ぎ]",""))&amp;" 前日比:"&amp;TEXT(Z193,"+0.0;-0.0;0.0")&amp;"%"&amp;IF(V193="年初来安値圏●"," [年初来安値圏]",IF(V193="安値圏"," [安値圏]",""))&amp;IF(OR(AO193="通常",AO193="-"),""," ["&amp;AO193&amp;"]")&amp;IF(OR(AT193="通常",AT193="-"),"","前日["&amp;AT193&amp;"]")&amp;" ["&amp;T193&amp;"点]")</f>
        <v/>
      </c>
      <c r="Z193" s="622">
        <f>IF(AND(E193&lt;&gt;"",G193&lt;&gt;"",G193&lt;&gt;0),(E193-G193)/G193*100,"")</f>
        <v/>
      </c>
      <c r="AA193" s="345">
        <f>IF(OR(C193="",E193="",E193=0),"",IF(E193&gt;G193,"上昇▲",IF(E193&lt;G193,"下落▼","横ばい→")))</f>
        <v/>
      </c>
      <c r="AB193" s="346">
        <f>IF(OR(C193="",C193="TOPX",終値!E186=""),"",IFERROR(((終値!E186*0.333)+(終値!F186*0.222)+(終値!G186*0.148)+(終値!H186*0.099)+(終値!I186*0.066))/(0.333+0.222+0.148+0.099+0.066),""))</f>
        <v/>
      </c>
      <c r="AC193" s="346">
        <f>IF(OR(C193="",C193="TOPX",終値!E186=""),"",IFERROR(SUMPRODUCT((終値!E186:AC186)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3" s="345">
        <f>IF(OR(C193="",AB193="",AC193="",AB193=0,AC193=0),"",IF(AND(E193&gt;AB193,AB193&gt;AC193),"パーフェクト▲",IF(E193&gt;AC193,"上昇トレンド▲",IF(AND(E193&lt;AB193,AB193&lt;AC193),"下降トレンド▼","もみ合い→"))))</f>
        <v/>
      </c>
      <c r="AE193" s="345">
        <f>IF(OR(C193="",AB193="",AC193=""),"",IF(AND(ABS(E193-AC193)/AC193&lt;=0.02,E193&lt;AC193),"25日戻り売り★",IF(AND(ABS(E193-AB193)/AB193&lt;=0.01,E193&lt;AB193),"5日戻り売り○","なし")))</f>
        <v/>
      </c>
      <c r="AF193">
        <f>IF(T193="","",IF(銘柄管理!$F$5="上昇▲",IF(AND(AD193="下降トレンド▼",OR(AE193="25日戻り売り★",AE193="5日戻り売り○")),"★逆張り売り",IF(AND(AD193="もみ合い→",OR(AE193="25日戻り売り★",AE193="5日戻り売り○")),"○逆張り売り",IF(W193&gt;=70,IF(Z193&lt;0,"◎反落確認","△過熱・様子見"),"相場上昇・見送り"))),IF(AND(T193&gt;=12,AD193="下降トレンド▼"),"★強い売り",IF(T193&gt;=12,"★強い売り",IF(AND(T193&gt;=8,OR(AE193="25日戻り売り★",AE193="5日戻り売り○")),"◎戻り売り",IF(T193&gt;=10,"○売り候補",IF(T193&gt;=6,"△注目",IF(T193&gt;=3,"様子見","見送り"))))))))</f>
        <v/>
      </c>
      <c r="AG193">
        <f>IF(AND(T193&gt;=7,C193&lt;&gt;""),T193,0)</f>
        <v/>
      </c>
      <c r="AH193">
        <f>IF(AG193&gt;0,AG193*10000-ROW(A193),0)</f>
        <v/>
      </c>
      <c r="AI193" s="623">
        <f t="array" ref="AI193">IF(C193="","",IFERROR((INDEX(終値!$E:$E,MATCH(TEXT(C193,"0"),終値!$A:$A,0))-INDEX(終値!$E:$BL,MATCH(TEXT(C193,"0"),終値!$A:$A,0),$AN$2))/INDEX(終値!$E:$BL,MATCH(TEXT(C193,"0"),終値!$A:$A,0),$AN$2)*100,""))</f>
        <v/>
      </c>
      <c r="AJ193" s="623">
        <f t="array" ref="AJ193">IFERROR((終値!$E$5-INDEX(終値!$E$5:$BL$5,1,$AN$2))/INDEX(終値!$E$5:$BL$5,1,$AN$2)*100,"")</f>
        <v/>
      </c>
      <c r="AK193" s="624">
        <f>IF(OR(AI193="",AJ193=""),"",AI193-AJ193)</f>
        <v/>
      </c>
      <c r="AL193" s="394">
        <f>IF(AK193="","",IF(AK193&lt;-5,3,IF(AK193&lt;0,1,IF(AK193&lt;3,-1,-2))))</f>
        <v/>
      </c>
      <c r="AO193" s="398">
        <f>IF(OR($C193="",$E193="",$F193="",$H193="",$I193="",$H193-$I193&lt;=0),"-",IF(AND($H193-MAX($F193,$E193)&gt;=ABS($E193-$F193)*2,MIN($F193,$E193)-$I193&lt;=ABS($E193-$F193)*0.5,ABS($E193-$F193)&gt;0),"上ヒゲ陰線▼",IF(AND($E193&lt;$F193,ABS($E193-$F193)&gt;=($H193-$I193)*0.7),"大陰線▼",IF(AND(MIN($F193,$E193)-$I193&gt;=($H193-$I193)*0.5,$H193-MAX($F193,$E193)&lt;=($H193-$I193)*0.2),"長い下ヒゲ(反発警戒)","通常"))))</f>
        <v/>
      </c>
      <c r="AP193" s="625">
        <f>IF($AO193="上ヒゲ陰線▼",2,IF($AO193="大陰線▼",2,IF($AO193="長い下ヒゲ(反発警戒)",-2,0)))</f>
        <v/>
      </c>
      <c r="AQ193">
        <f>IF(C193&lt;&gt;"",始値!F186,"")</f>
        <v/>
      </c>
      <c r="AR193">
        <f>IF(C193&lt;&gt;"",高値!F186,"")</f>
        <v/>
      </c>
      <c r="AS193">
        <f>IF(C193&lt;&gt;"",安値!F186,"")</f>
        <v/>
      </c>
      <c r="AT193">
        <f>IF(OR(C193="",AQ193="",AR193="",AS193="",AR193-AS193&lt;=0),"-",IF(AND(AR193-MAX(G193,AQ193)&gt;=ABS(G193-AQ193)*2,MIN(G193,AQ193)-AS193&lt;=ABS(G193-AQ193)*0.5,ABS(G193-AQ193)&gt;0),"上ヒゲ陰線▼",IF(AND(G193&lt;AQ193,ABS(G193-AQ193)&gt;=(AR193-AS193)*0.7),"大陰線▼",IF(AND(MIN(G193,AQ193)-AS193&gt;=(AR193-AS193)*0.5,AR193-MAX(G193,AQ193)&lt;=(AR193-AS193)*0.2),"長い下ヒゲ(反発)","通常"))))</f>
        <v/>
      </c>
      <c r="AU193">
        <f>IF(AT193="上ヒゲ陰線▼",2,IF(AT193="大陰線▼",2,IF(AT193="長い下ヒゲ(反発)",-2,0)))</f>
        <v/>
      </c>
    </row>
    <row r="194" ht="14.25" customHeight="1" s="574">
      <c r="A194" s="352">
        <f>IF(銘柄管理!B191&lt;&gt;"",HYPERLINK("https://kabutan.jp/stock/?code="&amp;銘柄管理!B191,"株探"),"")</f>
        <v/>
      </c>
      <c r="B194" s="225" t="n"/>
      <c r="C194" s="225">
        <f>IF(銘柄管理!B191="","",銘柄管理!B191)</f>
        <v/>
      </c>
      <c r="D194" s="225">
        <f>IF(銘柄管理!C191="","",銘柄管理!C191)</f>
        <v/>
      </c>
      <c r="E194" s="353">
        <f>IF(C194&lt;&gt;"",_xll.RssMarket(C194,"現在値"),"")</f>
        <v/>
      </c>
      <c r="F194" s="353">
        <f>IF(C194&lt;&gt;"",_xll.RssMarket(C194,"始値"),"")</f>
        <v/>
      </c>
      <c r="G194" s="225">
        <f>IF(C194&lt;&gt;"",終値!F191,"")</f>
        <v/>
      </c>
      <c r="H194" s="353">
        <f>IF(C194&lt;&gt;"",_xll.RssMarket(C194,"高値"),"")</f>
        <v/>
      </c>
      <c r="I194" s="353">
        <f>IF(C194&lt;&gt;"",_xll.RssMarket(C194,"安値"),"")</f>
        <v/>
      </c>
      <c r="J194" s="353">
        <f>IF(C194&lt;&gt;"",_xll.RssMarket(C194,"出来高"),"")</f>
        <v/>
      </c>
      <c r="K194" s="353">
        <f>IF(C194&lt;&gt;"",_xll.RssMarket(C194,"年初来高値"),"")</f>
        <v/>
      </c>
      <c r="L194" s="626">
        <f>IF(AND(E194&lt;&gt;"",K194&lt;&gt;"",K194&lt;&gt;0),(E194-K194)/K194*100,"")</f>
        <v/>
      </c>
      <c r="M194" s="353">
        <f>IF(C194&lt;&gt;"",IFERROR(AVERAGE(出来高!E191:I191),""),"")</f>
        <v/>
      </c>
      <c r="N194" s="353">
        <f>IF(C194&lt;&gt;"",IFERROR(AVERAGE(出来高!E191:AC191),""),"")</f>
        <v/>
      </c>
      <c r="O194" s="627">
        <f>IF(AND(J194&lt;&gt;"",M194&lt;&gt;"",M194&lt;&gt;0),J194/M194,"")</f>
        <v/>
      </c>
      <c r="P194" s="225">
        <f>IF(O194="","",IF(O194&gt;=2,"急増↑↑",IF(O194&gt;=1.5,"増加↑",IF(O194&gt;=1,"普通→","減少↓"))))</f>
        <v/>
      </c>
      <c r="Q194" s="225">
        <f>IF(E194="","",IF(AND(E194&lt;G194,O194&gt;=1.5),"売り▼",IF(E194&gt;G194,"様子見▲","中立→")))</f>
        <v/>
      </c>
      <c r="R194" s="353">
        <f>IF(E194&lt;&gt;"",ROUND(E194*0.92,0),"")</f>
        <v/>
      </c>
      <c r="S194" s="353">
        <f>IF(E194&lt;&gt;"",ROUND(E194*1.04,0),"")</f>
        <v/>
      </c>
      <c r="T194" s="345">
        <f>IF(C194="","",IFERROR(IF(W194&gt;=70,3,IF(W194&gt;=60,2,IF(W194&gt;=50,1,0)))+IF(X194&lt;0,2,0)+IF(AD194="下降トレンド▼",3,IF(AD194="もみ合い→",1,0))+IF(V194="年初来安値圏●",3,IF(V194="安値圏",2,0))+IF(Q194="売り▼",2,0)+IF(P194="急増↑↑",2,IF(P194="増加↑",1,0))+IF(Z194&lt;0,1,0)+IF(L194&lt;=-30,2,IF(L194&lt;=-15,1,0))+IF(AE194="25日戻り売り★",2,IF(AE194="5日戻り売り○",1,0))+N(AL194)+N(AP194)+N(AU194),0))</f>
        <v/>
      </c>
      <c r="U194" s="225">
        <f>IF(T194="","",IF(AND(T194&gt;=3,O194&gt;=1.5),"有効",IF(T194&gt;=3,"要確認","除外")))</f>
        <v/>
      </c>
      <c r="V194" s="225">
        <f>IF(AND(I194&lt;&gt;"",K194&lt;&gt;""),IF(I194&lt;=K194*0.6,"年初来安値圏●",IF(I194&lt;=K194*0.75,"安値圏","通常")),"")</f>
        <v/>
      </c>
      <c r="W194" s="628">
        <f t="array" ref="W194">IFERROR(100-100/(1+SUMPRODUCT((終値!F191:R191&gt;終値!G191:S191)*(終値!F191:R191-終値!G191:S191))/SUMPRODUCT((終値!F191:R191&lt;終値!G191:S191)*(終値!G191:S191-終値!F191:R191))),50)</f>
        <v/>
      </c>
      <c r="X194" s="357">
        <f>IF(C194&lt;&gt;"",IFERROR(SUMPRODUCT(終値!E191:P191,{0.154,0.132,0.113,0.097,0.083,0.071,0.061,0.052,0.045,0.038,0.033,0.028})/SUMPRODUCT({0.154,0.132,0.113,0.097,0.083,0.071,0.061,0.052,0.045,0.038,0.033,0.028})-SUMPRODUCT(終値!E191:AD191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4" s="225">
        <f>IF(AF194="","",AF194&amp;" | "&amp;AD194&amp;IF(AE194&lt;&gt;"なし"," "&amp;AE194,"")&amp;IF(X194&lt;0," MACD-"," MACD+")&amp;" RSI:"&amp;TEXT(W194,"0.0")&amp;IF(W194&gt;=70," [過熱]",IF(W194&lt;=30," [売られ過ぎ]",""))&amp;" 前日比:"&amp;TEXT(Z194,"+0.0;-0.0;0.0")&amp;"%"&amp;IF(V194="年初来安値圏●"," [年初来安値圏]",IF(V194="安値圏"," [安値圏]",""))&amp;IF(OR(AO194="通常",AO194="-"),""," ["&amp;AO194&amp;"]")&amp;IF(OR(AT194="通常",AT194="-"),"","前日["&amp;AT194&amp;"]")&amp;" ["&amp;T194&amp;"点]")</f>
        <v/>
      </c>
      <c r="Z194" s="629">
        <f>IF(AND(E194&lt;&gt;"",G194&lt;&gt;"",G194&lt;&gt;0),(E194-G194)/G194*100,"")</f>
        <v/>
      </c>
      <c r="AA194" s="225">
        <f>IF(OR(C194="",E194="",E194=0),"",IF(E194&gt;G194,"上昇▲",IF(E194&lt;G194,"下落▼","横ばい→")))</f>
        <v/>
      </c>
      <c r="AB194" s="353">
        <f>IF(OR(C194="",C194="TOPX",終値!E191=""),"",IFERROR(((終値!E191*0.333)+(終値!F191*0.222)+(終値!G191*0.148)+(終値!H191*0.099)+(終値!I191*0.066))/(0.333+0.222+0.148+0.099+0.066),""))</f>
        <v/>
      </c>
      <c r="AC194" s="353">
        <f>IF(OR(C194="",C194="TOPX",終値!E191=""),"",IFERROR(SUMPRODUCT((終値!E191:AC191)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4" s="225">
        <f>IF(OR(C194="",AB194="",AC194="",AB194=0,AC194=0),"",IF(AND(E194&gt;AB194,AB194&gt;AC194),"パーフェクト▲",IF(E194&gt;AC194,"上昇トレンド▲",IF(AND(E194&lt;AB194,AB194&lt;AC194),"下降トレンド▼","もみ合い→"))))</f>
        <v/>
      </c>
      <c r="AE194" s="225">
        <f>IF(OR(C194="",AB194="",AC194=""),"",IF(AND(ABS(E194-AC194)/AC194&lt;=0.02,E194&lt;AC194),"25日戻り売り★",IF(AND(ABS(E194-AB194)/AB194&lt;=0.01,E194&lt;AB194),"5日戻り売り○","なし")))</f>
        <v/>
      </c>
      <c r="AF194">
        <f>IF(T194="","",IF(銘柄管理!$F$5="上昇▲",IF(AND(AD194="下降トレンド▼",OR(AE194="25日戻り売り★",AE194="5日戻り売り○")),"★逆張り売り",IF(AND(AD194="もみ合い→",OR(AE194="25日戻り売り★",AE194="5日戻り売り○")),"○逆張り売り",IF(W194&gt;=70,IF(Z194&lt;0,"◎反落確認","△過熱・様子見"),"相場上昇・見送り"))),IF(AND(T194&gt;=12,AD194="下降トレンド▼"),"★強い売り",IF(T194&gt;=12,"★強い売り",IF(AND(T194&gt;=8,OR(AE194="25日戻り売り★",AE194="5日戻り売り○")),"◎戻り売り",IF(T194&gt;=10,"○売り候補",IF(T194&gt;=6,"△注目",IF(T194&gt;=3,"様子見","見送り"))))))))</f>
        <v/>
      </c>
      <c r="AG194">
        <f>IF(AND(T194&gt;=7,C194&lt;&gt;""),T194,0)</f>
        <v/>
      </c>
      <c r="AH194">
        <f>IF(AG194&gt;0,AG194*10000-ROW(A194),0)</f>
        <v/>
      </c>
      <c r="AI194" s="623">
        <f t="array" ref="AI194">IF(C194="","",IFERROR((INDEX(終値!$E:$E,MATCH(TEXT(C194,"0"),終値!$A:$A,0))-INDEX(終値!$E:$BL,MATCH(TEXT(C194,"0"),終値!$A:$A,0),$AN$2))/INDEX(終値!$E:$BL,MATCH(TEXT(C194,"0"),終値!$A:$A,0),$AN$2)*100,""))</f>
        <v/>
      </c>
      <c r="AJ194" s="623">
        <f t="array" ref="AJ194">IFERROR((終値!$E$5-INDEX(終値!$E$5:$BL$5,1,$AN$2))/INDEX(終値!$E$5:$BL$5,1,$AN$2)*100,"")</f>
        <v/>
      </c>
      <c r="AK194" s="624">
        <f>IF(OR(AI194="",AJ194=""),"",AI194-AJ194)</f>
        <v/>
      </c>
      <c r="AL194" s="394">
        <f>IF(AK194="","",IF(AK194&lt;-5,3,IF(AK194&lt;0,1,IF(AK194&lt;3,-1,-2))))</f>
        <v/>
      </c>
      <c r="AO194" s="398">
        <f>IF(OR($C194="",$E194="",$F194="",$H194="",$I194="",$H194-$I194&lt;=0),"-",IF(AND($H194-MAX($F194,$E194)&gt;=ABS($E194-$F194)*2,MIN($F194,$E194)-$I194&lt;=ABS($E194-$F194)*0.5,ABS($E194-$F194)&gt;0),"上ヒゲ陰線▼",IF(AND($E194&lt;$F194,ABS($E194-$F194)&gt;=($H194-$I194)*0.7),"大陰線▼",IF(AND(MIN($F194,$E194)-$I194&gt;=($H194-$I194)*0.5,$H194-MAX($F194,$E194)&lt;=($H194-$I194)*0.2),"長い下ヒゲ(反発警戒)","通常"))))</f>
        <v/>
      </c>
      <c r="AP194" s="625">
        <f>IF($AO194="上ヒゲ陰線▼",2,IF($AO194="大陰線▼",2,IF($AO194="長い下ヒゲ(反発警戒)",-2,0)))</f>
        <v/>
      </c>
      <c r="AQ194">
        <f>IF(C194&lt;&gt;"",始値!F191,"")</f>
        <v/>
      </c>
      <c r="AR194">
        <f>IF(C194&lt;&gt;"",高値!F191,"")</f>
        <v/>
      </c>
      <c r="AS194">
        <f>IF(C194&lt;&gt;"",安値!F191,"")</f>
        <v/>
      </c>
      <c r="AT194">
        <f>IF(OR(C194="",AQ194="",AR194="",AS194="",AR194-AS194&lt;=0),"-",IF(AND(AR194-MAX(G194,AQ194)&gt;=ABS(G194-AQ194)*2,MIN(G194,AQ194)-AS194&lt;=ABS(G194-AQ194)*0.5,ABS(G194-AQ194)&gt;0),"上ヒゲ陰線▼",IF(AND(G194&lt;AQ194,ABS(G194-AQ194)&gt;=(AR194-AS194)*0.7),"大陰線▼",IF(AND(MIN(G194,AQ194)-AS194&gt;=(AR194-AS194)*0.5,AR194-MAX(G194,AQ194)&lt;=(AR194-AS194)*0.2),"長い下ヒゲ(反発)","通常"))))</f>
        <v/>
      </c>
      <c r="AU194">
        <f>IF(AT194="上ヒゲ陰線▼",2,IF(AT194="大陰線▼",2,IF(AT194="長い下ヒゲ(反発)",-2,0)))</f>
        <v/>
      </c>
    </row>
    <row r="195" ht="14.25" customHeight="1" s="574">
      <c r="A195" s="344">
        <f>IF(銘柄管理!B192&lt;&gt;"",HYPERLINK("https://kabutan.jp/stock/?code="&amp;銘柄管理!B192,"株探"),"")</f>
        <v/>
      </c>
      <c r="B195" s="345" t="n"/>
      <c r="C195" s="345">
        <f>IF(銘柄管理!B192="","",銘柄管理!B192)</f>
        <v/>
      </c>
      <c r="D195" s="345">
        <f>IF(銘柄管理!C192="","",銘柄管理!C192)</f>
        <v/>
      </c>
      <c r="E195" s="346">
        <f>IF(C195&lt;&gt;"",_xll.RssMarket(C195,"現在値"),"")</f>
        <v/>
      </c>
      <c r="F195" s="346">
        <f>IF(C195&lt;&gt;"",_xll.RssMarket(C195,"始値"),"")</f>
        <v/>
      </c>
      <c r="G195" s="345">
        <f>IF(C195&lt;&gt;"",終値!F192,"")</f>
        <v/>
      </c>
      <c r="H195" s="346">
        <f>IF(C195&lt;&gt;"",_xll.RssMarket(C195,"高値"),"")</f>
        <v/>
      </c>
      <c r="I195" s="346">
        <f>IF(C195&lt;&gt;"",_xll.RssMarket(C195,"安値"),"")</f>
        <v/>
      </c>
      <c r="J195" s="346">
        <f>IF(C195&lt;&gt;"",_xll.RssMarket(C195,"出来高"),"")</f>
        <v/>
      </c>
      <c r="K195" s="346">
        <f>IF(C195&lt;&gt;"",_xll.RssMarket(C195,"年初来高値"),"")</f>
        <v/>
      </c>
      <c r="L195" s="619">
        <f>IF(AND(E195&lt;&gt;"",K195&lt;&gt;"",K195&lt;&gt;0),(E195-K195)/K195*100,"")</f>
        <v/>
      </c>
      <c r="M195" s="346">
        <f>IF(C195&lt;&gt;"",IFERROR(AVERAGE(出来高!E192:I192),""),"")</f>
        <v/>
      </c>
      <c r="N195" s="346">
        <f>IF(C195&lt;&gt;"",IFERROR(AVERAGE(出来高!E192:AC192),""),"")</f>
        <v/>
      </c>
      <c r="O195" s="620">
        <f>IF(AND(J195&lt;&gt;"",M195&lt;&gt;"",M195&lt;&gt;0),J195/M195,"")</f>
        <v/>
      </c>
      <c r="P195" s="345">
        <f>IF(O195="","",IF(O195&gt;=2,"急増↑↑",IF(O195&gt;=1.5,"増加↑",IF(O195&gt;=1,"普通→","減少↓"))))</f>
        <v/>
      </c>
      <c r="Q195" s="345">
        <f>IF(E195="","",IF(AND(E195&lt;G195,O195&gt;=1.5),"売り▼",IF(E195&gt;G195,"様子見▲","中立→")))</f>
        <v/>
      </c>
      <c r="R195" s="346">
        <f>IF(E195&lt;&gt;"",ROUND(E195*0.92,0),"")</f>
        <v/>
      </c>
      <c r="S195" s="346">
        <f>IF(E195&lt;&gt;"",ROUND(E195*1.04,0),"")</f>
        <v/>
      </c>
      <c r="T195" s="345">
        <f>IF(C195="","",IFERROR(IF(W195&gt;=70,3,IF(W195&gt;=60,2,IF(W195&gt;=50,1,0)))+IF(X195&lt;0,2,0)+IF(AD195="下降トレンド▼",3,IF(AD195="もみ合い→",1,0))+IF(V195="年初来安値圏●",3,IF(V195="安値圏",2,0))+IF(Q195="売り▼",2,0)+IF(P195="急増↑↑",2,IF(P195="増加↑",1,0))+IF(Z195&lt;0,1,0)+IF(L195&lt;=-30,2,IF(L195&lt;=-15,1,0))+IF(AE195="25日戻り売り★",2,IF(AE195="5日戻り売り○",1,0))+N(AL195)+N(AP195)+N(AU195),0))</f>
        <v/>
      </c>
      <c r="U195" s="345">
        <f>IF(T195="","",IF(AND(T195&gt;=3,O195&gt;=1.5),"有効",IF(T195&gt;=3,"要確認","除外")))</f>
        <v/>
      </c>
      <c r="V195" s="345">
        <f>IF(AND(I195&lt;&gt;"",K195&lt;&gt;""),IF(I195&lt;=K195*0.6,"年初来安値圏●",IF(I195&lt;=K195*0.75,"安値圏","通常")),"")</f>
        <v/>
      </c>
      <c r="W195" s="621">
        <f t="array" ref="W195">IFERROR(100-100/(1+SUMPRODUCT((終値!F192:R192&gt;終値!G192:S192)*(終値!F192:R192-終値!G192:S192))/SUMPRODUCT((終値!F192:R192&lt;終値!G192:S192)*(終値!G192:S192-終値!F192:R192))),50)</f>
        <v/>
      </c>
      <c r="X195" s="350">
        <f>IF(C195&lt;&gt;"",IFERROR(SUMPRODUCT(終値!E192:P192,{0.154,0.132,0.113,0.097,0.083,0.071,0.061,0.052,0.045,0.038,0.033,0.028})/SUMPRODUCT({0.154,0.132,0.113,0.097,0.083,0.071,0.061,0.052,0.045,0.038,0.033,0.028})-SUMPRODUCT(終値!E192:AD192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5" s="345">
        <f>IF(AF195="","",AF195&amp;" | "&amp;AD195&amp;IF(AE195&lt;&gt;"なし"," "&amp;AE195,"")&amp;IF(X195&lt;0," MACD-"," MACD+")&amp;" RSI:"&amp;TEXT(W195,"0.0")&amp;IF(W195&gt;=70," [過熱]",IF(W195&lt;=30," [売られ過ぎ]",""))&amp;" 前日比:"&amp;TEXT(Z195,"+0.0;-0.0;0.0")&amp;"%"&amp;IF(V195="年初来安値圏●"," [年初来安値圏]",IF(V195="安値圏"," [安値圏]",""))&amp;IF(OR(AO195="通常",AO195="-"),""," ["&amp;AO195&amp;"]")&amp;IF(OR(AT195="通常",AT195="-"),"","前日["&amp;AT195&amp;"]")&amp;" ["&amp;T195&amp;"点]")</f>
        <v/>
      </c>
      <c r="Z195" s="622">
        <f>IF(AND(E195&lt;&gt;"",G195&lt;&gt;"",G195&lt;&gt;0),(E195-G195)/G195*100,"")</f>
        <v/>
      </c>
      <c r="AA195" s="345">
        <f>IF(OR(C195="",E195="",E195=0),"",IF(E195&gt;G195,"上昇▲",IF(E195&lt;G195,"下落▼","横ばい→")))</f>
        <v/>
      </c>
      <c r="AB195" s="346">
        <f>IF(OR(C195="",C195="TOPX",終値!E192=""),"",IFERROR(((終値!E192*0.333)+(終値!F192*0.222)+(終値!G192*0.148)+(終値!H192*0.099)+(終値!I192*0.066))/(0.333+0.222+0.148+0.099+0.066),""))</f>
        <v/>
      </c>
      <c r="AC195" s="346">
        <f>IF(OR(C195="",C195="TOPX",終値!E192=""),"",IFERROR(SUMPRODUCT((終値!E192:AC192)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5" s="345">
        <f>IF(OR(C195="",AB195="",AC195="",AB195=0,AC195=0),"",IF(AND(E195&gt;AB195,AB195&gt;AC195),"パーフェクト▲",IF(E195&gt;AC195,"上昇トレンド▲",IF(AND(E195&lt;AB195,AB195&lt;AC195),"下降トレンド▼","もみ合い→"))))</f>
        <v/>
      </c>
      <c r="AE195" s="345">
        <f>IF(OR(C195="",AB195="",AC195=""),"",IF(AND(ABS(E195-AC195)/AC195&lt;=0.02,E195&lt;AC195),"25日戻り売り★",IF(AND(ABS(E195-AB195)/AB195&lt;=0.01,E195&lt;AB195),"5日戻り売り○","なし")))</f>
        <v/>
      </c>
      <c r="AF195">
        <f>IF(T195="","",IF(銘柄管理!$F$5="上昇▲",IF(AND(AD195="下降トレンド▼",OR(AE195="25日戻り売り★",AE195="5日戻り売り○")),"★逆張り売り",IF(AND(AD195="もみ合い→",OR(AE195="25日戻り売り★",AE195="5日戻り売り○")),"○逆張り売り",IF(W195&gt;=70,IF(Z195&lt;0,"◎反落確認","△過熱・様子見"),"相場上昇・見送り"))),IF(AND(T195&gt;=12,AD195="下降トレンド▼"),"★強い売り",IF(T195&gt;=12,"★強い売り",IF(AND(T195&gt;=8,OR(AE195="25日戻り売り★",AE195="5日戻り売り○")),"◎戻り売り",IF(T195&gt;=10,"○売り候補",IF(T195&gt;=6,"△注目",IF(T195&gt;=3,"様子見","見送り"))))))))</f>
        <v/>
      </c>
      <c r="AG195">
        <f>IF(AND(T195&gt;=7,C195&lt;&gt;""),T195,0)</f>
        <v/>
      </c>
      <c r="AH195">
        <f>IF(AG195&gt;0,AG195*10000-ROW(A195),0)</f>
        <v/>
      </c>
      <c r="AI195" s="623">
        <f t="array" ref="AI195">IF(C195="","",IFERROR((INDEX(終値!$E:$E,MATCH(TEXT(C195,"0"),終値!$A:$A,0))-INDEX(終値!$E:$BL,MATCH(TEXT(C195,"0"),終値!$A:$A,0),$AN$2))/INDEX(終値!$E:$BL,MATCH(TEXT(C195,"0"),終値!$A:$A,0),$AN$2)*100,""))</f>
        <v/>
      </c>
      <c r="AJ195" s="623">
        <f t="array" ref="AJ195">IFERROR((終値!$E$5-INDEX(終値!$E$5:$BL$5,1,$AN$2))/INDEX(終値!$E$5:$BL$5,1,$AN$2)*100,"")</f>
        <v/>
      </c>
      <c r="AK195" s="624">
        <f>IF(OR(AI195="",AJ195=""),"",AI195-AJ195)</f>
        <v/>
      </c>
      <c r="AL195" s="394">
        <f>IF(AK195="","",IF(AK195&lt;-5,3,IF(AK195&lt;0,1,IF(AK195&lt;3,-1,-2))))</f>
        <v/>
      </c>
      <c r="AO195" s="398">
        <f>IF(OR($C195="",$E195="",$F195="",$H195="",$I195="",$H195-$I195&lt;=0),"-",IF(AND($H195-MAX($F195,$E195)&gt;=ABS($E195-$F195)*2,MIN($F195,$E195)-$I195&lt;=ABS($E195-$F195)*0.5,ABS($E195-$F195)&gt;0),"上ヒゲ陰線▼",IF(AND($E195&lt;$F195,ABS($E195-$F195)&gt;=($H195-$I195)*0.7),"大陰線▼",IF(AND(MIN($F195,$E195)-$I195&gt;=($H195-$I195)*0.5,$H195-MAX($F195,$E195)&lt;=($H195-$I195)*0.2),"長い下ヒゲ(反発警戒)","通常"))))</f>
        <v/>
      </c>
      <c r="AP195" s="625">
        <f>IF($AO195="上ヒゲ陰線▼",2,IF($AO195="大陰線▼",2,IF($AO195="長い下ヒゲ(反発警戒)",-2,0)))</f>
        <v/>
      </c>
      <c r="AQ195">
        <f>IF(C195&lt;&gt;"",始値!F192,"")</f>
        <v/>
      </c>
      <c r="AR195">
        <f>IF(C195&lt;&gt;"",高値!F192,"")</f>
        <v/>
      </c>
      <c r="AS195">
        <f>IF(C195&lt;&gt;"",安値!F192,"")</f>
        <v/>
      </c>
      <c r="AT195">
        <f>IF(OR(C195="",AQ195="",AR195="",AS195="",AR195-AS195&lt;=0),"-",IF(AND(AR195-MAX(G195,AQ195)&gt;=ABS(G195-AQ195)*2,MIN(G195,AQ195)-AS195&lt;=ABS(G195-AQ195)*0.5,ABS(G195-AQ195)&gt;0),"上ヒゲ陰線▼",IF(AND(G195&lt;AQ195,ABS(G195-AQ195)&gt;=(AR195-AS195)*0.7),"大陰線▼",IF(AND(MIN(G195,AQ195)-AS195&gt;=(AR195-AS195)*0.5,AR195-MAX(G195,AQ195)&lt;=(AR195-AS195)*0.2),"長い下ヒゲ(反発)","通常"))))</f>
        <v/>
      </c>
      <c r="AU195">
        <f>IF(AT195="上ヒゲ陰線▼",2,IF(AT195="大陰線▼",2,IF(AT195="長い下ヒゲ(反発)",-2,0)))</f>
        <v/>
      </c>
    </row>
    <row r="196" ht="14.25" customHeight="1" s="574">
      <c r="A196" s="352">
        <f>IF(銘柄管理!B194&lt;&gt;"",HYPERLINK("https://kabutan.jp/stock/?code="&amp;銘柄管理!B194,"株探"),"")</f>
        <v/>
      </c>
      <c r="B196" s="225" t="n"/>
      <c r="C196" s="225">
        <f>IF(銘柄管理!B194="","",銘柄管理!B194)</f>
        <v/>
      </c>
      <c r="D196" s="225">
        <f>IF(銘柄管理!C194="","",銘柄管理!C194)</f>
        <v/>
      </c>
      <c r="E196" s="353">
        <f>IF(C196&lt;&gt;"",_xll.RssMarket(C196,"現在値"),"")</f>
        <v/>
      </c>
      <c r="F196" s="353">
        <f>IF(C196&lt;&gt;"",_xll.RssMarket(C196,"始値"),"")</f>
        <v/>
      </c>
      <c r="G196" s="225">
        <f>IF(C196&lt;&gt;"",終値!F194,"")</f>
        <v/>
      </c>
      <c r="H196" s="353">
        <f>IF(C196&lt;&gt;"",_xll.RssMarket(C196,"高値"),"")</f>
        <v/>
      </c>
      <c r="I196" s="353">
        <f>IF(C196&lt;&gt;"",_xll.RssMarket(C196,"安値"),"")</f>
        <v/>
      </c>
      <c r="J196" s="353">
        <f>IF(C196&lt;&gt;"",_xll.RssMarket(C196,"出来高"),"")</f>
        <v/>
      </c>
      <c r="K196" s="353">
        <f>IF(C196&lt;&gt;"",_xll.RssMarket(C196,"年初来高値"),"")</f>
        <v/>
      </c>
      <c r="L196" s="626">
        <f>IF(AND(E196&lt;&gt;"",K196&lt;&gt;"",K196&lt;&gt;0),(E196-K196)/K196*100,"")</f>
        <v/>
      </c>
      <c r="M196" s="353">
        <f>IF(C196&lt;&gt;"",IFERROR(AVERAGE(出来高!E194:I194),""),"")</f>
        <v/>
      </c>
      <c r="N196" s="353">
        <f>IF(C196&lt;&gt;"",IFERROR(AVERAGE(出来高!E194:AC194),""),"")</f>
        <v/>
      </c>
      <c r="O196" s="627">
        <f>IF(AND(J196&lt;&gt;"",M196&lt;&gt;"",M196&lt;&gt;0),J196/M196,"")</f>
        <v/>
      </c>
      <c r="P196" s="225">
        <f>IF(O196="","",IF(O196&gt;=2,"急増↑↑",IF(O196&gt;=1.5,"増加↑",IF(O196&gt;=1,"普通→","減少↓"))))</f>
        <v/>
      </c>
      <c r="Q196" s="225">
        <f>IF(E196="","",IF(AND(E196&lt;G196,O196&gt;=1.5),"売り▼",IF(E196&gt;G196,"様子見▲","中立→")))</f>
        <v/>
      </c>
      <c r="R196" s="353">
        <f>IF(E196&lt;&gt;"",ROUND(E196*0.92,0),"")</f>
        <v/>
      </c>
      <c r="S196" s="353">
        <f>IF(E196&lt;&gt;"",ROUND(E196*1.04,0),"")</f>
        <v/>
      </c>
      <c r="T196" s="345">
        <f>IF(C196="","",IFERROR(IF(W196&gt;=70,3,IF(W196&gt;=60,2,IF(W196&gt;=50,1,0)))+IF(X196&lt;0,2,0)+IF(AD196="下降トレンド▼",3,IF(AD196="もみ合い→",1,0))+IF(V196="年初来安値圏●",3,IF(V196="安値圏",2,0))+IF(Q196="売り▼",2,0)+IF(P196="急増↑↑",2,IF(P196="増加↑",1,0))+IF(Z196&lt;0,1,0)+IF(L196&lt;=-30,2,IF(L196&lt;=-15,1,0))+IF(AE196="25日戻り売り★",2,IF(AE196="5日戻り売り○",1,0))+N(AL196)+N(AP196)+N(AU196),0))</f>
        <v/>
      </c>
      <c r="U196" s="225">
        <f>IF(T196="","",IF(AND(T196&gt;=3,O196&gt;=1.5),"有効",IF(T196&gt;=3,"要確認","除外")))</f>
        <v/>
      </c>
      <c r="V196" s="225">
        <f>IF(AND(I196&lt;&gt;"",K196&lt;&gt;""),IF(I196&lt;=K196*0.6,"年初来安値圏●",IF(I196&lt;=K196*0.75,"安値圏","通常")),"")</f>
        <v/>
      </c>
      <c r="W196" s="628">
        <f t="array" ref="W196">IFERROR(100-100/(1+SUMPRODUCT((終値!F194:R194&gt;終値!G194:S194)*(終値!F194:R194-終値!G194:S194))/SUMPRODUCT((終値!F194:R194&lt;終値!G194:S194)*(終値!G194:S194-終値!F194:R194))),50)</f>
        <v/>
      </c>
      <c r="X196" s="357">
        <f>IF(C196&lt;&gt;"",IFERROR(SUMPRODUCT(終値!E194:P194,{0.154,0.132,0.113,0.097,0.083,0.071,0.061,0.052,0.045,0.038,0.033,0.028})/SUMPRODUCT({0.154,0.132,0.113,0.097,0.083,0.071,0.061,0.052,0.045,0.038,0.033,0.028})-SUMPRODUCT(終値!E194:AD194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6" s="225">
        <f>IF(AF196="","",AF196&amp;" | "&amp;AD196&amp;IF(AE196&lt;&gt;"なし"," "&amp;AE196,"")&amp;IF(X196&lt;0," MACD-"," MACD+")&amp;" RSI:"&amp;TEXT(W196,"0.0")&amp;IF(W196&gt;=70," [過熱]",IF(W196&lt;=30," [売られ過ぎ]",""))&amp;" 前日比:"&amp;TEXT(Z196,"+0.0;-0.0;0.0")&amp;"%"&amp;IF(V196="年初来安値圏●"," [年初来安値圏]",IF(V196="安値圏"," [安値圏]",""))&amp;IF(OR(AO196="通常",AO196="-"),""," ["&amp;AO196&amp;"]")&amp;IF(OR(AT196="通常",AT196="-"),"","前日["&amp;AT196&amp;"]")&amp;" ["&amp;T196&amp;"点]")</f>
        <v/>
      </c>
      <c r="Z196" s="629">
        <f>IF(AND(E196&lt;&gt;"",G196&lt;&gt;"",G196&lt;&gt;0),(E196-G196)/G196*100,"")</f>
        <v/>
      </c>
      <c r="AA196" s="225">
        <f>IF(OR(C196="",E196="",E196=0),"",IF(E196&gt;G196,"上昇▲",IF(E196&lt;G196,"下落▼","横ばい→")))</f>
        <v/>
      </c>
      <c r="AB196" s="353">
        <f>IF(OR(C196="",C196="TOPX",終値!E194=""),"",IFERROR(((終値!E194*0.333)+(終値!F194*0.222)+(終値!G194*0.148)+(終値!H194*0.099)+(終値!I194*0.066))/(0.333+0.222+0.148+0.099+0.066),""))</f>
        <v/>
      </c>
      <c r="AC196" s="353">
        <f>IF(OR(C196="",C196="TOPX",終値!E194=""),"",IFERROR(SUMPRODUCT((終値!E194:AC194)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6" s="225">
        <f>IF(OR(C196="",AB196="",AC196="",AB196=0,AC196=0),"",IF(AND(E196&gt;AB196,AB196&gt;AC196),"パーフェクト▲",IF(E196&gt;AC196,"上昇トレンド▲",IF(AND(E196&lt;AB196,AB196&lt;AC196),"下降トレンド▼","もみ合い→"))))</f>
        <v/>
      </c>
      <c r="AE196" s="225">
        <f>IF(OR(C196="",AB196="",AC196=""),"",IF(AND(ABS(E196-AC196)/AC196&lt;=0.02,E196&lt;AC196),"25日戻り売り★",IF(AND(ABS(E196-AB196)/AB196&lt;=0.01,E196&lt;AB196),"5日戻り売り○","なし")))</f>
        <v/>
      </c>
      <c r="AF196">
        <f>IF(T196="","",IF(銘柄管理!$F$5="上昇▲",IF(AND(AD196="下降トレンド▼",OR(AE196="25日戻り売り★",AE196="5日戻り売り○")),"★逆張り売り",IF(AND(AD196="もみ合い→",OR(AE196="25日戻り売り★",AE196="5日戻り売り○")),"○逆張り売り",IF(W196&gt;=70,IF(Z196&lt;0,"◎反落確認","△過熱・様子見"),"相場上昇・見送り"))),IF(AND(T196&gt;=12,AD196="下降トレンド▼"),"★強い売り",IF(T196&gt;=12,"★強い売り",IF(AND(T196&gt;=8,OR(AE196="25日戻り売り★",AE196="5日戻り売り○")),"◎戻り売り",IF(T196&gt;=10,"○売り候補",IF(T196&gt;=6,"△注目",IF(T196&gt;=3,"様子見","見送り"))))))))</f>
        <v/>
      </c>
      <c r="AG196">
        <f>IF(AND(T196&gt;=7,C196&lt;&gt;""),T196,0)</f>
        <v/>
      </c>
      <c r="AH196">
        <f>IF(AG196&gt;0,AG196*10000-ROW(A196),0)</f>
        <v/>
      </c>
      <c r="AI196" s="623">
        <f t="array" ref="AI196">IF(C196="","",IFERROR((INDEX(終値!$E:$E,MATCH(TEXT(C196,"0"),終値!$A:$A,0))-INDEX(終値!$E:$BL,MATCH(TEXT(C196,"0"),終値!$A:$A,0),$AN$2))/INDEX(終値!$E:$BL,MATCH(TEXT(C196,"0"),終値!$A:$A,0),$AN$2)*100,""))</f>
        <v/>
      </c>
      <c r="AJ196" s="623">
        <f t="array" ref="AJ196">IFERROR((終値!$E$5-INDEX(終値!$E$5:$BL$5,1,$AN$2))/INDEX(終値!$E$5:$BL$5,1,$AN$2)*100,"")</f>
        <v/>
      </c>
      <c r="AK196" s="624">
        <f>IF(OR(AI196="",AJ196=""),"",AI196-AJ196)</f>
        <v/>
      </c>
      <c r="AL196" s="394">
        <f>IF(AK196="","",IF(AK196&lt;-5,3,IF(AK196&lt;0,1,IF(AK196&lt;3,-1,-2))))</f>
        <v/>
      </c>
      <c r="AO196" s="398">
        <f>IF(OR($C196="",$E196="",$F196="",$H196="",$I196="",$H196-$I196&lt;=0),"-",IF(AND($H196-MAX($F196,$E196)&gt;=ABS($E196-$F196)*2,MIN($F196,$E196)-$I196&lt;=ABS($E196-$F196)*0.5,ABS($E196-$F196)&gt;0),"上ヒゲ陰線▼",IF(AND($E196&lt;$F196,ABS($E196-$F196)&gt;=($H196-$I196)*0.7),"大陰線▼",IF(AND(MIN($F196,$E196)-$I196&gt;=($H196-$I196)*0.5,$H196-MAX($F196,$E196)&lt;=($H196-$I196)*0.2),"長い下ヒゲ(反発警戒)","通常"))))</f>
        <v/>
      </c>
      <c r="AP196" s="625">
        <f>IF($AO196="上ヒゲ陰線▼",2,IF($AO196="大陰線▼",2,IF($AO196="長い下ヒゲ(反発警戒)",-2,0)))</f>
        <v/>
      </c>
      <c r="AQ196">
        <f>IF(C196&lt;&gt;"",始値!F194,"")</f>
        <v/>
      </c>
      <c r="AR196">
        <f>IF(C196&lt;&gt;"",高値!F194,"")</f>
        <v/>
      </c>
      <c r="AS196">
        <f>IF(C196&lt;&gt;"",安値!F194,"")</f>
        <v/>
      </c>
      <c r="AT196">
        <f>IF(OR(C196="",AQ196="",AR196="",AS196="",AR196-AS196&lt;=0),"-",IF(AND(AR196-MAX(G196,AQ196)&gt;=ABS(G196-AQ196)*2,MIN(G196,AQ196)-AS196&lt;=ABS(G196-AQ196)*0.5,ABS(G196-AQ196)&gt;0),"上ヒゲ陰線▼",IF(AND(G196&lt;AQ196,ABS(G196-AQ196)&gt;=(AR196-AS196)*0.7),"大陰線▼",IF(AND(MIN(G196,AQ196)-AS196&gt;=(AR196-AS196)*0.5,AR196-MAX(G196,AQ196)&lt;=(AR196-AS196)*0.2),"長い下ヒゲ(反発)","通常"))))</f>
        <v/>
      </c>
      <c r="AU196">
        <f>IF(AT196="上ヒゲ陰線▼",2,IF(AT196="大陰線▼",2,IF(AT196="長い下ヒゲ(反発)",-2,0)))</f>
        <v/>
      </c>
    </row>
    <row r="197" ht="14.25" customHeight="1" s="574">
      <c r="A197" s="344">
        <f>IF(銘柄管理!B207&lt;&gt;"",HYPERLINK("https://kabutan.jp/stock/?code="&amp;銘柄管理!B207,"株探"),"")</f>
        <v/>
      </c>
      <c r="B197" s="345" t="n"/>
      <c r="C197" s="345">
        <f>IF(銘柄管理!B207="","",銘柄管理!B207)</f>
        <v/>
      </c>
      <c r="D197" s="345">
        <f>IF(銘柄管理!C207="","",銘柄管理!C207)</f>
        <v/>
      </c>
      <c r="E197" s="346">
        <f>IF(C197&lt;&gt;"",_xll.RssMarket(C197,"現在値"),"")</f>
        <v/>
      </c>
      <c r="F197" s="346">
        <f>IF(C197&lt;&gt;"",_xll.RssMarket(C197,"始値"),"")</f>
        <v/>
      </c>
      <c r="G197" s="345">
        <f>IF(C197&lt;&gt;"",終値!F207,"")</f>
        <v/>
      </c>
      <c r="H197" s="346">
        <f>IF(C197&lt;&gt;"",_xll.RssMarket(C197,"高値"),"")</f>
        <v/>
      </c>
      <c r="I197" s="346">
        <f>IF(C197&lt;&gt;"",_xll.RssMarket(C197,"安値"),"")</f>
        <v/>
      </c>
      <c r="J197" s="346">
        <f>IF(C197&lt;&gt;"",_xll.RssMarket(C197,"出来高"),"")</f>
        <v/>
      </c>
      <c r="K197" s="346">
        <f>IF(C197&lt;&gt;"",_xll.RssMarket(C197,"年初来高値"),"")</f>
        <v/>
      </c>
      <c r="L197" s="619">
        <f>IF(AND(E197&lt;&gt;"",K197&lt;&gt;"",K197&lt;&gt;0),(E197-K197)/K197*100,"")</f>
        <v/>
      </c>
      <c r="M197" s="346">
        <f>IF(C197&lt;&gt;"",IFERROR(AVERAGE(出来高!E207:I207),""),"")</f>
        <v/>
      </c>
      <c r="N197" s="346">
        <f>IF(C197&lt;&gt;"",IFERROR(AVERAGE(出来高!E207:AC207),""),"")</f>
        <v/>
      </c>
      <c r="O197" s="620">
        <f>IF(AND(J197&lt;&gt;"",M197&lt;&gt;"",M197&lt;&gt;0),J197/M197,"")</f>
        <v/>
      </c>
      <c r="P197" s="345">
        <f>IF(O197="","",IF(O197&gt;=2,"急増↑↑",IF(O197&gt;=1.5,"増加↑",IF(O197&gt;=1,"普通→","減少↓"))))</f>
        <v/>
      </c>
      <c r="Q197" s="345">
        <f>IF(E197="","",IF(AND(E197&lt;G197,O197&gt;=1.5),"売り▼",IF(E197&gt;G197,"様子見▲","中立→")))</f>
        <v/>
      </c>
      <c r="R197" s="346">
        <f>IF(E197&lt;&gt;"",ROUND(E197*0.92,0),"")</f>
        <v/>
      </c>
      <c r="S197" s="346">
        <f>IF(E197&lt;&gt;"",ROUND(E197*1.04,0),"")</f>
        <v/>
      </c>
      <c r="T197" s="345">
        <f>IF(C197="","",IFERROR(IF(W197&gt;=70,3,IF(W197&gt;=60,2,IF(W197&gt;=50,1,0)))+IF(X197&lt;0,2,0)+IF(AD197="下降トレンド▼",3,IF(AD197="もみ合い→",1,0))+IF(V197="年初来安値圏●",3,IF(V197="安値圏",2,0))+IF(Q197="売り▼",2,0)+IF(P197="急増↑↑",2,IF(P197="増加↑",1,0))+IF(Z197&lt;0,1,0)+IF(L197&lt;=-30,2,IF(L197&lt;=-15,1,0))+IF(AE197="25日戻り売り★",2,IF(AE197="5日戻り売り○",1,0))+N(AL197)+N(AP197)+N(AU197),0))</f>
        <v/>
      </c>
      <c r="U197" s="345">
        <f>IF(T197="","",IF(AND(T197&gt;=3,O197&gt;=1.5),"有効",IF(T197&gt;=3,"要確認","除外")))</f>
        <v/>
      </c>
      <c r="V197" s="345">
        <f>IF(AND(I197&lt;&gt;"",K197&lt;&gt;""),IF(I197&lt;=K197*0.6,"年初来安値圏●",IF(I197&lt;=K197*0.75,"安値圏","通常")),"")</f>
        <v/>
      </c>
      <c r="W197" s="621">
        <f t="array" ref="W197">IFERROR(100-100/(1+SUMPRODUCT((終値!F207:R207&gt;終値!G207:S207)*(終値!F207:R207-終値!G207:S207))/SUMPRODUCT((終値!F207:R207&lt;終値!G207:S207)*(終値!G207:S207-終値!F207:R207))),50)</f>
        <v/>
      </c>
      <c r="X197" s="350">
        <f>IF(C197&lt;&gt;"",IFERROR(SUMPRODUCT(終値!E207:P207,{0.154,0.132,0.113,0.097,0.083,0.071,0.061,0.052,0.045,0.038,0.033,0.028})/SUMPRODUCT({0.154,0.132,0.113,0.097,0.083,0.071,0.061,0.052,0.045,0.038,0.033,0.028})-SUMPRODUCT(終値!E207:AD207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7" s="345">
        <f>IF(AF197="","",AF197&amp;" | "&amp;AD197&amp;IF(AE197&lt;&gt;"なし"," "&amp;AE197,"")&amp;IF(X197&lt;0," MACD-"," MACD+")&amp;" RSI:"&amp;TEXT(W197,"0.0")&amp;IF(W197&gt;=70," [過熱]",IF(W197&lt;=30," [売られ過ぎ]",""))&amp;" 前日比:"&amp;TEXT(Z197,"+0.0;-0.0;0.0")&amp;"%"&amp;IF(V197="年初来安値圏●"," [年初来安値圏]",IF(V197="安値圏"," [安値圏]",""))&amp;IF(OR(AO197="通常",AO197="-"),""," ["&amp;AO197&amp;"]")&amp;IF(OR(AT197="通常",AT197="-"),"","前日["&amp;AT197&amp;"]")&amp;" ["&amp;T197&amp;"点]")</f>
        <v/>
      </c>
      <c r="Z197" s="622">
        <f>IF(AND(E197&lt;&gt;"",G197&lt;&gt;"",G197&lt;&gt;0),(E197-G197)/G197*100,"")</f>
        <v/>
      </c>
      <c r="AA197" s="345">
        <f>IF(OR(C197="",E197="",E197=0),"",IF(E197&gt;G197,"上昇▲",IF(E197&lt;G197,"下落▼","横ばい→")))</f>
        <v/>
      </c>
      <c r="AB197" s="346">
        <f>IF(OR(C197="",C197="TOPX",終値!E207=""),"",IFERROR(((終値!E207*0.333)+(終値!F207*0.222)+(終値!G207*0.148)+(終値!H207*0.099)+(終値!I207*0.066))/(0.333+0.222+0.148+0.099+0.066),""))</f>
        <v/>
      </c>
      <c r="AC197" s="346">
        <f>IF(OR(C197="",C197="TOPX",終値!E207=""),"",IFERROR(SUMPRODUCT((終値!E207:AC207)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7" s="345">
        <f>IF(OR(C197="",AB197="",AC197="",AB197=0,AC197=0),"",IF(AND(E197&gt;AB197,AB197&gt;AC197),"パーフェクト▲",IF(E197&gt;AC197,"上昇トレンド▲",IF(AND(E197&lt;AB197,AB197&lt;AC197),"下降トレンド▼","もみ合い→"))))</f>
        <v/>
      </c>
      <c r="AE197" s="345">
        <f>IF(OR(C197="",AB197="",AC197=""),"",IF(AND(ABS(E197-AC197)/AC197&lt;=0.02,E197&lt;AC197),"25日戻り売り★",IF(AND(ABS(E197-AB197)/AB197&lt;=0.01,E197&lt;AB197),"5日戻り売り○","なし")))</f>
        <v/>
      </c>
      <c r="AF197">
        <f>IF(T197="","",IF(銘柄管理!$F$5="上昇▲",IF(AND(AD197="下降トレンド▼",OR(AE197="25日戻り売り★",AE197="5日戻り売り○")),"★逆張り売り",IF(AND(AD197="もみ合い→",OR(AE197="25日戻り売り★",AE197="5日戻り売り○")),"○逆張り売り",IF(W197&gt;=70,IF(Z197&lt;0,"◎反落確認","△過熱・様子見"),"相場上昇・見送り"))),IF(AND(T197&gt;=12,AD197="下降トレンド▼"),"★強い売り",IF(T197&gt;=12,"★強い売り",IF(AND(T197&gt;=8,OR(AE197="25日戻り売り★",AE197="5日戻り売り○")),"◎戻り売り",IF(T197&gt;=10,"○売り候補",IF(T197&gt;=6,"△注目",IF(T197&gt;=3,"様子見","見送り"))))))))</f>
        <v/>
      </c>
      <c r="AG197">
        <f>IF(AND(T197&gt;=7,C197&lt;&gt;""),T197,0)</f>
        <v/>
      </c>
      <c r="AH197">
        <f>IF(AG197&gt;0,AG197*10000-ROW(A197),0)</f>
        <v/>
      </c>
      <c r="AI197" s="623">
        <f t="array" ref="AI197">IF(C197="","",IFERROR((INDEX(終値!$E:$E,MATCH(TEXT(C197,"0"),終値!$A:$A,0))-INDEX(終値!$E:$BL,MATCH(TEXT(C197,"0"),終値!$A:$A,0),$AN$2))/INDEX(終値!$E:$BL,MATCH(TEXT(C197,"0"),終値!$A:$A,0),$AN$2)*100,""))</f>
        <v/>
      </c>
      <c r="AJ197" s="623">
        <f t="array" ref="AJ197">IFERROR((終値!$E$5-INDEX(終値!$E$5:$BL$5,1,$AN$2))/INDEX(終値!$E$5:$BL$5,1,$AN$2)*100,"")</f>
        <v/>
      </c>
      <c r="AK197" s="624">
        <f>IF(OR(AI197="",AJ197=""),"",AI197-AJ197)</f>
        <v/>
      </c>
      <c r="AL197" s="394">
        <f>IF(AK197="","",IF(AK197&lt;-5,3,IF(AK197&lt;0,1,IF(AK197&lt;3,-1,-2))))</f>
        <v/>
      </c>
      <c r="AO197" s="398">
        <f>IF(OR($C197="",$E197="",$F197="",$H197="",$I197="",$H197-$I197&lt;=0),"-",IF(AND($H197-MAX($F197,$E197)&gt;=ABS($E197-$F197)*2,MIN($F197,$E197)-$I197&lt;=ABS($E197-$F197)*0.5,ABS($E197-$F197)&gt;0),"上ヒゲ陰線▼",IF(AND($E197&lt;$F197,ABS($E197-$F197)&gt;=($H197-$I197)*0.7),"大陰線▼",IF(AND(MIN($F197,$E197)-$I197&gt;=($H197-$I197)*0.5,$H197-MAX($F197,$E197)&lt;=($H197-$I197)*0.2),"長い下ヒゲ(反発警戒)","通常"))))</f>
        <v/>
      </c>
      <c r="AP197" s="625">
        <f>IF($AO197="上ヒゲ陰線▼",2,IF($AO197="大陰線▼",2,IF($AO197="長い下ヒゲ(反発警戒)",-2,0)))</f>
        <v/>
      </c>
      <c r="AQ197">
        <f>IF(C197&lt;&gt;"",始値!F207,"")</f>
        <v/>
      </c>
      <c r="AR197">
        <f>IF(C197&lt;&gt;"",高値!F207,"")</f>
        <v/>
      </c>
      <c r="AS197">
        <f>IF(C197&lt;&gt;"",安値!F207,"")</f>
        <v/>
      </c>
      <c r="AT197">
        <f>IF(OR(C197="",AQ197="",AR197="",AS197="",AR197-AS197&lt;=0),"-",IF(AND(AR197-MAX(G197,AQ197)&gt;=ABS(G197-AQ197)*2,MIN(G197,AQ197)-AS197&lt;=ABS(G197-AQ197)*0.5,ABS(G197-AQ197)&gt;0),"上ヒゲ陰線▼",IF(AND(G197&lt;AQ197,ABS(G197-AQ197)&gt;=(AR197-AS197)*0.7),"大陰線▼",IF(AND(MIN(G197,AQ197)-AS197&gt;=(AR197-AS197)*0.5,AR197-MAX(G197,AQ197)&lt;=(AR197-AS197)*0.2),"長い下ヒゲ(反発)","通常"))))</f>
        <v/>
      </c>
      <c r="AU197">
        <f>IF(AT197="上ヒゲ陰線▼",2,IF(AT197="大陰線▼",2,IF(AT197="長い下ヒゲ(反発)",-2,0)))</f>
        <v/>
      </c>
    </row>
    <row r="198" ht="14.25" customHeight="1" s="574">
      <c r="A198" s="352">
        <f>IF(銘柄管理!B33&lt;&gt;"",HYPERLINK("https://kabutan.jp/stock/?code="&amp;銘柄管理!B33,"株探"),"")</f>
        <v/>
      </c>
      <c r="B198" s="225" t="n"/>
      <c r="C198" s="225">
        <f>IF(銘柄管理!B33="","",銘柄管理!B33)</f>
        <v/>
      </c>
      <c r="D198" s="225">
        <f>IF(銘柄管理!C33="","",銘柄管理!C33)</f>
        <v/>
      </c>
      <c r="E198" s="353">
        <f>IF(C198&lt;&gt;"",_xll.RssMarket(C198,"現在値"),"")</f>
        <v/>
      </c>
      <c r="F198" s="353">
        <f>IF(C198&lt;&gt;"",_xll.RssMarket(C198,"始値"),"")</f>
        <v/>
      </c>
      <c r="G198" s="225">
        <f>IF(C198&lt;&gt;"",終値!F33,"")</f>
        <v/>
      </c>
      <c r="H198" s="353">
        <f>IF(C198&lt;&gt;"",_xll.RssMarket(C198,"高値"),"")</f>
        <v/>
      </c>
      <c r="I198" s="353">
        <f>IF(C198&lt;&gt;"",_xll.RssMarket(C198,"安値"),"")</f>
        <v/>
      </c>
      <c r="J198" s="353">
        <f>IF(C198&lt;&gt;"",_xll.RssMarket(C198,"出来高"),"")</f>
        <v/>
      </c>
      <c r="K198" s="353">
        <f>IF(C198&lt;&gt;"",_xll.RssMarket(C198,"年初来高値"),"")</f>
        <v/>
      </c>
      <c r="L198" s="626">
        <f>IF(AND(E198&lt;&gt;"",K198&lt;&gt;"",K198&lt;&gt;0),(E198-K198)/K198*100,"")</f>
        <v/>
      </c>
      <c r="M198" s="353">
        <f>IF(C198&lt;&gt;"",IFERROR(AVERAGE(出来高!E33:I33),""),"")</f>
        <v/>
      </c>
      <c r="N198" s="353">
        <f>IF(C198&lt;&gt;"",IFERROR(AVERAGE(出来高!E33:AC33),""),"")</f>
        <v/>
      </c>
      <c r="O198" s="627">
        <f>IF(AND(J198&lt;&gt;"",M198&lt;&gt;"",M198&lt;&gt;0),J198/M198,"")</f>
        <v/>
      </c>
      <c r="P198" s="225">
        <f>IF(O198="","",IF(O198&gt;=2,"急増↑↑",IF(O198&gt;=1.5,"増加↑",IF(O198&gt;=1,"普通→","減少↓"))))</f>
        <v/>
      </c>
      <c r="Q198" s="225">
        <f>IF(E198="","",IF(AND(E198&lt;G198,O198&gt;=1.5),"売り▼",IF(E198&gt;G198,"様子見▲","中立→")))</f>
        <v/>
      </c>
      <c r="R198" s="353">
        <f>IF(E198&lt;&gt;"",ROUND(E198*0.92,0),"")</f>
        <v/>
      </c>
      <c r="S198" s="353">
        <f>IF(E198&lt;&gt;"",ROUND(E198*1.04,0),"")</f>
        <v/>
      </c>
      <c r="T198" s="345">
        <f>IF(C198="","",IFERROR(IF(W198&gt;=70,3,IF(W198&gt;=60,2,IF(W198&gt;=50,1,0)))+IF(X198&lt;0,2,0)+IF(AD198="下降トレンド▼",3,IF(AD198="もみ合い→",1,0))+IF(V198="年初来安値圏●",3,IF(V198="安値圏",2,0))+IF(Q198="売り▼",2,0)+IF(P198="急増↑↑",2,IF(P198="増加↑",1,0))+IF(Z198&lt;0,1,0)+IF(L198&lt;=-30,2,IF(L198&lt;=-15,1,0))+IF(AE198="25日戻り売り★",2,IF(AE198="5日戻り売り○",1,0))+N(AL198)+N(AP198)+N(AU198),0))</f>
        <v/>
      </c>
      <c r="U198" s="225">
        <f>IF(T198="","",IF(AND(T198&gt;=3,O198&gt;=1.5),"有効",IF(T198&gt;=3,"要確認","除外")))</f>
        <v/>
      </c>
      <c r="V198" s="225">
        <f>IF(AND(I198&lt;&gt;"",K198&lt;&gt;""),IF(I198&lt;=K198*0.6,"年初来安値圏●",IF(I198&lt;=K198*0.75,"安値圏","通常")),"")</f>
        <v/>
      </c>
      <c r="W198" s="628">
        <f t="array" ref="W198">IFERROR(100-100/(1+SUMPRODUCT((終値!F33:R33&gt;終値!G33:S33)*(終値!F33:R33-終値!G33:S33))/SUMPRODUCT((終値!F33:R33&lt;終値!G33:S33)*(終値!G33:S33-終値!F33:R33))),50)</f>
        <v/>
      </c>
      <c r="X198" s="357">
        <f>IF(C198&lt;&gt;"",IFERROR(SUMPRODUCT(終値!E33:P33,{0.154,0.132,0.113,0.097,0.083,0.071,0.061,0.052,0.045,0.038,0.033,0.028})/SUMPRODUCT({0.154,0.132,0.113,0.097,0.083,0.071,0.061,0.052,0.045,0.038,0.033,0.028})-SUMPRODUCT(終値!E33:AD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8" s="225">
        <f>IF(AF198="","",AF198&amp;" | "&amp;AD198&amp;IF(AE198&lt;&gt;"なし"," "&amp;AE198,"")&amp;IF(X198&lt;0," MACD-"," MACD+")&amp;" RSI:"&amp;TEXT(W198,"0.0")&amp;IF(W198&gt;=70," [過熱]",IF(W198&lt;=30," [売られ過ぎ]",""))&amp;" 前日比:"&amp;TEXT(Z198,"+0.0;-0.0;0.0")&amp;"%"&amp;IF(V198="年初来安値圏●"," [年初来安値圏]",IF(V198="安値圏"," [安値圏]",""))&amp;IF(OR(AO198="通常",AO198="-"),""," ["&amp;AO198&amp;"]")&amp;IF(OR(AT198="通常",AT198="-"),"","前日["&amp;AT198&amp;"]")&amp;" ["&amp;T198&amp;"点]")</f>
        <v/>
      </c>
      <c r="Z198" s="629">
        <f>IF(AND(E198&lt;&gt;"",G198&lt;&gt;"",G198&lt;&gt;0),(E198-G198)/G198*100,"")</f>
        <v/>
      </c>
      <c r="AA198" s="225">
        <f>IF(OR(C198="",E198="",E198=0),"",IF(E198&gt;G198,"上昇▲",IF(E198&lt;G198,"下落▼","横ばい→")))</f>
        <v/>
      </c>
      <c r="AB198" s="353">
        <f>IF(OR(C198="",C198="TOPX",終値!E33=""),"",IFERROR(((終値!E33*0.333)+(終値!F33*0.222)+(終値!G33*0.148)+(終値!H33*0.099)+(終値!I33*0.066))/(0.333+0.222+0.148+0.099+0.066),""))</f>
        <v/>
      </c>
      <c r="AC198" s="353">
        <f>IF(OR(C198="",C198="TOPX",終値!E33=""),"",IFERROR(SUMPRODUCT((終値!E33:AC33)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8" s="225">
        <f>IF(OR(C198="",AB198="",AC198="",AB198=0,AC198=0),"",IF(AND(E198&gt;AB198,AB198&gt;AC198),"パーフェクト▲",IF(E198&gt;AC198,"上昇トレンド▲",IF(AND(E198&lt;AB198,AB198&lt;AC198),"下降トレンド▼","もみ合い→"))))</f>
        <v/>
      </c>
      <c r="AE198" s="225">
        <f>IF(OR(C198="",AB198="",AC198=""),"",IF(AND(ABS(E198-AC198)/AC198&lt;=0.02,E198&lt;AC198),"25日戻り売り★",IF(AND(ABS(E198-AB198)/AB198&lt;=0.01,E198&lt;AB198),"5日戻り売り○","なし")))</f>
        <v/>
      </c>
      <c r="AF198">
        <f>IF(T198="","",IF(銘柄管理!$F$5="上昇▲",IF(AND(AD198="下降トレンド▼",OR(AE198="25日戻り売り★",AE198="5日戻り売り○")),"★逆張り売り",IF(AND(AD198="もみ合い→",OR(AE198="25日戻り売り★",AE198="5日戻り売り○")),"○逆張り売り",IF(W198&gt;=70,IF(Z198&lt;0,"◎反落確認","△過熱・様子見"),"相場上昇・見送り"))),IF(AND(T198&gt;=12,AD198="下降トレンド▼"),"★強い売り",IF(T198&gt;=12,"★強い売り",IF(AND(T198&gt;=8,OR(AE198="25日戻り売り★",AE198="5日戻り売り○")),"◎戻り売り",IF(T198&gt;=10,"○売り候補",IF(T198&gt;=6,"△注目",IF(T198&gt;=3,"様子見","見送り"))))))))</f>
        <v/>
      </c>
      <c r="AG198">
        <f>IF(AND(T198&gt;=7,C198&lt;&gt;""),T198,0)</f>
        <v/>
      </c>
      <c r="AH198">
        <f>IF(AG198&gt;0,AG198*10000-ROW(A198),0)</f>
        <v/>
      </c>
      <c r="AI198" s="623">
        <f t="array" ref="AI198">IF(C198="","",IFERROR((INDEX(終値!$E:$E,MATCH(TEXT(C198,"0"),終値!$A:$A,0))-INDEX(終値!$E:$BL,MATCH(TEXT(C198,"0"),終値!$A:$A,0),$AN$2))/INDEX(終値!$E:$BL,MATCH(TEXT(C198,"0"),終値!$A:$A,0),$AN$2)*100,""))</f>
        <v/>
      </c>
      <c r="AJ198" s="623">
        <f t="array" ref="AJ198">IFERROR((終値!$E$5-INDEX(終値!$E$5:$BL$5,1,$AN$2))/INDEX(終値!$E$5:$BL$5,1,$AN$2)*100,"")</f>
        <v/>
      </c>
      <c r="AK198" s="624">
        <f>IF(OR(AI198="",AJ198=""),"",AI198-AJ198)</f>
        <v/>
      </c>
      <c r="AL198" s="394">
        <f>IF(AK198="","",IF(AK198&lt;-5,3,IF(AK198&lt;0,1,IF(AK198&lt;3,-1,-2))))</f>
        <v/>
      </c>
      <c r="AO198" s="398">
        <f>IF(OR($C198="",$E198="",$F198="",$H198="",$I198="",$H198-$I198&lt;=0),"-",IF(AND($H198-MAX($F198,$E198)&gt;=ABS($E198-$F198)*2,MIN($F198,$E198)-$I198&lt;=ABS($E198-$F198)*0.5,ABS($E198-$F198)&gt;0),"上ヒゲ陰線▼",IF(AND($E198&lt;$F198,ABS($E198-$F198)&gt;=($H198-$I198)*0.7),"大陰線▼",IF(AND(MIN($F198,$E198)-$I198&gt;=($H198-$I198)*0.5,$H198-MAX($F198,$E198)&lt;=($H198-$I198)*0.2),"長い下ヒゲ(反発警戒)","通常"))))</f>
        <v/>
      </c>
      <c r="AP198" s="625">
        <f>IF($AO198="上ヒゲ陰線▼",2,IF($AO198="大陰線▼",2,IF($AO198="長い下ヒゲ(反発警戒)",-2,0)))</f>
        <v/>
      </c>
      <c r="AQ198">
        <f>IF(C198&lt;&gt;"",始値!F33,"")</f>
        <v/>
      </c>
      <c r="AR198">
        <f>IF(C198&lt;&gt;"",高値!F33,"")</f>
        <v/>
      </c>
      <c r="AS198">
        <f>IF(C198&lt;&gt;"",安値!F33,"")</f>
        <v/>
      </c>
      <c r="AT198">
        <f>IF(OR(C198="",AQ198="",AR198="",AS198="",AR198-AS198&lt;=0),"-",IF(AND(AR198-MAX(G198,AQ198)&gt;=ABS(G198-AQ198)*2,MIN(G198,AQ198)-AS198&lt;=ABS(G198-AQ198)*0.5,ABS(G198-AQ198)&gt;0),"上ヒゲ陰線▼",IF(AND(G198&lt;AQ198,ABS(G198-AQ198)&gt;=(AR198-AS198)*0.7),"大陰線▼",IF(AND(MIN(G198,AQ198)-AS198&gt;=(AR198-AS198)*0.5,AR198-MAX(G198,AQ198)&lt;=(AR198-AS198)*0.2),"長い下ヒゲ(反発)","通常"))))</f>
        <v/>
      </c>
      <c r="AU198">
        <f>IF(AT198="上ヒゲ陰線▼",2,IF(AT198="大陰線▼",2,IF(AT198="長い下ヒゲ(反発)",-2,0)))</f>
        <v/>
      </c>
    </row>
    <row r="199" ht="14.25" customHeight="1" s="574">
      <c r="A199" s="344">
        <f>IF(銘柄管理!B40&lt;&gt;"",HYPERLINK("https://kabutan.jp/stock/?code="&amp;銘柄管理!B40,"株探"),"")</f>
        <v/>
      </c>
      <c r="B199" s="345" t="n"/>
      <c r="C199" s="345">
        <f>IF(銘柄管理!B40="","",銘柄管理!B40)</f>
        <v/>
      </c>
      <c r="D199" s="345">
        <f>IF(銘柄管理!C40="","",銘柄管理!C40)</f>
        <v/>
      </c>
      <c r="E199" s="346">
        <f>IF(C199&lt;&gt;"",_xll.RssMarket(C199,"現在値"),"")</f>
        <v/>
      </c>
      <c r="F199" s="346">
        <f>IF(C199&lt;&gt;"",_xll.RssMarket(C199,"始値"),"")</f>
        <v/>
      </c>
      <c r="G199" s="345">
        <f>IF(C199&lt;&gt;"",終値!F40,"")</f>
        <v/>
      </c>
      <c r="H199" s="346">
        <f>IF(C199&lt;&gt;"",_xll.RssMarket(C199,"高値"),"")</f>
        <v/>
      </c>
      <c r="I199" s="346">
        <f>IF(C199&lt;&gt;"",_xll.RssMarket(C199,"安値"),"")</f>
        <v/>
      </c>
      <c r="J199" s="346">
        <f>IF(C199&lt;&gt;"",_xll.RssMarket(C199,"出来高"),"")</f>
        <v/>
      </c>
      <c r="K199" s="346">
        <f>IF(C199&lt;&gt;"",_xll.RssMarket(C199,"年初来高値"),"")</f>
        <v/>
      </c>
      <c r="L199" s="619">
        <f>IF(AND(E199&lt;&gt;"",K199&lt;&gt;"",K199&lt;&gt;0),(E199-K199)/K199*100,"")</f>
        <v/>
      </c>
      <c r="M199" s="346">
        <f>IF(C199&lt;&gt;"",IFERROR(AVERAGE(出来高!E40:I40),""),"")</f>
        <v/>
      </c>
      <c r="N199" s="346">
        <f>IF(C199&lt;&gt;"",IFERROR(AVERAGE(出来高!E40:AC40),""),"")</f>
        <v/>
      </c>
      <c r="O199" s="620">
        <f>IF(AND(J199&lt;&gt;"",M199&lt;&gt;"",M199&lt;&gt;0),J199/M199,"")</f>
        <v/>
      </c>
      <c r="P199" s="345">
        <f>IF(O199="","",IF(O199&gt;=2,"急増↑↑",IF(O199&gt;=1.5,"増加↑",IF(O199&gt;=1,"普通→","減少↓"))))</f>
        <v/>
      </c>
      <c r="Q199" s="345">
        <f>IF(E199="","",IF(AND(E199&lt;G199,O199&gt;=1.5),"売り▼",IF(E199&gt;G199,"様子見▲","中立→")))</f>
        <v/>
      </c>
      <c r="R199" s="346">
        <f>IF(E199&lt;&gt;"",ROUND(E199*0.92,0),"")</f>
        <v/>
      </c>
      <c r="S199" s="346">
        <f>IF(E199&lt;&gt;"",ROUND(E199*1.04,0),"")</f>
        <v/>
      </c>
      <c r="T199" s="345">
        <f>IF(C199="","",IFERROR(IF(W199&gt;=70,3,IF(W199&gt;=60,2,IF(W199&gt;=50,1,0)))+IF(X199&lt;0,2,0)+IF(AD199="下降トレンド▼",3,IF(AD199="もみ合い→",1,0))+IF(V199="年初来安値圏●",3,IF(V199="安値圏",2,0))+IF(Q199="売り▼",2,0)+IF(P199="急増↑↑",2,IF(P199="増加↑",1,0))+IF(Z199&lt;0,1,0)+IF(L199&lt;=-30,2,IF(L199&lt;=-15,1,0))+IF(AE199="25日戻り売り★",2,IF(AE199="5日戻り売り○",1,0))+N(AL199)+N(AP199)+N(AU199),0))</f>
        <v/>
      </c>
      <c r="U199" s="345">
        <f>IF(T199="","",IF(AND(T199&gt;=3,O199&gt;=1.5),"有効",IF(T199&gt;=3,"要確認","除外")))</f>
        <v/>
      </c>
      <c r="V199" s="345">
        <f>IF(AND(I199&lt;&gt;"",K199&lt;&gt;""),IF(I199&lt;=K199*0.6,"年初来安値圏●",IF(I199&lt;=K199*0.75,"安値圏","通常")),"")</f>
        <v/>
      </c>
      <c r="W199" s="621">
        <f t="array" ref="W199">IFERROR(100-100/(1+SUMPRODUCT((終値!F40:R40&gt;終値!G40:S40)*(終値!F40:R40-終値!G40:S40))/SUMPRODUCT((終値!F40:R40&lt;終値!G40:S40)*(終値!G40:S40-終値!F40:R40))),50)</f>
        <v/>
      </c>
      <c r="X199" s="350">
        <f>IF(C199&lt;&gt;"",IFERROR(SUMPRODUCT(終値!E40:P40,{0.154,0.132,0.113,0.097,0.083,0.071,0.061,0.052,0.045,0.038,0.033,0.028})/SUMPRODUCT({0.154,0.132,0.113,0.097,0.083,0.071,0.061,0.052,0.045,0.038,0.033,0.028})-SUMPRODUCT(終値!E40:AD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9" s="345">
        <f>IF(AF199="","",AF199&amp;" | "&amp;AD199&amp;IF(AE199&lt;&gt;"なし"," "&amp;AE199,"")&amp;IF(X199&lt;0," MACD-"," MACD+")&amp;" RSI:"&amp;TEXT(W199,"0.0")&amp;IF(W199&gt;=70," [過熱]",IF(W199&lt;=30," [売られ過ぎ]",""))&amp;" 前日比:"&amp;TEXT(Z199,"+0.0;-0.0;0.0")&amp;"%"&amp;IF(V199="年初来安値圏●"," [年初来安値圏]",IF(V199="安値圏"," [安値圏]",""))&amp;IF(OR(AO199="通常",AO199="-"),""," ["&amp;AO199&amp;"]")&amp;IF(OR(AT199="通常",AT199="-"),"","前日["&amp;AT199&amp;"]")&amp;" ["&amp;T199&amp;"点]")</f>
        <v/>
      </c>
      <c r="Z199" s="622">
        <f>IF(AND(E199&lt;&gt;"",G199&lt;&gt;"",G199&lt;&gt;0),(E199-G199)/G199*100,"")</f>
        <v/>
      </c>
      <c r="AA199" s="345">
        <f>IF(OR(C199="",E199="",E199=0),"",IF(E199&gt;G199,"上昇▲",IF(E199&lt;G199,"下落▼","横ばい→")))</f>
        <v/>
      </c>
      <c r="AB199" s="346">
        <f>IF(OR(C199="",C199="TOPX",終値!E40=""),"",IFERROR(((終値!E40*0.333)+(終値!F40*0.222)+(終値!G40*0.148)+(終値!H40*0.099)+(終値!I40*0.066))/(0.333+0.222+0.148+0.099+0.066),""))</f>
        <v/>
      </c>
      <c r="AC199" s="346">
        <f>IF(OR(C199="",C199="TOPX",終値!E40=""),"",IFERROR(SUMPRODUCT((終値!E40:AC40)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9" s="345">
        <f>IF(OR(C199="",AB199="",AC199="",AB199=0,AC199=0),"",IF(AND(E199&gt;AB199,AB199&gt;AC199),"パーフェクト▲",IF(E199&gt;AC199,"上昇トレンド▲",IF(AND(E199&lt;AB199,AB199&lt;AC199),"下降トレンド▼","もみ合い→"))))</f>
        <v/>
      </c>
      <c r="AE199" s="345">
        <f>IF(OR(C199="",AB199="",AC199=""),"",IF(AND(ABS(E199-AC199)/AC199&lt;=0.02,E199&lt;AC199),"25日戻り売り★",IF(AND(ABS(E199-AB199)/AB199&lt;=0.01,E199&lt;AB199),"5日戻り売り○","なし")))</f>
        <v/>
      </c>
      <c r="AF199">
        <f>IF(T199="","",IF(銘柄管理!$F$5="上昇▲",IF(AND(AD199="下降トレンド▼",OR(AE199="25日戻り売り★",AE199="5日戻り売り○")),"★逆張り売り",IF(AND(AD199="もみ合い→",OR(AE199="25日戻り売り★",AE199="5日戻り売り○")),"○逆張り売り",IF(W199&gt;=70,IF(Z199&lt;0,"◎反落確認","△過熱・様子見"),"相場上昇・見送り"))),IF(AND(T199&gt;=12,AD199="下降トレンド▼"),"★強い売り",IF(T199&gt;=12,"★強い売り",IF(AND(T199&gt;=8,OR(AE199="25日戻り売り★",AE199="5日戻り売り○")),"◎戻り売り",IF(T199&gt;=10,"○売り候補",IF(T199&gt;=6,"△注目",IF(T199&gt;=3,"様子見","見送り"))))))))</f>
        <v/>
      </c>
      <c r="AG199">
        <f>IF(AND(T199&gt;=7,C199&lt;&gt;""),T199,0)</f>
        <v/>
      </c>
      <c r="AH199">
        <f>IF(AG199&gt;0,AG199*10000-ROW(A199),0)</f>
        <v/>
      </c>
      <c r="AI199" s="623">
        <f t="array" ref="AI199">IF(C199="","",IFERROR((INDEX(終値!$E:$E,MATCH(TEXT(C199,"0"),終値!$A:$A,0))-INDEX(終値!$E:$BL,MATCH(TEXT(C199,"0"),終値!$A:$A,0),$AN$2))/INDEX(終値!$E:$BL,MATCH(TEXT(C199,"0"),終値!$A:$A,0),$AN$2)*100,""))</f>
        <v/>
      </c>
      <c r="AJ199" s="623">
        <f t="array" ref="AJ199">IFERROR((終値!$E$5-INDEX(終値!$E$5:$BL$5,1,$AN$2))/INDEX(終値!$E$5:$BL$5,1,$AN$2)*100,"")</f>
        <v/>
      </c>
      <c r="AK199" s="624">
        <f>IF(OR(AI199="",AJ199=""),"",AI199-AJ199)</f>
        <v/>
      </c>
      <c r="AL199" s="394">
        <f>IF(AK199="","",IF(AK199&lt;-5,3,IF(AK199&lt;0,1,IF(AK199&lt;3,-1,-2))))</f>
        <v/>
      </c>
      <c r="AO199" s="398">
        <f>IF(OR($C199="",$E199="",$F199="",$H199="",$I199="",$H199-$I199&lt;=0),"-",IF(AND($H199-MAX($F199,$E199)&gt;=ABS($E199-$F199)*2,MIN($F199,$E199)-$I199&lt;=ABS($E199-$F199)*0.5,ABS($E199-$F199)&gt;0),"上ヒゲ陰線▼",IF(AND($E199&lt;$F199,ABS($E199-$F199)&gt;=($H199-$I199)*0.7),"大陰線▼",IF(AND(MIN($F199,$E199)-$I199&gt;=($H199-$I199)*0.5,$H199-MAX($F199,$E199)&lt;=($H199-$I199)*0.2),"長い下ヒゲ(反発警戒)","通常"))))</f>
        <v/>
      </c>
      <c r="AP199" s="625">
        <f>IF($AO199="上ヒゲ陰線▼",2,IF($AO199="大陰線▼",2,IF($AO199="長い下ヒゲ(反発警戒)",-2,0)))</f>
        <v/>
      </c>
      <c r="AQ199">
        <f>IF(C199&lt;&gt;"",始値!F40,"")</f>
        <v/>
      </c>
      <c r="AR199">
        <f>IF(C199&lt;&gt;"",高値!F40,"")</f>
        <v/>
      </c>
      <c r="AS199">
        <f>IF(C199&lt;&gt;"",安値!F40,"")</f>
        <v/>
      </c>
      <c r="AT199">
        <f>IF(OR(C199="",AQ199="",AR199="",AS199="",AR199-AS199&lt;=0),"-",IF(AND(AR199-MAX(G199,AQ199)&gt;=ABS(G199-AQ199)*2,MIN(G199,AQ199)-AS199&lt;=ABS(G199-AQ199)*0.5,ABS(G199-AQ199)&gt;0),"上ヒゲ陰線▼",IF(AND(G199&lt;AQ199,ABS(G199-AQ199)&gt;=(AR199-AS199)*0.7),"大陰線▼",IF(AND(MIN(G199,AQ199)-AS199&gt;=(AR199-AS199)*0.5,AR199-MAX(G199,AQ199)&lt;=(AR199-AS199)*0.2),"長い下ヒゲ(反発)","通常"))))</f>
        <v/>
      </c>
      <c r="AU199">
        <f>IF(AT199="上ヒゲ陰線▼",2,IF(AT199="大陰線▼",2,IF(AT199="長い下ヒゲ(反発)",-2,0)))</f>
        <v/>
      </c>
    </row>
    <row r="200" ht="14.25" customHeight="1" s="574">
      <c r="A200" s="352">
        <f>IF(銘柄管理!B43&lt;&gt;"",HYPERLINK("https://kabutan.jp/stock/?code="&amp;銘柄管理!B43,"株探"),"")</f>
        <v/>
      </c>
      <c r="B200" s="225" t="n"/>
      <c r="C200" s="225">
        <f>IF(銘柄管理!B43="","",銘柄管理!B43)</f>
        <v/>
      </c>
      <c r="D200" s="225">
        <f>IF(銘柄管理!C43="","",銘柄管理!C43)</f>
        <v/>
      </c>
      <c r="E200" s="353">
        <f>IF(C200&lt;&gt;"",_xll.RssMarket(C200,"現在値"),"")</f>
        <v/>
      </c>
      <c r="F200" s="353">
        <f>IF(C200&lt;&gt;"",_xll.RssMarket(C200,"始値"),"")</f>
        <v/>
      </c>
      <c r="G200" s="225">
        <f>IF(C200&lt;&gt;"",終値!F43,"")</f>
        <v/>
      </c>
      <c r="H200" s="353">
        <f>IF(C200&lt;&gt;"",_xll.RssMarket(C200,"高値"),"")</f>
        <v/>
      </c>
      <c r="I200" s="353">
        <f>IF(C200&lt;&gt;"",_xll.RssMarket(C200,"安値"),"")</f>
        <v/>
      </c>
      <c r="J200" s="353">
        <f>IF(C200&lt;&gt;"",_xll.RssMarket(C200,"出来高"),"")</f>
        <v/>
      </c>
      <c r="K200" s="353">
        <f>IF(C200&lt;&gt;"",_xll.RssMarket(C200,"年初来高値"),"")</f>
        <v/>
      </c>
      <c r="L200" s="626">
        <f>IF(AND(E200&lt;&gt;"",K200&lt;&gt;"",K200&lt;&gt;0),(E200-K200)/K200*100,"")</f>
        <v/>
      </c>
      <c r="M200" s="353">
        <f>IF(C200&lt;&gt;"",IFERROR(AVERAGE(出来高!E43:I43),""),"")</f>
        <v/>
      </c>
      <c r="N200" s="353">
        <f>IF(C200&lt;&gt;"",IFERROR(AVERAGE(出来高!E43:AC43),""),"")</f>
        <v/>
      </c>
      <c r="O200" s="627">
        <f>IF(AND(J200&lt;&gt;"",M200&lt;&gt;"",M200&lt;&gt;0),J200/M200,"")</f>
        <v/>
      </c>
      <c r="P200" s="225">
        <f>IF(O200="","",IF(O200&gt;=2,"急増↑↑",IF(O200&gt;=1.5,"増加↑",IF(O200&gt;=1,"普通→","減少↓"))))</f>
        <v/>
      </c>
      <c r="Q200" s="225">
        <f>IF(E200="","",IF(AND(E200&lt;G200,O200&gt;=1.5),"売り▼",IF(E200&gt;G200,"様子見▲","中立→")))</f>
        <v/>
      </c>
      <c r="R200" s="353">
        <f>IF(E200&lt;&gt;"",ROUND(E200*0.92,0),"")</f>
        <v/>
      </c>
      <c r="S200" s="353">
        <f>IF(E200&lt;&gt;"",ROUND(E200*1.04,0),"")</f>
        <v/>
      </c>
      <c r="T200" s="345">
        <f>IF(C200="","",IFERROR(IF(W200&gt;=70,3,IF(W200&gt;=60,2,IF(W200&gt;=50,1,0)))+IF(X200&lt;0,2,0)+IF(AD200="下降トレンド▼",3,IF(AD200="もみ合い→",1,0))+IF(V200="年初来安値圏●",3,IF(V200="安値圏",2,0))+IF(Q200="売り▼",2,0)+IF(P200="急増↑↑",2,IF(P200="増加↑",1,0))+IF(Z200&lt;0,1,0)+IF(L200&lt;=-30,2,IF(L200&lt;=-15,1,0))+IF(AE200="25日戻り売り★",2,IF(AE200="5日戻り売り○",1,0))+N(AL200)+N(AP200)+N(AU200),0))</f>
        <v/>
      </c>
      <c r="U200" s="225">
        <f>IF(T200="","",IF(AND(T200&gt;=3,O200&gt;=1.5),"有効",IF(T200&gt;=3,"要確認","除外")))</f>
        <v/>
      </c>
      <c r="V200" s="225">
        <f>IF(AND(I200&lt;&gt;"",K200&lt;&gt;""),IF(I200&lt;=K200*0.6,"年初来安値圏●",IF(I200&lt;=K200*0.75,"安値圏","通常")),"")</f>
        <v/>
      </c>
      <c r="W200" s="628">
        <f t="array" ref="W200">IFERROR(100-100/(1+SUMPRODUCT((終値!F43:R43&gt;終値!G43:S43)*(終値!F43:R43-終値!G43:S43))/SUMPRODUCT((終値!F43:R43&lt;終値!G43:S43)*(終値!G43:S43-終値!F43:R43))),50)</f>
        <v/>
      </c>
      <c r="X200" s="357">
        <f>IF(C200&lt;&gt;"",IFERROR(SUMPRODUCT(終値!E43:P43,{0.154,0.132,0.113,0.097,0.083,0.071,0.061,0.052,0.045,0.038,0.033,0.028})/SUMPRODUCT({0.154,0.132,0.113,0.097,0.083,0.071,0.061,0.052,0.045,0.038,0.033,0.028})-SUMPRODUCT(終値!E43:AD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0" s="225">
        <f>IF(AF200="","",AF200&amp;" | "&amp;AD200&amp;IF(AE200&lt;&gt;"なし"," "&amp;AE200,"")&amp;IF(X200&lt;0," MACD-"," MACD+")&amp;" RSI:"&amp;TEXT(W200,"0.0")&amp;IF(W200&gt;=70," [過熱]",IF(W200&lt;=30," [売られ過ぎ]",""))&amp;" 前日比:"&amp;TEXT(Z200,"+0.0;-0.0;0.0")&amp;"%"&amp;IF(V200="年初来安値圏●"," [年初来安値圏]",IF(V200="安値圏"," [安値圏]",""))&amp;IF(OR(AO200="通常",AO200="-"),""," ["&amp;AO200&amp;"]")&amp;IF(OR(AT200="通常",AT200="-"),"","前日["&amp;AT200&amp;"]")&amp;" ["&amp;T200&amp;"点]")</f>
        <v/>
      </c>
      <c r="Z200" s="629">
        <f>IF(AND(E200&lt;&gt;"",G200&lt;&gt;"",G200&lt;&gt;0),(E200-G200)/G200*100,"")</f>
        <v/>
      </c>
      <c r="AA200" s="225">
        <f>IF(OR(C200="",E200="",E200=0),"",IF(E200&gt;G200,"上昇▲",IF(E200&lt;G200,"下落▼","横ばい→")))</f>
        <v/>
      </c>
      <c r="AB200" s="353">
        <f>IF(OR(C200="",C200="TOPX",終値!E43=""),"",IFERROR(((終値!E43*0.333)+(終値!F43*0.222)+(終値!G43*0.148)+(終値!H43*0.099)+(終値!I43*0.066))/(0.333+0.222+0.148+0.099+0.066),""))</f>
        <v/>
      </c>
      <c r="AC200" s="353">
        <f>IF(OR(C200="",C200="TOPX",終値!E43=""),"",IFERROR(SUMPRODUCT((終値!E43:AC43)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0" s="225">
        <f>IF(OR(C200="",AB200="",AC200="",AB200=0,AC200=0),"",IF(AND(E200&gt;AB200,AB200&gt;AC200),"パーフェクト▲",IF(E200&gt;AC200,"上昇トレンド▲",IF(AND(E200&lt;AB200,AB200&lt;AC200),"下降トレンド▼","もみ合い→"))))</f>
        <v/>
      </c>
      <c r="AE200" s="225">
        <f>IF(OR(C200="",AB200="",AC200=""),"",IF(AND(ABS(E200-AC200)/AC200&lt;=0.02,E200&lt;AC200),"25日戻り売り★",IF(AND(ABS(E200-AB200)/AB200&lt;=0.01,E200&lt;AB200),"5日戻り売り○","なし")))</f>
        <v/>
      </c>
      <c r="AF200">
        <f>IF(T200="","",IF(銘柄管理!$F$5="上昇▲",IF(AND(AD200="下降トレンド▼",OR(AE200="25日戻り売り★",AE200="5日戻り売り○")),"★逆張り売り",IF(AND(AD200="もみ合い→",OR(AE200="25日戻り売り★",AE200="5日戻り売り○")),"○逆張り売り",IF(W200&gt;=70,IF(Z200&lt;0,"◎反落確認","△過熱・様子見"),"相場上昇・見送り"))),IF(AND(T200&gt;=12,AD200="下降トレンド▼"),"★強い売り",IF(T200&gt;=12,"★強い売り",IF(AND(T200&gt;=8,OR(AE200="25日戻り売り★",AE200="5日戻り売り○")),"◎戻り売り",IF(T200&gt;=10,"○売り候補",IF(T200&gt;=6,"△注目",IF(T200&gt;=3,"様子見","見送り"))))))))</f>
        <v/>
      </c>
      <c r="AG200">
        <f>IF(AND(T200&gt;=7,C200&lt;&gt;""),T200,0)</f>
        <v/>
      </c>
      <c r="AH200">
        <f>IF(AG200&gt;0,AG200*10000-ROW(A200),0)</f>
        <v/>
      </c>
      <c r="AI200" s="623">
        <f t="array" ref="AI200">IF(C200="","",IFERROR((INDEX(終値!$E:$E,MATCH(TEXT(C200,"0"),終値!$A:$A,0))-INDEX(終値!$E:$BL,MATCH(TEXT(C200,"0"),終値!$A:$A,0),$AN$2))/INDEX(終値!$E:$BL,MATCH(TEXT(C200,"0"),終値!$A:$A,0),$AN$2)*100,""))</f>
        <v/>
      </c>
      <c r="AJ200" s="623">
        <f t="array" ref="AJ200">IFERROR((終値!$E$5-INDEX(終値!$E$5:$BL$5,1,$AN$2))/INDEX(終値!$E$5:$BL$5,1,$AN$2)*100,"")</f>
        <v/>
      </c>
      <c r="AK200" s="624">
        <f>IF(OR(AI200="",AJ200=""),"",AI200-AJ200)</f>
        <v/>
      </c>
      <c r="AL200" s="394">
        <f>IF(AK200="","",IF(AK200&lt;-5,3,IF(AK200&lt;0,1,IF(AK200&lt;3,-1,-2))))</f>
        <v/>
      </c>
      <c r="AO200" s="398">
        <f>IF(OR($C200="",$E200="",$F200="",$H200="",$I200="",$H200-$I200&lt;=0),"-",IF(AND($H200-MAX($F200,$E200)&gt;=ABS($E200-$F200)*2,MIN($F200,$E200)-$I200&lt;=ABS($E200-$F200)*0.5,ABS($E200-$F200)&gt;0),"上ヒゲ陰線▼",IF(AND($E200&lt;$F200,ABS($E200-$F200)&gt;=($H200-$I200)*0.7),"大陰線▼",IF(AND(MIN($F200,$E200)-$I200&gt;=($H200-$I200)*0.5,$H200-MAX($F200,$E200)&lt;=($H200-$I200)*0.2),"長い下ヒゲ(反発警戒)","通常"))))</f>
        <v/>
      </c>
      <c r="AP200" s="625">
        <f>IF($AO200="上ヒゲ陰線▼",2,IF($AO200="大陰線▼",2,IF($AO200="長い下ヒゲ(反発警戒)",-2,0)))</f>
        <v/>
      </c>
      <c r="AQ200">
        <f>IF(C200&lt;&gt;"",始値!F43,"")</f>
        <v/>
      </c>
      <c r="AR200">
        <f>IF(C200&lt;&gt;"",高値!F43,"")</f>
        <v/>
      </c>
      <c r="AS200">
        <f>IF(C200&lt;&gt;"",安値!F43,"")</f>
        <v/>
      </c>
      <c r="AT200">
        <f>IF(OR(C200="",AQ200="",AR200="",AS200="",AR200-AS200&lt;=0),"-",IF(AND(AR200-MAX(G200,AQ200)&gt;=ABS(G200-AQ200)*2,MIN(G200,AQ200)-AS200&lt;=ABS(G200-AQ200)*0.5,ABS(G200-AQ200)&gt;0),"上ヒゲ陰線▼",IF(AND(G200&lt;AQ200,ABS(G200-AQ200)&gt;=(AR200-AS200)*0.7),"大陰線▼",IF(AND(MIN(G200,AQ200)-AS200&gt;=(AR200-AS200)*0.5,AR200-MAX(G200,AQ200)&lt;=(AR200-AS200)*0.2),"長い下ヒゲ(反発)","通常"))))</f>
        <v/>
      </c>
      <c r="AU200">
        <f>IF(AT200="上ヒゲ陰線▼",2,IF(AT200="大陰線▼",2,IF(AT200="長い下ヒゲ(反発)",-2,0)))</f>
        <v/>
      </c>
    </row>
    <row r="201" ht="14.25" customHeight="1" s="574">
      <c r="A201" s="344">
        <f>IF(銘柄管理!B45&lt;&gt;"",HYPERLINK("https://kabutan.jp/stock/?code="&amp;銘柄管理!B45,"株探"),"")</f>
        <v/>
      </c>
      <c r="B201" s="345" t="n"/>
      <c r="C201" s="345">
        <f>IF(銘柄管理!B45="","",銘柄管理!B45)</f>
        <v/>
      </c>
      <c r="D201" s="345">
        <f>IF(銘柄管理!C45="","",銘柄管理!C45)</f>
        <v/>
      </c>
      <c r="E201" s="346">
        <f>IF(C201&lt;&gt;"",_xll.RssMarket(C201,"現在値"),"")</f>
        <v/>
      </c>
      <c r="F201" s="346">
        <f>IF(C201&lt;&gt;"",_xll.RssMarket(C201,"始値"),"")</f>
        <v/>
      </c>
      <c r="G201" s="345">
        <f>IF(C201&lt;&gt;"",終値!F45,"")</f>
        <v/>
      </c>
      <c r="H201" s="346">
        <f>IF(C201&lt;&gt;"",_xll.RssMarket(C201,"高値"),"")</f>
        <v/>
      </c>
      <c r="I201" s="346">
        <f>IF(C201&lt;&gt;"",_xll.RssMarket(C201,"安値"),"")</f>
        <v/>
      </c>
      <c r="J201" s="346">
        <f>IF(C201&lt;&gt;"",_xll.RssMarket(C201,"出来高"),"")</f>
        <v/>
      </c>
      <c r="K201" s="346">
        <f>IF(C201&lt;&gt;"",_xll.RssMarket(C201,"年初来高値"),"")</f>
        <v/>
      </c>
      <c r="L201" s="619">
        <f>IF(AND(E201&lt;&gt;"",K201&lt;&gt;"",K201&lt;&gt;0),(E201-K201)/K201*100,"")</f>
        <v/>
      </c>
      <c r="M201" s="346">
        <f>IF(C201&lt;&gt;"",IFERROR(AVERAGE(出来高!E45:I45),""),"")</f>
        <v/>
      </c>
      <c r="N201" s="346">
        <f>IF(C201&lt;&gt;"",IFERROR(AVERAGE(出来高!E45:AC45),""),"")</f>
        <v/>
      </c>
      <c r="O201" s="620">
        <f>IF(AND(J201&lt;&gt;"",M201&lt;&gt;"",M201&lt;&gt;0),J201/M201,"")</f>
        <v/>
      </c>
      <c r="P201" s="345">
        <f>IF(O201="","",IF(O201&gt;=2,"急増↑↑",IF(O201&gt;=1.5,"増加↑",IF(O201&gt;=1,"普通→","減少↓"))))</f>
        <v/>
      </c>
      <c r="Q201" s="345">
        <f>IF(E201="","",IF(AND(E201&lt;G201,O201&gt;=1.5),"売り▼",IF(E201&gt;G201,"様子見▲","中立→")))</f>
        <v/>
      </c>
      <c r="R201" s="346">
        <f>IF(E201&lt;&gt;"",ROUND(E201*0.92,0),"")</f>
        <v/>
      </c>
      <c r="S201" s="346">
        <f>IF(E201&lt;&gt;"",ROUND(E201*1.04,0),"")</f>
        <v/>
      </c>
      <c r="T201" s="345">
        <f>IF(C201="","",IFERROR(IF(W201&gt;=70,3,IF(W201&gt;=60,2,IF(W201&gt;=50,1,0)))+IF(X201&lt;0,2,0)+IF(AD201="下降トレンド▼",3,IF(AD201="もみ合い→",1,0))+IF(V201="年初来安値圏●",3,IF(V201="安値圏",2,0))+IF(Q201="売り▼",2,0)+IF(P201="急増↑↑",2,IF(P201="増加↑",1,0))+IF(Z201&lt;0,1,0)+IF(L201&lt;=-30,2,IF(L201&lt;=-15,1,0))+IF(AE201="25日戻り売り★",2,IF(AE201="5日戻り売り○",1,0))+N(AL201)+N(AP201)+N(AU201),0))</f>
        <v/>
      </c>
      <c r="U201" s="345">
        <f>IF(T201="","",IF(AND(T201&gt;=3,O201&gt;=1.5),"有効",IF(T201&gt;=3,"要確認","除外")))</f>
        <v/>
      </c>
      <c r="V201" s="345">
        <f>IF(AND(I201&lt;&gt;"",K201&lt;&gt;""),IF(I201&lt;=K201*0.6,"年初来安値圏●",IF(I201&lt;=K201*0.75,"安値圏","通常")),"")</f>
        <v/>
      </c>
      <c r="W201" s="621">
        <f t="array" ref="W201">IFERROR(100-100/(1+SUMPRODUCT((終値!F45:R45&gt;終値!G45:S45)*(終値!F45:R45-終値!G45:S45))/SUMPRODUCT((終値!F45:R45&lt;終値!G45:S45)*(終値!G45:S45-終値!F45:R45))),50)</f>
        <v/>
      </c>
      <c r="X201" s="350">
        <f>IF(C201&lt;&gt;"",IFERROR(SUMPRODUCT(終値!E45:P45,{0.154,0.132,0.113,0.097,0.083,0.071,0.061,0.052,0.045,0.038,0.033,0.028})/SUMPRODUCT({0.154,0.132,0.113,0.097,0.083,0.071,0.061,0.052,0.045,0.038,0.033,0.028})-SUMPRODUCT(終値!E45:AD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1" s="345">
        <f>IF(AF201="","",AF201&amp;" | "&amp;AD201&amp;IF(AE201&lt;&gt;"なし"," "&amp;AE201,"")&amp;IF(X201&lt;0," MACD-"," MACD+")&amp;" RSI:"&amp;TEXT(W201,"0.0")&amp;IF(W201&gt;=70," [過熱]",IF(W201&lt;=30," [売られ過ぎ]",""))&amp;" 前日比:"&amp;TEXT(Z201,"+0.0;-0.0;0.0")&amp;"%"&amp;IF(V201="年初来安値圏●"," [年初来安値圏]",IF(V201="安値圏"," [安値圏]",""))&amp;IF(OR(AO201="通常",AO201="-"),""," ["&amp;AO201&amp;"]")&amp;IF(OR(AT201="通常",AT201="-"),"","前日["&amp;AT201&amp;"]")&amp;" ["&amp;T201&amp;"点]")</f>
        <v/>
      </c>
      <c r="Z201" s="622">
        <f>IF(AND(E201&lt;&gt;"",G201&lt;&gt;"",G201&lt;&gt;0),(E201-G201)/G201*100,"")</f>
        <v/>
      </c>
      <c r="AA201" s="345">
        <f>IF(OR(C201="",E201="",E201=0),"",IF(E201&gt;G201,"上昇▲",IF(E201&lt;G201,"下落▼","横ばい→")))</f>
        <v/>
      </c>
      <c r="AB201" s="346">
        <f>IF(OR(C201="",C201="TOPX",終値!E45=""),"",IFERROR(((終値!E45*0.333)+(終値!F45*0.222)+(終値!G45*0.148)+(終値!H45*0.099)+(終値!I45*0.066))/(0.333+0.222+0.148+0.099+0.066),""))</f>
        <v/>
      </c>
      <c r="AC201" s="346">
        <f>IF(OR(C201="",C201="TOPX",終値!E45=""),"",IFERROR(SUMPRODUCT((終値!E45:AC45)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1" s="345">
        <f>IF(OR(C201="",AB201="",AC201="",AB201=0,AC201=0),"",IF(AND(E201&gt;AB201,AB201&gt;AC201),"パーフェクト▲",IF(E201&gt;AC201,"上昇トレンド▲",IF(AND(E201&lt;AB201,AB201&lt;AC201),"下降トレンド▼","もみ合い→"))))</f>
        <v/>
      </c>
      <c r="AE201" s="345">
        <f>IF(OR(C201="",AB201="",AC201=""),"",IF(AND(ABS(E201-AC201)/AC201&lt;=0.02,E201&lt;AC201),"25日戻り売り★",IF(AND(ABS(E201-AB201)/AB201&lt;=0.01,E201&lt;AB201),"5日戻り売り○","なし")))</f>
        <v/>
      </c>
      <c r="AF201">
        <f>IF(T201="","",IF(銘柄管理!$F$5="上昇▲",IF(AND(AD201="下降トレンド▼",OR(AE201="25日戻り売り★",AE201="5日戻り売り○")),"★逆張り売り",IF(AND(AD201="もみ合い→",OR(AE201="25日戻り売り★",AE201="5日戻り売り○")),"○逆張り売り",IF(W201&gt;=70,IF(Z201&lt;0,"◎反落確認","△過熱・様子見"),"相場上昇・見送り"))),IF(AND(T201&gt;=12,AD201="下降トレンド▼"),"★強い売り",IF(T201&gt;=12,"★強い売り",IF(AND(T201&gt;=8,OR(AE201="25日戻り売り★",AE201="5日戻り売り○")),"◎戻り売り",IF(T201&gt;=10,"○売り候補",IF(T201&gt;=6,"△注目",IF(T201&gt;=3,"様子見","見送り"))))))))</f>
        <v/>
      </c>
      <c r="AG201">
        <f>IF(AND(T201&gt;=7,C201&lt;&gt;""),T201,0)</f>
        <v/>
      </c>
      <c r="AH201">
        <f>IF(AG201&gt;0,AG201*10000-ROW(A201),0)</f>
        <v/>
      </c>
      <c r="AI201" s="623">
        <f t="array" ref="AI201">IF(C201="","",IFERROR((INDEX(終値!$E:$E,MATCH(TEXT(C201,"0"),終値!$A:$A,0))-INDEX(終値!$E:$BL,MATCH(TEXT(C201,"0"),終値!$A:$A,0),$AN$2))/INDEX(終値!$E:$BL,MATCH(TEXT(C201,"0"),終値!$A:$A,0),$AN$2)*100,""))</f>
        <v/>
      </c>
      <c r="AJ201" s="623">
        <f t="array" ref="AJ201">IFERROR((終値!$E$5-INDEX(終値!$E$5:$BL$5,1,$AN$2))/INDEX(終値!$E$5:$BL$5,1,$AN$2)*100,"")</f>
        <v/>
      </c>
      <c r="AK201" s="624">
        <f>IF(OR(AI201="",AJ201=""),"",AI201-AJ201)</f>
        <v/>
      </c>
      <c r="AL201" s="394">
        <f>IF(AK201="","",IF(AK201&lt;-5,3,IF(AK201&lt;0,1,IF(AK201&lt;3,-1,-2))))</f>
        <v/>
      </c>
      <c r="AO201" s="398">
        <f>IF(OR($C201="",$E201="",$F201="",$H201="",$I201="",$H201-$I201&lt;=0),"-",IF(AND($H201-MAX($F201,$E201)&gt;=ABS($E201-$F201)*2,MIN($F201,$E201)-$I201&lt;=ABS($E201-$F201)*0.5,ABS($E201-$F201)&gt;0),"上ヒゲ陰線▼",IF(AND($E201&lt;$F201,ABS($E201-$F201)&gt;=($H201-$I201)*0.7),"大陰線▼",IF(AND(MIN($F201,$E201)-$I201&gt;=($H201-$I201)*0.5,$H201-MAX($F201,$E201)&lt;=($H201-$I201)*0.2),"長い下ヒゲ(反発警戒)","通常"))))</f>
        <v/>
      </c>
      <c r="AP201" s="625">
        <f>IF($AO201="上ヒゲ陰線▼",2,IF($AO201="大陰線▼",2,IF($AO201="長い下ヒゲ(反発警戒)",-2,0)))</f>
        <v/>
      </c>
      <c r="AQ201">
        <f>IF(C201&lt;&gt;"",始値!F45,"")</f>
        <v/>
      </c>
      <c r="AR201">
        <f>IF(C201&lt;&gt;"",高値!F45,"")</f>
        <v/>
      </c>
      <c r="AS201">
        <f>IF(C201&lt;&gt;"",安値!F45,"")</f>
        <v/>
      </c>
      <c r="AT201">
        <f>IF(OR(C201="",AQ201="",AR201="",AS201="",AR201-AS201&lt;=0),"-",IF(AND(AR201-MAX(G201,AQ201)&gt;=ABS(G201-AQ201)*2,MIN(G201,AQ201)-AS201&lt;=ABS(G201-AQ201)*0.5,ABS(G201-AQ201)&gt;0),"上ヒゲ陰線▼",IF(AND(G201&lt;AQ201,ABS(G201-AQ201)&gt;=(AR201-AS201)*0.7),"大陰線▼",IF(AND(MIN(G201,AQ201)-AS201&gt;=(AR201-AS201)*0.5,AR201-MAX(G201,AQ201)&lt;=(AR201-AS201)*0.2),"長い下ヒゲ(反発)","通常"))))</f>
        <v/>
      </c>
      <c r="AU201">
        <f>IF(AT201="上ヒゲ陰線▼",2,IF(AT201="大陰線▼",2,IF(AT201="長い下ヒゲ(反発)",-2,0)))</f>
        <v/>
      </c>
    </row>
    <row r="202" ht="14.25" customHeight="1" s="574">
      <c r="A202" s="352">
        <f>IF(銘柄管理!B75&lt;&gt;"",HYPERLINK("https://kabutan.jp/stock/?code="&amp;銘柄管理!B75,"株探"),"")</f>
        <v/>
      </c>
      <c r="B202" s="225" t="n"/>
      <c r="C202" s="225">
        <f>IF(銘柄管理!B75="","",銘柄管理!B75)</f>
        <v/>
      </c>
      <c r="D202" s="225">
        <f>IF(銘柄管理!C75="","",銘柄管理!C75)</f>
        <v/>
      </c>
      <c r="E202" s="353">
        <f>IF(C202&lt;&gt;"",_xll.RssMarket(C202,"現在値"),"")</f>
        <v/>
      </c>
      <c r="F202" s="353">
        <f>IF(C202&lt;&gt;"",_xll.RssMarket(C202,"始値"),"")</f>
        <v/>
      </c>
      <c r="G202" s="225">
        <f>IF(C202&lt;&gt;"",終値!F75,"")</f>
        <v/>
      </c>
      <c r="H202" s="353">
        <f>IF(C202&lt;&gt;"",_xll.RssMarket(C202,"高値"),"")</f>
        <v/>
      </c>
      <c r="I202" s="353">
        <f>IF(C202&lt;&gt;"",_xll.RssMarket(C202,"安値"),"")</f>
        <v/>
      </c>
      <c r="J202" s="353">
        <f>IF(C202&lt;&gt;"",_xll.RssMarket(C202,"出来高"),"")</f>
        <v/>
      </c>
      <c r="K202" s="353">
        <f>IF(C202&lt;&gt;"",_xll.RssMarket(C202,"年初来高値"),"")</f>
        <v/>
      </c>
      <c r="L202" s="626">
        <f>IF(AND(E202&lt;&gt;"",K202&lt;&gt;"",K202&lt;&gt;0),(E202-K202)/K202*100,"")</f>
        <v/>
      </c>
      <c r="M202" s="353">
        <f>IF(C202&lt;&gt;"",IFERROR(AVERAGE(出来高!E75:I75),""),"")</f>
        <v/>
      </c>
      <c r="N202" s="353">
        <f>IF(C202&lt;&gt;"",IFERROR(AVERAGE(出来高!E75:AC75),""),"")</f>
        <v/>
      </c>
      <c r="O202" s="627">
        <f>IF(AND(J202&lt;&gt;"",M202&lt;&gt;"",M202&lt;&gt;0),J202/M202,"")</f>
        <v/>
      </c>
      <c r="P202" s="225">
        <f>IF(O202="","",IF(O202&gt;=2,"急増↑↑",IF(O202&gt;=1.5,"増加↑",IF(O202&gt;=1,"普通→","減少↓"))))</f>
        <v/>
      </c>
      <c r="Q202" s="225">
        <f>IF(E202="","",IF(AND(E202&lt;G202,O202&gt;=1.5),"売り▼",IF(E202&gt;G202,"様子見▲","中立→")))</f>
        <v/>
      </c>
      <c r="R202" s="353">
        <f>IF(E202&lt;&gt;"",ROUND(E202*0.92,0),"")</f>
        <v/>
      </c>
      <c r="S202" s="353">
        <f>IF(E202&lt;&gt;"",ROUND(E202*1.04,0),"")</f>
        <v/>
      </c>
      <c r="T202" s="345">
        <f>IF(C202="","",IFERROR(IF(W202&gt;=70,3,IF(W202&gt;=60,2,IF(W202&gt;=50,1,0)))+IF(X202&lt;0,2,0)+IF(AD202="下降トレンド▼",3,IF(AD202="もみ合い→",1,0))+IF(V202="年初来安値圏●",3,IF(V202="安値圏",2,0))+IF(Q202="売り▼",2,0)+IF(P202="急増↑↑",2,IF(P202="増加↑",1,0))+IF(Z202&lt;0,1,0)+IF(L202&lt;=-30,2,IF(L202&lt;=-15,1,0))+IF(AE202="25日戻り売り★",2,IF(AE202="5日戻り売り○",1,0))+N(AL202)+N(AP202)+N(AU202),0))</f>
        <v/>
      </c>
      <c r="U202" s="225">
        <f>IF(T202="","",IF(AND(T202&gt;=3,O202&gt;=1.5),"有効",IF(T202&gt;=3,"要確認","除外")))</f>
        <v/>
      </c>
      <c r="V202" s="225">
        <f>IF(AND(I202&lt;&gt;"",K202&lt;&gt;""),IF(I202&lt;=K202*0.6,"年初来安値圏●",IF(I202&lt;=K202*0.75,"安値圏","通常")),"")</f>
        <v/>
      </c>
      <c r="W202" s="628">
        <f t="array" ref="W202">IFERROR(100-100/(1+SUMPRODUCT((終値!F75:R75&gt;終値!G75:S75)*(終値!F75:R75-終値!G75:S75))/SUMPRODUCT((終値!F75:R75&lt;終値!G75:S75)*(終値!G75:S75-終値!F75:R75))),50)</f>
        <v/>
      </c>
      <c r="X202" s="357">
        <f>IF(C202&lt;&gt;"",IFERROR(SUMPRODUCT(終値!E75:P75,{0.154,0.132,0.113,0.097,0.083,0.071,0.061,0.052,0.045,0.038,0.033,0.028})/SUMPRODUCT({0.154,0.132,0.113,0.097,0.083,0.071,0.061,0.052,0.045,0.038,0.033,0.028})-SUMPRODUCT(終値!E75:AD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2" s="225">
        <f>IF(AF202="","",AF202&amp;" | "&amp;AD202&amp;IF(AE202&lt;&gt;"なし"," "&amp;AE202,"")&amp;IF(X202&lt;0," MACD-"," MACD+")&amp;" RSI:"&amp;TEXT(W202,"0.0")&amp;IF(W202&gt;=70," [過熱]",IF(W202&lt;=30," [売られ過ぎ]",""))&amp;" 前日比:"&amp;TEXT(Z202,"+0.0;-0.0;0.0")&amp;"%"&amp;IF(V202="年初来安値圏●"," [年初来安値圏]",IF(V202="安値圏"," [安値圏]",""))&amp;IF(OR(AO202="通常",AO202="-"),""," ["&amp;AO202&amp;"]")&amp;IF(OR(AT202="通常",AT202="-"),"","前日["&amp;AT202&amp;"]")&amp;" ["&amp;T202&amp;"点]")</f>
        <v/>
      </c>
      <c r="Z202" s="629">
        <f>IF(AND(E202&lt;&gt;"",G202&lt;&gt;"",G202&lt;&gt;0),(E202-G202)/G202*100,"")</f>
        <v/>
      </c>
      <c r="AA202" s="225">
        <f>IF(OR(C202="",E202="",E202=0),"",IF(E202&gt;G202,"上昇▲",IF(E202&lt;G202,"下落▼","横ばい→")))</f>
        <v/>
      </c>
      <c r="AB202" s="353">
        <f>IF(OR(C202="",C202="TOPX",終値!E75=""),"",IFERROR(((終値!E75*0.333)+(終値!F75*0.222)+(終値!G75*0.148)+(終値!H75*0.099)+(終値!I75*0.066))/(0.333+0.222+0.148+0.099+0.066),""))</f>
        <v/>
      </c>
      <c r="AC202" s="353">
        <f>IF(OR(C202="",C202="TOPX",終値!E75=""),"",IFERROR(SUMPRODUCT((終値!E75:AC75)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2" s="225">
        <f>IF(OR(C202="",AB202="",AC202="",AB202=0,AC202=0),"",IF(AND(E202&gt;AB202,AB202&gt;AC202),"パーフェクト▲",IF(E202&gt;AC202,"上昇トレンド▲",IF(AND(E202&lt;AB202,AB202&lt;AC202),"下降トレンド▼","もみ合い→"))))</f>
        <v/>
      </c>
      <c r="AE202" s="225">
        <f>IF(OR(C202="",AB202="",AC202=""),"",IF(AND(ABS(E202-AC202)/AC202&lt;=0.02,E202&lt;AC202),"25日戻り売り★",IF(AND(ABS(E202-AB202)/AB202&lt;=0.01,E202&lt;AB202),"5日戻り売り○","なし")))</f>
        <v/>
      </c>
      <c r="AF202">
        <f>IF(T202="","",IF(銘柄管理!$F$5="上昇▲",IF(AND(AD202="下降トレンド▼",OR(AE202="25日戻り売り★",AE202="5日戻り売り○")),"★逆張り売り",IF(AND(AD202="もみ合い→",OR(AE202="25日戻り売り★",AE202="5日戻り売り○")),"○逆張り売り",IF(W202&gt;=70,IF(Z202&lt;0,"◎反落確認","△過熱・様子見"),"相場上昇・見送り"))),IF(AND(T202&gt;=12,AD202="下降トレンド▼"),"★強い売り",IF(T202&gt;=12,"★強い売り",IF(AND(T202&gt;=8,OR(AE202="25日戻り売り★",AE202="5日戻り売り○")),"◎戻り売り",IF(T202&gt;=10,"○売り候補",IF(T202&gt;=6,"△注目",IF(T202&gt;=3,"様子見","見送り"))))))))</f>
        <v/>
      </c>
      <c r="AG202">
        <f>IF(AND(T202&gt;=7,C202&lt;&gt;""),T202,0)</f>
        <v/>
      </c>
      <c r="AH202">
        <f>IF(AG202&gt;0,AG202*10000-ROW(A202),0)</f>
        <v/>
      </c>
      <c r="AI202" s="623">
        <f t="array" ref="AI202">IF(C202="","",IFERROR((INDEX(終値!$E:$E,MATCH(TEXT(C202,"0"),終値!$A:$A,0))-INDEX(終値!$E:$BL,MATCH(TEXT(C202,"0"),終値!$A:$A,0),$AN$2))/INDEX(終値!$E:$BL,MATCH(TEXT(C202,"0"),終値!$A:$A,0),$AN$2)*100,""))</f>
        <v/>
      </c>
      <c r="AJ202" s="623">
        <f t="array" ref="AJ202">IFERROR((終値!$E$5-INDEX(終値!$E$5:$BL$5,1,$AN$2))/INDEX(終値!$E$5:$BL$5,1,$AN$2)*100,"")</f>
        <v/>
      </c>
      <c r="AK202" s="624">
        <f>IF(OR(AI202="",AJ202=""),"",AI202-AJ202)</f>
        <v/>
      </c>
      <c r="AL202" s="394">
        <f>IF(AK202="","",IF(AK202&lt;-5,3,IF(AK202&lt;0,1,IF(AK202&lt;3,-1,-2))))</f>
        <v/>
      </c>
      <c r="AO202" s="398">
        <f>IF(OR($C202="",$E202="",$F202="",$H202="",$I202="",$H202-$I202&lt;=0),"-",IF(AND($H202-MAX($F202,$E202)&gt;=ABS($E202-$F202)*2,MIN($F202,$E202)-$I202&lt;=ABS($E202-$F202)*0.5,ABS($E202-$F202)&gt;0),"上ヒゲ陰線▼",IF(AND($E202&lt;$F202,ABS($E202-$F202)&gt;=($H202-$I202)*0.7),"大陰線▼",IF(AND(MIN($F202,$E202)-$I202&gt;=($H202-$I202)*0.5,$H202-MAX($F202,$E202)&lt;=($H202-$I202)*0.2),"長い下ヒゲ(反発警戒)","通常"))))</f>
        <v/>
      </c>
      <c r="AP202" s="625">
        <f>IF($AO202="上ヒゲ陰線▼",2,IF($AO202="大陰線▼",2,IF($AO202="長い下ヒゲ(反発警戒)",-2,0)))</f>
        <v/>
      </c>
      <c r="AQ202">
        <f>IF(C202&lt;&gt;"",始値!F75,"")</f>
        <v/>
      </c>
      <c r="AR202">
        <f>IF(C202&lt;&gt;"",高値!F75,"")</f>
        <v/>
      </c>
      <c r="AS202">
        <f>IF(C202&lt;&gt;"",安値!F75,"")</f>
        <v/>
      </c>
      <c r="AT202">
        <f>IF(OR(C202="",AQ202="",AR202="",AS202="",AR202-AS202&lt;=0),"-",IF(AND(AR202-MAX(G202,AQ202)&gt;=ABS(G202-AQ202)*2,MIN(G202,AQ202)-AS202&lt;=ABS(G202-AQ202)*0.5,ABS(G202-AQ202)&gt;0),"上ヒゲ陰線▼",IF(AND(G202&lt;AQ202,ABS(G202-AQ202)&gt;=(AR202-AS202)*0.7),"大陰線▼",IF(AND(MIN(G202,AQ202)-AS202&gt;=(AR202-AS202)*0.5,AR202-MAX(G202,AQ202)&lt;=(AR202-AS202)*0.2),"長い下ヒゲ(反発)","通常"))))</f>
        <v/>
      </c>
      <c r="AU202">
        <f>IF(AT202="上ヒゲ陰線▼",2,IF(AT202="大陰線▼",2,IF(AT202="長い下ヒゲ(反発)",-2,0)))</f>
        <v/>
      </c>
    </row>
    <row r="203" ht="14.25" customHeight="1" s="574">
      <c r="A203" s="344">
        <f>IF(銘柄管理!B115&lt;&gt;"",HYPERLINK("https://kabutan.jp/stock/?code="&amp;銘柄管理!B115,"株探"),"")</f>
        <v/>
      </c>
      <c r="B203" s="345" t="n"/>
      <c r="C203" s="345">
        <f>IF(銘柄管理!B115="","",銘柄管理!B115)</f>
        <v/>
      </c>
      <c r="D203" s="345">
        <f>IF(銘柄管理!C115="","",銘柄管理!C115)</f>
        <v/>
      </c>
      <c r="E203" s="346">
        <f>IF(C203&lt;&gt;"",_xll.RssMarket(C203,"現在値"),"")</f>
        <v/>
      </c>
      <c r="F203" s="346">
        <f>IF(C203&lt;&gt;"",_xll.RssMarket(C203,"始値"),"")</f>
        <v/>
      </c>
      <c r="G203" s="345">
        <f>IF(C203&lt;&gt;"",終値!F115,"")</f>
        <v/>
      </c>
      <c r="H203" s="346">
        <f>IF(C203&lt;&gt;"",_xll.RssMarket(C203,"高値"),"")</f>
        <v/>
      </c>
      <c r="I203" s="346">
        <f>IF(C203&lt;&gt;"",_xll.RssMarket(C203,"安値"),"")</f>
        <v/>
      </c>
      <c r="J203" s="346">
        <f>IF(C203&lt;&gt;"",_xll.RssMarket(C203,"出来高"),"")</f>
        <v/>
      </c>
      <c r="K203" s="346">
        <f>IF(C203&lt;&gt;"",_xll.RssMarket(C203,"年初来高値"),"")</f>
        <v/>
      </c>
      <c r="L203" s="619">
        <f>IF(AND(E203&lt;&gt;"",K203&lt;&gt;"",K203&lt;&gt;0),(E203-K203)/K203*100,"")</f>
        <v/>
      </c>
      <c r="M203" s="346">
        <f>IF(C203&lt;&gt;"",IFERROR(AVERAGE(出来高!E115:I115),""),"")</f>
        <v/>
      </c>
      <c r="N203" s="346">
        <f>IF(C203&lt;&gt;"",IFERROR(AVERAGE(出来高!E115:AC115),""),"")</f>
        <v/>
      </c>
      <c r="O203" s="620">
        <f>IF(AND(J203&lt;&gt;"",M203&lt;&gt;"",M203&lt;&gt;0),J203/M203,"")</f>
        <v/>
      </c>
      <c r="P203" s="345">
        <f>IF(O203="","",IF(O203&gt;=2,"急増↑↑",IF(O203&gt;=1.5,"増加↑",IF(O203&gt;=1,"普通→","減少↓"))))</f>
        <v/>
      </c>
      <c r="Q203" s="345">
        <f>IF(E203="","",IF(AND(E203&lt;G203,O203&gt;=1.5),"売り▼",IF(E203&gt;G203,"様子見▲","中立→")))</f>
        <v/>
      </c>
      <c r="R203" s="346">
        <f>IF(E203&lt;&gt;"",ROUND(E203*0.92,0),"")</f>
        <v/>
      </c>
      <c r="S203" s="346">
        <f>IF(E203&lt;&gt;"",ROUND(E203*1.04,0),"")</f>
        <v/>
      </c>
      <c r="T203" s="345">
        <f>IF(C203="","",IFERROR(IF(W203&gt;=70,3,IF(W203&gt;=60,2,IF(W203&gt;=50,1,0)))+IF(X203&lt;0,2,0)+IF(AD203="下降トレンド▼",3,IF(AD203="もみ合い→",1,0))+IF(V203="年初来安値圏●",3,IF(V203="安値圏",2,0))+IF(Q203="売り▼",2,0)+IF(P203="急増↑↑",2,IF(P203="増加↑",1,0))+IF(Z203&lt;0,1,0)+IF(L203&lt;=-30,2,IF(L203&lt;=-15,1,0))+IF(AE203="25日戻り売り★",2,IF(AE203="5日戻り売り○",1,0))+N(AL203)+N(AP203)+N(AU203),0))</f>
        <v/>
      </c>
      <c r="U203" s="345">
        <f>IF(T203="","",IF(AND(T203&gt;=3,O203&gt;=1.5),"有効",IF(T203&gt;=3,"要確認","除外")))</f>
        <v/>
      </c>
      <c r="V203" s="345">
        <f>IF(AND(I203&lt;&gt;"",K203&lt;&gt;""),IF(I203&lt;=K203*0.6,"年初来安値圏●",IF(I203&lt;=K203*0.75,"安値圏","通常")),"")</f>
        <v/>
      </c>
      <c r="W203" s="621">
        <f t="array" ref="W203">IFERROR(100-100/(1+SUMPRODUCT((終値!F115:R115&gt;終値!G115:S115)*(終値!F115:R115-終値!G115:S115))/SUMPRODUCT((終値!F115:R115&lt;終値!G115:S115)*(終値!G115:S115-終値!F115:R115))),50)</f>
        <v/>
      </c>
      <c r="X203" s="350">
        <f>IF(C203&lt;&gt;"",IFERROR(SUMPRODUCT(終値!E115:P115,{0.154,0.132,0.113,0.097,0.083,0.071,0.061,0.052,0.045,0.038,0.033,0.028})/SUMPRODUCT({0.154,0.132,0.113,0.097,0.083,0.071,0.061,0.052,0.045,0.038,0.033,0.028})-SUMPRODUCT(終値!E115:AD115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3" s="345">
        <f>IF(AF203="","",AF203&amp;" | "&amp;AD203&amp;IF(AE203&lt;&gt;"なし"," "&amp;AE203,"")&amp;IF(X203&lt;0," MACD-"," MACD+")&amp;" RSI:"&amp;TEXT(W203,"0.0")&amp;IF(W203&gt;=70," [過熱]",IF(W203&lt;=30," [売られ過ぎ]",""))&amp;" 前日比:"&amp;TEXT(Z203,"+0.0;-0.0;0.0")&amp;"%"&amp;IF(V203="年初来安値圏●"," [年初来安値圏]",IF(V203="安値圏"," [安値圏]",""))&amp;IF(OR(AO203="通常",AO203="-"),""," ["&amp;AO203&amp;"]")&amp;IF(OR(AT203="通常",AT203="-"),"","前日["&amp;AT203&amp;"]")&amp;" ["&amp;T203&amp;"点]")</f>
        <v/>
      </c>
      <c r="Z203" s="622">
        <f>IF(AND(E203&lt;&gt;"",G203&lt;&gt;"",G203&lt;&gt;0),(E203-G203)/G203*100,"")</f>
        <v/>
      </c>
      <c r="AA203" s="345">
        <f>IF(OR(C203="",E203="",E203=0),"",IF(E203&gt;G203,"上昇▲",IF(E203&lt;G203,"下落▼","横ばい→")))</f>
        <v/>
      </c>
      <c r="AB203" s="346">
        <f>IF(OR(C203="",C203="TOPX",終値!E115=""),"",IFERROR(((終値!E115*0.333)+(終値!F115*0.222)+(終値!G115*0.148)+(終値!H115*0.099)+(終値!I115*0.066))/(0.333+0.222+0.148+0.099+0.066),""))</f>
        <v/>
      </c>
      <c r="AC203" s="346">
        <f>IF(OR(C203="",C203="TOPX",終値!E115=""),"",IFERROR(SUMPRODUCT((終値!E115:AC115)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3" s="345">
        <f>IF(OR(C203="",AB203="",AC203="",AB203=0,AC203=0),"",IF(AND(E203&gt;AB203,AB203&gt;AC203),"パーフェクト▲",IF(E203&gt;AC203,"上昇トレンド▲",IF(AND(E203&lt;AB203,AB203&lt;AC203),"下降トレンド▼","もみ合い→"))))</f>
        <v/>
      </c>
      <c r="AE203" s="345">
        <f>IF(OR(C203="",AB203="",AC203=""),"",IF(AND(ABS(E203-AC203)/AC203&lt;=0.02,E203&lt;AC203),"25日戻り売り★",IF(AND(ABS(E203-AB203)/AB203&lt;=0.01,E203&lt;AB203),"5日戻り売り○","なし")))</f>
        <v/>
      </c>
      <c r="AF203">
        <f>IF(T203="","",IF(銘柄管理!$F$5="上昇▲",IF(AND(AD203="下降トレンド▼",OR(AE203="25日戻り売り★",AE203="5日戻り売り○")),"★逆張り売り",IF(AND(AD203="もみ合い→",OR(AE203="25日戻り売り★",AE203="5日戻り売り○")),"○逆張り売り",IF(W203&gt;=70,IF(Z203&lt;0,"◎反落確認","△過熱・様子見"),"相場上昇・見送り"))),IF(AND(T203&gt;=12,AD203="下降トレンド▼"),"★強い売り",IF(T203&gt;=12,"★強い売り",IF(AND(T203&gt;=8,OR(AE203="25日戻り売り★",AE203="5日戻り売り○")),"◎戻り売り",IF(T203&gt;=10,"○売り候補",IF(T203&gt;=6,"△注目",IF(T203&gt;=3,"様子見","見送り"))))))))</f>
        <v/>
      </c>
      <c r="AG203">
        <f>IF(AND(T203&gt;=7,C203&lt;&gt;""),T203,0)</f>
        <v/>
      </c>
      <c r="AH203">
        <f>IF(AG203&gt;0,AG203*10000-ROW(A203),0)</f>
        <v/>
      </c>
      <c r="AI203" s="623">
        <f t="array" ref="AI203">IF(C203="","",IFERROR((INDEX(終値!$E:$E,MATCH(TEXT(C203,"0"),終値!$A:$A,0))-INDEX(終値!$E:$BL,MATCH(TEXT(C203,"0"),終値!$A:$A,0),$AN$2))/INDEX(終値!$E:$BL,MATCH(TEXT(C203,"0"),終値!$A:$A,0),$AN$2)*100,""))</f>
        <v/>
      </c>
      <c r="AJ203" s="623">
        <f t="array" ref="AJ203">IFERROR((終値!$E$5-INDEX(終値!$E$5:$BL$5,1,$AN$2))/INDEX(終値!$E$5:$BL$5,1,$AN$2)*100,"")</f>
        <v/>
      </c>
      <c r="AK203" s="624">
        <f>IF(OR(AI203="",AJ203=""),"",AI203-AJ203)</f>
        <v/>
      </c>
      <c r="AL203" s="394">
        <f>IF(AK203="","",IF(AK203&lt;-5,3,IF(AK203&lt;0,1,IF(AK203&lt;3,-1,-2))))</f>
        <v/>
      </c>
      <c r="AO203" s="398">
        <f>IF(OR($C203="",$E203="",$F203="",$H203="",$I203="",$H203-$I203&lt;=0),"-",IF(AND($H203-MAX($F203,$E203)&gt;=ABS($E203-$F203)*2,MIN($F203,$E203)-$I203&lt;=ABS($E203-$F203)*0.5,ABS($E203-$F203)&gt;0),"上ヒゲ陰線▼",IF(AND($E203&lt;$F203,ABS($E203-$F203)&gt;=($H203-$I203)*0.7),"大陰線▼",IF(AND(MIN($F203,$E203)-$I203&gt;=($H203-$I203)*0.5,$H203-MAX($F203,$E203)&lt;=($H203-$I203)*0.2),"長い下ヒゲ(反発警戒)","通常"))))</f>
        <v/>
      </c>
      <c r="AP203" s="625">
        <f>IF($AO203="上ヒゲ陰線▼",2,IF($AO203="大陰線▼",2,IF($AO203="長い下ヒゲ(反発警戒)",-2,0)))</f>
        <v/>
      </c>
      <c r="AQ203">
        <f>IF(C203&lt;&gt;"",始値!F115,"")</f>
        <v/>
      </c>
      <c r="AR203">
        <f>IF(C203&lt;&gt;"",高値!F115,"")</f>
        <v/>
      </c>
      <c r="AS203">
        <f>IF(C203&lt;&gt;"",安値!F115,"")</f>
        <v/>
      </c>
      <c r="AT203">
        <f>IF(OR(C203="",AQ203="",AR203="",AS203="",AR203-AS203&lt;=0),"-",IF(AND(AR203-MAX(G203,AQ203)&gt;=ABS(G203-AQ203)*2,MIN(G203,AQ203)-AS203&lt;=ABS(G203-AQ203)*0.5,ABS(G203-AQ203)&gt;0),"上ヒゲ陰線▼",IF(AND(G203&lt;AQ203,ABS(G203-AQ203)&gt;=(AR203-AS203)*0.7),"大陰線▼",IF(AND(MIN(G203,AQ203)-AS203&gt;=(AR203-AS203)*0.5,AR203-MAX(G203,AQ203)&lt;=(AR203-AS203)*0.2),"長い下ヒゲ(反発)","通常"))))</f>
        <v/>
      </c>
      <c r="AU203">
        <f>IF(AT203="上ヒゲ陰線▼",2,IF(AT203="大陰線▼",2,IF(AT203="長い下ヒゲ(反発)",-2,0)))</f>
        <v/>
      </c>
    </row>
    <row r="204" ht="14.25" customHeight="1" s="574">
      <c r="A204" s="352">
        <f>IF(銘柄管理!B122&lt;&gt;"",HYPERLINK("https://kabutan.jp/stock/?code="&amp;銘柄管理!B122,"株探"),"")</f>
        <v/>
      </c>
      <c r="B204" s="225" t="n"/>
      <c r="C204" s="225">
        <f>IF(銘柄管理!B122="","",銘柄管理!B122)</f>
        <v/>
      </c>
      <c r="D204" s="225">
        <f>IF(銘柄管理!C122="","",銘柄管理!C122)</f>
        <v/>
      </c>
      <c r="E204" s="353">
        <f>IF(C204&lt;&gt;"",_xll.RssMarket(C204,"現在値"),"")</f>
        <v/>
      </c>
      <c r="F204" s="353">
        <f>IF(C204&lt;&gt;"",_xll.RssMarket(C204,"始値"),"")</f>
        <v/>
      </c>
      <c r="G204" s="225">
        <f>IF(C204&lt;&gt;"",終値!F122,"")</f>
        <v/>
      </c>
      <c r="H204" s="353">
        <f>IF(C204&lt;&gt;"",_xll.RssMarket(C204,"高値"),"")</f>
        <v/>
      </c>
      <c r="I204" s="353">
        <f>IF(C204&lt;&gt;"",_xll.RssMarket(C204,"安値"),"")</f>
        <v/>
      </c>
      <c r="J204" s="353">
        <f>IF(C204&lt;&gt;"",_xll.RssMarket(C204,"出来高"),"")</f>
        <v/>
      </c>
      <c r="K204" s="353">
        <f>IF(C204&lt;&gt;"",_xll.RssMarket(C204,"年初来高値"),"")</f>
        <v/>
      </c>
      <c r="L204" s="626">
        <f>IF(AND(E204&lt;&gt;"",K204&lt;&gt;"",K204&lt;&gt;0),(E204-K204)/K204*100,"")</f>
        <v/>
      </c>
      <c r="M204" s="353">
        <f>IF(C204&lt;&gt;"",IFERROR(AVERAGE(出来高!E122:I122),""),"")</f>
        <v/>
      </c>
      <c r="N204" s="353">
        <f>IF(C204&lt;&gt;"",IFERROR(AVERAGE(出来高!E122:AC122),""),"")</f>
        <v/>
      </c>
      <c r="O204" s="627">
        <f>IF(AND(J204&lt;&gt;"",M204&lt;&gt;"",M204&lt;&gt;0),J204/M204,"")</f>
        <v/>
      </c>
      <c r="P204" s="225">
        <f>IF(O204="","",IF(O204&gt;=2,"急増↑↑",IF(O204&gt;=1.5,"増加↑",IF(O204&gt;=1,"普通→","減少↓"))))</f>
        <v/>
      </c>
      <c r="Q204" s="225">
        <f>IF(E204="","",IF(AND(E204&lt;G204,O204&gt;=1.5),"売り▼",IF(E204&gt;G204,"様子見▲","中立→")))</f>
        <v/>
      </c>
      <c r="R204" s="353">
        <f>IF(E204&lt;&gt;"",ROUND(E204*0.92,0),"")</f>
        <v/>
      </c>
      <c r="S204" s="353">
        <f>IF(E204&lt;&gt;"",ROUND(E204*1.04,0),"")</f>
        <v/>
      </c>
      <c r="T204" s="345">
        <f>IF(C204="","",IFERROR(IF(W204&gt;=70,3,IF(W204&gt;=60,2,IF(W204&gt;=50,1,0)))+IF(X204&lt;0,2,0)+IF(AD204="下降トレンド▼",3,IF(AD204="もみ合い→",1,0))+IF(V204="年初来安値圏●",3,IF(V204="安値圏",2,0))+IF(Q204="売り▼",2,0)+IF(P204="急増↑↑",2,IF(P204="増加↑",1,0))+IF(Z204&lt;0,1,0)+IF(L204&lt;=-30,2,IF(L204&lt;=-15,1,0))+IF(AE204="25日戻り売り★",2,IF(AE204="5日戻り売り○",1,0))+N(AL204)+N(AP204)+N(AU204),0))</f>
        <v/>
      </c>
      <c r="U204" s="225">
        <f>IF(T204="","",IF(AND(T204&gt;=3,O204&gt;=1.5),"有効",IF(T204&gt;=3,"要確認","除外")))</f>
        <v/>
      </c>
      <c r="V204" s="225">
        <f>IF(AND(I204&lt;&gt;"",K204&lt;&gt;""),IF(I204&lt;=K204*0.6,"年初来安値圏●",IF(I204&lt;=K204*0.75,"安値圏","通常")),"")</f>
        <v/>
      </c>
      <c r="W204" s="628">
        <f t="array" ref="W204">IFERROR(100-100/(1+SUMPRODUCT((終値!F122:R122&gt;終値!G122:S122)*(終値!F122:R122-終値!G122:S122))/SUMPRODUCT((終値!F122:R122&lt;終値!G122:S122)*(終値!G122:S122-終値!F122:R122))),50)</f>
        <v/>
      </c>
      <c r="X204" s="357">
        <f>IF(C204&lt;&gt;"",IFERROR(SUMPRODUCT(終値!E122:P122,{0.154,0.132,0.113,0.097,0.083,0.071,0.061,0.052,0.045,0.038,0.033,0.028})/SUMPRODUCT({0.154,0.132,0.113,0.097,0.083,0.071,0.061,0.052,0.045,0.038,0.033,0.028})-SUMPRODUCT(終値!E122:AD122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4" s="225">
        <f>IF(AF204="","",AF204&amp;" | "&amp;AD204&amp;IF(AE204&lt;&gt;"なし"," "&amp;AE204,"")&amp;IF(X204&lt;0," MACD-"," MACD+")&amp;" RSI:"&amp;TEXT(W204,"0.0")&amp;IF(W204&gt;=70," [過熱]",IF(W204&lt;=30," [売られ過ぎ]",""))&amp;" 前日比:"&amp;TEXT(Z204,"+0.0;-0.0;0.0")&amp;"%"&amp;IF(V204="年初来安値圏●"," [年初来安値圏]",IF(V204="安値圏"," [安値圏]",""))&amp;IF(OR(AO204="通常",AO204="-"),""," ["&amp;AO204&amp;"]")&amp;IF(OR(AT204="通常",AT204="-"),"","前日["&amp;AT204&amp;"]")&amp;" ["&amp;T204&amp;"点]")</f>
        <v/>
      </c>
      <c r="Z204" s="629">
        <f>IF(AND(E204&lt;&gt;"",G204&lt;&gt;"",G204&lt;&gt;0),(E204-G204)/G204*100,"")</f>
        <v/>
      </c>
      <c r="AA204" s="225">
        <f>IF(OR(C204="",E204="",E204=0),"",IF(E204&gt;G204,"上昇▲",IF(E204&lt;G204,"下落▼","横ばい→")))</f>
        <v/>
      </c>
      <c r="AB204" s="353">
        <f>IF(OR(C204="",C204="TOPX",終値!E122=""),"",IFERROR(((終値!E122*0.333)+(終値!F122*0.222)+(終値!G122*0.148)+(終値!H122*0.099)+(終値!I122*0.066))/(0.333+0.222+0.148+0.099+0.066),""))</f>
        <v/>
      </c>
      <c r="AC204" s="353">
        <f>IF(OR(C204="",C204="TOPX",終値!E122=""),"",IFERROR(SUMPRODUCT((終値!E122:AC122)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4" s="225">
        <f>IF(OR(C204="",AB204="",AC204="",AB204=0,AC204=0),"",IF(AND(E204&gt;AB204,AB204&gt;AC204),"パーフェクト▲",IF(E204&gt;AC204,"上昇トレンド▲",IF(AND(E204&lt;AB204,AB204&lt;AC204),"下降トレンド▼","もみ合い→"))))</f>
        <v/>
      </c>
      <c r="AE204" s="225">
        <f>IF(OR(C204="",AB204="",AC204=""),"",IF(AND(ABS(E204-AC204)/AC204&lt;=0.02,E204&lt;AC204),"25日戻り売り★",IF(AND(ABS(E204-AB204)/AB204&lt;=0.01,E204&lt;AB204),"5日戻り売り○","なし")))</f>
        <v/>
      </c>
      <c r="AF204">
        <f>IF(T204="","",IF(銘柄管理!$F$5="上昇▲",IF(AND(AD204="下降トレンド▼",OR(AE204="25日戻り売り★",AE204="5日戻り売り○")),"★逆張り売り",IF(AND(AD204="もみ合い→",OR(AE204="25日戻り売り★",AE204="5日戻り売り○")),"○逆張り売り",IF(W204&gt;=70,IF(Z204&lt;0,"◎反落確認","△過熱・様子見"),"相場上昇・見送り"))),IF(AND(T204&gt;=12,AD204="下降トレンド▼"),"★強い売り",IF(T204&gt;=12,"★強い売り",IF(AND(T204&gt;=8,OR(AE204="25日戻り売り★",AE204="5日戻り売り○")),"◎戻り売り",IF(T204&gt;=10,"○売り候補",IF(T204&gt;=6,"△注目",IF(T204&gt;=3,"様子見","見送り"))))))))</f>
        <v/>
      </c>
      <c r="AG204">
        <f>IF(AND(T204&gt;=7,C204&lt;&gt;""),T204,0)</f>
        <v/>
      </c>
      <c r="AH204">
        <f>IF(AG204&gt;0,AG204*10000-ROW(A204),0)</f>
        <v/>
      </c>
      <c r="AI204" s="623">
        <f t="array" ref="AI204">IF(C204="","",IFERROR((INDEX(終値!$E:$E,MATCH(TEXT(C204,"0"),終値!$A:$A,0))-INDEX(終値!$E:$BL,MATCH(TEXT(C204,"0"),終値!$A:$A,0),$AN$2))/INDEX(終値!$E:$BL,MATCH(TEXT(C204,"0"),終値!$A:$A,0),$AN$2)*100,""))</f>
        <v/>
      </c>
      <c r="AJ204" s="623">
        <f t="array" ref="AJ204">IFERROR((終値!$E$5-INDEX(終値!$E$5:$BL$5,1,$AN$2))/INDEX(終値!$E$5:$BL$5,1,$AN$2)*100,"")</f>
        <v/>
      </c>
      <c r="AK204" s="624">
        <f>IF(OR(AI204="",AJ204=""),"",AI204-AJ204)</f>
        <v/>
      </c>
      <c r="AL204" s="394">
        <f>IF(AK204="","",IF(AK204&lt;-5,3,IF(AK204&lt;0,1,IF(AK204&lt;3,-1,-2))))</f>
        <v/>
      </c>
      <c r="AO204" s="398">
        <f>IF(OR($C204="",$E204="",$F204="",$H204="",$I204="",$H204-$I204&lt;=0),"-",IF(AND($H204-MAX($F204,$E204)&gt;=ABS($E204-$F204)*2,MIN($F204,$E204)-$I204&lt;=ABS($E204-$F204)*0.5,ABS($E204-$F204)&gt;0),"上ヒゲ陰線▼",IF(AND($E204&lt;$F204,ABS($E204-$F204)&gt;=($H204-$I204)*0.7),"大陰線▼",IF(AND(MIN($F204,$E204)-$I204&gt;=($H204-$I204)*0.5,$H204-MAX($F204,$E204)&lt;=($H204-$I204)*0.2),"長い下ヒゲ(反発警戒)","通常"))))</f>
        <v/>
      </c>
      <c r="AP204" s="625">
        <f>IF($AO204="上ヒゲ陰線▼",2,IF($AO204="大陰線▼",2,IF($AO204="長い下ヒゲ(反発警戒)",-2,0)))</f>
        <v/>
      </c>
      <c r="AQ204">
        <f>IF(C204&lt;&gt;"",始値!F122,"")</f>
        <v/>
      </c>
      <c r="AR204">
        <f>IF(C204&lt;&gt;"",高値!F122,"")</f>
        <v/>
      </c>
      <c r="AS204">
        <f>IF(C204&lt;&gt;"",安値!F122,"")</f>
        <v/>
      </c>
      <c r="AT204">
        <f>IF(OR(C204="",AQ204="",AR204="",AS204="",AR204-AS204&lt;=0),"-",IF(AND(AR204-MAX(G204,AQ204)&gt;=ABS(G204-AQ204)*2,MIN(G204,AQ204)-AS204&lt;=ABS(G204-AQ204)*0.5,ABS(G204-AQ204)&gt;0),"上ヒゲ陰線▼",IF(AND(G204&lt;AQ204,ABS(G204-AQ204)&gt;=(AR204-AS204)*0.7),"大陰線▼",IF(AND(MIN(G204,AQ204)-AS204&gt;=(AR204-AS204)*0.5,AR204-MAX(G204,AQ204)&lt;=(AR204-AS204)*0.2),"長い下ヒゲ(反発)","通常"))))</f>
        <v/>
      </c>
      <c r="AU204">
        <f>IF(AT204="上ヒゲ陰線▼",2,IF(AT204="大陰線▼",2,IF(AT204="長い下ヒゲ(反発)",-2,0)))</f>
        <v/>
      </c>
    </row>
    <row r="205" ht="14.25" customHeight="1" s="574">
      <c r="A205" s="344">
        <f>IF(銘柄管理!B130&lt;&gt;"",HYPERLINK("https://kabutan.jp/stock/?code="&amp;銘柄管理!B130,"株探"),"")</f>
        <v/>
      </c>
      <c r="B205" s="345" t="n"/>
      <c r="C205" s="345">
        <f>IF(銘柄管理!B130="","",銘柄管理!B130)</f>
        <v/>
      </c>
      <c r="D205" s="345">
        <f>IF(銘柄管理!C130="","",銘柄管理!C130)</f>
        <v/>
      </c>
      <c r="E205" s="346">
        <f>IF(C205&lt;&gt;"",_xll.RssMarket(C205,"現在値"),"")</f>
        <v/>
      </c>
      <c r="F205" s="346">
        <f>IF(C205&lt;&gt;"",_xll.RssMarket(C205,"始値"),"")</f>
        <v/>
      </c>
      <c r="G205" s="345">
        <f>IF(C205&lt;&gt;"",終値!F130,"")</f>
        <v/>
      </c>
      <c r="H205" s="346">
        <f>IF(C205&lt;&gt;"",_xll.RssMarket(C205,"高値"),"")</f>
        <v/>
      </c>
      <c r="I205" s="346">
        <f>IF(C205&lt;&gt;"",_xll.RssMarket(C205,"安値"),"")</f>
        <v/>
      </c>
      <c r="J205" s="346">
        <f>IF(C205&lt;&gt;"",_xll.RssMarket(C205,"出来高"),"")</f>
        <v/>
      </c>
      <c r="K205" s="346">
        <f>IF(C205&lt;&gt;"",_xll.RssMarket(C205,"年初来高値"),"")</f>
        <v/>
      </c>
      <c r="L205" s="619">
        <f>IF(AND(E205&lt;&gt;"",K205&lt;&gt;"",K205&lt;&gt;0),(E205-K205)/K205*100,"")</f>
        <v/>
      </c>
      <c r="M205" s="346">
        <f>IF(C205&lt;&gt;"",IFERROR(AVERAGE(出来高!E130:I130),""),"")</f>
        <v/>
      </c>
      <c r="N205" s="346">
        <f>IF(C205&lt;&gt;"",IFERROR(AVERAGE(出来高!E130:AC130),""),"")</f>
        <v/>
      </c>
      <c r="O205" s="620">
        <f>IF(AND(J205&lt;&gt;"",M205&lt;&gt;"",M205&lt;&gt;0),J205/M205,"")</f>
        <v/>
      </c>
      <c r="P205" s="345">
        <f>IF(O205="","",IF(O205&gt;=2,"急増↑↑",IF(O205&gt;=1.5,"増加↑",IF(O205&gt;=1,"普通→","減少↓"))))</f>
        <v/>
      </c>
      <c r="Q205" s="345">
        <f>IF(E205="","",IF(AND(E205&lt;G205,O205&gt;=1.5),"売り▼",IF(E205&gt;G205,"様子見▲","中立→")))</f>
        <v/>
      </c>
      <c r="R205" s="346">
        <f>IF(E205&lt;&gt;"",ROUND(E205*0.92,0),"")</f>
        <v/>
      </c>
      <c r="S205" s="346">
        <f>IF(E205&lt;&gt;"",ROUND(E205*1.04,0),"")</f>
        <v/>
      </c>
      <c r="T205" s="345">
        <f>IF(C205="","",IFERROR(IF(W205&gt;=70,3,IF(W205&gt;=60,2,IF(W205&gt;=50,1,0)))+IF(X205&lt;0,2,0)+IF(AD205="下降トレンド▼",3,IF(AD205="もみ合い→",1,0))+IF(V205="年初来安値圏●",3,IF(V205="安値圏",2,0))+IF(Q205="売り▼",2,0)+IF(P205="急増↑↑",2,IF(P205="増加↑",1,0))+IF(Z205&lt;0,1,0)+IF(L205&lt;=-30,2,IF(L205&lt;=-15,1,0))+IF(AE205="25日戻り売り★",2,IF(AE205="5日戻り売り○",1,0))+N(AL205)+N(AP205)+N(AU205),0))</f>
        <v/>
      </c>
      <c r="U205" s="345">
        <f>IF(T205="","",IF(AND(T205&gt;=3,O205&gt;=1.5),"有効",IF(T205&gt;=3,"要確認","除外")))</f>
        <v/>
      </c>
      <c r="V205" s="345">
        <f>IF(AND(I205&lt;&gt;"",K205&lt;&gt;""),IF(I205&lt;=K205*0.6,"年初来安値圏●",IF(I205&lt;=K205*0.75,"安値圏","通常")),"")</f>
        <v/>
      </c>
      <c r="W205" s="621">
        <f t="array" ref="W205">IFERROR(100-100/(1+SUMPRODUCT((終値!F130:R130&gt;終値!G130:S130)*(終値!F130:R130-終値!G130:S130))/SUMPRODUCT((終値!F130:R130&lt;終値!G130:S130)*(終値!G130:S130-終値!F130:R130))),50)</f>
        <v/>
      </c>
      <c r="X205" s="350">
        <f>IF(C205&lt;&gt;"",IFERROR(SUMPRODUCT(終値!E130:P130,{0.154,0.132,0.113,0.097,0.083,0.071,0.061,0.052,0.045,0.038,0.033,0.028})/SUMPRODUCT({0.154,0.132,0.113,0.097,0.083,0.071,0.061,0.052,0.045,0.038,0.033,0.028})-SUMPRODUCT(終値!E130:AD130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5" s="345">
        <f>IF(AF205="","",AF205&amp;" | "&amp;AD205&amp;IF(AE205&lt;&gt;"なし"," "&amp;AE205,"")&amp;IF(X205&lt;0," MACD-"," MACD+")&amp;" RSI:"&amp;TEXT(W205,"0.0")&amp;IF(W205&gt;=70," [過熱]",IF(W205&lt;=30," [売られ過ぎ]",""))&amp;" 前日比:"&amp;TEXT(Z205,"+0.0;-0.0;0.0")&amp;"%"&amp;IF(V205="年初来安値圏●"," [年初来安値圏]",IF(V205="安値圏"," [安値圏]",""))&amp;IF(OR(AO205="通常",AO205="-"),""," ["&amp;AO205&amp;"]")&amp;IF(OR(AT205="通常",AT205="-"),"","前日["&amp;AT205&amp;"]")&amp;" ["&amp;T205&amp;"点]")</f>
        <v/>
      </c>
      <c r="Z205" s="622">
        <f>IF(AND(E205&lt;&gt;"",G205&lt;&gt;"",G205&lt;&gt;0),(E205-G205)/G205*100,"")</f>
        <v/>
      </c>
      <c r="AA205" s="345">
        <f>IF(OR(C205="",E205="",E205=0),"",IF(E205&gt;G205,"上昇▲",IF(E205&lt;G205,"下落▼","横ばい→")))</f>
        <v/>
      </c>
      <c r="AB205" s="346">
        <f>IF(OR(C205="",C205="TOPX",終値!E130=""),"",IFERROR(((終値!E130*0.333)+(終値!F130*0.222)+(終値!G130*0.148)+(終値!H130*0.099)+(終値!I130*0.066))/(0.333+0.222+0.148+0.099+0.066),""))</f>
        <v/>
      </c>
      <c r="AC205" s="346">
        <f>IF(OR(C205="",C205="TOPX",終値!E130=""),"",IFERROR(SUMPRODUCT((終値!E130:AC130)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5" s="345">
        <f>IF(OR(C205="",AB205="",AC205="",AB205=0,AC205=0),"",IF(AND(E205&gt;AB205,AB205&gt;AC205),"パーフェクト▲",IF(E205&gt;AC205,"上昇トレンド▲",IF(AND(E205&lt;AB205,AB205&lt;AC205),"下降トレンド▼","もみ合い→"))))</f>
        <v/>
      </c>
      <c r="AE205" s="345">
        <f>IF(OR(C205="",AB205="",AC205=""),"",IF(AND(ABS(E205-AC205)/AC205&lt;=0.02,E205&lt;AC205),"25日戻り売り★",IF(AND(ABS(E205-AB205)/AB205&lt;=0.01,E205&lt;AB205),"5日戻り売り○","なし")))</f>
        <v/>
      </c>
      <c r="AF205">
        <f>IF(T205="","",IF(銘柄管理!$F$5="上昇▲",IF(AND(AD205="下降トレンド▼",OR(AE205="25日戻り売り★",AE205="5日戻り売り○")),"★逆張り売り",IF(AND(AD205="もみ合い→",OR(AE205="25日戻り売り★",AE205="5日戻り売り○")),"○逆張り売り",IF(W205&gt;=70,IF(Z205&lt;0,"◎反落確認","△過熱・様子見"),"相場上昇・見送り"))),IF(AND(T205&gt;=12,AD205="下降トレンド▼"),"★強い売り",IF(T205&gt;=12,"★強い売り",IF(AND(T205&gt;=8,OR(AE205="25日戻り売り★",AE205="5日戻り売り○")),"◎戻り売り",IF(T205&gt;=10,"○売り候補",IF(T205&gt;=6,"△注目",IF(T205&gt;=3,"様子見","見送り"))))))))</f>
        <v/>
      </c>
      <c r="AG205">
        <f>IF(AND(T205&gt;=7,C205&lt;&gt;""),T205,0)</f>
        <v/>
      </c>
      <c r="AH205">
        <f>IF(AG205&gt;0,AG205*10000-ROW(A205),0)</f>
        <v/>
      </c>
      <c r="AI205" s="623">
        <f t="array" ref="AI205">IF(C205="","",IFERROR((INDEX(終値!$E:$E,MATCH(TEXT(C205,"0"),終値!$A:$A,0))-INDEX(終値!$E:$BL,MATCH(TEXT(C205,"0"),終値!$A:$A,0),$AN$2))/INDEX(終値!$E:$BL,MATCH(TEXT(C205,"0"),終値!$A:$A,0),$AN$2)*100,""))</f>
        <v/>
      </c>
      <c r="AJ205" s="623">
        <f t="array" ref="AJ205">IFERROR((終値!$E$5-INDEX(終値!$E$5:$BL$5,1,$AN$2))/INDEX(終値!$E$5:$BL$5,1,$AN$2)*100,"")</f>
        <v/>
      </c>
      <c r="AK205" s="624">
        <f>IF(OR(AI205="",AJ205=""),"",AI205-AJ205)</f>
        <v/>
      </c>
      <c r="AL205" s="394">
        <f>IF(AK205="","",IF(AK205&lt;-5,3,IF(AK205&lt;0,1,IF(AK205&lt;3,-1,-2))))</f>
        <v/>
      </c>
      <c r="AO205" s="398">
        <f>IF(OR($C205="",$E205="",$F205="",$H205="",$I205="",$H205-$I205&lt;=0),"-",IF(AND($H205-MAX($F205,$E205)&gt;=ABS($E205-$F205)*2,MIN($F205,$E205)-$I205&lt;=ABS($E205-$F205)*0.5,ABS($E205-$F205)&gt;0),"上ヒゲ陰線▼",IF(AND($E205&lt;$F205,ABS($E205-$F205)&gt;=($H205-$I205)*0.7),"大陰線▼",IF(AND(MIN($F205,$E205)-$I205&gt;=($H205-$I205)*0.5,$H205-MAX($F205,$E205)&lt;=($H205-$I205)*0.2),"長い下ヒゲ(反発警戒)","通常"))))</f>
        <v/>
      </c>
      <c r="AP205" s="625">
        <f>IF($AO205="上ヒゲ陰線▼",2,IF($AO205="大陰線▼",2,IF($AO205="長い下ヒゲ(反発警戒)",-2,0)))</f>
        <v/>
      </c>
      <c r="AQ205">
        <f>IF(C205&lt;&gt;"",始値!F130,"")</f>
        <v/>
      </c>
      <c r="AR205">
        <f>IF(C205&lt;&gt;"",高値!F130,"")</f>
        <v/>
      </c>
      <c r="AS205">
        <f>IF(C205&lt;&gt;"",安値!F130,"")</f>
        <v/>
      </c>
      <c r="AT205">
        <f>IF(OR(C205="",AQ205="",AR205="",AS205="",AR205-AS205&lt;=0),"-",IF(AND(AR205-MAX(G205,AQ205)&gt;=ABS(G205-AQ205)*2,MIN(G205,AQ205)-AS205&lt;=ABS(G205-AQ205)*0.5,ABS(G205-AQ205)&gt;0),"上ヒゲ陰線▼",IF(AND(G205&lt;AQ205,ABS(G205-AQ205)&gt;=(AR205-AS205)*0.7),"大陰線▼",IF(AND(MIN(G205,AQ205)-AS205&gt;=(AR205-AS205)*0.5,AR205-MAX(G205,AQ205)&lt;=(AR205-AS205)*0.2),"長い下ヒゲ(反発)","通常"))))</f>
        <v/>
      </c>
      <c r="AU205">
        <f>IF(AT205="上ヒゲ陰線▼",2,IF(AT205="大陰線▼",2,IF(AT205="長い下ヒゲ(反発)",-2,0)))</f>
        <v/>
      </c>
    </row>
    <row r="206" ht="14.25" customHeight="1" s="574">
      <c r="A206" s="352">
        <f>IF(銘柄管理!B202&lt;&gt;"",HYPERLINK("https://kabutan.jp/stock/?code="&amp;銘柄管理!B202,"株探"),"")</f>
        <v/>
      </c>
      <c r="B206" s="225" t="n"/>
      <c r="C206" s="225">
        <f>IF(銘柄管理!B202="","",銘柄管理!B202)</f>
        <v/>
      </c>
      <c r="D206" s="225">
        <f>IF(銘柄管理!C202="","",銘柄管理!C202)</f>
        <v/>
      </c>
      <c r="E206" s="353">
        <f>IF(C206&lt;&gt;"",_xll.RssMarket(C206,"現在値"),"")</f>
        <v/>
      </c>
      <c r="F206" s="353">
        <f>IF(C206&lt;&gt;"",_xll.RssMarket(C206,"始値"),"")</f>
        <v/>
      </c>
      <c r="G206" s="225">
        <f>IF(C206&lt;&gt;"",終値!F202,"")</f>
        <v/>
      </c>
      <c r="H206" s="353">
        <f>IF(C206&lt;&gt;"",_xll.RssMarket(C206,"高値"),"")</f>
        <v/>
      </c>
      <c r="I206" s="353">
        <f>IF(C206&lt;&gt;"",_xll.RssMarket(C206,"安値"),"")</f>
        <v/>
      </c>
      <c r="J206" s="353">
        <f>IF(C206&lt;&gt;"",_xll.RssMarket(C206,"出来高"),"")</f>
        <v/>
      </c>
      <c r="K206" s="353">
        <f>IF(C206&lt;&gt;"",_xll.RssMarket(C206,"年初来高値"),"")</f>
        <v/>
      </c>
      <c r="L206" s="626">
        <f>IF(AND(E206&lt;&gt;"",K206&lt;&gt;"",K206&lt;&gt;0),(E206-K206)/K206*100,"")</f>
        <v/>
      </c>
      <c r="M206" s="353">
        <f>IF(C206&lt;&gt;"",IFERROR(AVERAGE(出来高!E202:I202),""),"")</f>
        <v/>
      </c>
      <c r="N206" s="353">
        <f>IF(C206&lt;&gt;"",IFERROR(AVERAGE(出来高!E202:AC202),""),"")</f>
        <v/>
      </c>
      <c r="O206" s="627">
        <f>IF(AND(J206&lt;&gt;"",M206&lt;&gt;"",M206&lt;&gt;0),J206/M206,"")</f>
        <v/>
      </c>
      <c r="P206" s="225">
        <f>IF(O206="","",IF(O206&gt;=2,"急増↑↑",IF(O206&gt;=1.5,"増加↑",IF(O206&gt;=1,"普通→","減少↓"))))</f>
        <v/>
      </c>
      <c r="Q206" s="225">
        <f>IF(E206="","",IF(AND(E206&lt;G206,O206&gt;=1.5),"売り▼",IF(E206&gt;G206,"様子見▲","中立→")))</f>
        <v/>
      </c>
      <c r="R206" s="353">
        <f>IF(E206&lt;&gt;"",ROUND(E206*0.92,0),"")</f>
        <v/>
      </c>
      <c r="S206" s="353">
        <f>IF(E206&lt;&gt;"",ROUND(E206*1.04,0),"")</f>
        <v/>
      </c>
      <c r="T206" s="345">
        <f>IF(C206="","",IFERROR(IF(W206&gt;=70,3,IF(W206&gt;=60,2,IF(W206&gt;=50,1,0)))+IF(X206&lt;0,2,0)+IF(AD206="下降トレンド▼",3,IF(AD206="もみ合い→",1,0))+IF(V206="年初来安値圏●",3,IF(V206="安値圏",2,0))+IF(Q206="売り▼",2,0)+IF(P206="急増↑↑",2,IF(P206="増加↑",1,0))+IF(Z206&lt;0,1,0)+IF(L206&lt;=-30,2,IF(L206&lt;=-15,1,0))+IF(AE206="25日戻り売り★",2,IF(AE206="5日戻り売り○",1,0))+N(AL206)+N(AP206)+N(AU206),0))</f>
        <v/>
      </c>
      <c r="U206" s="225">
        <f>IF(T206="","",IF(AND(T206&gt;=3,O206&gt;=1.5),"有効",IF(T206&gt;=3,"要確認","除外")))</f>
        <v/>
      </c>
      <c r="V206" s="225">
        <f>IF(AND(I206&lt;&gt;"",K206&lt;&gt;""),IF(I206&lt;=K206*0.6,"年初来安値圏●",IF(I206&lt;=K206*0.75,"安値圏","通常")),"")</f>
        <v/>
      </c>
      <c r="W206" s="628">
        <f t="array" ref="W206">IFERROR(100-100/(1+SUMPRODUCT((終値!F202:R202&gt;終値!G202:S202)*(終値!F202:R202-終値!G202:S202))/SUMPRODUCT((終値!F202:R202&lt;終値!G202:S202)*(終値!G202:S202-終値!F202:R202))),50)</f>
        <v/>
      </c>
      <c r="X206" s="357">
        <f>IF(C206&lt;&gt;"",IFERROR(SUMPRODUCT(終値!E202:P202,{0.154,0.132,0.113,0.097,0.083,0.071,0.061,0.052,0.045,0.038,0.033,0.028})/SUMPRODUCT({0.154,0.132,0.113,0.097,0.083,0.071,0.061,0.052,0.045,0.038,0.033,0.028})-SUMPRODUCT(終値!E202:AD202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6" s="225">
        <f>IF(AF206="","",AF206&amp;" | "&amp;AD206&amp;IF(AE206&lt;&gt;"なし"," "&amp;AE206,"")&amp;IF(X206&lt;0," MACD-"," MACD+")&amp;" RSI:"&amp;TEXT(W206,"0.0")&amp;IF(W206&gt;=70," [過熱]",IF(W206&lt;=30," [売られ過ぎ]",""))&amp;" 前日比:"&amp;TEXT(Z206,"+0.0;-0.0;0.0")&amp;"%"&amp;IF(V206="年初来安値圏●"," [年初来安値圏]",IF(V206="安値圏"," [安値圏]",""))&amp;IF(OR(AO206="通常",AO206="-"),""," ["&amp;AO206&amp;"]")&amp;IF(OR(AT206="通常",AT206="-"),"","前日["&amp;AT206&amp;"]")&amp;" ["&amp;T206&amp;"点]")</f>
        <v/>
      </c>
      <c r="Z206" s="629">
        <f>IF(AND(E206&lt;&gt;"",G206&lt;&gt;"",G206&lt;&gt;0),(E206-G206)/G206*100,"")</f>
        <v/>
      </c>
      <c r="AA206" s="225">
        <f>IF(OR(C206="",E206="",E206=0),"",IF(E206&gt;G206,"上昇▲",IF(E206&lt;G206,"下落▼","横ばい→")))</f>
        <v/>
      </c>
      <c r="AB206" s="353">
        <f>IF(OR(C206="",C206="TOPX",終値!E202=""),"",IFERROR(((終値!E202*0.333)+(終値!F202*0.222)+(終値!G202*0.148)+(終値!H202*0.099)+(終値!I202*0.066))/(0.333+0.222+0.148+0.099+0.066),""))</f>
        <v/>
      </c>
      <c r="AC206" s="353">
        <f>IF(OR(C206="",C206="TOPX",終値!E202=""),"",IFERROR(SUMPRODUCT((終値!E202:AC202)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6" s="225">
        <f>IF(OR(C206="",AB206="",AC206="",AB206=0,AC206=0),"",IF(AND(E206&gt;AB206,AB206&gt;AC206),"パーフェクト▲",IF(E206&gt;AC206,"上昇トレンド▲",IF(AND(E206&lt;AB206,AB206&lt;AC206),"下降トレンド▼","もみ合い→"))))</f>
        <v/>
      </c>
      <c r="AE206" s="225">
        <f>IF(OR(C206="",AB206="",AC206=""),"",IF(AND(ABS(E206-AC206)/AC206&lt;=0.02,E206&lt;AC206),"25日戻り売り★",IF(AND(ABS(E206-AB206)/AB206&lt;=0.01,E206&lt;AB206),"5日戻り売り○","なし")))</f>
        <v/>
      </c>
      <c r="AF206">
        <f>IF(T206="","",IF(銘柄管理!$F$5="上昇▲",IF(AND(AD206="下降トレンド▼",OR(AE206="25日戻り売り★",AE206="5日戻り売り○")),"★逆張り売り",IF(AND(AD206="もみ合い→",OR(AE206="25日戻り売り★",AE206="5日戻り売り○")),"○逆張り売り",IF(W206&gt;=70,IF(Z206&lt;0,"◎反落確認","△過熱・様子見"),"相場上昇・見送り"))),IF(AND(T206&gt;=12,AD206="下降トレンド▼"),"★強い売り",IF(T206&gt;=12,"★強い売り",IF(AND(T206&gt;=8,OR(AE206="25日戻り売り★",AE206="5日戻り売り○")),"◎戻り売り",IF(T206&gt;=10,"○売り候補",IF(T206&gt;=6,"△注目",IF(T206&gt;=3,"様子見","見送り"))))))))</f>
        <v/>
      </c>
      <c r="AG206">
        <f>IF(AND(T206&gt;=7,C206&lt;&gt;""),T206,0)</f>
        <v/>
      </c>
      <c r="AH206">
        <f>IF(AG206&gt;0,AG206*10000-ROW(A206),0)</f>
        <v/>
      </c>
      <c r="AI206" s="623">
        <f t="array" ref="AI206">IF(C206="","",IFERROR((INDEX(終値!$E:$E,MATCH(TEXT(C206,"0"),終値!$A:$A,0))-INDEX(終値!$E:$BL,MATCH(TEXT(C206,"0"),終値!$A:$A,0),$AN$2))/INDEX(終値!$E:$BL,MATCH(TEXT(C206,"0"),終値!$A:$A,0),$AN$2)*100,""))</f>
        <v/>
      </c>
      <c r="AJ206" s="623">
        <f t="array" ref="AJ206">IFERROR((終値!$E$5-INDEX(終値!$E$5:$BL$5,1,$AN$2))/INDEX(終値!$E$5:$BL$5,1,$AN$2)*100,"")</f>
        <v/>
      </c>
      <c r="AK206" s="624">
        <f>IF(OR(AI206="",AJ206=""),"",AI206-AJ206)</f>
        <v/>
      </c>
      <c r="AL206" s="394">
        <f>IF(AK206="","",IF(AK206&lt;-5,3,IF(AK206&lt;0,1,IF(AK206&lt;3,-1,-2))))</f>
        <v/>
      </c>
      <c r="AO206" s="398">
        <f>IF(OR($C206="",$E206="",$F206="",$H206="",$I206="",$H206-$I206&lt;=0),"-",IF(AND($H206-MAX($F206,$E206)&gt;=ABS($E206-$F206)*2,MIN($F206,$E206)-$I206&lt;=ABS($E206-$F206)*0.5,ABS($E206-$F206)&gt;0),"上ヒゲ陰線▼",IF(AND($E206&lt;$F206,ABS($E206-$F206)&gt;=($H206-$I206)*0.7),"大陰線▼",IF(AND(MIN($F206,$E206)-$I206&gt;=($H206-$I206)*0.5,$H206-MAX($F206,$E206)&lt;=($H206-$I206)*0.2),"長い下ヒゲ(反発警戒)","通常"))))</f>
        <v/>
      </c>
      <c r="AP206" s="625">
        <f>IF($AO206="上ヒゲ陰線▼",2,IF($AO206="大陰線▼",2,IF($AO206="長い下ヒゲ(反発警戒)",-2,0)))</f>
        <v/>
      </c>
      <c r="AQ206">
        <f>IF(C206&lt;&gt;"",始値!F202,"")</f>
        <v/>
      </c>
      <c r="AR206">
        <f>IF(C206&lt;&gt;"",高値!F202,"")</f>
        <v/>
      </c>
      <c r="AS206">
        <f>IF(C206&lt;&gt;"",安値!F202,"")</f>
        <v/>
      </c>
      <c r="AT206">
        <f>IF(OR(C206="",AQ206="",AR206="",AS206="",AR206-AS206&lt;=0),"-",IF(AND(AR206-MAX(G206,AQ206)&gt;=ABS(G206-AQ206)*2,MIN(G206,AQ206)-AS206&lt;=ABS(G206-AQ206)*0.5,ABS(G206-AQ206)&gt;0),"上ヒゲ陰線▼",IF(AND(G206&lt;AQ206,ABS(G206-AQ206)&gt;=(AR206-AS206)*0.7),"大陰線▼",IF(AND(MIN(G206,AQ206)-AS206&gt;=(AR206-AS206)*0.5,AR206-MAX(G206,AQ206)&lt;=(AR206-AS206)*0.2),"長い下ヒゲ(反発)","通常"))))</f>
        <v/>
      </c>
      <c r="AU206">
        <f>IF(AT206="上ヒゲ陰線▼",2,IF(AT206="大陰線▼",2,IF(AT206="長い下ヒゲ(反発)",-2,0)))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15">
    <outlinePr summaryBelow="1" summaryRight="1"/>
    <pageSetUpPr/>
  </sheetPr>
  <dimension ref="A1:Z206"/>
  <sheetViews>
    <sheetView topLeftCell="B1" workbookViewId="0">
      <selection activeCell="AA43" sqref="AA43"/>
    </sheetView>
  </sheetViews>
  <sheetFormatPr baseColWidth="8" defaultRowHeight="17.25"/>
  <cols>
    <col width="5.875" customWidth="1" style="574" min="1" max="1"/>
    <col width="7.5" customWidth="1" style="574" min="2" max="2"/>
    <col width="21.625" customWidth="1" style="574" min="4" max="4"/>
    <col width="13.375" customWidth="1" style="574" min="23" max="24"/>
    <col width="9" customWidth="1" style="412" min="25" max="25"/>
    <col width="133.75" bestFit="1" customWidth="1" style="574" min="26" max="26"/>
  </cols>
  <sheetData>
    <row r="1" ht="21" customHeight="1" s="574">
      <c r="A1" s="581" t="inlineStr">
        <is>
          <t>◆  売り候補ダッシュボード  ◆  空売り・下落候補  ◆</t>
        </is>
      </c>
    </row>
    <row r="2">
      <c r="A2" s="359" t="inlineStr">
        <is>
          <t>No</t>
        </is>
      </c>
      <c r="B2" s="359" t="inlineStr">
        <is>
          <t>株探</t>
        </is>
      </c>
      <c r="C2" s="359" t="inlineStr">
        <is>
          <t>銘柄コード</t>
        </is>
      </c>
      <c r="D2" s="359" t="inlineStr">
        <is>
          <t>銘柄名称</t>
        </is>
      </c>
      <c r="E2" s="359" t="inlineStr">
        <is>
          <t>現在値</t>
        </is>
      </c>
      <c r="F2" s="359" t="inlineStr">
        <is>
          <t>始値</t>
        </is>
      </c>
      <c r="G2" s="359" t="inlineStr">
        <is>
          <t>高値</t>
        </is>
      </c>
      <c r="H2" s="359" t="inlineStr">
        <is>
          <t>安値</t>
        </is>
      </c>
      <c r="I2" s="359" t="inlineStr">
        <is>
          <t>出来高</t>
        </is>
      </c>
      <c r="J2" s="359" t="inlineStr">
        <is>
          <t>5日EMA</t>
        </is>
      </c>
      <c r="K2" s="359" t="inlineStr">
        <is>
          <t>25日EMA</t>
        </is>
      </c>
      <c r="L2" s="359" t="inlineStr">
        <is>
          <t>年初来高値</t>
        </is>
      </c>
      <c r="M2" s="359" t="inlineStr">
        <is>
          <t>出来高トレンド</t>
        </is>
      </c>
      <c r="N2" s="359" t="inlineStr">
        <is>
          <t>出来高倍率</t>
        </is>
      </c>
      <c r="O2" s="359" t="inlineStr">
        <is>
          <t>MACD</t>
        </is>
      </c>
      <c r="P2" s="359" t="inlineStr">
        <is>
          <t>高値距離%</t>
        </is>
      </c>
      <c r="Q2" s="359" t="inlineStr">
        <is>
          <t>損切ライン</t>
        </is>
      </c>
      <c r="R2" s="359" t="inlineStr">
        <is>
          <t>利確ライン</t>
        </is>
      </c>
      <c r="S2" s="359" t="inlineStr">
        <is>
          <t>ステータス</t>
        </is>
      </c>
      <c r="T2" s="359" t="inlineStr">
        <is>
          <t>前日比%</t>
        </is>
      </c>
      <c r="U2" s="359" t="inlineStr">
        <is>
          <t>安値更新</t>
        </is>
      </c>
      <c r="V2" s="359" t="inlineStr">
        <is>
          <t>RSI(14)</t>
        </is>
      </c>
      <c r="W2" s="359" t="inlineStr">
        <is>
          <t>EMAトレンド</t>
        </is>
      </c>
      <c r="X2" s="359" t="inlineStr">
        <is>
          <t>戻り判定</t>
        </is>
      </c>
      <c r="Y2" s="409" t="inlineStr">
        <is>
          <t>総合スコア</t>
        </is>
      </c>
      <c r="Z2" s="359" t="inlineStr">
        <is>
          <t>最終シグナル</t>
        </is>
      </c>
    </row>
    <row r="3">
      <c r="A3" s="345">
        <f>IF(売分析!C3&lt;&gt;"",ROW()-2,"")</f>
        <v/>
      </c>
      <c r="B3" s="344">
        <f>IF(売分析!C3&lt;&gt;"",HYPERLINK("https://kabutan.jp/stock/?code="&amp;売分析!C3,"株探"),"")</f>
        <v/>
      </c>
      <c r="C3" s="630">
        <f>IF(売分析!C3&lt;&gt;"",売分析!C3,"")</f>
        <v/>
      </c>
      <c r="D3" s="345">
        <f>IF(売分析!D3&lt;&gt;"",売分析!D3,"")</f>
        <v/>
      </c>
      <c r="E3" s="346">
        <f>IF(売分析!E3&lt;&gt;"",売分析!E3,"")</f>
        <v/>
      </c>
      <c r="F3" s="346">
        <f>IF(売分析!F3&lt;&gt;"",売分析!F3,"")</f>
        <v/>
      </c>
      <c r="G3" s="346">
        <f>IF(売分析!H3&lt;&gt;"",売分析!H3,"")</f>
        <v/>
      </c>
      <c r="H3" s="346">
        <f>IF(売分析!I3&lt;&gt;"",売分析!I3,"")</f>
        <v/>
      </c>
      <c r="I3" s="345">
        <f>IF(売分析!J3&lt;&gt;"",売分析!J3,"")</f>
        <v/>
      </c>
      <c r="J3" s="346">
        <f>IF(売分析!AB3&lt;&gt;"",売分析!AB3,"")</f>
        <v/>
      </c>
      <c r="K3" s="346">
        <f>IF(売分析!AC3&lt;&gt;"",売分析!AC3,"")</f>
        <v/>
      </c>
      <c r="L3" s="346">
        <f>IF(売分析!K3&lt;&gt;"",売分析!K3,"")</f>
        <v/>
      </c>
      <c r="M3" s="345">
        <f>IF(売分析!P3&lt;&gt;"",売分析!P3,"")</f>
        <v/>
      </c>
      <c r="N3" s="620">
        <f>IF(売分析!O3&lt;&gt;"",売分析!O3,"")</f>
        <v/>
      </c>
      <c r="O3" s="350">
        <f>IF(売分析!X3&lt;&gt;"",売分析!X3,"")</f>
        <v/>
      </c>
      <c r="P3" s="619">
        <f>IF(売分析!L3&lt;&gt;"",売分析!L3,"")</f>
        <v/>
      </c>
      <c r="Q3" s="346">
        <f>IF(売分析!S3&lt;&gt;"",売分析!S3,"")</f>
        <v/>
      </c>
      <c r="R3" s="346">
        <f>IF(売分析!R3&lt;&gt;"",売分析!R3,"")</f>
        <v/>
      </c>
      <c r="S3" s="345">
        <f>IF(売分析!AA3&lt;&gt;"",売分析!AA3,"")</f>
        <v/>
      </c>
      <c r="T3" s="622">
        <f>IF(売分析!Z3&lt;&gt;"",売分析!Z3,"")</f>
        <v/>
      </c>
      <c r="U3" s="345">
        <f>IF(売分析!V3&lt;&gt;"",売分析!V3,"")</f>
        <v/>
      </c>
      <c r="V3" s="621">
        <f>IF(売分析!W3&lt;&gt;"",売分析!W3,"")</f>
        <v/>
      </c>
      <c r="W3" s="345">
        <f>IF(売分析!AD3&lt;&gt;"",売分析!AD3,"")</f>
        <v/>
      </c>
      <c r="X3" s="345">
        <f>IF(売分析!AE3&lt;&gt;"",売分析!AE3,"")</f>
        <v/>
      </c>
      <c r="Y3" s="410">
        <f>IF(売分析!T3&lt;&gt;"",売分析!T3,"")</f>
        <v/>
      </c>
      <c r="Z3" s="345">
        <f>IF(売分析!Y3&lt;&gt;"",売分析!Y3,"")</f>
        <v/>
      </c>
    </row>
    <row r="4">
      <c r="A4" s="225">
        <f>IF(売分析!C4&lt;&gt;"",ROW()-2,"")</f>
        <v/>
      </c>
      <c r="B4" s="352">
        <f>IF(売分析!C4&lt;&gt;"",HYPERLINK("https://kabutan.jp/stock/?code="&amp;売分析!C4,"株探"),"")</f>
        <v/>
      </c>
      <c r="C4" s="631">
        <f>IF(売分析!C4&lt;&gt;"",売分析!C4,"")</f>
        <v/>
      </c>
      <c r="D4" s="225">
        <f>IF(売分析!D4&lt;&gt;"",売分析!D4,"")</f>
        <v/>
      </c>
      <c r="E4" s="353">
        <f>IF(売分析!E4&lt;&gt;"",売分析!E4,"")</f>
        <v/>
      </c>
      <c r="F4" s="353">
        <f>IF(売分析!F4&lt;&gt;"",売分析!F4,"")</f>
        <v/>
      </c>
      <c r="G4" s="353">
        <f>IF(売分析!H4&lt;&gt;"",売分析!H4,"")</f>
        <v/>
      </c>
      <c r="H4" s="353">
        <f>IF(売分析!I4&lt;&gt;"",売分析!I4,"")</f>
        <v/>
      </c>
      <c r="I4" s="225">
        <f>IF(売分析!J4&lt;&gt;"",売分析!J4,"")</f>
        <v/>
      </c>
      <c r="J4" s="353">
        <f>IF(売分析!AB4&lt;&gt;"",売分析!AB4,"")</f>
        <v/>
      </c>
      <c r="K4" s="353">
        <f>IF(売分析!AC4&lt;&gt;"",売分析!AC4,"")</f>
        <v/>
      </c>
      <c r="L4" s="353">
        <f>IF(売分析!K4&lt;&gt;"",売分析!K4,"")</f>
        <v/>
      </c>
      <c r="M4" s="225">
        <f>IF(売分析!P4&lt;&gt;"",売分析!P4,"")</f>
        <v/>
      </c>
      <c r="N4" s="627">
        <f>IF(売分析!O4&lt;&gt;"",売分析!O4,"")</f>
        <v/>
      </c>
      <c r="O4" s="357">
        <f>IF(売分析!X4&lt;&gt;"",売分析!X4,"")</f>
        <v/>
      </c>
      <c r="P4" s="626">
        <f>IF(売分析!L4&lt;&gt;"",売分析!L4,"")</f>
        <v/>
      </c>
      <c r="Q4" s="353">
        <f>IF(売分析!S4&lt;&gt;"",売分析!S4,"")</f>
        <v/>
      </c>
      <c r="R4" s="353">
        <f>IF(売分析!R4&lt;&gt;"",売分析!R4,"")</f>
        <v/>
      </c>
      <c r="S4" s="225">
        <f>IF(売分析!AA4&lt;&gt;"",売分析!AA4,"")</f>
        <v/>
      </c>
      <c r="T4" s="629">
        <f>IF(売分析!Z4&lt;&gt;"",売分析!Z4,"")</f>
        <v/>
      </c>
      <c r="U4" s="225">
        <f>IF(売分析!V4&lt;&gt;"",売分析!V4,"")</f>
        <v/>
      </c>
      <c r="V4" s="628">
        <f>IF(売分析!W4&lt;&gt;"",売分析!W4,"")</f>
        <v/>
      </c>
      <c r="W4" s="225">
        <f>IF(売分析!AD4&lt;&gt;"",売分析!AD4,"")</f>
        <v/>
      </c>
      <c r="X4" s="225">
        <f>IF(売分析!AE4&lt;&gt;"",売分析!AE4,"")</f>
        <v/>
      </c>
      <c r="Y4" s="411">
        <f>IF(売分析!T4&lt;&gt;"",売分析!T4,"")</f>
        <v/>
      </c>
      <c r="Z4" s="225">
        <f>IF(売分析!Y4&lt;&gt;"",売分析!Y4,"")</f>
        <v/>
      </c>
    </row>
    <row r="5">
      <c r="A5" s="345">
        <f>IF(売分析!C5&lt;&gt;"",ROW()-2,"")</f>
        <v/>
      </c>
      <c r="B5" s="344">
        <f>IF(売分析!C5&lt;&gt;"",HYPERLINK("https://kabutan.jp/stock/?code="&amp;売分析!C5,"株探"),"")</f>
        <v/>
      </c>
      <c r="C5" s="630">
        <f>IF(売分析!C5&lt;&gt;"",売分析!C5,"")</f>
        <v/>
      </c>
      <c r="D5" s="345">
        <f>IF(売分析!D5&lt;&gt;"",売分析!D5,"")</f>
        <v/>
      </c>
      <c r="E5" s="346">
        <f>IF(売分析!E5&lt;&gt;"",売分析!E5,"")</f>
        <v/>
      </c>
      <c r="F5" s="346">
        <f>IF(売分析!F5&lt;&gt;"",売分析!F5,"")</f>
        <v/>
      </c>
      <c r="G5" s="346">
        <f>IF(売分析!H5&lt;&gt;"",売分析!H5,"")</f>
        <v/>
      </c>
      <c r="H5" s="346">
        <f>IF(売分析!I5&lt;&gt;"",売分析!I5,"")</f>
        <v/>
      </c>
      <c r="I5" s="345">
        <f>IF(売分析!J5&lt;&gt;"",売分析!J5,"")</f>
        <v/>
      </c>
      <c r="J5" s="346">
        <f>IF(売分析!AB5&lt;&gt;"",売分析!AB5,"")</f>
        <v/>
      </c>
      <c r="K5" s="346">
        <f>IF(売分析!AC5&lt;&gt;"",売分析!AC5,"")</f>
        <v/>
      </c>
      <c r="L5" s="346">
        <f>IF(売分析!K5&lt;&gt;"",売分析!K5,"")</f>
        <v/>
      </c>
      <c r="M5" s="345">
        <f>IF(売分析!P5&lt;&gt;"",売分析!P5,"")</f>
        <v/>
      </c>
      <c r="N5" s="620">
        <f>IF(売分析!O5&lt;&gt;"",売分析!O5,"")</f>
        <v/>
      </c>
      <c r="O5" s="350">
        <f>IF(売分析!X5&lt;&gt;"",売分析!X5,"")</f>
        <v/>
      </c>
      <c r="P5" s="619">
        <f>IF(売分析!L5&lt;&gt;"",売分析!L5,"")</f>
        <v/>
      </c>
      <c r="Q5" s="346">
        <f>IF(売分析!S5&lt;&gt;"",売分析!S5,"")</f>
        <v/>
      </c>
      <c r="R5" s="346">
        <f>IF(売分析!R5&lt;&gt;"",売分析!R5,"")</f>
        <v/>
      </c>
      <c r="S5" s="345">
        <f>IF(売分析!AA5&lt;&gt;"",売分析!AA5,"")</f>
        <v/>
      </c>
      <c r="T5" s="622">
        <f>IF(売分析!Z5&lt;&gt;"",売分析!Z5,"")</f>
        <v/>
      </c>
      <c r="U5" s="345">
        <f>IF(売分析!V5&lt;&gt;"",売分析!V5,"")</f>
        <v/>
      </c>
      <c r="V5" s="621">
        <f>IF(売分析!W5&lt;&gt;"",売分析!W5,"")</f>
        <v/>
      </c>
      <c r="W5" s="345">
        <f>IF(売分析!AD5&lt;&gt;"",売分析!AD5,"")</f>
        <v/>
      </c>
      <c r="X5" s="345">
        <f>IF(売分析!AE5&lt;&gt;"",売分析!AE5,"")</f>
        <v/>
      </c>
      <c r="Y5" s="410">
        <f>IF(売分析!T5&lt;&gt;"",売分析!T5,"")</f>
        <v/>
      </c>
      <c r="Z5" s="345">
        <f>IF(売分析!Y5&lt;&gt;"",売分析!Y5,"")</f>
        <v/>
      </c>
    </row>
    <row r="6">
      <c r="A6" s="225">
        <f>IF(売分析!C6&lt;&gt;"",ROW()-2,"")</f>
        <v/>
      </c>
      <c r="B6" s="352">
        <f>IF(売分析!C6&lt;&gt;"",HYPERLINK("https://kabutan.jp/stock/?code="&amp;売分析!C6,"株探"),"")</f>
        <v/>
      </c>
      <c r="C6" s="631">
        <f>IF(売分析!C6&lt;&gt;"",売分析!C6,"")</f>
        <v/>
      </c>
      <c r="D6" s="225">
        <f>IF(売分析!D6&lt;&gt;"",売分析!D6,"")</f>
        <v/>
      </c>
      <c r="E6" s="353">
        <f>IF(売分析!E6&lt;&gt;"",売分析!E6,"")</f>
        <v/>
      </c>
      <c r="F6" s="353">
        <f>IF(売分析!F6&lt;&gt;"",売分析!F6,"")</f>
        <v/>
      </c>
      <c r="G6" s="353">
        <f>IF(売分析!H6&lt;&gt;"",売分析!H6,"")</f>
        <v/>
      </c>
      <c r="H6" s="353">
        <f>IF(売分析!I6&lt;&gt;"",売分析!I6,"")</f>
        <v/>
      </c>
      <c r="I6" s="225">
        <f>IF(売分析!J6&lt;&gt;"",売分析!J6,"")</f>
        <v/>
      </c>
      <c r="J6" s="353">
        <f>IF(売分析!AB6&lt;&gt;"",売分析!AB6,"")</f>
        <v/>
      </c>
      <c r="K6" s="353">
        <f>IF(売分析!AC6&lt;&gt;"",売分析!AC6,"")</f>
        <v/>
      </c>
      <c r="L6" s="353">
        <f>IF(売分析!K6&lt;&gt;"",売分析!K6,"")</f>
        <v/>
      </c>
      <c r="M6" s="225">
        <f>IF(売分析!P6&lt;&gt;"",売分析!P6,"")</f>
        <v/>
      </c>
      <c r="N6" s="627">
        <f>IF(売分析!O6&lt;&gt;"",売分析!O6,"")</f>
        <v/>
      </c>
      <c r="O6" s="357">
        <f>IF(売分析!X6&lt;&gt;"",売分析!X6,"")</f>
        <v/>
      </c>
      <c r="P6" s="626">
        <f>IF(売分析!L6&lt;&gt;"",売分析!L6,"")</f>
        <v/>
      </c>
      <c r="Q6" s="353">
        <f>IF(売分析!S6&lt;&gt;"",売分析!S6,"")</f>
        <v/>
      </c>
      <c r="R6" s="353">
        <f>IF(売分析!R6&lt;&gt;"",売分析!R6,"")</f>
        <v/>
      </c>
      <c r="S6" s="225">
        <f>IF(売分析!AA6&lt;&gt;"",売分析!AA6,"")</f>
        <v/>
      </c>
      <c r="T6" s="629">
        <f>IF(売分析!Z6&lt;&gt;"",売分析!Z6,"")</f>
        <v/>
      </c>
      <c r="U6" s="225">
        <f>IF(売分析!V6&lt;&gt;"",売分析!V6,"")</f>
        <v/>
      </c>
      <c r="V6" s="628">
        <f>IF(売分析!W6&lt;&gt;"",売分析!W6,"")</f>
        <v/>
      </c>
      <c r="W6" s="225">
        <f>IF(売分析!AD6&lt;&gt;"",売分析!AD6,"")</f>
        <v/>
      </c>
      <c r="X6" s="225">
        <f>IF(売分析!AE6&lt;&gt;"",売分析!AE6,"")</f>
        <v/>
      </c>
      <c r="Y6" s="411">
        <f>IF(売分析!T6&lt;&gt;"",売分析!T6,"")</f>
        <v/>
      </c>
      <c r="Z6" s="225">
        <f>IF(売分析!Y6&lt;&gt;"",売分析!Y6,"")</f>
        <v/>
      </c>
    </row>
    <row r="7">
      <c r="A7" s="345">
        <f>IF(売分析!C7&lt;&gt;"",ROW()-2,"")</f>
        <v/>
      </c>
      <c r="B7" s="344">
        <f>IF(売分析!C7&lt;&gt;"",HYPERLINK("https://kabutan.jp/stock/?code="&amp;売分析!C7,"株探"),"")</f>
        <v/>
      </c>
      <c r="C7" s="630">
        <f>IF(売分析!C7&lt;&gt;"",売分析!C7,"")</f>
        <v/>
      </c>
      <c r="D7" s="345">
        <f>IF(売分析!D7&lt;&gt;"",売分析!D7,"")</f>
        <v/>
      </c>
      <c r="E7" s="346">
        <f>IF(売分析!E7&lt;&gt;"",売分析!E7,"")</f>
        <v/>
      </c>
      <c r="F7" s="346">
        <f>IF(売分析!F7&lt;&gt;"",売分析!F7,"")</f>
        <v/>
      </c>
      <c r="G7" s="346">
        <f>IF(売分析!H7&lt;&gt;"",売分析!H7,"")</f>
        <v/>
      </c>
      <c r="H7" s="346">
        <f>IF(売分析!I7&lt;&gt;"",売分析!I7,"")</f>
        <v/>
      </c>
      <c r="I7" s="345">
        <f>IF(売分析!J7&lt;&gt;"",売分析!J7,"")</f>
        <v/>
      </c>
      <c r="J7" s="346">
        <f>IF(売分析!AB7&lt;&gt;"",売分析!AB7,"")</f>
        <v/>
      </c>
      <c r="K7" s="346">
        <f>IF(売分析!AC7&lt;&gt;"",売分析!AC7,"")</f>
        <v/>
      </c>
      <c r="L7" s="346">
        <f>IF(売分析!K7&lt;&gt;"",売分析!K7,"")</f>
        <v/>
      </c>
      <c r="M7" s="345">
        <f>IF(売分析!P7&lt;&gt;"",売分析!P7,"")</f>
        <v/>
      </c>
      <c r="N7" s="620">
        <f>IF(売分析!O7&lt;&gt;"",売分析!O7,"")</f>
        <v/>
      </c>
      <c r="O7" s="350">
        <f>IF(売分析!X7&lt;&gt;"",売分析!X7,"")</f>
        <v/>
      </c>
      <c r="P7" s="619">
        <f>IF(売分析!L7&lt;&gt;"",売分析!L7,"")</f>
        <v/>
      </c>
      <c r="Q7" s="346">
        <f>IF(売分析!S7&lt;&gt;"",売分析!S7,"")</f>
        <v/>
      </c>
      <c r="R7" s="346">
        <f>IF(売分析!R7&lt;&gt;"",売分析!R7,"")</f>
        <v/>
      </c>
      <c r="S7" s="345">
        <f>IF(売分析!AA7&lt;&gt;"",売分析!AA7,"")</f>
        <v/>
      </c>
      <c r="T7" s="622">
        <f>IF(売分析!Z7&lt;&gt;"",売分析!Z7,"")</f>
        <v/>
      </c>
      <c r="U7" s="345">
        <f>IF(売分析!V7&lt;&gt;"",売分析!V7,"")</f>
        <v/>
      </c>
      <c r="V7" s="621">
        <f>IF(売分析!W7&lt;&gt;"",売分析!W7,"")</f>
        <v/>
      </c>
      <c r="W7" s="345">
        <f>IF(売分析!AD7&lt;&gt;"",売分析!AD7,"")</f>
        <v/>
      </c>
      <c r="X7" s="345">
        <f>IF(売分析!AE7&lt;&gt;"",売分析!AE7,"")</f>
        <v/>
      </c>
      <c r="Y7" s="410">
        <f>IF(売分析!T7&lt;&gt;"",売分析!T7,"")</f>
        <v/>
      </c>
      <c r="Z7" s="345">
        <f>IF(売分析!Y7&lt;&gt;"",売分析!Y7,"")</f>
        <v/>
      </c>
    </row>
    <row r="8">
      <c r="A8" s="225">
        <f>IF(売分析!C8&lt;&gt;"",ROW()-2,"")</f>
        <v/>
      </c>
      <c r="B8" s="352">
        <f>IF(売分析!C8&lt;&gt;"",HYPERLINK("https://kabutan.jp/stock/?code="&amp;売分析!C8,"株探"),"")</f>
        <v/>
      </c>
      <c r="C8" s="631">
        <f>IF(売分析!C8&lt;&gt;"",売分析!C8,"")</f>
        <v/>
      </c>
      <c r="D8" s="225">
        <f>IF(売分析!D8&lt;&gt;"",売分析!D8,"")</f>
        <v/>
      </c>
      <c r="E8" s="353">
        <f>IF(売分析!E8&lt;&gt;"",売分析!E8,"")</f>
        <v/>
      </c>
      <c r="F8" s="353">
        <f>IF(売分析!F8&lt;&gt;"",売分析!F8,"")</f>
        <v/>
      </c>
      <c r="G8" s="353">
        <f>IF(売分析!H8&lt;&gt;"",売分析!H8,"")</f>
        <v/>
      </c>
      <c r="H8" s="353">
        <f>IF(売分析!I8&lt;&gt;"",売分析!I8,"")</f>
        <v/>
      </c>
      <c r="I8" s="225">
        <f>IF(売分析!J8&lt;&gt;"",売分析!J8,"")</f>
        <v/>
      </c>
      <c r="J8" s="353">
        <f>IF(売分析!AB8&lt;&gt;"",売分析!AB8,"")</f>
        <v/>
      </c>
      <c r="K8" s="353">
        <f>IF(売分析!AC8&lt;&gt;"",売分析!AC8,"")</f>
        <v/>
      </c>
      <c r="L8" s="353">
        <f>IF(売分析!K8&lt;&gt;"",売分析!K8,"")</f>
        <v/>
      </c>
      <c r="M8" s="225">
        <f>IF(売分析!P8&lt;&gt;"",売分析!P8,"")</f>
        <v/>
      </c>
      <c r="N8" s="627">
        <f>IF(売分析!O8&lt;&gt;"",売分析!O8,"")</f>
        <v/>
      </c>
      <c r="O8" s="357">
        <f>IF(売分析!X8&lt;&gt;"",売分析!X8,"")</f>
        <v/>
      </c>
      <c r="P8" s="626">
        <f>IF(売分析!L8&lt;&gt;"",売分析!L8,"")</f>
        <v/>
      </c>
      <c r="Q8" s="353">
        <f>IF(売分析!S8&lt;&gt;"",売分析!S8,"")</f>
        <v/>
      </c>
      <c r="R8" s="353">
        <f>IF(売分析!R8&lt;&gt;"",売分析!R8,"")</f>
        <v/>
      </c>
      <c r="S8" s="225">
        <f>IF(売分析!AA8&lt;&gt;"",売分析!AA8,"")</f>
        <v/>
      </c>
      <c r="T8" s="629">
        <f>IF(売分析!Z8&lt;&gt;"",売分析!Z8,"")</f>
        <v/>
      </c>
      <c r="U8" s="225">
        <f>IF(売分析!V8&lt;&gt;"",売分析!V8,"")</f>
        <v/>
      </c>
      <c r="V8" s="628">
        <f>IF(売分析!W8&lt;&gt;"",売分析!W8,"")</f>
        <v/>
      </c>
      <c r="W8" s="225">
        <f>IF(売分析!AD8&lt;&gt;"",売分析!AD8,"")</f>
        <v/>
      </c>
      <c r="X8" s="225">
        <f>IF(売分析!AE8&lt;&gt;"",売分析!AE8,"")</f>
        <v/>
      </c>
      <c r="Y8" s="411">
        <f>IF(売分析!T8&lt;&gt;"",売分析!T8,"")</f>
        <v/>
      </c>
      <c r="Z8" s="225">
        <f>IF(売分析!Y8&lt;&gt;"",売分析!Y8,"")</f>
        <v/>
      </c>
    </row>
    <row r="9">
      <c r="A9" s="345">
        <f>IF(売分析!C9&lt;&gt;"",ROW()-2,"")</f>
        <v/>
      </c>
      <c r="B9" s="344">
        <f>IF(売分析!C9&lt;&gt;"",HYPERLINK("https://kabutan.jp/stock/?code="&amp;売分析!C9,"株探"),"")</f>
        <v/>
      </c>
      <c r="C9" s="630">
        <f>IF(売分析!C9&lt;&gt;"",売分析!C9,"")</f>
        <v/>
      </c>
      <c r="D9" s="345">
        <f>IF(売分析!D9&lt;&gt;"",売分析!D9,"")</f>
        <v/>
      </c>
      <c r="E9" s="346">
        <f>IF(売分析!E9&lt;&gt;"",売分析!E9,"")</f>
        <v/>
      </c>
      <c r="F9" s="346">
        <f>IF(売分析!F9&lt;&gt;"",売分析!F9,"")</f>
        <v/>
      </c>
      <c r="G9" s="346">
        <f>IF(売分析!H9&lt;&gt;"",売分析!H9,"")</f>
        <v/>
      </c>
      <c r="H9" s="346">
        <f>IF(売分析!I9&lt;&gt;"",売分析!I9,"")</f>
        <v/>
      </c>
      <c r="I9" s="345">
        <f>IF(売分析!J9&lt;&gt;"",売分析!J9,"")</f>
        <v/>
      </c>
      <c r="J9" s="346">
        <f>IF(売分析!AB9&lt;&gt;"",売分析!AB9,"")</f>
        <v/>
      </c>
      <c r="K9" s="346">
        <f>IF(売分析!AC9&lt;&gt;"",売分析!AC9,"")</f>
        <v/>
      </c>
      <c r="L9" s="346">
        <f>IF(売分析!K9&lt;&gt;"",売分析!K9,"")</f>
        <v/>
      </c>
      <c r="M9" s="345">
        <f>IF(売分析!P9&lt;&gt;"",売分析!P9,"")</f>
        <v/>
      </c>
      <c r="N9" s="620">
        <f>IF(売分析!O9&lt;&gt;"",売分析!O9,"")</f>
        <v/>
      </c>
      <c r="O9" s="350">
        <f>IF(売分析!X9&lt;&gt;"",売分析!X9,"")</f>
        <v/>
      </c>
      <c r="P9" s="619">
        <f>IF(売分析!L9&lt;&gt;"",売分析!L9,"")</f>
        <v/>
      </c>
      <c r="Q9" s="346">
        <f>IF(売分析!S9&lt;&gt;"",売分析!S9,"")</f>
        <v/>
      </c>
      <c r="R9" s="346">
        <f>IF(売分析!R9&lt;&gt;"",売分析!R9,"")</f>
        <v/>
      </c>
      <c r="S9" s="345">
        <f>IF(売分析!AA9&lt;&gt;"",売分析!AA9,"")</f>
        <v/>
      </c>
      <c r="T9" s="622">
        <f>IF(売分析!Z9&lt;&gt;"",売分析!Z9,"")</f>
        <v/>
      </c>
      <c r="U9" s="345">
        <f>IF(売分析!V9&lt;&gt;"",売分析!V9,"")</f>
        <v/>
      </c>
      <c r="V9" s="621">
        <f>IF(売分析!W9&lt;&gt;"",売分析!W9,"")</f>
        <v/>
      </c>
      <c r="W9" s="345">
        <f>IF(売分析!AD9&lt;&gt;"",売分析!AD9,"")</f>
        <v/>
      </c>
      <c r="X9" s="345">
        <f>IF(売分析!AE9&lt;&gt;"",売分析!AE9,"")</f>
        <v/>
      </c>
      <c r="Y9" s="410">
        <f>IF(売分析!T9&lt;&gt;"",売分析!T9,"")</f>
        <v/>
      </c>
      <c r="Z9" s="345">
        <f>IF(売分析!Y9&lt;&gt;"",売分析!Y9,"")</f>
        <v/>
      </c>
    </row>
    <row r="10">
      <c r="A10" s="225">
        <f>IF(売分析!C10&lt;&gt;"",ROW()-2,"")</f>
        <v/>
      </c>
      <c r="B10" s="352">
        <f>IF(売分析!C10&lt;&gt;"",HYPERLINK("https://kabutan.jp/stock/?code="&amp;売分析!C10,"株探"),"")</f>
        <v/>
      </c>
      <c r="C10" s="631">
        <f>IF(売分析!C10&lt;&gt;"",売分析!C10,"")</f>
        <v/>
      </c>
      <c r="D10" s="225">
        <f>IF(売分析!D10&lt;&gt;"",売分析!D10,"")</f>
        <v/>
      </c>
      <c r="E10" s="353">
        <f>IF(売分析!E10&lt;&gt;"",売分析!E10,"")</f>
        <v/>
      </c>
      <c r="F10" s="353">
        <f>IF(売分析!F10&lt;&gt;"",売分析!F10,"")</f>
        <v/>
      </c>
      <c r="G10" s="353">
        <f>IF(売分析!H10&lt;&gt;"",売分析!H10,"")</f>
        <v/>
      </c>
      <c r="H10" s="353">
        <f>IF(売分析!I10&lt;&gt;"",売分析!I10,"")</f>
        <v/>
      </c>
      <c r="I10" s="225">
        <f>IF(売分析!J10&lt;&gt;"",売分析!J10,"")</f>
        <v/>
      </c>
      <c r="J10" s="353">
        <f>IF(売分析!AB10&lt;&gt;"",売分析!AB10,"")</f>
        <v/>
      </c>
      <c r="K10" s="353">
        <f>IF(売分析!AC10&lt;&gt;"",売分析!AC10,"")</f>
        <v/>
      </c>
      <c r="L10" s="353">
        <f>IF(売分析!K10&lt;&gt;"",売分析!K10,"")</f>
        <v/>
      </c>
      <c r="M10" s="225">
        <f>IF(売分析!P10&lt;&gt;"",売分析!P10,"")</f>
        <v/>
      </c>
      <c r="N10" s="627">
        <f>IF(売分析!O10&lt;&gt;"",売分析!O10,"")</f>
        <v/>
      </c>
      <c r="O10" s="357">
        <f>IF(売分析!X10&lt;&gt;"",売分析!X10,"")</f>
        <v/>
      </c>
      <c r="P10" s="626">
        <f>IF(売分析!L10&lt;&gt;"",売分析!L10,"")</f>
        <v/>
      </c>
      <c r="Q10" s="353">
        <f>IF(売分析!S10&lt;&gt;"",売分析!S10,"")</f>
        <v/>
      </c>
      <c r="R10" s="353">
        <f>IF(売分析!R10&lt;&gt;"",売分析!R10,"")</f>
        <v/>
      </c>
      <c r="S10" s="225">
        <f>IF(売分析!AA10&lt;&gt;"",売分析!AA10,"")</f>
        <v/>
      </c>
      <c r="T10" s="629">
        <f>IF(売分析!Z10&lt;&gt;"",売分析!Z10,"")</f>
        <v/>
      </c>
      <c r="U10" s="225">
        <f>IF(売分析!V10&lt;&gt;"",売分析!V10,"")</f>
        <v/>
      </c>
      <c r="V10" s="628">
        <f>IF(売分析!W10&lt;&gt;"",売分析!W10,"")</f>
        <v/>
      </c>
      <c r="W10" s="225">
        <f>IF(売分析!AD10&lt;&gt;"",売分析!AD10,"")</f>
        <v/>
      </c>
      <c r="X10" s="225">
        <f>IF(売分析!AE10&lt;&gt;"",売分析!AE10,"")</f>
        <v/>
      </c>
      <c r="Y10" s="411">
        <f>IF(売分析!T10&lt;&gt;"",売分析!T10,"")</f>
        <v/>
      </c>
      <c r="Z10" s="225">
        <f>IF(売分析!Y10&lt;&gt;"",売分析!Y10,"")</f>
        <v/>
      </c>
    </row>
    <row r="11">
      <c r="A11" s="345">
        <f>IF(売分析!C11&lt;&gt;"",ROW()-2,"")</f>
        <v/>
      </c>
      <c r="B11" s="344">
        <f>IF(売分析!C11&lt;&gt;"",HYPERLINK("https://kabutan.jp/stock/?code="&amp;売分析!C11,"株探"),"")</f>
        <v/>
      </c>
      <c r="C11" s="630">
        <f>IF(売分析!C11&lt;&gt;"",売分析!C11,"")</f>
        <v/>
      </c>
      <c r="D11" s="345">
        <f>IF(売分析!D11&lt;&gt;"",売分析!D11,"")</f>
        <v/>
      </c>
      <c r="E11" s="346">
        <f>IF(売分析!E11&lt;&gt;"",売分析!E11,"")</f>
        <v/>
      </c>
      <c r="F11" s="346">
        <f>IF(売分析!F11&lt;&gt;"",売分析!F11,"")</f>
        <v/>
      </c>
      <c r="G11" s="346">
        <f>IF(売分析!H11&lt;&gt;"",売分析!H11,"")</f>
        <v/>
      </c>
      <c r="H11" s="346">
        <f>IF(売分析!I11&lt;&gt;"",売分析!I11,"")</f>
        <v/>
      </c>
      <c r="I11" s="345">
        <f>IF(売分析!J11&lt;&gt;"",売分析!J11,"")</f>
        <v/>
      </c>
      <c r="J11" s="346">
        <f>IF(売分析!AB11&lt;&gt;"",売分析!AB11,"")</f>
        <v/>
      </c>
      <c r="K11" s="346">
        <f>IF(売分析!AC11&lt;&gt;"",売分析!AC11,"")</f>
        <v/>
      </c>
      <c r="L11" s="346">
        <f>IF(売分析!K11&lt;&gt;"",売分析!K11,"")</f>
        <v/>
      </c>
      <c r="M11" s="345">
        <f>IF(売分析!P11&lt;&gt;"",売分析!P11,"")</f>
        <v/>
      </c>
      <c r="N11" s="620">
        <f>IF(売分析!O11&lt;&gt;"",売分析!O11,"")</f>
        <v/>
      </c>
      <c r="O11" s="350">
        <f>IF(売分析!X11&lt;&gt;"",売分析!X11,"")</f>
        <v/>
      </c>
      <c r="P11" s="619">
        <f>IF(売分析!L11&lt;&gt;"",売分析!L11,"")</f>
        <v/>
      </c>
      <c r="Q11" s="346">
        <f>IF(売分析!S11&lt;&gt;"",売分析!S11,"")</f>
        <v/>
      </c>
      <c r="R11" s="346">
        <f>IF(売分析!R11&lt;&gt;"",売分析!R11,"")</f>
        <v/>
      </c>
      <c r="S11" s="345">
        <f>IF(売分析!AA11&lt;&gt;"",売分析!AA11,"")</f>
        <v/>
      </c>
      <c r="T11" s="622">
        <f>IF(売分析!Z11&lt;&gt;"",売分析!Z11,"")</f>
        <v/>
      </c>
      <c r="U11" s="345">
        <f>IF(売分析!V11&lt;&gt;"",売分析!V11,"")</f>
        <v/>
      </c>
      <c r="V11" s="621">
        <f>IF(売分析!W11&lt;&gt;"",売分析!W11,"")</f>
        <v/>
      </c>
      <c r="W11" s="345">
        <f>IF(売分析!AD11&lt;&gt;"",売分析!AD11,"")</f>
        <v/>
      </c>
      <c r="X11" s="345">
        <f>IF(売分析!AE11&lt;&gt;"",売分析!AE11,"")</f>
        <v/>
      </c>
      <c r="Y11" s="410">
        <f>IF(売分析!T11&lt;&gt;"",売分析!T11,"")</f>
        <v/>
      </c>
      <c r="Z11" s="345">
        <f>IF(売分析!Y11&lt;&gt;"",売分析!Y11,"")</f>
        <v/>
      </c>
    </row>
    <row r="12">
      <c r="A12" s="225">
        <f>IF(売分析!C12&lt;&gt;"",ROW()-2,"")</f>
        <v/>
      </c>
      <c r="B12" s="352">
        <f>IF(売分析!C12&lt;&gt;"",HYPERLINK("https://kabutan.jp/stock/?code="&amp;売分析!C12,"株探"),"")</f>
        <v/>
      </c>
      <c r="C12" s="631">
        <f>IF(売分析!C12&lt;&gt;"",売分析!C12,"")</f>
        <v/>
      </c>
      <c r="D12" s="225">
        <f>IF(売分析!D12&lt;&gt;"",売分析!D12,"")</f>
        <v/>
      </c>
      <c r="E12" s="353">
        <f>IF(売分析!E12&lt;&gt;"",売分析!E12,"")</f>
        <v/>
      </c>
      <c r="F12" s="353">
        <f>IF(売分析!F12&lt;&gt;"",売分析!F12,"")</f>
        <v/>
      </c>
      <c r="G12" s="353">
        <f>IF(売分析!H12&lt;&gt;"",売分析!H12,"")</f>
        <v/>
      </c>
      <c r="H12" s="353">
        <f>IF(売分析!I12&lt;&gt;"",売分析!I12,"")</f>
        <v/>
      </c>
      <c r="I12" s="225">
        <f>IF(売分析!J12&lt;&gt;"",売分析!J12,"")</f>
        <v/>
      </c>
      <c r="J12" s="353">
        <f>IF(売分析!AB12&lt;&gt;"",売分析!AB12,"")</f>
        <v/>
      </c>
      <c r="K12" s="353">
        <f>IF(売分析!AC12&lt;&gt;"",売分析!AC12,"")</f>
        <v/>
      </c>
      <c r="L12" s="353">
        <f>IF(売分析!K12&lt;&gt;"",売分析!K12,"")</f>
        <v/>
      </c>
      <c r="M12" s="225">
        <f>IF(売分析!P12&lt;&gt;"",売分析!P12,"")</f>
        <v/>
      </c>
      <c r="N12" s="627">
        <f>IF(売分析!O12&lt;&gt;"",売分析!O12,"")</f>
        <v/>
      </c>
      <c r="O12" s="357">
        <f>IF(売分析!X12&lt;&gt;"",売分析!X12,"")</f>
        <v/>
      </c>
      <c r="P12" s="626">
        <f>IF(売分析!L12&lt;&gt;"",売分析!L12,"")</f>
        <v/>
      </c>
      <c r="Q12" s="353">
        <f>IF(売分析!S12&lt;&gt;"",売分析!S12,"")</f>
        <v/>
      </c>
      <c r="R12" s="353">
        <f>IF(売分析!R12&lt;&gt;"",売分析!R12,"")</f>
        <v/>
      </c>
      <c r="S12" s="225">
        <f>IF(売分析!AA12&lt;&gt;"",売分析!AA12,"")</f>
        <v/>
      </c>
      <c r="T12" s="629">
        <f>IF(売分析!Z12&lt;&gt;"",売分析!Z12,"")</f>
        <v/>
      </c>
      <c r="U12" s="225">
        <f>IF(売分析!V12&lt;&gt;"",売分析!V12,"")</f>
        <v/>
      </c>
      <c r="V12" s="628">
        <f>IF(売分析!W12&lt;&gt;"",売分析!W12,"")</f>
        <v/>
      </c>
      <c r="W12" s="225">
        <f>IF(売分析!AD12&lt;&gt;"",売分析!AD12,"")</f>
        <v/>
      </c>
      <c r="X12" s="225">
        <f>IF(売分析!AE12&lt;&gt;"",売分析!AE12,"")</f>
        <v/>
      </c>
      <c r="Y12" s="411">
        <f>IF(売分析!T12&lt;&gt;"",売分析!T12,"")</f>
        <v/>
      </c>
      <c r="Z12" s="225">
        <f>IF(売分析!Y12&lt;&gt;"",売分析!Y12,"")</f>
        <v/>
      </c>
    </row>
    <row r="13">
      <c r="A13" s="345">
        <f>IF(売分析!C13&lt;&gt;"",ROW()-2,"")</f>
        <v/>
      </c>
      <c r="B13" s="344">
        <f>IF(売分析!C13&lt;&gt;"",HYPERLINK("https://kabutan.jp/stock/?code="&amp;売分析!C13,"株探"),"")</f>
        <v/>
      </c>
      <c r="C13" s="630">
        <f>IF(売分析!C13&lt;&gt;"",売分析!C13,"")</f>
        <v/>
      </c>
      <c r="D13" s="345">
        <f>IF(売分析!D13&lt;&gt;"",売分析!D13,"")</f>
        <v/>
      </c>
      <c r="E13" s="346">
        <f>IF(売分析!E13&lt;&gt;"",売分析!E13,"")</f>
        <v/>
      </c>
      <c r="F13" s="346">
        <f>IF(売分析!F13&lt;&gt;"",売分析!F13,"")</f>
        <v/>
      </c>
      <c r="G13" s="346">
        <f>IF(売分析!H13&lt;&gt;"",売分析!H13,"")</f>
        <v/>
      </c>
      <c r="H13" s="346">
        <f>IF(売分析!I13&lt;&gt;"",売分析!I13,"")</f>
        <v/>
      </c>
      <c r="I13" s="345">
        <f>IF(売分析!J13&lt;&gt;"",売分析!J13,"")</f>
        <v/>
      </c>
      <c r="J13" s="346">
        <f>IF(売分析!AB13&lt;&gt;"",売分析!AB13,"")</f>
        <v/>
      </c>
      <c r="K13" s="346">
        <f>IF(売分析!AC13&lt;&gt;"",売分析!AC13,"")</f>
        <v/>
      </c>
      <c r="L13" s="346">
        <f>IF(売分析!K13&lt;&gt;"",売分析!K13,"")</f>
        <v/>
      </c>
      <c r="M13" s="345">
        <f>IF(売分析!P13&lt;&gt;"",売分析!P13,"")</f>
        <v/>
      </c>
      <c r="N13" s="620">
        <f>IF(売分析!O13&lt;&gt;"",売分析!O13,"")</f>
        <v/>
      </c>
      <c r="O13" s="350">
        <f>IF(売分析!X13&lt;&gt;"",売分析!X13,"")</f>
        <v/>
      </c>
      <c r="P13" s="619">
        <f>IF(売分析!L13&lt;&gt;"",売分析!L13,"")</f>
        <v/>
      </c>
      <c r="Q13" s="346">
        <f>IF(売分析!S13&lt;&gt;"",売分析!S13,"")</f>
        <v/>
      </c>
      <c r="R13" s="346">
        <f>IF(売分析!R13&lt;&gt;"",売分析!R13,"")</f>
        <v/>
      </c>
      <c r="S13" s="345">
        <f>IF(売分析!AA13&lt;&gt;"",売分析!AA13,"")</f>
        <v/>
      </c>
      <c r="T13" s="622">
        <f>IF(売分析!Z13&lt;&gt;"",売分析!Z13,"")</f>
        <v/>
      </c>
      <c r="U13" s="345">
        <f>IF(売分析!V13&lt;&gt;"",売分析!V13,"")</f>
        <v/>
      </c>
      <c r="V13" s="621">
        <f>IF(売分析!W13&lt;&gt;"",売分析!W13,"")</f>
        <v/>
      </c>
      <c r="W13" s="345">
        <f>IF(売分析!AD13&lt;&gt;"",売分析!AD13,"")</f>
        <v/>
      </c>
      <c r="X13" s="345">
        <f>IF(売分析!AE13&lt;&gt;"",売分析!AE13,"")</f>
        <v/>
      </c>
      <c r="Y13" s="410">
        <f>IF(売分析!T13&lt;&gt;"",売分析!T13,"")</f>
        <v/>
      </c>
      <c r="Z13" s="345">
        <f>IF(売分析!Y13&lt;&gt;"",売分析!Y13,"")</f>
        <v/>
      </c>
    </row>
    <row r="14">
      <c r="A14" s="225">
        <f>IF(売分析!C14&lt;&gt;"",ROW()-2,"")</f>
        <v/>
      </c>
      <c r="B14" s="352">
        <f>IF(売分析!C14&lt;&gt;"",HYPERLINK("https://kabutan.jp/stock/?code="&amp;売分析!C14,"株探"),"")</f>
        <v/>
      </c>
      <c r="C14" s="631">
        <f>IF(売分析!C14&lt;&gt;"",売分析!C14,"")</f>
        <v/>
      </c>
      <c r="D14" s="225">
        <f>IF(売分析!D14&lt;&gt;"",売分析!D14,"")</f>
        <v/>
      </c>
      <c r="E14" s="353">
        <f>IF(売分析!E14&lt;&gt;"",売分析!E14,"")</f>
        <v/>
      </c>
      <c r="F14" s="353">
        <f>IF(売分析!F14&lt;&gt;"",売分析!F14,"")</f>
        <v/>
      </c>
      <c r="G14" s="353">
        <f>IF(売分析!H14&lt;&gt;"",売分析!H14,"")</f>
        <v/>
      </c>
      <c r="H14" s="353">
        <f>IF(売分析!I14&lt;&gt;"",売分析!I14,"")</f>
        <v/>
      </c>
      <c r="I14" s="225">
        <f>IF(売分析!J14&lt;&gt;"",売分析!J14,"")</f>
        <v/>
      </c>
      <c r="J14" s="353">
        <f>IF(売分析!AB14&lt;&gt;"",売分析!AB14,"")</f>
        <v/>
      </c>
      <c r="K14" s="353">
        <f>IF(売分析!AC14&lt;&gt;"",売分析!AC14,"")</f>
        <v/>
      </c>
      <c r="L14" s="353">
        <f>IF(売分析!K14&lt;&gt;"",売分析!K14,"")</f>
        <v/>
      </c>
      <c r="M14" s="225">
        <f>IF(売分析!P14&lt;&gt;"",売分析!P14,"")</f>
        <v/>
      </c>
      <c r="N14" s="627">
        <f>IF(売分析!O14&lt;&gt;"",売分析!O14,"")</f>
        <v/>
      </c>
      <c r="O14" s="357">
        <f>IF(売分析!X14&lt;&gt;"",売分析!X14,"")</f>
        <v/>
      </c>
      <c r="P14" s="626">
        <f>IF(売分析!L14&lt;&gt;"",売分析!L14,"")</f>
        <v/>
      </c>
      <c r="Q14" s="353">
        <f>IF(売分析!S14&lt;&gt;"",売分析!S14,"")</f>
        <v/>
      </c>
      <c r="R14" s="353">
        <f>IF(売分析!R14&lt;&gt;"",売分析!R14,"")</f>
        <v/>
      </c>
      <c r="S14" s="225">
        <f>IF(売分析!AA14&lt;&gt;"",売分析!AA14,"")</f>
        <v/>
      </c>
      <c r="T14" s="629">
        <f>IF(売分析!Z14&lt;&gt;"",売分析!Z14,"")</f>
        <v/>
      </c>
      <c r="U14" s="225">
        <f>IF(売分析!V14&lt;&gt;"",売分析!V14,"")</f>
        <v/>
      </c>
      <c r="V14" s="628">
        <f>IF(売分析!W14&lt;&gt;"",売分析!W14,"")</f>
        <v/>
      </c>
      <c r="W14" s="225">
        <f>IF(売分析!AD14&lt;&gt;"",売分析!AD14,"")</f>
        <v/>
      </c>
      <c r="X14" s="225">
        <f>IF(売分析!AE14&lt;&gt;"",売分析!AE14,"")</f>
        <v/>
      </c>
      <c r="Y14" s="411">
        <f>IF(売分析!T14&lt;&gt;"",売分析!T14,"")</f>
        <v/>
      </c>
      <c r="Z14" s="225">
        <f>IF(売分析!Y14&lt;&gt;"",売分析!Y14,"")</f>
        <v/>
      </c>
    </row>
    <row r="15">
      <c r="A15" s="345">
        <f>IF(売分析!C15&lt;&gt;"",ROW()-2,"")</f>
        <v/>
      </c>
      <c r="B15" s="344">
        <f>IF(売分析!C15&lt;&gt;"",HYPERLINK("https://kabutan.jp/stock/?code="&amp;売分析!C15,"株探"),"")</f>
        <v/>
      </c>
      <c r="C15" s="630">
        <f>IF(売分析!C15&lt;&gt;"",売分析!C15,"")</f>
        <v/>
      </c>
      <c r="D15" s="345">
        <f>IF(売分析!D15&lt;&gt;"",売分析!D15,"")</f>
        <v/>
      </c>
      <c r="E15" s="346">
        <f>IF(売分析!E15&lt;&gt;"",売分析!E15,"")</f>
        <v/>
      </c>
      <c r="F15" s="346">
        <f>IF(売分析!F15&lt;&gt;"",売分析!F15,"")</f>
        <v/>
      </c>
      <c r="G15" s="346">
        <f>IF(売分析!H15&lt;&gt;"",売分析!H15,"")</f>
        <v/>
      </c>
      <c r="H15" s="346">
        <f>IF(売分析!I15&lt;&gt;"",売分析!I15,"")</f>
        <v/>
      </c>
      <c r="I15" s="345">
        <f>IF(売分析!J15&lt;&gt;"",売分析!J15,"")</f>
        <v/>
      </c>
      <c r="J15" s="346">
        <f>IF(売分析!AB15&lt;&gt;"",売分析!AB15,"")</f>
        <v/>
      </c>
      <c r="K15" s="346">
        <f>IF(売分析!AC15&lt;&gt;"",売分析!AC15,"")</f>
        <v/>
      </c>
      <c r="L15" s="346">
        <f>IF(売分析!K15&lt;&gt;"",売分析!K15,"")</f>
        <v/>
      </c>
      <c r="M15" s="345">
        <f>IF(売分析!P15&lt;&gt;"",売分析!P15,"")</f>
        <v/>
      </c>
      <c r="N15" s="620">
        <f>IF(売分析!O15&lt;&gt;"",売分析!O15,"")</f>
        <v/>
      </c>
      <c r="O15" s="350">
        <f>IF(売分析!X15&lt;&gt;"",売分析!X15,"")</f>
        <v/>
      </c>
      <c r="P15" s="619">
        <f>IF(売分析!L15&lt;&gt;"",売分析!L15,"")</f>
        <v/>
      </c>
      <c r="Q15" s="346">
        <f>IF(売分析!S15&lt;&gt;"",売分析!S15,"")</f>
        <v/>
      </c>
      <c r="R15" s="346">
        <f>IF(売分析!R15&lt;&gt;"",売分析!R15,"")</f>
        <v/>
      </c>
      <c r="S15" s="345">
        <f>IF(売分析!AA15&lt;&gt;"",売分析!AA15,"")</f>
        <v/>
      </c>
      <c r="T15" s="622">
        <f>IF(売分析!Z15&lt;&gt;"",売分析!Z15,"")</f>
        <v/>
      </c>
      <c r="U15" s="345">
        <f>IF(売分析!V15&lt;&gt;"",売分析!V15,"")</f>
        <v/>
      </c>
      <c r="V15" s="621">
        <f>IF(売分析!W15&lt;&gt;"",売分析!W15,"")</f>
        <v/>
      </c>
      <c r="W15" s="345">
        <f>IF(売分析!AD15&lt;&gt;"",売分析!AD15,"")</f>
        <v/>
      </c>
      <c r="X15" s="345">
        <f>IF(売分析!AE15&lt;&gt;"",売分析!AE15,"")</f>
        <v/>
      </c>
      <c r="Y15" s="410">
        <f>IF(売分析!T15&lt;&gt;"",売分析!T15,"")</f>
        <v/>
      </c>
      <c r="Z15" s="345">
        <f>IF(売分析!Y15&lt;&gt;"",売分析!Y15,"")</f>
        <v/>
      </c>
    </row>
    <row r="16">
      <c r="A16" s="225">
        <f>IF(売分析!C16&lt;&gt;"",ROW()-2,"")</f>
        <v/>
      </c>
      <c r="B16" s="352">
        <f>IF(売分析!C16&lt;&gt;"",HYPERLINK("https://kabutan.jp/stock/?code="&amp;売分析!C16,"株探"),"")</f>
        <v/>
      </c>
      <c r="C16" s="631">
        <f>IF(売分析!C16&lt;&gt;"",売分析!C16,"")</f>
        <v/>
      </c>
      <c r="D16" s="225">
        <f>IF(売分析!D16&lt;&gt;"",売分析!D16,"")</f>
        <v/>
      </c>
      <c r="E16" s="353">
        <f>IF(売分析!E16&lt;&gt;"",売分析!E16,"")</f>
        <v/>
      </c>
      <c r="F16" s="353">
        <f>IF(売分析!F16&lt;&gt;"",売分析!F16,"")</f>
        <v/>
      </c>
      <c r="G16" s="353">
        <f>IF(売分析!H16&lt;&gt;"",売分析!H16,"")</f>
        <v/>
      </c>
      <c r="H16" s="353">
        <f>IF(売分析!I16&lt;&gt;"",売分析!I16,"")</f>
        <v/>
      </c>
      <c r="I16" s="225">
        <f>IF(売分析!J16&lt;&gt;"",売分析!J16,"")</f>
        <v/>
      </c>
      <c r="J16" s="353">
        <f>IF(売分析!AB16&lt;&gt;"",売分析!AB16,"")</f>
        <v/>
      </c>
      <c r="K16" s="353">
        <f>IF(売分析!AC16&lt;&gt;"",売分析!AC16,"")</f>
        <v/>
      </c>
      <c r="L16" s="353">
        <f>IF(売分析!K16&lt;&gt;"",売分析!K16,"")</f>
        <v/>
      </c>
      <c r="M16" s="225">
        <f>IF(売分析!P16&lt;&gt;"",売分析!P16,"")</f>
        <v/>
      </c>
      <c r="N16" s="627">
        <f>IF(売分析!O16&lt;&gt;"",売分析!O16,"")</f>
        <v/>
      </c>
      <c r="O16" s="357">
        <f>IF(売分析!X16&lt;&gt;"",売分析!X16,"")</f>
        <v/>
      </c>
      <c r="P16" s="626">
        <f>IF(売分析!L16&lt;&gt;"",売分析!L16,"")</f>
        <v/>
      </c>
      <c r="Q16" s="353">
        <f>IF(売分析!S16&lt;&gt;"",売分析!S16,"")</f>
        <v/>
      </c>
      <c r="R16" s="353">
        <f>IF(売分析!R16&lt;&gt;"",売分析!R16,"")</f>
        <v/>
      </c>
      <c r="S16" s="225">
        <f>IF(売分析!AA16&lt;&gt;"",売分析!AA16,"")</f>
        <v/>
      </c>
      <c r="T16" s="629">
        <f>IF(売分析!Z16&lt;&gt;"",売分析!Z16,"")</f>
        <v/>
      </c>
      <c r="U16" s="225">
        <f>IF(売分析!V16&lt;&gt;"",売分析!V16,"")</f>
        <v/>
      </c>
      <c r="V16" s="628">
        <f>IF(売分析!W16&lt;&gt;"",売分析!W16,"")</f>
        <v/>
      </c>
      <c r="W16" s="225">
        <f>IF(売分析!AD16&lt;&gt;"",売分析!AD16,"")</f>
        <v/>
      </c>
      <c r="X16" s="225">
        <f>IF(売分析!AE16&lt;&gt;"",売分析!AE16,"")</f>
        <v/>
      </c>
      <c r="Y16" s="411">
        <f>IF(売分析!T16&lt;&gt;"",売分析!T16,"")</f>
        <v/>
      </c>
      <c r="Z16" s="225">
        <f>IF(売分析!Y16&lt;&gt;"",売分析!Y16,"")</f>
        <v/>
      </c>
    </row>
    <row r="17">
      <c r="A17" s="345">
        <f>IF(売分析!C17&lt;&gt;"",ROW()-2,"")</f>
        <v/>
      </c>
      <c r="B17" s="344">
        <f>IF(売分析!C17&lt;&gt;"",HYPERLINK("https://kabutan.jp/stock/?code="&amp;売分析!C17,"株探"),"")</f>
        <v/>
      </c>
      <c r="C17" s="630">
        <f>IF(売分析!C17&lt;&gt;"",売分析!C17,"")</f>
        <v/>
      </c>
      <c r="D17" s="345">
        <f>IF(売分析!D17&lt;&gt;"",売分析!D17,"")</f>
        <v/>
      </c>
      <c r="E17" s="346">
        <f>IF(売分析!E17&lt;&gt;"",売分析!E17,"")</f>
        <v/>
      </c>
      <c r="F17" s="346">
        <f>IF(売分析!F17&lt;&gt;"",売分析!F17,"")</f>
        <v/>
      </c>
      <c r="G17" s="346">
        <f>IF(売分析!H17&lt;&gt;"",売分析!H17,"")</f>
        <v/>
      </c>
      <c r="H17" s="346">
        <f>IF(売分析!I17&lt;&gt;"",売分析!I17,"")</f>
        <v/>
      </c>
      <c r="I17" s="345">
        <f>IF(売分析!J17&lt;&gt;"",売分析!J17,"")</f>
        <v/>
      </c>
      <c r="J17" s="346">
        <f>IF(売分析!AB17&lt;&gt;"",売分析!AB17,"")</f>
        <v/>
      </c>
      <c r="K17" s="346">
        <f>IF(売分析!AC17&lt;&gt;"",売分析!AC17,"")</f>
        <v/>
      </c>
      <c r="L17" s="346">
        <f>IF(売分析!K17&lt;&gt;"",売分析!K17,"")</f>
        <v/>
      </c>
      <c r="M17" s="345">
        <f>IF(売分析!P17&lt;&gt;"",売分析!P17,"")</f>
        <v/>
      </c>
      <c r="N17" s="620">
        <f>IF(売分析!O17&lt;&gt;"",売分析!O17,"")</f>
        <v/>
      </c>
      <c r="O17" s="350">
        <f>IF(売分析!X17&lt;&gt;"",売分析!X17,"")</f>
        <v/>
      </c>
      <c r="P17" s="619">
        <f>IF(売分析!L17&lt;&gt;"",売分析!L17,"")</f>
        <v/>
      </c>
      <c r="Q17" s="346">
        <f>IF(売分析!S17&lt;&gt;"",売分析!S17,"")</f>
        <v/>
      </c>
      <c r="R17" s="346">
        <f>IF(売分析!R17&lt;&gt;"",売分析!R17,"")</f>
        <v/>
      </c>
      <c r="S17" s="345">
        <f>IF(売分析!AA17&lt;&gt;"",売分析!AA17,"")</f>
        <v/>
      </c>
      <c r="T17" s="622">
        <f>IF(売分析!Z17&lt;&gt;"",売分析!Z17,"")</f>
        <v/>
      </c>
      <c r="U17" s="345">
        <f>IF(売分析!V17&lt;&gt;"",売分析!V17,"")</f>
        <v/>
      </c>
      <c r="V17" s="621">
        <f>IF(売分析!W17&lt;&gt;"",売分析!W17,"")</f>
        <v/>
      </c>
      <c r="W17" s="345">
        <f>IF(売分析!AD17&lt;&gt;"",売分析!AD17,"")</f>
        <v/>
      </c>
      <c r="X17" s="345">
        <f>IF(売分析!AE17&lt;&gt;"",売分析!AE17,"")</f>
        <v/>
      </c>
      <c r="Y17" s="410">
        <f>IF(売分析!T17&lt;&gt;"",売分析!T17,"")</f>
        <v/>
      </c>
      <c r="Z17" s="345">
        <f>IF(売分析!Y17&lt;&gt;"",売分析!Y17,"")</f>
        <v/>
      </c>
    </row>
    <row r="18">
      <c r="A18" s="225">
        <f>IF(売分析!C18&lt;&gt;"",ROW()-2,"")</f>
        <v/>
      </c>
      <c r="B18" s="352">
        <f>IF(売分析!C18&lt;&gt;"",HYPERLINK("https://kabutan.jp/stock/?code="&amp;売分析!C18,"株探"),"")</f>
        <v/>
      </c>
      <c r="C18" s="631">
        <f>IF(売分析!C18&lt;&gt;"",売分析!C18,"")</f>
        <v/>
      </c>
      <c r="D18" s="225">
        <f>IF(売分析!D18&lt;&gt;"",売分析!D18,"")</f>
        <v/>
      </c>
      <c r="E18" s="353">
        <f>IF(売分析!E18&lt;&gt;"",売分析!E18,"")</f>
        <v/>
      </c>
      <c r="F18" s="353">
        <f>IF(売分析!F18&lt;&gt;"",売分析!F18,"")</f>
        <v/>
      </c>
      <c r="G18" s="353">
        <f>IF(売分析!H18&lt;&gt;"",売分析!H18,"")</f>
        <v/>
      </c>
      <c r="H18" s="353">
        <f>IF(売分析!I18&lt;&gt;"",売分析!I18,"")</f>
        <v/>
      </c>
      <c r="I18" s="225">
        <f>IF(売分析!J18&lt;&gt;"",売分析!J18,"")</f>
        <v/>
      </c>
      <c r="J18" s="353">
        <f>IF(売分析!AB18&lt;&gt;"",売分析!AB18,"")</f>
        <v/>
      </c>
      <c r="K18" s="353">
        <f>IF(売分析!AC18&lt;&gt;"",売分析!AC18,"")</f>
        <v/>
      </c>
      <c r="L18" s="353">
        <f>IF(売分析!K18&lt;&gt;"",売分析!K18,"")</f>
        <v/>
      </c>
      <c r="M18" s="225">
        <f>IF(売分析!P18&lt;&gt;"",売分析!P18,"")</f>
        <v/>
      </c>
      <c r="N18" s="627">
        <f>IF(売分析!O18&lt;&gt;"",売分析!O18,"")</f>
        <v/>
      </c>
      <c r="O18" s="357">
        <f>IF(売分析!X18&lt;&gt;"",売分析!X18,"")</f>
        <v/>
      </c>
      <c r="P18" s="626">
        <f>IF(売分析!L18&lt;&gt;"",売分析!L18,"")</f>
        <v/>
      </c>
      <c r="Q18" s="353">
        <f>IF(売分析!S18&lt;&gt;"",売分析!S18,"")</f>
        <v/>
      </c>
      <c r="R18" s="353">
        <f>IF(売分析!R18&lt;&gt;"",売分析!R18,"")</f>
        <v/>
      </c>
      <c r="S18" s="225">
        <f>IF(売分析!AA18&lt;&gt;"",売分析!AA18,"")</f>
        <v/>
      </c>
      <c r="T18" s="629">
        <f>IF(売分析!Z18&lt;&gt;"",売分析!Z18,"")</f>
        <v/>
      </c>
      <c r="U18" s="225">
        <f>IF(売分析!V18&lt;&gt;"",売分析!V18,"")</f>
        <v/>
      </c>
      <c r="V18" s="628">
        <f>IF(売分析!W18&lt;&gt;"",売分析!W18,"")</f>
        <v/>
      </c>
      <c r="W18" s="225">
        <f>IF(売分析!AD18&lt;&gt;"",売分析!AD18,"")</f>
        <v/>
      </c>
      <c r="X18" s="225">
        <f>IF(売分析!AE18&lt;&gt;"",売分析!AE18,"")</f>
        <v/>
      </c>
      <c r="Y18" s="411">
        <f>IF(売分析!T18&lt;&gt;"",売分析!T18,"")</f>
        <v/>
      </c>
      <c r="Z18" s="225">
        <f>IF(売分析!Y18&lt;&gt;"",売分析!Y18,"")</f>
        <v/>
      </c>
    </row>
    <row r="19">
      <c r="A19" s="345">
        <f>IF(売分析!C19&lt;&gt;"",ROW()-2,"")</f>
        <v/>
      </c>
      <c r="B19" s="344">
        <f>IF(売分析!C19&lt;&gt;"",HYPERLINK("https://kabutan.jp/stock/?code="&amp;売分析!C19,"株探"),"")</f>
        <v/>
      </c>
      <c r="C19" s="630">
        <f>IF(売分析!C19&lt;&gt;"",売分析!C19,"")</f>
        <v/>
      </c>
      <c r="D19" s="345">
        <f>IF(売分析!D19&lt;&gt;"",売分析!D19,"")</f>
        <v/>
      </c>
      <c r="E19" s="346">
        <f>IF(売分析!E19&lt;&gt;"",売分析!E19,"")</f>
        <v/>
      </c>
      <c r="F19" s="346">
        <f>IF(売分析!F19&lt;&gt;"",売分析!F19,"")</f>
        <v/>
      </c>
      <c r="G19" s="346">
        <f>IF(売分析!H19&lt;&gt;"",売分析!H19,"")</f>
        <v/>
      </c>
      <c r="H19" s="346">
        <f>IF(売分析!I19&lt;&gt;"",売分析!I19,"")</f>
        <v/>
      </c>
      <c r="I19" s="345">
        <f>IF(売分析!J19&lt;&gt;"",売分析!J19,"")</f>
        <v/>
      </c>
      <c r="J19" s="346">
        <f>IF(売分析!AB19&lt;&gt;"",売分析!AB19,"")</f>
        <v/>
      </c>
      <c r="K19" s="346">
        <f>IF(売分析!AC19&lt;&gt;"",売分析!AC19,"")</f>
        <v/>
      </c>
      <c r="L19" s="346">
        <f>IF(売分析!K19&lt;&gt;"",売分析!K19,"")</f>
        <v/>
      </c>
      <c r="M19" s="345">
        <f>IF(売分析!P19&lt;&gt;"",売分析!P19,"")</f>
        <v/>
      </c>
      <c r="N19" s="620">
        <f>IF(売分析!O19&lt;&gt;"",売分析!O19,"")</f>
        <v/>
      </c>
      <c r="O19" s="350">
        <f>IF(売分析!X19&lt;&gt;"",売分析!X19,"")</f>
        <v/>
      </c>
      <c r="P19" s="619">
        <f>IF(売分析!L19&lt;&gt;"",売分析!L19,"")</f>
        <v/>
      </c>
      <c r="Q19" s="346">
        <f>IF(売分析!S19&lt;&gt;"",売分析!S19,"")</f>
        <v/>
      </c>
      <c r="R19" s="346">
        <f>IF(売分析!R19&lt;&gt;"",売分析!R19,"")</f>
        <v/>
      </c>
      <c r="S19" s="345">
        <f>IF(売分析!AA19&lt;&gt;"",売分析!AA19,"")</f>
        <v/>
      </c>
      <c r="T19" s="622">
        <f>IF(売分析!Z19&lt;&gt;"",売分析!Z19,"")</f>
        <v/>
      </c>
      <c r="U19" s="345">
        <f>IF(売分析!V19&lt;&gt;"",売分析!V19,"")</f>
        <v/>
      </c>
      <c r="V19" s="621">
        <f>IF(売分析!W19&lt;&gt;"",売分析!W19,"")</f>
        <v/>
      </c>
      <c r="W19" s="345">
        <f>IF(売分析!AD19&lt;&gt;"",売分析!AD19,"")</f>
        <v/>
      </c>
      <c r="X19" s="345">
        <f>IF(売分析!AE19&lt;&gt;"",売分析!AE19,"")</f>
        <v/>
      </c>
      <c r="Y19" s="410">
        <f>IF(売分析!T19&lt;&gt;"",売分析!T19,"")</f>
        <v/>
      </c>
      <c r="Z19" s="345">
        <f>IF(売分析!Y19&lt;&gt;"",売分析!Y19,"")</f>
        <v/>
      </c>
    </row>
    <row r="20">
      <c r="A20" s="225">
        <f>IF(売分析!C20&lt;&gt;"",ROW()-2,"")</f>
        <v/>
      </c>
      <c r="B20" s="352">
        <f>IF(売分析!C20&lt;&gt;"",HYPERLINK("https://kabutan.jp/stock/?code="&amp;売分析!C20,"株探"),"")</f>
        <v/>
      </c>
      <c r="C20" s="631">
        <f>IF(売分析!C20&lt;&gt;"",売分析!C20,"")</f>
        <v/>
      </c>
      <c r="D20" s="225">
        <f>IF(売分析!D20&lt;&gt;"",売分析!D20,"")</f>
        <v/>
      </c>
      <c r="E20" s="353">
        <f>IF(売分析!E20&lt;&gt;"",売分析!E20,"")</f>
        <v/>
      </c>
      <c r="F20" s="353">
        <f>IF(売分析!F20&lt;&gt;"",売分析!F20,"")</f>
        <v/>
      </c>
      <c r="G20" s="353">
        <f>IF(売分析!H20&lt;&gt;"",売分析!H20,"")</f>
        <v/>
      </c>
      <c r="H20" s="353">
        <f>IF(売分析!I20&lt;&gt;"",売分析!I20,"")</f>
        <v/>
      </c>
      <c r="I20" s="225">
        <f>IF(売分析!J20&lt;&gt;"",売分析!J20,"")</f>
        <v/>
      </c>
      <c r="J20" s="353">
        <f>IF(売分析!AB20&lt;&gt;"",売分析!AB20,"")</f>
        <v/>
      </c>
      <c r="K20" s="353">
        <f>IF(売分析!AC20&lt;&gt;"",売分析!AC20,"")</f>
        <v/>
      </c>
      <c r="L20" s="353">
        <f>IF(売分析!K20&lt;&gt;"",売分析!K20,"")</f>
        <v/>
      </c>
      <c r="M20" s="225">
        <f>IF(売分析!P20&lt;&gt;"",売分析!P20,"")</f>
        <v/>
      </c>
      <c r="N20" s="627">
        <f>IF(売分析!O20&lt;&gt;"",売分析!O20,"")</f>
        <v/>
      </c>
      <c r="O20" s="357">
        <f>IF(売分析!X20&lt;&gt;"",売分析!X20,"")</f>
        <v/>
      </c>
      <c r="P20" s="626">
        <f>IF(売分析!L20&lt;&gt;"",売分析!L20,"")</f>
        <v/>
      </c>
      <c r="Q20" s="353">
        <f>IF(売分析!S20&lt;&gt;"",売分析!S20,"")</f>
        <v/>
      </c>
      <c r="R20" s="353">
        <f>IF(売分析!R20&lt;&gt;"",売分析!R20,"")</f>
        <v/>
      </c>
      <c r="S20" s="225">
        <f>IF(売分析!AA20&lt;&gt;"",売分析!AA20,"")</f>
        <v/>
      </c>
      <c r="T20" s="629">
        <f>IF(売分析!Z20&lt;&gt;"",売分析!Z20,"")</f>
        <v/>
      </c>
      <c r="U20" s="225">
        <f>IF(売分析!V20&lt;&gt;"",売分析!V20,"")</f>
        <v/>
      </c>
      <c r="V20" s="628">
        <f>IF(売分析!W20&lt;&gt;"",売分析!W20,"")</f>
        <v/>
      </c>
      <c r="W20" s="225">
        <f>IF(売分析!AD20&lt;&gt;"",売分析!AD20,"")</f>
        <v/>
      </c>
      <c r="X20" s="225">
        <f>IF(売分析!AE20&lt;&gt;"",売分析!AE20,"")</f>
        <v/>
      </c>
      <c r="Y20" s="411">
        <f>IF(売分析!T20&lt;&gt;"",売分析!T20,"")</f>
        <v/>
      </c>
      <c r="Z20" s="225">
        <f>IF(売分析!Y20&lt;&gt;"",売分析!Y20,"")</f>
        <v/>
      </c>
    </row>
    <row r="21">
      <c r="A21" s="345">
        <f>IF(売分析!C21&lt;&gt;"",ROW()-2,"")</f>
        <v/>
      </c>
      <c r="B21" s="344">
        <f>IF(売分析!C21&lt;&gt;"",HYPERLINK("https://kabutan.jp/stock/?code="&amp;売分析!C21,"株探"),"")</f>
        <v/>
      </c>
      <c r="C21" s="630">
        <f>IF(売分析!C21&lt;&gt;"",売分析!C21,"")</f>
        <v/>
      </c>
      <c r="D21" s="345">
        <f>IF(売分析!D21&lt;&gt;"",売分析!D21,"")</f>
        <v/>
      </c>
      <c r="E21" s="346">
        <f>IF(売分析!E21&lt;&gt;"",売分析!E21,"")</f>
        <v/>
      </c>
      <c r="F21" s="346">
        <f>IF(売分析!F21&lt;&gt;"",売分析!F21,"")</f>
        <v/>
      </c>
      <c r="G21" s="346">
        <f>IF(売分析!H21&lt;&gt;"",売分析!H21,"")</f>
        <v/>
      </c>
      <c r="H21" s="346">
        <f>IF(売分析!I21&lt;&gt;"",売分析!I21,"")</f>
        <v/>
      </c>
      <c r="I21" s="345">
        <f>IF(売分析!J21&lt;&gt;"",売分析!J21,"")</f>
        <v/>
      </c>
      <c r="J21" s="346">
        <f>IF(売分析!AB21&lt;&gt;"",売分析!AB21,"")</f>
        <v/>
      </c>
      <c r="K21" s="346">
        <f>IF(売分析!AC21&lt;&gt;"",売分析!AC21,"")</f>
        <v/>
      </c>
      <c r="L21" s="346">
        <f>IF(売分析!K21&lt;&gt;"",売分析!K21,"")</f>
        <v/>
      </c>
      <c r="M21" s="345">
        <f>IF(売分析!P21&lt;&gt;"",売分析!P21,"")</f>
        <v/>
      </c>
      <c r="N21" s="620">
        <f>IF(売分析!O21&lt;&gt;"",売分析!O21,"")</f>
        <v/>
      </c>
      <c r="O21" s="350">
        <f>IF(売分析!X21&lt;&gt;"",売分析!X21,"")</f>
        <v/>
      </c>
      <c r="P21" s="619">
        <f>IF(売分析!L21&lt;&gt;"",売分析!L21,"")</f>
        <v/>
      </c>
      <c r="Q21" s="346">
        <f>IF(売分析!S21&lt;&gt;"",売分析!S21,"")</f>
        <v/>
      </c>
      <c r="R21" s="346">
        <f>IF(売分析!R21&lt;&gt;"",売分析!R21,"")</f>
        <v/>
      </c>
      <c r="S21" s="345">
        <f>IF(売分析!AA21&lt;&gt;"",売分析!AA21,"")</f>
        <v/>
      </c>
      <c r="T21" s="622">
        <f>IF(売分析!Z21&lt;&gt;"",売分析!Z21,"")</f>
        <v/>
      </c>
      <c r="U21" s="345">
        <f>IF(売分析!V21&lt;&gt;"",売分析!V21,"")</f>
        <v/>
      </c>
      <c r="V21" s="621">
        <f>IF(売分析!W21&lt;&gt;"",売分析!W21,"")</f>
        <v/>
      </c>
      <c r="W21" s="345">
        <f>IF(売分析!AD21&lt;&gt;"",売分析!AD21,"")</f>
        <v/>
      </c>
      <c r="X21" s="345">
        <f>IF(売分析!AE21&lt;&gt;"",売分析!AE21,"")</f>
        <v/>
      </c>
      <c r="Y21" s="410">
        <f>IF(売分析!T21&lt;&gt;"",売分析!T21,"")</f>
        <v/>
      </c>
      <c r="Z21" s="345">
        <f>IF(売分析!Y21&lt;&gt;"",売分析!Y21,"")</f>
        <v/>
      </c>
    </row>
    <row r="22">
      <c r="A22" s="225">
        <f>IF(売分析!C22&lt;&gt;"",ROW()-2,"")</f>
        <v/>
      </c>
      <c r="B22" s="352">
        <f>IF(売分析!C22&lt;&gt;"",HYPERLINK("https://kabutan.jp/stock/?code="&amp;売分析!C22,"株探"),"")</f>
        <v/>
      </c>
      <c r="C22" s="631">
        <f>IF(売分析!C22&lt;&gt;"",売分析!C22,"")</f>
        <v/>
      </c>
      <c r="D22" s="225">
        <f>IF(売分析!D22&lt;&gt;"",売分析!D22,"")</f>
        <v/>
      </c>
      <c r="E22" s="353">
        <f>IF(売分析!E22&lt;&gt;"",売分析!E22,"")</f>
        <v/>
      </c>
      <c r="F22" s="353">
        <f>IF(売分析!F22&lt;&gt;"",売分析!F22,"")</f>
        <v/>
      </c>
      <c r="G22" s="353">
        <f>IF(売分析!H22&lt;&gt;"",売分析!H22,"")</f>
        <v/>
      </c>
      <c r="H22" s="353">
        <f>IF(売分析!I22&lt;&gt;"",売分析!I22,"")</f>
        <v/>
      </c>
      <c r="I22" s="225">
        <f>IF(売分析!J22&lt;&gt;"",売分析!J22,"")</f>
        <v/>
      </c>
      <c r="J22" s="353">
        <f>IF(売分析!AB22&lt;&gt;"",売分析!AB22,"")</f>
        <v/>
      </c>
      <c r="K22" s="353">
        <f>IF(売分析!AC22&lt;&gt;"",売分析!AC22,"")</f>
        <v/>
      </c>
      <c r="L22" s="353">
        <f>IF(売分析!K22&lt;&gt;"",売分析!K22,"")</f>
        <v/>
      </c>
      <c r="M22" s="225">
        <f>IF(売分析!P22&lt;&gt;"",売分析!P22,"")</f>
        <v/>
      </c>
      <c r="N22" s="627">
        <f>IF(売分析!O22&lt;&gt;"",売分析!O22,"")</f>
        <v/>
      </c>
      <c r="O22" s="357">
        <f>IF(売分析!X22&lt;&gt;"",売分析!X22,"")</f>
        <v/>
      </c>
      <c r="P22" s="626">
        <f>IF(売分析!L22&lt;&gt;"",売分析!L22,"")</f>
        <v/>
      </c>
      <c r="Q22" s="353">
        <f>IF(売分析!S22&lt;&gt;"",売分析!S22,"")</f>
        <v/>
      </c>
      <c r="R22" s="353">
        <f>IF(売分析!R22&lt;&gt;"",売分析!R22,"")</f>
        <v/>
      </c>
      <c r="S22" s="225">
        <f>IF(売分析!AA22&lt;&gt;"",売分析!AA22,"")</f>
        <v/>
      </c>
      <c r="T22" s="629">
        <f>IF(売分析!Z22&lt;&gt;"",売分析!Z22,"")</f>
        <v/>
      </c>
      <c r="U22" s="225">
        <f>IF(売分析!V22&lt;&gt;"",売分析!V22,"")</f>
        <v/>
      </c>
      <c r="V22" s="628">
        <f>IF(売分析!W22&lt;&gt;"",売分析!W22,"")</f>
        <v/>
      </c>
      <c r="W22" s="225">
        <f>IF(売分析!AD22&lt;&gt;"",売分析!AD22,"")</f>
        <v/>
      </c>
      <c r="X22" s="225">
        <f>IF(売分析!AE22&lt;&gt;"",売分析!AE22,"")</f>
        <v/>
      </c>
      <c r="Y22" s="411">
        <f>IF(売分析!T22&lt;&gt;"",売分析!T22,"")</f>
        <v/>
      </c>
      <c r="Z22" s="225">
        <f>IF(売分析!Y22&lt;&gt;"",売分析!Y22,"")</f>
        <v/>
      </c>
    </row>
    <row r="23">
      <c r="A23" s="345">
        <f>IF(売分析!C23&lt;&gt;"",ROW()-2,"")</f>
        <v/>
      </c>
      <c r="B23" s="344">
        <f>IF(売分析!C23&lt;&gt;"",HYPERLINK("https://kabutan.jp/stock/?code="&amp;売分析!C23,"株探"),"")</f>
        <v/>
      </c>
      <c r="C23" s="630">
        <f>IF(売分析!C23&lt;&gt;"",売分析!C23,"")</f>
        <v/>
      </c>
      <c r="D23" s="345">
        <f>IF(売分析!D23&lt;&gt;"",売分析!D23,"")</f>
        <v/>
      </c>
      <c r="E23" s="346">
        <f>IF(売分析!E23&lt;&gt;"",売分析!E23,"")</f>
        <v/>
      </c>
      <c r="F23" s="346">
        <f>IF(売分析!F23&lt;&gt;"",売分析!F23,"")</f>
        <v/>
      </c>
      <c r="G23" s="346">
        <f>IF(売分析!H23&lt;&gt;"",売分析!H23,"")</f>
        <v/>
      </c>
      <c r="H23" s="346">
        <f>IF(売分析!I23&lt;&gt;"",売分析!I23,"")</f>
        <v/>
      </c>
      <c r="I23" s="345">
        <f>IF(売分析!J23&lt;&gt;"",売分析!J23,"")</f>
        <v/>
      </c>
      <c r="J23" s="346">
        <f>IF(売分析!AB23&lt;&gt;"",売分析!AB23,"")</f>
        <v/>
      </c>
      <c r="K23" s="346">
        <f>IF(売分析!AC23&lt;&gt;"",売分析!AC23,"")</f>
        <v/>
      </c>
      <c r="L23" s="346">
        <f>IF(売分析!K23&lt;&gt;"",売分析!K23,"")</f>
        <v/>
      </c>
      <c r="M23" s="345">
        <f>IF(売分析!P23&lt;&gt;"",売分析!P23,"")</f>
        <v/>
      </c>
      <c r="N23" s="620">
        <f>IF(売分析!O23&lt;&gt;"",売分析!O23,"")</f>
        <v/>
      </c>
      <c r="O23" s="350">
        <f>IF(売分析!X23&lt;&gt;"",売分析!X23,"")</f>
        <v/>
      </c>
      <c r="P23" s="619">
        <f>IF(売分析!L23&lt;&gt;"",売分析!L23,"")</f>
        <v/>
      </c>
      <c r="Q23" s="346">
        <f>IF(売分析!S23&lt;&gt;"",売分析!S23,"")</f>
        <v/>
      </c>
      <c r="R23" s="346">
        <f>IF(売分析!R23&lt;&gt;"",売分析!R23,"")</f>
        <v/>
      </c>
      <c r="S23" s="345">
        <f>IF(売分析!AA23&lt;&gt;"",売分析!AA23,"")</f>
        <v/>
      </c>
      <c r="T23" s="622">
        <f>IF(売分析!Z23&lt;&gt;"",売分析!Z23,"")</f>
        <v/>
      </c>
      <c r="U23" s="345">
        <f>IF(売分析!V23&lt;&gt;"",売分析!V23,"")</f>
        <v/>
      </c>
      <c r="V23" s="621">
        <f>IF(売分析!W23&lt;&gt;"",売分析!W23,"")</f>
        <v/>
      </c>
      <c r="W23" s="345">
        <f>IF(売分析!AD23&lt;&gt;"",売分析!AD23,"")</f>
        <v/>
      </c>
      <c r="X23" s="345">
        <f>IF(売分析!AE23&lt;&gt;"",売分析!AE23,"")</f>
        <v/>
      </c>
      <c r="Y23" s="410">
        <f>IF(売分析!T23&lt;&gt;"",売分析!T23,"")</f>
        <v/>
      </c>
      <c r="Z23" s="345">
        <f>IF(売分析!Y23&lt;&gt;"",売分析!Y23,"")</f>
        <v/>
      </c>
    </row>
    <row r="24">
      <c r="A24" s="225">
        <f>IF(売分析!C24&lt;&gt;"",ROW()-2,"")</f>
        <v/>
      </c>
      <c r="B24" s="352">
        <f>IF(売分析!C24&lt;&gt;"",HYPERLINK("https://kabutan.jp/stock/?code="&amp;売分析!C24,"株探"),"")</f>
        <v/>
      </c>
      <c r="C24" s="631">
        <f>IF(売分析!C24&lt;&gt;"",売分析!C24,"")</f>
        <v/>
      </c>
      <c r="D24" s="225">
        <f>IF(売分析!D24&lt;&gt;"",売分析!D24,"")</f>
        <v/>
      </c>
      <c r="E24" s="353">
        <f>IF(売分析!E24&lt;&gt;"",売分析!E24,"")</f>
        <v/>
      </c>
      <c r="F24" s="353">
        <f>IF(売分析!F24&lt;&gt;"",売分析!F24,"")</f>
        <v/>
      </c>
      <c r="G24" s="353">
        <f>IF(売分析!H24&lt;&gt;"",売分析!H24,"")</f>
        <v/>
      </c>
      <c r="H24" s="353">
        <f>IF(売分析!I24&lt;&gt;"",売分析!I24,"")</f>
        <v/>
      </c>
      <c r="I24" s="225">
        <f>IF(売分析!J24&lt;&gt;"",売分析!J24,"")</f>
        <v/>
      </c>
      <c r="J24" s="353">
        <f>IF(売分析!AB24&lt;&gt;"",売分析!AB24,"")</f>
        <v/>
      </c>
      <c r="K24" s="353">
        <f>IF(売分析!AC24&lt;&gt;"",売分析!AC24,"")</f>
        <v/>
      </c>
      <c r="L24" s="353">
        <f>IF(売分析!K24&lt;&gt;"",売分析!K24,"")</f>
        <v/>
      </c>
      <c r="M24" s="225">
        <f>IF(売分析!P24&lt;&gt;"",売分析!P24,"")</f>
        <v/>
      </c>
      <c r="N24" s="627">
        <f>IF(売分析!O24&lt;&gt;"",売分析!O24,"")</f>
        <v/>
      </c>
      <c r="O24" s="357">
        <f>IF(売分析!X24&lt;&gt;"",売分析!X24,"")</f>
        <v/>
      </c>
      <c r="P24" s="626">
        <f>IF(売分析!L24&lt;&gt;"",売分析!L24,"")</f>
        <v/>
      </c>
      <c r="Q24" s="353">
        <f>IF(売分析!S24&lt;&gt;"",売分析!S24,"")</f>
        <v/>
      </c>
      <c r="R24" s="353">
        <f>IF(売分析!R24&lt;&gt;"",売分析!R24,"")</f>
        <v/>
      </c>
      <c r="S24" s="225">
        <f>IF(売分析!AA24&lt;&gt;"",売分析!AA24,"")</f>
        <v/>
      </c>
      <c r="T24" s="629">
        <f>IF(売分析!Z24&lt;&gt;"",売分析!Z24,"")</f>
        <v/>
      </c>
      <c r="U24" s="225">
        <f>IF(売分析!V24&lt;&gt;"",売分析!V24,"")</f>
        <v/>
      </c>
      <c r="V24" s="628">
        <f>IF(売分析!W24&lt;&gt;"",売分析!W24,"")</f>
        <v/>
      </c>
      <c r="W24" s="225">
        <f>IF(売分析!AD24&lt;&gt;"",売分析!AD24,"")</f>
        <v/>
      </c>
      <c r="X24" s="225">
        <f>IF(売分析!AE24&lt;&gt;"",売分析!AE24,"")</f>
        <v/>
      </c>
      <c r="Y24" s="411">
        <f>IF(売分析!T24&lt;&gt;"",売分析!T24,"")</f>
        <v/>
      </c>
      <c r="Z24" s="225">
        <f>IF(売分析!Y24&lt;&gt;"",売分析!Y24,"")</f>
        <v/>
      </c>
    </row>
    <row r="25">
      <c r="A25" s="345">
        <f>IF(売分析!C25&lt;&gt;"",ROW()-2,"")</f>
        <v/>
      </c>
      <c r="B25" s="344">
        <f>IF(売分析!C25&lt;&gt;"",HYPERLINK("https://kabutan.jp/stock/?code="&amp;売分析!C25,"株探"),"")</f>
        <v/>
      </c>
      <c r="C25" s="630">
        <f>IF(売分析!C25&lt;&gt;"",売分析!C25,"")</f>
        <v/>
      </c>
      <c r="D25" s="345">
        <f>IF(売分析!D25&lt;&gt;"",売分析!D25,"")</f>
        <v/>
      </c>
      <c r="E25" s="346">
        <f>IF(売分析!E25&lt;&gt;"",売分析!E25,"")</f>
        <v/>
      </c>
      <c r="F25" s="346">
        <f>IF(売分析!F25&lt;&gt;"",売分析!F25,"")</f>
        <v/>
      </c>
      <c r="G25" s="346">
        <f>IF(売分析!H25&lt;&gt;"",売分析!H25,"")</f>
        <v/>
      </c>
      <c r="H25" s="346">
        <f>IF(売分析!I25&lt;&gt;"",売分析!I25,"")</f>
        <v/>
      </c>
      <c r="I25" s="345">
        <f>IF(売分析!J25&lt;&gt;"",売分析!J25,"")</f>
        <v/>
      </c>
      <c r="J25" s="346">
        <f>IF(売分析!AB25&lt;&gt;"",売分析!AB25,"")</f>
        <v/>
      </c>
      <c r="K25" s="346">
        <f>IF(売分析!AC25&lt;&gt;"",売分析!AC25,"")</f>
        <v/>
      </c>
      <c r="L25" s="346">
        <f>IF(売分析!K25&lt;&gt;"",売分析!K25,"")</f>
        <v/>
      </c>
      <c r="M25" s="345">
        <f>IF(売分析!P25&lt;&gt;"",売分析!P25,"")</f>
        <v/>
      </c>
      <c r="N25" s="620">
        <f>IF(売分析!O25&lt;&gt;"",売分析!O25,"")</f>
        <v/>
      </c>
      <c r="O25" s="350">
        <f>IF(売分析!X25&lt;&gt;"",売分析!X25,"")</f>
        <v/>
      </c>
      <c r="P25" s="619">
        <f>IF(売分析!L25&lt;&gt;"",売分析!L25,"")</f>
        <v/>
      </c>
      <c r="Q25" s="346">
        <f>IF(売分析!S25&lt;&gt;"",売分析!S25,"")</f>
        <v/>
      </c>
      <c r="R25" s="346">
        <f>IF(売分析!R25&lt;&gt;"",売分析!R25,"")</f>
        <v/>
      </c>
      <c r="S25" s="345">
        <f>IF(売分析!AA25&lt;&gt;"",売分析!AA25,"")</f>
        <v/>
      </c>
      <c r="T25" s="622">
        <f>IF(売分析!Z25&lt;&gt;"",売分析!Z25,"")</f>
        <v/>
      </c>
      <c r="U25" s="345">
        <f>IF(売分析!V25&lt;&gt;"",売分析!V25,"")</f>
        <v/>
      </c>
      <c r="V25" s="621">
        <f>IF(売分析!W25&lt;&gt;"",売分析!W25,"")</f>
        <v/>
      </c>
      <c r="W25" s="345">
        <f>IF(売分析!AD25&lt;&gt;"",売分析!AD25,"")</f>
        <v/>
      </c>
      <c r="X25" s="345">
        <f>IF(売分析!AE25&lt;&gt;"",売分析!AE25,"")</f>
        <v/>
      </c>
      <c r="Y25" s="410">
        <f>IF(売分析!T25&lt;&gt;"",売分析!T25,"")</f>
        <v/>
      </c>
      <c r="Z25" s="345">
        <f>IF(売分析!Y25&lt;&gt;"",売分析!Y25,"")</f>
        <v/>
      </c>
    </row>
    <row r="26">
      <c r="A26" s="225">
        <f>IF(売分析!C26&lt;&gt;"",ROW()-2,"")</f>
        <v/>
      </c>
      <c r="B26" s="352">
        <f>IF(売分析!C26&lt;&gt;"",HYPERLINK("https://kabutan.jp/stock/?code="&amp;売分析!C26,"株探"),"")</f>
        <v/>
      </c>
      <c r="C26" s="631">
        <f>IF(売分析!C26&lt;&gt;"",売分析!C26,"")</f>
        <v/>
      </c>
      <c r="D26" s="225">
        <f>IF(売分析!D26&lt;&gt;"",売分析!D26,"")</f>
        <v/>
      </c>
      <c r="E26" s="353">
        <f>IF(売分析!E26&lt;&gt;"",売分析!E26,"")</f>
        <v/>
      </c>
      <c r="F26" s="353">
        <f>IF(売分析!F26&lt;&gt;"",売分析!F26,"")</f>
        <v/>
      </c>
      <c r="G26" s="353">
        <f>IF(売分析!H26&lt;&gt;"",売分析!H26,"")</f>
        <v/>
      </c>
      <c r="H26" s="353">
        <f>IF(売分析!I26&lt;&gt;"",売分析!I26,"")</f>
        <v/>
      </c>
      <c r="I26" s="225">
        <f>IF(売分析!J26&lt;&gt;"",売分析!J26,"")</f>
        <v/>
      </c>
      <c r="J26" s="353">
        <f>IF(売分析!AB26&lt;&gt;"",売分析!AB26,"")</f>
        <v/>
      </c>
      <c r="K26" s="353">
        <f>IF(売分析!AC26&lt;&gt;"",売分析!AC26,"")</f>
        <v/>
      </c>
      <c r="L26" s="353">
        <f>IF(売分析!K26&lt;&gt;"",売分析!K26,"")</f>
        <v/>
      </c>
      <c r="M26" s="225">
        <f>IF(売分析!P26&lt;&gt;"",売分析!P26,"")</f>
        <v/>
      </c>
      <c r="N26" s="627">
        <f>IF(売分析!O26&lt;&gt;"",売分析!O26,"")</f>
        <v/>
      </c>
      <c r="O26" s="357">
        <f>IF(売分析!X26&lt;&gt;"",売分析!X26,"")</f>
        <v/>
      </c>
      <c r="P26" s="626">
        <f>IF(売分析!L26&lt;&gt;"",売分析!L26,"")</f>
        <v/>
      </c>
      <c r="Q26" s="353">
        <f>IF(売分析!S26&lt;&gt;"",売分析!S26,"")</f>
        <v/>
      </c>
      <c r="R26" s="353">
        <f>IF(売分析!R26&lt;&gt;"",売分析!R26,"")</f>
        <v/>
      </c>
      <c r="S26" s="225">
        <f>IF(売分析!AA26&lt;&gt;"",売分析!AA26,"")</f>
        <v/>
      </c>
      <c r="T26" s="629">
        <f>IF(売分析!Z26&lt;&gt;"",売分析!Z26,"")</f>
        <v/>
      </c>
      <c r="U26" s="225">
        <f>IF(売分析!V26&lt;&gt;"",売分析!V26,"")</f>
        <v/>
      </c>
      <c r="V26" s="628">
        <f>IF(売分析!W26&lt;&gt;"",売分析!W26,"")</f>
        <v/>
      </c>
      <c r="W26" s="225">
        <f>IF(売分析!AD26&lt;&gt;"",売分析!AD26,"")</f>
        <v/>
      </c>
      <c r="X26" s="225">
        <f>IF(売分析!AE26&lt;&gt;"",売分析!AE26,"")</f>
        <v/>
      </c>
      <c r="Y26" s="411">
        <f>IF(売分析!T26&lt;&gt;"",売分析!T26,"")</f>
        <v/>
      </c>
      <c r="Z26" s="225">
        <f>IF(売分析!Y26&lt;&gt;"",売分析!Y26,"")</f>
        <v/>
      </c>
    </row>
    <row r="27">
      <c r="A27" s="345">
        <f>IF(売分析!C27&lt;&gt;"",ROW()-2,"")</f>
        <v/>
      </c>
      <c r="B27" s="344">
        <f>IF(売分析!C27&lt;&gt;"",HYPERLINK("https://kabutan.jp/stock/?code="&amp;売分析!C27,"株探"),"")</f>
        <v/>
      </c>
      <c r="C27" s="630">
        <f>IF(売分析!C27&lt;&gt;"",売分析!C27,"")</f>
        <v/>
      </c>
      <c r="D27" s="345">
        <f>IF(売分析!D27&lt;&gt;"",売分析!D27,"")</f>
        <v/>
      </c>
      <c r="E27" s="346">
        <f>IF(売分析!E27&lt;&gt;"",売分析!E27,"")</f>
        <v/>
      </c>
      <c r="F27" s="346">
        <f>IF(売分析!F27&lt;&gt;"",売分析!F27,"")</f>
        <v/>
      </c>
      <c r="G27" s="346">
        <f>IF(売分析!H27&lt;&gt;"",売分析!H27,"")</f>
        <v/>
      </c>
      <c r="H27" s="346">
        <f>IF(売分析!I27&lt;&gt;"",売分析!I27,"")</f>
        <v/>
      </c>
      <c r="I27" s="345">
        <f>IF(売分析!J27&lt;&gt;"",売分析!J27,"")</f>
        <v/>
      </c>
      <c r="J27" s="346">
        <f>IF(売分析!AB27&lt;&gt;"",売分析!AB27,"")</f>
        <v/>
      </c>
      <c r="K27" s="346">
        <f>IF(売分析!AC27&lt;&gt;"",売分析!AC27,"")</f>
        <v/>
      </c>
      <c r="L27" s="346">
        <f>IF(売分析!K27&lt;&gt;"",売分析!K27,"")</f>
        <v/>
      </c>
      <c r="M27" s="345">
        <f>IF(売分析!P27&lt;&gt;"",売分析!P27,"")</f>
        <v/>
      </c>
      <c r="N27" s="620">
        <f>IF(売分析!O27&lt;&gt;"",売分析!O27,"")</f>
        <v/>
      </c>
      <c r="O27" s="350">
        <f>IF(売分析!X27&lt;&gt;"",売分析!X27,"")</f>
        <v/>
      </c>
      <c r="P27" s="619">
        <f>IF(売分析!L27&lt;&gt;"",売分析!L27,"")</f>
        <v/>
      </c>
      <c r="Q27" s="346">
        <f>IF(売分析!S27&lt;&gt;"",売分析!S27,"")</f>
        <v/>
      </c>
      <c r="R27" s="346">
        <f>IF(売分析!R27&lt;&gt;"",売分析!R27,"")</f>
        <v/>
      </c>
      <c r="S27" s="345">
        <f>IF(売分析!AA27&lt;&gt;"",売分析!AA27,"")</f>
        <v/>
      </c>
      <c r="T27" s="622">
        <f>IF(売分析!Z27&lt;&gt;"",売分析!Z27,"")</f>
        <v/>
      </c>
      <c r="U27" s="345">
        <f>IF(売分析!V27&lt;&gt;"",売分析!V27,"")</f>
        <v/>
      </c>
      <c r="V27" s="621">
        <f>IF(売分析!W27&lt;&gt;"",売分析!W27,"")</f>
        <v/>
      </c>
      <c r="W27" s="345">
        <f>IF(売分析!AD27&lt;&gt;"",売分析!AD27,"")</f>
        <v/>
      </c>
      <c r="X27" s="345">
        <f>IF(売分析!AE27&lt;&gt;"",売分析!AE27,"")</f>
        <v/>
      </c>
      <c r="Y27" s="410">
        <f>IF(売分析!T27&lt;&gt;"",売分析!T27,"")</f>
        <v/>
      </c>
      <c r="Z27" s="345">
        <f>IF(売分析!Y27&lt;&gt;"",売分析!Y27,"")</f>
        <v/>
      </c>
    </row>
    <row r="28">
      <c r="A28" s="225">
        <f>IF(売分析!C28&lt;&gt;"",ROW()-2,"")</f>
        <v/>
      </c>
      <c r="B28" s="352">
        <f>IF(売分析!C28&lt;&gt;"",HYPERLINK("https://kabutan.jp/stock/?code="&amp;売分析!C28,"株探"),"")</f>
        <v/>
      </c>
      <c r="C28" s="631">
        <f>IF(売分析!C28&lt;&gt;"",売分析!C28,"")</f>
        <v/>
      </c>
      <c r="D28" s="225">
        <f>IF(売分析!D28&lt;&gt;"",売分析!D28,"")</f>
        <v/>
      </c>
      <c r="E28" s="353">
        <f>IF(売分析!E28&lt;&gt;"",売分析!E28,"")</f>
        <v/>
      </c>
      <c r="F28" s="353">
        <f>IF(売分析!F28&lt;&gt;"",売分析!F28,"")</f>
        <v/>
      </c>
      <c r="G28" s="353">
        <f>IF(売分析!H28&lt;&gt;"",売分析!H28,"")</f>
        <v/>
      </c>
      <c r="H28" s="353">
        <f>IF(売分析!I28&lt;&gt;"",売分析!I28,"")</f>
        <v/>
      </c>
      <c r="I28" s="225">
        <f>IF(売分析!J28&lt;&gt;"",売分析!J28,"")</f>
        <v/>
      </c>
      <c r="J28" s="353">
        <f>IF(売分析!AB28&lt;&gt;"",売分析!AB28,"")</f>
        <v/>
      </c>
      <c r="K28" s="353">
        <f>IF(売分析!AC28&lt;&gt;"",売分析!AC28,"")</f>
        <v/>
      </c>
      <c r="L28" s="353">
        <f>IF(売分析!K28&lt;&gt;"",売分析!K28,"")</f>
        <v/>
      </c>
      <c r="M28" s="225">
        <f>IF(売分析!P28&lt;&gt;"",売分析!P28,"")</f>
        <v/>
      </c>
      <c r="N28" s="627">
        <f>IF(売分析!O28&lt;&gt;"",売分析!O28,"")</f>
        <v/>
      </c>
      <c r="O28" s="357">
        <f>IF(売分析!X28&lt;&gt;"",売分析!X28,"")</f>
        <v/>
      </c>
      <c r="P28" s="626">
        <f>IF(売分析!L28&lt;&gt;"",売分析!L28,"")</f>
        <v/>
      </c>
      <c r="Q28" s="353">
        <f>IF(売分析!S28&lt;&gt;"",売分析!S28,"")</f>
        <v/>
      </c>
      <c r="R28" s="353">
        <f>IF(売分析!R28&lt;&gt;"",売分析!R28,"")</f>
        <v/>
      </c>
      <c r="S28" s="225">
        <f>IF(売分析!AA28&lt;&gt;"",売分析!AA28,"")</f>
        <v/>
      </c>
      <c r="T28" s="629">
        <f>IF(売分析!Z28&lt;&gt;"",売分析!Z28,"")</f>
        <v/>
      </c>
      <c r="U28" s="225">
        <f>IF(売分析!V28&lt;&gt;"",売分析!V28,"")</f>
        <v/>
      </c>
      <c r="V28" s="628">
        <f>IF(売分析!W28&lt;&gt;"",売分析!W28,"")</f>
        <v/>
      </c>
      <c r="W28" s="225">
        <f>IF(売分析!AD28&lt;&gt;"",売分析!AD28,"")</f>
        <v/>
      </c>
      <c r="X28" s="225">
        <f>IF(売分析!AE28&lt;&gt;"",売分析!AE28,"")</f>
        <v/>
      </c>
      <c r="Y28" s="411">
        <f>IF(売分析!T28&lt;&gt;"",売分析!T28,"")</f>
        <v/>
      </c>
      <c r="Z28" s="225">
        <f>IF(売分析!Y28&lt;&gt;"",売分析!Y28,"")</f>
        <v/>
      </c>
    </row>
    <row r="29">
      <c r="A29" s="345">
        <f>IF(売分析!C29&lt;&gt;"",ROW()-2,"")</f>
        <v/>
      </c>
      <c r="B29" s="344">
        <f>IF(売分析!C29&lt;&gt;"",HYPERLINK("https://kabutan.jp/stock/?code="&amp;売分析!C29,"株探"),"")</f>
        <v/>
      </c>
      <c r="C29" s="630">
        <f>IF(売分析!C29&lt;&gt;"",売分析!C29,"")</f>
        <v/>
      </c>
      <c r="D29" s="345">
        <f>IF(売分析!D29&lt;&gt;"",売分析!D29,"")</f>
        <v/>
      </c>
      <c r="E29" s="346">
        <f>IF(売分析!E29&lt;&gt;"",売分析!E29,"")</f>
        <v/>
      </c>
      <c r="F29" s="346">
        <f>IF(売分析!F29&lt;&gt;"",売分析!F29,"")</f>
        <v/>
      </c>
      <c r="G29" s="346">
        <f>IF(売分析!H29&lt;&gt;"",売分析!H29,"")</f>
        <v/>
      </c>
      <c r="H29" s="346">
        <f>IF(売分析!I29&lt;&gt;"",売分析!I29,"")</f>
        <v/>
      </c>
      <c r="I29" s="345">
        <f>IF(売分析!J29&lt;&gt;"",売分析!J29,"")</f>
        <v/>
      </c>
      <c r="J29" s="346">
        <f>IF(売分析!AB29&lt;&gt;"",売分析!AB29,"")</f>
        <v/>
      </c>
      <c r="K29" s="346">
        <f>IF(売分析!AC29&lt;&gt;"",売分析!AC29,"")</f>
        <v/>
      </c>
      <c r="L29" s="346">
        <f>IF(売分析!K29&lt;&gt;"",売分析!K29,"")</f>
        <v/>
      </c>
      <c r="M29" s="345">
        <f>IF(売分析!P29&lt;&gt;"",売分析!P29,"")</f>
        <v/>
      </c>
      <c r="N29" s="620">
        <f>IF(売分析!O29&lt;&gt;"",売分析!O29,"")</f>
        <v/>
      </c>
      <c r="O29" s="350">
        <f>IF(売分析!X29&lt;&gt;"",売分析!X29,"")</f>
        <v/>
      </c>
      <c r="P29" s="619">
        <f>IF(売分析!L29&lt;&gt;"",売分析!L29,"")</f>
        <v/>
      </c>
      <c r="Q29" s="346">
        <f>IF(売分析!S29&lt;&gt;"",売分析!S29,"")</f>
        <v/>
      </c>
      <c r="R29" s="346">
        <f>IF(売分析!R29&lt;&gt;"",売分析!R29,"")</f>
        <v/>
      </c>
      <c r="S29" s="345">
        <f>IF(売分析!AA29&lt;&gt;"",売分析!AA29,"")</f>
        <v/>
      </c>
      <c r="T29" s="622">
        <f>IF(売分析!Z29&lt;&gt;"",売分析!Z29,"")</f>
        <v/>
      </c>
      <c r="U29" s="345">
        <f>IF(売分析!V29&lt;&gt;"",売分析!V29,"")</f>
        <v/>
      </c>
      <c r="V29" s="621">
        <f>IF(売分析!W29&lt;&gt;"",売分析!W29,"")</f>
        <v/>
      </c>
      <c r="W29" s="345">
        <f>IF(売分析!AD29&lt;&gt;"",売分析!AD29,"")</f>
        <v/>
      </c>
      <c r="X29" s="345">
        <f>IF(売分析!AE29&lt;&gt;"",売分析!AE29,"")</f>
        <v/>
      </c>
      <c r="Y29" s="410">
        <f>IF(売分析!T29&lt;&gt;"",売分析!T29,"")</f>
        <v/>
      </c>
      <c r="Z29" s="345">
        <f>IF(売分析!Y29&lt;&gt;"",売分析!Y29,"")</f>
        <v/>
      </c>
    </row>
    <row r="30">
      <c r="A30" s="225">
        <f>IF(売分析!C30&lt;&gt;"",ROW()-2,"")</f>
        <v/>
      </c>
      <c r="B30" s="352">
        <f>IF(売分析!C30&lt;&gt;"",HYPERLINK("https://kabutan.jp/stock/?code="&amp;売分析!C30,"株探"),"")</f>
        <v/>
      </c>
      <c r="C30" s="631">
        <f>IF(売分析!C30&lt;&gt;"",売分析!C30,"")</f>
        <v/>
      </c>
      <c r="D30" s="225">
        <f>IF(売分析!D30&lt;&gt;"",売分析!D30,"")</f>
        <v/>
      </c>
      <c r="E30" s="353">
        <f>IF(売分析!E30&lt;&gt;"",売分析!E30,"")</f>
        <v/>
      </c>
      <c r="F30" s="353">
        <f>IF(売分析!F30&lt;&gt;"",売分析!F30,"")</f>
        <v/>
      </c>
      <c r="G30" s="353">
        <f>IF(売分析!H30&lt;&gt;"",売分析!H30,"")</f>
        <v/>
      </c>
      <c r="H30" s="353">
        <f>IF(売分析!I30&lt;&gt;"",売分析!I30,"")</f>
        <v/>
      </c>
      <c r="I30" s="225">
        <f>IF(売分析!J30&lt;&gt;"",売分析!J30,"")</f>
        <v/>
      </c>
      <c r="J30" s="353">
        <f>IF(売分析!AB30&lt;&gt;"",売分析!AB30,"")</f>
        <v/>
      </c>
      <c r="K30" s="353">
        <f>IF(売分析!AC30&lt;&gt;"",売分析!AC30,"")</f>
        <v/>
      </c>
      <c r="L30" s="353">
        <f>IF(売分析!K30&lt;&gt;"",売分析!K30,"")</f>
        <v/>
      </c>
      <c r="M30" s="225">
        <f>IF(売分析!P30&lt;&gt;"",売分析!P30,"")</f>
        <v/>
      </c>
      <c r="N30" s="627">
        <f>IF(売分析!O30&lt;&gt;"",売分析!O30,"")</f>
        <v/>
      </c>
      <c r="O30" s="357">
        <f>IF(売分析!X30&lt;&gt;"",売分析!X30,"")</f>
        <v/>
      </c>
      <c r="P30" s="626">
        <f>IF(売分析!L30&lt;&gt;"",売分析!L30,"")</f>
        <v/>
      </c>
      <c r="Q30" s="353">
        <f>IF(売分析!S30&lt;&gt;"",売分析!S30,"")</f>
        <v/>
      </c>
      <c r="R30" s="353">
        <f>IF(売分析!R30&lt;&gt;"",売分析!R30,"")</f>
        <v/>
      </c>
      <c r="S30" s="225">
        <f>IF(売分析!AA30&lt;&gt;"",売分析!AA30,"")</f>
        <v/>
      </c>
      <c r="T30" s="629">
        <f>IF(売分析!Z30&lt;&gt;"",売分析!Z30,"")</f>
        <v/>
      </c>
      <c r="U30" s="225">
        <f>IF(売分析!V30&lt;&gt;"",売分析!V30,"")</f>
        <v/>
      </c>
      <c r="V30" s="628">
        <f>IF(売分析!W30&lt;&gt;"",売分析!W30,"")</f>
        <v/>
      </c>
      <c r="W30" s="225">
        <f>IF(売分析!AD30&lt;&gt;"",売分析!AD30,"")</f>
        <v/>
      </c>
      <c r="X30" s="225">
        <f>IF(売分析!AE30&lt;&gt;"",売分析!AE30,"")</f>
        <v/>
      </c>
      <c r="Y30" s="411">
        <f>IF(売分析!T30&lt;&gt;"",売分析!T30,"")</f>
        <v/>
      </c>
      <c r="Z30" s="225">
        <f>IF(売分析!Y30&lt;&gt;"",売分析!Y30,"")</f>
        <v/>
      </c>
    </row>
    <row r="31">
      <c r="A31" s="345">
        <f>IF(売分析!C31&lt;&gt;"",ROW()-2,"")</f>
        <v/>
      </c>
      <c r="B31" s="344">
        <f>IF(売分析!C31&lt;&gt;"",HYPERLINK("https://kabutan.jp/stock/?code="&amp;売分析!C31,"株探"),"")</f>
        <v/>
      </c>
      <c r="C31" s="630">
        <f>IF(売分析!C31&lt;&gt;"",売分析!C31,"")</f>
        <v/>
      </c>
      <c r="D31" s="345">
        <f>IF(売分析!D31&lt;&gt;"",売分析!D31,"")</f>
        <v/>
      </c>
      <c r="E31" s="346">
        <f>IF(売分析!E31&lt;&gt;"",売分析!E31,"")</f>
        <v/>
      </c>
      <c r="F31" s="346">
        <f>IF(売分析!F31&lt;&gt;"",売分析!F31,"")</f>
        <v/>
      </c>
      <c r="G31" s="346">
        <f>IF(売分析!H31&lt;&gt;"",売分析!H31,"")</f>
        <v/>
      </c>
      <c r="H31" s="346">
        <f>IF(売分析!I31&lt;&gt;"",売分析!I31,"")</f>
        <v/>
      </c>
      <c r="I31" s="345">
        <f>IF(売分析!J31&lt;&gt;"",売分析!J31,"")</f>
        <v/>
      </c>
      <c r="J31" s="346">
        <f>IF(売分析!AB31&lt;&gt;"",売分析!AB31,"")</f>
        <v/>
      </c>
      <c r="K31" s="346">
        <f>IF(売分析!AC31&lt;&gt;"",売分析!AC31,"")</f>
        <v/>
      </c>
      <c r="L31" s="346">
        <f>IF(売分析!K31&lt;&gt;"",売分析!K31,"")</f>
        <v/>
      </c>
      <c r="M31" s="345">
        <f>IF(売分析!P31&lt;&gt;"",売分析!P31,"")</f>
        <v/>
      </c>
      <c r="N31" s="620">
        <f>IF(売分析!O31&lt;&gt;"",売分析!O31,"")</f>
        <v/>
      </c>
      <c r="O31" s="350">
        <f>IF(売分析!X31&lt;&gt;"",売分析!X31,"")</f>
        <v/>
      </c>
      <c r="P31" s="619">
        <f>IF(売分析!L31&lt;&gt;"",売分析!L31,"")</f>
        <v/>
      </c>
      <c r="Q31" s="346">
        <f>IF(売分析!S31&lt;&gt;"",売分析!S31,"")</f>
        <v/>
      </c>
      <c r="R31" s="346">
        <f>IF(売分析!R31&lt;&gt;"",売分析!R31,"")</f>
        <v/>
      </c>
      <c r="S31" s="345">
        <f>IF(売分析!AA31&lt;&gt;"",売分析!AA31,"")</f>
        <v/>
      </c>
      <c r="T31" s="622">
        <f>IF(売分析!Z31&lt;&gt;"",売分析!Z31,"")</f>
        <v/>
      </c>
      <c r="U31" s="345">
        <f>IF(売分析!V31&lt;&gt;"",売分析!V31,"")</f>
        <v/>
      </c>
      <c r="V31" s="621">
        <f>IF(売分析!W31&lt;&gt;"",売分析!W31,"")</f>
        <v/>
      </c>
      <c r="W31" s="345">
        <f>IF(売分析!AD31&lt;&gt;"",売分析!AD31,"")</f>
        <v/>
      </c>
      <c r="X31" s="345">
        <f>IF(売分析!AE31&lt;&gt;"",売分析!AE31,"")</f>
        <v/>
      </c>
      <c r="Y31" s="410">
        <f>IF(売分析!T31&lt;&gt;"",売分析!T31,"")</f>
        <v/>
      </c>
      <c r="Z31" s="345">
        <f>IF(売分析!Y31&lt;&gt;"",売分析!Y31,"")</f>
        <v/>
      </c>
    </row>
    <row r="32">
      <c r="A32" s="225">
        <f>IF(売分析!C32&lt;&gt;"",ROW()-2,"")</f>
        <v/>
      </c>
      <c r="B32" s="352">
        <f>IF(売分析!C32&lt;&gt;"",HYPERLINK("https://kabutan.jp/stock/?code="&amp;売分析!C32,"株探"),"")</f>
        <v/>
      </c>
      <c r="C32" s="631">
        <f>IF(売分析!C32&lt;&gt;"",売分析!C32,"")</f>
        <v/>
      </c>
      <c r="D32" s="225">
        <f>IF(売分析!D32&lt;&gt;"",売分析!D32,"")</f>
        <v/>
      </c>
      <c r="E32" s="353">
        <f>IF(売分析!E32&lt;&gt;"",売分析!E32,"")</f>
        <v/>
      </c>
      <c r="F32" s="353">
        <f>IF(売分析!F32&lt;&gt;"",売分析!F32,"")</f>
        <v/>
      </c>
      <c r="G32" s="353">
        <f>IF(売分析!H32&lt;&gt;"",売分析!H32,"")</f>
        <v/>
      </c>
      <c r="H32" s="353">
        <f>IF(売分析!I32&lt;&gt;"",売分析!I32,"")</f>
        <v/>
      </c>
      <c r="I32" s="225">
        <f>IF(売分析!J32&lt;&gt;"",売分析!J32,"")</f>
        <v/>
      </c>
      <c r="J32" s="353">
        <f>IF(売分析!AB32&lt;&gt;"",売分析!AB32,"")</f>
        <v/>
      </c>
      <c r="K32" s="353">
        <f>IF(売分析!AC32&lt;&gt;"",売分析!AC32,"")</f>
        <v/>
      </c>
      <c r="L32" s="353">
        <f>IF(売分析!K32&lt;&gt;"",売分析!K32,"")</f>
        <v/>
      </c>
      <c r="M32" s="225">
        <f>IF(売分析!P32&lt;&gt;"",売分析!P32,"")</f>
        <v/>
      </c>
      <c r="N32" s="627">
        <f>IF(売分析!O32&lt;&gt;"",売分析!O32,"")</f>
        <v/>
      </c>
      <c r="O32" s="357">
        <f>IF(売分析!X32&lt;&gt;"",売分析!X32,"")</f>
        <v/>
      </c>
      <c r="P32" s="626">
        <f>IF(売分析!L32&lt;&gt;"",売分析!L32,"")</f>
        <v/>
      </c>
      <c r="Q32" s="353">
        <f>IF(売分析!S32&lt;&gt;"",売分析!S32,"")</f>
        <v/>
      </c>
      <c r="R32" s="353">
        <f>IF(売分析!R32&lt;&gt;"",売分析!R32,"")</f>
        <v/>
      </c>
      <c r="S32" s="225">
        <f>IF(売分析!AA32&lt;&gt;"",売分析!AA32,"")</f>
        <v/>
      </c>
      <c r="T32" s="629">
        <f>IF(売分析!Z32&lt;&gt;"",売分析!Z32,"")</f>
        <v/>
      </c>
      <c r="U32" s="225">
        <f>IF(売分析!V32&lt;&gt;"",売分析!V32,"")</f>
        <v/>
      </c>
      <c r="V32" s="628">
        <f>IF(売分析!W32&lt;&gt;"",売分析!W32,"")</f>
        <v/>
      </c>
      <c r="W32" s="225">
        <f>IF(売分析!AD32&lt;&gt;"",売分析!AD32,"")</f>
        <v/>
      </c>
      <c r="X32" s="225">
        <f>IF(売分析!AE32&lt;&gt;"",売分析!AE32,"")</f>
        <v/>
      </c>
      <c r="Y32" s="411">
        <f>IF(売分析!T32&lt;&gt;"",売分析!T32,"")</f>
        <v/>
      </c>
      <c r="Z32" s="225">
        <f>IF(売分析!Y32&lt;&gt;"",売分析!Y32,"")</f>
        <v/>
      </c>
    </row>
    <row r="33">
      <c r="A33" s="345">
        <f>IF(売分析!C33&lt;&gt;"",ROW()-2,"")</f>
        <v/>
      </c>
      <c r="B33" s="344">
        <f>IF(売分析!C33&lt;&gt;"",HYPERLINK("https://kabutan.jp/stock/?code="&amp;売分析!C33,"株探"),"")</f>
        <v/>
      </c>
      <c r="C33" s="630">
        <f>IF(売分析!C33&lt;&gt;"",売分析!C33,"")</f>
        <v/>
      </c>
      <c r="D33" s="345">
        <f>IF(売分析!D33&lt;&gt;"",売分析!D33,"")</f>
        <v/>
      </c>
      <c r="E33" s="346">
        <f>IF(売分析!E33&lt;&gt;"",売分析!E33,"")</f>
        <v/>
      </c>
      <c r="F33" s="346">
        <f>IF(売分析!F33&lt;&gt;"",売分析!F33,"")</f>
        <v/>
      </c>
      <c r="G33" s="346">
        <f>IF(売分析!H33&lt;&gt;"",売分析!H33,"")</f>
        <v/>
      </c>
      <c r="H33" s="346">
        <f>IF(売分析!I33&lt;&gt;"",売分析!I33,"")</f>
        <v/>
      </c>
      <c r="I33" s="345">
        <f>IF(売分析!J33&lt;&gt;"",売分析!J33,"")</f>
        <v/>
      </c>
      <c r="J33" s="346">
        <f>IF(売分析!AB33&lt;&gt;"",売分析!AB33,"")</f>
        <v/>
      </c>
      <c r="K33" s="346">
        <f>IF(売分析!AC33&lt;&gt;"",売分析!AC33,"")</f>
        <v/>
      </c>
      <c r="L33" s="346">
        <f>IF(売分析!K33&lt;&gt;"",売分析!K33,"")</f>
        <v/>
      </c>
      <c r="M33" s="345">
        <f>IF(売分析!P33&lt;&gt;"",売分析!P33,"")</f>
        <v/>
      </c>
      <c r="N33" s="620">
        <f>IF(売分析!O33&lt;&gt;"",売分析!O33,"")</f>
        <v/>
      </c>
      <c r="O33" s="350">
        <f>IF(売分析!X33&lt;&gt;"",売分析!X33,"")</f>
        <v/>
      </c>
      <c r="P33" s="619">
        <f>IF(売分析!L33&lt;&gt;"",売分析!L33,"")</f>
        <v/>
      </c>
      <c r="Q33" s="346">
        <f>IF(売分析!S33&lt;&gt;"",売分析!S33,"")</f>
        <v/>
      </c>
      <c r="R33" s="346">
        <f>IF(売分析!R33&lt;&gt;"",売分析!R33,"")</f>
        <v/>
      </c>
      <c r="S33" s="345">
        <f>IF(売分析!AA33&lt;&gt;"",売分析!AA33,"")</f>
        <v/>
      </c>
      <c r="T33" s="622">
        <f>IF(売分析!Z33&lt;&gt;"",売分析!Z33,"")</f>
        <v/>
      </c>
      <c r="U33" s="345">
        <f>IF(売分析!V33&lt;&gt;"",売分析!V33,"")</f>
        <v/>
      </c>
      <c r="V33" s="621">
        <f>IF(売分析!W33&lt;&gt;"",売分析!W33,"")</f>
        <v/>
      </c>
      <c r="W33" s="345">
        <f>IF(売分析!AD33&lt;&gt;"",売分析!AD33,"")</f>
        <v/>
      </c>
      <c r="X33" s="345">
        <f>IF(売分析!AE33&lt;&gt;"",売分析!AE33,"")</f>
        <v/>
      </c>
      <c r="Y33" s="410">
        <f>IF(売分析!T33&lt;&gt;"",売分析!T33,"")</f>
        <v/>
      </c>
      <c r="Z33" s="345">
        <f>IF(売分析!Y33&lt;&gt;"",売分析!Y33,"")</f>
        <v/>
      </c>
    </row>
    <row r="34">
      <c r="A34" s="225">
        <f>IF(売分析!C34&lt;&gt;"",ROW()-2,"")</f>
        <v/>
      </c>
      <c r="B34" s="352">
        <f>IF(売分析!C34&lt;&gt;"",HYPERLINK("https://kabutan.jp/stock/?code="&amp;売分析!C34,"株探"),"")</f>
        <v/>
      </c>
      <c r="C34" s="631">
        <f>IF(売分析!C34&lt;&gt;"",売分析!C34,"")</f>
        <v/>
      </c>
      <c r="D34" s="225">
        <f>IF(売分析!D34&lt;&gt;"",売分析!D34,"")</f>
        <v/>
      </c>
      <c r="E34" s="353">
        <f>IF(売分析!E34&lt;&gt;"",売分析!E34,"")</f>
        <v/>
      </c>
      <c r="F34" s="353">
        <f>IF(売分析!F34&lt;&gt;"",売分析!F34,"")</f>
        <v/>
      </c>
      <c r="G34" s="353">
        <f>IF(売分析!H34&lt;&gt;"",売分析!H34,"")</f>
        <v/>
      </c>
      <c r="H34" s="353">
        <f>IF(売分析!I34&lt;&gt;"",売分析!I34,"")</f>
        <v/>
      </c>
      <c r="I34" s="225">
        <f>IF(売分析!J34&lt;&gt;"",売分析!J34,"")</f>
        <v/>
      </c>
      <c r="J34" s="353">
        <f>IF(売分析!AB34&lt;&gt;"",売分析!AB34,"")</f>
        <v/>
      </c>
      <c r="K34" s="353">
        <f>IF(売分析!AC34&lt;&gt;"",売分析!AC34,"")</f>
        <v/>
      </c>
      <c r="L34" s="353">
        <f>IF(売分析!K34&lt;&gt;"",売分析!K34,"")</f>
        <v/>
      </c>
      <c r="M34" s="225">
        <f>IF(売分析!P34&lt;&gt;"",売分析!P34,"")</f>
        <v/>
      </c>
      <c r="N34" s="627">
        <f>IF(売分析!O34&lt;&gt;"",売分析!O34,"")</f>
        <v/>
      </c>
      <c r="O34" s="357">
        <f>IF(売分析!X34&lt;&gt;"",売分析!X34,"")</f>
        <v/>
      </c>
      <c r="P34" s="626">
        <f>IF(売分析!L34&lt;&gt;"",売分析!L34,"")</f>
        <v/>
      </c>
      <c r="Q34" s="353">
        <f>IF(売分析!S34&lt;&gt;"",売分析!S34,"")</f>
        <v/>
      </c>
      <c r="R34" s="353">
        <f>IF(売分析!R34&lt;&gt;"",売分析!R34,"")</f>
        <v/>
      </c>
      <c r="S34" s="225">
        <f>IF(売分析!AA34&lt;&gt;"",売分析!AA34,"")</f>
        <v/>
      </c>
      <c r="T34" s="629">
        <f>IF(売分析!Z34&lt;&gt;"",売分析!Z34,"")</f>
        <v/>
      </c>
      <c r="U34" s="225">
        <f>IF(売分析!V34&lt;&gt;"",売分析!V34,"")</f>
        <v/>
      </c>
      <c r="V34" s="628">
        <f>IF(売分析!W34&lt;&gt;"",売分析!W34,"")</f>
        <v/>
      </c>
      <c r="W34" s="225">
        <f>IF(売分析!AD34&lt;&gt;"",売分析!AD34,"")</f>
        <v/>
      </c>
      <c r="X34" s="225">
        <f>IF(売分析!AE34&lt;&gt;"",売分析!AE34,"")</f>
        <v/>
      </c>
      <c r="Y34" s="411">
        <f>IF(売分析!T34&lt;&gt;"",売分析!T34,"")</f>
        <v/>
      </c>
      <c r="Z34" s="225">
        <f>IF(売分析!Y34&lt;&gt;"",売分析!Y34,"")</f>
        <v/>
      </c>
    </row>
    <row r="35">
      <c r="A35" s="345">
        <f>IF(売分析!C35&lt;&gt;"",ROW()-2,"")</f>
        <v/>
      </c>
      <c r="B35" s="344">
        <f>IF(売分析!C35&lt;&gt;"",HYPERLINK("https://kabutan.jp/stock/?code="&amp;売分析!C35,"株探"),"")</f>
        <v/>
      </c>
      <c r="C35" s="630">
        <f>IF(売分析!C35&lt;&gt;"",売分析!C35,"")</f>
        <v/>
      </c>
      <c r="D35" s="345">
        <f>IF(売分析!D35&lt;&gt;"",売分析!D35,"")</f>
        <v/>
      </c>
      <c r="E35" s="346">
        <f>IF(売分析!E35&lt;&gt;"",売分析!E35,"")</f>
        <v/>
      </c>
      <c r="F35" s="346">
        <f>IF(売分析!F35&lt;&gt;"",売分析!F35,"")</f>
        <v/>
      </c>
      <c r="G35" s="346">
        <f>IF(売分析!H35&lt;&gt;"",売分析!H35,"")</f>
        <v/>
      </c>
      <c r="H35" s="346">
        <f>IF(売分析!I35&lt;&gt;"",売分析!I35,"")</f>
        <v/>
      </c>
      <c r="I35" s="345">
        <f>IF(売分析!J35&lt;&gt;"",売分析!J35,"")</f>
        <v/>
      </c>
      <c r="J35" s="346">
        <f>IF(売分析!AB35&lt;&gt;"",売分析!AB35,"")</f>
        <v/>
      </c>
      <c r="K35" s="346">
        <f>IF(売分析!AC35&lt;&gt;"",売分析!AC35,"")</f>
        <v/>
      </c>
      <c r="L35" s="346">
        <f>IF(売分析!K35&lt;&gt;"",売分析!K35,"")</f>
        <v/>
      </c>
      <c r="M35" s="345">
        <f>IF(売分析!P35&lt;&gt;"",売分析!P35,"")</f>
        <v/>
      </c>
      <c r="N35" s="620">
        <f>IF(売分析!O35&lt;&gt;"",売分析!O35,"")</f>
        <v/>
      </c>
      <c r="O35" s="350">
        <f>IF(売分析!X35&lt;&gt;"",売分析!X35,"")</f>
        <v/>
      </c>
      <c r="P35" s="619">
        <f>IF(売分析!L35&lt;&gt;"",売分析!L35,"")</f>
        <v/>
      </c>
      <c r="Q35" s="346">
        <f>IF(売分析!S35&lt;&gt;"",売分析!S35,"")</f>
        <v/>
      </c>
      <c r="R35" s="346">
        <f>IF(売分析!R35&lt;&gt;"",売分析!R35,"")</f>
        <v/>
      </c>
      <c r="S35" s="345">
        <f>IF(売分析!AA35&lt;&gt;"",売分析!AA35,"")</f>
        <v/>
      </c>
      <c r="T35" s="622">
        <f>IF(売分析!Z35&lt;&gt;"",売分析!Z35,"")</f>
        <v/>
      </c>
      <c r="U35" s="345">
        <f>IF(売分析!V35&lt;&gt;"",売分析!V35,"")</f>
        <v/>
      </c>
      <c r="V35" s="621">
        <f>IF(売分析!W35&lt;&gt;"",売分析!W35,"")</f>
        <v/>
      </c>
      <c r="W35" s="345">
        <f>IF(売分析!AD35&lt;&gt;"",売分析!AD35,"")</f>
        <v/>
      </c>
      <c r="X35" s="345">
        <f>IF(売分析!AE35&lt;&gt;"",売分析!AE35,"")</f>
        <v/>
      </c>
      <c r="Y35" s="410">
        <f>IF(売分析!T35&lt;&gt;"",売分析!T35,"")</f>
        <v/>
      </c>
      <c r="Z35" s="345">
        <f>IF(売分析!Y35&lt;&gt;"",売分析!Y35,"")</f>
        <v/>
      </c>
    </row>
    <row r="36">
      <c r="A36" s="225">
        <f>IF(売分析!C36&lt;&gt;"",ROW()-2,"")</f>
        <v/>
      </c>
      <c r="B36" s="352">
        <f>IF(売分析!C36&lt;&gt;"",HYPERLINK("https://kabutan.jp/stock/?code="&amp;売分析!C36,"株探"),"")</f>
        <v/>
      </c>
      <c r="C36" s="631">
        <f>IF(売分析!C36&lt;&gt;"",売分析!C36,"")</f>
        <v/>
      </c>
      <c r="D36" s="225">
        <f>IF(売分析!D36&lt;&gt;"",売分析!D36,"")</f>
        <v/>
      </c>
      <c r="E36" s="353">
        <f>IF(売分析!E36&lt;&gt;"",売分析!E36,"")</f>
        <v/>
      </c>
      <c r="F36" s="353">
        <f>IF(売分析!F36&lt;&gt;"",売分析!F36,"")</f>
        <v/>
      </c>
      <c r="G36" s="353">
        <f>IF(売分析!H36&lt;&gt;"",売分析!H36,"")</f>
        <v/>
      </c>
      <c r="H36" s="353">
        <f>IF(売分析!I36&lt;&gt;"",売分析!I36,"")</f>
        <v/>
      </c>
      <c r="I36" s="225">
        <f>IF(売分析!J36&lt;&gt;"",売分析!J36,"")</f>
        <v/>
      </c>
      <c r="J36" s="353">
        <f>IF(売分析!AB36&lt;&gt;"",売分析!AB36,"")</f>
        <v/>
      </c>
      <c r="K36" s="353">
        <f>IF(売分析!AC36&lt;&gt;"",売分析!AC36,"")</f>
        <v/>
      </c>
      <c r="L36" s="353">
        <f>IF(売分析!K36&lt;&gt;"",売分析!K36,"")</f>
        <v/>
      </c>
      <c r="M36" s="225">
        <f>IF(売分析!P36&lt;&gt;"",売分析!P36,"")</f>
        <v/>
      </c>
      <c r="N36" s="627">
        <f>IF(売分析!O36&lt;&gt;"",売分析!O36,"")</f>
        <v/>
      </c>
      <c r="O36" s="357">
        <f>IF(売分析!X36&lt;&gt;"",売分析!X36,"")</f>
        <v/>
      </c>
      <c r="P36" s="626">
        <f>IF(売分析!L36&lt;&gt;"",売分析!L36,"")</f>
        <v/>
      </c>
      <c r="Q36" s="353">
        <f>IF(売分析!S36&lt;&gt;"",売分析!S36,"")</f>
        <v/>
      </c>
      <c r="R36" s="353">
        <f>IF(売分析!R36&lt;&gt;"",売分析!R36,"")</f>
        <v/>
      </c>
      <c r="S36" s="225">
        <f>IF(売分析!AA36&lt;&gt;"",売分析!AA36,"")</f>
        <v/>
      </c>
      <c r="T36" s="629">
        <f>IF(売分析!Z36&lt;&gt;"",売分析!Z36,"")</f>
        <v/>
      </c>
      <c r="U36" s="225">
        <f>IF(売分析!V36&lt;&gt;"",売分析!V36,"")</f>
        <v/>
      </c>
      <c r="V36" s="628">
        <f>IF(売分析!W36&lt;&gt;"",売分析!W36,"")</f>
        <v/>
      </c>
      <c r="W36" s="225">
        <f>IF(売分析!AD36&lt;&gt;"",売分析!AD36,"")</f>
        <v/>
      </c>
      <c r="X36" s="225">
        <f>IF(売分析!AE36&lt;&gt;"",売分析!AE36,"")</f>
        <v/>
      </c>
      <c r="Y36" s="411">
        <f>IF(売分析!T36&lt;&gt;"",売分析!T36,"")</f>
        <v/>
      </c>
      <c r="Z36" s="225">
        <f>IF(売分析!Y36&lt;&gt;"",売分析!Y36,"")</f>
        <v/>
      </c>
    </row>
    <row r="37">
      <c r="A37" s="345">
        <f>IF(売分析!C37&lt;&gt;"",ROW()-2,"")</f>
        <v/>
      </c>
      <c r="B37" s="344">
        <f>IF(売分析!C37&lt;&gt;"",HYPERLINK("https://kabutan.jp/stock/?code="&amp;売分析!C37,"株探"),"")</f>
        <v/>
      </c>
      <c r="C37" s="630">
        <f>IF(売分析!C37&lt;&gt;"",売分析!C37,"")</f>
        <v/>
      </c>
      <c r="D37" s="345">
        <f>IF(売分析!D37&lt;&gt;"",売分析!D37,"")</f>
        <v/>
      </c>
      <c r="E37" s="346">
        <f>IF(売分析!E37&lt;&gt;"",売分析!E37,"")</f>
        <v/>
      </c>
      <c r="F37" s="346">
        <f>IF(売分析!F37&lt;&gt;"",売分析!F37,"")</f>
        <v/>
      </c>
      <c r="G37" s="346">
        <f>IF(売分析!H37&lt;&gt;"",売分析!H37,"")</f>
        <v/>
      </c>
      <c r="H37" s="346">
        <f>IF(売分析!I37&lt;&gt;"",売分析!I37,"")</f>
        <v/>
      </c>
      <c r="I37" s="345">
        <f>IF(売分析!J37&lt;&gt;"",売分析!J37,"")</f>
        <v/>
      </c>
      <c r="J37" s="346">
        <f>IF(売分析!AB37&lt;&gt;"",売分析!AB37,"")</f>
        <v/>
      </c>
      <c r="K37" s="346">
        <f>IF(売分析!AC37&lt;&gt;"",売分析!AC37,"")</f>
        <v/>
      </c>
      <c r="L37" s="346">
        <f>IF(売分析!K37&lt;&gt;"",売分析!K37,"")</f>
        <v/>
      </c>
      <c r="M37" s="345">
        <f>IF(売分析!P37&lt;&gt;"",売分析!P37,"")</f>
        <v/>
      </c>
      <c r="N37" s="620">
        <f>IF(売分析!O37&lt;&gt;"",売分析!O37,"")</f>
        <v/>
      </c>
      <c r="O37" s="350">
        <f>IF(売分析!X37&lt;&gt;"",売分析!X37,"")</f>
        <v/>
      </c>
      <c r="P37" s="619">
        <f>IF(売分析!L37&lt;&gt;"",売分析!L37,"")</f>
        <v/>
      </c>
      <c r="Q37" s="346">
        <f>IF(売分析!S37&lt;&gt;"",売分析!S37,"")</f>
        <v/>
      </c>
      <c r="R37" s="346">
        <f>IF(売分析!R37&lt;&gt;"",売分析!R37,"")</f>
        <v/>
      </c>
      <c r="S37" s="345">
        <f>IF(売分析!AA37&lt;&gt;"",売分析!AA37,"")</f>
        <v/>
      </c>
      <c r="T37" s="622">
        <f>IF(売分析!Z37&lt;&gt;"",売分析!Z37,"")</f>
        <v/>
      </c>
      <c r="U37" s="345">
        <f>IF(売分析!V37&lt;&gt;"",売分析!V37,"")</f>
        <v/>
      </c>
      <c r="V37" s="621">
        <f>IF(売分析!W37&lt;&gt;"",売分析!W37,"")</f>
        <v/>
      </c>
      <c r="W37" s="345">
        <f>IF(売分析!AD37&lt;&gt;"",売分析!AD37,"")</f>
        <v/>
      </c>
      <c r="X37" s="345">
        <f>IF(売分析!AE37&lt;&gt;"",売分析!AE37,"")</f>
        <v/>
      </c>
      <c r="Y37" s="410">
        <f>IF(売分析!T37&lt;&gt;"",売分析!T37,"")</f>
        <v/>
      </c>
      <c r="Z37" s="345">
        <f>IF(売分析!Y37&lt;&gt;"",売分析!Y37,"")</f>
        <v/>
      </c>
    </row>
    <row r="38">
      <c r="A38" s="225">
        <f>IF(売分析!C38&lt;&gt;"",ROW()-2,"")</f>
        <v/>
      </c>
      <c r="B38" s="352">
        <f>IF(売分析!C38&lt;&gt;"",HYPERLINK("https://kabutan.jp/stock/?code="&amp;売分析!C38,"株探"),"")</f>
        <v/>
      </c>
      <c r="C38" s="631">
        <f>IF(売分析!C38&lt;&gt;"",売分析!C38,"")</f>
        <v/>
      </c>
      <c r="D38" s="225">
        <f>IF(売分析!D38&lt;&gt;"",売分析!D38,"")</f>
        <v/>
      </c>
      <c r="E38" s="353">
        <f>IF(売分析!E38&lt;&gt;"",売分析!E38,"")</f>
        <v/>
      </c>
      <c r="F38" s="353">
        <f>IF(売分析!F38&lt;&gt;"",売分析!F38,"")</f>
        <v/>
      </c>
      <c r="G38" s="353">
        <f>IF(売分析!H38&lt;&gt;"",売分析!H38,"")</f>
        <v/>
      </c>
      <c r="H38" s="353">
        <f>IF(売分析!I38&lt;&gt;"",売分析!I38,"")</f>
        <v/>
      </c>
      <c r="I38" s="225">
        <f>IF(売分析!J38&lt;&gt;"",売分析!J38,"")</f>
        <v/>
      </c>
      <c r="J38" s="353">
        <f>IF(売分析!AB38&lt;&gt;"",売分析!AB38,"")</f>
        <v/>
      </c>
      <c r="K38" s="353">
        <f>IF(売分析!AC38&lt;&gt;"",売分析!AC38,"")</f>
        <v/>
      </c>
      <c r="L38" s="353">
        <f>IF(売分析!K38&lt;&gt;"",売分析!K38,"")</f>
        <v/>
      </c>
      <c r="M38" s="225">
        <f>IF(売分析!P38&lt;&gt;"",売分析!P38,"")</f>
        <v/>
      </c>
      <c r="N38" s="627">
        <f>IF(売分析!O38&lt;&gt;"",売分析!O38,"")</f>
        <v/>
      </c>
      <c r="O38" s="357">
        <f>IF(売分析!X38&lt;&gt;"",売分析!X38,"")</f>
        <v/>
      </c>
      <c r="P38" s="626">
        <f>IF(売分析!L38&lt;&gt;"",売分析!L38,"")</f>
        <v/>
      </c>
      <c r="Q38" s="353">
        <f>IF(売分析!S38&lt;&gt;"",売分析!S38,"")</f>
        <v/>
      </c>
      <c r="R38" s="353">
        <f>IF(売分析!R38&lt;&gt;"",売分析!R38,"")</f>
        <v/>
      </c>
      <c r="S38" s="225">
        <f>IF(売分析!AA38&lt;&gt;"",売分析!AA38,"")</f>
        <v/>
      </c>
      <c r="T38" s="629">
        <f>IF(売分析!Z38&lt;&gt;"",売分析!Z38,"")</f>
        <v/>
      </c>
      <c r="U38" s="225">
        <f>IF(売分析!V38&lt;&gt;"",売分析!V38,"")</f>
        <v/>
      </c>
      <c r="V38" s="628">
        <f>IF(売分析!W38&lt;&gt;"",売分析!W38,"")</f>
        <v/>
      </c>
      <c r="W38" s="225">
        <f>IF(売分析!AD38&lt;&gt;"",売分析!AD38,"")</f>
        <v/>
      </c>
      <c r="X38" s="225">
        <f>IF(売分析!AE38&lt;&gt;"",売分析!AE38,"")</f>
        <v/>
      </c>
      <c r="Y38" s="411">
        <f>IF(売分析!T38&lt;&gt;"",売分析!T38,"")</f>
        <v/>
      </c>
      <c r="Z38" s="225">
        <f>IF(売分析!Y38&lt;&gt;"",売分析!Y38,"")</f>
        <v/>
      </c>
    </row>
    <row r="39">
      <c r="A39" s="345">
        <f>IF(売分析!C39&lt;&gt;"",ROW()-2,"")</f>
        <v/>
      </c>
      <c r="B39" s="344">
        <f>IF(売分析!C39&lt;&gt;"",HYPERLINK("https://kabutan.jp/stock/?code="&amp;売分析!C39,"株探"),"")</f>
        <v/>
      </c>
      <c r="C39" s="630">
        <f>IF(売分析!C39&lt;&gt;"",売分析!C39,"")</f>
        <v/>
      </c>
      <c r="D39" s="345">
        <f>IF(売分析!D39&lt;&gt;"",売分析!D39,"")</f>
        <v/>
      </c>
      <c r="E39" s="346">
        <f>IF(売分析!E39&lt;&gt;"",売分析!E39,"")</f>
        <v/>
      </c>
      <c r="F39" s="346">
        <f>IF(売分析!F39&lt;&gt;"",売分析!F39,"")</f>
        <v/>
      </c>
      <c r="G39" s="346">
        <f>IF(売分析!H39&lt;&gt;"",売分析!H39,"")</f>
        <v/>
      </c>
      <c r="H39" s="346">
        <f>IF(売分析!I39&lt;&gt;"",売分析!I39,"")</f>
        <v/>
      </c>
      <c r="I39" s="345">
        <f>IF(売分析!J39&lt;&gt;"",売分析!J39,"")</f>
        <v/>
      </c>
      <c r="J39" s="346">
        <f>IF(売分析!AB39&lt;&gt;"",売分析!AB39,"")</f>
        <v/>
      </c>
      <c r="K39" s="346">
        <f>IF(売分析!AC39&lt;&gt;"",売分析!AC39,"")</f>
        <v/>
      </c>
      <c r="L39" s="346">
        <f>IF(売分析!K39&lt;&gt;"",売分析!K39,"")</f>
        <v/>
      </c>
      <c r="M39" s="345">
        <f>IF(売分析!P39&lt;&gt;"",売分析!P39,"")</f>
        <v/>
      </c>
      <c r="N39" s="620">
        <f>IF(売分析!O39&lt;&gt;"",売分析!O39,"")</f>
        <v/>
      </c>
      <c r="O39" s="350">
        <f>IF(売分析!X39&lt;&gt;"",売分析!X39,"")</f>
        <v/>
      </c>
      <c r="P39" s="619">
        <f>IF(売分析!L39&lt;&gt;"",売分析!L39,"")</f>
        <v/>
      </c>
      <c r="Q39" s="346">
        <f>IF(売分析!S39&lt;&gt;"",売分析!S39,"")</f>
        <v/>
      </c>
      <c r="R39" s="346">
        <f>IF(売分析!R39&lt;&gt;"",売分析!R39,"")</f>
        <v/>
      </c>
      <c r="S39" s="345">
        <f>IF(売分析!AA39&lt;&gt;"",売分析!AA39,"")</f>
        <v/>
      </c>
      <c r="T39" s="622">
        <f>IF(売分析!Z39&lt;&gt;"",売分析!Z39,"")</f>
        <v/>
      </c>
      <c r="U39" s="345">
        <f>IF(売分析!V39&lt;&gt;"",売分析!V39,"")</f>
        <v/>
      </c>
      <c r="V39" s="621">
        <f>IF(売分析!W39&lt;&gt;"",売分析!W39,"")</f>
        <v/>
      </c>
      <c r="W39" s="345">
        <f>IF(売分析!AD39&lt;&gt;"",売分析!AD39,"")</f>
        <v/>
      </c>
      <c r="X39" s="345">
        <f>IF(売分析!AE39&lt;&gt;"",売分析!AE39,"")</f>
        <v/>
      </c>
      <c r="Y39" s="410">
        <f>IF(売分析!T39&lt;&gt;"",売分析!T39,"")</f>
        <v/>
      </c>
      <c r="Z39" s="345">
        <f>IF(売分析!Y39&lt;&gt;"",売分析!Y39,"")</f>
        <v/>
      </c>
    </row>
    <row r="40">
      <c r="A40" s="225">
        <f>IF(売分析!C40&lt;&gt;"",ROW()-2,"")</f>
        <v/>
      </c>
      <c r="B40" s="352">
        <f>IF(売分析!C40&lt;&gt;"",HYPERLINK("https://kabutan.jp/stock/?code="&amp;売分析!C40,"株探"),"")</f>
        <v/>
      </c>
      <c r="C40" s="631">
        <f>IF(売分析!C40&lt;&gt;"",売分析!C40,"")</f>
        <v/>
      </c>
      <c r="D40" s="225">
        <f>IF(売分析!D40&lt;&gt;"",売分析!D40,"")</f>
        <v/>
      </c>
      <c r="E40" s="353">
        <f>IF(売分析!E40&lt;&gt;"",売分析!E40,"")</f>
        <v/>
      </c>
      <c r="F40" s="353">
        <f>IF(売分析!F40&lt;&gt;"",売分析!F40,"")</f>
        <v/>
      </c>
      <c r="G40" s="353">
        <f>IF(売分析!H40&lt;&gt;"",売分析!H40,"")</f>
        <v/>
      </c>
      <c r="H40" s="353">
        <f>IF(売分析!I40&lt;&gt;"",売分析!I40,"")</f>
        <v/>
      </c>
      <c r="I40" s="225">
        <f>IF(売分析!J40&lt;&gt;"",売分析!J40,"")</f>
        <v/>
      </c>
      <c r="J40" s="353">
        <f>IF(売分析!AB40&lt;&gt;"",売分析!AB40,"")</f>
        <v/>
      </c>
      <c r="K40" s="353">
        <f>IF(売分析!AC40&lt;&gt;"",売分析!AC40,"")</f>
        <v/>
      </c>
      <c r="L40" s="353">
        <f>IF(売分析!K40&lt;&gt;"",売分析!K40,"")</f>
        <v/>
      </c>
      <c r="M40" s="225">
        <f>IF(売分析!P40&lt;&gt;"",売分析!P40,"")</f>
        <v/>
      </c>
      <c r="N40" s="627">
        <f>IF(売分析!O40&lt;&gt;"",売分析!O40,"")</f>
        <v/>
      </c>
      <c r="O40" s="357">
        <f>IF(売分析!X40&lt;&gt;"",売分析!X40,"")</f>
        <v/>
      </c>
      <c r="P40" s="626">
        <f>IF(売分析!L40&lt;&gt;"",売分析!L40,"")</f>
        <v/>
      </c>
      <c r="Q40" s="353">
        <f>IF(売分析!S40&lt;&gt;"",売分析!S40,"")</f>
        <v/>
      </c>
      <c r="R40" s="353">
        <f>IF(売分析!R40&lt;&gt;"",売分析!R40,"")</f>
        <v/>
      </c>
      <c r="S40" s="225">
        <f>IF(売分析!AA40&lt;&gt;"",売分析!AA40,"")</f>
        <v/>
      </c>
      <c r="T40" s="629">
        <f>IF(売分析!Z40&lt;&gt;"",売分析!Z40,"")</f>
        <v/>
      </c>
      <c r="U40" s="225">
        <f>IF(売分析!V40&lt;&gt;"",売分析!V40,"")</f>
        <v/>
      </c>
      <c r="V40" s="628">
        <f>IF(売分析!W40&lt;&gt;"",売分析!W40,"")</f>
        <v/>
      </c>
      <c r="W40" s="225">
        <f>IF(売分析!AD40&lt;&gt;"",売分析!AD40,"")</f>
        <v/>
      </c>
      <c r="X40" s="225">
        <f>IF(売分析!AE40&lt;&gt;"",売分析!AE40,"")</f>
        <v/>
      </c>
      <c r="Y40" s="411">
        <f>IF(売分析!T40&lt;&gt;"",売分析!T40,"")</f>
        <v/>
      </c>
      <c r="Z40" s="225">
        <f>IF(売分析!Y40&lt;&gt;"",売分析!Y40,"")</f>
        <v/>
      </c>
    </row>
    <row r="41">
      <c r="A41" s="345">
        <f>IF(売分析!C41&lt;&gt;"",ROW()-2,"")</f>
        <v/>
      </c>
      <c r="B41" s="344">
        <f>IF(売分析!C41&lt;&gt;"",HYPERLINK("https://kabutan.jp/stock/?code="&amp;売分析!C41,"株探"),"")</f>
        <v/>
      </c>
      <c r="C41" s="630">
        <f>IF(売分析!C41&lt;&gt;"",売分析!C41,"")</f>
        <v/>
      </c>
      <c r="D41" s="345">
        <f>IF(売分析!D41&lt;&gt;"",売分析!D41,"")</f>
        <v/>
      </c>
      <c r="E41" s="346">
        <f>IF(売分析!E41&lt;&gt;"",売分析!E41,"")</f>
        <v/>
      </c>
      <c r="F41" s="346">
        <f>IF(売分析!F41&lt;&gt;"",売分析!F41,"")</f>
        <v/>
      </c>
      <c r="G41" s="346">
        <f>IF(売分析!H41&lt;&gt;"",売分析!H41,"")</f>
        <v/>
      </c>
      <c r="H41" s="346">
        <f>IF(売分析!I41&lt;&gt;"",売分析!I41,"")</f>
        <v/>
      </c>
      <c r="I41" s="345">
        <f>IF(売分析!J41&lt;&gt;"",売分析!J41,"")</f>
        <v/>
      </c>
      <c r="J41" s="346">
        <f>IF(売分析!AB41&lt;&gt;"",売分析!AB41,"")</f>
        <v/>
      </c>
      <c r="K41" s="346">
        <f>IF(売分析!AC41&lt;&gt;"",売分析!AC41,"")</f>
        <v/>
      </c>
      <c r="L41" s="346">
        <f>IF(売分析!K41&lt;&gt;"",売分析!K41,"")</f>
        <v/>
      </c>
      <c r="M41" s="345">
        <f>IF(売分析!P41&lt;&gt;"",売分析!P41,"")</f>
        <v/>
      </c>
      <c r="N41" s="620">
        <f>IF(売分析!O41&lt;&gt;"",売分析!O41,"")</f>
        <v/>
      </c>
      <c r="O41" s="350">
        <f>IF(売分析!X41&lt;&gt;"",売分析!X41,"")</f>
        <v/>
      </c>
      <c r="P41" s="619">
        <f>IF(売分析!L41&lt;&gt;"",売分析!L41,"")</f>
        <v/>
      </c>
      <c r="Q41" s="346">
        <f>IF(売分析!S41&lt;&gt;"",売分析!S41,"")</f>
        <v/>
      </c>
      <c r="R41" s="346">
        <f>IF(売分析!R41&lt;&gt;"",売分析!R41,"")</f>
        <v/>
      </c>
      <c r="S41" s="345">
        <f>IF(売分析!AA41&lt;&gt;"",売分析!AA41,"")</f>
        <v/>
      </c>
      <c r="T41" s="622">
        <f>IF(売分析!Z41&lt;&gt;"",売分析!Z41,"")</f>
        <v/>
      </c>
      <c r="U41" s="345">
        <f>IF(売分析!V41&lt;&gt;"",売分析!V41,"")</f>
        <v/>
      </c>
      <c r="V41" s="621">
        <f>IF(売分析!W41&lt;&gt;"",売分析!W41,"")</f>
        <v/>
      </c>
      <c r="W41" s="345">
        <f>IF(売分析!AD41&lt;&gt;"",売分析!AD41,"")</f>
        <v/>
      </c>
      <c r="X41" s="345">
        <f>IF(売分析!AE41&lt;&gt;"",売分析!AE41,"")</f>
        <v/>
      </c>
      <c r="Y41" s="410">
        <f>IF(売分析!T41&lt;&gt;"",売分析!T41,"")</f>
        <v/>
      </c>
      <c r="Z41" s="345">
        <f>IF(売分析!Y41&lt;&gt;"",売分析!Y41,"")</f>
        <v/>
      </c>
    </row>
    <row r="42">
      <c r="A42" s="225">
        <f>IF(売分析!C42&lt;&gt;"",ROW()-2,"")</f>
        <v/>
      </c>
      <c r="B42" s="352">
        <f>IF(売分析!C42&lt;&gt;"",HYPERLINK("https://kabutan.jp/stock/?code="&amp;売分析!C42,"株探"),"")</f>
        <v/>
      </c>
      <c r="C42" s="631">
        <f>IF(売分析!C42&lt;&gt;"",売分析!C42,"")</f>
        <v/>
      </c>
      <c r="D42" s="225">
        <f>IF(売分析!D42&lt;&gt;"",売分析!D42,"")</f>
        <v/>
      </c>
      <c r="E42" s="353">
        <f>IF(売分析!E42&lt;&gt;"",売分析!E42,"")</f>
        <v/>
      </c>
      <c r="F42" s="353">
        <f>IF(売分析!F42&lt;&gt;"",売分析!F42,"")</f>
        <v/>
      </c>
      <c r="G42" s="353">
        <f>IF(売分析!H42&lt;&gt;"",売分析!H42,"")</f>
        <v/>
      </c>
      <c r="H42" s="353">
        <f>IF(売分析!I42&lt;&gt;"",売分析!I42,"")</f>
        <v/>
      </c>
      <c r="I42" s="225">
        <f>IF(売分析!J42&lt;&gt;"",売分析!J42,"")</f>
        <v/>
      </c>
      <c r="J42" s="353">
        <f>IF(売分析!AB42&lt;&gt;"",売分析!AB42,"")</f>
        <v/>
      </c>
      <c r="K42" s="353">
        <f>IF(売分析!AC42&lt;&gt;"",売分析!AC42,"")</f>
        <v/>
      </c>
      <c r="L42" s="353">
        <f>IF(売分析!K42&lt;&gt;"",売分析!K42,"")</f>
        <v/>
      </c>
      <c r="M42" s="225">
        <f>IF(売分析!P42&lt;&gt;"",売分析!P42,"")</f>
        <v/>
      </c>
      <c r="N42" s="627">
        <f>IF(売分析!O42&lt;&gt;"",売分析!O42,"")</f>
        <v/>
      </c>
      <c r="O42" s="357">
        <f>IF(売分析!X42&lt;&gt;"",売分析!X42,"")</f>
        <v/>
      </c>
      <c r="P42" s="626">
        <f>IF(売分析!L42&lt;&gt;"",売分析!L42,"")</f>
        <v/>
      </c>
      <c r="Q42" s="353">
        <f>IF(売分析!S42&lt;&gt;"",売分析!S42,"")</f>
        <v/>
      </c>
      <c r="R42" s="353">
        <f>IF(売分析!R42&lt;&gt;"",売分析!R42,"")</f>
        <v/>
      </c>
      <c r="S42" s="225">
        <f>IF(売分析!AA42&lt;&gt;"",売分析!AA42,"")</f>
        <v/>
      </c>
      <c r="T42" s="629">
        <f>IF(売分析!Z42&lt;&gt;"",売分析!Z42,"")</f>
        <v/>
      </c>
      <c r="U42" s="225">
        <f>IF(売分析!V42&lt;&gt;"",売分析!V42,"")</f>
        <v/>
      </c>
      <c r="V42" s="628">
        <f>IF(売分析!W42&lt;&gt;"",売分析!W42,"")</f>
        <v/>
      </c>
      <c r="W42" s="225">
        <f>IF(売分析!AD42&lt;&gt;"",売分析!AD42,"")</f>
        <v/>
      </c>
      <c r="X42" s="225">
        <f>IF(売分析!AE42&lt;&gt;"",売分析!AE42,"")</f>
        <v/>
      </c>
      <c r="Y42" s="411">
        <f>IF(売分析!T42&lt;&gt;"",売分析!T42,"")</f>
        <v/>
      </c>
      <c r="Z42" s="225">
        <f>IF(売分析!Y42&lt;&gt;"",売分析!Y42,"")</f>
        <v/>
      </c>
    </row>
    <row r="43">
      <c r="A43" s="345">
        <f>IF(売分析!C43&lt;&gt;"",ROW()-2,"")</f>
        <v/>
      </c>
      <c r="B43" s="344">
        <f>IF(売分析!C43&lt;&gt;"",HYPERLINK("https://kabutan.jp/stock/?code="&amp;売分析!C43,"株探"),"")</f>
        <v/>
      </c>
      <c r="C43" s="630">
        <f>IF(売分析!C43&lt;&gt;"",売分析!C43,"")</f>
        <v/>
      </c>
      <c r="D43" s="345">
        <f>IF(売分析!D43&lt;&gt;"",売分析!D43,"")</f>
        <v/>
      </c>
      <c r="E43" s="346">
        <f>IF(売分析!E43&lt;&gt;"",売分析!E43,"")</f>
        <v/>
      </c>
      <c r="F43" s="346">
        <f>IF(売分析!F43&lt;&gt;"",売分析!F43,"")</f>
        <v/>
      </c>
      <c r="G43" s="346">
        <f>IF(売分析!H43&lt;&gt;"",売分析!H43,"")</f>
        <v/>
      </c>
      <c r="H43" s="346">
        <f>IF(売分析!I43&lt;&gt;"",売分析!I43,"")</f>
        <v/>
      </c>
      <c r="I43" s="345">
        <f>IF(売分析!J43&lt;&gt;"",売分析!J43,"")</f>
        <v/>
      </c>
      <c r="J43" s="346">
        <f>IF(売分析!AB43&lt;&gt;"",売分析!AB43,"")</f>
        <v/>
      </c>
      <c r="K43" s="346">
        <f>IF(売分析!AC43&lt;&gt;"",売分析!AC43,"")</f>
        <v/>
      </c>
      <c r="L43" s="346">
        <f>IF(売分析!K43&lt;&gt;"",売分析!K43,"")</f>
        <v/>
      </c>
      <c r="M43" s="345">
        <f>IF(売分析!P43&lt;&gt;"",売分析!P43,"")</f>
        <v/>
      </c>
      <c r="N43" s="620">
        <f>IF(売分析!O43&lt;&gt;"",売分析!O43,"")</f>
        <v/>
      </c>
      <c r="O43" s="350">
        <f>IF(売分析!X43&lt;&gt;"",売分析!X43,"")</f>
        <v/>
      </c>
      <c r="P43" s="619">
        <f>IF(売分析!L43&lt;&gt;"",売分析!L43,"")</f>
        <v/>
      </c>
      <c r="Q43" s="346">
        <f>IF(売分析!S43&lt;&gt;"",売分析!S43,"")</f>
        <v/>
      </c>
      <c r="R43" s="346">
        <f>IF(売分析!R43&lt;&gt;"",売分析!R43,"")</f>
        <v/>
      </c>
      <c r="S43" s="345">
        <f>IF(売分析!AA43&lt;&gt;"",売分析!AA43,"")</f>
        <v/>
      </c>
      <c r="T43" s="622">
        <f>IF(売分析!Z43&lt;&gt;"",売分析!Z43,"")</f>
        <v/>
      </c>
      <c r="U43" s="345">
        <f>IF(売分析!V43&lt;&gt;"",売分析!V43,"")</f>
        <v/>
      </c>
      <c r="V43" s="621">
        <f>IF(売分析!W43&lt;&gt;"",売分析!W43,"")</f>
        <v/>
      </c>
      <c r="W43" s="345">
        <f>IF(売分析!AD43&lt;&gt;"",売分析!AD43,"")</f>
        <v/>
      </c>
      <c r="X43" s="345">
        <f>IF(売分析!AE43&lt;&gt;"",売分析!AE43,"")</f>
        <v/>
      </c>
      <c r="Y43" s="410">
        <f>IF(売分析!T43&lt;&gt;"",売分析!T43,"")</f>
        <v/>
      </c>
      <c r="Z43" s="345">
        <f>IF(売分析!Y43&lt;&gt;"",売分析!Y43,"")</f>
        <v/>
      </c>
    </row>
    <row r="44">
      <c r="A44" s="225">
        <f>IF(売分析!C44&lt;&gt;"",ROW()-2,"")</f>
        <v/>
      </c>
      <c r="B44" s="352">
        <f>IF(売分析!C44&lt;&gt;"",HYPERLINK("https://kabutan.jp/stock/?code="&amp;売分析!C44,"株探"),"")</f>
        <v/>
      </c>
      <c r="C44" s="631">
        <f>IF(売分析!C44&lt;&gt;"",売分析!C44,"")</f>
        <v/>
      </c>
      <c r="D44" s="225">
        <f>IF(売分析!D44&lt;&gt;"",売分析!D44,"")</f>
        <v/>
      </c>
      <c r="E44" s="353">
        <f>IF(売分析!E44&lt;&gt;"",売分析!E44,"")</f>
        <v/>
      </c>
      <c r="F44" s="353">
        <f>IF(売分析!F44&lt;&gt;"",売分析!F44,"")</f>
        <v/>
      </c>
      <c r="G44" s="353">
        <f>IF(売分析!H44&lt;&gt;"",売分析!H44,"")</f>
        <v/>
      </c>
      <c r="H44" s="353">
        <f>IF(売分析!I44&lt;&gt;"",売分析!I44,"")</f>
        <v/>
      </c>
      <c r="I44" s="225">
        <f>IF(売分析!J44&lt;&gt;"",売分析!J44,"")</f>
        <v/>
      </c>
      <c r="J44" s="353">
        <f>IF(売分析!AB44&lt;&gt;"",売分析!AB44,"")</f>
        <v/>
      </c>
      <c r="K44" s="353">
        <f>IF(売分析!AC44&lt;&gt;"",売分析!AC44,"")</f>
        <v/>
      </c>
      <c r="L44" s="353">
        <f>IF(売分析!K44&lt;&gt;"",売分析!K44,"")</f>
        <v/>
      </c>
      <c r="M44" s="225">
        <f>IF(売分析!P44&lt;&gt;"",売分析!P44,"")</f>
        <v/>
      </c>
      <c r="N44" s="627">
        <f>IF(売分析!O44&lt;&gt;"",売分析!O44,"")</f>
        <v/>
      </c>
      <c r="O44" s="357">
        <f>IF(売分析!X44&lt;&gt;"",売分析!X44,"")</f>
        <v/>
      </c>
      <c r="P44" s="626">
        <f>IF(売分析!L44&lt;&gt;"",売分析!L44,"")</f>
        <v/>
      </c>
      <c r="Q44" s="353">
        <f>IF(売分析!S44&lt;&gt;"",売分析!S44,"")</f>
        <v/>
      </c>
      <c r="R44" s="353">
        <f>IF(売分析!R44&lt;&gt;"",売分析!R44,"")</f>
        <v/>
      </c>
      <c r="S44" s="225">
        <f>IF(売分析!AA44&lt;&gt;"",売分析!AA44,"")</f>
        <v/>
      </c>
      <c r="T44" s="629">
        <f>IF(売分析!Z44&lt;&gt;"",売分析!Z44,"")</f>
        <v/>
      </c>
      <c r="U44" s="225">
        <f>IF(売分析!V44&lt;&gt;"",売分析!V44,"")</f>
        <v/>
      </c>
      <c r="V44" s="628">
        <f>IF(売分析!W44&lt;&gt;"",売分析!W44,"")</f>
        <v/>
      </c>
      <c r="W44" s="225">
        <f>IF(売分析!AD44&lt;&gt;"",売分析!AD44,"")</f>
        <v/>
      </c>
      <c r="X44" s="225">
        <f>IF(売分析!AE44&lt;&gt;"",売分析!AE44,"")</f>
        <v/>
      </c>
      <c r="Y44" s="411">
        <f>IF(売分析!T44&lt;&gt;"",売分析!T44,"")</f>
        <v/>
      </c>
      <c r="Z44" s="225">
        <f>IF(売分析!Y44&lt;&gt;"",売分析!Y44,"")</f>
        <v/>
      </c>
    </row>
    <row r="45">
      <c r="A45" s="345">
        <f>IF(売分析!C45&lt;&gt;"",ROW()-2,"")</f>
        <v/>
      </c>
      <c r="B45" s="344">
        <f>IF(売分析!C45&lt;&gt;"",HYPERLINK("https://kabutan.jp/stock/?code="&amp;売分析!C45,"株探"),"")</f>
        <v/>
      </c>
      <c r="C45" s="630">
        <f>IF(売分析!C45&lt;&gt;"",売分析!C45,"")</f>
        <v/>
      </c>
      <c r="D45" s="345">
        <f>IF(売分析!D45&lt;&gt;"",売分析!D45,"")</f>
        <v/>
      </c>
      <c r="E45" s="346">
        <f>IF(売分析!E45&lt;&gt;"",売分析!E45,"")</f>
        <v/>
      </c>
      <c r="F45" s="346">
        <f>IF(売分析!F45&lt;&gt;"",売分析!F45,"")</f>
        <v/>
      </c>
      <c r="G45" s="346">
        <f>IF(売分析!H45&lt;&gt;"",売分析!H45,"")</f>
        <v/>
      </c>
      <c r="H45" s="346">
        <f>IF(売分析!I45&lt;&gt;"",売分析!I45,"")</f>
        <v/>
      </c>
      <c r="I45" s="345">
        <f>IF(売分析!J45&lt;&gt;"",売分析!J45,"")</f>
        <v/>
      </c>
      <c r="J45" s="346">
        <f>IF(売分析!AB45&lt;&gt;"",売分析!AB45,"")</f>
        <v/>
      </c>
      <c r="K45" s="346">
        <f>IF(売分析!AC45&lt;&gt;"",売分析!AC45,"")</f>
        <v/>
      </c>
      <c r="L45" s="346">
        <f>IF(売分析!K45&lt;&gt;"",売分析!K45,"")</f>
        <v/>
      </c>
      <c r="M45" s="345">
        <f>IF(売分析!P45&lt;&gt;"",売分析!P45,"")</f>
        <v/>
      </c>
      <c r="N45" s="620">
        <f>IF(売分析!O45&lt;&gt;"",売分析!O45,"")</f>
        <v/>
      </c>
      <c r="O45" s="350">
        <f>IF(売分析!X45&lt;&gt;"",売分析!X45,"")</f>
        <v/>
      </c>
      <c r="P45" s="619">
        <f>IF(売分析!L45&lt;&gt;"",売分析!L45,"")</f>
        <v/>
      </c>
      <c r="Q45" s="346">
        <f>IF(売分析!S45&lt;&gt;"",売分析!S45,"")</f>
        <v/>
      </c>
      <c r="R45" s="346">
        <f>IF(売分析!R45&lt;&gt;"",売分析!R45,"")</f>
        <v/>
      </c>
      <c r="S45" s="345">
        <f>IF(売分析!AA45&lt;&gt;"",売分析!AA45,"")</f>
        <v/>
      </c>
      <c r="T45" s="622">
        <f>IF(売分析!Z45&lt;&gt;"",売分析!Z45,"")</f>
        <v/>
      </c>
      <c r="U45" s="345">
        <f>IF(売分析!V45&lt;&gt;"",売分析!V45,"")</f>
        <v/>
      </c>
      <c r="V45" s="621">
        <f>IF(売分析!W45&lt;&gt;"",売分析!W45,"")</f>
        <v/>
      </c>
      <c r="W45" s="345">
        <f>IF(売分析!AD45&lt;&gt;"",売分析!AD45,"")</f>
        <v/>
      </c>
      <c r="X45" s="345">
        <f>IF(売分析!AE45&lt;&gt;"",売分析!AE45,"")</f>
        <v/>
      </c>
      <c r="Y45" s="410">
        <f>IF(売分析!T45&lt;&gt;"",売分析!T45,"")</f>
        <v/>
      </c>
      <c r="Z45" s="345">
        <f>IF(売分析!Y45&lt;&gt;"",売分析!Y45,"")</f>
        <v/>
      </c>
    </row>
    <row r="46">
      <c r="A46" s="225">
        <f>IF(売分析!C46&lt;&gt;"",ROW()-2,"")</f>
        <v/>
      </c>
      <c r="B46" s="352">
        <f>IF(売分析!C46&lt;&gt;"",HYPERLINK("https://kabutan.jp/stock/?code="&amp;売分析!C46,"株探"),"")</f>
        <v/>
      </c>
      <c r="C46" s="631">
        <f>IF(売分析!C46&lt;&gt;"",売分析!C46,"")</f>
        <v/>
      </c>
      <c r="D46" s="225">
        <f>IF(売分析!D46&lt;&gt;"",売分析!D46,"")</f>
        <v/>
      </c>
      <c r="E46" s="353">
        <f>IF(売分析!E46&lt;&gt;"",売分析!E46,"")</f>
        <v/>
      </c>
      <c r="F46" s="353">
        <f>IF(売分析!F46&lt;&gt;"",売分析!F46,"")</f>
        <v/>
      </c>
      <c r="G46" s="353">
        <f>IF(売分析!H46&lt;&gt;"",売分析!H46,"")</f>
        <v/>
      </c>
      <c r="H46" s="353">
        <f>IF(売分析!I46&lt;&gt;"",売分析!I46,"")</f>
        <v/>
      </c>
      <c r="I46" s="225">
        <f>IF(売分析!J46&lt;&gt;"",売分析!J46,"")</f>
        <v/>
      </c>
      <c r="J46" s="353">
        <f>IF(売分析!AB46&lt;&gt;"",売分析!AB46,"")</f>
        <v/>
      </c>
      <c r="K46" s="353">
        <f>IF(売分析!AC46&lt;&gt;"",売分析!AC46,"")</f>
        <v/>
      </c>
      <c r="L46" s="353">
        <f>IF(売分析!K46&lt;&gt;"",売分析!K46,"")</f>
        <v/>
      </c>
      <c r="M46" s="225">
        <f>IF(売分析!P46&lt;&gt;"",売分析!P46,"")</f>
        <v/>
      </c>
      <c r="N46" s="627">
        <f>IF(売分析!O46&lt;&gt;"",売分析!O46,"")</f>
        <v/>
      </c>
      <c r="O46" s="357">
        <f>IF(売分析!X46&lt;&gt;"",売分析!X46,"")</f>
        <v/>
      </c>
      <c r="P46" s="626">
        <f>IF(売分析!L46&lt;&gt;"",売分析!L46,"")</f>
        <v/>
      </c>
      <c r="Q46" s="353">
        <f>IF(売分析!S46&lt;&gt;"",売分析!S46,"")</f>
        <v/>
      </c>
      <c r="R46" s="353">
        <f>IF(売分析!R46&lt;&gt;"",売分析!R46,"")</f>
        <v/>
      </c>
      <c r="S46" s="225">
        <f>IF(売分析!AA46&lt;&gt;"",売分析!AA46,"")</f>
        <v/>
      </c>
      <c r="T46" s="629">
        <f>IF(売分析!Z46&lt;&gt;"",売分析!Z46,"")</f>
        <v/>
      </c>
      <c r="U46" s="225">
        <f>IF(売分析!V46&lt;&gt;"",売分析!V46,"")</f>
        <v/>
      </c>
      <c r="V46" s="628">
        <f>IF(売分析!W46&lt;&gt;"",売分析!W46,"")</f>
        <v/>
      </c>
      <c r="W46" s="225">
        <f>IF(売分析!AD46&lt;&gt;"",売分析!AD46,"")</f>
        <v/>
      </c>
      <c r="X46" s="225">
        <f>IF(売分析!AE46&lt;&gt;"",売分析!AE46,"")</f>
        <v/>
      </c>
      <c r="Y46" s="411">
        <f>IF(売分析!T46&lt;&gt;"",売分析!T46,"")</f>
        <v/>
      </c>
      <c r="Z46" s="225">
        <f>IF(売分析!Y46&lt;&gt;"",売分析!Y46,"")</f>
        <v/>
      </c>
    </row>
    <row r="47">
      <c r="A47" s="345">
        <f>IF(売分析!C47&lt;&gt;"",ROW()-2,"")</f>
        <v/>
      </c>
      <c r="B47" s="344">
        <f>IF(売分析!C47&lt;&gt;"",HYPERLINK("https://kabutan.jp/stock/?code="&amp;売分析!C47,"株探"),"")</f>
        <v/>
      </c>
      <c r="C47" s="630">
        <f>IF(売分析!C47&lt;&gt;"",売分析!C47,"")</f>
        <v/>
      </c>
      <c r="D47" s="345">
        <f>IF(売分析!D47&lt;&gt;"",売分析!D47,"")</f>
        <v/>
      </c>
      <c r="E47" s="346">
        <f>IF(売分析!E47&lt;&gt;"",売分析!E47,"")</f>
        <v/>
      </c>
      <c r="F47" s="346">
        <f>IF(売分析!F47&lt;&gt;"",売分析!F47,"")</f>
        <v/>
      </c>
      <c r="G47" s="346">
        <f>IF(売分析!H47&lt;&gt;"",売分析!H47,"")</f>
        <v/>
      </c>
      <c r="H47" s="346">
        <f>IF(売分析!I47&lt;&gt;"",売分析!I47,"")</f>
        <v/>
      </c>
      <c r="I47" s="345">
        <f>IF(売分析!J47&lt;&gt;"",売分析!J47,"")</f>
        <v/>
      </c>
      <c r="J47" s="346">
        <f>IF(売分析!AB47&lt;&gt;"",売分析!AB47,"")</f>
        <v/>
      </c>
      <c r="K47" s="346">
        <f>IF(売分析!AC47&lt;&gt;"",売分析!AC47,"")</f>
        <v/>
      </c>
      <c r="L47" s="346">
        <f>IF(売分析!K47&lt;&gt;"",売分析!K47,"")</f>
        <v/>
      </c>
      <c r="M47" s="345">
        <f>IF(売分析!P47&lt;&gt;"",売分析!P47,"")</f>
        <v/>
      </c>
      <c r="N47" s="620">
        <f>IF(売分析!O47&lt;&gt;"",売分析!O47,"")</f>
        <v/>
      </c>
      <c r="O47" s="350">
        <f>IF(売分析!X47&lt;&gt;"",売分析!X47,"")</f>
        <v/>
      </c>
      <c r="P47" s="619">
        <f>IF(売分析!L47&lt;&gt;"",売分析!L47,"")</f>
        <v/>
      </c>
      <c r="Q47" s="346">
        <f>IF(売分析!S47&lt;&gt;"",売分析!S47,"")</f>
        <v/>
      </c>
      <c r="R47" s="346">
        <f>IF(売分析!R47&lt;&gt;"",売分析!R47,"")</f>
        <v/>
      </c>
      <c r="S47" s="345">
        <f>IF(売分析!AA47&lt;&gt;"",売分析!AA47,"")</f>
        <v/>
      </c>
      <c r="T47" s="622">
        <f>IF(売分析!Z47&lt;&gt;"",売分析!Z47,"")</f>
        <v/>
      </c>
      <c r="U47" s="345">
        <f>IF(売分析!V47&lt;&gt;"",売分析!V47,"")</f>
        <v/>
      </c>
      <c r="V47" s="621">
        <f>IF(売分析!W47&lt;&gt;"",売分析!W47,"")</f>
        <v/>
      </c>
      <c r="W47" s="345">
        <f>IF(売分析!AD47&lt;&gt;"",売分析!AD47,"")</f>
        <v/>
      </c>
      <c r="X47" s="345">
        <f>IF(売分析!AE47&lt;&gt;"",売分析!AE47,"")</f>
        <v/>
      </c>
      <c r="Y47" s="410">
        <f>IF(売分析!T47&lt;&gt;"",売分析!T47,"")</f>
        <v/>
      </c>
      <c r="Z47" s="345">
        <f>IF(売分析!Y47&lt;&gt;"",売分析!Y47,"")</f>
        <v/>
      </c>
    </row>
    <row r="48">
      <c r="A48" s="225">
        <f>IF(売分析!C48&lt;&gt;"",ROW()-2,"")</f>
        <v/>
      </c>
      <c r="B48" s="352">
        <f>IF(売分析!C48&lt;&gt;"",HYPERLINK("https://kabutan.jp/stock/?code="&amp;売分析!C48,"株探"),"")</f>
        <v/>
      </c>
      <c r="C48" s="631">
        <f>IF(売分析!C48&lt;&gt;"",売分析!C48,"")</f>
        <v/>
      </c>
      <c r="D48" s="225">
        <f>IF(売分析!D48&lt;&gt;"",売分析!D48,"")</f>
        <v/>
      </c>
      <c r="E48" s="353">
        <f>IF(売分析!E48&lt;&gt;"",売分析!E48,"")</f>
        <v/>
      </c>
      <c r="F48" s="353">
        <f>IF(売分析!F48&lt;&gt;"",売分析!F48,"")</f>
        <v/>
      </c>
      <c r="G48" s="353">
        <f>IF(売分析!H48&lt;&gt;"",売分析!H48,"")</f>
        <v/>
      </c>
      <c r="H48" s="353">
        <f>IF(売分析!I48&lt;&gt;"",売分析!I48,"")</f>
        <v/>
      </c>
      <c r="I48" s="225">
        <f>IF(売分析!J48&lt;&gt;"",売分析!J48,"")</f>
        <v/>
      </c>
      <c r="J48" s="353">
        <f>IF(売分析!AB48&lt;&gt;"",売分析!AB48,"")</f>
        <v/>
      </c>
      <c r="K48" s="353">
        <f>IF(売分析!AC48&lt;&gt;"",売分析!AC48,"")</f>
        <v/>
      </c>
      <c r="L48" s="353">
        <f>IF(売分析!K48&lt;&gt;"",売分析!K48,"")</f>
        <v/>
      </c>
      <c r="M48" s="225">
        <f>IF(売分析!P48&lt;&gt;"",売分析!P48,"")</f>
        <v/>
      </c>
      <c r="N48" s="627">
        <f>IF(売分析!O48&lt;&gt;"",売分析!O48,"")</f>
        <v/>
      </c>
      <c r="O48" s="357">
        <f>IF(売分析!X48&lt;&gt;"",売分析!X48,"")</f>
        <v/>
      </c>
      <c r="P48" s="626">
        <f>IF(売分析!L48&lt;&gt;"",売分析!L48,"")</f>
        <v/>
      </c>
      <c r="Q48" s="353">
        <f>IF(売分析!S48&lt;&gt;"",売分析!S48,"")</f>
        <v/>
      </c>
      <c r="R48" s="353">
        <f>IF(売分析!R48&lt;&gt;"",売分析!R48,"")</f>
        <v/>
      </c>
      <c r="S48" s="225">
        <f>IF(売分析!AA48&lt;&gt;"",売分析!AA48,"")</f>
        <v/>
      </c>
      <c r="T48" s="629">
        <f>IF(売分析!Z48&lt;&gt;"",売分析!Z48,"")</f>
        <v/>
      </c>
      <c r="U48" s="225">
        <f>IF(売分析!V48&lt;&gt;"",売分析!V48,"")</f>
        <v/>
      </c>
      <c r="V48" s="628">
        <f>IF(売分析!W48&lt;&gt;"",売分析!W48,"")</f>
        <v/>
      </c>
      <c r="W48" s="225">
        <f>IF(売分析!AD48&lt;&gt;"",売分析!AD48,"")</f>
        <v/>
      </c>
      <c r="X48" s="225">
        <f>IF(売分析!AE48&lt;&gt;"",売分析!AE48,"")</f>
        <v/>
      </c>
      <c r="Y48" s="411">
        <f>IF(売分析!T48&lt;&gt;"",売分析!T48,"")</f>
        <v/>
      </c>
      <c r="Z48" s="225">
        <f>IF(売分析!Y48&lt;&gt;"",売分析!Y48,"")</f>
        <v/>
      </c>
    </row>
    <row r="49">
      <c r="A49" s="345">
        <f>IF(売分析!C49&lt;&gt;"",ROW()-2,"")</f>
        <v/>
      </c>
      <c r="B49" s="344">
        <f>IF(売分析!C49&lt;&gt;"",HYPERLINK("https://kabutan.jp/stock/?code="&amp;売分析!C49,"株探"),"")</f>
        <v/>
      </c>
      <c r="C49" s="630">
        <f>IF(売分析!C49&lt;&gt;"",売分析!C49,"")</f>
        <v/>
      </c>
      <c r="D49" s="345">
        <f>IF(売分析!D49&lt;&gt;"",売分析!D49,"")</f>
        <v/>
      </c>
      <c r="E49" s="346">
        <f>IF(売分析!E49&lt;&gt;"",売分析!E49,"")</f>
        <v/>
      </c>
      <c r="F49" s="346">
        <f>IF(売分析!F49&lt;&gt;"",売分析!F49,"")</f>
        <v/>
      </c>
      <c r="G49" s="346">
        <f>IF(売分析!H49&lt;&gt;"",売分析!H49,"")</f>
        <v/>
      </c>
      <c r="H49" s="346">
        <f>IF(売分析!I49&lt;&gt;"",売分析!I49,"")</f>
        <v/>
      </c>
      <c r="I49" s="345">
        <f>IF(売分析!J49&lt;&gt;"",売分析!J49,"")</f>
        <v/>
      </c>
      <c r="J49" s="346">
        <f>IF(売分析!AB49&lt;&gt;"",売分析!AB49,"")</f>
        <v/>
      </c>
      <c r="K49" s="346">
        <f>IF(売分析!AC49&lt;&gt;"",売分析!AC49,"")</f>
        <v/>
      </c>
      <c r="L49" s="346">
        <f>IF(売分析!K49&lt;&gt;"",売分析!K49,"")</f>
        <v/>
      </c>
      <c r="M49" s="345">
        <f>IF(売分析!P49&lt;&gt;"",売分析!P49,"")</f>
        <v/>
      </c>
      <c r="N49" s="620">
        <f>IF(売分析!O49&lt;&gt;"",売分析!O49,"")</f>
        <v/>
      </c>
      <c r="O49" s="350">
        <f>IF(売分析!X49&lt;&gt;"",売分析!X49,"")</f>
        <v/>
      </c>
      <c r="P49" s="619">
        <f>IF(売分析!L49&lt;&gt;"",売分析!L49,"")</f>
        <v/>
      </c>
      <c r="Q49" s="346">
        <f>IF(売分析!S49&lt;&gt;"",売分析!S49,"")</f>
        <v/>
      </c>
      <c r="R49" s="346">
        <f>IF(売分析!R49&lt;&gt;"",売分析!R49,"")</f>
        <v/>
      </c>
      <c r="S49" s="345">
        <f>IF(売分析!AA49&lt;&gt;"",売分析!AA49,"")</f>
        <v/>
      </c>
      <c r="T49" s="622">
        <f>IF(売分析!Z49&lt;&gt;"",売分析!Z49,"")</f>
        <v/>
      </c>
      <c r="U49" s="345">
        <f>IF(売分析!V49&lt;&gt;"",売分析!V49,"")</f>
        <v/>
      </c>
      <c r="V49" s="621">
        <f>IF(売分析!W49&lt;&gt;"",売分析!W49,"")</f>
        <v/>
      </c>
      <c r="W49" s="345">
        <f>IF(売分析!AD49&lt;&gt;"",売分析!AD49,"")</f>
        <v/>
      </c>
      <c r="X49" s="345">
        <f>IF(売分析!AE49&lt;&gt;"",売分析!AE49,"")</f>
        <v/>
      </c>
      <c r="Y49" s="410">
        <f>IF(売分析!T49&lt;&gt;"",売分析!T49,"")</f>
        <v/>
      </c>
      <c r="Z49" s="345">
        <f>IF(売分析!Y49&lt;&gt;"",売分析!Y49,"")</f>
        <v/>
      </c>
    </row>
    <row r="50">
      <c r="A50" s="225">
        <f>IF(売分析!C50&lt;&gt;"",ROW()-2,"")</f>
        <v/>
      </c>
      <c r="B50" s="352">
        <f>IF(売分析!C50&lt;&gt;"",HYPERLINK("https://kabutan.jp/stock/?code="&amp;売分析!C50,"株探"),"")</f>
        <v/>
      </c>
      <c r="C50" s="631">
        <f>IF(売分析!C50&lt;&gt;"",売分析!C50,"")</f>
        <v/>
      </c>
      <c r="D50" s="225">
        <f>IF(売分析!D50&lt;&gt;"",売分析!D50,"")</f>
        <v/>
      </c>
      <c r="E50" s="353">
        <f>IF(売分析!E50&lt;&gt;"",売分析!E50,"")</f>
        <v/>
      </c>
      <c r="F50" s="353">
        <f>IF(売分析!F50&lt;&gt;"",売分析!F50,"")</f>
        <v/>
      </c>
      <c r="G50" s="353">
        <f>IF(売分析!H50&lt;&gt;"",売分析!H50,"")</f>
        <v/>
      </c>
      <c r="H50" s="353">
        <f>IF(売分析!I50&lt;&gt;"",売分析!I50,"")</f>
        <v/>
      </c>
      <c r="I50" s="225">
        <f>IF(売分析!J50&lt;&gt;"",売分析!J50,"")</f>
        <v/>
      </c>
      <c r="J50" s="353">
        <f>IF(売分析!AB50&lt;&gt;"",売分析!AB50,"")</f>
        <v/>
      </c>
      <c r="K50" s="353">
        <f>IF(売分析!AC50&lt;&gt;"",売分析!AC50,"")</f>
        <v/>
      </c>
      <c r="L50" s="353">
        <f>IF(売分析!K50&lt;&gt;"",売分析!K50,"")</f>
        <v/>
      </c>
      <c r="M50" s="225">
        <f>IF(売分析!P50&lt;&gt;"",売分析!P50,"")</f>
        <v/>
      </c>
      <c r="N50" s="627">
        <f>IF(売分析!O50&lt;&gt;"",売分析!O50,"")</f>
        <v/>
      </c>
      <c r="O50" s="357">
        <f>IF(売分析!X50&lt;&gt;"",売分析!X50,"")</f>
        <v/>
      </c>
      <c r="P50" s="626">
        <f>IF(売分析!L50&lt;&gt;"",売分析!L50,"")</f>
        <v/>
      </c>
      <c r="Q50" s="353">
        <f>IF(売分析!S50&lt;&gt;"",売分析!S50,"")</f>
        <v/>
      </c>
      <c r="R50" s="353">
        <f>IF(売分析!R50&lt;&gt;"",売分析!R50,"")</f>
        <v/>
      </c>
      <c r="S50" s="225">
        <f>IF(売分析!AA50&lt;&gt;"",売分析!AA50,"")</f>
        <v/>
      </c>
      <c r="T50" s="629">
        <f>IF(売分析!Z50&lt;&gt;"",売分析!Z50,"")</f>
        <v/>
      </c>
      <c r="U50" s="225">
        <f>IF(売分析!V50&lt;&gt;"",売分析!V50,"")</f>
        <v/>
      </c>
      <c r="V50" s="628">
        <f>IF(売分析!W50&lt;&gt;"",売分析!W50,"")</f>
        <v/>
      </c>
      <c r="W50" s="225">
        <f>IF(売分析!AD50&lt;&gt;"",売分析!AD50,"")</f>
        <v/>
      </c>
      <c r="X50" s="225">
        <f>IF(売分析!AE50&lt;&gt;"",売分析!AE50,"")</f>
        <v/>
      </c>
      <c r="Y50" s="411">
        <f>IF(売分析!T50&lt;&gt;"",売分析!T50,"")</f>
        <v/>
      </c>
      <c r="Z50" s="225">
        <f>IF(売分析!Y50&lt;&gt;"",売分析!Y50,"")</f>
        <v/>
      </c>
    </row>
    <row r="51">
      <c r="A51" s="345">
        <f>IF(売分析!C51&lt;&gt;"",ROW()-2,"")</f>
        <v/>
      </c>
      <c r="B51" s="344">
        <f>IF(売分析!C51&lt;&gt;"",HYPERLINK("https://kabutan.jp/stock/?code="&amp;売分析!C51,"株探"),"")</f>
        <v/>
      </c>
      <c r="C51" s="630">
        <f>IF(売分析!C51&lt;&gt;"",売分析!C51,"")</f>
        <v/>
      </c>
      <c r="D51" s="345">
        <f>IF(売分析!D51&lt;&gt;"",売分析!D51,"")</f>
        <v/>
      </c>
      <c r="E51" s="346">
        <f>IF(売分析!E51&lt;&gt;"",売分析!E51,"")</f>
        <v/>
      </c>
      <c r="F51" s="346">
        <f>IF(売分析!F51&lt;&gt;"",売分析!F51,"")</f>
        <v/>
      </c>
      <c r="G51" s="346">
        <f>IF(売分析!H51&lt;&gt;"",売分析!H51,"")</f>
        <v/>
      </c>
      <c r="H51" s="346">
        <f>IF(売分析!I51&lt;&gt;"",売分析!I51,"")</f>
        <v/>
      </c>
      <c r="I51" s="345">
        <f>IF(売分析!J51&lt;&gt;"",売分析!J51,"")</f>
        <v/>
      </c>
      <c r="J51" s="346">
        <f>IF(売分析!AB51&lt;&gt;"",売分析!AB51,"")</f>
        <v/>
      </c>
      <c r="K51" s="346">
        <f>IF(売分析!AC51&lt;&gt;"",売分析!AC51,"")</f>
        <v/>
      </c>
      <c r="L51" s="346">
        <f>IF(売分析!K51&lt;&gt;"",売分析!K51,"")</f>
        <v/>
      </c>
      <c r="M51" s="345">
        <f>IF(売分析!P51&lt;&gt;"",売分析!P51,"")</f>
        <v/>
      </c>
      <c r="N51" s="620">
        <f>IF(売分析!O51&lt;&gt;"",売分析!O51,"")</f>
        <v/>
      </c>
      <c r="O51" s="350">
        <f>IF(売分析!X51&lt;&gt;"",売分析!X51,"")</f>
        <v/>
      </c>
      <c r="P51" s="619">
        <f>IF(売分析!L51&lt;&gt;"",売分析!L51,"")</f>
        <v/>
      </c>
      <c r="Q51" s="346">
        <f>IF(売分析!S51&lt;&gt;"",売分析!S51,"")</f>
        <v/>
      </c>
      <c r="R51" s="346">
        <f>IF(売分析!R51&lt;&gt;"",売分析!R51,"")</f>
        <v/>
      </c>
      <c r="S51" s="345">
        <f>IF(売分析!AA51&lt;&gt;"",売分析!AA51,"")</f>
        <v/>
      </c>
      <c r="T51" s="622">
        <f>IF(売分析!Z51&lt;&gt;"",売分析!Z51,"")</f>
        <v/>
      </c>
      <c r="U51" s="345">
        <f>IF(売分析!V51&lt;&gt;"",売分析!V51,"")</f>
        <v/>
      </c>
      <c r="V51" s="621">
        <f>IF(売分析!W51&lt;&gt;"",売分析!W51,"")</f>
        <v/>
      </c>
      <c r="W51" s="345">
        <f>IF(売分析!AD51&lt;&gt;"",売分析!AD51,"")</f>
        <v/>
      </c>
      <c r="X51" s="345">
        <f>IF(売分析!AE51&lt;&gt;"",売分析!AE51,"")</f>
        <v/>
      </c>
      <c r="Y51" s="410">
        <f>IF(売分析!T51&lt;&gt;"",売分析!T51,"")</f>
        <v/>
      </c>
      <c r="Z51" s="345">
        <f>IF(売分析!Y51&lt;&gt;"",売分析!Y51,"")</f>
        <v/>
      </c>
    </row>
    <row r="52">
      <c r="A52" s="225">
        <f>IF(売分析!C52&lt;&gt;"",ROW()-2,"")</f>
        <v/>
      </c>
      <c r="B52" s="352">
        <f>IF(売分析!C52&lt;&gt;"",HYPERLINK("https://kabutan.jp/stock/?code="&amp;売分析!C52,"株探"),"")</f>
        <v/>
      </c>
      <c r="C52" s="631">
        <f>IF(売分析!C52&lt;&gt;"",売分析!C52,"")</f>
        <v/>
      </c>
      <c r="D52" s="225">
        <f>IF(売分析!D52&lt;&gt;"",売分析!D52,"")</f>
        <v/>
      </c>
      <c r="E52" s="353">
        <f>IF(売分析!E52&lt;&gt;"",売分析!E52,"")</f>
        <v/>
      </c>
      <c r="F52" s="353">
        <f>IF(売分析!F52&lt;&gt;"",売分析!F52,"")</f>
        <v/>
      </c>
      <c r="G52" s="353">
        <f>IF(売分析!H52&lt;&gt;"",売分析!H52,"")</f>
        <v/>
      </c>
      <c r="H52" s="353">
        <f>IF(売分析!I52&lt;&gt;"",売分析!I52,"")</f>
        <v/>
      </c>
      <c r="I52" s="225">
        <f>IF(売分析!J52&lt;&gt;"",売分析!J52,"")</f>
        <v/>
      </c>
      <c r="J52" s="353">
        <f>IF(売分析!AB52&lt;&gt;"",売分析!AB52,"")</f>
        <v/>
      </c>
      <c r="K52" s="353">
        <f>IF(売分析!AC52&lt;&gt;"",売分析!AC52,"")</f>
        <v/>
      </c>
      <c r="L52" s="353">
        <f>IF(売分析!K52&lt;&gt;"",売分析!K52,"")</f>
        <v/>
      </c>
      <c r="M52" s="225">
        <f>IF(売分析!P52&lt;&gt;"",売分析!P52,"")</f>
        <v/>
      </c>
      <c r="N52" s="627">
        <f>IF(売分析!O52&lt;&gt;"",売分析!O52,"")</f>
        <v/>
      </c>
      <c r="O52" s="357">
        <f>IF(売分析!X52&lt;&gt;"",売分析!X52,"")</f>
        <v/>
      </c>
      <c r="P52" s="626">
        <f>IF(売分析!L52&lt;&gt;"",売分析!L52,"")</f>
        <v/>
      </c>
      <c r="Q52" s="353">
        <f>IF(売分析!S52&lt;&gt;"",売分析!S52,"")</f>
        <v/>
      </c>
      <c r="R52" s="353">
        <f>IF(売分析!R52&lt;&gt;"",売分析!R52,"")</f>
        <v/>
      </c>
      <c r="S52" s="225">
        <f>IF(売分析!AA52&lt;&gt;"",売分析!AA52,"")</f>
        <v/>
      </c>
      <c r="T52" s="629">
        <f>IF(売分析!Z52&lt;&gt;"",売分析!Z52,"")</f>
        <v/>
      </c>
      <c r="U52" s="225">
        <f>IF(売分析!V52&lt;&gt;"",売分析!V52,"")</f>
        <v/>
      </c>
      <c r="V52" s="628">
        <f>IF(売分析!W52&lt;&gt;"",売分析!W52,"")</f>
        <v/>
      </c>
      <c r="W52" s="225">
        <f>IF(売分析!AD52&lt;&gt;"",売分析!AD52,"")</f>
        <v/>
      </c>
      <c r="X52" s="225">
        <f>IF(売分析!AE52&lt;&gt;"",売分析!AE52,"")</f>
        <v/>
      </c>
      <c r="Y52" s="411">
        <f>IF(売分析!T52&lt;&gt;"",売分析!T52,"")</f>
        <v/>
      </c>
      <c r="Z52" s="225">
        <f>IF(売分析!Y52&lt;&gt;"",売分析!Y52,"")</f>
        <v/>
      </c>
    </row>
    <row r="53">
      <c r="A53" s="345">
        <f>IF(売分析!C53&lt;&gt;"",ROW()-2,"")</f>
        <v/>
      </c>
      <c r="B53" s="344">
        <f>IF(売分析!C53&lt;&gt;"",HYPERLINK("https://kabutan.jp/stock/?code="&amp;売分析!C53,"株探"),"")</f>
        <v/>
      </c>
      <c r="C53" s="630">
        <f>IF(売分析!C53&lt;&gt;"",売分析!C53,"")</f>
        <v/>
      </c>
      <c r="D53" s="345">
        <f>IF(売分析!D53&lt;&gt;"",売分析!D53,"")</f>
        <v/>
      </c>
      <c r="E53" s="346">
        <f>IF(売分析!E53&lt;&gt;"",売分析!E53,"")</f>
        <v/>
      </c>
      <c r="F53" s="346">
        <f>IF(売分析!F53&lt;&gt;"",売分析!F53,"")</f>
        <v/>
      </c>
      <c r="G53" s="346">
        <f>IF(売分析!H53&lt;&gt;"",売分析!H53,"")</f>
        <v/>
      </c>
      <c r="H53" s="346">
        <f>IF(売分析!I53&lt;&gt;"",売分析!I53,"")</f>
        <v/>
      </c>
      <c r="I53" s="345">
        <f>IF(売分析!J53&lt;&gt;"",売分析!J53,"")</f>
        <v/>
      </c>
      <c r="J53" s="346">
        <f>IF(売分析!AB53&lt;&gt;"",売分析!AB53,"")</f>
        <v/>
      </c>
      <c r="K53" s="346">
        <f>IF(売分析!AC53&lt;&gt;"",売分析!AC53,"")</f>
        <v/>
      </c>
      <c r="L53" s="346">
        <f>IF(売分析!K53&lt;&gt;"",売分析!K53,"")</f>
        <v/>
      </c>
      <c r="M53" s="345">
        <f>IF(売分析!P53&lt;&gt;"",売分析!P53,"")</f>
        <v/>
      </c>
      <c r="N53" s="620">
        <f>IF(売分析!O53&lt;&gt;"",売分析!O53,"")</f>
        <v/>
      </c>
      <c r="O53" s="350">
        <f>IF(売分析!X53&lt;&gt;"",売分析!X53,"")</f>
        <v/>
      </c>
      <c r="P53" s="619">
        <f>IF(売分析!L53&lt;&gt;"",売分析!L53,"")</f>
        <v/>
      </c>
      <c r="Q53" s="346">
        <f>IF(売分析!S53&lt;&gt;"",売分析!S53,"")</f>
        <v/>
      </c>
      <c r="R53" s="346">
        <f>IF(売分析!R53&lt;&gt;"",売分析!R53,"")</f>
        <v/>
      </c>
      <c r="S53" s="345">
        <f>IF(売分析!AA53&lt;&gt;"",売分析!AA53,"")</f>
        <v/>
      </c>
      <c r="T53" s="622">
        <f>IF(売分析!Z53&lt;&gt;"",売分析!Z53,"")</f>
        <v/>
      </c>
      <c r="U53" s="345">
        <f>IF(売分析!V53&lt;&gt;"",売分析!V53,"")</f>
        <v/>
      </c>
      <c r="V53" s="621">
        <f>IF(売分析!W53&lt;&gt;"",売分析!W53,"")</f>
        <v/>
      </c>
      <c r="W53" s="345">
        <f>IF(売分析!AD53&lt;&gt;"",売分析!AD53,"")</f>
        <v/>
      </c>
      <c r="X53" s="345">
        <f>IF(売分析!AE53&lt;&gt;"",売分析!AE53,"")</f>
        <v/>
      </c>
      <c r="Y53" s="410">
        <f>IF(売分析!T53&lt;&gt;"",売分析!T53,"")</f>
        <v/>
      </c>
      <c r="Z53" s="345">
        <f>IF(売分析!Y53&lt;&gt;"",売分析!Y53,"")</f>
        <v/>
      </c>
    </row>
    <row r="54">
      <c r="A54" s="225">
        <f>IF(売分析!C54&lt;&gt;"",ROW()-2,"")</f>
        <v/>
      </c>
      <c r="B54" s="352">
        <f>IF(売分析!C54&lt;&gt;"",HYPERLINK("https://kabutan.jp/stock/?code="&amp;売分析!C54,"株探"),"")</f>
        <v/>
      </c>
      <c r="C54" s="631">
        <f>IF(売分析!C54&lt;&gt;"",売分析!C54,"")</f>
        <v/>
      </c>
      <c r="D54" s="225">
        <f>IF(売分析!D54&lt;&gt;"",売分析!D54,"")</f>
        <v/>
      </c>
      <c r="E54" s="353">
        <f>IF(売分析!E54&lt;&gt;"",売分析!E54,"")</f>
        <v/>
      </c>
      <c r="F54" s="353">
        <f>IF(売分析!F54&lt;&gt;"",売分析!F54,"")</f>
        <v/>
      </c>
      <c r="G54" s="353">
        <f>IF(売分析!H54&lt;&gt;"",売分析!H54,"")</f>
        <v/>
      </c>
      <c r="H54" s="353">
        <f>IF(売分析!I54&lt;&gt;"",売分析!I54,"")</f>
        <v/>
      </c>
      <c r="I54" s="225">
        <f>IF(売分析!J54&lt;&gt;"",売分析!J54,"")</f>
        <v/>
      </c>
      <c r="J54" s="353">
        <f>IF(売分析!AB54&lt;&gt;"",売分析!AB54,"")</f>
        <v/>
      </c>
      <c r="K54" s="353">
        <f>IF(売分析!AC54&lt;&gt;"",売分析!AC54,"")</f>
        <v/>
      </c>
      <c r="L54" s="353">
        <f>IF(売分析!K54&lt;&gt;"",売分析!K54,"")</f>
        <v/>
      </c>
      <c r="M54" s="225">
        <f>IF(売分析!P54&lt;&gt;"",売分析!P54,"")</f>
        <v/>
      </c>
      <c r="N54" s="627">
        <f>IF(売分析!O54&lt;&gt;"",売分析!O54,"")</f>
        <v/>
      </c>
      <c r="O54" s="357">
        <f>IF(売分析!X54&lt;&gt;"",売分析!X54,"")</f>
        <v/>
      </c>
      <c r="P54" s="626">
        <f>IF(売分析!L54&lt;&gt;"",売分析!L54,"")</f>
        <v/>
      </c>
      <c r="Q54" s="353">
        <f>IF(売分析!S54&lt;&gt;"",売分析!S54,"")</f>
        <v/>
      </c>
      <c r="R54" s="353">
        <f>IF(売分析!R54&lt;&gt;"",売分析!R54,"")</f>
        <v/>
      </c>
      <c r="S54" s="225">
        <f>IF(売分析!AA54&lt;&gt;"",売分析!AA54,"")</f>
        <v/>
      </c>
      <c r="T54" s="629">
        <f>IF(売分析!Z54&lt;&gt;"",売分析!Z54,"")</f>
        <v/>
      </c>
      <c r="U54" s="225">
        <f>IF(売分析!V54&lt;&gt;"",売分析!V54,"")</f>
        <v/>
      </c>
      <c r="V54" s="628">
        <f>IF(売分析!W54&lt;&gt;"",売分析!W54,"")</f>
        <v/>
      </c>
      <c r="W54" s="225">
        <f>IF(売分析!AD54&lt;&gt;"",売分析!AD54,"")</f>
        <v/>
      </c>
      <c r="X54" s="225">
        <f>IF(売分析!AE54&lt;&gt;"",売分析!AE54,"")</f>
        <v/>
      </c>
      <c r="Y54" s="411">
        <f>IF(売分析!T54&lt;&gt;"",売分析!T54,"")</f>
        <v/>
      </c>
      <c r="Z54" s="225">
        <f>IF(売分析!Y54&lt;&gt;"",売分析!Y54,"")</f>
        <v/>
      </c>
    </row>
    <row r="55">
      <c r="A55" s="345">
        <f>IF(売分析!C55&lt;&gt;"",ROW()-2,"")</f>
        <v/>
      </c>
      <c r="B55" s="344">
        <f>IF(売分析!C55&lt;&gt;"",HYPERLINK("https://kabutan.jp/stock/?code="&amp;売分析!C55,"株探"),"")</f>
        <v/>
      </c>
      <c r="C55" s="630">
        <f>IF(売分析!C55&lt;&gt;"",売分析!C55,"")</f>
        <v/>
      </c>
      <c r="D55" s="345">
        <f>IF(売分析!D55&lt;&gt;"",売分析!D55,"")</f>
        <v/>
      </c>
      <c r="E55" s="346">
        <f>IF(売分析!E55&lt;&gt;"",売分析!E55,"")</f>
        <v/>
      </c>
      <c r="F55" s="346">
        <f>IF(売分析!F55&lt;&gt;"",売分析!F55,"")</f>
        <v/>
      </c>
      <c r="G55" s="346">
        <f>IF(売分析!H55&lt;&gt;"",売分析!H55,"")</f>
        <v/>
      </c>
      <c r="H55" s="346">
        <f>IF(売分析!I55&lt;&gt;"",売分析!I55,"")</f>
        <v/>
      </c>
      <c r="I55" s="345">
        <f>IF(売分析!J55&lt;&gt;"",売分析!J55,"")</f>
        <v/>
      </c>
      <c r="J55" s="346">
        <f>IF(売分析!AB55&lt;&gt;"",売分析!AB55,"")</f>
        <v/>
      </c>
      <c r="K55" s="346">
        <f>IF(売分析!AC55&lt;&gt;"",売分析!AC55,"")</f>
        <v/>
      </c>
      <c r="L55" s="346">
        <f>IF(売分析!K55&lt;&gt;"",売分析!K55,"")</f>
        <v/>
      </c>
      <c r="M55" s="345">
        <f>IF(売分析!P55&lt;&gt;"",売分析!P55,"")</f>
        <v/>
      </c>
      <c r="N55" s="620">
        <f>IF(売分析!O55&lt;&gt;"",売分析!O55,"")</f>
        <v/>
      </c>
      <c r="O55" s="350">
        <f>IF(売分析!X55&lt;&gt;"",売分析!X55,"")</f>
        <v/>
      </c>
      <c r="P55" s="619">
        <f>IF(売分析!L55&lt;&gt;"",売分析!L55,"")</f>
        <v/>
      </c>
      <c r="Q55" s="346">
        <f>IF(売分析!S55&lt;&gt;"",売分析!S55,"")</f>
        <v/>
      </c>
      <c r="R55" s="346">
        <f>IF(売分析!R55&lt;&gt;"",売分析!R55,"")</f>
        <v/>
      </c>
      <c r="S55" s="345">
        <f>IF(売分析!AA55&lt;&gt;"",売分析!AA55,"")</f>
        <v/>
      </c>
      <c r="T55" s="622">
        <f>IF(売分析!Z55&lt;&gt;"",売分析!Z55,"")</f>
        <v/>
      </c>
      <c r="U55" s="345">
        <f>IF(売分析!V55&lt;&gt;"",売分析!V55,"")</f>
        <v/>
      </c>
      <c r="V55" s="621">
        <f>IF(売分析!W55&lt;&gt;"",売分析!W55,"")</f>
        <v/>
      </c>
      <c r="W55" s="345">
        <f>IF(売分析!AD55&lt;&gt;"",売分析!AD55,"")</f>
        <v/>
      </c>
      <c r="X55" s="345">
        <f>IF(売分析!AE55&lt;&gt;"",売分析!AE55,"")</f>
        <v/>
      </c>
      <c r="Y55" s="410">
        <f>IF(売分析!T55&lt;&gt;"",売分析!T55,"")</f>
        <v/>
      </c>
      <c r="Z55" s="345">
        <f>IF(売分析!Y55&lt;&gt;"",売分析!Y55,"")</f>
        <v/>
      </c>
    </row>
    <row r="56">
      <c r="A56" s="225">
        <f>IF(売分析!C56&lt;&gt;"",ROW()-2,"")</f>
        <v/>
      </c>
      <c r="B56" s="352">
        <f>IF(売分析!C56&lt;&gt;"",HYPERLINK("https://kabutan.jp/stock/?code="&amp;売分析!C56,"株探"),"")</f>
        <v/>
      </c>
      <c r="C56" s="631">
        <f>IF(売分析!C56&lt;&gt;"",売分析!C56,"")</f>
        <v/>
      </c>
      <c r="D56" s="225">
        <f>IF(売分析!D56&lt;&gt;"",売分析!D56,"")</f>
        <v/>
      </c>
      <c r="E56" s="353">
        <f>IF(売分析!E56&lt;&gt;"",売分析!E56,"")</f>
        <v/>
      </c>
      <c r="F56" s="353">
        <f>IF(売分析!F56&lt;&gt;"",売分析!F56,"")</f>
        <v/>
      </c>
      <c r="G56" s="353">
        <f>IF(売分析!H56&lt;&gt;"",売分析!H56,"")</f>
        <v/>
      </c>
      <c r="H56" s="353">
        <f>IF(売分析!I56&lt;&gt;"",売分析!I56,"")</f>
        <v/>
      </c>
      <c r="I56" s="225">
        <f>IF(売分析!J56&lt;&gt;"",売分析!J56,"")</f>
        <v/>
      </c>
      <c r="J56" s="353">
        <f>IF(売分析!AB56&lt;&gt;"",売分析!AB56,"")</f>
        <v/>
      </c>
      <c r="K56" s="353">
        <f>IF(売分析!AC56&lt;&gt;"",売分析!AC56,"")</f>
        <v/>
      </c>
      <c r="L56" s="353">
        <f>IF(売分析!K56&lt;&gt;"",売分析!K56,"")</f>
        <v/>
      </c>
      <c r="M56" s="225">
        <f>IF(売分析!P56&lt;&gt;"",売分析!P56,"")</f>
        <v/>
      </c>
      <c r="N56" s="627">
        <f>IF(売分析!O56&lt;&gt;"",売分析!O56,"")</f>
        <v/>
      </c>
      <c r="O56" s="357">
        <f>IF(売分析!X56&lt;&gt;"",売分析!X56,"")</f>
        <v/>
      </c>
      <c r="P56" s="626">
        <f>IF(売分析!L56&lt;&gt;"",売分析!L56,"")</f>
        <v/>
      </c>
      <c r="Q56" s="353">
        <f>IF(売分析!S56&lt;&gt;"",売分析!S56,"")</f>
        <v/>
      </c>
      <c r="R56" s="353">
        <f>IF(売分析!R56&lt;&gt;"",売分析!R56,"")</f>
        <v/>
      </c>
      <c r="S56" s="225">
        <f>IF(売分析!AA56&lt;&gt;"",売分析!AA56,"")</f>
        <v/>
      </c>
      <c r="T56" s="629">
        <f>IF(売分析!Z56&lt;&gt;"",売分析!Z56,"")</f>
        <v/>
      </c>
      <c r="U56" s="225">
        <f>IF(売分析!V56&lt;&gt;"",売分析!V56,"")</f>
        <v/>
      </c>
      <c r="V56" s="628">
        <f>IF(売分析!W56&lt;&gt;"",売分析!W56,"")</f>
        <v/>
      </c>
      <c r="W56" s="225">
        <f>IF(売分析!AD56&lt;&gt;"",売分析!AD56,"")</f>
        <v/>
      </c>
      <c r="X56" s="225">
        <f>IF(売分析!AE56&lt;&gt;"",売分析!AE56,"")</f>
        <v/>
      </c>
      <c r="Y56" s="411">
        <f>IF(売分析!T56&lt;&gt;"",売分析!T56,"")</f>
        <v/>
      </c>
      <c r="Z56" s="225">
        <f>IF(売分析!Y56&lt;&gt;"",売分析!Y56,"")</f>
        <v/>
      </c>
    </row>
    <row r="57">
      <c r="A57" s="345">
        <f>IF(売分析!C57&lt;&gt;"",ROW()-2,"")</f>
        <v/>
      </c>
      <c r="B57" s="344">
        <f>IF(売分析!C57&lt;&gt;"",HYPERLINK("https://kabutan.jp/stock/?code="&amp;売分析!C57,"株探"),"")</f>
        <v/>
      </c>
      <c r="C57" s="630">
        <f>IF(売分析!C57&lt;&gt;"",売分析!C57,"")</f>
        <v/>
      </c>
      <c r="D57" s="345">
        <f>IF(売分析!D57&lt;&gt;"",売分析!D57,"")</f>
        <v/>
      </c>
      <c r="E57" s="346">
        <f>IF(売分析!E57&lt;&gt;"",売分析!E57,"")</f>
        <v/>
      </c>
      <c r="F57" s="346">
        <f>IF(売分析!F57&lt;&gt;"",売分析!F57,"")</f>
        <v/>
      </c>
      <c r="G57" s="346">
        <f>IF(売分析!H57&lt;&gt;"",売分析!H57,"")</f>
        <v/>
      </c>
      <c r="H57" s="346">
        <f>IF(売分析!I57&lt;&gt;"",売分析!I57,"")</f>
        <v/>
      </c>
      <c r="I57" s="345">
        <f>IF(売分析!J57&lt;&gt;"",売分析!J57,"")</f>
        <v/>
      </c>
      <c r="J57" s="346">
        <f>IF(売分析!AB57&lt;&gt;"",売分析!AB57,"")</f>
        <v/>
      </c>
      <c r="K57" s="346">
        <f>IF(売分析!AC57&lt;&gt;"",売分析!AC57,"")</f>
        <v/>
      </c>
      <c r="L57" s="346">
        <f>IF(売分析!K57&lt;&gt;"",売分析!K57,"")</f>
        <v/>
      </c>
      <c r="M57" s="345">
        <f>IF(売分析!P57&lt;&gt;"",売分析!P57,"")</f>
        <v/>
      </c>
      <c r="N57" s="620">
        <f>IF(売分析!O57&lt;&gt;"",売分析!O57,"")</f>
        <v/>
      </c>
      <c r="O57" s="350">
        <f>IF(売分析!X57&lt;&gt;"",売分析!X57,"")</f>
        <v/>
      </c>
      <c r="P57" s="619">
        <f>IF(売分析!L57&lt;&gt;"",売分析!L57,"")</f>
        <v/>
      </c>
      <c r="Q57" s="346">
        <f>IF(売分析!S57&lt;&gt;"",売分析!S57,"")</f>
        <v/>
      </c>
      <c r="R57" s="346">
        <f>IF(売分析!R57&lt;&gt;"",売分析!R57,"")</f>
        <v/>
      </c>
      <c r="S57" s="345">
        <f>IF(売分析!AA57&lt;&gt;"",売分析!AA57,"")</f>
        <v/>
      </c>
      <c r="T57" s="622">
        <f>IF(売分析!Z57&lt;&gt;"",売分析!Z57,"")</f>
        <v/>
      </c>
      <c r="U57" s="345">
        <f>IF(売分析!V57&lt;&gt;"",売分析!V57,"")</f>
        <v/>
      </c>
      <c r="V57" s="621">
        <f>IF(売分析!W57&lt;&gt;"",売分析!W57,"")</f>
        <v/>
      </c>
      <c r="W57" s="345">
        <f>IF(売分析!AD57&lt;&gt;"",売分析!AD57,"")</f>
        <v/>
      </c>
      <c r="X57" s="345">
        <f>IF(売分析!AE57&lt;&gt;"",売分析!AE57,"")</f>
        <v/>
      </c>
      <c r="Y57" s="410">
        <f>IF(売分析!T57&lt;&gt;"",売分析!T57,"")</f>
        <v/>
      </c>
      <c r="Z57" s="345">
        <f>IF(売分析!Y57&lt;&gt;"",売分析!Y57,"")</f>
        <v/>
      </c>
    </row>
    <row r="58">
      <c r="A58" s="225">
        <f>IF(売分析!C58&lt;&gt;"",ROW()-2,"")</f>
        <v/>
      </c>
      <c r="B58" s="352">
        <f>IF(売分析!C58&lt;&gt;"",HYPERLINK("https://kabutan.jp/stock/?code="&amp;売分析!C58,"株探"),"")</f>
        <v/>
      </c>
      <c r="C58" s="631">
        <f>IF(売分析!C58&lt;&gt;"",売分析!C58,"")</f>
        <v/>
      </c>
      <c r="D58" s="225">
        <f>IF(売分析!D58&lt;&gt;"",売分析!D58,"")</f>
        <v/>
      </c>
      <c r="E58" s="353">
        <f>IF(売分析!E58&lt;&gt;"",売分析!E58,"")</f>
        <v/>
      </c>
      <c r="F58" s="353">
        <f>IF(売分析!F58&lt;&gt;"",売分析!F58,"")</f>
        <v/>
      </c>
      <c r="G58" s="353">
        <f>IF(売分析!H58&lt;&gt;"",売分析!H58,"")</f>
        <v/>
      </c>
      <c r="H58" s="353">
        <f>IF(売分析!I58&lt;&gt;"",売分析!I58,"")</f>
        <v/>
      </c>
      <c r="I58" s="225">
        <f>IF(売分析!J58&lt;&gt;"",売分析!J58,"")</f>
        <v/>
      </c>
      <c r="J58" s="353">
        <f>IF(売分析!AB58&lt;&gt;"",売分析!AB58,"")</f>
        <v/>
      </c>
      <c r="K58" s="353">
        <f>IF(売分析!AC58&lt;&gt;"",売分析!AC58,"")</f>
        <v/>
      </c>
      <c r="L58" s="353">
        <f>IF(売分析!K58&lt;&gt;"",売分析!K58,"")</f>
        <v/>
      </c>
      <c r="M58" s="225">
        <f>IF(売分析!P58&lt;&gt;"",売分析!P58,"")</f>
        <v/>
      </c>
      <c r="N58" s="627">
        <f>IF(売分析!O58&lt;&gt;"",売分析!O58,"")</f>
        <v/>
      </c>
      <c r="O58" s="357">
        <f>IF(売分析!X58&lt;&gt;"",売分析!X58,"")</f>
        <v/>
      </c>
      <c r="P58" s="626">
        <f>IF(売分析!L58&lt;&gt;"",売分析!L58,"")</f>
        <v/>
      </c>
      <c r="Q58" s="353">
        <f>IF(売分析!S58&lt;&gt;"",売分析!S58,"")</f>
        <v/>
      </c>
      <c r="R58" s="353">
        <f>IF(売分析!R58&lt;&gt;"",売分析!R58,"")</f>
        <v/>
      </c>
      <c r="S58" s="225">
        <f>IF(売分析!AA58&lt;&gt;"",売分析!AA58,"")</f>
        <v/>
      </c>
      <c r="T58" s="629">
        <f>IF(売分析!Z58&lt;&gt;"",売分析!Z58,"")</f>
        <v/>
      </c>
      <c r="U58" s="225">
        <f>IF(売分析!V58&lt;&gt;"",売分析!V58,"")</f>
        <v/>
      </c>
      <c r="V58" s="628">
        <f>IF(売分析!W58&lt;&gt;"",売分析!W58,"")</f>
        <v/>
      </c>
      <c r="W58" s="225">
        <f>IF(売分析!AD58&lt;&gt;"",売分析!AD58,"")</f>
        <v/>
      </c>
      <c r="X58" s="225">
        <f>IF(売分析!AE58&lt;&gt;"",売分析!AE58,"")</f>
        <v/>
      </c>
      <c r="Y58" s="411">
        <f>IF(売分析!T58&lt;&gt;"",売分析!T58,"")</f>
        <v/>
      </c>
      <c r="Z58" s="225">
        <f>IF(売分析!Y58&lt;&gt;"",売分析!Y58,"")</f>
        <v/>
      </c>
    </row>
    <row r="59">
      <c r="A59" s="345">
        <f>IF(売分析!C59&lt;&gt;"",ROW()-2,"")</f>
        <v/>
      </c>
      <c r="B59" s="344">
        <f>IF(売分析!C59&lt;&gt;"",HYPERLINK("https://kabutan.jp/stock/?code="&amp;売分析!C59,"株探"),"")</f>
        <v/>
      </c>
      <c r="C59" s="630">
        <f>IF(売分析!C59&lt;&gt;"",売分析!C59,"")</f>
        <v/>
      </c>
      <c r="D59" s="345">
        <f>IF(売分析!D59&lt;&gt;"",売分析!D59,"")</f>
        <v/>
      </c>
      <c r="E59" s="346">
        <f>IF(売分析!E59&lt;&gt;"",売分析!E59,"")</f>
        <v/>
      </c>
      <c r="F59" s="346">
        <f>IF(売分析!F59&lt;&gt;"",売分析!F59,"")</f>
        <v/>
      </c>
      <c r="G59" s="346">
        <f>IF(売分析!H59&lt;&gt;"",売分析!H59,"")</f>
        <v/>
      </c>
      <c r="H59" s="346">
        <f>IF(売分析!I59&lt;&gt;"",売分析!I59,"")</f>
        <v/>
      </c>
      <c r="I59" s="345">
        <f>IF(売分析!J59&lt;&gt;"",売分析!J59,"")</f>
        <v/>
      </c>
      <c r="J59" s="346">
        <f>IF(売分析!AB59&lt;&gt;"",売分析!AB59,"")</f>
        <v/>
      </c>
      <c r="K59" s="346">
        <f>IF(売分析!AC59&lt;&gt;"",売分析!AC59,"")</f>
        <v/>
      </c>
      <c r="L59" s="346">
        <f>IF(売分析!K59&lt;&gt;"",売分析!K59,"")</f>
        <v/>
      </c>
      <c r="M59" s="345">
        <f>IF(売分析!P59&lt;&gt;"",売分析!P59,"")</f>
        <v/>
      </c>
      <c r="N59" s="620">
        <f>IF(売分析!O59&lt;&gt;"",売分析!O59,"")</f>
        <v/>
      </c>
      <c r="O59" s="350">
        <f>IF(売分析!X59&lt;&gt;"",売分析!X59,"")</f>
        <v/>
      </c>
      <c r="P59" s="619">
        <f>IF(売分析!L59&lt;&gt;"",売分析!L59,"")</f>
        <v/>
      </c>
      <c r="Q59" s="346">
        <f>IF(売分析!S59&lt;&gt;"",売分析!S59,"")</f>
        <v/>
      </c>
      <c r="R59" s="346">
        <f>IF(売分析!R59&lt;&gt;"",売分析!R59,"")</f>
        <v/>
      </c>
      <c r="S59" s="345">
        <f>IF(売分析!AA59&lt;&gt;"",売分析!AA59,"")</f>
        <v/>
      </c>
      <c r="T59" s="622">
        <f>IF(売分析!Z59&lt;&gt;"",売分析!Z59,"")</f>
        <v/>
      </c>
      <c r="U59" s="345">
        <f>IF(売分析!V59&lt;&gt;"",売分析!V59,"")</f>
        <v/>
      </c>
      <c r="V59" s="621">
        <f>IF(売分析!W59&lt;&gt;"",売分析!W59,"")</f>
        <v/>
      </c>
      <c r="W59" s="345">
        <f>IF(売分析!AD59&lt;&gt;"",売分析!AD59,"")</f>
        <v/>
      </c>
      <c r="X59" s="345">
        <f>IF(売分析!AE59&lt;&gt;"",売分析!AE59,"")</f>
        <v/>
      </c>
      <c r="Y59" s="410">
        <f>IF(売分析!T59&lt;&gt;"",売分析!T59,"")</f>
        <v/>
      </c>
      <c r="Z59" s="345">
        <f>IF(売分析!Y59&lt;&gt;"",売分析!Y59,"")</f>
        <v/>
      </c>
    </row>
    <row r="60">
      <c r="A60" s="225">
        <f>IF(売分析!C60&lt;&gt;"",ROW()-2,"")</f>
        <v/>
      </c>
      <c r="B60" s="352">
        <f>IF(売分析!C60&lt;&gt;"",HYPERLINK("https://kabutan.jp/stock/?code="&amp;売分析!C60,"株探"),"")</f>
        <v/>
      </c>
      <c r="C60" s="631">
        <f>IF(売分析!C60&lt;&gt;"",売分析!C60,"")</f>
        <v/>
      </c>
      <c r="D60" s="225">
        <f>IF(売分析!D60&lt;&gt;"",売分析!D60,"")</f>
        <v/>
      </c>
      <c r="E60" s="353">
        <f>IF(売分析!E60&lt;&gt;"",売分析!E60,"")</f>
        <v/>
      </c>
      <c r="F60" s="353">
        <f>IF(売分析!F60&lt;&gt;"",売分析!F60,"")</f>
        <v/>
      </c>
      <c r="G60" s="353">
        <f>IF(売分析!H60&lt;&gt;"",売分析!H60,"")</f>
        <v/>
      </c>
      <c r="H60" s="353">
        <f>IF(売分析!I60&lt;&gt;"",売分析!I60,"")</f>
        <v/>
      </c>
      <c r="I60" s="225">
        <f>IF(売分析!J60&lt;&gt;"",売分析!J60,"")</f>
        <v/>
      </c>
      <c r="J60" s="353">
        <f>IF(売分析!AB60&lt;&gt;"",売分析!AB60,"")</f>
        <v/>
      </c>
      <c r="K60" s="353">
        <f>IF(売分析!AC60&lt;&gt;"",売分析!AC60,"")</f>
        <v/>
      </c>
      <c r="L60" s="353">
        <f>IF(売分析!K60&lt;&gt;"",売分析!K60,"")</f>
        <v/>
      </c>
      <c r="M60" s="225">
        <f>IF(売分析!P60&lt;&gt;"",売分析!P60,"")</f>
        <v/>
      </c>
      <c r="N60" s="627">
        <f>IF(売分析!O60&lt;&gt;"",売分析!O60,"")</f>
        <v/>
      </c>
      <c r="O60" s="357">
        <f>IF(売分析!X60&lt;&gt;"",売分析!X60,"")</f>
        <v/>
      </c>
      <c r="P60" s="626">
        <f>IF(売分析!L60&lt;&gt;"",売分析!L60,"")</f>
        <v/>
      </c>
      <c r="Q60" s="353">
        <f>IF(売分析!S60&lt;&gt;"",売分析!S60,"")</f>
        <v/>
      </c>
      <c r="R60" s="353">
        <f>IF(売分析!R60&lt;&gt;"",売分析!R60,"")</f>
        <v/>
      </c>
      <c r="S60" s="225">
        <f>IF(売分析!AA60&lt;&gt;"",売分析!AA60,"")</f>
        <v/>
      </c>
      <c r="T60" s="629">
        <f>IF(売分析!Z60&lt;&gt;"",売分析!Z60,"")</f>
        <v/>
      </c>
      <c r="U60" s="225">
        <f>IF(売分析!V60&lt;&gt;"",売分析!V60,"")</f>
        <v/>
      </c>
      <c r="V60" s="628">
        <f>IF(売分析!W60&lt;&gt;"",売分析!W60,"")</f>
        <v/>
      </c>
      <c r="W60" s="225">
        <f>IF(売分析!AD60&lt;&gt;"",売分析!AD60,"")</f>
        <v/>
      </c>
      <c r="X60" s="225">
        <f>IF(売分析!AE60&lt;&gt;"",売分析!AE60,"")</f>
        <v/>
      </c>
      <c r="Y60" s="411">
        <f>IF(売分析!T60&lt;&gt;"",売分析!T60,"")</f>
        <v/>
      </c>
      <c r="Z60" s="225">
        <f>IF(売分析!Y60&lt;&gt;"",売分析!Y60,"")</f>
        <v/>
      </c>
    </row>
    <row r="61">
      <c r="A61" s="345">
        <f>IF(売分析!C61&lt;&gt;"",ROW()-2,"")</f>
        <v/>
      </c>
      <c r="B61" s="344">
        <f>IF(売分析!C61&lt;&gt;"",HYPERLINK("https://kabutan.jp/stock/?code="&amp;売分析!C61,"株探"),"")</f>
        <v/>
      </c>
      <c r="C61" s="630">
        <f>IF(売分析!C61&lt;&gt;"",売分析!C61,"")</f>
        <v/>
      </c>
      <c r="D61" s="345">
        <f>IF(売分析!D61&lt;&gt;"",売分析!D61,"")</f>
        <v/>
      </c>
      <c r="E61" s="346">
        <f>IF(売分析!E61&lt;&gt;"",売分析!E61,"")</f>
        <v/>
      </c>
      <c r="F61" s="346">
        <f>IF(売分析!F61&lt;&gt;"",売分析!F61,"")</f>
        <v/>
      </c>
      <c r="G61" s="346">
        <f>IF(売分析!H61&lt;&gt;"",売分析!H61,"")</f>
        <v/>
      </c>
      <c r="H61" s="346">
        <f>IF(売分析!I61&lt;&gt;"",売分析!I61,"")</f>
        <v/>
      </c>
      <c r="I61" s="345">
        <f>IF(売分析!J61&lt;&gt;"",売分析!J61,"")</f>
        <v/>
      </c>
      <c r="J61" s="346">
        <f>IF(売分析!AB61&lt;&gt;"",売分析!AB61,"")</f>
        <v/>
      </c>
      <c r="K61" s="346">
        <f>IF(売分析!AC61&lt;&gt;"",売分析!AC61,"")</f>
        <v/>
      </c>
      <c r="L61" s="346">
        <f>IF(売分析!K61&lt;&gt;"",売分析!K61,"")</f>
        <v/>
      </c>
      <c r="M61" s="345">
        <f>IF(売分析!P61&lt;&gt;"",売分析!P61,"")</f>
        <v/>
      </c>
      <c r="N61" s="620">
        <f>IF(売分析!O61&lt;&gt;"",売分析!O61,"")</f>
        <v/>
      </c>
      <c r="O61" s="350">
        <f>IF(売分析!X61&lt;&gt;"",売分析!X61,"")</f>
        <v/>
      </c>
      <c r="P61" s="619">
        <f>IF(売分析!L61&lt;&gt;"",売分析!L61,"")</f>
        <v/>
      </c>
      <c r="Q61" s="346">
        <f>IF(売分析!S61&lt;&gt;"",売分析!S61,"")</f>
        <v/>
      </c>
      <c r="R61" s="346">
        <f>IF(売分析!R61&lt;&gt;"",売分析!R61,"")</f>
        <v/>
      </c>
      <c r="S61" s="345">
        <f>IF(売分析!AA61&lt;&gt;"",売分析!AA61,"")</f>
        <v/>
      </c>
      <c r="T61" s="622">
        <f>IF(売分析!Z61&lt;&gt;"",売分析!Z61,"")</f>
        <v/>
      </c>
      <c r="U61" s="345">
        <f>IF(売分析!V61&lt;&gt;"",売分析!V61,"")</f>
        <v/>
      </c>
      <c r="V61" s="621">
        <f>IF(売分析!W61&lt;&gt;"",売分析!W61,"")</f>
        <v/>
      </c>
      <c r="W61" s="345">
        <f>IF(売分析!AD61&lt;&gt;"",売分析!AD61,"")</f>
        <v/>
      </c>
      <c r="X61" s="345">
        <f>IF(売分析!AE61&lt;&gt;"",売分析!AE61,"")</f>
        <v/>
      </c>
      <c r="Y61" s="410">
        <f>IF(売分析!T61&lt;&gt;"",売分析!T61,"")</f>
        <v/>
      </c>
      <c r="Z61" s="345">
        <f>IF(売分析!Y61&lt;&gt;"",売分析!Y61,"")</f>
        <v/>
      </c>
    </row>
    <row r="62">
      <c r="A62" s="225">
        <f>IF(売分析!C62&lt;&gt;"",ROW()-2,"")</f>
        <v/>
      </c>
      <c r="B62" s="352">
        <f>IF(売分析!C62&lt;&gt;"",HYPERLINK("https://kabutan.jp/stock/?code="&amp;売分析!C62,"株探"),"")</f>
        <v/>
      </c>
      <c r="C62" s="631">
        <f>IF(売分析!C62&lt;&gt;"",売分析!C62,"")</f>
        <v/>
      </c>
      <c r="D62" s="225">
        <f>IF(売分析!D62&lt;&gt;"",売分析!D62,"")</f>
        <v/>
      </c>
      <c r="E62" s="353">
        <f>IF(売分析!E62&lt;&gt;"",売分析!E62,"")</f>
        <v/>
      </c>
      <c r="F62" s="353">
        <f>IF(売分析!F62&lt;&gt;"",売分析!F62,"")</f>
        <v/>
      </c>
      <c r="G62" s="353">
        <f>IF(売分析!H62&lt;&gt;"",売分析!H62,"")</f>
        <v/>
      </c>
      <c r="H62" s="353">
        <f>IF(売分析!I62&lt;&gt;"",売分析!I62,"")</f>
        <v/>
      </c>
      <c r="I62" s="225">
        <f>IF(売分析!J62&lt;&gt;"",売分析!J62,"")</f>
        <v/>
      </c>
      <c r="J62" s="353">
        <f>IF(売分析!AB62&lt;&gt;"",売分析!AB62,"")</f>
        <v/>
      </c>
      <c r="K62" s="353">
        <f>IF(売分析!AC62&lt;&gt;"",売分析!AC62,"")</f>
        <v/>
      </c>
      <c r="L62" s="353">
        <f>IF(売分析!K62&lt;&gt;"",売分析!K62,"")</f>
        <v/>
      </c>
      <c r="M62" s="225">
        <f>IF(売分析!P62&lt;&gt;"",売分析!P62,"")</f>
        <v/>
      </c>
      <c r="N62" s="627">
        <f>IF(売分析!O62&lt;&gt;"",売分析!O62,"")</f>
        <v/>
      </c>
      <c r="O62" s="357">
        <f>IF(売分析!X62&lt;&gt;"",売分析!X62,"")</f>
        <v/>
      </c>
      <c r="P62" s="626">
        <f>IF(売分析!L62&lt;&gt;"",売分析!L62,"")</f>
        <v/>
      </c>
      <c r="Q62" s="353">
        <f>IF(売分析!S62&lt;&gt;"",売分析!S62,"")</f>
        <v/>
      </c>
      <c r="R62" s="353">
        <f>IF(売分析!R62&lt;&gt;"",売分析!R62,"")</f>
        <v/>
      </c>
      <c r="S62" s="225">
        <f>IF(売分析!AA62&lt;&gt;"",売分析!AA62,"")</f>
        <v/>
      </c>
      <c r="T62" s="629">
        <f>IF(売分析!Z62&lt;&gt;"",売分析!Z62,"")</f>
        <v/>
      </c>
      <c r="U62" s="225">
        <f>IF(売分析!V62&lt;&gt;"",売分析!V62,"")</f>
        <v/>
      </c>
      <c r="V62" s="628">
        <f>IF(売分析!W62&lt;&gt;"",売分析!W62,"")</f>
        <v/>
      </c>
      <c r="W62" s="225">
        <f>IF(売分析!AD62&lt;&gt;"",売分析!AD62,"")</f>
        <v/>
      </c>
      <c r="X62" s="225">
        <f>IF(売分析!AE62&lt;&gt;"",売分析!AE62,"")</f>
        <v/>
      </c>
      <c r="Y62" s="411">
        <f>IF(売分析!T62&lt;&gt;"",売分析!T62,"")</f>
        <v/>
      </c>
      <c r="Z62" s="225">
        <f>IF(売分析!Y62&lt;&gt;"",売分析!Y62,"")</f>
        <v/>
      </c>
    </row>
    <row r="63">
      <c r="A63" s="345">
        <f>IF(売分析!C63&lt;&gt;"",ROW()-2,"")</f>
        <v/>
      </c>
      <c r="B63" s="344">
        <f>IF(売分析!C63&lt;&gt;"",HYPERLINK("https://kabutan.jp/stock/?code="&amp;売分析!C63,"株探"),"")</f>
        <v/>
      </c>
      <c r="C63" s="630">
        <f>IF(売分析!C63&lt;&gt;"",売分析!C63,"")</f>
        <v/>
      </c>
      <c r="D63" s="345">
        <f>IF(売分析!D63&lt;&gt;"",売分析!D63,"")</f>
        <v/>
      </c>
      <c r="E63" s="346">
        <f>IF(売分析!E63&lt;&gt;"",売分析!E63,"")</f>
        <v/>
      </c>
      <c r="F63" s="346">
        <f>IF(売分析!F63&lt;&gt;"",売分析!F63,"")</f>
        <v/>
      </c>
      <c r="G63" s="346">
        <f>IF(売分析!H63&lt;&gt;"",売分析!H63,"")</f>
        <v/>
      </c>
      <c r="H63" s="346">
        <f>IF(売分析!I63&lt;&gt;"",売分析!I63,"")</f>
        <v/>
      </c>
      <c r="I63" s="345">
        <f>IF(売分析!J63&lt;&gt;"",売分析!J63,"")</f>
        <v/>
      </c>
      <c r="J63" s="346">
        <f>IF(売分析!AB63&lt;&gt;"",売分析!AB63,"")</f>
        <v/>
      </c>
      <c r="K63" s="346">
        <f>IF(売分析!AC63&lt;&gt;"",売分析!AC63,"")</f>
        <v/>
      </c>
      <c r="L63" s="346">
        <f>IF(売分析!K63&lt;&gt;"",売分析!K63,"")</f>
        <v/>
      </c>
      <c r="M63" s="345">
        <f>IF(売分析!P63&lt;&gt;"",売分析!P63,"")</f>
        <v/>
      </c>
      <c r="N63" s="620">
        <f>IF(売分析!O63&lt;&gt;"",売分析!O63,"")</f>
        <v/>
      </c>
      <c r="O63" s="350">
        <f>IF(売分析!X63&lt;&gt;"",売分析!X63,"")</f>
        <v/>
      </c>
      <c r="P63" s="619">
        <f>IF(売分析!L63&lt;&gt;"",売分析!L63,"")</f>
        <v/>
      </c>
      <c r="Q63" s="346">
        <f>IF(売分析!S63&lt;&gt;"",売分析!S63,"")</f>
        <v/>
      </c>
      <c r="R63" s="346">
        <f>IF(売分析!R63&lt;&gt;"",売分析!R63,"")</f>
        <v/>
      </c>
      <c r="S63" s="345">
        <f>IF(売分析!AA63&lt;&gt;"",売分析!AA63,"")</f>
        <v/>
      </c>
      <c r="T63" s="622">
        <f>IF(売分析!Z63&lt;&gt;"",売分析!Z63,"")</f>
        <v/>
      </c>
      <c r="U63" s="345">
        <f>IF(売分析!V63&lt;&gt;"",売分析!V63,"")</f>
        <v/>
      </c>
      <c r="V63" s="621">
        <f>IF(売分析!W63&lt;&gt;"",売分析!W63,"")</f>
        <v/>
      </c>
      <c r="W63" s="345">
        <f>IF(売分析!AD63&lt;&gt;"",売分析!AD63,"")</f>
        <v/>
      </c>
      <c r="X63" s="345">
        <f>IF(売分析!AE63&lt;&gt;"",売分析!AE63,"")</f>
        <v/>
      </c>
      <c r="Y63" s="410">
        <f>IF(売分析!T63&lt;&gt;"",売分析!T63,"")</f>
        <v/>
      </c>
      <c r="Z63" s="345">
        <f>IF(売分析!Y63&lt;&gt;"",売分析!Y63,"")</f>
        <v/>
      </c>
    </row>
    <row r="64">
      <c r="A64" s="225">
        <f>IF(売分析!C64&lt;&gt;"",ROW()-2,"")</f>
        <v/>
      </c>
      <c r="B64" s="352">
        <f>IF(売分析!C64&lt;&gt;"",HYPERLINK("https://kabutan.jp/stock/?code="&amp;売分析!C64,"株探"),"")</f>
        <v/>
      </c>
      <c r="C64" s="631">
        <f>IF(売分析!C64&lt;&gt;"",売分析!C64,"")</f>
        <v/>
      </c>
      <c r="D64" s="225">
        <f>IF(売分析!D64&lt;&gt;"",売分析!D64,"")</f>
        <v/>
      </c>
      <c r="E64" s="353">
        <f>IF(売分析!E64&lt;&gt;"",売分析!E64,"")</f>
        <v/>
      </c>
      <c r="F64" s="353">
        <f>IF(売分析!F64&lt;&gt;"",売分析!F64,"")</f>
        <v/>
      </c>
      <c r="G64" s="353">
        <f>IF(売分析!H64&lt;&gt;"",売分析!H64,"")</f>
        <v/>
      </c>
      <c r="H64" s="353">
        <f>IF(売分析!I64&lt;&gt;"",売分析!I64,"")</f>
        <v/>
      </c>
      <c r="I64" s="225">
        <f>IF(売分析!J64&lt;&gt;"",売分析!J64,"")</f>
        <v/>
      </c>
      <c r="J64" s="353">
        <f>IF(売分析!AB64&lt;&gt;"",売分析!AB64,"")</f>
        <v/>
      </c>
      <c r="K64" s="353">
        <f>IF(売分析!AC64&lt;&gt;"",売分析!AC64,"")</f>
        <v/>
      </c>
      <c r="L64" s="353">
        <f>IF(売分析!K64&lt;&gt;"",売分析!K64,"")</f>
        <v/>
      </c>
      <c r="M64" s="225">
        <f>IF(売分析!P64&lt;&gt;"",売分析!P64,"")</f>
        <v/>
      </c>
      <c r="N64" s="627">
        <f>IF(売分析!O64&lt;&gt;"",売分析!O64,"")</f>
        <v/>
      </c>
      <c r="O64" s="357">
        <f>IF(売分析!X64&lt;&gt;"",売分析!X64,"")</f>
        <v/>
      </c>
      <c r="P64" s="626">
        <f>IF(売分析!L64&lt;&gt;"",売分析!L64,"")</f>
        <v/>
      </c>
      <c r="Q64" s="353">
        <f>IF(売分析!S64&lt;&gt;"",売分析!S64,"")</f>
        <v/>
      </c>
      <c r="R64" s="353">
        <f>IF(売分析!R64&lt;&gt;"",売分析!R64,"")</f>
        <v/>
      </c>
      <c r="S64" s="225">
        <f>IF(売分析!AA64&lt;&gt;"",売分析!AA64,"")</f>
        <v/>
      </c>
      <c r="T64" s="629">
        <f>IF(売分析!Z64&lt;&gt;"",売分析!Z64,"")</f>
        <v/>
      </c>
      <c r="U64" s="225">
        <f>IF(売分析!V64&lt;&gt;"",売分析!V64,"")</f>
        <v/>
      </c>
      <c r="V64" s="628">
        <f>IF(売分析!W64&lt;&gt;"",売分析!W64,"")</f>
        <v/>
      </c>
      <c r="W64" s="225">
        <f>IF(売分析!AD64&lt;&gt;"",売分析!AD64,"")</f>
        <v/>
      </c>
      <c r="X64" s="225">
        <f>IF(売分析!AE64&lt;&gt;"",売分析!AE64,"")</f>
        <v/>
      </c>
      <c r="Y64" s="411">
        <f>IF(売分析!T64&lt;&gt;"",売分析!T64,"")</f>
        <v/>
      </c>
      <c r="Z64" s="225">
        <f>IF(売分析!Y64&lt;&gt;"",売分析!Y64,"")</f>
        <v/>
      </c>
    </row>
    <row r="65">
      <c r="A65" s="345">
        <f>IF(売分析!C65&lt;&gt;"",ROW()-2,"")</f>
        <v/>
      </c>
      <c r="B65" s="344">
        <f>IF(売分析!C65&lt;&gt;"",HYPERLINK("https://kabutan.jp/stock/?code="&amp;売分析!C65,"株探"),"")</f>
        <v/>
      </c>
      <c r="C65" s="630">
        <f>IF(売分析!C65&lt;&gt;"",売分析!C65,"")</f>
        <v/>
      </c>
      <c r="D65" s="345">
        <f>IF(売分析!D65&lt;&gt;"",売分析!D65,"")</f>
        <v/>
      </c>
      <c r="E65" s="346">
        <f>IF(売分析!E65&lt;&gt;"",売分析!E65,"")</f>
        <v/>
      </c>
      <c r="F65" s="346">
        <f>IF(売分析!F65&lt;&gt;"",売分析!F65,"")</f>
        <v/>
      </c>
      <c r="G65" s="346">
        <f>IF(売分析!H65&lt;&gt;"",売分析!H65,"")</f>
        <v/>
      </c>
      <c r="H65" s="346">
        <f>IF(売分析!I65&lt;&gt;"",売分析!I65,"")</f>
        <v/>
      </c>
      <c r="I65" s="345">
        <f>IF(売分析!J65&lt;&gt;"",売分析!J65,"")</f>
        <v/>
      </c>
      <c r="J65" s="346">
        <f>IF(売分析!AB65&lt;&gt;"",売分析!AB65,"")</f>
        <v/>
      </c>
      <c r="K65" s="346">
        <f>IF(売分析!AC65&lt;&gt;"",売分析!AC65,"")</f>
        <v/>
      </c>
      <c r="L65" s="346">
        <f>IF(売分析!K65&lt;&gt;"",売分析!K65,"")</f>
        <v/>
      </c>
      <c r="M65" s="345">
        <f>IF(売分析!P65&lt;&gt;"",売分析!P65,"")</f>
        <v/>
      </c>
      <c r="N65" s="620">
        <f>IF(売分析!O65&lt;&gt;"",売分析!O65,"")</f>
        <v/>
      </c>
      <c r="O65" s="350">
        <f>IF(売分析!X65&lt;&gt;"",売分析!X65,"")</f>
        <v/>
      </c>
      <c r="P65" s="619">
        <f>IF(売分析!L65&lt;&gt;"",売分析!L65,"")</f>
        <v/>
      </c>
      <c r="Q65" s="346">
        <f>IF(売分析!S65&lt;&gt;"",売分析!S65,"")</f>
        <v/>
      </c>
      <c r="R65" s="346">
        <f>IF(売分析!R65&lt;&gt;"",売分析!R65,"")</f>
        <v/>
      </c>
      <c r="S65" s="345">
        <f>IF(売分析!AA65&lt;&gt;"",売分析!AA65,"")</f>
        <v/>
      </c>
      <c r="T65" s="622">
        <f>IF(売分析!Z65&lt;&gt;"",売分析!Z65,"")</f>
        <v/>
      </c>
      <c r="U65" s="345">
        <f>IF(売分析!V65&lt;&gt;"",売分析!V65,"")</f>
        <v/>
      </c>
      <c r="V65" s="621">
        <f>IF(売分析!W65&lt;&gt;"",売分析!W65,"")</f>
        <v/>
      </c>
      <c r="W65" s="345">
        <f>IF(売分析!AD65&lt;&gt;"",売分析!AD65,"")</f>
        <v/>
      </c>
      <c r="X65" s="345">
        <f>IF(売分析!AE65&lt;&gt;"",売分析!AE65,"")</f>
        <v/>
      </c>
      <c r="Y65" s="410">
        <f>IF(売分析!T65&lt;&gt;"",売分析!T65,"")</f>
        <v/>
      </c>
      <c r="Z65" s="345">
        <f>IF(売分析!Y65&lt;&gt;"",売分析!Y65,"")</f>
        <v/>
      </c>
    </row>
    <row r="66">
      <c r="A66" s="225">
        <f>IF(売分析!C66&lt;&gt;"",ROW()-2,"")</f>
        <v/>
      </c>
      <c r="B66" s="352">
        <f>IF(売分析!C66&lt;&gt;"",HYPERLINK("https://kabutan.jp/stock/?code="&amp;売分析!C66,"株探"),"")</f>
        <v/>
      </c>
      <c r="C66" s="631">
        <f>IF(売分析!C66&lt;&gt;"",売分析!C66,"")</f>
        <v/>
      </c>
      <c r="D66" s="225">
        <f>IF(売分析!D66&lt;&gt;"",売分析!D66,"")</f>
        <v/>
      </c>
      <c r="E66" s="353">
        <f>IF(売分析!E66&lt;&gt;"",売分析!E66,"")</f>
        <v/>
      </c>
      <c r="F66" s="353">
        <f>IF(売分析!F66&lt;&gt;"",売分析!F66,"")</f>
        <v/>
      </c>
      <c r="G66" s="353">
        <f>IF(売分析!H66&lt;&gt;"",売分析!H66,"")</f>
        <v/>
      </c>
      <c r="H66" s="353">
        <f>IF(売分析!I66&lt;&gt;"",売分析!I66,"")</f>
        <v/>
      </c>
      <c r="I66" s="225">
        <f>IF(売分析!J66&lt;&gt;"",売分析!J66,"")</f>
        <v/>
      </c>
      <c r="J66" s="353">
        <f>IF(売分析!AB66&lt;&gt;"",売分析!AB66,"")</f>
        <v/>
      </c>
      <c r="K66" s="353">
        <f>IF(売分析!AC66&lt;&gt;"",売分析!AC66,"")</f>
        <v/>
      </c>
      <c r="L66" s="353">
        <f>IF(売分析!K66&lt;&gt;"",売分析!K66,"")</f>
        <v/>
      </c>
      <c r="M66" s="225">
        <f>IF(売分析!P66&lt;&gt;"",売分析!P66,"")</f>
        <v/>
      </c>
      <c r="N66" s="627">
        <f>IF(売分析!O66&lt;&gt;"",売分析!O66,"")</f>
        <v/>
      </c>
      <c r="O66" s="357">
        <f>IF(売分析!X66&lt;&gt;"",売分析!X66,"")</f>
        <v/>
      </c>
      <c r="P66" s="626">
        <f>IF(売分析!L66&lt;&gt;"",売分析!L66,"")</f>
        <v/>
      </c>
      <c r="Q66" s="353">
        <f>IF(売分析!S66&lt;&gt;"",売分析!S66,"")</f>
        <v/>
      </c>
      <c r="R66" s="353">
        <f>IF(売分析!R66&lt;&gt;"",売分析!R66,"")</f>
        <v/>
      </c>
      <c r="S66" s="225">
        <f>IF(売分析!AA66&lt;&gt;"",売分析!AA66,"")</f>
        <v/>
      </c>
      <c r="T66" s="629">
        <f>IF(売分析!Z66&lt;&gt;"",売分析!Z66,"")</f>
        <v/>
      </c>
      <c r="U66" s="225">
        <f>IF(売分析!V66&lt;&gt;"",売分析!V66,"")</f>
        <v/>
      </c>
      <c r="V66" s="628">
        <f>IF(売分析!W66&lt;&gt;"",売分析!W66,"")</f>
        <v/>
      </c>
      <c r="W66" s="225">
        <f>IF(売分析!AD66&lt;&gt;"",売分析!AD66,"")</f>
        <v/>
      </c>
      <c r="X66" s="225">
        <f>IF(売分析!AE66&lt;&gt;"",売分析!AE66,"")</f>
        <v/>
      </c>
      <c r="Y66" s="411">
        <f>IF(売分析!T66&lt;&gt;"",売分析!T66,"")</f>
        <v/>
      </c>
      <c r="Z66" s="225">
        <f>IF(売分析!Y66&lt;&gt;"",売分析!Y66,"")</f>
        <v/>
      </c>
    </row>
    <row r="67">
      <c r="A67" s="345">
        <f>IF(売分析!C67&lt;&gt;"",ROW()-2,"")</f>
        <v/>
      </c>
      <c r="B67" s="344">
        <f>IF(売分析!C67&lt;&gt;"",HYPERLINK("https://kabutan.jp/stock/?code="&amp;売分析!C67,"株探"),"")</f>
        <v/>
      </c>
      <c r="C67" s="630">
        <f>IF(売分析!C67&lt;&gt;"",売分析!C67,"")</f>
        <v/>
      </c>
      <c r="D67" s="345">
        <f>IF(売分析!D67&lt;&gt;"",売分析!D67,"")</f>
        <v/>
      </c>
      <c r="E67" s="346">
        <f>IF(売分析!E67&lt;&gt;"",売分析!E67,"")</f>
        <v/>
      </c>
      <c r="F67" s="346">
        <f>IF(売分析!F67&lt;&gt;"",売分析!F67,"")</f>
        <v/>
      </c>
      <c r="G67" s="346">
        <f>IF(売分析!H67&lt;&gt;"",売分析!H67,"")</f>
        <v/>
      </c>
      <c r="H67" s="346">
        <f>IF(売分析!I67&lt;&gt;"",売分析!I67,"")</f>
        <v/>
      </c>
      <c r="I67" s="345">
        <f>IF(売分析!J67&lt;&gt;"",売分析!J67,"")</f>
        <v/>
      </c>
      <c r="J67" s="346">
        <f>IF(売分析!AB67&lt;&gt;"",売分析!AB67,"")</f>
        <v/>
      </c>
      <c r="K67" s="346">
        <f>IF(売分析!AC67&lt;&gt;"",売分析!AC67,"")</f>
        <v/>
      </c>
      <c r="L67" s="346">
        <f>IF(売分析!K67&lt;&gt;"",売分析!K67,"")</f>
        <v/>
      </c>
      <c r="M67" s="345">
        <f>IF(売分析!P67&lt;&gt;"",売分析!P67,"")</f>
        <v/>
      </c>
      <c r="N67" s="620">
        <f>IF(売分析!O67&lt;&gt;"",売分析!O67,"")</f>
        <v/>
      </c>
      <c r="O67" s="350">
        <f>IF(売分析!X67&lt;&gt;"",売分析!X67,"")</f>
        <v/>
      </c>
      <c r="P67" s="619">
        <f>IF(売分析!L67&lt;&gt;"",売分析!L67,"")</f>
        <v/>
      </c>
      <c r="Q67" s="346">
        <f>IF(売分析!S67&lt;&gt;"",売分析!S67,"")</f>
        <v/>
      </c>
      <c r="R67" s="346">
        <f>IF(売分析!R67&lt;&gt;"",売分析!R67,"")</f>
        <v/>
      </c>
      <c r="S67" s="345">
        <f>IF(売分析!AA67&lt;&gt;"",売分析!AA67,"")</f>
        <v/>
      </c>
      <c r="T67" s="622">
        <f>IF(売分析!Z67&lt;&gt;"",売分析!Z67,"")</f>
        <v/>
      </c>
      <c r="U67" s="345">
        <f>IF(売分析!V67&lt;&gt;"",売分析!V67,"")</f>
        <v/>
      </c>
      <c r="V67" s="621">
        <f>IF(売分析!W67&lt;&gt;"",売分析!W67,"")</f>
        <v/>
      </c>
      <c r="W67" s="345">
        <f>IF(売分析!AD67&lt;&gt;"",売分析!AD67,"")</f>
        <v/>
      </c>
      <c r="X67" s="345">
        <f>IF(売分析!AE67&lt;&gt;"",売分析!AE67,"")</f>
        <v/>
      </c>
      <c r="Y67" s="410">
        <f>IF(売分析!T67&lt;&gt;"",売分析!T67,"")</f>
        <v/>
      </c>
      <c r="Z67" s="345">
        <f>IF(売分析!Y67&lt;&gt;"",売分析!Y67,"")</f>
        <v/>
      </c>
    </row>
    <row r="68">
      <c r="A68" s="225">
        <f>IF(売分析!C68&lt;&gt;"",ROW()-2,"")</f>
        <v/>
      </c>
      <c r="B68" s="352">
        <f>IF(売分析!C68&lt;&gt;"",HYPERLINK("https://kabutan.jp/stock/?code="&amp;売分析!C68,"株探"),"")</f>
        <v/>
      </c>
      <c r="C68" s="631">
        <f>IF(売分析!C68&lt;&gt;"",売分析!C68,"")</f>
        <v/>
      </c>
      <c r="D68" s="225">
        <f>IF(売分析!D68&lt;&gt;"",売分析!D68,"")</f>
        <v/>
      </c>
      <c r="E68" s="353">
        <f>IF(売分析!E68&lt;&gt;"",売分析!E68,"")</f>
        <v/>
      </c>
      <c r="F68" s="353">
        <f>IF(売分析!F68&lt;&gt;"",売分析!F68,"")</f>
        <v/>
      </c>
      <c r="G68" s="353">
        <f>IF(売分析!H68&lt;&gt;"",売分析!H68,"")</f>
        <v/>
      </c>
      <c r="H68" s="353">
        <f>IF(売分析!I68&lt;&gt;"",売分析!I68,"")</f>
        <v/>
      </c>
      <c r="I68" s="225">
        <f>IF(売分析!J68&lt;&gt;"",売分析!J68,"")</f>
        <v/>
      </c>
      <c r="J68" s="353">
        <f>IF(売分析!AB68&lt;&gt;"",売分析!AB68,"")</f>
        <v/>
      </c>
      <c r="K68" s="353">
        <f>IF(売分析!AC68&lt;&gt;"",売分析!AC68,"")</f>
        <v/>
      </c>
      <c r="L68" s="353">
        <f>IF(売分析!K68&lt;&gt;"",売分析!K68,"")</f>
        <v/>
      </c>
      <c r="M68" s="225">
        <f>IF(売分析!P68&lt;&gt;"",売分析!P68,"")</f>
        <v/>
      </c>
      <c r="N68" s="627">
        <f>IF(売分析!O68&lt;&gt;"",売分析!O68,"")</f>
        <v/>
      </c>
      <c r="O68" s="357">
        <f>IF(売分析!X68&lt;&gt;"",売分析!X68,"")</f>
        <v/>
      </c>
      <c r="P68" s="626">
        <f>IF(売分析!L68&lt;&gt;"",売分析!L68,"")</f>
        <v/>
      </c>
      <c r="Q68" s="353">
        <f>IF(売分析!S68&lt;&gt;"",売分析!S68,"")</f>
        <v/>
      </c>
      <c r="R68" s="353">
        <f>IF(売分析!R68&lt;&gt;"",売分析!R68,"")</f>
        <v/>
      </c>
      <c r="S68" s="225">
        <f>IF(売分析!AA68&lt;&gt;"",売分析!AA68,"")</f>
        <v/>
      </c>
      <c r="T68" s="629">
        <f>IF(売分析!Z68&lt;&gt;"",売分析!Z68,"")</f>
        <v/>
      </c>
      <c r="U68" s="225">
        <f>IF(売分析!V68&lt;&gt;"",売分析!V68,"")</f>
        <v/>
      </c>
      <c r="V68" s="628">
        <f>IF(売分析!W68&lt;&gt;"",売分析!W68,"")</f>
        <v/>
      </c>
      <c r="W68" s="225">
        <f>IF(売分析!AD68&lt;&gt;"",売分析!AD68,"")</f>
        <v/>
      </c>
      <c r="X68" s="225">
        <f>IF(売分析!AE68&lt;&gt;"",売分析!AE68,"")</f>
        <v/>
      </c>
      <c r="Y68" s="411">
        <f>IF(売分析!T68&lt;&gt;"",売分析!T68,"")</f>
        <v/>
      </c>
      <c r="Z68" s="225">
        <f>IF(売分析!Y68&lt;&gt;"",売分析!Y68,"")</f>
        <v/>
      </c>
    </row>
    <row r="69">
      <c r="A69" s="345">
        <f>IF(売分析!C69&lt;&gt;"",ROW()-2,"")</f>
        <v/>
      </c>
      <c r="B69" s="344">
        <f>IF(売分析!C69&lt;&gt;"",HYPERLINK("https://kabutan.jp/stock/?code="&amp;売分析!C69,"株探"),"")</f>
        <v/>
      </c>
      <c r="C69" s="630">
        <f>IF(売分析!C69&lt;&gt;"",売分析!C69,"")</f>
        <v/>
      </c>
      <c r="D69" s="345">
        <f>IF(売分析!D69&lt;&gt;"",売分析!D69,"")</f>
        <v/>
      </c>
      <c r="E69" s="346">
        <f>IF(売分析!E69&lt;&gt;"",売分析!E69,"")</f>
        <v/>
      </c>
      <c r="F69" s="346">
        <f>IF(売分析!F69&lt;&gt;"",売分析!F69,"")</f>
        <v/>
      </c>
      <c r="G69" s="346">
        <f>IF(売分析!H69&lt;&gt;"",売分析!H69,"")</f>
        <v/>
      </c>
      <c r="H69" s="346">
        <f>IF(売分析!I69&lt;&gt;"",売分析!I69,"")</f>
        <v/>
      </c>
      <c r="I69" s="345">
        <f>IF(売分析!J69&lt;&gt;"",売分析!J69,"")</f>
        <v/>
      </c>
      <c r="J69" s="346">
        <f>IF(売分析!AB69&lt;&gt;"",売分析!AB69,"")</f>
        <v/>
      </c>
      <c r="K69" s="346">
        <f>IF(売分析!AC69&lt;&gt;"",売分析!AC69,"")</f>
        <v/>
      </c>
      <c r="L69" s="346">
        <f>IF(売分析!K69&lt;&gt;"",売分析!K69,"")</f>
        <v/>
      </c>
      <c r="M69" s="345">
        <f>IF(売分析!P69&lt;&gt;"",売分析!P69,"")</f>
        <v/>
      </c>
      <c r="N69" s="620">
        <f>IF(売分析!O69&lt;&gt;"",売分析!O69,"")</f>
        <v/>
      </c>
      <c r="O69" s="350">
        <f>IF(売分析!X69&lt;&gt;"",売分析!X69,"")</f>
        <v/>
      </c>
      <c r="P69" s="619">
        <f>IF(売分析!L69&lt;&gt;"",売分析!L69,"")</f>
        <v/>
      </c>
      <c r="Q69" s="346">
        <f>IF(売分析!S69&lt;&gt;"",売分析!S69,"")</f>
        <v/>
      </c>
      <c r="R69" s="346">
        <f>IF(売分析!R69&lt;&gt;"",売分析!R69,"")</f>
        <v/>
      </c>
      <c r="S69" s="345">
        <f>IF(売分析!AA69&lt;&gt;"",売分析!AA69,"")</f>
        <v/>
      </c>
      <c r="T69" s="622">
        <f>IF(売分析!Z69&lt;&gt;"",売分析!Z69,"")</f>
        <v/>
      </c>
      <c r="U69" s="345">
        <f>IF(売分析!V69&lt;&gt;"",売分析!V69,"")</f>
        <v/>
      </c>
      <c r="V69" s="621">
        <f>IF(売分析!W69&lt;&gt;"",売分析!W69,"")</f>
        <v/>
      </c>
      <c r="W69" s="345">
        <f>IF(売分析!AD69&lt;&gt;"",売分析!AD69,"")</f>
        <v/>
      </c>
      <c r="X69" s="345">
        <f>IF(売分析!AE69&lt;&gt;"",売分析!AE69,"")</f>
        <v/>
      </c>
      <c r="Y69" s="410">
        <f>IF(売分析!T69&lt;&gt;"",売分析!T69,"")</f>
        <v/>
      </c>
      <c r="Z69" s="345">
        <f>IF(売分析!Y69&lt;&gt;"",売分析!Y69,"")</f>
        <v/>
      </c>
    </row>
    <row r="70">
      <c r="A70" s="225">
        <f>IF(売分析!C70&lt;&gt;"",ROW()-2,"")</f>
        <v/>
      </c>
      <c r="B70" s="352">
        <f>IF(売分析!C70&lt;&gt;"",HYPERLINK("https://kabutan.jp/stock/?code="&amp;売分析!C70,"株探"),"")</f>
        <v/>
      </c>
      <c r="C70" s="631">
        <f>IF(売分析!C70&lt;&gt;"",売分析!C70,"")</f>
        <v/>
      </c>
      <c r="D70" s="225">
        <f>IF(売分析!D70&lt;&gt;"",売分析!D70,"")</f>
        <v/>
      </c>
      <c r="E70" s="353">
        <f>IF(売分析!E70&lt;&gt;"",売分析!E70,"")</f>
        <v/>
      </c>
      <c r="F70" s="353">
        <f>IF(売分析!F70&lt;&gt;"",売分析!F70,"")</f>
        <v/>
      </c>
      <c r="G70" s="353">
        <f>IF(売分析!H70&lt;&gt;"",売分析!H70,"")</f>
        <v/>
      </c>
      <c r="H70" s="353">
        <f>IF(売分析!I70&lt;&gt;"",売分析!I70,"")</f>
        <v/>
      </c>
      <c r="I70" s="225">
        <f>IF(売分析!J70&lt;&gt;"",売分析!J70,"")</f>
        <v/>
      </c>
      <c r="J70" s="353">
        <f>IF(売分析!AB70&lt;&gt;"",売分析!AB70,"")</f>
        <v/>
      </c>
      <c r="K70" s="353">
        <f>IF(売分析!AC70&lt;&gt;"",売分析!AC70,"")</f>
        <v/>
      </c>
      <c r="L70" s="353">
        <f>IF(売分析!K70&lt;&gt;"",売分析!K70,"")</f>
        <v/>
      </c>
      <c r="M70" s="225">
        <f>IF(売分析!P70&lt;&gt;"",売分析!P70,"")</f>
        <v/>
      </c>
      <c r="N70" s="627">
        <f>IF(売分析!O70&lt;&gt;"",売分析!O70,"")</f>
        <v/>
      </c>
      <c r="O70" s="357">
        <f>IF(売分析!X70&lt;&gt;"",売分析!X70,"")</f>
        <v/>
      </c>
      <c r="P70" s="626">
        <f>IF(売分析!L70&lt;&gt;"",売分析!L70,"")</f>
        <v/>
      </c>
      <c r="Q70" s="353">
        <f>IF(売分析!S70&lt;&gt;"",売分析!S70,"")</f>
        <v/>
      </c>
      <c r="R70" s="353">
        <f>IF(売分析!R70&lt;&gt;"",売分析!R70,"")</f>
        <v/>
      </c>
      <c r="S70" s="225">
        <f>IF(売分析!AA70&lt;&gt;"",売分析!AA70,"")</f>
        <v/>
      </c>
      <c r="T70" s="629">
        <f>IF(売分析!Z70&lt;&gt;"",売分析!Z70,"")</f>
        <v/>
      </c>
      <c r="U70" s="225">
        <f>IF(売分析!V70&lt;&gt;"",売分析!V70,"")</f>
        <v/>
      </c>
      <c r="V70" s="628">
        <f>IF(売分析!W70&lt;&gt;"",売分析!W70,"")</f>
        <v/>
      </c>
      <c r="W70" s="225">
        <f>IF(売分析!AD70&lt;&gt;"",売分析!AD70,"")</f>
        <v/>
      </c>
      <c r="X70" s="225">
        <f>IF(売分析!AE70&lt;&gt;"",売分析!AE70,"")</f>
        <v/>
      </c>
      <c r="Y70" s="411">
        <f>IF(売分析!T70&lt;&gt;"",売分析!T70,"")</f>
        <v/>
      </c>
      <c r="Z70" s="225">
        <f>IF(売分析!Y70&lt;&gt;"",売分析!Y70,"")</f>
        <v/>
      </c>
    </row>
    <row r="71">
      <c r="A71" s="345">
        <f>IF(売分析!C71&lt;&gt;"",ROW()-2,"")</f>
        <v/>
      </c>
      <c r="B71" s="344">
        <f>IF(売分析!C71&lt;&gt;"",HYPERLINK("https://kabutan.jp/stock/?code="&amp;売分析!C71,"株探"),"")</f>
        <v/>
      </c>
      <c r="C71" s="630">
        <f>IF(売分析!C71&lt;&gt;"",売分析!C71,"")</f>
        <v/>
      </c>
      <c r="D71" s="345">
        <f>IF(売分析!D71&lt;&gt;"",売分析!D71,"")</f>
        <v/>
      </c>
      <c r="E71" s="346">
        <f>IF(売分析!E71&lt;&gt;"",売分析!E71,"")</f>
        <v/>
      </c>
      <c r="F71" s="346">
        <f>IF(売分析!F71&lt;&gt;"",売分析!F71,"")</f>
        <v/>
      </c>
      <c r="G71" s="346">
        <f>IF(売分析!H71&lt;&gt;"",売分析!H71,"")</f>
        <v/>
      </c>
      <c r="H71" s="346">
        <f>IF(売分析!I71&lt;&gt;"",売分析!I71,"")</f>
        <v/>
      </c>
      <c r="I71" s="345">
        <f>IF(売分析!J71&lt;&gt;"",売分析!J71,"")</f>
        <v/>
      </c>
      <c r="J71" s="346">
        <f>IF(売分析!AB71&lt;&gt;"",売分析!AB71,"")</f>
        <v/>
      </c>
      <c r="K71" s="346">
        <f>IF(売分析!AC71&lt;&gt;"",売分析!AC71,"")</f>
        <v/>
      </c>
      <c r="L71" s="346">
        <f>IF(売分析!K71&lt;&gt;"",売分析!K71,"")</f>
        <v/>
      </c>
      <c r="M71" s="345">
        <f>IF(売分析!P71&lt;&gt;"",売分析!P71,"")</f>
        <v/>
      </c>
      <c r="N71" s="620">
        <f>IF(売分析!O71&lt;&gt;"",売分析!O71,"")</f>
        <v/>
      </c>
      <c r="O71" s="350">
        <f>IF(売分析!X71&lt;&gt;"",売分析!X71,"")</f>
        <v/>
      </c>
      <c r="P71" s="619">
        <f>IF(売分析!L71&lt;&gt;"",売分析!L71,"")</f>
        <v/>
      </c>
      <c r="Q71" s="346">
        <f>IF(売分析!S71&lt;&gt;"",売分析!S71,"")</f>
        <v/>
      </c>
      <c r="R71" s="346">
        <f>IF(売分析!R71&lt;&gt;"",売分析!R71,"")</f>
        <v/>
      </c>
      <c r="S71" s="345">
        <f>IF(売分析!AA71&lt;&gt;"",売分析!AA71,"")</f>
        <v/>
      </c>
      <c r="T71" s="622">
        <f>IF(売分析!Z71&lt;&gt;"",売分析!Z71,"")</f>
        <v/>
      </c>
      <c r="U71" s="345">
        <f>IF(売分析!V71&lt;&gt;"",売分析!V71,"")</f>
        <v/>
      </c>
      <c r="V71" s="621">
        <f>IF(売分析!W71&lt;&gt;"",売分析!W71,"")</f>
        <v/>
      </c>
      <c r="W71" s="345">
        <f>IF(売分析!AD71&lt;&gt;"",売分析!AD71,"")</f>
        <v/>
      </c>
      <c r="X71" s="345">
        <f>IF(売分析!AE71&lt;&gt;"",売分析!AE71,"")</f>
        <v/>
      </c>
      <c r="Y71" s="410">
        <f>IF(売分析!T71&lt;&gt;"",売分析!T71,"")</f>
        <v/>
      </c>
      <c r="Z71" s="345">
        <f>IF(売分析!Y71&lt;&gt;"",売分析!Y71,"")</f>
        <v/>
      </c>
    </row>
    <row r="72">
      <c r="A72" s="225">
        <f>IF(売分析!C72&lt;&gt;"",ROW()-2,"")</f>
        <v/>
      </c>
      <c r="B72" s="352">
        <f>IF(売分析!C72&lt;&gt;"",HYPERLINK("https://kabutan.jp/stock/?code="&amp;売分析!C72,"株探"),"")</f>
        <v/>
      </c>
      <c r="C72" s="631">
        <f>IF(売分析!C72&lt;&gt;"",売分析!C72,"")</f>
        <v/>
      </c>
      <c r="D72" s="225">
        <f>IF(売分析!D72&lt;&gt;"",売分析!D72,"")</f>
        <v/>
      </c>
      <c r="E72" s="353">
        <f>IF(売分析!E72&lt;&gt;"",売分析!E72,"")</f>
        <v/>
      </c>
      <c r="F72" s="353">
        <f>IF(売分析!F72&lt;&gt;"",売分析!F72,"")</f>
        <v/>
      </c>
      <c r="G72" s="353">
        <f>IF(売分析!H72&lt;&gt;"",売分析!H72,"")</f>
        <v/>
      </c>
      <c r="H72" s="353">
        <f>IF(売分析!I72&lt;&gt;"",売分析!I72,"")</f>
        <v/>
      </c>
      <c r="I72" s="225">
        <f>IF(売分析!J72&lt;&gt;"",売分析!J72,"")</f>
        <v/>
      </c>
      <c r="J72" s="353">
        <f>IF(売分析!AB72&lt;&gt;"",売分析!AB72,"")</f>
        <v/>
      </c>
      <c r="K72" s="353">
        <f>IF(売分析!AC72&lt;&gt;"",売分析!AC72,"")</f>
        <v/>
      </c>
      <c r="L72" s="353">
        <f>IF(売分析!K72&lt;&gt;"",売分析!K72,"")</f>
        <v/>
      </c>
      <c r="M72" s="225">
        <f>IF(売分析!P72&lt;&gt;"",売分析!P72,"")</f>
        <v/>
      </c>
      <c r="N72" s="627">
        <f>IF(売分析!O72&lt;&gt;"",売分析!O72,"")</f>
        <v/>
      </c>
      <c r="O72" s="357">
        <f>IF(売分析!X72&lt;&gt;"",売分析!X72,"")</f>
        <v/>
      </c>
      <c r="P72" s="626">
        <f>IF(売分析!L72&lt;&gt;"",売分析!L72,"")</f>
        <v/>
      </c>
      <c r="Q72" s="353">
        <f>IF(売分析!S72&lt;&gt;"",売分析!S72,"")</f>
        <v/>
      </c>
      <c r="R72" s="353">
        <f>IF(売分析!R72&lt;&gt;"",売分析!R72,"")</f>
        <v/>
      </c>
      <c r="S72" s="225">
        <f>IF(売分析!AA72&lt;&gt;"",売分析!AA72,"")</f>
        <v/>
      </c>
      <c r="T72" s="629">
        <f>IF(売分析!Z72&lt;&gt;"",売分析!Z72,"")</f>
        <v/>
      </c>
      <c r="U72" s="225">
        <f>IF(売分析!V72&lt;&gt;"",売分析!V72,"")</f>
        <v/>
      </c>
      <c r="V72" s="628">
        <f>IF(売分析!W72&lt;&gt;"",売分析!W72,"")</f>
        <v/>
      </c>
      <c r="W72" s="225">
        <f>IF(売分析!AD72&lt;&gt;"",売分析!AD72,"")</f>
        <v/>
      </c>
      <c r="X72" s="225">
        <f>IF(売分析!AE72&lt;&gt;"",売分析!AE72,"")</f>
        <v/>
      </c>
      <c r="Y72" s="411">
        <f>IF(売分析!T72&lt;&gt;"",売分析!T72,"")</f>
        <v/>
      </c>
      <c r="Z72" s="225">
        <f>IF(売分析!Y72&lt;&gt;"",売分析!Y72,"")</f>
        <v/>
      </c>
    </row>
    <row r="73">
      <c r="A73" s="345">
        <f>IF(売分析!C73&lt;&gt;"",ROW()-2,"")</f>
        <v/>
      </c>
      <c r="B73" s="344">
        <f>IF(売分析!C73&lt;&gt;"",HYPERLINK("https://kabutan.jp/stock/?code="&amp;売分析!C73,"株探"),"")</f>
        <v/>
      </c>
      <c r="C73" s="630">
        <f>IF(売分析!C73&lt;&gt;"",売分析!C73,"")</f>
        <v/>
      </c>
      <c r="D73" s="345">
        <f>IF(売分析!D73&lt;&gt;"",売分析!D73,"")</f>
        <v/>
      </c>
      <c r="E73" s="346">
        <f>IF(売分析!E73&lt;&gt;"",売分析!E73,"")</f>
        <v/>
      </c>
      <c r="F73" s="346">
        <f>IF(売分析!F73&lt;&gt;"",売分析!F73,"")</f>
        <v/>
      </c>
      <c r="G73" s="346">
        <f>IF(売分析!H73&lt;&gt;"",売分析!H73,"")</f>
        <v/>
      </c>
      <c r="H73" s="346">
        <f>IF(売分析!I73&lt;&gt;"",売分析!I73,"")</f>
        <v/>
      </c>
      <c r="I73" s="345">
        <f>IF(売分析!J73&lt;&gt;"",売分析!J73,"")</f>
        <v/>
      </c>
      <c r="J73" s="346">
        <f>IF(売分析!AB73&lt;&gt;"",売分析!AB73,"")</f>
        <v/>
      </c>
      <c r="K73" s="346">
        <f>IF(売分析!AC73&lt;&gt;"",売分析!AC73,"")</f>
        <v/>
      </c>
      <c r="L73" s="346">
        <f>IF(売分析!K73&lt;&gt;"",売分析!K73,"")</f>
        <v/>
      </c>
      <c r="M73" s="345">
        <f>IF(売分析!P73&lt;&gt;"",売分析!P73,"")</f>
        <v/>
      </c>
      <c r="N73" s="620">
        <f>IF(売分析!O73&lt;&gt;"",売分析!O73,"")</f>
        <v/>
      </c>
      <c r="O73" s="350">
        <f>IF(売分析!X73&lt;&gt;"",売分析!X73,"")</f>
        <v/>
      </c>
      <c r="P73" s="619">
        <f>IF(売分析!L73&lt;&gt;"",売分析!L73,"")</f>
        <v/>
      </c>
      <c r="Q73" s="346">
        <f>IF(売分析!S73&lt;&gt;"",売分析!S73,"")</f>
        <v/>
      </c>
      <c r="R73" s="346">
        <f>IF(売分析!R73&lt;&gt;"",売分析!R73,"")</f>
        <v/>
      </c>
      <c r="S73" s="345">
        <f>IF(売分析!AA73&lt;&gt;"",売分析!AA73,"")</f>
        <v/>
      </c>
      <c r="T73" s="622">
        <f>IF(売分析!Z73&lt;&gt;"",売分析!Z73,"")</f>
        <v/>
      </c>
      <c r="U73" s="345">
        <f>IF(売分析!V73&lt;&gt;"",売分析!V73,"")</f>
        <v/>
      </c>
      <c r="V73" s="621">
        <f>IF(売分析!W73&lt;&gt;"",売分析!W73,"")</f>
        <v/>
      </c>
      <c r="W73" s="345">
        <f>IF(売分析!AD73&lt;&gt;"",売分析!AD73,"")</f>
        <v/>
      </c>
      <c r="X73" s="345">
        <f>IF(売分析!AE73&lt;&gt;"",売分析!AE73,"")</f>
        <v/>
      </c>
      <c r="Y73" s="410">
        <f>IF(売分析!T73&lt;&gt;"",売分析!T73,"")</f>
        <v/>
      </c>
      <c r="Z73" s="345">
        <f>IF(売分析!Y73&lt;&gt;"",売分析!Y73,"")</f>
        <v/>
      </c>
    </row>
    <row r="74">
      <c r="A74" s="225">
        <f>IF(売分析!C74&lt;&gt;"",ROW()-2,"")</f>
        <v/>
      </c>
      <c r="B74" s="352">
        <f>IF(売分析!C74&lt;&gt;"",HYPERLINK("https://kabutan.jp/stock/?code="&amp;売分析!C74,"株探"),"")</f>
        <v/>
      </c>
      <c r="C74" s="631">
        <f>IF(売分析!C74&lt;&gt;"",売分析!C74,"")</f>
        <v/>
      </c>
      <c r="D74" s="225">
        <f>IF(売分析!D74&lt;&gt;"",売分析!D74,"")</f>
        <v/>
      </c>
      <c r="E74" s="353">
        <f>IF(売分析!E74&lt;&gt;"",売分析!E74,"")</f>
        <v/>
      </c>
      <c r="F74" s="353">
        <f>IF(売分析!F74&lt;&gt;"",売分析!F74,"")</f>
        <v/>
      </c>
      <c r="G74" s="353">
        <f>IF(売分析!H74&lt;&gt;"",売分析!H74,"")</f>
        <v/>
      </c>
      <c r="H74" s="353">
        <f>IF(売分析!I74&lt;&gt;"",売分析!I74,"")</f>
        <v/>
      </c>
      <c r="I74" s="225">
        <f>IF(売分析!J74&lt;&gt;"",売分析!J74,"")</f>
        <v/>
      </c>
      <c r="J74" s="353">
        <f>IF(売分析!AB74&lt;&gt;"",売分析!AB74,"")</f>
        <v/>
      </c>
      <c r="K74" s="353">
        <f>IF(売分析!AC74&lt;&gt;"",売分析!AC74,"")</f>
        <v/>
      </c>
      <c r="L74" s="353">
        <f>IF(売分析!K74&lt;&gt;"",売分析!K74,"")</f>
        <v/>
      </c>
      <c r="M74" s="225">
        <f>IF(売分析!P74&lt;&gt;"",売分析!P74,"")</f>
        <v/>
      </c>
      <c r="N74" s="627">
        <f>IF(売分析!O74&lt;&gt;"",売分析!O74,"")</f>
        <v/>
      </c>
      <c r="O74" s="357">
        <f>IF(売分析!X74&lt;&gt;"",売分析!X74,"")</f>
        <v/>
      </c>
      <c r="P74" s="626">
        <f>IF(売分析!L74&lt;&gt;"",売分析!L74,"")</f>
        <v/>
      </c>
      <c r="Q74" s="353">
        <f>IF(売分析!S74&lt;&gt;"",売分析!S74,"")</f>
        <v/>
      </c>
      <c r="R74" s="353">
        <f>IF(売分析!R74&lt;&gt;"",売分析!R74,"")</f>
        <v/>
      </c>
      <c r="S74" s="225">
        <f>IF(売分析!AA74&lt;&gt;"",売分析!AA74,"")</f>
        <v/>
      </c>
      <c r="T74" s="629">
        <f>IF(売分析!Z74&lt;&gt;"",売分析!Z74,"")</f>
        <v/>
      </c>
      <c r="U74" s="225">
        <f>IF(売分析!V74&lt;&gt;"",売分析!V74,"")</f>
        <v/>
      </c>
      <c r="V74" s="628">
        <f>IF(売分析!W74&lt;&gt;"",売分析!W74,"")</f>
        <v/>
      </c>
      <c r="W74" s="225">
        <f>IF(売分析!AD74&lt;&gt;"",売分析!AD74,"")</f>
        <v/>
      </c>
      <c r="X74" s="225">
        <f>IF(売分析!AE74&lt;&gt;"",売分析!AE74,"")</f>
        <v/>
      </c>
      <c r="Y74" s="411">
        <f>IF(売分析!T74&lt;&gt;"",売分析!T74,"")</f>
        <v/>
      </c>
      <c r="Z74" s="225">
        <f>IF(売分析!Y74&lt;&gt;"",売分析!Y74,"")</f>
        <v/>
      </c>
    </row>
    <row r="75">
      <c r="A75" s="345">
        <f>IF(売分析!C75&lt;&gt;"",ROW()-2,"")</f>
        <v/>
      </c>
      <c r="B75" s="344">
        <f>IF(売分析!C75&lt;&gt;"",HYPERLINK("https://kabutan.jp/stock/?code="&amp;売分析!C75,"株探"),"")</f>
        <v/>
      </c>
      <c r="C75" s="630">
        <f>IF(売分析!C75&lt;&gt;"",売分析!C75,"")</f>
        <v/>
      </c>
      <c r="D75" s="345">
        <f>IF(売分析!D75&lt;&gt;"",売分析!D75,"")</f>
        <v/>
      </c>
      <c r="E75" s="346">
        <f>IF(売分析!E75&lt;&gt;"",売分析!E75,"")</f>
        <v/>
      </c>
      <c r="F75" s="346">
        <f>IF(売分析!F75&lt;&gt;"",売分析!F75,"")</f>
        <v/>
      </c>
      <c r="G75" s="346">
        <f>IF(売分析!H75&lt;&gt;"",売分析!H75,"")</f>
        <v/>
      </c>
      <c r="H75" s="346">
        <f>IF(売分析!I75&lt;&gt;"",売分析!I75,"")</f>
        <v/>
      </c>
      <c r="I75" s="345">
        <f>IF(売分析!J75&lt;&gt;"",売分析!J75,"")</f>
        <v/>
      </c>
      <c r="J75" s="346">
        <f>IF(売分析!AB75&lt;&gt;"",売分析!AB75,"")</f>
        <v/>
      </c>
      <c r="K75" s="346">
        <f>IF(売分析!AC75&lt;&gt;"",売分析!AC75,"")</f>
        <v/>
      </c>
      <c r="L75" s="346">
        <f>IF(売分析!K75&lt;&gt;"",売分析!K75,"")</f>
        <v/>
      </c>
      <c r="M75" s="345">
        <f>IF(売分析!P75&lt;&gt;"",売分析!P75,"")</f>
        <v/>
      </c>
      <c r="N75" s="620">
        <f>IF(売分析!O75&lt;&gt;"",売分析!O75,"")</f>
        <v/>
      </c>
      <c r="O75" s="350">
        <f>IF(売分析!X75&lt;&gt;"",売分析!X75,"")</f>
        <v/>
      </c>
      <c r="P75" s="619">
        <f>IF(売分析!L75&lt;&gt;"",売分析!L75,"")</f>
        <v/>
      </c>
      <c r="Q75" s="346">
        <f>IF(売分析!S75&lt;&gt;"",売分析!S75,"")</f>
        <v/>
      </c>
      <c r="R75" s="346">
        <f>IF(売分析!R75&lt;&gt;"",売分析!R75,"")</f>
        <v/>
      </c>
      <c r="S75" s="345">
        <f>IF(売分析!AA75&lt;&gt;"",売分析!AA75,"")</f>
        <v/>
      </c>
      <c r="T75" s="622">
        <f>IF(売分析!Z75&lt;&gt;"",売分析!Z75,"")</f>
        <v/>
      </c>
      <c r="U75" s="345">
        <f>IF(売分析!V75&lt;&gt;"",売分析!V75,"")</f>
        <v/>
      </c>
      <c r="V75" s="621">
        <f>IF(売分析!W75&lt;&gt;"",売分析!W75,"")</f>
        <v/>
      </c>
      <c r="W75" s="345">
        <f>IF(売分析!AD75&lt;&gt;"",売分析!AD75,"")</f>
        <v/>
      </c>
      <c r="X75" s="345">
        <f>IF(売分析!AE75&lt;&gt;"",売分析!AE75,"")</f>
        <v/>
      </c>
      <c r="Y75" s="410">
        <f>IF(売分析!T75&lt;&gt;"",売分析!T75,"")</f>
        <v/>
      </c>
      <c r="Z75" s="345">
        <f>IF(売分析!Y75&lt;&gt;"",売分析!Y75,"")</f>
        <v/>
      </c>
    </row>
    <row r="76">
      <c r="A76" s="225">
        <f>IF(売分析!C76&lt;&gt;"",ROW()-2,"")</f>
        <v/>
      </c>
      <c r="B76" s="352">
        <f>IF(売分析!C76&lt;&gt;"",HYPERLINK("https://kabutan.jp/stock/?code="&amp;売分析!C76,"株探"),"")</f>
        <v/>
      </c>
      <c r="C76" s="631">
        <f>IF(売分析!C76&lt;&gt;"",売分析!C76,"")</f>
        <v/>
      </c>
      <c r="D76" s="225">
        <f>IF(売分析!D76&lt;&gt;"",売分析!D76,"")</f>
        <v/>
      </c>
      <c r="E76" s="353">
        <f>IF(売分析!E76&lt;&gt;"",売分析!E76,"")</f>
        <v/>
      </c>
      <c r="F76" s="353">
        <f>IF(売分析!F76&lt;&gt;"",売分析!F76,"")</f>
        <v/>
      </c>
      <c r="G76" s="353">
        <f>IF(売分析!H76&lt;&gt;"",売分析!H76,"")</f>
        <v/>
      </c>
      <c r="H76" s="353">
        <f>IF(売分析!I76&lt;&gt;"",売分析!I76,"")</f>
        <v/>
      </c>
      <c r="I76" s="225">
        <f>IF(売分析!J76&lt;&gt;"",売分析!J76,"")</f>
        <v/>
      </c>
      <c r="J76" s="353">
        <f>IF(売分析!AB76&lt;&gt;"",売分析!AB76,"")</f>
        <v/>
      </c>
      <c r="K76" s="353">
        <f>IF(売分析!AC76&lt;&gt;"",売分析!AC76,"")</f>
        <v/>
      </c>
      <c r="L76" s="353">
        <f>IF(売分析!K76&lt;&gt;"",売分析!K76,"")</f>
        <v/>
      </c>
      <c r="M76" s="225">
        <f>IF(売分析!P76&lt;&gt;"",売分析!P76,"")</f>
        <v/>
      </c>
      <c r="N76" s="627">
        <f>IF(売分析!O76&lt;&gt;"",売分析!O76,"")</f>
        <v/>
      </c>
      <c r="O76" s="357">
        <f>IF(売分析!X76&lt;&gt;"",売分析!X76,"")</f>
        <v/>
      </c>
      <c r="P76" s="626">
        <f>IF(売分析!L76&lt;&gt;"",売分析!L76,"")</f>
        <v/>
      </c>
      <c r="Q76" s="353">
        <f>IF(売分析!S76&lt;&gt;"",売分析!S76,"")</f>
        <v/>
      </c>
      <c r="R76" s="353">
        <f>IF(売分析!R76&lt;&gt;"",売分析!R76,"")</f>
        <v/>
      </c>
      <c r="S76" s="225">
        <f>IF(売分析!AA76&lt;&gt;"",売分析!AA76,"")</f>
        <v/>
      </c>
      <c r="T76" s="629">
        <f>IF(売分析!Z76&lt;&gt;"",売分析!Z76,"")</f>
        <v/>
      </c>
      <c r="U76" s="225">
        <f>IF(売分析!V76&lt;&gt;"",売分析!V76,"")</f>
        <v/>
      </c>
      <c r="V76" s="628">
        <f>IF(売分析!W76&lt;&gt;"",売分析!W76,"")</f>
        <v/>
      </c>
      <c r="W76" s="225">
        <f>IF(売分析!AD76&lt;&gt;"",売分析!AD76,"")</f>
        <v/>
      </c>
      <c r="X76" s="225">
        <f>IF(売分析!AE76&lt;&gt;"",売分析!AE76,"")</f>
        <v/>
      </c>
      <c r="Y76" s="411">
        <f>IF(売分析!T76&lt;&gt;"",売分析!T76,"")</f>
        <v/>
      </c>
      <c r="Z76" s="225">
        <f>IF(売分析!Y76&lt;&gt;"",売分析!Y76,"")</f>
        <v/>
      </c>
    </row>
    <row r="77">
      <c r="A77" s="345">
        <f>IF(売分析!C77&lt;&gt;"",ROW()-2,"")</f>
        <v/>
      </c>
      <c r="B77" s="344">
        <f>IF(売分析!C77&lt;&gt;"",HYPERLINK("https://kabutan.jp/stock/?code="&amp;売分析!C77,"株探"),"")</f>
        <v/>
      </c>
      <c r="C77" s="630">
        <f>IF(売分析!C77&lt;&gt;"",売分析!C77,"")</f>
        <v/>
      </c>
      <c r="D77" s="345">
        <f>IF(売分析!D77&lt;&gt;"",売分析!D77,"")</f>
        <v/>
      </c>
      <c r="E77" s="346">
        <f>IF(売分析!E77&lt;&gt;"",売分析!E77,"")</f>
        <v/>
      </c>
      <c r="F77" s="346">
        <f>IF(売分析!F77&lt;&gt;"",売分析!F77,"")</f>
        <v/>
      </c>
      <c r="G77" s="346">
        <f>IF(売分析!H77&lt;&gt;"",売分析!H77,"")</f>
        <v/>
      </c>
      <c r="H77" s="346">
        <f>IF(売分析!I77&lt;&gt;"",売分析!I77,"")</f>
        <v/>
      </c>
      <c r="I77" s="345">
        <f>IF(売分析!J77&lt;&gt;"",売分析!J77,"")</f>
        <v/>
      </c>
      <c r="J77" s="346">
        <f>IF(売分析!AB77&lt;&gt;"",売分析!AB77,"")</f>
        <v/>
      </c>
      <c r="K77" s="346">
        <f>IF(売分析!AC77&lt;&gt;"",売分析!AC77,"")</f>
        <v/>
      </c>
      <c r="L77" s="346">
        <f>IF(売分析!K77&lt;&gt;"",売分析!K77,"")</f>
        <v/>
      </c>
      <c r="M77" s="345">
        <f>IF(売分析!P77&lt;&gt;"",売分析!P77,"")</f>
        <v/>
      </c>
      <c r="N77" s="620">
        <f>IF(売分析!O77&lt;&gt;"",売分析!O77,"")</f>
        <v/>
      </c>
      <c r="O77" s="350">
        <f>IF(売分析!X77&lt;&gt;"",売分析!X77,"")</f>
        <v/>
      </c>
      <c r="P77" s="619">
        <f>IF(売分析!L77&lt;&gt;"",売分析!L77,"")</f>
        <v/>
      </c>
      <c r="Q77" s="346">
        <f>IF(売分析!S77&lt;&gt;"",売分析!S77,"")</f>
        <v/>
      </c>
      <c r="R77" s="346">
        <f>IF(売分析!R77&lt;&gt;"",売分析!R77,"")</f>
        <v/>
      </c>
      <c r="S77" s="345">
        <f>IF(売分析!AA77&lt;&gt;"",売分析!AA77,"")</f>
        <v/>
      </c>
      <c r="T77" s="622">
        <f>IF(売分析!Z77&lt;&gt;"",売分析!Z77,"")</f>
        <v/>
      </c>
      <c r="U77" s="345">
        <f>IF(売分析!V77&lt;&gt;"",売分析!V77,"")</f>
        <v/>
      </c>
      <c r="V77" s="621">
        <f>IF(売分析!W77&lt;&gt;"",売分析!W77,"")</f>
        <v/>
      </c>
      <c r="W77" s="345">
        <f>IF(売分析!AD77&lt;&gt;"",売分析!AD77,"")</f>
        <v/>
      </c>
      <c r="X77" s="345">
        <f>IF(売分析!AE77&lt;&gt;"",売分析!AE77,"")</f>
        <v/>
      </c>
      <c r="Y77" s="410">
        <f>IF(売分析!T77&lt;&gt;"",売分析!T77,"")</f>
        <v/>
      </c>
      <c r="Z77" s="345">
        <f>IF(売分析!Y77&lt;&gt;"",売分析!Y77,"")</f>
        <v/>
      </c>
    </row>
    <row r="78">
      <c r="A78" s="225">
        <f>IF(売分析!C78&lt;&gt;"",ROW()-2,"")</f>
        <v/>
      </c>
      <c r="B78" s="352">
        <f>IF(売分析!C78&lt;&gt;"",HYPERLINK("https://kabutan.jp/stock/?code="&amp;売分析!C78,"株探"),"")</f>
        <v/>
      </c>
      <c r="C78" s="631">
        <f>IF(売分析!C78&lt;&gt;"",売分析!C78,"")</f>
        <v/>
      </c>
      <c r="D78" s="225">
        <f>IF(売分析!D78&lt;&gt;"",売分析!D78,"")</f>
        <v/>
      </c>
      <c r="E78" s="353">
        <f>IF(売分析!E78&lt;&gt;"",売分析!E78,"")</f>
        <v/>
      </c>
      <c r="F78" s="353">
        <f>IF(売分析!F78&lt;&gt;"",売分析!F78,"")</f>
        <v/>
      </c>
      <c r="G78" s="353">
        <f>IF(売分析!H78&lt;&gt;"",売分析!H78,"")</f>
        <v/>
      </c>
      <c r="H78" s="353">
        <f>IF(売分析!I78&lt;&gt;"",売分析!I78,"")</f>
        <v/>
      </c>
      <c r="I78" s="225">
        <f>IF(売分析!J78&lt;&gt;"",売分析!J78,"")</f>
        <v/>
      </c>
      <c r="J78" s="353">
        <f>IF(売分析!AB78&lt;&gt;"",売分析!AB78,"")</f>
        <v/>
      </c>
      <c r="K78" s="353">
        <f>IF(売分析!AC78&lt;&gt;"",売分析!AC78,"")</f>
        <v/>
      </c>
      <c r="L78" s="353">
        <f>IF(売分析!K78&lt;&gt;"",売分析!K78,"")</f>
        <v/>
      </c>
      <c r="M78" s="225">
        <f>IF(売分析!P78&lt;&gt;"",売分析!P78,"")</f>
        <v/>
      </c>
      <c r="N78" s="627">
        <f>IF(売分析!O78&lt;&gt;"",売分析!O78,"")</f>
        <v/>
      </c>
      <c r="O78" s="357">
        <f>IF(売分析!X78&lt;&gt;"",売分析!X78,"")</f>
        <v/>
      </c>
      <c r="P78" s="626">
        <f>IF(売分析!L78&lt;&gt;"",売分析!L78,"")</f>
        <v/>
      </c>
      <c r="Q78" s="353">
        <f>IF(売分析!S78&lt;&gt;"",売分析!S78,"")</f>
        <v/>
      </c>
      <c r="R78" s="353">
        <f>IF(売分析!R78&lt;&gt;"",売分析!R78,"")</f>
        <v/>
      </c>
      <c r="S78" s="225">
        <f>IF(売分析!AA78&lt;&gt;"",売分析!AA78,"")</f>
        <v/>
      </c>
      <c r="T78" s="629">
        <f>IF(売分析!Z78&lt;&gt;"",売分析!Z78,"")</f>
        <v/>
      </c>
      <c r="U78" s="225">
        <f>IF(売分析!V78&lt;&gt;"",売分析!V78,"")</f>
        <v/>
      </c>
      <c r="V78" s="628">
        <f>IF(売分析!W78&lt;&gt;"",売分析!W78,"")</f>
        <v/>
      </c>
      <c r="W78" s="225">
        <f>IF(売分析!AD78&lt;&gt;"",売分析!AD78,"")</f>
        <v/>
      </c>
      <c r="X78" s="225">
        <f>IF(売分析!AE78&lt;&gt;"",売分析!AE78,"")</f>
        <v/>
      </c>
      <c r="Y78" s="411">
        <f>IF(売分析!T78&lt;&gt;"",売分析!T78,"")</f>
        <v/>
      </c>
      <c r="Z78" s="225">
        <f>IF(売分析!Y78&lt;&gt;"",売分析!Y78,"")</f>
        <v/>
      </c>
    </row>
    <row r="79">
      <c r="A79" s="345">
        <f>IF(売分析!C79&lt;&gt;"",ROW()-2,"")</f>
        <v/>
      </c>
      <c r="B79" s="344">
        <f>IF(売分析!C79&lt;&gt;"",HYPERLINK("https://kabutan.jp/stock/?code="&amp;売分析!C79,"株探"),"")</f>
        <v/>
      </c>
      <c r="C79" s="630">
        <f>IF(売分析!C79&lt;&gt;"",売分析!C79,"")</f>
        <v/>
      </c>
      <c r="D79" s="345">
        <f>IF(売分析!D79&lt;&gt;"",売分析!D79,"")</f>
        <v/>
      </c>
      <c r="E79" s="346">
        <f>IF(売分析!E79&lt;&gt;"",売分析!E79,"")</f>
        <v/>
      </c>
      <c r="F79" s="346">
        <f>IF(売分析!F79&lt;&gt;"",売分析!F79,"")</f>
        <v/>
      </c>
      <c r="G79" s="346">
        <f>IF(売分析!H79&lt;&gt;"",売分析!H79,"")</f>
        <v/>
      </c>
      <c r="H79" s="346">
        <f>IF(売分析!I79&lt;&gt;"",売分析!I79,"")</f>
        <v/>
      </c>
      <c r="I79" s="345">
        <f>IF(売分析!J79&lt;&gt;"",売分析!J79,"")</f>
        <v/>
      </c>
      <c r="J79" s="346">
        <f>IF(売分析!AB79&lt;&gt;"",売分析!AB79,"")</f>
        <v/>
      </c>
      <c r="K79" s="346">
        <f>IF(売分析!AC79&lt;&gt;"",売分析!AC79,"")</f>
        <v/>
      </c>
      <c r="L79" s="346">
        <f>IF(売分析!K79&lt;&gt;"",売分析!K79,"")</f>
        <v/>
      </c>
      <c r="M79" s="345">
        <f>IF(売分析!P79&lt;&gt;"",売分析!P79,"")</f>
        <v/>
      </c>
      <c r="N79" s="620">
        <f>IF(売分析!O79&lt;&gt;"",売分析!O79,"")</f>
        <v/>
      </c>
      <c r="O79" s="350">
        <f>IF(売分析!X79&lt;&gt;"",売分析!X79,"")</f>
        <v/>
      </c>
      <c r="P79" s="619">
        <f>IF(売分析!L79&lt;&gt;"",売分析!L79,"")</f>
        <v/>
      </c>
      <c r="Q79" s="346">
        <f>IF(売分析!S79&lt;&gt;"",売分析!S79,"")</f>
        <v/>
      </c>
      <c r="R79" s="346">
        <f>IF(売分析!R79&lt;&gt;"",売分析!R79,"")</f>
        <v/>
      </c>
      <c r="S79" s="345">
        <f>IF(売分析!AA79&lt;&gt;"",売分析!AA79,"")</f>
        <v/>
      </c>
      <c r="T79" s="622">
        <f>IF(売分析!Z79&lt;&gt;"",売分析!Z79,"")</f>
        <v/>
      </c>
      <c r="U79" s="345">
        <f>IF(売分析!V79&lt;&gt;"",売分析!V79,"")</f>
        <v/>
      </c>
      <c r="V79" s="621">
        <f>IF(売分析!W79&lt;&gt;"",売分析!W79,"")</f>
        <v/>
      </c>
      <c r="W79" s="345">
        <f>IF(売分析!AD79&lt;&gt;"",売分析!AD79,"")</f>
        <v/>
      </c>
      <c r="X79" s="345">
        <f>IF(売分析!AE79&lt;&gt;"",売分析!AE79,"")</f>
        <v/>
      </c>
      <c r="Y79" s="410">
        <f>IF(売分析!T79&lt;&gt;"",売分析!T79,"")</f>
        <v/>
      </c>
      <c r="Z79" s="345">
        <f>IF(売分析!Y79&lt;&gt;"",売分析!Y79,"")</f>
        <v/>
      </c>
    </row>
    <row r="80">
      <c r="A80" s="225">
        <f>IF(売分析!C80&lt;&gt;"",ROW()-2,"")</f>
        <v/>
      </c>
      <c r="B80" s="352">
        <f>IF(売分析!C80&lt;&gt;"",HYPERLINK("https://kabutan.jp/stock/?code="&amp;売分析!C80,"株探"),"")</f>
        <v/>
      </c>
      <c r="C80" s="631">
        <f>IF(売分析!C80&lt;&gt;"",売分析!C80,"")</f>
        <v/>
      </c>
      <c r="D80" s="225">
        <f>IF(売分析!D80&lt;&gt;"",売分析!D80,"")</f>
        <v/>
      </c>
      <c r="E80" s="353">
        <f>IF(売分析!E80&lt;&gt;"",売分析!E80,"")</f>
        <v/>
      </c>
      <c r="F80" s="353">
        <f>IF(売分析!F80&lt;&gt;"",売分析!F80,"")</f>
        <v/>
      </c>
      <c r="G80" s="353">
        <f>IF(売分析!H80&lt;&gt;"",売分析!H80,"")</f>
        <v/>
      </c>
      <c r="H80" s="353">
        <f>IF(売分析!I80&lt;&gt;"",売分析!I80,"")</f>
        <v/>
      </c>
      <c r="I80" s="225">
        <f>IF(売分析!J80&lt;&gt;"",売分析!J80,"")</f>
        <v/>
      </c>
      <c r="J80" s="353">
        <f>IF(売分析!AB80&lt;&gt;"",売分析!AB80,"")</f>
        <v/>
      </c>
      <c r="K80" s="353">
        <f>IF(売分析!AC80&lt;&gt;"",売分析!AC80,"")</f>
        <v/>
      </c>
      <c r="L80" s="353">
        <f>IF(売分析!K80&lt;&gt;"",売分析!K80,"")</f>
        <v/>
      </c>
      <c r="M80" s="225">
        <f>IF(売分析!P80&lt;&gt;"",売分析!P80,"")</f>
        <v/>
      </c>
      <c r="N80" s="627">
        <f>IF(売分析!O80&lt;&gt;"",売分析!O80,"")</f>
        <v/>
      </c>
      <c r="O80" s="357">
        <f>IF(売分析!X80&lt;&gt;"",売分析!X80,"")</f>
        <v/>
      </c>
      <c r="P80" s="626">
        <f>IF(売分析!L80&lt;&gt;"",売分析!L80,"")</f>
        <v/>
      </c>
      <c r="Q80" s="353">
        <f>IF(売分析!S80&lt;&gt;"",売分析!S80,"")</f>
        <v/>
      </c>
      <c r="R80" s="353">
        <f>IF(売分析!R80&lt;&gt;"",売分析!R80,"")</f>
        <v/>
      </c>
      <c r="S80" s="225">
        <f>IF(売分析!AA80&lt;&gt;"",売分析!AA80,"")</f>
        <v/>
      </c>
      <c r="T80" s="629">
        <f>IF(売分析!Z80&lt;&gt;"",売分析!Z80,"")</f>
        <v/>
      </c>
      <c r="U80" s="225">
        <f>IF(売分析!V80&lt;&gt;"",売分析!V80,"")</f>
        <v/>
      </c>
      <c r="V80" s="628">
        <f>IF(売分析!W80&lt;&gt;"",売分析!W80,"")</f>
        <v/>
      </c>
      <c r="W80" s="225">
        <f>IF(売分析!AD80&lt;&gt;"",売分析!AD80,"")</f>
        <v/>
      </c>
      <c r="X80" s="225">
        <f>IF(売分析!AE80&lt;&gt;"",売分析!AE80,"")</f>
        <v/>
      </c>
      <c r="Y80" s="411">
        <f>IF(売分析!T80&lt;&gt;"",売分析!T80,"")</f>
        <v/>
      </c>
      <c r="Z80" s="225">
        <f>IF(売分析!Y80&lt;&gt;"",売分析!Y80,"")</f>
        <v/>
      </c>
    </row>
    <row r="81">
      <c r="A81" s="345">
        <f>IF(売分析!C81&lt;&gt;"",ROW()-2,"")</f>
        <v/>
      </c>
      <c r="B81" s="344">
        <f>IF(売分析!C81&lt;&gt;"",HYPERLINK("https://kabutan.jp/stock/?code="&amp;売分析!C81,"株探"),"")</f>
        <v/>
      </c>
      <c r="C81" s="630">
        <f>IF(売分析!C81&lt;&gt;"",売分析!C81,"")</f>
        <v/>
      </c>
      <c r="D81" s="345">
        <f>IF(売分析!D81&lt;&gt;"",売分析!D81,"")</f>
        <v/>
      </c>
      <c r="E81" s="346">
        <f>IF(売分析!E81&lt;&gt;"",売分析!E81,"")</f>
        <v/>
      </c>
      <c r="F81" s="346">
        <f>IF(売分析!F81&lt;&gt;"",売分析!F81,"")</f>
        <v/>
      </c>
      <c r="G81" s="346">
        <f>IF(売分析!H81&lt;&gt;"",売分析!H81,"")</f>
        <v/>
      </c>
      <c r="H81" s="346">
        <f>IF(売分析!I81&lt;&gt;"",売分析!I81,"")</f>
        <v/>
      </c>
      <c r="I81" s="345">
        <f>IF(売分析!J81&lt;&gt;"",売分析!J81,"")</f>
        <v/>
      </c>
      <c r="J81" s="346">
        <f>IF(売分析!AB81&lt;&gt;"",売分析!AB81,"")</f>
        <v/>
      </c>
      <c r="K81" s="346">
        <f>IF(売分析!AC81&lt;&gt;"",売分析!AC81,"")</f>
        <v/>
      </c>
      <c r="L81" s="346">
        <f>IF(売分析!K81&lt;&gt;"",売分析!K81,"")</f>
        <v/>
      </c>
      <c r="M81" s="345">
        <f>IF(売分析!P81&lt;&gt;"",売分析!P81,"")</f>
        <v/>
      </c>
      <c r="N81" s="620">
        <f>IF(売分析!O81&lt;&gt;"",売分析!O81,"")</f>
        <v/>
      </c>
      <c r="O81" s="350">
        <f>IF(売分析!X81&lt;&gt;"",売分析!X81,"")</f>
        <v/>
      </c>
      <c r="P81" s="619">
        <f>IF(売分析!L81&lt;&gt;"",売分析!L81,"")</f>
        <v/>
      </c>
      <c r="Q81" s="346">
        <f>IF(売分析!S81&lt;&gt;"",売分析!S81,"")</f>
        <v/>
      </c>
      <c r="R81" s="346">
        <f>IF(売分析!R81&lt;&gt;"",売分析!R81,"")</f>
        <v/>
      </c>
      <c r="S81" s="345">
        <f>IF(売分析!AA81&lt;&gt;"",売分析!AA81,"")</f>
        <v/>
      </c>
      <c r="T81" s="622">
        <f>IF(売分析!Z81&lt;&gt;"",売分析!Z81,"")</f>
        <v/>
      </c>
      <c r="U81" s="345">
        <f>IF(売分析!V81&lt;&gt;"",売分析!V81,"")</f>
        <v/>
      </c>
      <c r="V81" s="621">
        <f>IF(売分析!W81&lt;&gt;"",売分析!W81,"")</f>
        <v/>
      </c>
      <c r="W81" s="345">
        <f>IF(売分析!AD81&lt;&gt;"",売分析!AD81,"")</f>
        <v/>
      </c>
      <c r="X81" s="345">
        <f>IF(売分析!AE81&lt;&gt;"",売分析!AE81,"")</f>
        <v/>
      </c>
      <c r="Y81" s="410">
        <f>IF(売分析!T81&lt;&gt;"",売分析!T81,"")</f>
        <v/>
      </c>
      <c r="Z81" s="345">
        <f>IF(売分析!Y81&lt;&gt;"",売分析!Y81,"")</f>
        <v/>
      </c>
    </row>
    <row r="82">
      <c r="A82" s="225">
        <f>IF(売分析!C82&lt;&gt;"",ROW()-2,"")</f>
        <v/>
      </c>
      <c r="B82" s="352">
        <f>IF(売分析!C82&lt;&gt;"",HYPERLINK("https://kabutan.jp/stock/?code="&amp;売分析!C82,"株探"),"")</f>
        <v/>
      </c>
      <c r="C82" s="631">
        <f>IF(売分析!C82&lt;&gt;"",売分析!C82,"")</f>
        <v/>
      </c>
      <c r="D82" s="225">
        <f>IF(売分析!D82&lt;&gt;"",売分析!D82,"")</f>
        <v/>
      </c>
      <c r="E82" s="353">
        <f>IF(売分析!E82&lt;&gt;"",売分析!E82,"")</f>
        <v/>
      </c>
      <c r="F82" s="353">
        <f>IF(売分析!F82&lt;&gt;"",売分析!F82,"")</f>
        <v/>
      </c>
      <c r="G82" s="353">
        <f>IF(売分析!H82&lt;&gt;"",売分析!H82,"")</f>
        <v/>
      </c>
      <c r="H82" s="353">
        <f>IF(売分析!I82&lt;&gt;"",売分析!I82,"")</f>
        <v/>
      </c>
      <c r="I82" s="225">
        <f>IF(売分析!J82&lt;&gt;"",売分析!J82,"")</f>
        <v/>
      </c>
      <c r="J82" s="353">
        <f>IF(売分析!AB82&lt;&gt;"",売分析!AB82,"")</f>
        <v/>
      </c>
      <c r="K82" s="353">
        <f>IF(売分析!AC82&lt;&gt;"",売分析!AC82,"")</f>
        <v/>
      </c>
      <c r="L82" s="353">
        <f>IF(売分析!K82&lt;&gt;"",売分析!K82,"")</f>
        <v/>
      </c>
      <c r="M82" s="225">
        <f>IF(売分析!P82&lt;&gt;"",売分析!P82,"")</f>
        <v/>
      </c>
      <c r="N82" s="627">
        <f>IF(売分析!O82&lt;&gt;"",売分析!O82,"")</f>
        <v/>
      </c>
      <c r="O82" s="357">
        <f>IF(売分析!X82&lt;&gt;"",売分析!X82,"")</f>
        <v/>
      </c>
      <c r="P82" s="626">
        <f>IF(売分析!L82&lt;&gt;"",売分析!L82,"")</f>
        <v/>
      </c>
      <c r="Q82" s="353">
        <f>IF(売分析!S82&lt;&gt;"",売分析!S82,"")</f>
        <v/>
      </c>
      <c r="R82" s="353">
        <f>IF(売分析!R82&lt;&gt;"",売分析!R82,"")</f>
        <v/>
      </c>
      <c r="S82" s="225">
        <f>IF(売分析!AA82&lt;&gt;"",売分析!AA82,"")</f>
        <v/>
      </c>
      <c r="T82" s="629">
        <f>IF(売分析!Z82&lt;&gt;"",売分析!Z82,"")</f>
        <v/>
      </c>
      <c r="U82" s="225">
        <f>IF(売分析!V82&lt;&gt;"",売分析!V82,"")</f>
        <v/>
      </c>
      <c r="V82" s="628">
        <f>IF(売分析!W82&lt;&gt;"",売分析!W82,"")</f>
        <v/>
      </c>
      <c r="W82" s="225">
        <f>IF(売分析!AD82&lt;&gt;"",売分析!AD82,"")</f>
        <v/>
      </c>
      <c r="X82" s="225">
        <f>IF(売分析!AE82&lt;&gt;"",売分析!AE82,"")</f>
        <v/>
      </c>
      <c r="Y82" s="411">
        <f>IF(売分析!T82&lt;&gt;"",売分析!T82,"")</f>
        <v/>
      </c>
      <c r="Z82" s="225">
        <f>IF(売分析!Y82&lt;&gt;"",売分析!Y82,"")</f>
        <v/>
      </c>
    </row>
    <row r="83">
      <c r="A83" s="345">
        <f>IF(売分析!C83&lt;&gt;"",ROW()-2,"")</f>
        <v/>
      </c>
      <c r="B83" s="344">
        <f>IF(売分析!C83&lt;&gt;"",HYPERLINK("https://kabutan.jp/stock/?code="&amp;売分析!C83,"株探"),"")</f>
        <v/>
      </c>
      <c r="C83" s="630">
        <f>IF(売分析!C83&lt;&gt;"",売分析!C83,"")</f>
        <v/>
      </c>
      <c r="D83" s="345">
        <f>IF(売分析!D83&lt;&gt;"",売分析!D83,"")</f>
        <v/>
      </c>
      <c r="E83" s="346">
        <f>IF(売分析!E83&lt;&gt;"",売分析!E83,"")</f>
        <v/>
      </c>
      <c r="F83" s="346">
        <f>IF(売分析!F83&lt;&gt;"",売分析!F83,"")</f>
        <v/>
      </c>
      <c r="G83" s="346">
        <f>IF(売分析!H83&lt;&gt;"",売分析!H83,"")</f>
        <v/>
      </c>
      <c r="H83" s="346">
        <f>IF(売分析!I83&lt;&gt;"",売分析!I83,"")</f>
        <v/>
      </c>
      <c r="I83" s="345">
        <f>IF(売分析!J83&lt;&gt;"",売分析!J83,"")</f>
        <v/>
      </c>
      <c r="J83" s="346">
        <f>IF(売分析!AB83&lt;&gt;"",売分析!AB83,"")</f>
        <v/>
      </c>
      <c r="K83" s="346">
        <f>IF(売分析!AC83&lt;&gt;"",売分析!AC83,"")</f>
        <v/>
      </c>
      <c r="L83" s="346">
        <f>IF(売分析!K83&lt;&gt;"",売分析!K83,"")</f>
        <v/>
      </c>
      <c r="M83" s="345">
        <f>IF(売分析!P83&lt;&gt;"",売分析!P83,"")</f>
        <v/>
      </c>
      <c r="N83" s="620">
        <f>IF(売分析!O83&lt;&gt;"",売分析!O83,"")</f>
        <v/>
      </c>
      <c r="O83" s="350">
        <f>IF(売分析!X83&lt;&gt;"",売分析!X83,"")</f>
        <v/>
      </c>
      <c r="P83" s="619">
        <f>IF(売分析!L83&lt;&gt;"",売分析!L83,"")</f>
        <v/>
      </c>
      <c r="Q83" s="346">
        <f>IF(売分析!S83&lt;&gt;"",売分析!S83,"")</f>
        <v/>
      </c>
      <c r="R83" s="346">
        <f>IF(売分析!R83&lt;&gt;"",売分析!R83,"")</f>
        <v/>
      </c>
      <c r="S83" s="345">
        <f>IF(売分析!AA83&lt;&gt;"",売分析!AA83,"")</f>
        <v/>
      </c>
      <c r="T83" s="622">
        <f>IF(売分析!Z83&lt;&gt;"",売分析!Z83,"")</f>
        <v/>
      </c>
      <c r="U83" s="345">
        <f>IF(売分析!V83&lt;&gt;"",売分析!V83,"")</f>
        <v/>
      </c>
      <c r="V83" s="621">
        <f>IF(売分析!W83&lt;&gt;"",売分析!W83,"")</f>
        <v/>
      </c>
      <c r="W83" s="345">
        <f>IF(売分析!AD83&lt;&gt;"",売分析!AD83,"")</f>
        <v/>
      </c>
      <c r="X83" s="345">
        <f>IF(売分析!AE83&lt;&gt;"",売分析!AE83,"")</f>
        <v/>
      </c>
      <c r="Y83" s="410">
        <f>IF(売分析!T83&lt;&gt;"",売分析!T83,"")</f>
        <v/>
      </c>
      <c r="Z83" s="345">
        <f>IF(売分析!Y83&lt;&gt;"",売分析!Y83,"")</f>
        <v/>
      </c>
    </row>
    <row r="84">
      <c r="A84" s="225">
        <f>IF(売分析!C84&lt;&gt;"",ROW()-2,"")</f>
        <v/>
      </c>
      <c r="B84" s="352">
        <f>IF(売分析!C84&lt;&gt;"",HYPERLINK("https://kabutan.jp/stock/?code="&amp;売分析!C84,"株探"),"")</f>
        <v/>
      </c>
      <c r="C84" s="631">
        <f>IF(売分析!C84&lt;&gt;"",売分析!C84,"")</f>
        <v/>
      </c>
      <c r="D84" s="225">
        <f>IF(売分析!D84&lt;&gt;"",売分析!D84,"")</f>
        <v/>
      </c>
      <c r="E84" s="353">
        <f>IF(売分析!E84&lt;&gt;"",売分析!E84,"")</f>
        <v/>
      </c>
      <c r="F84" s="353">
        <f>IF(売分析!F84&lt;&gt;"",売分析!F84,"")</f>
        <v/>
      </c>
      <c r="G84" s="353">
        <f>IF(売分析!H84&lt;&gt;"",売分析!H84,"")</f>
        <v/>
      </c>
      <c r="H84" s="353">
        <f>IF(売分析!I84&lt;&gt;"",売分析!I84,"")</f>
        <v/>
      </c>
      <c r="I84" s="225">
        <f>IF(売分析!J84&lt;&gt;"",売分析!J84,"")</f>
        <v/>
      </c>
      <c r="J84" s="353">
        <f>IF(売分析!AB84&lt;&gt;"",売分析!AB84,"")</f>
        <v/>
      </c>
      <c r="K84" s="353">
        <f>IF(売分析!AC84&lt;&gt;"",売分析!AC84,"")</f>
        <v/>
      </c>
      <c r="L84" s="353">
        <f>IF(売分析!K84&lt;&gt;"",売分析!K84,"")</f>
        <v/>
      </c>
      <c r="M84" s="225">
        <f>IF(売分析!P84&lt;&gt;"",売分析!P84,"")</f>
        <v/>
      </c>
      <c r="N84" s="627">
        <f>IF(売分析!O84&lt;&gt;"",売分析!O84,"")</f>
        <v/>
      </c>
      <c r="O84" s="357">
        <f>IF(売分析!X84&lt;&gt;"",売分析!X84,"")</f>
        <v/>
      </c>
      <c r="P84" s="626">
        <f>IF(売分析!L84&lt;&gt;"",売分析!L84,"")</f>
        <v/>
      </c>
      <c r="Q84" s="353">
        <f>IF(売分析!S84&lt;&gt;"",売分析!S84,"")</f>
        <v/>
      </c>
      <c r="R84" s="353">
        <f>IF(売分析!R84&lt;&gt;"",売分析!R84,"")</f>
        <v/>
      </c>
      <c r="S84" s="225">
        <f>IF(売分析!AA84&lt;&gt;"",売分析!AA84,"")</f>
        <v/>
      </c>
      <c r="T84" s="629">
        <f>IF(売分析!Z84&lt;&gt;"",売分析!Z84,"")</f>
        <v/>
      </c>
      <c r="U84" s="225">
        <f>IF(売分析!V84&lt;&gt;"",売分析!V84,"")</f>
        <v/>
      </c>
      <c r="V84" s="628">
        <f>IF(売分析!W84&lt;&gt;"",売分析!W84,"")</f>
        <v/>
      </c>
      <c r="W84" s="225">
        <f>IF(売分析!AD84&lt;&gt;"",売分析!AD84,"")</f>
        <v/>
      </c>
      <c r="X84" s="225">
        <f>IF(売分析!AE84&lt;&gt;"",売分析!AE84,"")</f>
        <v/>
      </c>
      <c r="Y84" s="411">
        <f>IF(売分析!T84&lt;&gt;"",売分析!T84,"")</f>
        <v/>
      </c>
      <c r="Z84" s="225">
        <f>IF(売分析!Y84&lt;&gt;"",売分析!Y84,"")</f>
        <v/>
      </c>
    </row>
    <row r="85">
      <c r="A85" s="345">
        <f>IF(売分析!C85&lt;&gt;"",ROW()-2,"")</f>
        <v/>
      </c>
      <c r="B85" s="344">
        <f>IF(売分析!C85&lt;&gt;"",HYPERLINK("https://kabutan.jp/stock/?code="&amp;売分析!C85,"株探"),"")</f>
        <v/>
      </c>
      <c r="C85" s="630">
        <f>IF(売分析!C85&lt;&gt;"",売分析!C85,"")</f>
        <v/>
      </c>
      <c r="D85" s="345">
        <f>IF(売分析!D85&lt;&gt;"",売分析!D85,"")</f>
        <v/>
      </c>
      <c r="E85" s="346">
        <f>IF(売分析!E85&lt;&gt;"",売分析!E85,"")</f>
        <v/>
      </c>
      <c r="F85" s="346">
        <f>IF(売分析!F85&lt;&gt;"",売分析!F85,"")</f>
        <v/>
      </c>
      <c r="G85" s="346">
        <f>IF(売分析!H85&lt;&gt;"",売分析!H85,"")</f>
        <v/>
      </c>
      <c r="H85" s="346">
        <f>IF(売分析!I85&lt;&gt;"",売分析!I85,"")</f>
        <v/>
      </c>
      <c r="I85" s="345">
        <f>IF(売分析!J85&lt;&gt;"",売分析!J85,"")</f>
        <v/>
      </c>
      <c r="J85" s="346">
        <f>IF(売分析!AB85&lt;&gt;"",売分析!AB85,"")</f>
        <v/>
      </c>
      <c r="K85" s="346">
        <f>IF(売分析!AC85&lt;&gt;"",売分析!AC85,"")</f>
        <v/>
      </c>
      <c r="L85" s="346">
        <f>IF(売分析!K85&lt;&gt;"",売分析!K85,"")</f>
        <v/>
      </c>
      <c r="M85" s="345">
        <f>IF(売分析!P85&lt;&gt;"",売分析!P85,"")</f>
        <v/>
      </c>
      <c r="N85" s="620">
        <f>IF(売分析!O85&lt;&gt;"",売分析!O85,"")</f>
        <v/>
      </c>
      <c r="O85" s="350">
        <f>IF(売分析!X85&lt;&gt;"",売分析!X85,"")</f>
        <v/>
      </c>
      <c r="P85" s="619">
        <f>IF(売分析!L85&lt;&gt;"",売分析!L85,"")</f>
        <v/>
      </c>
      <c r="Q85" s="346">
        <f>IF(売分析!S85&lt;&gt;"",売分析!S85,"")</f>
        <v/>
      </c>
      <c r="R85" s="346">
        <f>IF(売分析!R85&lt;&gt;"",売分析!R85,"")</f>
        <v/>
      </c>
      <c r="S85" s="345">
        <f>IF(売分析!AA85&lt;&gt;"",売分析!AA85,"")</f>
        <v/>
      </c>
      <c r="T85" s="622">
        <f>IF(売分析!Z85&lt;&gt;"",売分析!Z85,"")</f>
        <v/>
      </c>
      <c r="U85" s="345">
        <f>IF(売分析!V85&lt;&gt;"",売分析!V85,"")</f>
        <v/>
      </c>
      <c r="V85" s="621">
        <f>IF(売分析!W85&lt;&gt;"",売分析!W85,"")</f>
        <v/>
      </c>
      <c r="W85" s="345">
        <f>IF(売分析!AD85&lt;&gt;"",売分析!AD85,"")</f>
        <v/>
      </c>
      <c r="X85" s="345">
        <f>IF(売分析!AE85&lt;&gt;"",売分析!AE85,"")</f>
        <v/>
      </c>
      <c r="Y85" s="410">
        <f>IF(売分析!T85&lt;&gt;"",売分析!T85,"")</f>
        <v/>
      </c>
      <c r="Z85" s="345">
        <f>IF(売分析!Y85&lt;&gt;"",売分析!Y85,"")</f>
        <v/>
      </c>
    </row>
    <row r="86">
      <c r="A86" s="225">
        <f>IF(売分析!C86&lt;&gt;"",ROW()-2,"")</f>
        <v/>
      </c>
      <c r="B86" s="352">
        <f>IF(売分析!C86&lt;&gt;"",HYPERLINK("https://kabutan.jp/stock/?code="&amp;売分析!C86,"株探"),"")</f>
        <v/>
      </c>
      <c r="C86" s="631">
        <f>IF(売分析!C86&lt;&gt;"",売分析!C86,"")</f>
        <v/>
      </c>
      <c r="D86" s="225">
        <f>IF(売分析!D86&lt;&gt;"",売分析!D86,"")</f>
        <v/>
      </c>
      <c r="E86" s="353">
        <f>IF(売分析!E86&lt;&gt;"",売分析!E86,"")</f>
        <v/>
      </c>
      <c r="F86" s="353">
        <f>IF(売分析!F86&lt;&gt;"",売分析!F86,"")</f>
        <v/>
      </c>
      <c r="G86" s="353">
        <f>IF(売分析!H86&lt;&gt;"",売分析!H86,"")</f>
        <v/>
      </c>
      <c r="H86" s="353">
        <f>IF(売分析!I86&lt;&gt;"",売分析!I86,"")</f>
        <v/>
      </c>
      <c r="I86" s="225">
        <f>IF(売分析!J86&lt;&gt;"",売分析!J86,"")</f>
        <v/>
      </c>
      <c r="J86" s="353">
        <f>IF(売分析!AB86&lt;&gt;"",売分析!AB86,"")</f>
        <v/>
      </c>
      <c r="K86" s="353">
        <f>IF(売分析!AC86&lt;&gt;"",売分析!AC86,"")</f>
        <v/>
      </c>
      <c r="L86" s="353">
        <f>IF(売分析!K86&lt;&gt;"",売分析!K86,"")</f>
        <v/>
      </c>
      <c r="M86" s="225">
        <f>IF(売分析!P86&lt;&gt;"",売分析!P86,"")</f>
        <v/>
      </c>
      <c r="N86" s="627">
        <f>IF(売分析!O86&lt;&gt;"",売分析!O86,"")</f>
        <v/>
      </c>
      <c r="O86" s="357">
        <f>IF(売分析!X86&lt;&gt;"",売分析!X86,"")</f>
        <v/>
      </c>
      <c r="P86" s="626">
        <f>IF(売分析!L86&lt;&gt;"",売分析!L86,"")</f>
        <v/>
      </c>
      <c r="Q86" s="353">
        <f>IF(売分析!S86&lt;&gt;"",売分析!S86,"")</f>
        <v/>
      </c>
      <c r="R86" s="353">
        <f>IF(売分析!R86&lt;&gt;"",売分析!R86,"")</f>
        <v/>
      </c>
      <c r="S86" s="225">
        <f>IF(売分析!AA86&lt;&gt;"",売分析!AA86,"")</f>
        <v/>
      </c>
      <c r="T86" s="629">
        <f>IF(売分析!Z86&lt;&gt;"",売分析!Z86,"")</f>
        <v/>
      </c>
      <c r="U86" s="225">
        <f>IF(売分析!V86&lt;&gt;"",売分析!V86,"")</f>
        <v/>
      </c>
      <c r="V86" s="628">
        <f>IF(売分析!W86&lt;&gt;"",売分析!W86,"")</f>
        <v/>
      </c>
      <c r="W86" s="225">
        <f>IF(売分析!AD86&lt;&gt;"",売分析!AD86,"")</f>
        <v/>
      </c>
      <c r="X86" s="225">
        <f>IF(売分析!AE86&lt;&gt;"",売分析!AE86,"")</f>
        <v/>
      </c>
      <c r="Y86" s="411">
        <f>IF(売分析!T86&lt;&gt;"",売分析!T86,"")</f>
        <v/>
      </c>
      <c r="Z86" s="225">
        <f>IF(売分析!Y86&lt;&gt;"",売分析!Y86,"")</f>
        <v/>
      </c>
    </row>
    <row r="87">
      <c r="A87" s="345">
        <f>IF(売分析!C87&lt;&gt;"",ROW()-2,"")</f>
        <v/>
      </c>
      <c r="B87" s="344">
        <f>IF(売分析!C87&lt;&gt;"",HYPERLINK("https://kabutan.jp/stock/?code="&amp;売分析!C87,"株探"),"")</f>
        <v/>
      </c>
      <c r="C87" s="630">
        <f>IF(売分析!C87&lt;&gt;"",売分析!C87,"")</f>
        <v/>
      </c>
      <c r="D87" s="345">
        <f>IF(売分析!D87&lt;&gt;"",売分析!D87,"")</f>
        <v/>
      </c>
      <c r="E87" s="346">
        <f>IF(売分析!E87&lt;&gt;"",売分析!E87,"")</f>
        <v/>
      </c>
      <c r="F87" s="346">
        <f>IF(売分析!F87&lt;&gt;"",売分析!F87,"")</f>
        <v/>
      </c>
      <c r="G87" s="346">
        <f>IF(売分析!H87&lt;&gt;"",売分析!H87,"")</f>
        <v/>
      </c>
      <c r="H87" s="346">
        <f>IF(売分析!I87&lt;&gt;"",売分析!I87,"")</f>
        <v/>
      </c>
      <c r="I87" s="345">
        <f>IF(売分析!J87&lt;&gt;"",売分析!J87,"")</f>
        <v/>
      </c>
      <c r="J87" s="346">
        <f>IF(売分析!AB87&lt;&gt;"",売分析!AB87,"")</f>
        <v/>
      </c>
      <c r="K87" s="346">
        <f>IF(売分析!AC87&lt;&gt;"",売分析!AC87,"")</f>
        <v/>
      </c>
      <c r="L87" s="346">
        <f>IF(売分析!K87&lt;&gt;"",売分析!K87,"")</f>
        <v/>
      </c>
      <c r="M87" s="345">
        <f>IF(売分析!P87&lt;&gt;"",売分析!P87,"")</f>
        <v/>
      </c>
      <c r="N87" s="620">
        <f>IF(売分析!O87&lt;&gt;"",売分析!O87,"")</f>
        <v/>
      </c>
      <c r="O87" s="350">
        <f>IF(売分析!X87&lt;&gt;"",売分析!X87,"")</f>
        <v/>
      </c>
      <c r="P87" s="619">
        <f>IF(売分析!L87&lt;&gt;"",売分析!L87,"")</f>
        <v/>
      </c>
      <c r="Q87" s="346">
        <f>IF(売分析!S87&lt;&gt;"",売分析!S87,"")</f>
        <v/>
      </c>
      <c r="R87" s="346">
        <f>IF(売分析!R87&lt;&gt;"",売分析!R87,"")</f>
        <v/>
      </c>
      <c r="S87" s="345">
        <f>IF(売分析!AA87&lt;&gt;"",売分析!AA87,"")</f>
        <v/>
      </c>
      <c r="T87" s="622">
        <f>IF(売分析!Z87&lt;&gt;"",売分析!Z87,"")</f>
        <v/>
      </c>
      <c r="U87" s="345">
        <f>IF(売分析!V87&lt;&gt;"",売分析!V87,"")</f>
        <v/>
      </c>
      <c r="V87" s="621">
        <f>IF(売分析!W87&lt;&gt;"",売分析!W87,"")</f>
        <v/>
      </c>
      <c r="W87" s="345">
        <f>IF(売分析!AD87&lt;&gt;"",売分析!AD87,"")</f>
        <v/>
      </c>
      <c r="X87" s="345">
        <f>IF(売分析!AE87&lt;&gt;"",売分析!AE87,"")</f>
        <v/>
      </c>
      <c r="Y87" s="410">
        <f>IF(売分析!T87&lt;&gt;"",売分析!T87,"")</f>
        <v/>
      </c>
      <c r="Z87" s="345">
        <f>IF(売分析!Y87&lt;&gt;"",売分析!Y87,"")</f>
        <v/>
      </c>
    </row>
    <row r="88">
      <c r="A88" s="225">
        <f>IF(売分析!C88&lt;&gt;"",ROW()-2,"")</f>
        <v/>
      </c>
      <c r="B88" s="352">
        <f>IF(売分析!C88&lt;&gt;"",HYPERLINK("https://kabutan.jp/stock/?code="&amp;売分析!C88,"株探"),"")</f>
        <v/>
      </c>
      <c r="C88" s="631">
        <f>IF(売分析!C88&lt;&gt;"",売分析!C88,"")</f>
        <v/>
      </c>
      <c r="D88" s="225">
        <f>IF(売分析!D88&lt;&gt;"",売分析!D88,"")</f>
        <v/>
      </c>
      <c r="E88" s="353">
        <f>IF(売分析!E88&lt;&gt;"",売分析!E88,"")</f>
        <v/>
      </c>
      <c r="F88" s="353">
        <f>IF(売分析!F88&lt;&gt;"",売分析!F88,"")</f>
        <v/>
      </c>
      <c r="G88" s="353">
        <f>IF(売分析!H88&lt;&gt;"",売分析!H88,"")</f>
        <v/>
      </c>
      <c r="H88" s="353">
        <f>IF(売分析!I88&lt;&gt;"",売分析!I88,"")</f>
        <v/>
      </c>
      <c r="I88" s="225">
        <f>IF(売分析!J88&lt;&gt;"",売分析!J88,"")</f>
        <v/>
      </c>
      <c r="J88" s="353">
        <f>IF(売分析!AB88&lt;&gt;"",売分析!AB88,"")</f>
        <v/>
      </c>
      <c r="K88" s="353">
        <f>IF(売分析!AC88&lt;&gt;"",売分析!AC88,"")</f>
        <v/>
      </c>
      <c r="L88" s="353">
        <f>IF(売分析!K88&lt;&gt;"",売分析!K88,"")</f>
        <v/>
      </c>
      <c r="M88" s="225">
        <f>IF(売分析!P88&lt;&gt;"",売分析!P88,"")</f>
        <v/>
      </c>
      <c r="N88" s="627">
        <f>IF(売分析!O88&lt;&gt;"",売分析!O88,"")</f>
        <v/>
      </c>
      <c r="O88" s="357">
        <f>IF(売分析!X88&lt;&gt;"",売分析!X88,"")</f>
        <v/>
      </c>
      <c r="P88" s="626">
        <f>IF(売分析!L88&lt;&gt;"",売分析!L88,"")</f>
        <v/>
      </c>
      <c r="Q88" s="353">
        <f>IF(売分析!S88&lt;&gt;"",売分析!S88,"")</f>
        <v/>
      </c>
      <c r="R88" s="353">
        <f>IF(売分析!R88&lt;&gt;"",売分析!R88,"")</f>
        <v/>
      </c>
      <c r="S88" s="225">
        <f>IF(売分析!AA88&lt;&gt;"",売分析!AA88,"")</f>
        <v/>
      </c>
      <c r="T88" s="629">
        <f>IF(売分析!Z88&lt;&gt;"",売分析!Z88,"")</f>
        <v/>
      </c>
      <c r="U88" s="225">
        <f>IF(売分析!V88&lt;&gt;"",売分析!V88,"")</f>
        <v/>
      </c>
      <c r="V88" s="628">
        <f>IF(売分析!W88&lt;&gt;"",売分析!W88,"")</f>
        <v/>
      </c>
      <c r="W88" s="225">
        <f>IF(売分析!AD88&lt;&gt;"",売分析!AD88,"")</f>
        <v/>
      </c>
      <c r="X88" s="225">
        <f>IF(売分析!AE88&lt;&gt;"",売分析!AE88,"")</f>
        <v/>
      </c>
      <c r="Y88" s="411">
        <f>IF(売分析!T88&lt;&gt;"",売分析!T88,"")</f>
        <v/>
      </c>
      <c r="Z88" s="225">
        <f>IF(売分析!Y88&lt;&gt;"",売分析!Y88,"")</f>
        <v/>
      </c>
    </row>
    <row r="89">
      <c r="A89" s="345">
        <f>IF(売分析!C89&lt;&gt;"",ROW()-2,"")</f>
        <v/>
      </c>
      <c r="B89" s="344">
        <f>IF(売分析!C89&lt;&gt;"",HYPERLINK("https://kabutan.jp/stock/?code="&amp;売分析!C89,"株探"),"")</f>
        <v/>
      </c>
      <c r="C89" s="630">
        <f>IF(売分析!C89&lt;&gt;"",売分析!C89,"")</f>
        <v/>
      </c>
      <c r="D89" s="345">
        <f>IF(売分析!D89&lt;&gt;"",売分析!D89,"")</f>
        <v/>
      </c>
      <c r="E89" s="346">
        <f>IF(売分析!E89&lt;&gt;"",売分析!E89,"")</f>
        <v/>
      </c>
      <c r="F89" s="346">
        <f>IF(売分析!F89&lt;&gt;"",売分析!F89,"")</f>
        <v/>
      </c>
      <c r="G89" s="346">
        <f>IF(売分析!H89&lt;&gt;"",売分析!H89,"")</f>
        <v/>
      </c>
      <c r="H89" s="346">
        <f>IF(売分析!I89&lt;&gt;"",売分析!I89,"")</f>
        <v/>
      </c>
      <c r="I89" s="345">
        <f>IF(売分析!J89&lt;&gt;"",売分析!J89,"")</f>
        <v/>
      </c>
      <c r="J89" s="346">
        <f>IF(売分析!AB89&lt;&gt;"",売分析!AB89,"")</f>
        <v/>
      </c>
      <c r="K89" s="346">
        <f>IF(売分析!AC89&lt;&gt;"",売分析!AC89,"")</f>
        <v/>
      </c>
      <c r="L89" s="346">
        <f>IF(売分析!K89&lt;&gt;"",売分析!K89,"")</f>
        <v/>
      </c>
      <c r="M89" s="345">
        <f>IF(売分析!P89&lt;&gt;"",売分析!P89,"")</f>
        <v/>
      </c>
      <c r="N89" s="620">
        <f>IF(売分析!O89&lt;&gt;"",売分析!O89,"")</f>
        <v/>
      </c>
      <c r="O89" s="350">
        <f>IF(売分析!X89&lt;&gt;"",売分析!X89,"")</f>
        <v/>
      </c>
      <c r="P89" s="619">
        <f>IF(売分析!L89&lt;&gt;"",売分析!L89,"")</f>
        <v/>
      </c>
      <c r="Q89" s="346">
        <f>IF(売分析!S89&lt;&gt;"",売分析!S89,"")</f>
        <v/>
      </c>
      <c r="R89" s="346">
        <f>IF(売分析!R89&lt;&gt;"",売分析!R89,"")</f>
        <v/>
      </c>
      <c r="S89" s="345">
        <f>IF(売分析!AA89&lt;&gt;"",売分析!AA89,"")</f>
        <v/>
      </c>
      <c r="T89" s="622">
        <f>IF(売分析!Z89&lt;&gt;"",売分析!Z89,"")</f>
        <v/>
      </c>
      <c r="U89" s="345">
        <f>IF(売分析!V89&lt;&gt;"",売分析!V89,"")</f>
        <v/>
      </c>
      <c r="V89" s="621">
        <f>IF(売分析!W89&lt;&gt;"",売分析!W89,"")</f>
        <v/>
      </c>
      <c r="W89" s="345">
        <f>IF(売分析!AD89&lt;&gt;"",売分析!AD89,"")</f>
        <v/>
      </c>
      <c r="X89" s="345">
        <f>IF(売分析!AE89&lt;&gt;"",売分析!AE89,"")</f>
        <v/>
      </c>
      <c r="Y89" s="410">
        <f>IF(売分析!T89&lt;&gt;"",売分析!T89,"")</f>
        <v/>
      </c>
      <c r="Z89" s="345">
        <f>IF(売分析!Y89&lt;&gt;"",売分析!Y89,"")</f>
        <v/>
      </c>
    </row>
    <row r="90">
      <c r="A90" s="225">
        <f>IF(売分析!C90&lt;&gt;"",ROW()-2,"")</f>
        <v/>
      </c>
      <c r="B90" s="352">
        <f>IF(売分析!C90&lt;&gt;"",HYPERLINK("https://kabutan.jp/stock/?code="&amp;売分析!C90,"株探"),"")</f>
        <v/>
      </c>
      <c r="C90" s="631">
        <f>IF(売分析!C90&lt;&gt;"",売分析!C90,"")</f>
        <v/>
      </c>
      <c r="D90" s="225">
        <f>IF(売分析!D90&lt;&gt;"",売分析!D90,"")</f>
        <v/>
      </c>
      <c r="E90" s="353">
        <f>IF(売分析!E90&lt;&gt;"",売分析!E90,"")</f>
        <v/>
      </c>
      <c r="F90" s="353">
        <f>IF(売分析!F90&lt;&gt;"",売分析!F90,"")</f>
        <v/>
      </c>
      <c r="G90" s="353">
        <f>IF(売分析!H90&lt;&gt;"",売分析!H90,"")</f>
        <v/>
      </c>
      <c r="H90" s="353">
        <f>IF(売分析!I90&lt;&gt;"",売分析!I90,"")</f>
        <v/>
      </c>
      <c r="I90" s="225">
        <f>IF(売分析!J90&lt;&gt;"",売分析!J90,"")</f>
        <v/>
      </c>
      <c r="J90" s="353">
        <f>IF(売分析!AB90&lt;&gt;"",売分析!AB90,"")</f>
        <v/>
      </c>
      <c r="K90" s="353">
        <f>IF(売分析!AC90&lt;&gt;"",売分析!AC90,"")</f>
        <v/>
      </c>
      <c r="L90" s="353">
        <f>IF(売分析!K90&lt;&gt;"",売分析!K90,"")</f>
        <v/>
      </c>
      <c r="M90" s="225">
        <f>IF(売分析!P90&lt;&gt;"",売分析!P90,"")</f>
        <v/>
      </c>
      <c r="N90" s="627">
        <f>IF(売分析!O90&lt;&gt;"",売分析!O90,"")</f>
        <v/>
      </c>
      <c r="O90" s="357">
        <f>IF(売分析!X90&lt;&gt;"",売分析!X90,"")</f>
        <v/>
      </c>
      <c r="P90" s="626">
        <f>IF(売分析!L90&lt;&gt;"",売分析!L90,"")</f>
        <v/>
      </c>
      <c r="Q90" s="353">
        <f>IF(売分析!S90&lt;&gt;"",売分析!S90,"")</f>
        <v/>
      </c>
      <c r="R90" s="353">
        <f>IF(売分析!R90&lt;&gt;"",売分析!R90,"")</f>
        <v/>
      </c>
      <c r="S90" s="225">
        <f>IF(売分析!AA90&lt;&gt;"",売分析!AA90,"")</f>
        <v/>
      </c>
      <c r="T90" s="629">
        <f>IF(売分析!Z90&lt;&gt;"",売分析!Z90,"")</f>
        <v/>
      </c>
      <c r="U90" s="225">
        <f>IF(売分析!V90&lt;&gt;"",売分析!V90,"")</f>
        <v/>
      </c>
      <c r="V90" s="628">
        <f>IF(売分析!W90&lt;&gt;"",売分析!W90,"")</f>
        <v/>
      </c>
      <c r="W90" s="225">
        <f>IF(売分析!AD90&lt;&gt;"",売分析!AD90,"")</f>
        <v/>
      </c>
      <c r="X90" s="225">
        <f>IF(売分析!AE90&lt;&gt;"",売分析!AE90,"")</f>
        <v/>
      </c>
      <c r="Y90" s="411">
        <f>IF(売分析!T90&lt;&gt;"",売分析!T90,"")</f>
        <v/>
      </c>
      <c r="Z90" s="225">
        <f>IF(売分析!Y90&lt;&gt;"",売分析!Y90,"")</f>
        <v/>
      </c>
    </row>
    <row r="91">
      <c r="A91" s="345">
        <f>IF(売分析!C91&lt;&gt;"",ROW()-2,"")</f>
        <v/>
      </c>
      <c r="B91" s="344">
        <f>IF(売分析!C91&lt;&gt;"",HYPERLINK("https://kabutan.jp/stock/?code="&amp;売分析!C91,"株探"),"")</f>
        <v/>
      </c>
      <c r="C91" s="630">
        <f>IF(売分析!C91&lt;&gt;"",売分析!C91,"")</f>
        <v/>
      </c>
      <c r="D91" s="345">
        <f>IF(売分析!D91&lt;&gt;"",売分析!D91,"")</f>
        <v/>
      </c>
      <c r="E91" s="346">
        <f>IF(売分析!E91&lt;&gt;"",売分析!E91,"")</f>
        <v/>
      </c>
      <c r="F91" s="346">
        <f>IF(売分析!F91&lt;&gt;"",売分析!F91,"")</f>
        <v/>
      </c>
      <c r="G91" s="346">
        <f>IF(売分析!H91&lt;&gt;"",売分析!H91,"")</f>
        <v/>
      </c>
      <c r="H91" s="346">
        <f>IF(売分析!I91&lt;&gt;"",売分析!I91,"")</f>
        <v/>
      </c>
      <c r="I91" s="345">
        <f>IF(売分析!J91&lt;&gt;"",売分析!J91,"")</f>
        <v/>
      </c>
      <c r="J91" s="346">
        <f>IF(売分析!AB91&lt;&gt;"",売分析!AB91,"")</f>
        <v/>
      </c>
      <c r="K91" s="346">
        <f>IF(売分析!AC91&lt;&gt;"",売分析!AC91,"")</f>
        <v/>
      </c>
      <c r="L91" s="346">
        <f>IF(売分析!K91&lt;&gt;"",売分析!K91,"")</f>
        <v/>
      </c>
      <c r="M91" s="345">
        <f>IF(売分析!P91&lt;&gt;"",売分析!P91,"")</f>
        <v/>
      </c>
      <c r="N91" s="620">
        <f>IF(売分析!O91&lt;&gt;"",売分析!O91,"")</f>
        <v/>
      </c>
      <c r="O91" s="350">
        <f>IF(売分析!X91&lt;&gt;"",売分析!X91,"")</f>
        <v/>
      </c>
      <c r="P91" s="619">
        <f>IF(売分析!L91&lt;&gt;"",売分析!L91,"")</f>
        <v/>
      </c>
      <c r="Q91" s="346">
        <f>IF(売分析!S91&lt;&gt;"",売分析!S91,"")</f>
        <v/>
      </c>
      <c r="R91" s="346">
        <f>IF(売分析!R91&lt;&gt;"",売分析!R91,"")</f>
        <v/>
      </c>
      <c r="S91" s="345">
        <f>IF(売分析!AA91&lt;&gt;"",売分析!AA91,"")</f>
        <v/>
      </c>
      <c r="T91" s="622">
        <f>IF(売分析!Z91&lt;&gt;"",売分析!Z91,"")</f>
        <v/>
      </c>
      <c r="U91" s="345">
        <f>IF(売分析!V91&lt;&gt;"",売分析!V91,"")</f>
        <v/>
      </c>
      <c r="V91" s="621">
        <f>IF(売分析!W91&lt;&gt;"",売分析!W91,"")</f>
        <v/>
      </c>
      <c r="W91" s="345">
        <f>IF(売分析!AD91&lt;&gt;"",売分析!AD91,"")</f>
        <v/>
      </c>
      <c r="X91" s="345">
        <f>IF(売分析!AE91&lt;&gt;"",売分析!AE91,"")</f>
        <v/>
      </c>
      <c r="Y91" s="410">
        <f>IF(売分析!T91&lt;&gt;"",売分析!T91,"")</f>
        <v/>
      </c>
      <c r="Z91" s="345">
        <f>IF(売分析!Y91&lt;&gt;"",売分析!Y91,"")</f>
        <v/>
      </c>
    </row>
    <row r="92">
      <c r="A92" s="225">
        <f>IF(売分析!C92&lt;&gt;"",ROW()-2,"")</f>
        <v/>
      </c>
      <c r="B92" s="352">
        <f>IF(売分析!C92&lt;&gt;"",HYPERLINK("https://kabutan.jp/stock/?code="&amp;売分析!C92,"株探"),"")</f>
        <v/>
      </c>
      <c r="C92" s="631">
        <f>IF(売分析!C92&lt;&gt;"",売分析!C92,"")</f>
        <v/>
      </c>
      <c r="D92" s="225">
        <f>IF(売分析!D92&lt;&gt;"",売分析!D92,"")</f>
        <v/>
      </c>
      <c r="E92" s="353">
        <f>IF(売分析!E92&lt;&gt;"",売分析!E92,"")</f>
        <v/>
      </c>
      <c r="F92" s="353">
        <f>IF(売分析!F92&lt;&gt;"",売分析!F92,"")</f>
        <v/>
      </c>
      <c r="G92" s="353">
        <f>IF(売分析!H92&lt;&gt;"",売分析!H92,"")</f>
        <v/>
      </c>
      <c r="H92" s="353">
        <f>IF(売分析!I92&lt;&gt;"",売分析!I92,"")</f>
        <v/>
      </c>
      <c r="I92" s="225">
        <f>IF(売分析!J92&lt;&gt;"",売分析!J92,"")</f>
        <v/>
      </c>
      <c r="J92" s="353">
        <f>IF(売分析!AB92&lt;&gt;"",売分析!AB92,"")</f>
        <v/>
      </c>
      <c r="K92" s="353">
        <f>IF(売分析!AC92&lt;&gt;"",売分析!AC92,"")</f>
        <v/>
      </c>
      <c r="L92" s="353">
        <f>IF(売分析!K92&lt;&gt;"",売分析!K92,"")</f>
        <v/>
      </c>
      <c r="M92" s="225">
        <f>IF(売分析!P92&lt;&gt;"",売分析!P92,"")</f>
        <v/>
      </c>
      <c r="N92" s="627">
        <f>IF(売分析!O92&lt;&gt;"",売分析!O92,"")</f>
        <v/>
      </c>
      <c r="O92" s="357">
        <f>IF(売分析!X92&lt;&gt;"",売分析!X92,"")</f>
        <v/>
      </c>
      <c r="P92" s="626">
        <f>IF(売分析!L92&lt;&gt;"",売分析!L92,"")</f>
        <v/>
      </c>
      <c r="Q92" s="353">
        <f>IF(売分析!S92&lt;&gt;"",売分析!S92,"")</f>
        <v/>
      </c>
      <c r="R92" s="353">
        <f>IF(売分析!R92&lt;&gt;"",売分析!R92,"")</f>
        <v/>
      </c>
      <c r="S92" s="225">
        <f>IF(売分析!AA92&lt;&gt;"",売分析!AA92,"")</f>
        <v/>
      </c>
      <c r="T92" s="629">
        <f>IF(売分析!Z92&lt;&gt;"",売分析!Z92,"")</f>
        <v/>
      </c>
      <c r="U92" s="225">
        <f>IF(売分析!V92&lt;&gt;"",売分析!V92,"")</f>
        <v/>
      </c>
      <c r="V92" s="628">
        <f>IF(売分析!W92&lt;&gt;"",売分析!W92,"")</f>
        <v/>
      </c>
      <c r="W92" s="225">
        <f>IF(売分析!AD92&lt;&gt;"",売分析!AD92,"")</f>
        <v/>
      </c>
      <c r="X92" s="225">
        <f>IF(売分析!AE92&lt;&gt;"",売分析!AE92,"")</f>
        <v/>
      </c>
      <c r="Y92" s="411">
        <f>IF(売分析!T92&lt;&gt;"",売分析!T92,"")</f>
        <v/>
      </c>
      <c r="Z92" s="225">
        <f>IF(売分析!Y92&lt;&gt;"",売分析!Y92,"")</f>
        <v/>
      </c>
    </row>
    <row r="93">
      <c r="A93" s="345">
        <f>IF(売分析!C93&lt;&gt;"",ROW()-2,"")</f>
        <v/>
      </c>
      <c r="B93" s="344">
        <f>IF(売分析!C93&lt;&gt;"",HYPERLINK("https://kabutan.jp/stock/?code="&amp;売分析!C93,"株探"),"")</f>
        <v/>
      </c>
      <c r="C93" s="630">
        <f>IF(売分析!C93&lt;&gt;"",売分析!C93,"")</f>
        <v/>
      </c>
      <c r="D93" s="345">
        <f>IF(売分析!D93&lt;&gt;"",売分析!D93,"")</f>
        <v/>
      </c>
      <c r="E93" s="346">
        <f>IF(売分析!E93&lt;&gt;"",売分析!E93,"")</f>
        <v/>
      </c>
      <c r="F93" s="346">
        <f>IF(売分析!F93&lt;&gt;"",売分析!F93,"")</f>
        <v/>
      </c>
      <c r="G93" s="346">
        <f>IF(売分析!H93&lt;&gt;"",売分析!H93,"")</f>
        <v/>
      </c>
      <c r="H93" s="346">
        <f>IF(売分析!I93&lt;&gt;"",売分析!I93,"")</f>
        <v/>
      </c>
      <c r="I93" s="345">
        <f>IF(売分析!J93&lt;&gt;"",売分析!J93,"")</f>
        <v/>
      </c>
      <c r="J93" s="346">
        <f>IF(売分析!AB93&lt;&gt;"",売分析!AB93,"")</f>
        <v/>
      </c>
      <c r="K93" s="346">
        <f>IF(売分析!AC93&lt;&gt;"",売分析!AC93,"")</f>
        <v/>
      </c>
      <c r="L93" s="346">
        <f>IF(売分析!K93&lt;&gt;"",売分析!K93,"")</f>
        <v/>
      </c>
      <c r="M93" s="345">
        <f>IF(売分析!P93&lt;&gt;"",売分析!P93,"")</f>
        <v/>
      </c>
      <c r="N93" s="620">
        <f>IF(売分析!O93&lt;&gt;"",売分析!O93,"")</f>
        <v/>
      </c>
      <c r="O93" s="350">
        <f>IF(売分析!X93&lt;&gt;"",売分析!X93,"")</f>
        <v/>
      </c>
      <c r="P93" s="619">
        <f>IF(売分析!L93&lt;&gt;"",売分析!L93,"")</f>
        <v/>
      </c>
      <c r="Q93" s="346">
        <f>IF(売分析!S93&lt;&gt;"",売分析!S93,"")</f>
        <v/>
      </c>
      <c r="R93" s="346">
        <f>IF(売分析!R93&lt;&gt;"",売分析!R93,"")</f>
        <v/>
      </c>
      <c r="S93" s="345">
        <f>IF(売分析!AA93&lt;&gt;"",売分析!AA93,"")</f>
        <v/>
      </c>
      <c r="T93" s="622">
        <f>IF(売分析!Z93&lt;&gt;"",売分析!Z93,"")</f>
        <v/>
      </c>
      <c r="U93" s="345">
        <f>IF(売分析!V93&lt;&gt;"",売分析!V93,"")</f>
        <v/>
      </c>
      <c r="V93" s="621">
        <f>IF(売分析!W93&lt;&gt;"",売分析!W93,"")</f>
        <v/>
      </c>
      <c r="W93" s="345">
        <f>IF(売分析!AD93&lt;&gt;"",売分析!AD93,"")</f>
        <v/>
      </c>
      <c r="X93" s="345">
        <f>IF(売分析!AE93&lt;&gt;"",売分析!AE93,"")</f>
        <v/>
      </c>
      <c r="Y93" s="410">
        <f>IF(売分析!T93&lt;&gt;"",売分析!T93,"")</f>
        <v/>
      </c>
      <c r="Z93" s="345">
        <f>IF(売分析!Y93&lt;&gt;"",売分析!Y93,"")</f>
        <v/>
      </c>
    </row>
    <row r="94">
      <c r="A94" s="225">
        <f>IF(売分析!C94&lt;&gt;"",ROW()-2,"")</f>
        <v/>
      </c>
      <c r="B94" s="352">
        <f>IF(売分析!C94&lt;&gt;"",HYPERLINK("https://kabutan.jp/stock/?code="&amp;売分析!C94,"株探"),"")</f>
        <v/>
      </c>
      <c r="C94" s="631">
        <f>IF(売分析!C94&lt;&gt;"",売分析!C94,"")</f>
        <v/>
      </c>
      <c r="D94" s="225">
        <f>IF(売分析!D94&lt;&gt;"",売分析!D94,"")</f>
        <v/>
      </c>
      <c r="E94" s="353">
        <f>IF(売分析!E94&lt;&gt;"",売分析!E94,"")</f>
        <v/>
      </c>
      <c r="F94" s="353">
        <f>IF(売分析!F94&lt;&gt;"",売分析!F94,"")</f>
        <v/>
      </c>
      <c r="G94" s="353">
        <f>IF(売分析!H94&lt;&gt;"",売分析!H94,"")</f>
        <v/>
      </c>
      <c r="H94" s="353">
        <f>IF(売分析!I94&lt;&gt;"",売分析!I94,"")</f>
        <v/>
      </c>
      <c r="I94" s="225">
        <f>IF(売分析!J94&lt;&gt;"",売分析!J94,"")</f>
        <v/>
      </c>
      <c r="J94" s="353">
        <f>IF(売分析!AB94&lt;&gt;"",売分析!AB94,"")</f>
        <v/>
      </c>
      <c r="K94" s="353">
        <f>IF(売分析!AC94&lt;&gt;"",売分析!AC94,"")</f>
        <v/>
      </c>
      <c r="L94" s="353">
        <f>IF(売分析!K94&lt;&gt;"",売分析!K94,"")</f>
        <v/>
      </c>
      <c r="M94" s="225">
        <f>IF(売分析!P94&lt;&gt;"",売分析!P94,"")</f>
        <v/>
      </c>
      <c r="N94" s="627">
        <f>IF(売分析!O94&lt;&gt;"",売分析!O94,"")</f>
        <v/>
      </c>
      <c r="O94" s="357">
        <f>IF(売分析!X94&lt;&gt;"",売分析!X94,"")</f>
        <v/>
      </c>
      <c r="P94" s="626">
        <f>IF(売分析!L94&lt;&gt;"",売分析!L94,"")</f>
        <v/>
      </c>
      <c r="Q94" s="353">
        <f>IF(売分析!S94&lt;&gt;"",売分析!S94,"")</f>
        <v/>
      </c>
      <c r="R94" s="353">
        <f>IF(売分析!R94&lt;&gt;"",売分析!R94,"")</f>
        <v/>
      </c>
      <c r="S94" s="225">
        <f>IF(売分析!AA94&lt;&gt;"",売分析!AA94,"")</f>
        <v/>
      </c>
      <c r="T94" s="629">
        <f>IF(売分析!Z94&lt;&gt;"",売分析!Z94,"")</f>
        <v/>
      </c>
      <c r="U94" s="225">
        <f>IF(売分析!V94&lt;&gt;"",売分析!V94,"")</f>
        <v/>
      </c>
      <c r="V94" s="628">
        <f>IF(売分析!W94&lt;&gt;"",売分析!W94,"")</f>
        <v/>
      </c>
      <c r="W94" s="225">
        <f>IF(売分析!AD94&lt;&gt;"",売分析!AD94,"")</f>
        <v/>
      </c>
      <c r="X94" s="225">
        <f>IF(売分析!AE94&lt;&gt;"",売分析!AE94,"")</f>
        <v/>
      </c>
      <c r="Y94" s="411">
        <f>IF(売分析!T94&lt;&gt;"",売分析!T94,"")</f>
        <v/>
      </c>
      <c r="Z94" s="225">
        <f>IF(売分析!Y94&lt;&gt;"",売分析!Y94,"")</f>
        <v/>
      </c>
    </row>
    <row r="95">
      <c r="A95" s="345">
        <f>IF(売分析!C95&lt;&gt;"",ROW()-2,"")</f>
        <v/>
      </c>
      <c r="B95" s="344">
        <f>IF(売分析!C95&lt;&gt;"",HYPERLINK("https://kabutan.jp/stock/?code="&amp;売分析!C95,"株探"),"")</f>
        <v/>
      </c>
      <c r="C95" s="630">
        <f>IF(売分析!C95&lt;&gt;"",売分析!C95,"")</f>
        <v/>
      </c>
      <c r="D95" s="345">
        <f>IF(売分析!D95&lt;&gt;"",売分析!D95,"")</f>
        <v/>
      </c>
      <c r="E95" s="346">
        <f>IF(売分析!E95&lt;&gt;"",売分析!E95,"")</f>
        <v/>
      </c>
      <c r="F95" s="346">
        <f>IF(売分析!F95&lt;&gt;"",売分析!F95,"")</f>
        <v/>
      </c>
      <c r="G95" s="346">
        <f>IF(売分析!H95&lt;&gt;"",売分析!H95,"")</f>
        <v/>
      </c>
      <c r="H95" s="346">
        <f>IF(売分析!I95&lt;&gt;"",売分析!I95,"")</f>
        <v/>
      </c>
      <c r="I95" s="345">
        <f>IF(売分析!J95&lt;&gt;"",売分析!J95,"")</f>
        <v/>
      </c>
      <c r="J95" s="346">
        <f>IF(売分析!AB95&lt;&gt;"",売分析!AB95,"")</f>
        <v/>
      </c>
      <c r="K95" s="346">
        <f>IF(売分析!AC95&lt;&gt;"",売分析!AC95,"")</f>
        <v/>
      </c>
      <c r="L95" s="346">
        <f>IF(売分析!K95&lt;&gt;"",売分析!K95,"")</f>
        <v/>
      </c>
      <c r="M95" s="345">
        <f>IF(売分析!P95&lt;&gt;"",売分析!P95,"")</f>
        <v/>
      </c>
      <c r="N95" s="620">
        <f>IF(売分析!O95&lt;&gt;"",売分析!O95,"")</f>
        <v/>
      </c>
      <c r="O95" s="350">
        <f>IF(売分析!X95&lt;&gt;"",売分析!X95,"")</f>
        <v/>
      </c>
      <c r="P95" s="619">
        <f>IF(売分析!L95&lt;&gt;"",売分析!L95,"")</f>
        <v/>
      </c>
      <c r="Q95" s="346">
        <f>IF(売分析!S95&lt;&gt;"",売分析!S95,"")</f>
        <v/>
      </c>
      <c r="R95" s="346">
        <f>IF(売分析!R95&lt;&gt;"",売分析!R95,"")</f>
        <v/>
      </c>
      <c r="S95" s="345">
        <f>IF(売分析!AA95&lt;&gt;"",売分析!AA95,"")</f>
        <v/>
      </c>
      <c r="T95" s="622">
        <f>IF(売分析!Z95&lt;&gt;"",売分析!Z95,"")</f>
        <v/>
      </c>
      <c r="U95" s="345">
        <f>IF(売分析!V95&lt;&gt;"",売分析!V95,"")</f>
        <v/>
      </c>
      <c r="V95" s="621">
        <f>IF(売分析!W95&lt;&gt;"",売分析!W95,"")</f>
        <v/>
      </c>
      <c r="W95" s="345">
        <f>IF(売分析!AD95&lt;&gt;"",売分析!AD95,"")</f>
        <v/>
      </c>
      <c r="X95" s="345">
        <f>IF(売分析!AE95&lt;&gt;"",売分析!AE95,"")</f>
        <v/>
      </c>
      <c r="Y95" s="410">
        <f>IF(売分析!T95&lt;&gt;"",売分析!T95,"")</f>
        <v/>
      </c>
      <c r="Z95" s="345">
        <f>IF(売分析!Y95&lt;&gt;"",売分析!Y95,"")</f>
        <v/>
      </c>
    </row>
    <row r="96">
      <c r="A96" s="225">
        <f>IF(売分析!C96&lt;&gt;"",ROW()-2,"")</f>
        <v/>
      </c>
      <c r="B96" s="352">
        <f>IF(売分析!C96&lt;&gt;"",HYPERLINK("https://kabutan.jp/stock/?code="&amp;売分析!C96,"株探"),"")</f>
        <v/>
      </c>
      <c r="C96" s="631">
        <f>IF(売分析!C96&lt;&gt;"",売分析!C96,"")</f>
        <v/>
      </c>
      <c r="D96" s="225">
        <f>IF(売分析!D96&lt;&gt;"",売分析!D96,"")</f>
        <v/>
      </c>
      <c r="E96" s="353">
        <f>IF(売分析!E96&lt;&gt;"",売分析!E96,"")</f>
        <v/>
      </c>
      <c r="F96" s="353">
        <f>IF(売分析!F96&lt;&gt;"",売分析!F96,"")</f>
        <v/>
      </c>
      <c r="G96" s="353">
        <f>IF(売分析!H96&lt;&gt;"",売分析!H96,"")</f>
        <v/>
      </c>
      <c r="H96" s="353">
        <f>IF(売分析!I96&lt;&gt;"",売分析!I96,"")</f>
        <v/>
      </c>
      <c r="I96" s="225">
        <f>IF(売分析!J96&lt;&gt;"",売分析!J96,"")</f>
        <v/>
      </c>
      <c r="J96" s="353">
        <f>IF(売分析!AB96&lt;&gt;"",売分析!AB96,"")</f>
        <v/>
      </c>
      <c r="K96" s="353">
        <f>IF(売分析!AC96&lt;&gt;"",売分析!AC96,"")</f>
        <v/>
      </c>
      <c r="L96" s="353">
        <f>IF(売分析!K96&lt;&gt;"",売分析!K96,"")</f>
        <v/>
      </c>
      <c r="M96" s="225">
        <f>IF(売分析!P96&lt;&gt;"",売分析!P96,"")</f>
        <v/>
      </c>
      <c r="N96" s="627">
        <f>IF(売分析!O96&lt;&gt;"",売分析!O96,"")</f>
        <v/>
      </c>
      <c r="O96" s="357">
        <f>IF(売分析!X96&lt;&gt;"",売分析!X96,"")</f>
        <v/>
      </c>
      <c r="P96" s="626">
        <f>IF(売分析!L96&lt;&gt;"",売分析!L96,"")</f>
        <v/>
      </c>
      <c r="Q96" s="353">
        <f>IF(売分析!S96&lt;&gt;"",売分析!S96,"")</f>
        <v/>
      </c>
      <c r="R96" s="353">
        <f>IF(売分析!R96&lt;&gt;"",売分析!R96,"")</f>
        <v/>
      </c>
      <c r="S96" s="225">
        <f>IF(売分析!AA96&lt;&gt;"",売分析!AA96,"")</f>
        <v/>
      </c>
      <c r="T96" s="629">
        <f>IF(売分析!Z96&lt;&gt;"",売分析!Z96,"")</f>
        <v/>
      </c>
      <c r="U96" s="225">
        <f>IF(売分析!V96&lt;&gt;"",売分析!V96,"")</f>
        <v/>
      </c>
      <c r="V96" s="628">
        <f>IF(売分析!W96&lt;&gt;"",売分析!W96,"")</f>
        <v/>
      </c>
      <c r="W96" s="225">
        <f>IF(売分析!AD96&lt;&gt;"",売分析!AD96,"")</f>
        <v/>
      </c>
      <c r="X96" s="225">
        <f>IF(売分析!AE96&lt;&gt;"",売分析!AE96,"")</f>
        <v/>
      </c>
      <c r="Y96" s="411">
        <f>IF(売分析!T96&lt;&gt;"",売分析!T96,"")</f>
        <v/>
      </c>
      <c r="Z96" s="225">
        <f>IF(売分析!Y96&lt;&gt;"",売分析!Y96,"")</f>
        <v/>
      </c>
    </row>
    <row r="97">
      <c r="A97" s="345">
        <f>IF(売分析!C97&lt;&gt;"",ROW()-2,"")</f>
        <v/>
      </c>
      <c r="B97" s="344">
        <f>IF(売分析!C97&lt;&gt;"",HYPERLINK("https://kabutan.jp/stock/?code="&amp;売分析!C97,"株探"),"")</f>
        <v/>
      </c>
      <c r="C97" s="630">
        <f>IF(売分析!C97&lt;&gt;"",売分析!C97,"")</f>
        <v/>
      </c>
      <c r="D97" s="345">
        <f>IF(売分析!D97&lt;&gt;"",売分析!D97,"")</f>
        <v/>
      </c>
      <c r="E97" s="346">
        <f>IF(売分析!E97&lt;&gt;"",売分析!E97,"")</f>
        <v/>
      </c>
      <c r="F97" s="346">
        <f>IF(売分析!F97&lt;&gt;"",売分析!F97,"")</f>
        <v/>
      </c>
      <c r="G97" s="346">
        <f>IF(売分析!H97&lt;&gt;"",売分析!H97,"")</f>
        <v/>
      </c>
      <c r="H97" s="346">
        <f>IF(売分析!I97&lt;&gt;"",売分析!I97,"")</f>
        <v/>
      </c>
      <c r="I97" s="345">
        <f>IF(売分析!J97&lt;&gt;"",売分析!J97,"")</f>
        <v/>
      </c>
      <c r="J97" s="346">
        <f>IF(売分析!AB97&lt;&gt;"",売分析!AB97,"")</f>
        <v/>
      </c>
      <c r="K97" s="346">
        <f>IF(売分析!AC97&lt;&gt;"",売分析!AC97,"")</f>
        <v/>
      </c>
      <c r="L97" s="346">
        <f>IF(売分析!K97&lt;&gt;"",売分析!K97,"")</f>
        <v/>
      </c>
      <c r="M97" s="345">
        <f>IF(売分析!P97&lt;&gt;"",売分析!P97,"")</f>
        <v/>
      </c>
      <c r="N97" s="620">
        <f>IF(売分析!O97&lt;&gt;"",売分析!O97,"")</f>
        <v/>
      </c>
      <c r="O97" s="350">
        <f>IF(売分析!X97&lt;&gt;"",売分析!X97,"")</f>
        <v/>
      </c>
      <c r="P97" s="619">
        <f>IF(売分析!L97&lt;&gt;"",売分析!L97,"")</f>
        <v/>
      </c>
      <c r="Q97" s="346">
        <f>IF(売分析!S97&lt;&gt;"",売分析!S97,"")</f>
        <v/>
      </c>
      <c r="R97" s="346">
        <f>IF(売分析!R97&lt;&gt;"",売分析!R97,"")</f>
        <v/>
      </c>
      <c r="S97" s="345">
        <f>IF(売分析!AA97&lt;&gt;"",売分析!AA97,"")</f>
        <v/>
      </c>
      <c r="T97" s="622">
        <f>IF(売分析!Z97&lt;&gt;"",売分析!Z97,"")</f>
        <v/>
      </c>
      <c r="U97" s="345">
        <f>IF(売分析!V97&lt;&gt;"",売分析!V97,"")</f>
        <v/>
      </c>
      <c r="V97" s="621">
        <f>IF(売分析!W97&lt;&gt;"",売分析!W97,"")</f>
        <v/>
      </c>
      <c r="W97" s="345">
        <f>IF(売分析!AD97&lt;&gt;"",売分析!AD97,"")</f>
        <v/>
      </c>
      <c r="X97" s="345">
        <f>IF(売分析!AE97&lt;&gt;"",売分析!AE97,"")</f>
        <v/>
      </c>
      <c r="Y97" s="410">
        <f>IF(売分析!T97&lt;&gt;"",売分析!T97,"")</f>
        <v/>
      </c>
      <c r="Z97" s="345">
        <f>IF(売分析!Y97&lt;&gt;"",売分析!Y97,"")</f>
        <v/>
      </c>
    </row>
    <row r="98">
      <c r="A98" s="225">
        <f>IF(売分析!C98&lt;&gt;"",ROW()-2,"")</f>
        <v/>
      </c>
      <c r="B98" s="352">
        <f>IF(売分析!C98&lt;&gt;"",HYPERLINK("https://kabutan.jp/stock/?code="&amp;売分析!C98,"株探"),"")</f>
        <v/>
      </c>
      <c r="C98" s="631">
        <f>IF(売分析!C98&lt;&gt;"",売分析!C98,"")</f>
        <v/>
      </c>
      <c r="D98" s="225">
        <f>IF(売分析!D98&lt;&gt;"",売分析!D98,"")</f>
        <v/>
      </c>
      <c r="E98" s="353">
        <f>IF(売分析!E98&lt;&gt;"",売分析!E98,"")</f>
        <v/>
      </c>
      <c r="F98" s="353">
        <f>IF(売分析!F98&lt;&gt;"",売分析!F98,"")</f>
        <v/>
      </c>
      <c r="G98" s="353">
        <f>IF(売分析!H98&lt;&gt;"",売分析!H98,"")</f>
        <v/>
      </c>
      <c r="H98" s="353">
        <f>IF(売分析!I98&lt;&gt;"",売分析!I98,"")</f>
        <v/>
      </c>
      <c r="I98" s="225">
        <f>IF(売分析!J98&lt;&gt;"",売分析!J98,"")</f>
        <v/>
      </c>
      <c r="J98" s="353">
        <f>IF(売分析!AB98&lt;&gt;"",売分析!AB98,"")</f>
        <v/>
      </c>
      <c r="K98" s="353">
        <f>IF(売分析!AC98&lt;&gt;"",売分析!AC98,"")</f>
        <v/>
      </c>
      <c r="L98" s="353">
        <f>IF(売分析!K98&lt;&gt;"",売分析!K98,"")</f>
        <v/>
      </c>
      <c r="M98" s="225">
        <f>IF(売分析!P98&lt;&gt;"",売分析!P98,"")</f>
        <v/>
      </c>
      <c r="N98" s="627">
        <f>IF(売分析!O98&lt;&gt;"",売分析!O98,"")</f>
        <v/>
      </c>
      <c r="O98" s="357">
        <f>IF(売分析!X98&lt;&gt;"",売分析!X98,"")</f>
        <v/>
      </c>
      <c r="P98" s="626">
        <f>IF(売分析!L98&lt;&gt;"",売分析!L98,"")</f>
        <v/>
      </c>
      <c r="Q98" s="353">
        <f>IF(売分析!S98&lt;&gt;"",売分析!S98,"")</f>
        <v/>
      </c>
      <c r="R98" s="353">
        <f>IF(売分析!R98&lt;&gt;"",売分析!R98,"")</f>
        <v/>
      </c>
      <c r="S98" s="225">
        <f>IF(売分析!AA98&lt;&gt;"",売分析!AA98,"")</f>
        <v/>
      </c>
      <c r="T98" s="629">
        <f>IF(売分析!Z98&lt;&gt;"",売分析!Z98,"")</f>
        <v/>
      </c>
      <c r="U98" s="225">
        <f>IF(売分析!V98&lt;&gt;"",売分析!V98,"")</f>
        <v/>
      </c>
      <c r="V98" s="628">
        <f>IF(売分析!W98&lt;&gt;"",売分析!W98,"")</f>
        <v/>
      </c>
      <c r="W98" s="225">
        <f>IF(売分析!AD98&lt;&gt;"",売分析!AD98,"")</f>
        <v/>
      </c>
      <c r="X98" s="225">
        <f>IF(売分析!AE98&lt;&gt;"",売分析!AE98,"")</f>
        <v/>
      </c>
      <c r="Y98" s="411">
        <f>IF(売分析!T98&lt;&gt;"",売分析!T98,"")</f>
        <v/>
      </c>
      <c r="Z98" s="225">
        <f>IF(売分析!Y98&lt;&gt;"",売分析!Y98,"")</f>
        <v/>
      </c>
    </row>
    <row r="99">
      <c r="A99" s="345">
        <f>IF(売分析!C99&lt;&gt;"",ROW()-2,"")</f>
        <v/>
      </c>
      <c r="B99" s="344">
        <f>IF(売分析!C99&lt;&gt;"",HYPERLINK("https://kabutan.jp/stock/?code="&amp;売分析!C99,"株探"),"")</f>
        <v/>
      </c>
      <c r="C99" s="630">
        <f>IF(売分析!C99&lt;&gt;"",売分析!C99,"")</f>
        <v/>
      </c>
      <c r="D99" s="345">
        <f>IF(売分析!D99&lt;&gt;"",売分析!D99,"")</f>
        <v/>
      </c>
      <c r="E99" s="346">
        <f>IF(売分析!E99&lt;&gt;"",売分析!E99,"")</f>
        <v/>
      </c>
      <c r="F99" s="346">
        <f>IF(売分析!F99&lt;&gt;"",売分析!F99,"")</f>
        <v/>
      </c>
      <c r="G99" s="346">
        <f>IF(売分析!H99&lt;&gt;"",売分析!H99,"")</f>
        <v/>
      </c>
      <c r="H99" s="346">
        <f>IF(売分析!I99&lt;&gt;"",売分析!I99,"")</f>
        <v/>
      </c>
      <c r="I99" s="345">
        <f>IF(売分析!J99&lt;&gt;"",売分析!J99,"")</f>
        <v/>
      </c>
      <c r="J99" s="346">
        <f>IF(売分析!AB99&lt;&gt;"",売分析!AB99,"")</f>
        <v/>
      </c>
      <c r="K99" s="346">
        <f>IF(売分析!AC99&lt;&gt;"",売分析!AC99,"")</f>
        <v/>
      </c>
      <c r="L99" s="346">
        <f>IF(売分析!K99&lt;&gt;"",売分析!K99,"")</f>
        <v/>
      </c>
      <c r="M99" s="345">
        <f>IF(売分析!P99&lt;&gt;"",売分析!P99,"")</f>
        <v/>
      </c>
      <c r="N99" s="620">
        <f>IF(売分析!O99&lt;&gt;"",売分析!O99,"")</f>
        <v/>
      </c>
      <c r="O99" s="350">
        <f>IF(売分析!X99&lt;&gt;"",売分析!X99,"")</f>
        <v/>
      </c>
      <c r="P99" s="619">
        <f>IF(売分析!L99&lt;&gt;"",売分析!L99,"")</f>
        <v/>
      </c>
      <c r="Q99" s="346">
        <f>IF(売分析!S99&lt;&gt;"",売分析!S99,"")</f>
        <v/>
      </c>
      <c r="R99" s="346">
        <f>IF(売分析!R99&lt;&gt;"",売分析!R99,"")</f>
        <v/>
      </c>
      <c r="S99" s="345">
        <f>IF(売分析!AA99&lt;&gt;"",売分析!AA99,"")</f>
        <v/>
      </c>
      <c r="T99" s="622">
        <f>IF(売分析!Z99&lt;&gt;"",売分析!Z99,"")</f>
        <v/>
      </c>
      <c r="U99" s="345">
        <f>IF(売分析!V99&lt;&gt;"",売分析!V99,"")</f>
        <v/>
      </c>
      <c r="V99" s="621">
        <f>IF(売分析!W99&lt;&gt;"",売分析!W99,"")</f>
        <v/>
      </c>
      <c r="W99" s="345">
        <f>IF(売分析!AD99&lt;&gt;"",売分析!AD99,"")</f>
        <v/>
      </c>
      <c r="X99" s="345">
        <f>IF(売分析!AE99&lt;&gt;"",売分析!AE99,"")</f>
        <v/>
      </c>
      <c r="Y99" s="410">
        <f>IF(売分析!T99&lt;&gt;"",売分析!T99,"")</f>
        <v/>
      </c>
      <c r="Z99" s="345">
        <f>IF(売分析!Y99&lt;&gt;"",売分析!Y99,"")</f>
        <v/>
      </c>
    </row>
    <row r="100">
      <c r="A100" s="225">
        <f>IF(売分析!C100&lt;&gt;"",ROW()-2,"")</f>
        <v/>
      </c>
      <c r="B100" s="352">
        <f>IF(売分析!C100&lt;&gt;"",HYPERLINK("https://kabutan.jp/stock/?code="&amp;売分析!C100,"株探"),"")</f>
        <v/>
      </c>
      <c r="C100" s="631">
        <f>IF(売分析!C100&lt;&gt;"",売分析!C100,"")</f>
        <v/>
      </c>
      <c r="D100" s="225">
        <f>IF(売分析!D100&lt;&gt;"",売分析!D100,"")</f>
        <v/>
      </c>
      <c r="E100" s="353">
        <f>IF(売分析!E100&lt;&gt;"",売分析!E100,"")</f>
        <v/>
      </c>
      <c r="F100" s="353">
        <f>IF(売分析!F100&lt;&gt;"",売分析!F100,"")</f>
        <v/>
      </c>
      <c r="G100" s="353">
        <f>IF(売分析!H100&lt;&gt;"",売分析!H100,"")</f>
        <v/>
      </c>
      <c r="H100" s="353">
        <f>IF(売分析!I100&lt;&gt;"",売分析!I100,"")</f>
        <v/>
      </c>
      <c r="I100" s="225">
        <f>IF(売分析!J100&lt;&gt;"",売分析!J100,"")</f>
        <v/>
      </c>
      <c r="J100" s="353">
        <f>IF(売分析!AB100&lt;&gt;"",売分析!AB100,"")</f>
        <v/>
      </c>
      <c r="K100" s="353">
        <f>IF(売分析!AC100&lt;&gt;"",売分析!AC100,"")</f>
        <v/>
      </c>
      <c r="L100" s="353">
        <f>IF(売分析!K100&lt;&gt;"",売分析!K100,"")</f>
        <v/>
      </c>
      <c r="M100" s="225">
        <f>IF(売分析!P100&lt;&gt;"",売分析!P100,"")</f>
        <v/>
      </c>
      <c r="N100" s="627">
        <f>IF(売分析!O100&lt;&gt;"",売分析!O100,"")</f>
        <v/>
      </c>
      <c r="O100" s="357">
        <f>IF(売分析!X100&lt;&gt;"",売分析!X100,"")</f>
        <v/>
      </c>
      <c r="P100" s="626">
        <f>IF(売分析!L100&lt;&gt;"",売分析!L100,"")</f>
        <v/>
      </c>
      <c r="Q100" s="353">
        <f>IF(売分析!S100&lt;&gt;"",売分析!S100,"")</f>
        <v/>
      </c>
      <c r="R100" s="353">
        <f>IF(売分析!R100&lt;&gt;"",売分析!R100,"")</f>
        <v/>
      </c>
      <c r="S100" s="225">
        <f>IF(売分析!AA100&lt;&gt;"",売分析!AA100,"")</f>
        <v/>
      </c>
      <c r="T100" s="629">
        <f>IF(売分析!Z100&lt;&gt;"",売分析!Z100,"")</f>
        <v/>
      </c>
      <c r="U100" s="225">
        <f>IF(売分析!V100&lt;&gt;"",売分析!V100,"")</f>
        <v/>
      </c>
      <c r="V100" s="628">
        <f>IF(売分析!W100&lt;&gt;"",売分析!W100,"")</f>
        <v/>
      </c>
      <c r="W100" s="225">
        <f>IF(売分析!AD100&lt;&gt;"",売分析!AD100,"")</f>
        <v/>
      </c>
      <c r="X100" s="225">
        <f>IF(売分析!AE100&lt;&gt;"",売分析!AE100,"")</f>
        <v/>
      </c>
      <c r="Y100" s="411">
        <f>IF(売分析!T100&lt;&gt;"",売分析!T100,"")</f>
        <v/>
      </c>
      <c r="Z100" s="225">
        <f>IF(売分析!Y100&lt;&gt;"",売分析!Y100,"")</f>
        <v/>
      </c>
    </row>
    <row r="101">
      <c r="A101" s="345">
        <f>IF(売分析!C101&lt;&gt;"",ROW()-2,"")</f>
        <v/>
      </c>
      <c r="B101" s="344">
        <f>IF(売分析!C101&lt;&gt;"",HYPERLINK("https://kabutan.jp/stock/?code="&amp;売分析!C101,"株探"),"")</f>
        <v/>
      </c>
      <c r="C101" s="630">
        <f>IF(売分析!C101&lt;&gt;"",売分析!C101,"")</f>
        <v/>
      </c>
      <c r="D101" s="345">
        <f>IF(売分析!D101&lt;&gt;"",売分析!D101,"")</f>
        <v/>
      </c>
      <c r="E101" s="346">
        <f>IF(売分析!E101&lt;&gt;"",売分析!E101,"")</f>
        <v/>
      </c>
      <c r="F101" s="346">
        <f>IF(売分析!F101&lt;&gt;"",売分析!F101,"")</f>
        <v/>
      </c>
      <c r="G101" s="346">
        <f>IF(売分析!H101&lt;&gt;"",売分析!H101,"")</f>
        <v/>
      </c>
      <c r="H101" s="346">
        <f>IF(売分析!I101&lt;&gt;"",売分析!I101,"")</f>
        <v/>
      </c>
      <c r="I101" s="345">
        <f>IF(売分析!J101&lt;&gt;"",売分析!J101,"")</f>
        <v/>
      </c>
      <c r="J101" s="346">
        <f>IF(売分析!AB101&lt;&gt;"",売分析!AB101,"")</f>
        <v/>
      </c>
      <c r="K101" s="346">
        <f>IF(売分析!AC101&lt;&gt;"",売分析!AC101,"")</f>
        <v/>
      </c>
      <c r="L101" s="346">
        <f>IF(売分析!K101&lt;&gt;"",売分析!K101,"")</f>
        <v/>
      </c>
      <c r="M101" s="345">
        <f>IF(売分析!P101&lt;&gt;"",売分析!P101,"")</f>
        <v/>
      </c>
      <c r="N101" s="620">
        <f>IF(売分析!O101&lt;&gt;"",売分析!O101,"")</f>
        <v/>
      </c>
      <c r="O101" s="350">
        <f>IF(売分析!X101&lt;&gt;"",売分析!X101,"")</f>
        <v/>
      </c>
      <c r="P101" s="619">
        <f>IF(売分析!L101&lt;&gt;"",売分析!L101,"")</f>
        <v/>
      </c>
      <c r="Q101" s="346">
        <f>IF(売分析!S101&lt;&gt;"",売分析!S101,"")</f>
        <v/>
      </c>
      <c r="R101" s="346">
        <f>IF(売分析!R101&lt;&gt;"",売分析!R101,"")</f>
        <v/>
      </c>
      <c r="S101" s="345">
        <f>IF(売分析!AA101&lt;&gt;"",売分析!AA101,"")</f>
        <v/>
      </c>
      <c r="T101" s="622">
        <f>IF(売分析!Z101&lt;&gt;"",売分析!Z101,"")</f>
        <v/>
      </c>
      <c r="U101" s="345">
        <f>IF(売分析!V101&lt;&gt;"",売分析!V101,"")</f>
        <v/>
      </c>
      <c r="V101" s="621">
        <f>IF(売分析!W101&lt;&gt;"",売分析!W101,"")</f>
        <v/>
      </c>
      <c r="W101" s="345">
        <f>IF(売分析!AD101&lt;&gt;"",売分析!AD101,"")</f>
        <v/>
      </c>
      <c r="X101" s="345">
        <f>IF(売分析!AE101&lt;&gt;"",売分析!AE101,"")</f>
        <v/>
      </c>
      <c r="Y101" s="410">
        <f>IF(売分析!T101&lt;&gt;"",売分析!T101,"")</f>
        <v/>
      </c>
      <c r="Z101" s="345">
        <f>IF(売分析!Y101&lt;&gt;"",売分析!Y101,"")</f>
        <v/>
      </c>
    </row>
    <row r="102">
      <c r="A102" s="225">
        <f>IF(売分析!C102&lt;&gt;"",ROW()-2,"")</f>
        <v/>
      </c>
      <c r="B102" s="352">
        <f>IF(売分析!C102&lt;&gt;"",HYPERLINK("https://kabutan.jp/stock/?code="&amp;売分析!C102,"株探"),"")</f>
        <v/>
      </c>
      <c r="C102" s="631">
        <f>IF(売分析!C102&lt;&gt;"",売分析!C102,"")</f>
        <v/>
      </c>
      <c r="D102" s="225">
        <f>IF(売分析!D102&lt;&gt;"",売分析!D102,"")</f>
        <v/>
      </c>
      <c r="E102" s="353">
        <f>IF(売分析!E102&lt;&gt;"",売分析!E102,"")</f>
        <v/>
      </c>
      <c r="F102" s="353">
        <f>IF(売分析!F102&lt;&gt;"",売分析!F102,"")</f>
        <v/>
      </c>
      <c r="G102" s="353">
        <f>IF(売分析!H102&lt;&gt;"",売分析!H102,"")</f>
        <v/>
      </c>
      <c r="H102" s="353">
        <f>IF(売分析!I102&lt;&gt;"",売分析!I102,"")</f>
        <v/>
      </c>
      <c r="I102" s="225">
        <f>IF(売分析!J102&lt;&gt;"",売分析!J102,"")</f>
        <v/>
      </c>
      <c r="J102" s="353">
        <f>IF(売分析!AB102&lt;&gt;"",売分析!AB102,"")</f>
        <v/>
      </c>
      <c r="K102" s="353">
        <f>IF(売分析!AC102&lt;&gt;"",売分析!AC102,"")</f>
        <v/>
      </c>
      <c r="L102" s="353">
        <f>IF(売分析!K102&lt;&gt;"",売分析!K102,"")</f>
        <v/>
      </c>
      <c r="M102" s="225">
        <f>IF(売分析!P102&lt;&gt;"",売分析!P102,"")</f>
        <v/>
      </c>
      <c r="N102" s="627">
        <f>IF(売分析!O102&lt;&gt;"",売分析!O102,"")</f>
        <v/>
      </c>
      <c r="O102" s="357">
        <f>IF(売分析!X102&lt;&gt;"",売分析!X102,"")</f>
        <v/>
      </c>
      <c r="P102" s="626">
        <f>IF(売分析!L102&lt;&gt;"",売分析!L102,"")</f>
        <v/>
      </c>
      <c r="Q102" s="353">
        <f>IF(売分析!S102&lt;&gt;"",売分析!S102,"")</f>
        <v/>
      </c>
      <c r="R102" s="353">
        <f>IF(売分析!R102&lt;&gt;"",売分析!R102,"")</f>
        <v/>
      </c>
      <c r="S102" s="225">
        <f>IF(売分析!AA102&lt;&gt;"",売分析!AA102,"")</f>
        <v/>
      </c>
      <c r="T102" s="629">
        <f>IF(売分析!Z102&lt;&gt;"",売分析!Z102,"")</f>
        <v/>
      </c>
      <c r="U102" s="225">
        <f>IF(売分析!V102&lt;&gt;"",売分析!V102,"")</f>
        <v/>
      </c>
      <c r="V102" s="628">
        <f>IF(売分析!W102&lt;&gt;"",売分析!W102,"")</f>
        <v/>
      </c>
      <c r="W102" s="225">
        <f>IF(売分析!AD102&lt;&gt;"",売分析!AD102,"")</f>
        <v/>
      </c>
      <c r="X102" s="225">
        <f>IF(売分析!AE102&lt;&gt;"",売分析!AE102,"")</f>
        <v/>
      </c>
      <c r="Y102" s="411">
        <f>IF(売分析!T102&lt;&gt;"",売分析!T102,"")</f>
        <v/>
      </c>
      <c r="Z102" s="225">
        <f>IF(売分析!Y102&lt;&gt;"",売分析!Y102,"")</f>
        <v/>
      </c>
    </row>
    <row r="103">
      <c r="A103" s="345">
        <f>IF(売分析!C103&lt;&gt;"",ROW()-2,"")</f>
        <v/>
      </c>
      <c r="B103" s="344">
        <f>IF(売分析!C103&lt;&gt;"",HYPERLINK("https://kabutan.jp/stock/?code="&amp;売分析!C103,"株探"),"")</f>
        <v/>
      </c>
      <c r="C103" s="630">
        <f>IF(売分析!C103&lt;&gt;"",売分析!C103,"")</f>
        <v/>
      </c>
      <c r="D103" s="345">
        <f>IF(売分析!D103&lt;&gt;"",売分析!D103,"")</f>
        <v/>
      </c>
      <c r="E103" s="346">
        <f>IF(売分析!E103&lt;&gt;"",売分析!E103,"")</f>
        <v/>
      </c>
      <c r="F103" s="346">
        <f>IF(売分析!F103&lt;&gt;"",売分析!F103,"")</f>
        <v/>
      </c>
      <c r="G103" s="346">
        <f>IF(売分析!H103&lt;&gt;"",売分析!H103,"")</f>
        <v/>
      </c>
      <c r="H103" s="346">
        <f>IF(売分析!I103&lt;&gt;"",売分析!I103,"")</f>
        <v/>
      </c>
      <c r="I103" s="345">
        <f>IF(売分析!J103&lt;&gt;"",売分析!J103,"")</f>
        <v/>
      </c>
      <c r="J103" s="346">
        <f>IF(売分析!AB103&lt;&gt;"",売分析!AB103,"")</f>
        <v/>
      </c>
      <c r="K103" s="346">
        <f>IF(売分析!AC103&lt;&gt;"",売分析!AC103,"")</f>
        <v/>
      </c>
      <c r="L103" s="346">
        <f>IF(売分析!K103&lt;&gt;"",売分析!K103,"")</f>
        <v/>
      </c>
      <c r="M103" s="345">
        <f>IF(売分析!P103&lt;&gt;"",売分析!P103,"")</f>
        <v/>
      </c>
      <c r="N103" s="620">
        <f>IF(売分析!O103&lt;&gt;"",売分析!O103,"")</f>
        <v/>
      </c>
      <c r="O103" s="350">
        <f>IF(売分析!X103&lt;&gt;"",売分析!X103,"")</f>
        <v/>
      </c>
      <c r="P103" s="619">
        <f>IF(売分析!L103&lt;&gt;"",売分析!L103,"")</f>
        <v/>
      </c>
      <c r="Q103" s="346">
        <f>IF(売分析!S103&lt;&gt;"",売分析!S103,"")</f>
        <v/>
      </c>
      <c r="R103" s="346">
        <f>IF(売分析!R103&lt;&gt;"",売分析!R103,"")</f>
        <v/>
      </c>
      <c r="S103" s="345">
        <f>IF(売分析!AA103&lt;&gt;"",売分析!AA103,"")</f>
        <v/>
      </c>
      <c r="T103" s="622">
        <f>IF(売分析!Z103&lt;&gt;"",売分析!Z103,"")</f>
        <v/>
      </c>
      <c r="U103" s="345">
        <f>IF(売分析!V103&lt;&gt;"",売分析!V103,"")</f>
        <v/>
      </c>
      <c r="V103" s="621">
        <f>IF(売分析!W103&lt;&gt;"",売分析!W103,"")</f>
        <v/>
      </c>
      <c r="W103" s="345">
        <f>IF(売分析!AD103&lt;&gt;"",売分析!AD103,"")</f>
        <v/>
      </c>
      <c r="X103" s="345">
        <f>IF(売分析!AE103&lt;&gt;"",売分析!AE103,"")</f>
        <v/>
      </c>
      <c r="Y103" s="410">
        <f>IF(売分析!T103&lt;&gt;"",売分析!T103,"")</f>
        <v/>
      </c>
      <c r="Z103" s="345">
        <f>IF(売分析!Y103&lt;&gt;"",売分析!Y103,"")</f>
        <v/>
      </c>
    </row>
    <row r="104">
      <c r="A104" s="225">
        <f>IF(売分析!C104&lt;&gt;"",ROW()-2,"")</f>
        <v/>
      </c>
      <c r="B104" s="352">
        <f>IF(売分析!C104&lt;&gt;"",HYPERLINK("https://kabutan.jp/stock/?code="&amp;売分析!C104,"株探"),"")</f>
        <v/>
      </c>
      <c r="C104" s="631">
        <f>IF(売分析!C104&lt;&gt;"",売分析!C104,"")</f>
        <v/>
      </c>
      <c r="D104" s="225">
        <f>IF(売分析!D104&lt;&gt;"",売分析!D104,"")</f>
        <v/>
      </c>
      <c r="E104" s="353">
        <f>IF(売分析!E104&lt;&gt;"",売分析!E104,"")</f>
        <v/>
      </c>
      <c r="F104" s="353">
        <f>IF(売分析!F104&lt;&gt;"",売分析!F104,"")</f>
        <v/>
      </c>
      <c r="G104" s="353">
        <f>IF(売分析!H104&lt;&gt;"",売分析!H104,"")</f>
        <v/>
      </c>
      <c r="H104" s="353">
        <f>IF(売分析!I104&lt;&gt;"",売分析!I104,"")</f>
        <v/>
      </c>
      <c r="I104" s="225">
        <f>IF(売分析!J104&lt;&gt;"",売分析!J104,"")</f>
        <v/>
      </c>
      <c r="J104" s="353">
        <f>IF(売分析!AB104&lt;&gt;"",売分析!AB104,"")</f>
        <v/>
      </c>
      <c r="K104" s="353">
        <f>IF(売分析!AC104&lt;&gt;"",売分析!AC104,"")</f>
        <v/>
      </c>
      <c r="L104" s="353">
        <f>IF(売分析!K104&lt;&gt;"",売分析!K104,"")</f>
        <v/>
      </c>
      <c r="M104" s="225">
        <f>IF(売分析!P104&lt;&gt;"",売分析!P104,"")</f>
        <v/>
      </c>
      <c r="N104" s="627">
        <f>IF(売分析!O104&lt;&gt;"",売分析!O104,"")</f>
        <v/>
      </c>
      <c r="O104" s="357">
        <f>IF(売分析!X104&lt;&gt;"",売分析!X104,"")</f>
        <v/>
      </c>
      <c r="P104" s="626">
        <f>IF(売分析!L104&lt;&gt;"",売分析!L104,"")</f>
        <v/>
      </c>
      <c r="Q104" s="353">
        <f>IF(売分析!S104&lt;&gt;"",売分析!S104,"")</f>
        <v/>
      </c>
      <c r="R104" s="353">
        <f>IF(売分析!R104&lt;&gt;"",売分析!R104,"")</f>
        <v/>
      </c>
      <c r="S104" s="225">
        <f>IF(売分析!AA104&lt;&gt;"",売分析!AA104,"")</f>
        <v/>
      </c>
      <c r="T104" s="629">
        <f>IF(売分析!Z104&lt;&gt;"",売分析!Z104,"")</f>
        <v/>
      </c>
      <c r="U104" s="225">
        <f>IF(売分析!V104&lt;&gt;"",売分析!V104,"")</f>
        <v/>
      </c>
      <c r="V104" s="628">
        <f>IF(売分析!W104&lt;&gt;"",売分析!W104,"")</f>
        <v/>
      </c>
      <c r="W104" s="225">
        <f>IF(売分析!AD104&lt;&gt;"",売分析!AD104,"")</f>
        <v/>
      </c>
      <c r="X104" s="225">
        <f>IF(売分析!AE104&lt;&gt;"",売分析!AE104,"")</f>
        <v/>
      </c>
      <c r="Y104" s="411">
        <f>IF(売分析!T104&lt;&gt;"",売分析!T104,"")</f>
        <v/>
      </c>
      <c r="Z104" s="225">
        <f>IF(売分析!Y104&lt;&gt;"",売分析!Y104,"")</f>
        <v/>
      </c>
    </row>
    <row r="105">
      <c r="A105" s="345">
        <f>IF(売分析!C105&lt;&gt;"",ROW()-2,"")</f>
        <v/>
      </c>
      <c r="B105" s="344">
        <f>IF(売分析!C105&lt;&gt;"",HYPERLINK("https://kabutan.jp/stock/?code="&amp;売分析!C105,"株探"),"")</f>
        <v/>
      </c>
      <c r="C105" s="630">
        <f>IF(売分析!C105&lt;&gt;"",売分析!C105,"")</f>
        <v/>
      </c>
      <c r="D105" s="345">
        <f>IF(売分析!D105&lt;&gt;"",売分析!D105,"")</f>
        <v/>
      </c>
      <c r="E105" s="346">
        <f>IF(売分析!E105&lt;&gt;"",売分析!E105,"")</f>
        <v/>
      </c>
      <c r="F105" s="346">
        <f>IF(売分析!F105&lt;&gt;"",売分析!F105,"")</f>
        <v/>
      </c>
      <c r="G105" s="346">
        <f>IF(売分析!H105&lt;&gt;"",売分析!H105,"")</f>
        <v/>
      </c>
      <c r="H105" s="346">
        <f>IF(売分析!I105&lt;&gt;"",売分析!I105,"")</f>
        <v/>
      </c>
      <c r="I105" s="345">
        <f>IF(売分析!J105&lt;&gt;"",売分析!J105,"")</f>
        <v/>
      </c>
      <c r="J105" s="346">
        <f>IF(売分析!AB105&lt;&gt;"",売分析!AB105,"")</f>
        <v/>
      </c>
      <c r="K105" s="346">
        <f>IF(売分析!AC105&lt;&gt;"",売分析!AC105,"")</f>
        <v/>
      </c>
      <c r="L105" s="346">
        <f>IF(売分析!K105&lt;&gt;"",売分析!K105,"")</f>
        <v/>
      </c>
      <c r="M105" s="345">
        <f>IF(売分析!P105&lt;&gt;"",売分析!P105,"")</f>
        <v/>
      </c>
      <c r="N105" s="620">
        <f>IF(売分析!O105&lt;&gt;"",売分析!O105,"")</f>
        <v/>
      </c>
      <c r="O105" s="350">
        <f>IF(売分析!X105&lt;&gt;"",売分析!X105,"")</f>
        <v/>
      </c>
      <c r="P105" s="619">
        <f>IF(売分析!L105&lt;&gt;"",売分析!L105,"")</f>
        <v/>
      </c>
      <c r="Q105" s="346">
        <f>IF(売分析!S105&lt;&gt;"",売分析!S105,"")</f>
        <v/>
      </c>
      <c r="R105" s="346">
        <f>IF(売分析!R105&lt;&gt;"",売分析!R105,"")</f>
        <v/>
      </c>
      <c r="S105" s="345">
        <f>IF(売分析!AA105&lt;&gt;"",売分析!AA105,"")</f>
        <v/>
      </c>
      <c r="T105" s="622">
        <f>IF(売分析!Z105&lt;&gt;"",売分析!Z105,"")</f>
        <v/>
      </c>
      <c r="U105" s="345">
        <f>IF(売分析!V105&lt;&gt;"",売分析!V105,"")</f>
        <v/>
      </c>
      <c r="V105" s="621">
        <f>IF(売分析!W105&lt;&gt;"",売分析!W105,"")</f>
        <v/>
      </c>
      <c r="W105" s="345">
        <f>IF(売分析!AD105&lt;&gt;"",売分析!AD105,"")</f>
        <v/>
      </c>
      <c r="X105" s="345">
        <f>IF(売分析!AE105&lt;&gt;"",売分析!AE105,"")</f>
        <v/>
      </c>
      <c r="Y105" s="410">
        <f>IF(売分析!T105&lt;&gt;"",売分析!T105,"")</f>
        <v/>
      </c>
      <c r="Z105" s="345">
        <f>IF(売分析!Y105&lt;&gt;"",売分析!Y105,"")</f>
        <v/>
      </c>
    </row>
    <row r="106">
      <c r="A106" s="225">
        <f>IF(売分析!C106&lt;&gt;"",ROW()-2,"")</f>
        <v/>
      </c>
      <c r="B106" s="352">
        <f>IF(売分析!C106&lt;&gt;"",HYPERLINK("https://kabutan.jp/stock/?code="&amp;売分析!C106,"株探"),"")</f>
        <v/>
      </c>
      <c r="C106" s="631">
        <f>IF(売分析!C106&lt;&gt;"",売分析!C106,"")</f>
        <v/>
      </c>
      <c r="D106" s="225">
        <f>IF(売分析!D106&lt;&gt;"",売分析!D106,"")</f>
        <v/>
      </c>
      <c r="E106" s="353">
        <f>IF(売分析!E106&lt;&gt;"",売分析!E106,"")</f>
        <v/>
      </c>
      <c r="F106" s="353">
        <f>IF(売分析!F106&lt;&gt;"",売分析!F106,"")</f>
        <v/>
      </c>
      <c r="G106" s="353">
        <f>IF(売分析!H106&lt;&gt;"",売分析!H106,"")</f>
        <v/>
      </c>
      <c r="H106" s="353">
        <f>IF(売分析!I106&lt;&gt;"",売分析!I106,"")</f>
        <v/>
      </c>
      <c r="I106" s="225">
        <f>IF(売分析!J106&lt;&gt;"",売分析!J106,"")</f>
        <v/>
      </c>
      <c r="J106" s="353">
        <f>IF(売分析!AB106&lt;&gt;"",売分析!AB106,"")</f>
        <v/>
      </c>
      <c r="K106" s="353">
        <f>IF(売分析!AC106&lt;&gt;"",売分析!AC106,"")</f>
        <v/>
      </c>
      <c r="L106" s="353">
        <f>IF(売分析!K106&lt;&gt;"",売分析!K106,"")</f>
        <v/>
      </c>
      <c r="M106" s="225">
        <f>IF(売分析!P106&lt;&gt;"",売分析!P106,"")</f>
        <v/>
      </c>
      <c r="N106" s="627">
        <f>IF(売分析!O106&lt;&gt;"",売分析!O106,"")</f>
        <v/>
      </c>
      <c r="O106" s="357">
        <f>IF(売分析!X106&lt;&gt;"",売分析!X106,"")</f>
        <v/>
      </c>
      <c r="P106" s="626">
        <f>IF(売分析!L106&lt;&gt;"",売分析!L106,"")</f>
        <v/>
      </c>
      <c r="Q106" s="353">
        <f>IF(売分析!S106&lt;&gt;"",売分析!S106,"")</f>
        <v/>
      </c>
      <c r="R106" s="353">
        <f>IF(売分析!R106&lt;&gt;"",売分析!R106,"")</f>
        <v/>
      </c>
      <c r="S106" s="225">
        <f>IF(売分析!AA106&lt;&gt;"",売分析!AA106,"")</f>
        <v/>
      </c>
      <c r="T106" s="629">
        <f>IF(売分析!Z106&lt;&gt;"",売分析!Z106,"")</f>
        <v/>
      </c>
      <c r="U106" s="225">
        <f>IF(売分析!V106&lt;&gt;"",売分析!V106,"")</f>
        <v/>
      </c>
      <c r="V106" s="628">
        <f>IF(売分析!W106&lt;&gt;"",売分析!W106,"")</f>
        <v/>
      </c>
      <c r="W106" s="225">
        <f>IF(売分析!AD106&lt;&gt;"",売分析!AD106,"")</f>
        <v/>
      </c>
      <c r="X106" s="225">
        <f>IF(売分析!AE106&lt;&gt;"",売分析!AE106,"")</f>
        <v/>
      </c>
      <c r="Y106" s="411">
        <f>IF(売分析!T106&lt;&gt;"",売分析!T106,"")</f>
        <v/>
      </c>
      <c r="Z106" s="225">
        <f>IF(売分析!Y106&lt;&gt;"",売分析!Y106,"")</f>
        <v/>
      </c>
    </row>
    <row r="107">
      <c r="A107" s="345">
        <f>IF(売分析!C107&lt;&gt;"",ROW()-2,"")</f>
        <v/>
      </c>
      <c r="B107" s="344">
        <f>IF(売分析!C107&lt;&gt;"",HYPERLINK("https://kabutan.jp/stock/?code="&amp;売分析!C107,"株探"),"")</f>
        <v/>
      </c>
      <c r="C107" s="630">
        <f>IF(売分析!C107&lt;&gt;"",売分析!C107,"")</f>
        <v/>
      </c>
      <c r="D107" s="345">
        <f>IF(売分析!D107&lt;&gt;"",売分析!D107,"")</f>
        <v/>
      </c>
      <c r="E107" s="346">
        <f>IF(売分析!E107&lt;&gt;"",売分析!E107,"")</f>
        <v/>
      </c>
      <c r="F107" s="346">
        <f>IF(売分析!F107&lt;&gt;"",売分析!F107,"")</f>
        <v/>
      </c>
      <c r="G107" s="346">
        <f>IF(売分析!H107&lt;&gt;"",売分析!H107,"")</f>
        <v/>
      </c>
      <c r="H107" s="346">
        <f>IF(売分析!I107&lt;&gt;"",売分析!I107,"")</f>
        <v/>
      </c>
      <c r="I107" s="345">
        <f>IF(売分析!J107&lt;&gt;"",売分析!J107,"")</f>
        <v/>
      </c>
      <c r="J107" s="346">
        <f>IF(売分析!AB107&lt;&gt;"",売分析!AB107,"")</f>
        <v/>
      </c>
      <c r="K107" s="346">
        <f>IF(売分析!AC107&lt;&gt;"",売分析!AC107,"")</f>
        <v/>
      </c>
      <c r="L107" s="346">
        <f>IF(売分析!K107&lt;&gt;"",売分析!K107,"")</f>
        <v/>
      </c>
      <c r="M107" s="345">
        <f>IF(売分析!P107&lt;&gt;"",売分析!P107,"")</f>
        <v/>
      </c>
      <c r="N107" s="620">
        <f>IF(売分析!O107&lt;&gt;"",売分析!O107,"")</f>
        <v/>
      </c>
      <c r="O107" s="350">
        <f>IF(売分析!X107&lt;&gt;"",売分析!X107,"")</f>
        <v/>
      </c>
      <c r="P107" s="619">
        <f>IF(売分析!L107&lt;&gt;"",売分析!L107,"")</f>
        <v/>
      </c>
      <c r="Q107" s="346">
        <f>IF(売分析!S107&lt;&gt;"",売分析!S107,"")</f>
        <v/>
      </c>
      <c r="R107" s="346">
        <f>IF(売分析!R107&lt;&gt;"",売分析!R107,"")</f>
        <v/>
      </c>
      <c r="S107" s="345">
        <f>IF(売分析!AA107&lt;&gt;"",売分析!AA107,"")</f>
        <v/>
      </c>
      <c r="T107" s="622">
        <f>IF(売分析!Z107&lt;&gt;"",売分析!Z107,"")</f>
        <v/>
      </c>
      <c r="U107" s="345">
        <f>IF(売分析!V107&lt;&gt;"",売分析!V107,"")</f>
        <v/>
      </c>
      <c r="V107" s="621">
        <f>IF(売分析!W107&lt;&gt;"",売分析!W107,"")</f>
        <v/>
      </c>
      <c r="W107" s="345">
        <f>IF(売分析!AD107&lt;&gt;"",売分析!AD107,"")</f>
        <v/>
      </c>
      <c r="X107" s="345">
        <f>IF(売分析!AE107&lt;&gt;"",売分析!AE107,"")</f>
        <v/>
      </c>
      <c r="Y107" s="410">
        <f>IF(売分析!T107&lt;&gt;"",売分析!T107,"")</f>
        <v/>
      </c>
      <c r="Z107" s="345">
        <f>IF(売分析!Y107&lt;&gt;"",売分析!Y107,"")</f>
        <v/>
      </c>
    </row>
    <row r="108">
      <c r="A108" s="225">
        <f>IF(売分析!C108&lt;&gt;"",ROW()-2,"")</f>
        <v/>
      </c>
      <c r="B108" s="352">
        <f>IF(売分析!C108&lt;&gt;"",HYPERLINK("https://kabutan.jp/stock/?code="&amp;売分析!C108,"株探"),"")</f>
        <v/>
      </c>
      <c r="C108" s="631">
        <f>IF(売分析!C108&lt;&gt;"",売分析!C108,"")</f>
        <v/>
      </c>
      <c r="D108" s="225">
        <f>IF(売分析!D108&lt;&gt;"",売分析!D108,"")</f>
        <v/>
      </c>
      <c r="E108" s="353">
        <f>IF(売分析!E108&lt;&gt;"",売分析!E108,"")</f>
        <v/>
      </c>
      <c r="F108" s="353">
        <f>IF(売分析!F108&lt;&gt;"",売分析!F108,"")</f>
        <v/>
      </c>
      <c r="G108" s="353">
        <f>IF(売分析!H108&lt;&gt;"",売分析!H108,"")</f>
        <v/>
      </c>
      <c r="H108" s="353">
        <f>IF(売分析!I108&lt;&gt;"",売分析!I108,"")</f>
        <v/>
      </c>
      <c r="I108" s="225">
        <f>IF(売分析!J108&lt;&gt;"",売分析!J108,"")</f>
        <v/>
      </c>
      <c r="J108" s="353">
        <f>IF(売分析!AB108&lt;&gt;"",売分析!AB108,"")</f>
        <v/>
      </c>
      <c r="K108" s="353">
        <f>IF(売分析!AC108&lt;&gt;"",売分析!AC108,"")</f>
        <v/>
      </c>
      <c r="L108" s="353">
        <f>IF(売分析!K108&lt;&gt;"",売分析!K108,"")</f>
        <v/>
      </c>
      <c r="M108" s="225">
        <f>IF(売分析!P108&lt;&gt;"",売分析!P108,"")</f>
        <v/>
      </c>
      <c r="N108" s="627">
        <f>IF(売分析!O108&lt;&gt;"",売分析!O108,"")</f>
        <v/>
      </c>
      <c r="O108" s="357">
        <f>IF(売分析!X108&lt;&gt;"",売分析!X108,"")</f>
        <v/>
      </c>
      <c r="P108" s="626">
        <f>IF(売分析!L108&lt;&gt;"",売分析!L108,"")</f>
        <v/>
      </c>
      <c r="Q108" s="353">
        <f>IF(売分析!S108&lt;&gt;"",売分析!S108,"")</f>
        <v/>
      </c>
      <c r="R108" s="353">
        <f>IF(売分析!R108&lt;&gt;"",売分析!R108,"")</f>
        <v/>
      </c>
      <c r="S108" s="225">
        <f>IF(売分析!AA108&lt;&gt;"",売分析!AA108,"")</f>
        <v/>
      </c>
      <c r="T108" s="629">
        <f>IF(売分析!Z108&lt;&gt;"",売分析!Z108,"")</f>
        <v/>
      </c>
      <c r="U108" s="225">
        <f>IF(売分析!V108&lt;&gt;"",売分析!V108,"")</f>
        <v/>
      </c>
      <c r="V108" s="628">
        <f>IF(売分析!W108&lt;&gt;"",売分析!W108,"")</f>
        <v/>
      </c>
      <c r="W108" s="225">
        <f>IF(売分析!AD108&lt;&gt;"",売分析!AD108,"")</f>
        <v/>
      </c>
      <c r="X108" s="225">
        <f>IF(売分析!AE108&lt;&gt;"",売分析!AE108,"")</f>
        <v/>
      </c>
      <c r="Y108" s="411">
        <f>IF(売分析!T108&lt;&gt;"",売分析!T108,"")</f>
        <v/>
      </c>
      <c r="Z108" s="225">
        <f>IF(売分析!Y108&lt;&gt;"",売分析!Y108,"")</f>
        <v/>
      </c>
    </row>
    <row r="109">
      <c r="A109" s="345">
        <f>IF(売分析!C109&lt;&gt;"",ROW()-2,"")</f>
        <v/>
      </c>
      <c r="B109" s="344">
        <f>IF(売分析!C109&lt;&gt;"",HYPERLINK("https://kabutan.jp/stock/?code="&amp;売分析!C109,"株探"),"")</f>
        <v/>
      </c>
      <c r="C109" s="630">
        <f>IF(売分析!C109&lt;&gt;"",売分析!C109,"")</f>
        <v/>
      </c>
      <c r="D109" s="345">
        <f>IF(売分析!D109&lt;&gt;"",売分析!D109,"")</f>
        <v/>
      </c>
      <c r="E109" s="346">
        <f>IF(売分析!E109&lt;&gt;"",売分析!E109,"")</f>
        <v/>
      </c>
      <c r="F109" s="346">
        <f>IF(売分析!F109&lt;&gt;"",売分析!F109,"")</f>
        <v/>
      </c>
      <c r="G109" s="346">
        <f>IF(売分析!H109&lt;&gt;"",売分析!H109,"")</f>
        <v/>
      </c>
      <c r="H109" s="346">
        <f>IF(売分析!I109&lt;&gt;"",売分析!I109,"")</f>
        <v/>
      </c>
      <c r="I109" s="345">
        <f>IF(売分析!J109&lt;&gt;"",売分析!J109,"")</f>
        <v/>
      </c>
      <c r="J109" s="346">
        <f>IF(売分析!AB109&lt;&gt;"",売分析!AB109,"")</f>
        <v/>
      </c>
      <c r="K109" s="346">
        <f>IF(売分析!AC109&lt;&gt;"",売分析!AC109,"")</f>
        <v/>
      </c>
      <c r="L109" s="346">
        <f>IF(売分析!K109&lt;&gt;"",売分析!K109,"")</f>
        <v/>
      </c>
      <c r="M109" s="345">
        <f>IF(売分析!P109&lt;&gt;"",売分析!P109,"")</f>
        <v/>
      </c>
      <c r="N109" s="620">
        <f>IF(売分析!O109&lt;&gt;"",売分析!O109,"")</f>
        <v/>
      </c>
      <c r="O109" s="350">
        <f>IF(売分析!X109&lt;&gt;"",売分析!X109,"")</f>
        <v/>
      </c>
      <c r="P109" s="619">
        <f>IF(売分析!L109&lt;&gt;"",売分析!L109,"")</f>
        <v/>
      </c>
      <c r="Q109" s="346">
        <f>IF(売分析!S109&lt;&gt;"",売分析!S109,"")</f>
        <v/>
      </c>
      <c r="R109" s="346">
        <f>IF(売分析!R109&lt;&gt;"",売分析!R109,"")</f>
        <v/>
      </c>
      <c r="S109" s="345">
        <f>IF(売分析!AA109&lt;&gt;"",売分析!AA109,"")</f>
        <v/>
      </c>
      <c r="T109" s="622">
        <f>IF(売分析!Z109&lt;&gt;"",売分析!Z109,"")</f>
        <v/>
      </c>
      <c r="U109" s="345">
        <f>IF(売分析!V109&lt;&gt;"",売分析!V109,"")</f>
        <v/>
      </c>
      <c r="V109" s="621">
        <f>IF(売分析!W109&lt;&gt;"",売分析!W109,"")</f>
        <v/>
      </c>
      <c r="W109" s="345">
        <f>IF(売分析!AD109&lt;&gt;"",売分析!AD109,"")</f>
        <v/>
      </c>
      <c r="X109" s="345">
        <f>IF(売分析!AE109&lt;&gt;"",売分析!AE109,"")</f>
        <v/>
      </c>
      <c r="Y109" s="410">
        <f>IF(売分析!T109&lt;&gt;"",売分析!T109,"")</f>
        <v/>
      </c>
      <c r="Z109" s="345">
        <f>IF(売分析!Y109&lt;&gt;"",売分析!Y109,"")</f>
        <v/>
      </c>
    </row>
    <row r="110">
      <c r="A110" s="225">
        <f>IF(売分析!C110&lt;&gt;"",ROW()-2,"")</f>
        <v/>
      </c>
      <c r="B110" s="352">
        <f>IF(売分析!C110&lt;&gt;"",HYPERLINK("https://kabutan.jp/stock/?code="&amp;売分析!C110,"株探"),"")</f>
        <v/>
      </c>
      <c r="C110" s="631">
        <f>IF(売分析!C110&lt;&gt;"",売分析!C110,"")</f>
        <v/>
      </c>
      <c r="D110" s="225">
        <f>IF(売分析!D110&lt;&gt;"",売分析!D110,"")</f>
        <v/>
      </c>
      <c r="E110" s="353">
        <f>IF(売分析!E110&lt;&gt;"",売分析!E110,"")</f>
        <v/>
      </c>
      <c r="F110" s="353">
        <f>IF(売分析!F110&lt;&gt;"",売分析!F110,"")</f>
        <v/>
      </c>
      <c r="G110" s="353">
        <f>IF(売分析!H110&lt;&gt;"",売分析!H110,"")</f>
        <v/>
      </c>
      <c r="H110" s="353">
        <f>IF(売分析!I110&lt;&gt;"",売分析!I110,"")</f>
        <v/>
      </c>
      <c r="I110" s="225">
        <f>IF(売分析!J110&lt;&gt;"",売分析!J110,"")</f>
        <v/>
      </c>
      <c r="J110" s="353">
        <f>IF(売分析!AB110&lt;&gt;"",売分析!AB110,"")</f>
        <v/>
      </c>
      <c r="K110" s="353">
        <f>IF(売分析!AC110&lt;&gt;"",売分析!AC110,"")</f>
        <v/>
      </c>
      <c r="L110" s="353">
        <f>IF(売分析!K110&lt;&gt;"",売分析!K110,"")</f>
        <v/>
      </c>
      <c r="M110" s="225">
        <f>IF(売分析!P110&lt;&gt;"",売分析!P110,"")</f>
        <v/>
      </c>
      <c r="N110" s="627">
        <f>IF(売分析!O110&lt;&gt;"",売分析!O110,"")</f>
        <v/>
      </c>
      <c r="O110" s="357">
        <f>IF(売分析!X110&lt;&gt;"",売分析!X110,"")</f>
        <v/>
      </c>
      <c r="P110" s="626">
        <f>IF(売分析!L110&lt;&gt;"",売分析!L110,"")</f>
        <v/>
      </c>
      <c r="Q110" s="353">
        <f>IF(売分析!S110&lt;&gt;"",売分析!S110,"")</f>
        <v/>
      </c>
      <c r="R110" s="353">
        <f>IF(売分析!R110&lt;&gt;"",売分析!R110,"")</f>
        <v/>
      </c>
      <c r="S110" s="225">
        <f>IF(売分析!AA110&lt;&gt;"",売分析!AA110,"")</f>
        <v/>
      </c>
      <c r="T110" s="629">
        <f>IF(売分析!Z110&lt;&gt;"",売分析!Z110,"")</f>
        <v/>
      </c>
      <c r="U110" s="225">
        <f>IF(売分析!V110&lt;&gt;"",売分析!V110,"")</f>
        <v/>
      </c>
      <c r="V110" s="628">
        <f>IF(売分析!W110&lt;&gt;"",売分析!W110,"")</f>
        <v/>
      </c>
      <c r="W110" s="225">
        <f>IF(売分析!AD110&lt;&gt;"",売分析!AD110,"")</f>
        <v/>
      </c>
      <c r="X110" s="225">
        <f>IF(売分析!AE110&lt;&gt;"",売分析!AE110,"")</f>
        <v/>
      </c>
      <c r="Y110" s="411">
        <f>IF(売分析!T110&lt;&gt;"",売分析!T110,"")</f>
        <v/>
      </c>
      <c r="Z110" s="225">
        <f>IF(売分析!Y110&lt;&gt;"",売分析!Y110,"")</f>
        <v/>
      </c>
    </row>
    <row r="111">
      <c r="A111" s="345">
        <f>IF(売分析!C111&lt;&gt;"",ROW()-2,"")</f>
        <v/>
      </c>
      <c r="B111" s="344">
        <f>IF(売分析!C111&lt;&gt;"",HYPERLINK("https://kabutan.jp/stock/?code="&amp;売分析!C111,"株探"),"")</f>
        <v/>
      </c>
      <c r="C111" s="630">
        <f>IF(売分析!C111&lt;&gt;"",売分析!C111,"")</f>
        <v/>
      </c>
      <c r="D111" s="345">
        <f>IF(売分析!D111&lt;&gt;"",売分析!D111,"")</f>
        <v/>
      </c>
      <c r="E111" s="346">
        <f>IF(売分析!E111&lt;&gt;"",売分析!E111,"")</f>
        <v/>
      </c>
      <c r="F111" s="346">
        <f>IF(売分析!F111&lt;&gt;"",売分析!F111,"")</f>
        <v/>
      </c>
      <c r="G111" s="346">
        <f>IF(売分析!H111&lt;&gt;"",売分析!H111,"")</f>
        <v/>
      </c>
      <c r="H111" s="346">
        <f>IF(売分析!I111&lt;&gt;"",売分析!I111,"")</f>
        <v/>
      </c>
      <c r="I111" s="345">
        <f>IF(売分析!J111&lt;&gt;"",売分析!J111,"")</f>
        <v/>
      </c>
      <c r="J111" s="346">
        <f>IF(売分析!AB111&lt;&gt;"",売分析!AB111,"")</f>
        <v/>
      </c>
      <c r="K111" s="346">
        <f>IF(売分析!AC111&lt;&gt;"",売分析!AC111,"")</f>
        <v/>
      </c>
      <c r="L111" s="346">
        <f>IF(売分析!K111&lt;&gt;"",売分析!K111,"")</f>
        <v/>
      </c>
      <c r="M111" s="345">
        <f>IF(売分析!P111&lt;&gt;"",売分析!P111,"")</f>
        <v/>
      </c>
      <c r="N111" s="620">
        <f>IF(売分析!O111&lt;&gt;"",売分析!O111,"")</f>
        <v/>
      </c>
      <c r="O111" s="350">
        <f>IF(売分析!X111&lt;&gt;"",売分析!X111,"")</f>
        <v/>
      </c>
      <c r="P111" s="619">
        <f>IF(売分析!L111&lt;&gt;"",売分析!L111,"")</f>
        <v/>
      </c>
      <c r="Q111" s="346">
        <f>IF(売分析!S111&lt;&gt;"",売分析!S111,"")</f>
        <v/>
      </c>
      <c r="R111" s="346">
        <f>IF(売分析!R111&lt;&gt;"",売分析!R111,"")</f>
        <v/>
      </c>
      <c r="S111" s="345">
        <f>IF(売分析!AA111&lt;&gt;"",売分析!AA111,"")</f>
        <v/>
      </c>
      <c r="T111" s="622">
        <f>IF(売分析!Z111&lt;&gt;"",売分析!Z111,"")</f>
        <v/>
      </c>
      <c r="U111" s="345">
        <f>IF(売分析!V111&lt;&gt;"",売分析!V111,"")</f>
        <v/>
      </c>
      <c r="V111" s="621">
        <f>IF(売分析!W111&lt;&gt;"",売分析!W111,"")</f>
        <v/>
      </c>
      <c r="W111" s="345">
        <f>IF(売分析!AD111&lt;&gt;"",売分析!AD111,"")</f>
        <v/>
      </c>
      <c r="X111" s="345">
        <f>IF(売分析!AE111&lt;&gt;"",売分析!AE111,"")</f>
        <v/>
      </c>
      <c r="Y111" s="410">
        <f>IF(売分析!T111&lt;&gt;"",売分析!T111,"")</f>
        <v/>
      </c>
      <c r="Z111" s="345">
        <f>IF(売分析!Y111&lt;&gt;"",売分析!Y111,"")</f>
        <v/>
      </c>
    </row>
    <row r="112">
      <c r="A112" s="225">
        <f>IF(売分析!C112&lt;&gt;"",ROW()-2,"")</f>
        <v/>
      </c>
      <c r="B112" s="352">
        <f>IF(売分析!C112&lt;&gt;"",HYPERLINK("https://kabutan.jp/stock/?code="&amp;売分析!C112,"株探"),"")</f>
        <v/>
      </c>
      <c r="C112" s="631">
        <f>IF(売分析!C112&lt;&gt;"",売分析!C112,"")</f>
        <v/>
      </c>
      <c r="D112" s="225">
        <f>IF(売分析!D112&lt;&gt;"",売分析!D112,"")</f>
        <v/>
      </c>
      <c r="E112" s="353">
        <f>IF(売分析!E112&lt;&gt;"",売分析!E112,"")</f>
        <v/>
      </c>
      <c r="F112" s="353">
        <f>IF(売分析!F112&lt;&gt;"",売分析!F112,"")</f>
        <v/>
      </c>
      <c r="G112" s="353">
        <f>IF(売分析!H112&lt;&gt;"",売分析!H112,"")</f>
        <v/>
      </c>
      <c r="H112" s="353">
        <f>IF(売分析!I112&lt;&gt;"",売分析!I112,"")</f>
        <v/>
      </c>
      <c r="I112" s="225">
        <f>IF(売分析!J112&lt;&gt;"",売分析!J112,"")</f>
        <v/>
      </c>
      <c r="J112" s="353">
        <f>IF(売分析!AB112&lt;&gt;"",売分析!AB112,"")</f>
        <v/>
      </c>
      <c r="K112" s="353">
        <f>IF(売分析!AC112&lt;&gt;"",売分析!AC112,"")</f>
        <v/>
      </c>
      <c r="L112" s="353">
        <f>IF(売分析!K112&lt;&gt;"",売分析!K112,"")</f>
        <v/>
      </c>
      <c r="M112" s="225">
        <f>IF(売分析!P112&lt;&gt;"",売分析!P112,"")</f>
        <v/>
      </c>
      <c r="N112" s="627">
        <f>IF(売分析!O112&lt;&gt;"",売分析!O112,"")</f>
        <v/>
      </c>
      <c r="O112" s="357">
        <f>IF(売分析!X112&lt;&gt;"",売分析!X112,"")</f>
        <v/>
      </c>
      <c r="P112" s="626">
        <f>IF(売分析!L112&lt;&gt;"",売分析!L112,"")</f>
        <v/>
      </c>
      <c r="Q112" s="353">
        <f>IF(売分析!S112&lt;&gt;"",売分析!S112,"")</f>
        <v/>
      </c>
      <c r="R112" s="353">
        <f>IF(売分析!R112&lt;&gt;"",売分析!R112,"")</f>
        <v/>
      </c>
      <c r="S112" s="225">
        <f>IF(売分析!AA112&lt;&gt;"",売分析!AA112,"")</f>
        <v/>
      </c>
      <c r="T112" s="629">
        <f>IF(売分析!Z112&lt;&gt;"",売分析!Z112,"")</f>
        <v/>
      </c>
      <c r="U112" s="225">
        <f>IF(売分析!V112&lt;&gt;"",売分析!V112,"")</f>
        <v/>
      </c>
      <c r="V112" s="628">
        <f>IF(売分析!W112&lt;&gt;"",売分析!W112,"")</f>
        <v/>
      </c>
      <c r="W112" s="225">
        <f>IF(売分析!AD112&lt;&gt;"",売分析!AD112,"")</f>
        <v/>
      </c>
      <c r="X112" s="225">
        <f>IF(売分析!AE112&lt;&gt;"",売分析!AE112,"")</f>
        <v/>
      </c>
      <c r="Y112" s="411">
        <f>IF(売分析!T112&lt;&gt;"",売分析!T112,"")</f>
        <v/>
      </c>
      <c r="Z112" s="225">
        <f>IF(売分析!Y112&lt;&gt;"",売分析!Y112,"")</f>
        <v/>
      </c>
    </row>
    <row r="113">
      <c r="A113" s="345">
        <f>IF(売分析!C113&lt;&gt;"",ROW()-2,"")</f>
        <v/>
      </c>
      <c r="B113" s="344">
        <f>IF(売分析!C113&lt;&gt;"",HYPERLINK("https://kabutan.jp/stock/?code="&amp;売分析!C113,"株探"),"")</f>
        <v/>
      </c>
      <c r="C113" s="630">
        <f>IF(売分析!C113&lt;&gt;"",売分析!C113,"")</f>
        <v/>
      </c>
      <c r="D113" s="345">
        <f>IF(売分析!D113&lt;&gt;"",売分析!D113,"")</f>
        <v/>
      </c>
      <c r="E113" s="346">
        <f>IF(売分析!E113&lt;&gt;"",売分析!E113,"")</f>
        <v/>
      </c>
      <c r="F113" s="346">
        <f>IF(売分析!F113&lt;&gt;"",売分析!F113,"")</f>
        <v/>
      </c>
      <c r="G113" s="346">
        <f>IF(売分析!H113&lt;&gt;"",売分析!H113,"")</f>
        <v/>
      </c>
      <c r="H113" s="346">
        <f>IF(売分析!I113&lt;&gt;"",売分析!I113,"")</f>
        <v/>
      </c>
      <c r="I113" s="345">
        <f>IF(売分析!J113&lt;&gt;"",売分析!J113,"")</f>
        <v/>
      </c>
      <c r="J113" s="346">
        <f>IF(売分析!AB113&lt;&gt;"",売分析!AB113,"")</f>
        <v/>
      </c>
      <c r="K113" s="346">
        <f>IF(売分析!AC113&lt;&gt;"",売分析!AC113,"")</f>
        <v/>
      </c>
      <c r="L113" s="346">
        <f>IF(売分析!K113&lt;&gt;"",売分析!K113,"")</f>
        <v/>
      </c>
      <c r="M113" s="345">
        <f>IF(売分析!P113&lt;&gt;"",売分析!P113,"")</f>
        <v/>
      </c>
      <c r="N113" s="620">
        <f>IF(売分析!O113&lt;&gt;"",売分析!O113,"")</f>
        <v/>
      </c>
      <c r="O113" s="350">
        <f>IF(売分析!X113&lt;&gt;"",売分析!X113,"")</f>
        <v/>
      </c>
      <c r="P113" s="619">
        <f>IF(売分析!L113&lt;&gt;"",売分析!L113,"")</f>
        <v/>
      </c>
      <c r="Q113" s="346">
        <f>IF(売分析!S113&lt;&gt;"",売分析!S113,"")</f>
        <v/>
      </c>
      <c r="R113" s="346">
        <f>IF(売分析!R113&lt;&gt;"",売分析!R113,"")</f>
        <v/>
      </c>
      <c r="S113" s="345">
        <f>IF(売分析!AA113&lt;&gt;"",売分析!AA113,"")</f>
        <v/>
      </c>
      <c r="T113" s="622">
        <f>IF(売分析!Z113&lt;&gt;"",売分析!Z113,"")</f>
        <v/>
      </c>
      <c r="U113" s="345">
        <f>IF(売分析!V113&lt;&gt;"",売分析!V113,"")</f>
        <v/>
      </c>
      <c r="V113" s="621">
        <f>IF(売分析!W113&lt;&gt;"",売分析!W113,"")</f>
        <v/>
      </c>
      <c r="W113" s="345">
        <f>IF(売分析!AD113&lt;&gt;"",売分析!AD113,"")</f>
        <v/>
      </c>
      <c r="X113" s="345">
        <f>IF(売分析!AE113&lt;&gt;"",売分析!AE113,"")</f>
        <v/>
      </c>
      <c r="Y113" s="410">
        <f>IF(売分析!T113&lt;&gt;"",売分析!T113,"")</f>
        <v/>
      </c>
      <c r="Z113" s="345">
        <f>IF(売分析!Y113&lt;&gt;"",売分析!Y113,"")</f>
        <v/>
      </c>
    </row>
    <row r="114">
      <c r="A114" s="225">
        <f>IF(売分析!C114&lt;&gt;"",ROW()-2,"")</f>
        <v/>
      </c>
      <c r="B114" s="352">
        <f>IF(売分析!C114&lt;&gt;"",HYPERLINK("https://kabutan.jp/stock/?code="&amp;売分析!C114,"株探"),"")</f>
        <v/>
      </c>
      <c r="C114" s="631">
        <f>IF(売分析!C114&lt;&gt;"",売分析!C114,"")</f>
        <v/>
      </c>
      <c r="D114" s="225">
        <f>IF(売分析!D114&lt;&gt;"",売分析!D114,"")</f>
        <v/>
      </c>
      <c r="E114" s="353">
        <f>IF(売分析!E114&lt;&gt;"",売分析!E114,"")</f>
        <v/>
      </c>
      <c r="F114" s="353">
        <f>IF(売分析!F114&lt;&gt;"",売分析!F114,"")</f>
        <v/>
      </c>
      <c r="G114" s="353">
        <f>IF(売分析!H114&lt;&gt;"",売分析!H114,"")</f>
        <v/>
      </c>
      <c r="H114" s="353">
        <f>IF(売分析!I114&lt;&gt;"",売分析!I114,"")</f>
        <v/>
      </c>
      <c r="I114" s="225">
        <f>IF(売分析!J114&lt;&gt;"",売分析!J114,"")</f>
        <v/>
      </c>
      <c r="J114" s="353">
        <f>IF(売分析!AB114&lt;&gt;"",売分析!AB114,"")</f>
        <v/>
      </c>
      <c r="K114" s="353">
        <f>IF(売分析!AC114&lt;&gt;"",売分析!AC114,"")</f>
        <v/>
      </c>
      <c r="L114" s="353">
        <f>IF(売分析!K114&lt;&gt;"",売分析!K114,"")</f>
        <v/>
      </c>
      <c r="M114" s="225">
        <f>IF(売分析!P114&lt;&gt;"",売分析!P114,"")</f>
        <v/>
      </c>
      <c r="N114" s="627">
        <f>IF(売分析!O114&lt;&gt;"",売分析!O114,"")</f>
        <v/>
      </c>
      <c r="O114" s="357">
        <f>IF(売分析!X114&lt;&gt;"",売分析!X114,"")</f>
        <v/>
      </c>
      <c r="P114" s="626">
        <f>IF(売分析!L114&lt;&gt;"",売分析!L114,"")</f>
        <v/>
      </c>
      <c r="Q114" s="353">
        <f>IF(売分析!S114&lt;&gt;"",売分析!S114,"")</f>
        <v/>
      </c>
      <c r="R114" s="353">
        <f>IF(売分析!R114&lt;&gt;"",売分析!R114,"")</f>
        <v/>
      </c>
      <c r="S114" s="225">
        <f>IF(売分析!AA114&lt;&gt;"",売分析!AA114,"")</f>
        <v/>
      </c>
      <c r="T114" s="629">
        <f>IF(売分析!Z114&lt;&gt;"",売分析!Z114,"")</f>
        <v/>
      </c>
      <c r="U114" s="225">
        <f>IF(売分析!V114&lt;&gt;"",売分析!V114,"")</f>
        <v/>
      </c>
      <c r="V114" s="628">
        <f>IF(売分析!W114&lt;&gt;"",売分析!W114,"")</f>
        <v/>
      </c>
      <c r="W114" s="225">
        <f>IF(売分析!AD114&lt;&gt;"",売分析!AD114,"")</f>
        <v/>
      </c>
      <c r="X114" s="225">
        <f>IF(売分析!AE114&lt;&gt;"",売分析!AE114,"")</f>
        <v/>
      </c>
      <c r="Y114" s="411">
        <f>IF(売分析!T114&lt;&gt;"",売分析!T114,"")</f>
        <v/>
      </c>
      <c r="Z114" s="225">
        <f>IF(売分析!Y114&lt;&gt;"",売分析!Y114,"")</f>
        <v/>
      </c>
    </row>
    <row r="115">
      <c r="A115" s="345">
        <f>IF(売分析!C115&lt;&gt;"",ROW()-2,"")</f>
        <v/>
      </c>
      <c r="B115" s="344">
        <f>IF(売分析!C115&lt;&gt;"",HYPERLINK("https://kabutan.jp/stock/?code="&amp;売分析!C115,"株探"),"")</f>
        <v/>
      </c>
      <c r="C115" s="630">
        <f>IF(売分析!C115&lt;&gt;"",売分析!C115,"")</f>
        <v/>
      </c>
      <c r="D115" s="345">
        <f>IF(売分析!D115&lt;&gt;"",売分析!D115,"")</f>
        <v/>
      </c>
      <c r="E115" s="346">
        <f>IF(売分析!E115&lt;&gt;"",売分析!E115,"")</f>
        <v/>
      </c>
      <c r="F115" s="346">
        <f>IF(売分析!F115&lt;&gt;"",売分析!F115,"")</f>
        <v/>
      </c>
      <c r="G115" s="346">
        <f>IF(売分析!H115&lt;&gt;"",売分析!H115,"")</f>
        <v/>
      </c>
      <c r="H115" s="346">
        <f>IF(売分析!I115&lt;&gt;"",売分析!I115,"")</f>
        <v/>
      </c>
      <c r="I115" s="345">
        <f>IF(売分析!J115&lt;&gt;"",売分析!J115,"")</f>
        <v/>
      </c>
      <c r="J115" s="346">
        <f>IF(売分析!AB115&lt;&gt;"",売分析!AB115,"")</f>
        <v/>
      </c>
      <c r="K115" s="346">
        <f>IF(売分析!AC115&lt;&gt;"",売分析!AC115,"")</f>
        <v/>
      </c>
      <c r="L115" s="346">
        <f>IF(売分析!K115&lt;&gt;"",売分析!K115,"")</f>
        <v/>
      </c>
      <c r="M115" s="345">
        <f>IF(売分析!P115&lt;&gt;"",売分析!P115,"")</f>
        <v/>
      </c>
      <c r="N115" s="620">
        <f>IF(売分析!O115&lt;&gt;"",売分析!O115,"")</f>
        <v/>
      </c>
      <c r="O115" s="350">
        <f>IF(売分析!X115&lt;&gt;"",売分析!X115,"")</f>
        <v/>
      </c>
      <c r="P115" s="619">
        <f>IF(売分析!L115&lt;&gt;"",売分析!L115,"")</f>
        <v/>
      </c>
      <c r="Q115" s="346">
        <f>IF(売分析!S115&lt;&gt;"",売分析!S115,"")</f>
        <v/>
      </c>
      <c r="R115" s="346">
        <f>IF(売分析!R115&lt;&gt;"",売分析!R115,"")</f>
        <v/>
      </c>
      <c r="S115" s="345">
        <f>IF(売分析!AA115&lt;&gt;"",売分析!AA115,"")</f>
        <v/>
      </c>
      <c r="T115" s="622">
        <f>IF(売分析!Z115&lt;&gt;"",売分析!Z115,"")</f>
        <v/>
      </c>
      <c r="U115" s="345">
        <f>IF(売分析!V115&lt;&gt;"",売分析!V115,"")</f>
        <v/>
      </c>
      <c r="V115" s="621">
        <f>IF(売分析!W115&lt;&gt;"",売分析!W115,"")</f>
        <v/>
      </c>
      <c r="W115" s="345">
        <f>IF(売分析!AD115&lt;&gt;"",売分析!AD115,"")</f>
        <v/>
      </c>
      <c r="X115" s="345">
        <f>IF(売分析!AE115&lt;&gt;"",売分析!AE115,"")</f>
        <v/>
      </c>
      <c r="Y115" s="410">
        <f>IF(売分析!T115&lt;&gt;"",売分析!T115,"")</f>
        <v/>
      </c>
      <c r="Z115" s="345">
        <f>IF(売分析!Y115&lt;&gt;"",売分析!Y115,"")</f>
        <v/>
      </c>
    </row>
    <row r="116">
      <c r="A116" s="225">
        <f>IF(売分析!C116&lt;&gt;"",ROW()-2,"")</f>
        <v/>
      </c>
      <c r="B116" s="352">
        <f>IF(売分析!C116&lt;&gt;"",HYPERLINK("https://kabutan.jp/stock/?code="&amp;売分析!C116,"株探"),"")</f>
        <v/>
      </c>
      <c r="C116" s="631">
        <f>IF(売分析!C116&lt;&gt;"",売分析!C116,"")</f>
        <v/>
      </c>
      <c r="D116" s="225">
        <f>IF(売分析!D116&lt;&gt;"",売分析!D116,"")</f>
        <v/>
      </c>
      <c r="E116" s="353">
        <f>IF(売分析!E116&lt;&gt;"",売分析!E116,"")</f>
        <v/>
      </c>
      <c r="F116" s="353">
        <f>IF(売分析!F116&lt;&gt;"",売分析!F116,"")</f>
        <v/>
      </c>
      <c r="G116" s="353">
        <f>IF(売分析!H116&lt;&gt;"",売分析!H116,"")</f>
        <v/>
      </c>
      <c r="H116" s="353">
        <f>IF(売分析!I116&lt;&gt;"",売分析!I116,"")</f>
        <v/>
      </c>
      <c r="I116" s="225">
        <f>IF(売分析!J116&lt;&gt;"",売分析!J116,"")</f>
        <v/>
      </c>
      <c r="J116" s="353">
        <f>IF(売分析!AB116&lt;&gt;"",売分析!AB116,"")</f>
        <v/>
      </c>
      <c r="K116" s="353">
        <f>IF(売分析!AC116&lt;&gt;"",売分析!AC116,"")</f>
        <v/>
      </c>
      <c r="L116" s="353">
        <f>IF(売分析!K116&lt;&gt;"",売分析!K116,"")</f>
        <v/>
      </c>
      <c r="M116" s="225">
        <f>IF(売分析!P116&lt;&gt;"",売分析!P116,"")</f>
        <v/>
      </c>
      <c r="N116" s="627">
        <f>IF(売分析!O116&lt;&gt;"",売分析!O116,"")</f>
        <v/>
      </c>
      <c r="O116" s="357">
        <f>IF(売分析!X116&lt;&gt;"",売分析!X116,"")</f>
        <v/>
      </c>
      <c r="P116" s="626">
        <f>IF(売分析!L116&lt;&gt;"",売分析!L116,"")</f>
        <v/>
      </c>
      <c r="Q116" s="353">
        <f>IF(売分析!S116&lt;&gt;"",売分析!S116,"")</f>
        <v/>
      </c>
      <c r="R116" s="353">
        <f>IF(売分析!R116&lt;&gt;"",売分析!R116,"")</f>
        <v/>
      </c>
      <c r="S116" s="225">
        <f>IF(売分析!AA116&lt;&gt;"",売分析!AA116,"")</f>
        <v/>
      </c>
      <c r="T116" s="629">
        <f>IF(売分析!Z116&lt;&gt;"",売分析!Z116,"")</f>
        <v/>
      </c>
      <c r="U116" s="225">
        <f>IF(売分析!V116&lt;&gt;"",売分析!V116,"")</f>
        <v/>
      </c>
      <c r="V116" s="628">
        <f>IF(売分析!W116&lt;&gt;"",売分析!W116,"")</f>
        <v/>
      </c>
      <c r="W116" s="225">
        <f>IF(売分析!AD116&lt;&gt;"",売分析!AD116,"")</f>
        <v/>
      </c>
      <c r="X116" s="225">
        <f>IF(売分析!AE116&lt;&gt;"",売分析!AE116,"")</f>
        <v/>
      </c>
      <c r="Y116" s="411">
        <f>IF(売分析!T116&lt;&gt;"",売分析!T116,"")</f>
        <v/>
      </c>
      <c r="Z116" s="225">
        <f>IF(売分析!Y116&lt;&gt;"",売分析!Y116,"")</f>
        <v/>
      </c>
    </row>
    <row r="117">
      <c r="A117" s="345">
        <f>IF(売分析!C117&lt;&gt;"",ROW()-2,"")</f>
        <v/>
      </c>
      <c r="B117" s="344">
        <f>IF(売分析!C117&lt;&gt;"",HYPERLINK("https://kabutan.jp/stock/?code="&amp;売分析!C117,"株探"),"")</f>
        <v/>
      </c>
      <c r="C117" s="630">
        <f>IF(売分析!C117&lt;&gt;"",売分析!C117,"")</f>
        <v/>
      </c>
      <c r="D117" s="345">
        <f>IF(売分析!D117&lt;&gt;"",売分析!D117,"")</f>
        <v/>
      </c>
      <c r="E117" s="346">
        <f>IF(売分析!E117&lt;&gt;"",売分析!E117,"")</f>
        <v/>
      </c>
      <c r="F117" s="346">
        <f>IF(売分析!F117&lt;&gt;"",売分析!F117,"")</f>
        <v/>
      </c>
      <c r="G117" s="346">
        <f>IF(売分析!H117&lt;&gt;"",売分析!H117,"")</f>
        <v/>
      </c>
      <c r="H117" s="346">
        <f>IF(売分析!I117&lt;&gt;"",売分析!I117,"")</f>
        <v/>
      </c>
      <c r="I117" s="345">
        <f>IF(売分析!J117&lt;&gt;"",売分析!J117,"")</f>
        <v/>
      </c>
      <c r="J117" s="346">
        <f>IF(売分析!AB117&lt;&gt;"",売分析!AB117,"")</f>
        <v/>
      </c>
      <c r="K117" s="346">
        <f>IF(売分析!AC117&lt;&gt;"",売分析!AC117,"")</f>
        <v/>
      </c>
      <c r="L117" s="346">
        <f>IF(売分析!K117&lt;&gt;"",売分析!K117,"")</f>
        <v/>
      </c>
      <c r="M117" s="345">
        <f>IF(売分析!P117&lt;&gt;"",売分析!P117,"")</f>
        <v/>
      </c>
      <c r="N117" s="620">
        <f>IF(売分析!O117&lt;&gt;"",売分析!O117,"")</f>
        <v/>
      </c>
      <c r="O117" s="350">
        <f>IF(売分析!X117&lt;&gt;"",売分析!X117,"")</f>
        <v/>
      </c>
      <c r="P117" s="619">
        <f>IF(売分析!L117&lt;&gt;"",売分析!L117,"")</f>
        <v/>
      </c>
      <c r="Q117" s="346">
        <f>IF(売分析!S117&lt;&gt;"",売分析!S117,"")</f>
        <v/>
      </c>
      <c r="R117" s="346">
        <f>IF(売分析!R117&lt;&gt;"",売分析!R117,"")</f>
        <v/>
      </c>
      <c r="S117" s="345">
        <f>IF(売分析!AA117&lt;&gt;"",売分析!AA117,"")</f>
        <v/>
      </c>
      <c r="T117" s="622">
        <f>IF(売分析!Z117&lt;&gt;"",売分析!Z117,"")</f>
        <v/>
      </c>
      <c r="U117" s="345">
        <f>IF(売分析!V117&lt;&gt;"",売分析!V117,"")</f>
        <v/>
      </c>
      <c r="V117" s="621">
        <f>IF(売分析!W117&lt;&gt;"",売分析!W117,"")</f>
        <v/>
      </c>
      <c r="W117" s="345">
        <f>IF(売分析!AD117&lt;&gt;"",売分析!AD117,"")</f>
        <v/>
      </c>
      <c r="X117" s="345">
        <f>IF(売分析!AE117&lt;&gt;"",売分析!AE117,"")</f>
        <v/>
      </c>
      <c r="Y117" s="410">
        <f>IF(売分析!T117&lt;&gt;"",売分析!T117,"")</f>
        <v/>
      </c>
      <c r="Z117" s="345">
        <f>IF(売分析!Y117&lt;&gt;"",売分析!Y117,"")</f>
        <v/>
      </c>
    </row>
    <row r="118">
      <c r="A118" s="225">
        <f>IF(売分析!C118&lt;&gt;"",ROW()-2,"")</f>
        <v/>
      </c>
      <c r="B118" s="352">
        <f>IF(売分析!C118&lt;&gt;"",HYPERLINK("https://kabutan.jp/stock/?code="&amp;売分析!C118,"株探"),"")</f>
        <v/>
      </c>
      <c r="C118" s="631">
        <f>IF(売分析!C118&lt;&gt;"",売分析!C118,"")</f>
        <v/>
      </c>
      <c r="D118" s="225">
        <f>IF(売分析!D118&lt;&gt;"",売分析!D118,"")</f>
        <v/>
      </c>
      <c r="E118" s="353">
        <f>IF(売分析!E118&lt;&gt;"",売分析!E118,"")</f>
        <v/>
      </c>
      <c r="F118" s="353">
        <f>IF(売分析!F118&lt;&gt;"",売分析!F118,"")</f>
        <v/>
      </c>
      <c r="G118" s="353">
        <f>IF(売分析!H118&lt;&gt;"",売分析!H118,"")</f>
        <v/>
      </c>
      <c r="H118" s="353">
        <f>IF(売分析!I118&lt;&gt;"",売分析!I118,"")</f>
        <v/>
      </c>
      <c r="I118" s="225">
        <f>IF(売分析!J118&lt;&gt;"",売分析!J118,"")</f>
        <v/>
      </c>
      <c r="J118" s="353">
        <f>IF(売分析!AB118&lt;&gt;"",売分析!AB118,"")</f>
        <v/>
      </c>
      <c r="K118" s="353">
        <f>IF(売分析!AC118&lt;&gt;"",売分析!AC118,"")</f>
        <v/>
      </c>
      <c r="L118" s="353">
        <f>IF(売分析!K118&lt;&gt;"",売分析!K118,"")</f>
        <v/>
      </c>
      <c r="M118" s="225">
        <f>IF(売分析!P118&lt;&gt;"",売分析!P118,"")</f>
        <v/>
      </c>
      <c r="N118" s="627">
        <f>IF(売分析!O118&lt;&gt;"",売分析!O118,"")</f>
        <v/>
      </c>
      <c r="O118" s="357">
        <f>IF(売分析!X118&lt;&gt;"",売分析!X118,"")</f>
        <v/>
      </c>
      <c r="P118" s="626">
        <f>IF(売分析!L118&lt;&gt;"",売分析!L118,"")</f>
        <v/>
      </c>
      <c r="Q118" s="353">
        <f>IF(売分析!S118&lt;&gt;"",売分析!S118,"")</f>
        <v/>
      </c>
      <c r="R118" s="353">
        <f>IF(売分析!R118&lt;&gt;"",売分析!R118,"")</f>
        <v/>
      </c>
      <c r="S118" s="225">
        <f>IF(売分析!AA118&lt;&gt;"",売分析!AA118,"")</f>
        <v/>
      </c>
      <c r="T118" s="629">
        <f>IF(売分析!Z118&lt;&gt;"",売分析!Z118,"")</f>
        <v/>
      </c>
      <c r="U118" s="225">
        <f>IF(売分析!V118&lt;&gt;"",売分析!V118,"")</f>
        <v/>
      </c>
      <c r="V118" s="628">
        <f>IF(売分析!W118&lt;&gt;"",売分析!W118,"")</f>
        <v/>
      </c>
      <c r="W118" s="225">
        <f>IF(売分析!AD118&lt;&gt;"",売分析!AD118,"")</f>
        <v/>
      </c>
      <c r="X118" s="225">
        <f>IF(売分析!AE118&lt;&gt;"",売分析!AE118,"")</f>
        <v/>
      </c>
      <c r="Y118" s="411">
        <f>IF(売分析!T118&lt;&gt;"",売分析!T118,"")</f>
        <v/>
      </c>
      <c r="Z118" s="225">
        <f>IF(売分析!Y118&lt;&gt;"",売分析!Y118,"")</f>
        <v/>
      </c>
    </row>
    <row r="119">
      <c r="A119" s="345">
        <f>IF(売分析!C119&lt;&gt;"",ROW()-2,"")</f>
        <v/>
      </c>
      <c r="B119" s="344">
        <f>IF(売分析!C119&lt;&gt;"",HYPERLINK("https://kabutan.jp/stock/?code="&amp;売分析!C119,"株探"),"")</f>
        <v/>
      </c>
      <c r="C119" s="630">
        <f>IF(売分析!C119&lt;&gt;"",売分析!C119,"")</f>
        <v/>
      </c>
      <c r="D119" s="345">
        <f>IF(売分析!D119&lt;&gt;"",売分析!D119,"")</f>
        <v/>
      </c>
      <c r="E119" s="346">
        <f>IF(売分析!E119&lt;&gt;"",売分析!E119,"")</f>
        <v/>
      </c>
      <c r="F119" s="346">
        <f>IF(売分析!F119&lt;&gt;"",売分析!F119,"")</f>
        <v/>
      </c>
      <c r="G119" s="346">
        <f>IF(売分析!H119&lt;&gt;"",売分析!H119,"")</f>
        <v/>
      </c>
      <c r="H119" s="346">
        <f>IF(売分析!I119&lt;&gt;"",売分析!I119,"")</f>
        <v/>
      </c>
      <c r="I119" s="345">
        <f>IF(売分析!J119&lt;&gt;"",売分析!J119,"")</f>
        <v/>
      </c>
      <c r="J119" s="346">
        <f>IF(売分析!AB119&lt;&gt;"",売分析!AB119,"")</f>
        <v/>
      </c>
      <c r="K119" s="346">
        <f>IF(売分析!AC119&lt;&gt;"",売分析!AC119,"")</f>
        <v/>
      </c>
      <c r="L119" s="346">
        <f>IF(売分析!K119&lt;&gt;"",売分析!K119,"")</f>
        <v/>
      </c>
      <c r="M119" s="345">
        <f>IF(売分析!P119&lt;&gt;"",売分析!P119,"")</f>
        <v/>
      </c>
      <c r="N119" s="620">
        <f>IF(売分析!O119&lt;&gt;"",売分析!O119,"")</f>
        <v/>
      </c>
      <c r="O119" s="350">
        <f>IF(売分析!X119&lt;&gt;"",売分析!X119,"")</f>
        <v/>
      </c>
      <c r="P119" s="619">
        <f>IF(売分析!L119&lt;&gt;"",売分析!L119,"")</f>
        <v/>
      </c>
      <c r="Q119" s="346">
        <f>IF(売分析!S119&lt;&gt;"",売分析!S119,"")</f>
        <v/>
      </c>
      <c r="R119" s="346">
        <f>IF(売分析!R119&lt;&gt;"",売分析!R119,"")</f>
        <v/>
      </c>
      <c r="S119" s="345">
        <f>IF(売分析!AA119&lt;&gt;"",売分析!AA119,"")</f>
        <v/>
      </c>
      <c r="T119" s="622">
        <f>IF(売分析!Z119&lt;&gt;"",売分析!Z119,"")</f>
        <v/>
      </c>
      <c r="U119" s="345">
        <f>IF(売分析!V119&lt;&gt;"",売分析!V119,"")</f>
        <v/>
      </c>
      <c r="V119" s="621">
        <f>IF(売分析!W119&lt;&gt;"",売分析!W119,"")</f>
        <v/>
      </c>
      <c r="W119" s="345">
        <f>IF(売分析!AD119&lt;&gt;"",売分析!AD119,"")</f>
        <v/>
      </c>
      <c r="X119" s="345">
        <f>IF(売分析!AE119&lt;&gt;"",売分析!AE119,"")</f>
        <v/>
      </c>
      <c r="Y119" s="410">
        <f>IF(売分析!T119&lt;&gt;"",売分析!T119,"")</f>
        <v/>
      </c>
      <c r="Z119" s="345">
        <f>IF(売分析!Y119&lt;&gt;"",売分析!Y119,"")</f>
        <v/>
      </c>
    </row>
    <row r="120">
      <c r="A120" s="225">
        <f>IF(売分析!C120&lt;&gt;"",ROW()-2,"")</f>
        <v/>
      </c>
      <c r="B120" s="352">
        <f>IF(売分析!C120&lt;&gt;"",HYPERLINK("https://kabutan.jp/stock/?code="&amp;売分析!C120,"株探"),"")</f>
        <v/>
      </c>
      <c r="C120" s="631">
        <f>IF(売分析!C120&lt;&gt;"",売分析!C120,"")</f>
        <v/>
      </c>
      <c r="D120" s="225">
        <f>IF(売分析!D120&lt;&gt;"",売分析!D120,"")</f>
        <v/>
      </c>
      <c r="E120" s="353">
        <f>IF(売分析!E120&lt;&gt;"",売分析!E120,"")</f>
        <v/>
      </c>
      <c r="F120" s="353">
        <f>IF(売分析!F120&lt;&gt;"",売分析!F120,"")</f>
        <v/>
      </c>
      <c r="G120" s="353">
        <f>IF(売分析!H120&lt;&gt;"",売分析!H120,"")</f>
        <v/>
      </c>
      <c r="H120" s="353">
        <f>IF(売分析!I120&lt;&gt;"",売分析!I120,"")</f>
        <v/>
      </c>
      <c r="I120" s="225">
        <f>IF(売分析!J120&lt;&gt;"",売分析!J120,"")</f>
        <v/>
      </c>
      <c r="J120" s="353">
        <f>IF(売分析!AB120&lt;&gt;"",売分析!AB120,"")</f>
        <v/>
      </c>
      <c r="K120" s="353">
        <f>IF(売分析!AC120&lt;&gt;"",売分析!AC120,"")</f>
        <v/>
      </c>
      <c r="L120" s="353">
        <f>IF(売分析!K120&lt;&gt;"",売分析!K120,"")</f>
        <v/>
      </c>
      <c r="M120" s="225">
        <f>IF(売分析!P120&lt;&gt;"",売分析!P120,"")</f>
        <v/>
      </c>
      <c r="N120" s="627">
        <f>IF(売分析!O120&lt;&gt;"",売分析!O120,"")</f>
        <v/>
      </c>
      <c r="O120" s="357">
        <f>IF(売分析!X120&lt;&gt;"",売分析!X120,"")</f>
        <v/>
      </c>
      <c r="P120" s="626">
        <f>IF(売分析!L120&lt;&gt;"",売分析!L120,"")</f>
        <v/>
      </c>
      <c r="Q120" s="353">
        <f>IF(売分析!S120&lt;&gt;"",売分析!S120,"")</f>
        <v/>
      </c>
      <c r="R120" s="353">
        <f>IF(売分析!R120&lt;&gt;"",売分析!R120,"")</f>
        <v/>
      </c>
      <c r="S120" s="225">
        <f>IF(売分析!AA120&lt;&gt;"",売分析!AA120,"")</f>
        <v/>
      </c>
      <c r="T120" s="629">
        <f>IF(売分析!Z120&lt;&gt;"",売分析!Z120,"")</f>
        <v/>
      </c>
      <c r="U120" s="225">
        <f>IF(売分析!V120&lt;&gt;"",売分析!V120,"")</f>
        <v/>
      </c>
      <c r="V120" s="628">
        <f>IF(売分析!W120&lt;&gt;"",売分析!W120,"")</f>
        <v/>
      </c>
      <c r="W120" s="225">
        <f>IF(売分析!AD120&lt;&gt;"",売分析!AD120,"")</f>
        <v/>
      </c>
      <c r="X120" s="225">
        <f>IF(売分析!AE120&lt;&gt;"",売分析!AE120,"")</f>
        <v/>
      </c>
      <c r="Y120" s="411">
        <f>IF(売分析!T120&lt;&gt;"",売分析!T120,"")</f>
        <v/>
      </c>
      <c r="Z120" s="225">
        <f>IF(売分析!Y120&lt;&gt;"",売分析!Y120,"")</f>
        <v/>
      </c>
    </row>
    <row r="121">
      <c r="A121" s="345">
        <f>IF(売分析!C121&lt;&gt;"",ROW()-2,"")</f>
        <v/>
      </c>
      <c r="B121" s="344">
        <f>IF(売分析!C121&lt;&gt;"",HYPERLINK("https://kabutan.jp/stock/?code="&amp;売分析!C121,"株探"),"")</f>
        <v/>
      </c>
      <c r="C121" s="630">
        <f>IF(売分析!C121&lt;&gt;"",売分析!C121,"")</f>
        <v/>
      </c>
      <c r="D121" s="345">
        <f>IF(売分析!D121&lt;&gt;"",売分析!D121,"")</f>
        <v/>
      </c>
      <c r="E121" s="346">
        <f>IF(売分析!E121&lt;&gt;"",売分析!E121,"")</f>
        <v/>
      </c>
      <c r="F121" s="346">
        <f>IF(売分析!F121&lt;&gt;"",売分析!F121,"")</f>
        <v/>
      </c>
      <c r="G121" s="346">
        <f>IF(売分析!H121&lt;&gt;"",売分析!H121,"")</f>
        <v/>
      </c>
      <c r="H121" s="346">
        <f>IF(売分析!I121&lt;&gt;"",売分析!I121,"")</f>
        <v/>
      </c>
      <c r="I121" s="345">
        <f>IF(売分析!J121&lt;&gt;"",売分析!J121,"")</f>
        <v/>
      </c>
      <c r="J121" s="346">
        <f>IF(売分析!AB121&lt;&gt;"",売分析!AB121,"")</f>
        <v/>
      </c>
      <c r="K121" s="346">
        <f>IF(売分析!AC121&lt;&gt;"",売分析!AC121,"")</f>
        <v/>
      </c>
      <c r="L121" s="346">
        <f>IF(売分析!K121&lt;&gt;"",売分析!K121,"")</f>
        <v/>
      </c>
      <c r="M121" s="345">
        <f>IF(売分析!P121&lt;&gt;"",売分析!P121,"")</f>
        <v/>
      </c>
      <c r="N121" s="620">
        <f>IF(売分析!O121&lt;&gt;"",売分析!O121,"")</f>
        <v/>
      </c>
      <c r="O121" s="350">
        <f>IF(売分析!X121&lt;&gt;"",売分析!X121,"")</f>
        <v/>
      </c>
      <c r="P121" s="619">
        <f>IF(売分析!L121&lt;&gt;"",売分析!L121,"")</f>
        <v/>
      </c>
      <c r="Q121" s="346">
        <f>IF(売分析!S121&lt;&gt;"",売分析!S121,"")</f>
        <v/>
      </c>
      <c r="R121" s="346">
        <f>IF(売分析!R121&lt;&gt;"",売分析!R121,"")</f>
        <v/>
      </c>
      <c r="S121" s="345">
        <f>IF(売分析!AA121&lt;&gt;"",売分析!AA121,"")</f>
        <v/>
      </c>
      <c r="T121" s="622">
        <f>IF(売分析!Z121&lt;&gt;"",売分析!Z121,"")</f>
        <v/>
      </c>
      <c r="U121" s="345">
        <f>IF(売分析!V121&lt;&gt;"",売分析!V121,"")</f>
        <v/>
      </c>
      <c r="V121" s="621">
        <f>IF(売分析!W121&lt;&gt;"",売分析!W121,"")</f>
        <v/>
      </c>
      <c r="W121" s="345">
        <f>IF(売分析!AD121&lt;&gt;"",売分析!AD121,"")</f>
        <v/>
      </c>
      <c r="X121" s="345">
        <f>IF(売分析!AE121&lt;&gt;"",売分析!AE121,"")</f>
        <v/>
      </c>
      <c r="Y121" s="410">
        <f>IF(売分析!T121&lt;&gt;"",売分析!T121,"")</f>
        <v/>
      </c>
      <c r="Z121" s="345">
        <f>IF(売分析!Y121&lt;&gt;"",売分析!Y121,"")</f>
        <v/>
      </c>
    </row>
    <row r="122">
      <c r="A122" s="225">
        <f>IF(売分析!C122&lt;&gt;"",ROW()-2,"")</f>
        <v/>
      </c>
      <c r="B122" s="352">
        <f>IF(売分析!C122&lt;&gt;"",HYPERLINK("https://kabutan.jp/stock/?code="&amp;売分析!C122,"株探"),"")</f>
        <v/>
      </c>
      <c r="C122" s="631">
        <f>IF(売分析!C122&lt;&gt;"",売分析!C122,"")</f>
        <v/>
      </c>
      <c r="D122" s="225">
        <f>IF(売分析!D122&lt;&gt;"",売分析!D122,"")</f>
        <v/>
      </c>
      <c r="E122" s="353">
        <f>IF(売分析!E122&lt;&gt;"",売分析!E122,"")</f>
        <v/>
      </c>
      <c r="F122" s="353">
        <f>IF(売分析!F122&lt;&gt;"",売分析!F122,"")</f>
        <v/>
      </c>
      <c r="G122" s="353">
        <f>IF(売分析!H122&lt;&gt;"",売分析!H122,"")</f>
        <v/>
      </c>
      <c r="H122" s="353">
        <f>IF(売分析!I122&lt;&gt;"",売分析!I122,"")</f>
        <v/>
      </c>
      <c r="I122" s="225">
        <f>IF(売分析!J122&lt;&gt;"",売分析!J122,"")</f>
        <v/>
      </c>
      <c r="J122" s="353">
        <f>IF(売分析!AB122&lt;&gt;"",売分析!AB122,"")</f>
        <v/>
      </c>
      <c r="K122" s="353">
        <f>IF(売分析!AC122&lt;&gt;"",売分析!AC122,"")</f>
        <v/>
      </c>
      <c r="L122" s="353">
        <f>IF(売分析!K122&lt;&gt;"",売分析!K122,"")</f>
        <v/>
      </c>
      <c r="M122" s="225">
        <f>IF(売分析!P122&lt;&gt;"",売分析!P122,"")</f>
        <v/>
      </c>
      <c r="N122" s="627">
        <f>IF(売分析!O122&lt;&gt;"",売分析!O122,"")</f>
        <v/>
      </c>
      <c r="O122" s="357">
        <f>IF(売分析!X122&lt;&gt;"",売分析!X122,"")</f>
        <v/>
      </c>
      <c r="P122" s="626">
        <f>IF(売分析!L122&lt;&gt;"",売分析!L122,"")</f>
        <v/>
      </c>
      <c r="Q122" s="353">
        <f>IF(売分析!S122&lt;&gt;"",売分析!S122,"")</f>
        <v/>
      </c>
      <c r="R122" s="353">
        <f>IF(売分析!R122&lt;&gt;"",売分析!R122,"")</f>
        <v/>
      </c>
      <c r="S122" s="225">
        <f>IF(売分析!AA122&lt;&gt;"",売分析!AA122,"")</f>
        <v/>
      </c>
      <c r="T122" s="629">
        <f>IF(売分析!Z122&lt;&gt;"",売分析!Z122,"")</f>
        <v/>
      </c>
      <c r="U122" s="225">
        <f>IF(売分析!V122&lt;&gt;"",売分析!V122,"")</f>
        <v/>
      </c>
      <c r="V122" s="628">
        <f>IF(売分析!W122&lt;&gt;"",売分析!W122,"")</f>
        <v/>
      </c>
      <c r="W122" s="225">
        <f>IF(売分析!AD122&lt;&gt;"",売分析!AD122,"")</f>
        <v/>
      </c>
      <c r="X122" s="225">
        <f>IF(売分析!AE122&lt;&gt;"",売分析!AE122,"")</f>
        <v/>
      </c>
      <c r="Y122" s="411">
        <f>IF(売分析!T122&lt;&gt;"",売分析!T122,"")</f>
        <v/>
      </c>
      <c r="Z122" s="225">
        <f>IF(売分析!Y122&lt;&gt;"",売分析!Y122,"")</f>
        <v/>
      </c>
    </row>
    <row r="123">
      <c r="A123" s="345">
        <f>IF(売分析!C123&lt;&gt;"",ROW()-2,"")</f>
        <v/>
      </c>
      <c r="B123" s="344">
        <f>IF(売分析!C123&lt;&gt;"",HYPERLINK("https://kabutan.jp/stock/?code="&amp;売分析!C123,"株探"),"")</f>
        <v/>
      </c>
      <c r="C123" s="630">
        <f>IF(売分析!C123&lt;&gt;"",売分析!C123,"")</f>
        <v/>
      </c>
      <c r="D123" s="345">
        <f>IF(売分析!D123&lt;&gt;"",売分析!D123,"")</f>
        <v/>
      </c>
      <c r="E123" s="346">
        <f>IF(売分析!E123&lt;&gt;"",売分析!E123,"")</f>
        <v/>
      </c>
      <c r="F123" s="346">
        <f>IF(売分析!F123&lt;&gt;"",売分析!F123,"")</f>
        <v/>
      </c>
      <c r="G123" s="346">
        <f>IF(売分析!H123&lt;&gt;"",売分析!H123,"")</f>
        <v/>
      </c>
      <c r="H123" s="346">
        <f>IF(売分析!I123&lt;&gt;"",売分析!I123,"")</f>
        <v/>
      </c>
      <c r="I123" s="345">
        <f>IF(売分析!J123&lt;&gt;"",売分析!J123,"")</f>
        <v/>
      </c>
      <c r="J123" s="346">
        <f>IF(売分析!AB123&lt;&gt;"",売分析!AB123,"")</f>
        <v/>
      </c>
      <c r="K123" s="346">
        <f>IF(売分析!AC123&lt;&gt;"",売分析!AC123,"")</f>
        <v/>
      </c>
      <c r="L123" s="346">
        <f>IF(売分析!K123&lt;&gt;"",売分析!K123,"")</f>
        <v/>
      </c>
      <c r="M123" s="345">
        <f>IF(売分析!P123&lt;&gt;"",売分析!P123,"")</f>
        <v/>
      </c>
      <c r="N123" s="620">
        <f>IF(売分析!O123&lt;&gt;"",売分析!O123,"")</f>
        <v/>
      </c>
      <c r="O123" s="350">
        <f>IF(売分析!X123&lt;&gt;"",売分析!X123,"")</f>
        <v/>
      </c>
      <c r="P123" s="619">
        <f>IF(売分析!L123&lt;&gt;"",売分析!L123,"")</f>
        <v/>
      </c>
      <c r="Q123" s="346">
        <f>IF(売分析!S123&lt;&gt;"",売分析!S123,"")</f>
        <v/>
      </c>
      <c r="R123" s="346">
        <f>IF(売分析!R123&lt;&gt;"",売分析!R123,"")</f>
        <v/>
      </c>
      <c r="S123" s="345">
        <f>IF(売分析!AA123&lt;&gt;"",売分析!AA123,"")</f>
        <v/>
      </c>
      <c r="T123" s="622">
        <f>IF(売分析!Z123&lt;&gt;"",売分析!Z123,"")</f>
        <v/>
      </c>
      <c r="U123" s="345">
        <f>IF(売分析!V123&lt;&gt;"",売分析!V123,"")</f>
        <v/>
      </c>
      <c r="V123" s="621">
        <f>IF(売分析!W123&lt;&gt;"",売分析!W123,"")</f>
        <v/>
      </c>
      <c r="W123" s="345">
        <f>IF(売分析!AD123&lt;&gt;"",売分析!AD123,"")</f>
        <v/>
      </c>
      <c r="X123" s="345">
        <f>IF(売分析!AE123&lt;&gt;"",売分析!AE123,"")</f>
        <v/>
      </c>
      <c r="Y123" s="410">
        <f>IF(売分析!T123&lt;&gt;"",売分析!T123,"")</f>
        <v/>
      </c>
      <c r="Z123" s="345">
        <f>IF(売分析!Y123&lt;&gt;"",売分析!Y123,"")</f>
        <v/>
      </c>
    </row>
    <row r="124">
      <c r="A124" s="225">
        <f>IF(売分析!C124&lt;&gt;"",ROW()-2,"")</f>
        <v/>
      </c>
      <c r="B124" s="352">
        <f>IF(売分析!C124&lt;&gt;"",HYPERLINK("https://kabutan.jp/stock/?code="&amp;売分析!C124,"株探"),"")</f>
        <v/>
      </c>
      <c r="C124" s="631">
        <f>IF(売分析!C124&lt;&gt;"",売分析!C124,"")</f>
        <v/>
      </c>
      <c r="D124" s="225">
        <f>IF(売分析!D124&lt;&gt;"",売分析!D124,"")</f>
        <v/>
      </c>
      <c r="E124" s="353">
        <f>IF(売分析!E124&lt;&gt;"",売分析!E124,"")</f>
        <v/>
      </c>
      <c r="F124" s="353">
        <f>IF(売分析!F124&lt;&gt;"",売分析!F124,"")</f>
        <v/>
      </c>
      <c r="G124" s="353">
        <f>IF(売分析!H124&lt;&gt;"",売分析!H124,"")</f>
        <v/>
      </c>
      <c r="H124" s="353">
        <f>IF(売分析!I124&lt;&gt;"",売分析!I124,"")</f>
        <v/>
      </c>
      <c r="I124" s="225">
        <f>IF(売分析!J124&lt;&gt;"",売分析!J124,"")</f>
        <v/>
      </c>
      <c r="J124" s="353">
        <f>IF(売分析!AB124&lt;&gt;"",売分析!AB124,"")</f>
        <v/>
      </c>
      <c r="K124" s="353">
        <f>IF(売分析!AC124&lt;&gt;"",売分析!AC124,"")</f>
        <v/>
      </c>
      <c r="L124" s="353">
        <f>IF(売分析!K124&lt;&gt;"",売分析!K124,"")</f>
        <v/>
      </c>
      <c r="M124" s="225">
        <f>IF(売分析!P124&lt;&gt;"",売分析!P124,"")</f>
        <v/>
      </c>
      <c r="N124" s="627">
        <f>IF(売分析!O124&lt;&gt;"",売分析!O124,"")</f>
        <v/>
      </c>
      <c r="O124" s="357">
        <f>IF(売分析!X124&lt;&gt;"",売分析!X124,"")</f>
        <v/>
      </c>
      <c r="P124" s="626">
        <f>IF(売分析!L124&lt;&gt;"",売分析!L124,"")</f>
        <v/>
      </c>
      <c r="Q124" s="353">
        <f>IF(売分析!S124&lt;&gt;"",売分析!S124,"")</f>
        <v/>
      </c>
      <c r="R124" s="353">
        <f>IF(売分析!R124&lt;&gt;"",売分析!R124,"")</f>
        <v/>
      </c>
      <c r="S124" s="225">
        <f>IF(売分析!AA124&lt;&gt;"",売分析!AA124,"")</f>
        <v/>
      </c>
      <c r="T124" s="629">
        <f>IF(売分析!Z124&lt;&gt;"",売分析!Z124,"")</f>
        <v/>
      </c>
      <c r="U124" s="225">
        <f>IF(売分析!V124&lt;&gt;"",売分析!V124,"")</f>
        <v/>
      </c>
      <c r="V124" s="628">
        <f>IF(売分析!W124&lt;&gt;"",売分析!W124,"")</f>
        <v/>
      </c>
      <c r="W124" s="225">
        <f>IF(売分析!AD124&lt;&gt;"",売分析!AD124,"")</f>
        <v/>
      </c>
      <c r="X124" s="225">
        <f>IF(売分析!AE124&lt;&gt;"",売分析!AE124,"")</f>
        <v/>
      </c>
      <c r="Y124" s="411">
        <f>IF(売分析!T124&lt;&gt;"",売分析!T124,"")</f>
        <v/>
      </c>
      <c r="Z124" s="225">
        <f>IF(売分析!Y124&lt;&gt;"",売分析!Y124,"")</f>
        <v/>
      </c>
    </row>
    <row r="125">
      <c r="A125" s="345">
        <f>IF(売分析!C125&lt;&gt;"",ROW()-2,"")</f>
        <v/>
      </c>
      <c r="B125" s="344">
        <f>IF(売分析!C125&lt;&gt;"",HYPERLINK("https://kabutan.jp/stock/?code="&amp;売分析!C125,"株探"),"")</f>
        <v/>
      </c>
      <c r="C125" s="630">
        <f>IF(売分析!C125&lt;&gt;"",売分析!C125,"")</f>
        <v/>
      </c>
      <c r="D125" s="345">
        <f>IF(売分析!D125&lt;&gt;"",売分析!D125,"")</f>
        <v/>
      </c>
      <c r="E125" s="346">
        <f>IF(売分析!E125&lt;&gt;"",売分析!E125,"")</f>
        <v/>
      </c>
      <c r="F125" s="346">
        <f>IF(売分析!F125&lt;&gt;"",売分析!F125,"")</f>
        <v/>
      </c>
      <c r="G125" s="346">
        <f>IF(売分析!H125&lt;&gt;"",売分析!H125,"")</f>
        <v/>
      </c>
      <c r="H125" s="346">
        <f>IF(売分析!I125&lt;&gt;"",売分析!I125,"")</f>
        <v/>
      </c>
      <c r="I125" s="345">
        <f>IF(売分析!J125&lt;&gt;"",売分析!J125,"")</f>
        <v/>
      </c>
      <c r="J125" s="346">
        <f>IF(売分析!AB125&lt;&gt;"",売分析!AB125,"")</f>
        <v/>
      </c>
      <c r="K125" s="346">
        <f>IF(売分析!AC125&lt;&gt;"",売分析!AC125,"")</f>
        <v/>
      </c>
      <c r="L125" s="346">
        <f>IF(売分析!K125&lt;&gt;"",売分析!K125,"")</f>
        <v/>
      </c>
      <c r="M125" s="345">
        <f>IF(売分析!P125&lt;&gt;"",売分析!P125,"")</f>
        <v/>
      </c>
      <c r="N125" s="620">
        <f>IF(売分析!O125&lt;&gt;"",売分析!O125,"")</f>
        <v/>
      </c>
      <c r="O125" s="350">
        <f>IF(売分析!X125&lt;&gt;"",売分析!X125,"")</f>
        <v/>
      </c>
      <c r="P125" s="619">
        <f>IF(売分析!L125&lt;&gt;"",売分析!L125,"")</f>
        <v/>
      </c>
      <c r="Q125" s="346">
        <f>IF(売分析!S125&lt;&gt;"",売分析!S125,"")</f>
        <v/>
      </c>
      <c r="R125" s="346">
        <f>IF(売分析!R125&lt;&gt;"",売分析!R125,"")</f>
        <v/>
      </c>
      <c r="S125" s="345">
        <f>IF(売分析!AA125&lt;&gt;"",売分析!AA125,"")</f>
        <v/>
      </c>
      <c r="T125" s="622">
        <f>IF(売分析!Z125&lt;&gt;"",売分析!Z125,"")</f>
        <v/>
      </c>
      <c r="U125" s="345">
        <f>IF(売分析!V125&lt;&gt;"",売分析!V125,"")</f>
        <v/>
      </c>
      <c r="V125" s="621">
        <f>IF(売分析!W125&lt;&gt;"",売分析!W125,"")</f>
        <v/>
      </c>
      <c r="W125" s="345">
        <f>IF(売分析!AD125&lt;&gt;"",売分析!AD125,"")</f>
        <v/>
      </c>
      <c r="X125" s="345">
        <f>IF(売分析!AE125&lt;&gt;"",売分析!AE125,"")</f>
        <v/>
      </c>
      <c r="Y125" s="410">
        <f>IF(売分析!T125&lt;&gt;"",売分析!T125,"")</f>
        <v/>
      </c>
      <c r="Z125" s="345">
        <f>IF(売分析!Y125&lt;&gt;"",売分析!Y125,"")</f>
        <v/>
      </c>
    </row>
    <row r="126">
      <c r="A126" s="225">
        <f>IF(売分析!C126&lt;&gt;"",ROW()-2,"")</f>
        <v/>
      </c>
      <c r="B126" s="352">
        <f>IF(売分析!C126&lt;&gt;"",HYPERLINK("https://kabutan.jp/stock/?code="&amp;売分析!C126,"株探"),"")</f>
        <v/>
      </c>
      <c r="C126" s="631">
        <f>IF(売分析!C126&lt;&gt;"",売分析!C126,"")</f>
        <v/>
      </c>
      <c r="D126" s="225">
        <f>IF(売分析!D126&lt;&gt;"",売分析!D126,"")</f>
        <v/>
      </c>
      <c r="E126" s="353">
        <f>IF(売分析!E126&lt;&gt;"",売分析!E126,"")</f>
        <v/>
      </c>
      <c r="F126" s="353">
        <f>IF(売分析!F126&lt;&gt;"",売分析!F126,"")</f>
        <v/>
      </c>
      <c r="G126" s="353">
        <f>IF(売分析!H126&lt;&gt;"",売分析!H126,"")</f>
        <v/>
      </c>
      <c r="H126" s="353">
        <f>IF(売分析!I126&lt;&gt;"",売分析!I126,"")</f>
        <v/>
      </c>
      <c r="I126" s="225">
        <f>IF(売分析!J126&lt;&gt;"",売分析!J126,"")</f>
        <v/>
      </c>
      <c r="J126" s="353">
        <f>IF(売分析!AB126&lt;&gt;"",売分析!AB126,"")</f>
        <v/>
      </c>
      <c r="K126" s="353">
        <f>IF(売分析!AC126&lt;&gt;"",売分析!AC126,"")</f>
        <v/>
      </c>
      <c r="L126" s="353">
        <f>IF(売分析!K126&lt;&gt;"",売分析!K126,"")</f>
        <v/>
      </c>
      <c r="M126" s="225">
        <f>IF(売分析!P126&lt;&gt;"",売分析!P126,"")</f>
        <v/>
      </c>
      <c r="N126" s="627">
        <f>IF(売分析!O126&lt;&gt;"",売分析!O126,"")</f>
        <v/>
      </c>
      <c r="O126" s="357">
        <f>IF(売分析!X126&lt;&gt;"",売分析!X126,"")</f>
        <v/>
      </c>
      <c r="P126" s="626">
        <f>IF(売分析!L126&lt;&gt;"",売分析!L126,"")</f>
        <v/>
      </c>
      <c r="Q126" s="353">
        <f>IF(売分析!S126&lt;&gt;"",売分析!S126,"")</f>
        <v/>
      </c>
      <c r="R126" s="353">
        <f>IF(売分析!R126&lt;&gt;"",売分析!R126,"")</f>
        <v/>
      </c>
      <c r="S126" s="225">
        <f>IF(売分析!AA126&lt;&gt;"",売分析!AA126,"")</f>
        <v/>
      </c>
      <c r="T126" s="629">
        <f>IF(売分析!Z126&lt;&gt;"",売分析!Z126,"")</f>
        <v/>
      </c>
      <c r="U126" s="225">
        <f>IF(売分析!V126&lt;&gt;"",売分析!V126,"")</f>
        <v/>
      </c>
      <c r="V126" s="628">
        <f>IF(売分析!W126&lt;&gt;"",売分析!W126,"")</f>
        <v/>
      </c>
      <c r="W126" s="225">
        <f>IF(売分析!AD126&lt;&gt;"",売分析!AD126,"")</f>
        <v/>
      </c>
      <c r="X126" s="225">
        <f>IF(売分析!AE126&lt;&gt;"",売分析!AE126,"")</f>
        <v/>
      </c>
      <c r="Y126" s="411">
        <f>IF(売分析!T126&lt;&gt;"",売分析!T126,"")</f>
        <v/>
      </c>
      <c r="Z126" s="225">
        <f>IF(売分析!Y126&lt;&gt;"",売分析!Y126,"")</f>
        <v/>
      </c>
    </row>
    <row r="127">
      <c r="A127" s="345">
        <f>IF(売分析!C127&lt;&gt;"",ROW()-2,"")</f>
        <v/>
      </c>
      <c r="B127" s="344">
        <f>IF(売分析!C127&lt;&gt;"",HYPERLINK("https://kabutan.jp/stock/?code="&amp;売分析!C127,"株探"),"")</f>
        <v/>
      </c>
      <c r="C127" s="630">
        <f>IF(売分析!C127&lt;&gt;"",売分析!C127,"")</f>
        <v/>
      </c>
      <c r="D127" s="345">
        <f>IF(売分析!D127&lt;&gt;"",売分析!D127,"")</f>
        <v/>
      </c>
      <c r="E127" s="346">
        <f>IF(売分析!E127&lt;&gt;"",売分析!E127,"")</f>
        <v/>
      </c>
      <c r="F127" s="346">
        <f>IF(売分析!F127&lt;&gt;"",売分析!F127,"")</f>
        <v/>
      </c>
      <c r="G127" s="346">
        <f>IF(売分析!H127&lt;&gt;"",売分析!H127,"")</f>
        <v/>
      </c>
      <c r="H127" s="346">
        <f>IF(売分析!I127&lt;&gt;"",売分析!I127,"")</f>
        <v/>
      </c>
      <c r="I127" s="345">
        <f>IF(売分析!J127&lt;&gt;"",売分析!J127,"")</f>
        <v/>
      </c>
      <c r="J127" s="346">
        <f>IF(売分析!AB127&lt;&gt;"",売分析!AB127,"")</f>
        <v/>
      </c>
      <c r="K127" s="346">
        <f>IF(売分析!AC127&lt;&gt;"",売分析!AC127,"")</f>
        <v/>
      </c>
      <c r="L127" s="346">
        <f>IF(売分析!K127&lt;&gt;"",売分析!K127,"")</f>
        <v/>
      </c>
      <c r="M127" s="345">
        <f>IF(売分析!P127&lt;&gt;"",売分析!P127,"")</f>
        <v/>
      </c>
      <c r="N127" s="620">
        <f>IF(売分析!O127&lt;&gt;"",売分析!O127,"")</f>
        <v/>
      </c>
      <c r="O127" s="350">
        <f>IF(売分析!X127&lt;&gt;"",売分析!X127,"")</f>
        <v/>
      </c>
      <c r="P127" s="619">
        <f>IF(売分析!L127&lt;&gt;"",売分析!L127,"")</f>
        <v/>
      </c>
      <c r="Q127" s="346">
        <f>IF(売分析!S127&lt;&gt;"",売分析!S127,"")</f>
        <v/>
      </c>
      <c r="R127" s="346">
        <f>IF(売分析!R127&lt;&gt;"",売分析!R127,"")</f>
        <v/>
      </c>
      <c r="S127" s="345">
        <f>IF(売分析!AA127&lt;&gt;"",売分析!AA127,"")</f>
        <v/>
      </c>
      <c r="T127" s="622">
        <f>IF(売分析!Z127&lt;&gt;"",売分析!Z127,"")</f>
        <v/>
      </c>
      <c r="U127" s="345">
        <f>IF(売分析!V127&lt;&gt;"",売分析!V127,"")</f>
        <v/>
      </c>
      <c r="V127" s="621">
        <f>IF(売分析!W127&lt;&gt;"",売分析!W127,"")</f>
        <v/>
      </c>
      <c r="W127" s="345">
        <f>IF(売分析!AD127&lt;&gt;"",売分析!AD127,"")</f>
        <v/>
      </c>
      <c r="X127" s="345">
        <f>IF(売分析!AE127&lt;&gt;"",売分析!AE127,"")</f>
        <v/>
      </c>
      <c r="Y127" s="410">
        <f>IF(売分析!T127&lt;&gt;"",売分析!T127,"")</f>
        <v/>
      </c>
      <c r="Z127" s="345">
        <f>IF(売分析!Y127&lt;&gt;"",売分析!Y127,"")</f>
        <v/>
      </c>
    </row>
    <row r="128">
      <c r="A128" s="225">
        <f>IF(売分析!C128&lt;&gt;"",ROW()-2,"")</f>
        <v/>
      </c>
      <c r="B128" s="352">
        <f>IF(売分析!C128&lt;&gt;"",HYPERLINK("https://kabutan.jp/stock/?code="&amp;売分析!C128,"株探"),"")</f>
        <v/>
      </c>
      <c r="C128" s="631">
        <f>IF(売分析!C128&lt;&gt;"",売分析!C128,"")</f>
        <v/>
      </c>
      <c r="D128" s="225">
        <f>IF(売分析!D128&lt;&gt;"",売分析!D128,"")</f>
        <v/>
      </c>
      <c r="E128" s="353">
        <f>IF(売分析!E128&lt;&gt;"",売分析!E128,"")</f>
        <v/>
      </c>
      <c r="F128" s="353">
        <f>IF(売分析!F128&lt;&gt;"",売分析!F128,"")</f>
        <v/>
      </c>
      <c r="G128" s="353">
        <f>IF(売分析!H128&lt;&gt;"",売分析!H128,"")</f>
        <v/>
      </c>
      <c r="H128" s="353">
        <f>IF(売分析!I128&lt;&gt;"",売分析!I128,"")</f>
        <v/>
      </c>
      <c r="I128" s="225">
        <f>IF(売分析!J128&lt;&gt;"",売分析!J128,"")</f>
        <v/>
      </c>
      <c r="J128" s="353">
        <f>IF(売分析!AB128&lt;&gt;"",売分析!AB128,"")</f>
        <v/>
      </c>
      <c r="K128" s="353">
        <f>IF(売分析!AC128&lt;&gt;"",売分析!AC128,"")</f>
        <v/>
      </c>
      <c r="L128" s="353">
        <f>IF(売分析!K128&lt;&gt;"",売分析!K128,"")</f>
        <v/>
      </c>
      <c r="M128" s="225">
        <f>IF(売分析!P128&lt;&gt;"",売分析!P128,"")</f>
        <v/>
      </c>
      <c r="N128" s="627">
        <f>IF(売分析!O128&lt;&gt;"",売分析!O128,"")</f>
        <v/>
      </c>
      <c r="O128" s="357">
        <f>IF(売分析!X128&lt;&gt;"",売分析!X128,"")</f>
        <v/>
      </c>
      <c r="P128" s="626">
        <f>IF(売分析!L128&lt;&gt;"",売分析!L128,"")</f>
        <v/>
      </c>
      <c r="Q128" s="353">
        <f>IF(売分析!S128&lt;&gt;"",売分析!S128,"")</f>
        <v/>
      </c>
      <c r="R128" s="353">
        <f>IF(売分析!R128&lt;&gt;"",売分析!R128,"")</f>
        <v/>
      </c>
      <c r="S128" s="225">
        <f>IF(売分析!AA128&lt;&gt;"",売分析!AA128,"")</f>
        <v/>
      </c>
      <c r="T128" s="629">
        <f>IF(売分析!Z128&lt;&gt;"",売分析!Z128,"")</f>
        <v/>
      </c>
      <c r="U128" s="225">
        <f>IF(売分析!V128&lt;&gt;"",売分析!V128,"")</f>
        <v/>
      </c>
      <c r="V128" s="628">
        <f>IF(売分析!W128&lt;&gt;"",売分析!W128,"")</f>
        <v/>
      </c>
      <c r="W128" s="225">
        <f>IF(売分析!AD128&lt;&gt;"",売分析!AD128,"")</f>
        <v/>
      </c>
      <c r="X128" s="225">
        <f>IF(売分析!AE128&lt;&gt;"",売分析!AE128,"")</f>
        <v/>
      </c>
      <c r="Y128" s="411">
        <f>IF(売分析!T128&lt;&gt;"",売分析!T128,"")</f>
        <v/>
      </c>
      <c r="Z128" s="225">
        <f>IF(売分析!Y128&lt;&gt;"",売分析!Y128,"")</f>
        <v/>
      </c>
    </row>
    <row r="129">
      <c r="A129" s="345">
        <f>IF(売分析!C129&lt;&gt;"",ROW()-2,"")</f>
        <v/>
      </c>
      <c r="B129" s="344">
        <f>IF(売分析!C129&lt;&gt;"",HYPERLINK("https://kabutan.jp/stock/?code="&amp;売分析!C129,"株探"),"")</f>
        <v/>
      </c>
      <c r="C129" s="630">
        <f>IF(売分析!C129&lt;&gt;"",売分析!C129,"")</f>
        <v/>
      </c>
      <c r="D129" s="345">
        <f>IF(売分析!D129&lt;&gt;"",売分析!D129,"")</f>
        <v/>
      </c>
      <c r="E129" s="346">
        <f>IF(売分析!E129&lt;&gt;"",売分析!E129,"")</f>
        <v/>
      </c>
      <c r="F129" s="346">
        <f>IF(売分析!F129&lt;&gt;"",売分析!F129,"")</f>
        <v/>
      </c>
      <c r="G129" s="346">
        <f>IF(売分析!H129&lt;&gt;"",売分析!H129,"")</f>
        <v/>
      </c>
      <c r="H129" s="346">
        <f>IF(売分析!I129&lt;&gt;"",売分析!I129,"")</f>
        <v/>
      </c>
      <c r="I129" s="345">
        <f>IF(売分析!J129&lt;&gt;"",売分析!J129,"")</f>
        <v/>
      </c>
      <c r="J129" s="346">
        <f>IF(売分析!AB129&lt;&gt;"",売分析!AB129,"")</f>
        <v/>
      </c>
      <c r="K129" s="346">
        <f>IF(売分析!AC129&lt;&gt;"",売分析!AC129,"")</f>
        <v/>
      </c>
      <c r="L129" s="346">
        <f>IF(売分析!K129&lt;&gt;"",売分析!K129,"")</f>
        <v/>
      </c>
      <c r="M129" s="345">
        <f>IF(売分析!P129&lt;&gt;"",売分析!P129,"")</f>
        <v/>
      </c>
      <c r="N129" s="620">
        <f>IF(売分析!O129&lt;&gt;"",売分析!O129,"")</f>
        <v/>
      </c>
      <c r="O129" s="350">
        <f>IF(売分析!X129&lt;&gt;"",売分析!X129,"")</f>
        <v/>
      </c>
      <c r="P129" s="619">
        <f>IF(売分析!L129&lt;&gt;"",売分析!L129,"")</f>
        <v/>
      </c>
      <c r="Q129" s="346">
        <f>IF(売分析!S129&lt;&gt;"",売分析!S129,"")</f>
        <v/>
      </c>
      <c r="R129" s="346">
        <f>IF(売分析!R129&lt;&gt;"",売分析!R129,"")</f>
        <v/>
      </c>
      <c r="S129" s="345">
        <f>IF(売分析!AA129&lt;&gt;"",売分析!AA129,"")</f>
        <v/>
      </c>
      <c r="T129" s="622">
        <f>IF(売分析!Z129&lt;&gt;"",売分析!Z129,"")</f>
        <v/>
      </c>
      <c r="U129" s="345">
        <f>IF(売分析!V129&lt;&gt;"",売分析!V129,"")</f>
        <v/>
      </c>
      <c r="V129" s="621">
        <f>IF(売分析!W129&lt;&gt;"",売分析!W129,"")</f>
        <v/>
      </c>
      <c r="W129" s="345">
        <f>IF(売分析!AD129&lt;&gt;"",売分析!AD129,"")</f>
        <v/>
      </c>
      <c r="X129" s="345">
        <f>IF(売分析!AE129&lt;&gt;"",売分析!AE129,"")</f>
        <v/>
      </c>
      <c r="Y129" s="410">
        <f>IF(売分析!T129&lt;&gt;"",売分析!T129,"")</f>
        <v/>
      </c>
      <c r="Z129" s="345">
        <f>IF(売分析!Y129&lt;&gt;"",売分析!Y129,"")</f>
        <v/>
      </c>
    </row>
    <row r="130">
      <c r="A130" s="225">
        <f>IF(売分析!C130&lt;&gt;"",ROW()-2,"")</f>
        <v/>
      </c>
      <c r="B130" s="352">
        <f>IF(売分析!C130&lt;&gt;"",HYPERLINK("https://kabutan.jp/stock/?code="&amp;売分析!C130,"株探"),"")</f>
        <v/>
      </c>
      <c r="C130" s="631">
        <f>IF(売分析!C130&lt;&gt;"",売分析!C130,"")</f>
        <v/>
      </c>
      <c r="D130" s="225">
        <f>IF(売分析!D130&lt;&gt;"",売分析!D130,"")</f>
        <v/>
      </c>
      <c r="E130" s="353">
        <f>IF(売分析!E130&lt;&gt;"",売分析!E130,"")</f>
        <v/>
      </c>
      <c r="F130" s="353">
        <f>IF(売分析!F130&lt;&gt;"",売分析!F130,"")</f>
        <v/>
      </c>
      <c r="G130" s="353">
        <f>IF(売分析!H130&lt;&gt;"",売分析!H130,"")</f>
        <v/>
      </c>
      <c r="H130" s="353">
        <f>IF(売分析!I130&lt;&gt;"",売分析!I130,"")</f>
        <v/>
      </c>
      <c r="I130" s="225">
        <f>IF(売分析!J130&lt;&gt;"",売分析!J130,"")</f>
        <v/>
      </c>
      <c r="J130" s="353">
        <f>IF(売分析!AB130&lt;&gt;"",売分析!AB130,"")</f>
        <v/>
      </c>
      <c r="K130" s="353">
        <f>IF(売分析!AC130&lt;&gt;"",売分析!AC130,"")</f>
        <v/>
      </c>
      <c r="L130" s="353">
        <f>IF(売分析!K130&lt;&gt;"",売分析!K130,"")</f>
        <v/>
      </c>
      <c r="M130" s="225">
        <f>IF(売分析!P130&lt;&gt;"",売分析!P130,"")</f>
        <v/>
      </c>
      <c r="N130" s="627">
        <f>IF(売分析!O130&lt;&gt;"",売分析!O130,"")</f>
        <v/>
      </c>
      <c r="O130" s="357">
        <f>IF(売分析!X130&lt;&gt;"",売分析!X130,"")</f>
        <v/>
      </c>
      <c r="P130" s="626">
        <f>IF(売分析!L130&lt;&gt;"",売分析!L130,"")</f>
        <v/>
      </c>
      <c r="Q130" s="353">
        <f>IF(売分析!S130&lt;&gt;"",売分析!S130,"")</f>
        <v/>
      </c>
      <c r="R130" s="353">
        <f>IF(売分析!R130&lt;&gt;"",売分析!R130,"")</f>
        <v/>
      </c>
      <c r="S130" s="225">
        <f>IF(売分析!AA130&lt;&gt;"",売分析!AA130,"")</f>
        <v/>
      </c>
      <c r="T130" s="629">
        <f>IF(売分析!Z130&lt;&gt;"",売分析!Z130,"")</f>
        <v/>
      </c>
      <c r="U130" s="225">
        <f>IF(売分析!V130&lt;&gt;"",売分析!V130,"")</f>
        <v/>
      </c>
      <c r="V130" s="628">
        <f>IF(売分析!W130&lt;&gt;"",売分析!W130,"")</f>
        <v/>
      </c>
      <c r="W130" s="225">
        <f>IF(売分析!AD130&lt;&gt;"",売分析!AD130,"")</f>
        <v/>
      </c>
      <c r="X130" s="225">
        <f>IF(売分析!AE130&lt;&gt;"",売分析!AE130,"")</f>
        <v/>
      </c>
      <c r="Y130" s="411">
        <f>IF(売分析!T130&lt;&gt;"",売分析!T130,"")</f>
        <v/>
      </c>
      <c r="Z130" s="225">
        <f>IF(売分析!Y130&lt;&gt;"",売分析!Y130,"")</f>
        <v/>
      </c>
    </row>
    <row r="131">
      <c r="A131" s="345">
        <f>IF(売分析!C131&lt;&gt;"",ROW()-2,"")</f>
        <v/>
      </c>
      <c r="B131" s="344">
        <f>IF(売分析!C131&lt;&gt;"",HYPERLINK("https://kabutan.jp/stock/?code="&amp;売分析!C131,"株探"),"")</f>
        <v/>
      </c>
      <c r="C131" s="630">
        <f>IF(売分析!C131&lt;&gt;"",売分析!C131,"")</f>
        <v/>
      </c>
      <c r="D131" s="345">
        <f>IF(売分析!D131&lt;&gt;"",売分析!D131,"")</f>
        <v/>
      </c>
      <c r="E131" s="346">
        <f>IF(売分析!E131&lt;&gt;"",売分析!E131,"")</f>
        <v/>
      </c>
      <c r="F131" s="346">
        <f>IF(売分析!F131&lt;&gt;"",売分析!F131,"")</f>
        <v/>
      </c>
      <c r="G131" s="346">
        <f>IF(売分析!H131&lt;&gt;"",売分析!H131,"")</f>
        <v/>
      </c>
      <c r="H131" s="346">
        <f>IF(売分析!I131&lt;&gt;"",売分析!I131,"")</f>
        <v/>
      </c>
      <c r="I131" s="345">
        <f>IF(売分析!J131&lt;&gt;"",売分析!J131,"")</f>
        <v/>
      </c>
      <c r="J131" s="346">
        <f>IF(売分析!AB131&lt;&gt;"",売分析!AB131,"")</f>
        <v/>
      </c>
      <c r="K131" s="346">
        <f>IF(売分析!AC131&lt;&gt;"",売分析!AC131,"")</f>
        <v/>
      </c>
      <c r="L131" s="346">
        <f>IF(売分析!K131&lt;&gt;"",売分析!K131,"")</f>
        <v/>
      </c>
      <c r="M131" s="345">
        <f>IF(売分析!P131&lt;&gt;"",売分析!P131,"")</f>
        <v/>
      </c>
      <c r="N131" s="620">
        <f>IF(売分析!O131&lt;&gt;"",売分析!O131,"")</f>
        <v/>
      </c>
      <c r="O131" s="350">
        <f>IF(売分析!X131&lt;&gt;"",売分析!X131,"")</f>
        <v/>
      </c>
      <c r="P131" s="619">
        <f>IF(売分析!L131&lt;&gt;"",売分析!L131,"")</f>
        <v/>
      </c>
      <c r="Q131" s="346">
        <f>IF(売分析!S131&lt;&gt;"",売分析!S131,"")</f>
        <v/>
      </c>
      <c r="R131" s="346">
        <f>IF(売分析!R131&lt;&gt;"",売分析!R131,"")</f>
        <v/>
      </c>
      <c r="S131" s="345">
        <f>IF(売分析!AA131&lt;&gt;"",売分析!AA131,"")</f>
        <v/>
      </c>
      <c r="T131" s="622">
        <f>IF(売分析!Z131&lt;&gt;"",売分析!Z131,"")</f>
        <v/>
      </c>
      <c r="U131" s="345">
        <f>IF(売分析!V131&lt;&gt;"",売分析!V131,"")</f>
        <v/>
      </c>
      <c r="V131" s="621">
        <f>IF(売分析!W131&lt;&gt;"",売分析!W131,"")</f>
        <v/>
      </c>
      <c r="W131" s="345">
        <f>IF(売分析!AD131&lt;&gt;"",売分析!AD131,"")</f>
        <v/>
      </c>
      <c r="X131" s="345">
        <f>IF(売分析!AE131&lt;&gt;"",売分析!AE131,"")</f>
        <v/>
      </c>
      <c r="Y131" s="410">
        <f>IF(売分析!T131&lt;&gt;"",売分析!T131,"")</f>
        <v/>
      </c>
      <c r="Z131" s="345">
        <f>IF(売分析!Y131&lt;&gt;"",売分析!Y131,"")</f>
        <v/>
      </c>
    </row>
    <row r="132">
      <c r="A132" s="225">
        <f>IF(売分析!C132&lt;&gt;"",ROW()-2,"")</f>
        <v/>
      </c>
      <c r="B132" s="352">
        <f>IF(売分析!C132&lt;&gt;"",HYPERLINK("https://kabutan.jp/stock/?code="&amp;売分析!C132,"株探"),"")</f>
        <v/>
      </c>
      <c r="C132" s="631">
        <f>IF(売分析!C132&lt;&gt;"",売分析!C132,"")</f>
        <v/>
      </c>
      <c r="D132" s="225">
        <f>IF(売分析!D132&lt;&gt;"",売分析!D132,"")</f>
        <v/>
      </c>
      <c r="E132" s="353">
        <f>IF(売分析!E132&lt;&gt;"",売分析!E132,"")</f>
        <v/>
      </c>
      <c r="F132" s="353">
        <f>IF(売分析!F132&lt;&gt;"",売分析!F132,"")</f>
        <v/>
      </c>
      <c r="G132" s="353">
        <f>IF(売分析!H132&lt;&gt;"",売分析!H132,"")</f>
        <v/>
      </c>
      <c r="H132" s="353">
        <f>IF(売分析!I132&lt;&gt;"",売分析!I132,"")</f>
        <v/>
      </c>
      <c r="I132" s="225">
        <f>IF(売分析!J132&lt;&gt;"",売分析!J132,"")</f>
        <v/>
      </c>
      <c r="J132" s="353">
        <f>IF(売分析!AB132&lt;&gt;"",売分析!AB132,"")</f>
        <v/>
      </c>
      <c r="K132" s="353">
        <f>IF(売分析!AC132&lt;&gt;"",売分析!AC132,"")</f>
        <v/>
      </c>
      <c r="L132" s="353">
        <f>IF(売分析!K132&lt;&gt;"",売分析!K132,"")</f>
        <v/>
      </c>
      <c r="M132" s="225">
        <f>IF(売分析!P132&lt;&gt;"",売分析!P132,"")</f>
        <v/>
      </c>
      <c r="N132" s="627">
        <f>IF(売分析!O132&lt;&gt;"",売分析!O132,"")</f>
        <v/>
      </c>
      <c r="O132" s="357">
        <f>IF(売分析!X132&lt;&gt;"",売分析!X132,"")</f>
        <v/>
      </c>
      <c r="P132" s="626">
        <f>IF(売分析!L132&lt;&gt;"",売分析!L132,"")</f>
        <v/>
      </c>
      <c r="Q132" s="353">
        <f>IF(売分析!S132&lt;&gt;"",売分析!S132,"")</f>
        <v/>
      </c>
      <c r="R132" s="353">
        <f>IF(売分析!R132&lt;&gt;"",売分析!R132,"")</f>
        <v/>
      </c>
      <c r="S132" s="225">
        <f>IF(売分析!AA132&lt;&gt;"",売分析!AA132,"")</f>
        <v/>
      </c>
      <c r="T132" s="629">
        <f>IF(売分析!Z132&lt;&gt;"",売分析!Z132,"")</f>
        <v/>
      </c>
      <c r="U132" s="225">
        <f>IF(売分析!V132&lt;&gt;"",売分析!V132,"")</f>
        <v/>
      </c>
      <c r="V132" s="628">
        <f>IF(売分析!W132&lt;&gt;"",売分析!W132,"")</f>
        <v/>
      </c>
      <c r="W132" s="225">
        <f>IF(売分析!AD132&lt;&gt;"",売分析!AD132,"")</f>
        <v/>
      </c>
      <c r="X132" s="225">
        <f>IF(売分析!AE132&lt;&gt;"",売分析!AE132,"")</f>
        <v/>
      </c>
      <c r="Y132" s="411">
        <f>IF(売分析!T132&lt;&gt;"",売分析!T132,"")</f>
        <v/>
      </c>
      <c r="Z132" s="225">
        <f>IF(売分析!Y132&lt;&gt;"",売分析!Y132,"")</f>
        <v/>
      </c>
    </row>
    <row r="133">
      <c r="A133" s="345">
        <f>IF(売分析!C133&lt;&gt;"",ROW()-2,"")</f>
        <v/>
      </c>
      <c r="B133" s="344">
        <f>IF(売分析!C133&lt;&gt;"",HYPERLINK("https://kabutan.jp/stock/?code="&amp;売分析!C133,"株探"),"")</f>
        <v/>
      </c>
      <c r="C133" s="630">
        <f>IF(売分析!C133&lt;&gt;"",売分析!C133,"")</f>
        <v/>
      </c>
      <c r="D133" s="345">
        <f>IF(売分析!D133&lt;&gt;"",売分析!D133,"")</f>
        <v/>
      </c>
      <c r="E133" s="346">
        <f>IF(売分析!E133&lt;&gt;"",売分析!E133,"")</f>
        <v/>
      </c>
      <c r="F133" s="346">
        <f>IF(売分析!F133&lt;&gt;"",売分析!F133,"")</f>
        <v/>
      </c>
      <c r="G133" s="346">
        <f>IF(売分析!H133&lt;&gt;"",売分析!H133,"")</f>
        <v/>
      </c>
      <c r="H133" s="346">
        <f>IF(売分析!I133&lt;&gt;"",売分析!I133,"")</f>
        <v/>
      </c>
      <c r="I133" s="345">
        <f>IF(売分析!J133&lt;&gt;"",売分析!J133,"")</f>
        <v/>
      </c>
      <c r="J133" s="346">
        <f>IF(売分析!AB133&lt;&gt;"",売分析!AB133,"")</f>
        <v/>
      </c>
      <c r="K133" s="346">
        <f>IF(売分析!AC133&lt;&gt;"",売分析!AC133,"")</f>
        <v/>
      </c>
      <c r="L133" s="346">
        <f>IF(売分析!K133&lt;&gt;"",売分析!K133,"")</f>
        <v/>
      </c>
      <c r="M133" s="345">
        <f>IF(売分析!P133&lt;&gt;"",売分析!P133,"")</f>
        <v/>
      </c>
      <c r="N133" s="620">
        <f>IF(売分析!O133&lt;&gt;"",売分析!O133,"")</f>
        <v/>
      </c>
      <c r="O133" s="350">
        <f>IF(売分析!X133&lt;&gt;"",売分析!X133,"")</f>
        <v/>
      </c>
      <c r="P133" s="619">
        <f>IF(売分析!L133&lt;&gt;"",売分析!L133,"")</f>
        <v/>
      </c>
      <c r="Q133" s="346">
        <f>IF(売分析!S133&lt;&gt;"",売分析!S133,"")</f>
        <v/>
      </c>
      <c r="R133" s="346">
        <f>IF(売分析!R133&lt;&gt;"",売分析!R133,"")</f>
        <v/>
      </c>
      <c r="S133" s="345">
        <f>IF(売分析!AA133&lt;&gt;"",売分析!AA133,"")</f>
        <v/>
      </c>
      <c r="T133" s="622">
        <f>IF(売分析!Z133&lt;&gt;"",売分析!Z133,"")</f>
        <v/>
      </c>
      <c r="U133" s="345">
        <f>IF(売分析!V133&lt;&gt;"",売分析!V133,"")</f>
        <v/>
      </c>
      <c r="V133" s="621">
        <f>IF(売分析!W133&lt;&gt;"",売分析!W133,"")</f>
        <v/>
      </c>
      <c r="W133" s="345">
        <f>IF(売分析!AD133&lt;&gt;"",売分析!AD133,"")</f>
        <v/>
      </c>
      <c r="X133" s="345">
        <f>IF(売分析!AE133&lt;&gt;"",売分析!AE133,"")</f>
        <v/>
      </c>
      <c r="Y133" s="410">
        <f>IF(売分析!T133&lt;&gt;"",売分析!T133,"")</f>
        <v/>
      </c>
      <c r="Z133" s="345">
        <f>IF(売分析!Y133&lt;&gt;"",売分析!Y133,"")</f>
        <v/>
      </c>
    </row>
    <row r="134">
      <c r="A134" s="225">
        <f>IF(売分析!C134&lt;&gt;"",ROW()-2,"")</f>
        <v/>
      </c>
      <c r="B134" s="352">
        <f>IF(売分析!C134&lt;&gt;"",HYPERLINK("https://kabutan.jp/stock/?code="&amp;売分析!C134,"株探"),"")</f>
        <v/>
      </c>
      <c r="C134" s="631">
        <f>IF(売分析!C134&lt;&gt;"",売分析!C134,"")</f>
        <v/>
      </c>
      <c r="D134" s="225">
        <f>IF(売分析!D134&lt;&gt;"",売分析!D134,"")</f>
        <v/>
      </c>
      <c r="E134" s="353">
        <f>IF(売分析!E134&lt;&gt;"",売分析!E134,"")</f>
        <v/>
      </c>
      <c r="F134" s="353">
        <f>IF(売分析!F134&lt;&gt;"",売分析!F134,"")</f>
        <v/>
      </c>
      <c r="G134" s="353">
        <f>IF(売分析!H134&lt;&gt;"",売分析!H134,"")</f>
        <v/>
      </c>
      <c r="H134" s="353">
        <f>IF(売分析!I134&lt;&gt;"",売分析!I134,"")</f>
        <v/>
      </c>
      <c r="I134" s="225">
        <f>IF(売分析!J134&lt;&gt;"",売分析!J134,"")</f>
        <v/>
      </c>
      <c r="J134" s="353">
        <f>IF(売分析!AB134&lt;&gt;"",売分析!AB134,"")</f>
        <v/>
      </c>
      <c r="K134" s="353">
        <f>IF(売分析!AC134&lt;&gt;"",売分析!AC134,"")</f>
        <v/>
      </c>
      <c r="L134" s="353">
        <f>IF(売分析!K134&lt;&gt;"",売分析!K134,"")</f>
        <v/>
      </c>
      <c r="M134" s="225">
        <f>IF(売分析!P134&lt;&gt;"",売分析!P134,"")</f>
        <v/>
      </c>
      <c r="N134" s="627">
        <f>IF(売分析!O134&lt;&gt;"",売分析!O134,"")</f>
        <v/>
      </c>
      <c r="O134" s="357">
        <f>IF(売分析!X134&lt;&gt;"",売分析!X134,"")</f>
        <v/>
      </c>
      <c r="P134" s="626">
        <f>IF(売分析!L134&lt;&gt;"",売分析!L134,"")</f>
        <v/>
      </c>
      <c r="Q134" s="353">
        <f>IF(売分析!S134&lt;&gt;"",売分析!S134,"")</f>
        <v/>
      </c>
      <c r="R134" s="353">
        <f>IF(売分析!R134&lt;&gt;"",売分析!R134,"")</f>
        <v/>
      </c>
      <c r="S134" s="225">
        <f>IF(売分析!AA134&lt;&gt;"",売分析!AA134,"")</f>
        <v/>
      </c>
      <c r="T134" s="629">
        <f>IF(売分析!Z134&lt;&gt;"",売分析!Z134,"")</f>
        <v/>
      </c>
      <c r="U134" s="225">
        <f>IF(売分析!V134&lt;&gt;"",売分析!V134,"")</f>
        <v/>
      </c>
      <c r="V134" s="628">
        <f>IF(売分析!W134&lt;&gt;"",売分析!W134,"")</f>
        <v/>
      </c>
      <c r="W134" s="225">
        <f>IF(売分析!AD134&lt;&gt;"",売分析!AD134,"")</f>
        <v/>
      </c>
      <c r="X134" s="225">
        <f>IF(売分析!AE134&lt;&gt;"",売分析!AE134,"")</f>
        <v/>
      </c>
      <c r="Y134" s="411">
        <f>IF(売分析!T134&lt;&gt;"",売分析!T134,"")</f>
        <v/>
      </c>
      <c r="Z134" s="225">
        <f>IF(売分析!Y134&lt;&gt;"",売分析!Y134,"")</f>
        <v/>
      </c>
    </row>
    <row r="135">
      <c r="A135" s="345">
        <f>IF(売分析!C135&lt;&gt;"",ROW()-2,"")</f>
        <v/>
      </c>
      <c r="B135" s="344">
        <f>IF(売分析!C135&lt;&gt;"",HYPERLINK("https://kabutan.jp/stock/?code="&amp;売分析!C135,"株探"),"")</f>
        <v/>
      </c>
      <c r="C135" s="630">
        <f>IF(売分析!C135&lt;&gt;"",売分析!C135,"")</f>
        <v/>
      </c>
      <c r="D135" s="345">
        <f>IF(売分析!D135&lt;&gt;"",売分析!D135,"")</f>
        <v/>
      </c>
      <c r="E135" s="346">
        <f>IF(売分析!E135&lt;&gt;"",売分析!E135,"")</f>
        <v/>
      </c>
      <c r="F135" s="346">
        <f>IF(売分析!F135&lt;&gt;"",売分析!F135,"")</f>
        <v/>
      </c>
      <c r="G135" s="346">
        <f>IF(売分析!H135&lt;&gt;"",売分析!H135,"")</f>
        <v/>
      </c>
      <c r="H135" s="346">
        <f>IF(売分析!I135&lt;&gt;"",売分析!I135,"")</f>
        <v/>
      </c>
      <c r="I135" s="345">
        <f>IF(売分析!J135&lt;&gt;"",売分析!J135,"")</f>
        <v/>
      </c>
      <c r="J135" s="346">
        <f>IF(売分析!AB135&lt;&gt;"",売分析!AB135,"")</f>
        <v/>
      </c>
      <c r="K135" s="346">
        <f>IF(売分析!AC135&lt;&gt;"",売分析!AC135,"")</f>
        <v/>
      </c>
      <c r="L135" s="346">
        <f>IF(売分析!K135&lt;&gt;"",売分析!K135,"")</f>
        <v/>
      </c>
      <c r="M135" s="345">
        <f>IF(売分析!P135&lt;&gt;"",売分析!P135,"")</f>
        <v/>
      </c>
      <c r="N135" s="620">
        <f>IF(売分析!O135&lt;&gt;"",売分析!O135,"")</f>
        <v/>
      </c>
      <c r="O135" s="350">
        <f>IF(売分析!X135&lt;&gt;"",売分析!X135,"")</f>
        <v/>
      </c>
      <c r="P135" s="619">
        <f>IF(売分析!L135&lt;&gt;"",売分析!L135,"")</f>
        <v/>
      </c>
      <c r="Q135" s="346">
        <f>IF(売分析!S135&lt;&gt;"",売分析!S135,"")</f>
        <v/>
      </c>
      <c r="R135" s="346">
        <f>IF(売分析!R135&lt;&gt;"",売分析!R135,"")</f>
        <v/>
      </c>
      <c r="S135" s="345">
        <f>IF(売分析!AA135&lt;&gt;"",売分析!AA135,"")</f>
        <v/>
      </c>
      <c r="T135" s="622">
        <f>IF(売分析!Z135&lt;&gt;"",売分析!Z135,"")</f>
        <v/>
      </c>
      <c r="U135" s="345">
        <f>IF(売分析!V135&lt;&gt;"",売分析!V135,"")</f>
        <v/>
      </c>
      <c r="V135" s="621">
        <f>IF(売分析!W135&lt;&gt;"",売分析!W135,"")</f>
        <v/>
      </c>
      <c r="W135" s="345">
        <f>IF(売分析!AD135&lt;&gt;"",売分析!AD135,"")</f>
        <v/>
      </c>
      <c r="X135" s="345">
        <f>IF(売分析!AE135&lt;&gt;"",売分析!AE135,"")</f>
        <v/>
      </c>
      <c r="Y135" s="410">
        <f>IF(売分析!T135&lt;&gt;"",売分析!T135,"")</f>
        <v/>
      </c>
      <c r="Z135" s="345">
        <f>IF(売分析!Y135&lt;&gt;"",売分析!Y135,"")</f>
        <v/>
      </c>
    </row>
    <row r="136">
      <c r="A136" s="225">
        <f>IF(売分析!C136&lt;&gt;"",ROW()-2,"")</f>
        <v/>
      </c>
      <c r="B136" s="352">
        <f>IF(売分析!C136&lt;&gt;"",HYPERLINK("https://kabutan.jp/stock/?code="&amp;売分析!C136,"株探"),"")</f>
        <v/>
      </c>
      <c r="C136" s="631">
        <f>IF(売分析!C136&lt;&gt;"",売分析!C136,"")</f>
        <v/>
      </c>
      <c r="D136" s="225">
        <f>IF(売分析!D136&lt;&gt;"",売分析!D136,"")</f>
        <v/>
      </c>
      <c r="E136" s="353">
        <f>IF(売分析!E136&lt;&gt;"",売分析!E136,"")</f>
        <v/>
      </c>
      <c r="F136" s="353">
        <f>IF(売分析!F136&lt;&gt;"",売分析!F136,"")</f>
        <v/>
      </c>
      <c r="G136" s="353">
        <f>IF(売分析!H136&lt;&gt;"",売分析!H136,"")</f>
        <v/>
      </c>
      <c r="H136" s="353">
        <f>IF(売分析!I136&lt;&gt;"",売分析!I136,"")</f>
        <v/>
      </c>
      <c r="I136" s="225">
        <f>IF(売分析!J136&lt;&gt;"",売分析!J136,"")</f>
        <v/>
      </c>
      <c r="J136" s="353">
        <f>IF(売分析!AB136&lt;&gt;"",売分析!AB136,"")</f>
        <v/>
      </c>
      <c r="K136" s="353">
        <f>IF(売分析!AC136&lt;&gt;"",売分析!AC136,"")</f>
        <v/>
      </c>
      <c r="L136" s="353">
        <f>IF(売分析!K136&lt;&gt;"",売分析!K136,"")</f>
        <v/>
      </c>
      <c r="M136" s="225">
        <f>IF(売分析!P136&lt;&gt;"",売分析!P136,"")</f>
        <v/>
      </c>
      <c r="N136" s="627">
        <f>IF(売分析!O136&lt;&gt;"",売分析!O136,"")</f>
        <v/>
      </c>
      <c r="O136" s="357">
        <f>IF(売分析!X136&lt;&gt;"",売分析!X136,"")</f>
        <v/>
      </c>
      <c r="P136" s="626">
        <f>IF(売分析!L136&lt;&gt;"",売分析!L136,"")</f>
        <v/>
      </c>
      <c r="Q136" s="353">
        <f>IF(売分析!S136&lt;&gt;"",売分析!S136,"")</f>
        <v/>
      </c>
      <c r="R136" s="353">
        <f>IF(売分析!R136&lt;&gt;"",売分析!R136,"")</f>
        <v/>
      </c>
      <c r="S136" s="225">
        <f>IF(売分析!AA136&lt;&gt;"",売分析!AA136,"")</f>
        <v/>
      </c>
      <c r="T136" s="629">
        <f>IF(売分析!Z136&lt;&gt;"",売分析!Z136,"")</f>
        <v/>
      </c>
      <c r="U136" s="225">
        <f>IF(売分析!V136&lt;&gt;"",売分析!V136,"")</f>
        <v/>
      </c>
      <c r="V136" s="628">
        <f>IF(売分析!W136&lt;&gt;"",売分析!W136,"")</f>
        <v/>
      </c>
      <c r="W136" s="225">
        <f>IF(売分析!AD136&lt;&gt;"",売分析!AD136,"")</f>
        <v/>
      </c>
      <c r="X136" s="225">
        <f>IF(売分析!AE136&lt;&gt;"",売分析!AE136,"")</f>
        <v/>
      </c>
      <c r="Y136" s="411">
        <f>IF(売分析!T136&lt;&gt;"",売分析!T136,"")</f>
        <v/>
      </c>
      <c r="Z136" s="225">
        <f>IF(売分析!Y136&lt;&gt;"",売分析!Y136,"")</f>
        <v/>
      </c>
    </row>
    <row r="137">
      <c r="A137" s="345">
        <f>IF(売分析!C137&lt;&gt;"",ROW()-2,"")</f>
        <v/>
      </c>
      <c r="B137" s="344">
        <f>IF(売分析!C137&lt;&gt;"",HYPERLINK("https://kabutan.jp/stock/?code="&amp;売分析!C137,"株探"),"")</f>
        <v/>
      </c>
      <c r="C137" s="630">
        <f>IF(売分析!C137&lt;&gt;"",売分析!C137,"")</f>
        <v/>
      </c>
      <c r="D137" s="345">
        <f>IF(売分析!D137&lt;&gt;"",売分析!D137,"")</f>
        <v/>
      </c>
      <c r="E137" s="346">
        <f>IF(売分析!E137&lt;&gt;"",売分析!E137,"")</f>
        <v/>
      </c>
      <c r="F137" s="346">
        <f>IF(売分析!F137&lt;&gt;"",売分析!F137,"")</f>
        <v/>
      </c>
      <c r="G137" s="346">
        <f>IF(売分析!H137&lt;&gt;"",売分析!H137,"")</f>
        <v/>
      </c>
      <c r="H137" s="346">
        <f>IF(売分析!I137&lt;&gt;"",売分析!I137,"")</f>
        <v/>
      </c>
      <c r="I137" s="345">
        <f>IF(売分析!J137&lt;&gt;"",売分析!J137,"")</f>
        <v/>
      </c>
      <c r="J137" s="346">
        <f>IF(売分析!AB137&lt;&gt;"",売分析!AB137,"")</f>
        <v/>
      </c>
      <c r="K137" s="346">
        <f>IF(売分析!AC137&lt;&gt;"",売分析!AC137,"")</f>
        <v/>
      </c>
      <c r="L137" s="346">
        <f>IF(売分析!K137&lt;&gt;"",売分析!K137,"")</f>
        <v/>
      </c>
      <c r="M137" s="345">
        <f>IF(売分析!P137&lt;&gt;"",売分析!P137,"")</f>
        <v/>
      </c>
      <c r="N137" s="620">
        <f>IF(売分析!O137&lt;&gt;"",売分析!O137,"")</f>
        <v/>
      </c>
      <c r="O137" s="350">
        <f>IF(売分析!X137&lt;&gt;"",売分析!X137,"")</f>
        <v/>
      </c>
      <c r="P137" s="619">
        <f>IF(売分析!L137&lt;&gt;"",売分析!L137,"")</f>
        <v/>
      </c>
      <c r="Q137" s="346">
        <f>IF(売分析!S137&lt;&gt;"",売分析!S137,"")</f>
        <v/>
      </c>
      <c r="R137" s="346">
        <f>IF(売分析!R137&lt;&gt;"",売分析!R137,"")</f>
        <v/>
      </c>
      <c r="S137" s="345">
        <f>IF(売分析!AA137&lt;&gt;"",売分析!AA137,"")</f>
        <v/>
      </c>
      <c r="T137" s="622">
        <f>IF(売分析!Z137&lt;&gt;"",売分析!Z137,"")</f>
        <v/>
      </c>
      <c r="U137" s="345">
        <f>IF(売分析!V137&lt;&gt;"",売分析!V137,"")</f>
        <v/>
      </c>
      <c r="V137" s="621">
        <f>IF(売分析!W137&lt;&gt;"",売分析!W137,"")</f>
        <v/>
      </c>
      <c r="W137" s="345">
        <f>IF(売分析!AD137&lt;&gt;"",売分析!AD137,"")</f>
        <v/>
      </c>
      <c r="X137" s="345">
        <f>IF(売分析!AE137&lt;&gt;"",売分析!AE137,"")</f>
        <v/>
      </c>
      <c r="Y137" s="410">
        <f>IF(売分析!T137&lt;&gt;"",売分析!T137,"")</f>
        <v/>
      </c>
      <c r="Z137" s="345">
        <f>IF(売分析!Y137&lt;&gt;"",売分析!Y137,"")</f>
        <v/>
      </c>
    </row>
    <row r="138">
      <c r="A138" s="225">
        <f>IF(売分析!C138&lt;&gt;"",ROW()-2,"")</f>
        <v/>
      </c>
      <c r="B138" s="352">
        <f>IF(売分析!C138&lt;&gt;"",HYPERLINK("https://kabutan.jp/stock/?code="&amp;売分析!C138,"株探"),"")</f>
        <v/>
      </c>
      <c r="C138" s="631">
        <f>IF(売分析!C138&lt;&gt;"",売分析!C138,"")</f>
        <v/>
      </c>
      <c r="D138" s="225">
        <f>IF(売分析!D138&lt;&gt;"",売分析!D138,"")</f>
        <v/>
      </c>
      <c r="E138" s="353">
        <f>IF(売分析!E138&lt;&gt;"",売分析!E138,"")</f>
        <v/>
      </c>
      <c r="F138" s="353">
        <f>IF(売分析!F138&lt;&gt;"",売分析!F138,"")</f>
        <v/>
      </c>
      <c r="G138" s="353">
        <f>IF(売分析!H138&lt;&gt;"",売分析!H138,"")</f>
        <v/>
      </c>
      <c r="H138" s="353">
        <f>IF(売分析!I138&lt;&gt;"",売分析!I138,"")</f>
        <v/>
      </c>
      <c r="I138" s="225">
        <f>IF(売分析!J138&lt;&gt;"",売分析!J138,"")</f>
        <v/>
      </c>
      <c r="J138" s="353">
        <f>IF(売分析!AB138&lt;&gt;"",売分析!AB138,"")</f>
        <v/>
      </c>
      <c r="K138" s="353">
        <f>IF(売分析!AC138&lt;&gt;"",売分析!AC138,"")</f>
        <v/>
      </c>
      <c r="L138" s="353">
        <f>IF(売分析!K138&lt;&gt;"",売分析!K138,"")</f>
        <v/>
      </c>
      <c r="M138" s="225">
        <f>IF(売分析!P138&lt;&gt;"",売分析!P138,"")</f>
        <v/>
      </c>
      <c r="N138" s="627">
        <f>IF(売分析!O138&lt;&gt;"",売分析!O138,"")</f>
        <v/>
      </c>
      <c r="O138" s="357">
        <f>IF(売分析!X138&lt;&gt;"",売分析!X138,"")</f>
        <v/>
      </c>
      <c r="P138" s="626">
        <f>IF(売分析!L138&lt;&gt;"",売分析!L138,"")</f>
        <v/>
      </c>
      <c r="Q138" s="353">
        <f>IF(売分析!S138&lt;&gt;"",売分析!S138,"")</f>
        <v/>
      </c>
      <c r="R138" s="353">
        <f>IF(売分析!R138&lt;&gt;"",売分析!R138,"")</f>
        <v/>
      </c>
      <c r="S138" s="225">
        <f>IF(売分析!AA138&lt;&gt;"",売分析!AA138,"")</f>
        <v/>
      </c>
      <c r="T138" s="629">
        <f>IF(売分析!Z138&lt;&gt;"",売分析!Z138,"")</f>
        <v/>
      </c>
      <c r="U138" s="225">
        <f>IF(売分析!V138&lt;&gt;"",売分析!V138,"")</f>
        <v/>
      </c>
      <c r="V138" s="628">
        <f>IF(売分析!W138&lt;&gt;"",売分析!W138,"")</f>
        <v/>
      </c>
      <c r="W138" s="225">
        <f>IF(売分析!AD138&lt;&gt;"",売分析!AD138,"")</f>
        <v/>
      </c>
      <c r="X138" s="225">
        <f>IF(売分析!AE138&lt;&gt;"",売分析!AE138,"")</f>
        <v/>
      </c>
      <c r="Y138" s="411">
        <f>IF(売分析!T138&lt;&gt;"",売分析!T138,"")</f>
        <v/>
      </c>
      <c r="Z138" s="225">
        <f>IF(売分析!Y138&lt;&gt;"",売分析!Y138,"")</f>
        <v/>
      </c>
    </row>
    <row r="139">
      <c r="A139" s="345">
        <f>IF(売分析!C139&lt;&gt;"",ROW()-2,"")</f>
        <v/>
      </c>
      <c r="B139" s="344">
        <f>IF(売分析!C139&lt;&gt;"",HYPERLINK("https://kabutan.jp/stock/?code="&amp;売分析!C139,"株探"),"")</f>
        <v/>
      </c>
      <c r="C139" s="630">
        <f>IF(売分析!C139&lt;&gt;"",売分析!C139,"")</f>
        <v/>
      </c>
      <c r="D139" s="345">
        <f>IF(売分析!D139&lt;&gt;"",売分析!D139,"")</f>
        <v/>
      </c>
      <c r="E139" s="346">
        <f>IF(売分析!E139&lt;&gt;"",売分析!E139,"")</f>
        <v/>
      </c>
      <c r="F139" s="346">
        <f>IF(売分析!F139&lt;&gt;"",売分析!F139,"")</f>
        <v/>
      </c>
      <c r="G139" s="346">
        <f>IF(売分析!H139&lt;&gt;"",売分析!H139,"")</f>
        <v/>
      </c>
      <c r="H139" s="346">
        <f>IF(売分析!I139&lt;&gt;"",売分析!I139,"")</f>
        <v/>
      </c>
      <c r="I139" s="345">
        <f>IF(売分析!J139&lt;&gt;"",売分析!J139,"")</f>
        <v/>
      </c>
      <c r="J139" s="346">
        <f>IF(売分析!AB139&lt;&gt;"",売分析!AB139,"")</f>
        <v/>
      </c>
      <c r="K139" s="346">
        <f>IF(売分析!AC139&lt;&gt;"",売分析!AC139,"")</f>
        <v/>
      </c>
      <c r="L139" s="346">
        <f>IF(売分析!K139&lt;&gt;"",売分析!K139,"")</f>
        <v/>
      </c>
      <c r="M139" s="345">
        <f>IF(売分析!P139&lt;&gt;"",売分析!P139,"")</f>
        <v/>
      </c>
      <c r="N139" s="620">
        <f>IF(売分析!O139&lt;&gt;"",売分析!O139,"")</f>
        <v/>
      </c>
      <c r="O139" s="350">
        <f>IF(売分析!X139&lt;&gt;"",売分析!X139,"")</f>
        <v/>
      </c>
      <c r="P139" s="619">
        <f>IF(売分析!L139&lt;&gt;"",売分析!L139,"")</f>
        <v/>
      </c>
      <c r="Q139" s="346">
        <f>IF(売分析!S139&lt;&gt;"",売分析!S139,"")</f>
        <v/>
      </c>
      <c r="R139" s="346">
        <f>IF(売分析!R139&lt;&gt;"",売分析!R139,"")</f>
        <v/>
      </c>
      <c r="S139" s="345">
        <f>IF(売分析!AA139&lt;&gt;"",売分析!AA139,"")</f>
        <v/>
      </c>
      <c r="T139" s="622">
        <f>IF(売分析!Z139&lt;&gt;"",売分析!Z139,"")</f>
        <v/>
      </c>
      <c r="U139" s="345">
        <f>IF(売分析!V139&lt;&gt;"",売分析!V139,"")</f>
        <v/>
      </c>
      <c r="V139" s="621">
        <f>IF(売分析!W139&lt;&gt;"",売分析!W139,"")</f>
        <v/>
      </c>
      <c r="W139" s="345">
        <f>IF(売分析!AD139&lt;&gt;"",売分析!AD139,"")</f>
        <v/>
      </c>
      <c r="X139" s="345">
        <f>IF(売分析!AE139&lt;&gt;"",売分析!AE139,"")</f>
        <v/>
      </c>
      <c r="Y139" s="410">
        <f>IF(売分析!T139&lt;&gt;"",売分析!T139,"")</f>
        <v/>
      </c>
      <c r="Z139" s="345">
        <f>IF(売分析!Y139&lt;&gt;"",売分析!Y139,"")</f>
        <v/>
      </c>
    </row>
    <row r="140">
      <c r="A140" s="225">
        <f>IF(売分析!C140&lt;&gt;"",ROW()-2,"")</f>
        <v/>
      </c>
      <c r="B140" s="352">
        <f>IF(売分析!C140&lt;&gt;"",HYPERLINK("https://kabutan.jp/stock/?code="&amp;売分析!C140,"株探"),"")</f>
        <v/>
      </c>
      <c r="C140" s="631">
        <f>IF(売分析!C140&lt;&gt;"",売分析!C140,"")</f>
        <v/>
      </c>
      <c r="D140" s="225">
        <f>IF(売分析!D140&lt;&gt;"",売分析!D140,"")</f>
        <v/>
      </c>
      <c r="E140" s="353">
        <f>IF(売分析!E140&lt;&gt;"",売分析!E140,"")</f>
        <v/>
      </c>
      <c r="F140" s="353">
        <f>IF(売分析!F140&lt;&gt;"",売分析!F140,"")</f>
        <v/>
      </c>
      <c r="G140" s="353">
        <f>IF(売分析!H140&lt;&gt;"",売分析!H140,"")</f>
        <v/>
      </c>
      <c r="H140" s="353">
        <f>IF(売分析!I140&lt;&gt;"",売分析!I140,"")</f>
        <v/>
      </c>
      <c r="I140" s="225">
        <f>IF(売分析!J140&lt;&gt;"",売分析!J140,"")</f>
        <v/>
      </c>
      <c r="J140" s="353">
        <f>IF(売分析!AB140&lt;&gt;"",売分析!AB140,"")</f>
        <v/>
      </c>
      <c r="K140" s="353">
        <f>IF(売分析!AC140&lt;&gt;"",売分析!AC140,"")</f>
        <v/>
      </c>
      <c r="L140" s="353">
        <f>IF(売分析!K140&lt;&gt;"",売分析!K140,"")</f>
        <v/>
      </c>
      <c r="M140" s="225">
        <f>IF(売分析!P140&lt;&gt;"",売分析!P140,"")</f>
        <v/>
      </c>
      <c r="N140" s="627">
        <f>IF(売分析!O140&lt;&gt;"",売分析!O140,"")</f>
        <v/>
      </c>
      <c r="O140" s="357">
        <f>IF(売分析!X140&lt;&gt;"",売分析!X140,"")</f>
        <v/>
      </c>
      <c r="P140" s="626">
        <f>IF(売分析!L140&lt;&gt;"",売分析!L140,"")</f>
        <v/>
      </c>
      <c r="Q140" s="353">
        <f>IF(売分析!S140&lt;&gt;"",売分析!S140,"")</f>
        <v/>
      </c>
      <c r="R140" s="353">
        <f>IF(売分析!R140&lt;&gt;"",売分析!R140,"")</f>
        <v/>
      </c>
      <c r="S140" s="225">
        <f>IF(売分析!AA140&lt;&gt;"",売分析!AA140,"")</f>
        <v/>
      </c>
      <c r="T140" s="629">
        <f>IF(売分析!Z140&lt;&gt;"",売分析!Z140,"")</f>
        <v/>
      </c>
      <c r="U140" s="225">
        <f>IF(売分析!V140&lt;&gt;"",売分析!V140,"")</f>
        <v/>
      </c>
      <c r="V140" s="628">
        <f>IF(売分析!W140&lt;&gt;"",売分析!W140,"")</f>
        <v/>
      </c>
      <c r="W140" s="225">
        <f>IF(売分析!AD140&lt;&gt;"",売分析!AD140,"")</f>
        <v/>
      </c>
      <c r="X140" s="225">
        <f>IF(売分析!AE140&lt;&gt;"",売分析!AE140,"")</f>
        <v/>
      </c>
      <c r="Y140" s="411">
        <f>IF(売分析!T140&lt;&gt;"",売分析!T140,"")</f>
        <v/>
      </c>
      <c r="Z140" s="225">
        <f>IF(売分析!Y140&lt;&gt;"",売分析!Y140,"")</f>
        <v/>
      </c>
    </row>
    <row r="141">
      <c r="A141" s="345">
        <f>IF(売分析!C141&lt;&gt;"",ROW()-2,"")</f>
        <v/>
      </c>
      <c r="B141" s="344">
        <f>IF(売分析!C141&lt;&gt;"",HYPERLINK("https://kabutan.jp/stock/?code="&amp;売分析!C141,"株探"),"")</f>
        <v/>
      </c>
      <c r="C141" s="630">
        <f>IF(売分析!C141&lt;&gt;"",売分析!C141,"")</f>
        <v/>
      </c>
      <c r="D141" s="345">
        <f>IF(売分析!D141&lt;&gt;"",売分析!D141,"")</f>
        <v/>
      </c>
      <c r="E141" s="346">
        <f>IF(売分析!E141&lt;&gt;"",売分析!E141,"")</f>
        <v/>
      </c>
      <c r="F141" s="346">
        <f>IF(売分析!F141&lt;&gt;"",売分析!F141,"")</f>
        <v/>
      </c>
      <c r="G141" s="346">
        <f>IF(売分析!H141&lt;&gt;"",売分析!H141,"")</f>
        <v/>
      </c>
      <c r="H141" s="346">
        <f>IF(売分析!I141&lt;&gt;"",売分析!I141,"")</f>
        <v/>
      </c>
      <c r="I141" s="345">
        <f>IF(売分析!J141&lt;&gt;"",売分析!J141,"")</f>
        <v/>
      </c>
      <c r="J141" s="346">
        <f>IF(売分析!AB141&lt;&gt;"",売分析!AB141,"")</f>
        <v/>
      </c>
      <c r="K141" s="346">
        <f>IF(売分析!AC141&lt;&gt;"",売分析!AC141,"")</f>
        <v/>
      </c>
      <c r="L141" s="346">
        <f>IF(売分析!K141&lt;&gt;"",売分析!K141,"")</f>
        <v/>
      </c>
      <c r="M141" s="345">
        <f>IF(売分析!P141&lt;&gt;"",売分析!P141,"")</f>
        <v/>
      </c>
      <c r="N141" s="620">
        <f>IF(売分析!O141&lt;&gt;"",売分析!O141,"")</f>
        <v/>
      </c>
      <c r="O141" s="350">
        <f>IF(売分析!X141&lt;&gt;"",売分析!X141,"")</f>
        <v/>
      </c>
      <c r="P141" s="619">
        <f>IF(売分析!L141&lt;&gt;"",売分析!L141,"")</f>
        <v/>
      </c>
      <c r="Q141" s="346">
        <f>IF(売分析!S141&lt;&gt;"",売分析!S141,"")</f>
        <v/>
      </c>
      <c r="R141" s="346">
        <f>IF(売分析!R141&lt;&gt;"",売分析!R141,"")</f>
        <v/>
      </c>
      <c r="S141" s="345">
        <f>IF(売分析!AA141&lt;&gt;"",売分析!AA141,"")</f>
        <v/>
      </c>
      <c r="T141" s="622">
        <f>IF(売分析!Z141&lt;&gt;"",売分析!Z141,"")</f>
        <v/>
      </c>
      <c r="U141" s="345">
        <f>IF(売分析!V141&lt;&gt;"",売分析!V141,"")</f>
        <v/>
      </c>
      <c r="V141" s="621">
        <f>IF(売分析!W141&lt;&gt;"",売分析!W141,"")</f>
        <v/>
      </c>
      <c r="W141" s="345">
        <f>IF(売分析!AD141&lt;&gt;"",売分析!AD141,"")</f>
        <v/>
      </c>
      <c r="X141" s="345">
        <f>IF(売分析!AE141&lt;&gt;"",売分析!AE141,"")</f>
        <v/>
      </c>
      <c r="Y141" s="410">
        <f>IF(売分析!T141&lt;&gt;"",売分析!T141,"")</f>
        <v/>
      </c>
      <c r="Z141" s="345">
        <f>IF(売分析!Y141&lt;&gt;"",売分析!Y141,"")</f>
        <v/>
      </c>
    </row>
    <row r="142">
      <c r="A142" s="225">
        <f>IF(売分析!C142&lt;&gt;"",ROW()-2,"")</f>
        <v/>
      </c>
      <c r="B142" s="352">
        <f>IF(売分析!C142&lt;&gt;"",HYPERLINK("https://kabutan.jp/stock/?code="&amp;売分析!C142,"株探"),"")</f>
        <v/>
      </c>
      <c r="C142" s="631">
        <f>IF(売分析!C142&lt;&gt;"",売分析!C142,"")</f>
        <v/>
      </c>
      <c r="D142" s="225">
        <f>IF(売分析!D142&lt;&gt;"",売分析!D142,"")</f>
        <v/>
      </c>
      <c r="E142" s="353">
        <f>IF(売分析!E142&lt;&gt;"",売分析!E142,"")</f>
        <v/>
      </c>
      <c r="F142" s="353">
        <f>IF(売分析!F142&lt;&gt;"",売分析!F142,"")</f>
        <v/>
      </c>
      <c r="G142" s="353">
        <f>IF(売分析!H142&lt;&gt;"",売分析!H142,"")</f>
        <v/>
      </c>
      <c r="H142" s="353">
        <f>IF(売分析!I142&lt;&gt;"",売分析!I142,"")</f>
        <v/>
      </c>
      <c r="I142" s="225">
        <f>IF(売分析!J142&lt;&gt;"",売分析!J142,"")</f>
        <v/>
      </c>
      <c r="J142" s="353">
        <f>IF(売分析!AB142&lt;&gt;"",売分析!AB142,"")</f>
        <v/>
      </c>
      <c r="K142" s="353">
        <f>IF(売分析!AC142&lt;&gt;"",売分析!AC142,"")</f>
        <v/>
      </c>
      <c r="L142" s="353">
        <f>IF(売分析!K142&lt;&gt;"",売分析!K142,"")</f>
        <v/>
      </c>
      <c r="M142" s="225">
        <f>IF(売分析!P142&lt;&gt;"",売分析!P142,"")</f>
        <v/>
      </c>
      <c r="N142" s="627">
        <f>IF(売分析!O142&lt;&gt;"",売分析!O142,"")</f>
        <v/>
      </c>
      <c r="O142" s="357">
        <f>IF(売分析!X142&lt;&gt;"",売分析!X142,"")</f>
        <v/>
      </c>
      <c r="P142" s="626">
        <f>IF(売分析!L142&lt;&gt;"",売分析!L142,"")</f>
        <v/>
      </c>
      <c r="Q142" s="353">
        <f>IF(売分析!S142&lt;&gt;"",売分析!S142,"")</f>
        <v/>
      </c>
      <c r="R142" s="353">
        <f>IF(売分析!R142&lt;&gt;"",売分析!R142,"")</f>
        <v/>
      </c>
      <c r="S142" s="225">
        <f>IF(売分析!AA142&lt;&gt;"",売分析!AA142,"")</f>
        <v/>
      </c>
      <c r="T142" s="629">
        <f>IF(売分析!Z142&lt;&gt;"",売分析!Z142,"")</f>
        <v/>
      </c>
      <c r="U142" s="225">
        <f>IF(売分析!V142&lt;&gt;"",売分析!V142,"")</f>
        <v/>
      </c>
      <c r="V142" s="628">
        <f>IF(売分析!W142&lt;&gt;"",売分析!W142,"")</f>
        <v/>
      </c>
      <c r="W142" s="225">
        <f>IF(売分析!AD142&lt;&gt;"",売分析!AD142,"")</f>
        <v/>
      </c>
      <c r="X142" s="225">
        <f>IF(売分析!AE142&lt;&gt;"",売分析!AE142,"")</f>
        <v/>
      </c>
      <c r="Y142" s="411">
        <f>IF(売分析!T142&lt;&gt;"",売分析!T142,"")</f>
        <v/>
      </c>
      <c r="Z142" s="225">
        <f>IF(売分析!Y142&lt;&gt;"",売分析!Y142,"")</f>
        <v/>
      </c>
    </row>
    <row r="143">
      <c r="A143" s="345">
        <f>IF(売分析!C143&lt;&gt;"",ROW()-2,"")</f>
        <v/>
      </c>
      <c r="B143" s="344">
        <f>IF(売分析!C143&lt;&gt;"",HYPERLINK("https://kabutan.jp/stock/?code="&amp;売分析!C143,"株探"),"")</f>
        <v/>
      </c>
      <c r="C143" s="630">
        <f>IF(売分析!C143&lt;&gt;"",売分析!C143,"")</f>
        <v/>
      </c>
      <c r="D143" s="345">
        <f>IF(売分析!D143&lt;&gt;"",売分析!D143,"")</f>
        <v/>
      </c>
      <c r="E143" s="346">
        <f>IF(売分析!E143&lt;&gt;"",売分析!E143,"")</f>
        <v/>
      </c>
      <c r="F143" s="346">
        <f>IF(売分析!F143&lt;&gt;"",売分析!F143,"")</f>
        <v/>
      </c>
      <c r="G143" s="346">
        <f>IF(売分析!H143&lt;&gt;"",売分析!H143,"")</f>
        <v/>
      </c>
      <c r="H143" s="346">
        <f>IF(売分析!I143&lt;&gt;"",売分析!I143,"")</f>
        <v/>
      </c>
      <c r="I143" s="345">
        <f>IF(売分析!J143&lt;&gt;"",売分析!J143,"")</f>
        <v/>
      </c>
      <c r="J143" s="346">
        <f>IF(売分析!AB143&lt;&gt;"",売分析!AB143,"")</f>
        <v/>
      </c>
      <c r="K143" s="346">
        <f>IF(売分析!AC143&lt;&gt;"",売分析!AC143,"")</f>
        <v/>
      </c>
      <c r="L143" s="346">
        <f>IF(売分析!K143&lt;&gt;"",売分析!K143,"")</f>
        <v/>
      </c>
      <c r="M143" s="345">
        <f>IF(売分析!P143&lt;&gt;"",売分析!P143,"")</f>
        <v/>
      </c>
      <c r="N143" s="620">
        <f>IF(売分析!O143&lt;&gt;"",売分析!O143,"")</f>
        <v/>
      </c>
      <c r="O143" s="350">
        <f>IF(売分析!X143&lt;&gt;"",売分析!X143,"")</f>
        <v/>
      </c>
      <c r="P143" s="619">
        <f>IF(売分析!L143&lt;&gt;"",売分析!L143,"")</f>
        <v/>
      </c>
      <c r="Q143" s="346">
        <f>IF(売分析!S143&lt;&gt;"",売分析!S143,"")</f>
        <v/>
      </c>
      <c r="R143" s="346">
        <f>IF(売分析!R143&lt;&gt;"",売分析!R143,"")</f>
        <v/>
      </c>
      <c r="S143" s="345">
        <f>IF(売分析!AA143&lt;&gt;"",売分析!AA143,"")</f>
        <v/>
      </c>
      <c r="T143" s="622">
        <f>IF(売分析!Z143&lt;&gt;"",売分析!Z143,"")</f>
        <v/>
      </c>
      <c r="U143" s="345">
        <f>IF(売分析!V143&lt;&gt;"",売分析!V143,"")</f>
        <v/>
      </c>
      <c r="V143" s="621">
        <f>IF(売分析!W143&lt;&gt;"",売分析!W143,"")</f>
        <v/>
      </c>
      <c r="W143" s="345">
        <f>IF(売分析!AD143&lt;&gt;"",売分析!AD143,"")</f>
        <v/>
      </c>
      <c r="X143" s="345">
        <f>IF(売分析!AE143&lt;&gt;"",売分析!AE143,"")</f>
        <v/>
      </c>
      <c r="Y143" s="410">
        <f>IF(売分析!T143&lt;&gt;"",売分析!T143,"")</f>
        <v/>
      </c>
      <c r="Z143" s="345">
        <f>IF(売分析!Y143&lt;&gt;"",売分析!Y143,"")</f>
        <v/>
      </c>
    </row>
    <row r="144">
      <c r="A144" s="225">
        <f>IF(売分析!C144&lt;&gt;"",ROW()-2,"")</f>
        <v/>
      </c>
      <c r="B144" s="352">
        <f>IF(売分析!C144&lt;&gt;"",HYPERLINK("https://kabutan.jp/stock/?code="&amp;売分析!C144,"株探"),"")</f>
        <v/>
      </c>
      <c r="C144" s="631">
        <f>IF(売分析!C144&lt;&gt;"",売分析!C144,"")</f>
        <v/>
      </c>
      <c r="D144" s="225">
        <f>IF(売分析!D144&lt;&gt;"",売分析!D144,"")</f>
        <v/>
      </c>
      <c r="E144" s="353">
        <f>IF(売分析!E144&lt;&gt;"",売分析!E144,"")</f>
        <v/>
      </c>
      <c r="F144" s="353">
        <f>IF(売分析!F144&lt;&gt;"",売分析!F144,"")</f>
        <v/>
      </c>
      <c r="G144" s="353">
        <f>IF(売分析!H144&lt;&gt;"",売分析!H144,"")</f>
        <v/>
      </c>
      <c r="H144" s="353">
        <f>IF(売分析!I144&lt;&gt;"",売分析!I144,"")</f>
        <v/>
      </c>
      <c r="I144" s="225">
        <f>IF(売分析!J144&lt;&gt;"",売分析!J144,"")</f>
        <v/>
      </c>
      <c r="J144" s="353">
        <f>IF(売分析!AB144&lt;&gt;"",売分析!AB144,"")</f>
        <v/>
      </c>
      <c r="K144" s="353">
        <f>IF(売分析!AC144&lt;&gt;"",売分析!AC144,"")</f>
        <v/>
      </c>
      <c r="L144" s="353">
        <f>IF(売分析!K144&lt;&gt;"",売分析!K144,"")</f>
        <v/>
      </c>
      <c r="M144" s="225">
        <f>IF(売分析!P144&lt;&gt;"",売分析!P144,"")</f>
        <v/>
      </c>
      <c r="N144" s="627">
        <f>IF(売分析!O144&lt;&gt;"",売分析!O144,"")</f>
        <v/>
      </c>
      <c r="O144" s="357">
        <f>IF(売分析!X144&lt;&gt;"",売分析!X144,"")</f>
        <v/>
      </c>
      <c r="P144" s="626">
        <f>IF(売分析!L144&lt;&gt;"",売分析!L144,"")</f>
        <v/>
      </c>
      <c r="Q144" s="353">
        <f>IF(売分析!S144&lt;&gt;"",売分析!S144,"")</f>
        <v/>
      </c>
      <c r="R144" s="353">
        <f>IF(売分析!R144&lt;&gt;"",売分析!R144,"")</f>
        <v/>
      </c>
      <c r="S144" s="225">
        <f>IF(売分析!AA144&lt;&gt;"",売分析!AA144,"")</f>
        <v/>
      </c>
      <c r="T144" s="629">
        <f>IF(売分析!Z144&lt;&gt;"",売分析!Z144,"")</f>
        <v/>
      </c>
      <c r="U144" s="225">
        <f>IF(売分析!V144&lt;&gt;"",売分析!V144,"")</f>
        <v/>
      </c>
      <c r="V144" s="628">
        <f>IF(売分析!W144&lt;&gt;"",売分析!W144,"")</f>
        <v/>
      </c>
      <c r="W144" s="225">
        <f>IF(売分析!AD144&lt;&gt;"",売分析!AD144,"")</f>
        <v/>
      </c>
      <c r="X144" s="225">
        <f>IF(売分析!AE144&lt;&gt;"",売分析!AE144,"")</f>
        <v/>
      </c>
      <c r="Y144" s="411">
        <f>IF(売分析!T144&lt;&gt;"",売分析!T144,"")</f>
        <v/>
      </c>
      <c r="Z144" s="225">
        <f>IF(売分析!Y144&lt;&gt;"",売分析!Y144,"")</f>
        <v/>
      </c>
    </row>
    <row r="145">
      <c r="A145" s="345">
        <f>IF(売分析!C145&lt;&gt;"",ROW()-2,"")</f>
        <v/>
      </c>
      <c r="B145" s="344">
        <f>IF(売分析!C145&lt;&gt;"",HYPERLINK("https://kabutan.jp/stock/?code="&amp;売分析!C145,"株探"),"")</f>
        <v/>
      </c>
      <c r="C145" s="630">
        <f>IF(売分析!C145&lt;&gt;"",売分析!C145,"")</f>
        <v/>
      </c>
      <c r="D145" s="345">
        <f>IF(売分析!D145&lt;&gt;"",売分析!D145,"")</f>
        <v/>
      </c>
      <c r="E145" s="346">
        <f>IF(売分析!E145&lt;&gt;"",売分析!E145,"")</f>
        <v/>
      </c>
      <c r="F145" s="346">
        <f>IF(売分析!F145&lt;&gt;"",売分析!F145,"")</f>
        <v/>
      </c>
      <c r="G145" s="346">
        <f>IF(売分析!H145&lt;&gt;"",売分析!H145,"")</f>
        <v/>
      </c>
      <c r="H145" s="346">
        <f>IF(売分析!I145&lt;&gt;"",売分析!I145,"")</f>
        <v/>
      </c>
      <c r="I145" s="345">
        <f>IF(売分析!J145&lt;&gt;"",売分析!J145,"")</f>
        <v/>
      </c>
      <c r="J145" s="346">
        <f>IF(売分析!AB145&lt;&gt;"",売分析!AB145,"")</f>
        <v/>
      </c>
      <c r="K145" s="346">
        <f>IF(売分析!AC145&lt;&gt;"",売分析!AC145,"")</f>
        <v/>
      </c>
      <c r="L145" s="346">
        <f>IF(売分析!K145&lt;&gt;"",売分析!K145,"")</f>
        <v/>
      </c>
      <c r="M145" s="345">
        <f>IF(売分析!P145&lt;&gt;"",売分析!P145,"")</f>
        <v/>
      </c>
      <c r="N145" s="620">
        <f>IF(売分析!O145&lt;&gt;"",売分析!O145,"")</f>
        <v/>
      </c>
      <c r="O145" s="350">
        <f>IF(売分析!X145&lt;&gt;"",売分析!X145,"")</f>
        <v/>
      </c>
      <c r="P145" s="619">
        <f>IF(売分析!L145&lt;&gt;"",売分析!L145,"")</f>
        <v/>
      </c>
      <c r="Q145" s="346">
        <f>IF(売分析!S145&lt;&gt;"",売分析!S145,"")</f>
        <v/>
      </c>
      <c r="R145" s="346">
        <f>IF(売分析!R145&lt;&gt;"",売分析!R145,"")</f>
        <v/>
      </c>
      <c r="S145" s="345">
        <f>IF(売分析!AA145&lt;&gt;"",売分析!AA145,"")</f>
        <v/>
      </c>
      <c r="T145" s="622">
        <f>IF(売分析!Z145&lt;&gt;"",売分析!Z145,"")</f>
        <v/>
      </c>
      <c r="U145" s="345">
        <f>IF(売分析!V145&lt;&gt;"",売分析!V145,"")</f>
        <v/>
      </c>
      <c r="V145" s="621">
        <f>IF(売分析!W145&lt;&gt;"",売分析!W145,"")</f>
        <v/>
      </c>
      <c r="W145" s="345">
        <f>IF(売分析!AD145&lt;&gt;"",売分析!AD145,"")</f>
        <v/>
      </c>
      <c r="X145" s="345">
        <f>IF(売分析!AE145&lt;&gt;"",売分析!AE145,"")</f>
        <v/>
      </c>
      <c r="Y145" s="410">
        <f>IF(売分析!T145&lt;&gt;"",売分析!T145,"")</f>
        <v/>
      </c>
      <c r="Z145" s="345">
        <f>IF(売分析!Y145&lt;&gt;"",売分析!Y145,"")</f>
        <v/>
      </c>
    </row>
    <row r="146">
      <c r="A146" s="225">
        <f>IF(売分析!C146&lt;&gt;"",ROW()-2,"")</f>
        <v/>
      </c>
      <c r="B146" s="352">
        <f>IF(売分析!C146&lt;&gt;"",HYPERLINK("https://kabutan.jp/stock/?code="&amp;売分析!C146,"株探"),"")</f>
        <v/>
      </c>
      <c r="C146" s="631">
        <f>IF(売分析!C146&lt;&gt;"",売分析!C146,"")</f>
        <v/>
      </c>
      <c r="D146" s="225">
        <f>IF(売分析!D146&lt;&gt;"",売分析!D146,"")</f>
        <v/>
      </c>
      <c r="E146" s="353">
        <f>IF(売分析!E146&lt;&gt;"",売分析!E146,"")</f>
        <v/>
      </c>
      <c r="F146" s="353">
        <f>IF(売分析!F146&lt;&gt;"",売分析!F146,"")</f>
        <v/>
      </c>
      <c r="G146" s="353">
        <f>IF(売分析!H146&lt;&gt;"",売分析!H146,"")</f>
        <v/>
      </c>
      <c r="H146" s="353">
        <f>IF(売分析!I146&lt;&gt;"",売分析!I146,"")</f>
        <v/>
      </c>
      <c r="I146" s="225">
        <f>IF(売分析!J146&lt;&gt;"",売分析!J146,"")</f>
        <v/>
      </c>
      <c r="J146" s="353">
        <f>IF(売分析!AB146&lt;&gt;"",売分析!AB146,"")</f>
        <v/>
      </c>
      <c r="K146" s="353">
        <f>IF(売分析!AC146&lt;&gt;"",売分析!AC146,"")</f>
        <v/>
      </c>
      <c r="L146" s="353">
        <f>IF(売分析!K146&lt;&gt;"",売分析!K146,"")</f>
        <v/>
      </c>
      <c r="M146" s="225">
        <f>IF(売分析!P146&lt;&gt;"",売分析!P146,"")</f>
        <v/>
      </c>
      <c r="N146" s="627">
        <f>IF(売分析!O146&lt;&gt;"",売分析!O146,"")</f>
        <v/>
      </c>
      <c r="O146" s="357">
        <f>IF(売分析!X146&lt;&gt;"",売分析!X146,"")</f>
        <v/>
      </c>
      <c r="P146" s="626">
        <f>IF(売分析!L146&lt;&gt;"",売分析!L146,"")</f>
        <v/>
      </c>
      <c r="Q146" s="353">
        <f>IF(売分析!S146&lt;&gt;"",売分析!S146,"")</f>
        <v/>
      </c>
      <c r="R146" s="353">
        <f>IF(売分析!R146&lt;&gt;"",売分析!R146,"")</f>
        <v/>
      </c>
      <c r="S146" s="225">
        <f>IF(売分析!AA146&lt;&gt;"",売分析!AA146,"")</f>
        <v/>
      </c>
      <c r="T146" s="629">
        <f>IF(売分析!Z146&lt;&gt;"",売分析!Z146,"")</f>
        <v/>
      </c>
      <c r="U146" s="225">
        <f>IF(売分析!V146&lt;&gt;"",売分析!V146,"")</f>
        <v/>
      </c>
      <c r="V146" s="628">
        <f>IF(売分析!W146&lt;&gt;"",売分析!W146,"")</f>
        <v/>
      </c>
      <c r="W146" s="225">
        <f>IF(売分析!AD146&lt;&gt;"",売分析!AD146,"")</f>
        <v/>
      </c>
      <c r="X146" s="225">
        <f>IF(売分析!AE146&lt;&gt;"",売分析!AE146,"")</f>
        <v/>
      </c>
      <c r="Y146" s="411">
        <f>IF(売分析!T146&lt;&gt;"",売分析!T146,"")</f>
        <v/>
      </c>
      <c r="Z146" s="225">
        <f>IF(売分析!Y146&lt;&gt;"",売分析!Y146,"")</f>
        <v/>
      </c>
    </row>
    <row r="147">
      <c r="A147" s="345">
        <f>IF(売分析!C147&lt;&gt;"",ROW()-2,"")</f>
        <v/>
      </c>
      <c r="B147" s="344">
        <f>IF(売分析!C147&lt;&gt;"",HYPERLINK("https://kabutan.jp/stock/?code="&amp;売分析!C147,"株探"),"")</f>
        <v/>
      </c>
      <c r="C147" s="630">
        <f>IF(売分析!C147&lt;&gt;"",売分析!C147,"")</f>
        <v/>
      </c>
      <c r="D147" s="345">
        <f>IF(売分析!D147&lt;&gt;"",売分析!D147,"")</f>
        <v/>
      </c>
      <c r="E147" s="346">
        <f>IF(売分析!E147&lt;&gt;"",売分析!E147,"")</f>
        <v/>
      </c>
      <c r="F147" s="346">
        <f>IF(売分析!F147&lt;&gt;"",売分析!F147,"")</f>
        <v/>
      </c>
      <c r="G147" s="346">
        <f>IF(売分析!H147&lt;&gt;"",売分析!H147,"")</f>
        <v/>
      </c>
      <c r="H147" s="346">
        <f>IF(売分析!I147&lt;&gt;"",売分析!I147,"")</f>
        <v/>
      </c>
      <c r="I147" s="345">
        <f>IF(売分析!J147&lt;&gt;"",売分析!J147,"")</f>
        <v/>
      </c>
      <c r="J147" s="346">
        <f>IF(売分析!AB147&lt;&gt;"",売分析!AB147,"")</f>
        <v/>
      </c>
      <c r="K147" s="346">
        <f>IF(売分析!AC147&lt;&gt;"",売分析!AC147,"")</f>
        <v/>
      </c>
      <c r="L147" s="346">
        <f>IF(売分析!K147&lt;&gt;"",売分析!K147,"")</f>
        <v/>
      </c>
      <c r="M147" s="345">
        <f>IF(売分析!P147&lt;&gt;"",売分析!P147,"")</f>
        <v/>
      </c>
      <c r="N147" s="620">
        <f>IF(売分析!O147&lt;&gt;"",売分析!O147,"")</f>
        <v/>
      </c>
      <c r="O147" s="350">
        <f>IF(売分析!X147&lt;&gt;"",売分析!X147,"")</f>
        <v/>
      </c>
      <c r="P147" s="619">
        <f>IF(売分析!L147&lt;&gt;"",売分析!L147,"")</f>
        <v/>
      </c>
      <c r="Q147" s="346">
        <f>IF(売分析!S147&lt;&gt;"",売分析!S147,"")</f>
        <v/>
      </c>
      <c r="R147" s="346">
        <f>IF(売分析!R147&lt;&gt;"",売分析!R147,"")</f>
        <v/>
      </c>
      <c r="S147" s="345">
        <f>IF(売分析!AA147&lt;&gt;"",売分析!AA147,"")</f>
        <v/>
      </c>
      <c r="T147" s="622">
        <f>IF(売分析!Z147&lt;&gt;"",売分析!Z147,"")</f>
        <v/>
      </c>
      <c r="U147" s="345">
        <f>IF(売分析!V147&lt;&gt;"",売分析!V147,"")</f>
        <v/>
      </c>
      <c r="V147" s="621">
        <f>IF(売分析!W147&lt;&gt;"",売分析!W147,"")</f>
        <v/>
      </c>
      <c r="W147" s="345">
        <f>IF(売分析!AD147&lt;&gt;"",売分析!AD147,"")</f>
        <v/>
      </c>
      <c r="X147" s="345">
        <f>IF(売分析!AE147&lt;&gt;"",売分析!AE147,"")</f>
        <v/>
      </c>
      <c r="Y147" s="410">
        <f>IF(売分析!T147&lt;&gt;"",売分析!T147,"")</f>
        <v/>
      </c>
      <c r="Z147" s="345">
        <f>IF(売分析!Y147&lt;&gt;"",売分析!Y147,"")</f>
        <v/>
      </c>
    </row>
    <row r="148">
      <c r="A148" s="225">
        <f>IF(売分析!C148&lt;&gt;"",ROW()-2,"")</f>
        <v/>
      </c>
      <c r="B148" s="352">
        <f>IF(売分析!C148&lt;&gt;"",HYPERLINK("https://kabutan.jp/stock/?code="&amp;売分析!C148,"株探"),"")</f>
        <v/>
      </c>
      <c r="C148" s="631">
        <f>IF(売分析!C148&lt;&gt;"",売分析!C148,"")</f>
        <v/>
      </c>
      <c r="D148" s="225">
        <f>IF(売分析!D148&lt;&gt;"",売分析!D148,"")</f>
        <v/>
      </c>
      <c r="E148" s="353">
        <f>IF(売分析!E148&lt;&gt;"",売分析!E148,"")</f>
        <v/>
      </c>
      <c r="F148" s="353">
        <f>IF(売分析!F148&lt;&gt;"",売分析!F148,"")</f>
        <v/>
      </c>
      <c r="G148" s="353">
        <f>IF(売分析!H148&lt;&gt;"",売分析!H148,"")</f>
        <v/>
      </c>
      <c r="H148" s="353">
        <f>IF(売分析!I148&lt;&gt;"",売分析!I148,"")</f>
        <v/>
      </c>
      <c r="I148" s="225">
        <f>IF(売分析!J148&lt;&gt;"",売分析!J148,"")</f>
        <v/>
      </c>
      <c r="J148" s="353">
        <f>IF(売分析!AB148&lt;&gt;"",売分析!AB148,"")</f>
        <v/>
      </c>
      <c r="K148" s="353">
        <f>IF(売分析!AC148&lt;&gt;"",売分析!AC148,"")</f>
        <v/>
      </c>
      <c r="L148" s="353">
        <f>IF(売分析!K148&lt;&gt;"",売分析!K148,"")</f>
        <v/>
      </c>
      <c r="M148" s="225">
        <f>IF(売分析!P148&lt;&gt;"",売分析!P148,"")</f>
        <v/>
      </c>
      <c r="N148" s="627">
        <f>IF(売分析!O148&lt;&gt;"",売分析!O148,"")</f>
        <v/>
      </c>
      <c r="O148" s="357">
        <f>IF(売分析!X148&lt;&gt;"",売分析!X148,"")</f>
        <v/>
      </c>
      <c r="P148" s="626">
        <f>IF(売分析!L148&lt;&gt;"",売分析!L148,"")</f>
        <v/>
      </c>
      <c r="Q148" s="353">
        <f>IF(売分析!S148&lt;&gt;"",売分析!S148,"")</f>
        <v/>
      </c>
      <c r="R148" s="353">
        <f>IF(売分析!R148&lt;&gt;"",売分析!R148,"")</f>
        <v/>
      </c>
      <c r="S148" s="225">
        <f>IF(売分析!AA148&lt;&gt;"",売分析!AA148,"")</f>
        <v/>
      </c>
      <c r="T148" s="629">
        <f>IF(売分析!Z148&lt;&gt;"",売分析!Z148,"")</f>
        <v/>
      </c>
      <c r="U148" s="225">
        <f>IF(売分析!V148&lt;&gt;"",売分析!V148,"")</f>
        <v/>
      </c>
      <c r="V148" s="628">
        <f>IF(売分析!W148&lt;&gt;"",売分析!W148,"")</f>
        <v/>
      </c>
      <c r="W148" s="225">
        <f>IF(売分析!AD148&lt;&gt;"",売分析!AD148,"")</f>
        <v/>
      </c>
      <c r="X148" s="225">
        <f>IF(売分析!AE148&lt;&gt;"",売分析!AE148,"")</f>
        <v/>
      </c>
      <c r="Y148" s="411">
        <f>IF(売分析!T148&lt;&gt;"",売分析!T148,"")</f>
        <v/>
      </c>
      <c r="Z148" s="225">
        <f>IF(売分析!Y148&lt;&gt;"",売分析!Y148,"")</f>
        <v/>
      </c>
    </row>
    <row r="149">
      <c r="A149" s="345">
        <f>IF(売分析!C149&lt;&gt;"",ROW()-2,"")</f>
        <v/>
      </c>
      <c r="B149" s="344">
        <f>IF(売分析!C149&lt;&gt;"",HYPERLINK("https://kabutan.jp/stock/?code="&amp;売分析!C149,"株探"),"")</f>
        <v/>
      </c>
      <c r="C149" s="630">
        <f>IF(売分析!C149&lt;&gt;"",売分析!C149,"")</f>
        <v/>
      </c>
      <c r="D149" s="345">
        <f>IF(売分析!D149&lt;&gt;"",売分析!D149,"")</f>
        <v/>
      </c>
      <c r="E149" s="346">
        <f>IF(売分析!E149&lt;&gt;"",売分析!E149,"")</f>
        <v/>
      </c>
      <c r="F149" s="346">
        <f>IF(売分析!F149&lt;&gt;"",売分析!F149,"")</f>
        <v/>
      </c>
      <c r="G149" s="346">
        <f>IF(売分析!H149&lt;&gt;"",売分析!H149,"")</f>
        <v/>
      </c>
      <c r="H149" s="346">
        <f>IF(売分析!I149&lt;&gt;"",売分析!I149,"")</f>
        <v/>
      </c>
      <c r="I149" s="345">
        <f>IF(売分析!J149&lt;&gt;"",売分析!J149,"")</f>
        <v/>
      </c>
      <c r="J149" s="346">
        <f>IF(売分析!AB149&lt;&gt;"",売分析!AB149,"")</f>
        <v/>
      </c>
      <c r="K149" s="346">
        <f>IF(売分析!AC149&lt;&gt;"",売分析!AC149,"")</f>
        <v/>
      </c>
      <c r="L149" s="346">
        <f>IF(売分析!K149&lt;&gt;"",売分析!K149,"")</f>
        <v/>
      </c>
      <c r="M149" s="345">
        <f>IF(売分析!P149&lt;&gt;"",売分析!P149,"")</f>
        <v/>
      </c>
      <c r="N149" s="620">
        <f>IF(売分析!O149&lt;&gt;"",売分析!O149,"")</f>
        <v/>
      </c>
      <c r="O149" s="350">
        <f>IF(売分析!X149&lt;&gt;"",売分析!X149,"")</f>
        <v/>
      </c>
      <c r="P149" s="619">
        <f>IF(売分析!L149&lt;&gt;"",売分析!L149,"")</f>
        <v/>
      </c>
      <c r="Q149" s="346">
        <f>IF(売分析!S149&lt;&gt;"",売分析!S149,"")</f>
        <v/>
      </c>
      <c r="R149" s="346">
        <f>IF(売分析!R149&lt;&gt;"",売分析!R149,"")</f>
        <v/>
      </c>
      <c r="S149" s="345">
        <f>IF(売分析!AA149&lt;&gt;"",売分析!AA149,"")</f>
        <v/>
      </c>
      <c r="T149" s="622">
        <f>IF(売分析!Z149&lt;&gt;"",売分析!Z149,"")</f>
        <v/>
      </c>
      <c r="U149" s="345">
        <f>IF(売分析!V149&lt;&gt;"",売分析!V149,"")</f>
        <v/>
      </c>
      <c r="V149" s="621">
        <f>IF(売分析!W149&lt;&gt;"",売分析!W149,"")</f>
        <v/>
      </c>
      <c r="W149" s="345">
        <f>IF(売分析!AD149&lt;&gt;"",売分析!AD149,"")</f>
        <v/>
      </c>
      <c r="X149" s="345">
        <f>IF(売分析!AE149&lt;&gt;"",売分析!AE149,"")</f>
        <v/>
      </c>
      <c r="Y149" s="410">
        <f>IF(売分析!T149&lt;&gt;"",売分析!T149,"")</f>
        <v/>
      </c>
      <c r="Z149" s="345">
        <f>IF(売分析!Y149&lt;&gt;"",売分析!Y149,"")</f>
        <v/>
      </c>
    </row>
    <row r="150">
      <c r="A150" s="225">
        <f>IF(売分析!C150&lt;&gt;"",ROW()-2,"")</f>
        <v/>
      </c>
      <c r="B150" s="352">
        <f>IF(売分析!C150&lt;&gt;"",HYPERLINK("https://kabutan.jp/stock/?code="&amp;売分析!C150,"株探"),"")</f>
        <v/>
      </c>
      <c r="C150" s="631">
        <f>IF(売分析!C150&lt;&gt;"",売分析!C150,"")</f>
        <v/>
      </c>
      <c r="D150" s="225">
        <f>IF(売分析!D150&lt;&gt;"",売分析!D150,"")</f>
        <v/>
      </c>
      <c r="E150" s="353">
        <f>IF(売分析!E150&lt;&gt;"",売分析!E150,"")</f>
        <v/>
      </c>
      <c r="F150" s="353">
        <f>IF(売分析!F150&lt;&gt;"",売分析!F150,"")</f>
        <v/>
      </c>
      <c r="G150" s="353">
        <f>IF(売分析!H150&lt;&gt;"",売分析!H150,"")</f>
        <v/>
      </c>
      <c r="H150" s="353">
        <f>IF(売分析!I150&lt;&gt;"",売分析!I150,"")</f>
        <v/>
      </c>
      <c r="I150" s="225">
        <f>IF(売分析!J150&lt;&gt;"",売分析!J150,"")</f>
        <v/>
      </c>
      <c r="J150" s="353">
        <f>IF(売分析!AB150&lt;&gt;"",売分析!AB150,"")</f>
        <v/>
      </c>
      <c r="K150" s="353">
        <f>IF(売分析!AC150&lt;&gt;"",売分析!AC150,"")</f>
        <v/>
      </c>
      <c r="L150" s="353">
        <f>IF(売分析!K150&lt;&gt;"",売分析!K150,"")</f>
        <v/>
      </c>
      <c r="M150" s="225">
        <f>IF(売分析!P150&lt;&gt;"",売分析!P150,"")</f>
        <v/>
      </c>
      <c r="N150" s="627">
        <f>IF(売分析!O150&lt;&gt;"",売分析!O150,"")</f>
        <v/>
      </c>
      <c r="O150" s="357">
        <f>IF(売分析!X150&lt;&gt;"",売分析!X150,"")</f>
        <v/>
      </c>
      <c r="P150" s="626">
        <f>IF(売分析!L150&lt;&gt;"",売分析!L150,"")</f>
        <v/>
      </c>
      <c r="Q150" s="353">
        <f>IF(売分析!S150&lt;&gt;"",売分析!S150,"")</f>
        <v/>
      </c>
      <c r="R150" s="353">
        <f>IF(売分析!R150&lt;&gt;"",売分析!R150,"")</f>
        <v/>
      </c>
      <c r="S150" s="225">
        <f>IF(売分析!AA150&lt;&gt;"",売分析!AA150,"")</f>
        <v/>
      </c>
      <c r="T150" s="629">
        <f>IF(売分析!Z150&lt;&gt;"",売分析!Z150,"")</f>
        <v/>
      </c>
      <c r="U150" s="225">
        <f>IF(売分析!V150&lt;&gt;"",売分析!V150,"")</f>
        <v/>
      </c>
      <c r="V150" s="628">
        <f>IF(売分析!W150&lt;&gt;"",売分析!W150,"")</f>
        <v/>
      </c>
      <c r="W150" s="225">
        <f>IF(売分析!AD150&lt;&gt;"",売分析!AD150,"")</f>
        <v/>
      </c>
      <c r="X150" s="225">
        <f>IF(売分析!AE150&lt;&gt;"",売分析!AE150,"")</f>
        <v/>
      </c>
      <c r="Y150" s="411">
        <f>IF(売分析!T150&lt;&gt;"",売分析!T150,"")</f>
        <v/>
      </c>
      <c r="Z150" s="225">
        <f>IF(売分析!Y150&lt;&gt;"",売分析!Y150,"")</f>
        <v/>
      </c>
    </row>
    <row r="151">
      <c r="A151" s="345">
        <f>IF(売分析!C151&lt;&gt;"",ROW()-2,"")</f>
        <v/>
      </c>
      <c r="B151" s="344">
        <f>IF(売分析!C151&lt;&gt;"",HYPERLINK("https://kabutan.jp/stock/?code="&amp;売分析!C151,"株探"),"")</f>
        <v/>
      </c>
      <c r="C151" s="630">
        <f>IF(売分析!C151&lt;&gt;"",売分析!C151,"")</f>
        <v/>
      </c>
      <c r="D151" s="345">
        <f>IF(売分析!D151&lt;&gt;"",売分析!D151,"")</f>
        <v/>
      </c>
      <c r="E151" s="346">
        <f>IF(売分析!E151&lt;&gt;"",売分析!E151,"")</f>
        <v/>
      </c>
      <c r="F151" s="346">
        <f>IF(売分析!F151&lt;&gt;"",売分析!F151,"")</f>
        <v/>
      </c>
      <c r="G151" s="346">
        <f>IF(売分析!H151&lt;&gt;"",売分析!H151,"")</f>
        <v/>
      </c>
      <c r="H151" s="346">
        <f>IF(売分析!I151&lt;&gt;"",売分析!I151,"")</f>
        <v/>
      </c>
      <c r="I151" s="345">
        <f>IF(売分析!J151&lt;&gt;"",売分析!J151,"")</f>
        <v/>
      </c>
      <c r="J151" s="346">
        <f>IF(売分析!AB151&lt;&gt;"",売分析!AB151,"")</f>
        <v/>
      </c>
      <c r="K151" s="346">
        <f>IF(売分析!AC151&lt;&gt;"",売分析!AC151,"")</f>
        <v/>
      </c>
      <c r="L151" s="346">
        <f>IF(売分析!K151&lt;&gt;"",売分析!K151,"")</f>
        <v/>
      </c>
      <c r="M151" s="345">
        <f>IF(売分析!P151&lt;&gt;"",売分析!P151,"")</f>
        <v/>
      </c>
      <c r="N151" s="620">
        <f>IF(売分析!O151&lt;&gt;"",売分析!O151,"")</f>
        <v/>
      </c>
      <c r="O151" s="350">
        <f>IF(売分析!X151&lt;&gt;"",売分析!X151,"")</f>
        <v/>
      </c>
      <c r="P151" s="619">
        <f>IF(売分析!L151&lt;&gt;"",売分析!L151,"")</f>
        <v/>
      </c>
      <c r="Q151" s="346">
        <f>IF(売分析!S151&lt;&gt;"",売分析!S151,"")</f>
        <v/>
      </c>
      <c r="R151" s="346">
        <f>IF(売分析!R151&lt;&gt;"",売分析!R151,"")</f>
        <v/>
      </c>
      <c r="S151" s="345">
        <f>IF(売分析!AA151&lt;&gt;"",売分析!AA151,"")</f>
        <v/>
      </c>
      <c r="T151" s="622">
        <f>IF(売分析!Z151&lt;&gt;"",売分析!Z151,"")</f>
        <v/>
      </c>
      <c r="U151" s="345">
        <f>IF(売分析!V151&lt;&gt;"",売分析!V151,"")</f>
        <v/>
      </c>
      <c r="V151" s="621">
        <f>IF(売分析!W151&lt;&gt;"",売分析!W151,"")</f>
        <v/>
      </c>
      <c r="W151" s="345">
        <f>IF(売分析!AD151&lt;&gt;"",売分析!AD151,"")</f>
        <v/>
      </c>
      <c r="X151" s="345">
        <f>IF(売分析!AE151&lt;&gt;"",売分析!AE151,"")</f>
        <v/>
      </c>
      <c r="Y151" s="410">
        <f>IF(売分析!T151&lt;&gt;"",売分析!T151,"")</f>
        <v/>
      </c>
      <c r="Z151" s="345">
        <f>IF(売分析!Y151&lt;&gt;"",売分析!Y151,"")</f>
        <v/>
      </c>
    </row>
    <row r="152">
      <c r="A152" s="225">
        <f>IF(売分析!C152&lt;&gt;"",ROW()-2,"")</f>
        <v/>
      </c>
      <c r="B152" s="352">
        <f>IF(売分析!C152&lt;&gt;"",HYPERLINK("https://kabutan.jp/stock/?code="&amp;売分析!C152,"株探"),"")</f>
        <v/>
      </c>
      <c r="C152" s="631">
        <f>IF(売分析!C152&lt;&gt;"",売分析!C152,"")</f>
        <v/>
      </c>
      <c r="D152" s="225">
        <f>IF(売分析!D152&lt;&gt;"",売分析!D152,"")</f>
        <v/>
      </c>
      <c r="E152" s="353">
        <f>IF(売分析!E152&lt;&gt;"",売分析!E152,"")</f>
        <v/>
      </c>
      <c r="F152" s="353">
        <f>IF(売分析!F152&lt;&gt;"",売分析!F152,"")</f>
        <v/>
      </c>
      <c r="G152" s="353">
        <f>IF(売分析!H152&lt;&gt;"",売分析!H152,"")</f>
        <v/>
      </c>
      <c r="H152" s="353">
        <f>IF(売分析!I152&lt;&gt;"",売分析!I152,"")</f>
        <v/>
      </c>
      <c r="I152" s="225">
        <f>IF(売分析!J152&lt;&gt;"",売分析!J152,"")</f>
        <v/>
      </c>
      <c r="J152" s="353">
        <f>IF(売分析!AB152&lt;&gt;"",売分析!AB152,"")</f>
        <v/>
      </c>
      <c r="K152" s="353">
        <f>IF(売分析!AC152&lt;&gt;"",売分析!AC152,"")</f>
        <v/>
      </c>
      <c r="L152" s="353">
        <f>IF(売分析!K152&lt;&gt;"",売分析!K152,"")</f>
        <v/>
      </c>
      <c r="M152" s="225">
        <f>IF(売分析!P152&lt;&gt;"",売分析!P152,"")</f>
        <v/>
      </c>
      <c r="N152" s="627">
        <f>IF(売分析!O152&lt;&gt;"",売分析!O152,"")</f>
        <v/>
      </c>
      <c r="O152" s="357">
        <f>IF(売分析!X152&lt;&gt;"",売分析!X152,"")</f>
        <v/>
      </c>
      <c r="P152" s="626">
        <f>IF(売分析!L152&lt;&gt;"",売分析!L152,"")</f>
        <v/>
      </c>
      <c r="Q152" s="353">
        <f>IF(売分析!S152&lt;&gt;"",売分析!S152,"")</f>
        <v/>
      </c>
      <c r="R152" s="353">
        <f>IF(売分析!R152&lt;&gt;"",売分析!R152,"")</f>
        <v/>
      </c>
      <c r="S152" s="225">
        <f>IF(売分析!AA152&lt;&gt;"",売分析!AA152,"")</f>
        <v/>
      </c>
      <c r="T152" s="629">
        <f>IF(売分析!Z152&lt;&gt;"",売分析!Z152,"")</f>
        <v/>
      </c>
      <c r="U152" s="225">
        <f>IF(売分析!V152&lt;&gt;"",売分析!V152,"")</f>
        <v/>
      </c>
      <c r="V152" s="628">
        <f>IF(売分析!W152&lt;&gt;"",売分析!W152,"")</f>
        <v/>
      </c>
      <c r="W152" s="225">
        <f>IF(売分析!AD152&lt;&gt;"",売分析!AD152,"")</f>
        <v/>
      </c>
      <c r="X152" s="225">
        <f>IF(売分析!AE152&lt;&gt;"",売分析!AE152,"")</f>
        <v/>
      </c>
      <c r="Y152" s="411">
        <f>IF(売分析!T152&lt;&gt;"",売分析!T152,"")</f>
        <v/>
      </c>
      <c r="Z152" s="225">
        <f>IF(売分析!Y152&lt;&gt;"",売分析!Y152,"")</f>
        <v/>
      </c>
    </row>
    <row r="153">
      <c r="A153" s="345">
        <f>IF(売分析!C153&lt;&gt;"",ROW()-2,"")</f>
        <v/>
      </c>
      <c r="B153" s="344">
        <f>IF(売分析!C153&lt;&gt;"",HYPERLINK("https://kabutan.jp/stock/?code="&amp;売分析!C153,"株探"),"")</f>
        <v/>
      </c>
      <c r="C153" s="630">
        <f>IF(売分析!C153&lt;&gt;"",売分析!C153,"")</f>
        <v/>
      </c>
      <c r="D153" s="345">
        <f>IF(売分析!D153&lt;&gt;"",売分析!D153,"")</f>
        <v/>
      </c>
      <c r="E153" s="346">
        <f>IF(売分析!E153&lt;&gt;"",売分析!E153,"")</f>
        <v/>
      </c>
      <c r="F153" s="346">
        <f>IF(売分析!F153&lt;&gt;"",売分析!F153,"")</f>
        <v/>
      </c>
      <c r="G153" s="346">
        <f>IF(売分析!H153&lt;&gt;"",売分析!H153,"")</f>
        <v/>
      </c>
      <c r="H153" s="346">
        <f>IF(売分析!I153&lt;&gt;"",売分析!I153,"")</f>
        <v/>
      </c>
      <c r="I153" s="345">
        <f>IF(売分析!J153&lt;&gt;"",売分析!J153,"")</f>
        <v/>
      </c>
      <c r="J153" s="346">
        <f>IF(売分析!AB153&lt;&gt;"",売分析!AB153,"")</f>
        <v/>
      </c>
      <c r="K153" s="346">
        <f>IF(売分析!AC153&lt;&gt;"",売分析!AC153,"")</f>
        <v/>
      </c>
      <c r="L153" s="346">
        <f>IF(売分析!K153&lt;&gt;"",売分析!K153,"")</f>
        <v/>
      </c>
      <c r="M153" s="345">
        <f>IF(売分析!P153&lt;&gt;"",売分析!P153,"")</f>
        <v/>
      </c>
      <c r="N153" s="620">
        <f>IF(売分析!O153&lt;&gt;"",売分析!O153,"")</f>
        <v/>
      </c>
      <c r="O153" s="350">
        <f>IF(売分析!X153&lt;&gt;"",売分析!X153,"")</f>
        <v/>
      </c>
      <c r="P153" s="619">
        <f>IF(売分析!L153&lt;&gt;"",売分析!L153,"")</f>
        <v/>
      </c>
      <c r="Q153" s="346">
        <f>IF(売分析!S153&lt;&gt;"",売分析!S153,"")</f>
        <v/>
      </c>
      <c r="R153" s="346">
        <f>IF(売分析!R153&lt;&gt;"",売分析!R153,"")</f>
        <v/>
      </c>
      <c r="S153" s="345">
        <f>IF(売分析!AA153&lt;&gt;"",売分析!AA153,"")</f>
        <v/>
      </c>
      <c r="T153" s="622">
        <f>IF(売分析!Z153&lt;&gt;"",売分析!Z153,"")</f>
        <v/>
      </c>
      <c r="U153" s="345">
        <f>IF(売分析!V153&lt;&gt;"",売分析!V153,"")</f>
        <v/>
      </c>
      <c r="V153" s="621">
        <f>IF(売分析!W153&lt;&gt;"",売分析!W153,"")</f>
        <v/>
      </c>
      <c r="W153" s="345">
        <f>IF(売分析!AD153&lt;&gt;"",売分析!AD153,"")</f>
        <v/>
      </c>
      <c r="X153" s="345">
        <f>IF(売分析!AE153&lt;&gt;"",売分析!AE153,"")</f>
        <v/>
      </c>
      <c r="Y153" s="410">
        <f>IF(売分析!T153&lt;&gt;"",売分析!T153,"")</f>
        <v/>
      </c>
      <c r="Z153" s="345">
        <f>IF(売分析!Y153&lt;&gt;"",売分析!Y153,"")</f>
        <v/>
      </c>
    </row>
    <row r="154">
      <c r="A154" s="225">
        <f>IF(売分析!C154&lt;&gt;"",ROW()-2,"")</f>
        <v/>
      </c>
      <c r="B154" s="352">
        <f>IF(売分析!C154&lt;&gt;"",HYPERLINK("https://kabutan.jp/stock/?code="&amp;売分析!C154,"株探"),"")</f>
        <v/>
      </c>
      <c r="C154" s="631">
        <f>IF(売分析!C154&lt;&gt;"",売分析!C154,"")</f>
        <v/>
      </c>
      <c r="D154" s="225">
        <f>IF(売分析!D154&lt;&gt;"",売分析!D154,"")</f>
        <v/>
      </c>
      <c r="E154" s="353">
        <f>IF(売分析!E154&lt;&gt;"",売分析!E154,"")</f>
        <v/>
      </c>
      <c r="F154" s="353">
        <f>IF(売分析!F154&lt;&gt;"",売分析!F154,"")</f>
        <v/>
      </c>
      <c r="G154" s="353">
        <f>IF(売分析!H154&lt;&gt;"",売分析!H154,"")</f>
        <v/>
      </c>
      <c r="H154" s="353">
        <f>IF(売分析!I154&lt;&gt;"",売分析!I154,"")</f>
        <v/>
      </c>
      <c r="I154" s="225">
        <f>IF(売分析!J154&lt;&gt;"",売分析!J154,"")</f>
        <v/>
      </c>
      <c r="J154" s="353">
        <f>IF(売分析!AB154&lt;&gt;"",売分析!AB154,"")</f>
        <v/>
      </c>
      <c r="K154" s="353">
        <f>IF(売分析!AC154&lt;&gt;"",売分析!AC154,"")</f>
        <v/>
      </c>
      <c r="L154" s="353">
        <f>IF(売分析!K154&lt;&gt;"",売分析!K154,"")</f>
        <v/>
      </c>
      <c r="M154" s="225">
        <f>IF(売分析!P154&lt;&gt;"",売分析!P154,"")</f>
        <v/>
      </c>
      <c r="N154" s="627">
        <f>IF(売分析!O154&lt;&gt;"",売分析!O154,"")</f>
        <v/>
      </c>
      <c r="O154" s="357">
        <f>IF(売分析!X154&lt;&gt;"",売分析!X154,"")</f>
        <v/>
      </c>
      <c r="P154" s="626">
        <f>IF(売分析!L154&lt;&gt;"",売分析!L154,"")</f>
        <v/>
      </c>
      <c r="Q154" s="353">
        <f>IF(売分析!S154&lt;&gt;"",売分析!S154,"")</f>
        <v/>
      </c>
      <c r="R154" s="353">
        <f>IF(売分析!R154&lt;&gt;"",売分析!R154,"")</f>
        <v/>
      </c>
      <c r="S154" s="225">
        <f>IF(売分析!AA154&lt;&gt;"",売分析!AA154,"")</f>
        <v/>
      </c>
      <c r="T154" s="629">
        <f>IF(売分析!Z154&lt;&gt;"",売分析!Z154,"")</f>
        <v/>
      </c>
      <c r="U154" s="225">
        <f>IF(売分析!V154&lt;&gt;"",売分析!V154,"")</f>
        <v/>
      </c>
      <c r="V154" s="628">
        <f>IF(売分析!W154&lt;&gt;"",売分析!W154,"")</f>
        <v/>
      </c>
      <c r="W154" s="225">
        <f>IF(売分析!AD154&lt;&gt;"",売分析!AD154,"")</f>
        <v/>
      </c>
      <c r="X154" s="225">
        <f>IF(売分析!AE154&lt;&gt;"",売分析!AE154,"")</f>
        <v/>
      </c>
      <c r="Y154" s="411">
        <f>IF(売分析!T154&lt;&gt;"",売分析!T154,"")</f>
        <v/>
      </c>
      <c r="Z154" s="225">
        <f>IF(売分析!Y154&lt;&gt;"",売分析!Y154,"")</f>
        <v/>
      </c>
    </row>
    <row r="155">
      <c r="A155" s="345">
        <f>IF(売分析!C155&lt;&gt;"",ROW()-2,"")</f>
        <v/>
      </c>
      <c r="B155" s="344">
        <f>IF(売分析!C155&lt;&gt;"",HYPERLINK("https://kabutan.jp/stock/?code="&amp;売分析!C155,"株探"),"")</f>
        <v/>
      </c>
      <c r="C155" s="630">
        <f>IF(売分析!C155&lt;&gt;"",売分析!C155,"")</f>
        <v/>
      </c>
      <c r="D155" s="345">
        <f>IF(売分析!D155&lt;&gt;"",売分析!D155,"")</f>
        <v/>
      </c>
      <c r="E155" s="346">
        <f>IF(売分析!E155&lt;&gt;"",売分析!E155,"")</f>
        <v/>
      </c>
      <c r="F155" s="346">
        <f>IF(売分析!F155&lt;&gt;"",売分析!F155,"")</f>
        <v/>
      </c>
      <c r="G155" s="346">
        <f>IF(売分析!H155&lt;&gt;"",売分析!H155,"")</f>
        <v/>
      </c>
      <c r="H155" s="346">
        <f>IF(売分析!I155&lt;&gt;"",売分析!I155,"")</f>
        <v/>
      </c>
      <c r="I155" s="345">
        <f>IF(売分析!J155&lt;&gt;"",売分析!J155,"")</f>
        <v/>
      </c>
      <c r="J155" s="346">
        <f>IF(売分析!AB155&lt;&gt;"",売分析!AB155,"")</f>
        <v/>
      </c>
      <c r="K155" s="346">
        <f>IF(売分析!AC155&lt;&gt;"",売分析!AC155,"")</f>
        <v/>
      </c>
      <c r="L155" s="346">
        <f>IF(売分析!K155&lt;&gt;"",売分析!K155,"")</f>
        <v/>
      </c>
      <c r="M155" s="345">
        <f>IF(売分析!P155&lt;&gt;"",売分析!P155,"")</f>
        <v/>
      </c>
      <c r="N155" s="620">
        <f>IF(売分析!O155&lt;&gt;"",売分析!O155,"")</f>
        <v/>
      </c>
      <c r="O155" s="350">
        <f>IF(売分析!X155&lt;&gt;"",売分析!X155,"")</f>
        <v/>
      </c>
      <c r="P155" s="619">
        <f>IF(売分析!L155&lt;&gt;"",売分析!L155,"")</f>
        <v/>
      </c>
      <c r="Q155" s="346">
        <f>IF(売分析!S155&lt;&gt;"",売分析!S155,"")</f>
        <v/>
      </c>
      <c r="R155" s="346">
        <f>IF(売分析!R155&lt;&gt;"",売分析!R155,"")</f>
        <v/>
      </c>
      <c r="S155" s="345">
        <f>IF(売分析!AA155&lt;&gt;"",売分析!AA155,"")</f>
        <v/>
      </c>
      <c r="T155" s="622">
        <f>IF(売分析!Z155&lt;&gt;"",売分析!Z155,"")</f>
        <v/>
      </c>
      <c r="U155" s="345">
        <f>IF(売分析!V155&lt;&gt;"",売分析!V155,"")</f>
        <v/>
      </c>
      <c r="V155" s="621">
        <f>IF(売分析!W155&lt;&gt;"",売分析!W155,"")</f>
        <v/>
      </c>
      <c r="W155" s="345">
        <f>IF(売分析!AD155&lt;&gt;"",売分析!AD155,"")</f>
        <v/>
      </c>
      <c r="X155" s="345">
        <f>IF(売分析!AE155&lt;&gt;"",売分析!AE155,"")</f>
        <v/>
      </c>
      <c r="Y155" s="410">
        <f>IF(売分析!T155&lt;&gt;"",売分析!T155,"")</f>
        <v/>
      </c>
      <c r="Z155" s="345">
        <f>IF(売分析!Y155&lt;&gt;"",売分析!Y155,"")</f>
        <v/>
      </c>
    </row>
    <row r="156">
      <c r="A156" s="225">
        <f>IF(売分析!C156&lt;&gt;"",ROW()-2,"")</f>
        <v/>
      </c>
      <c r="B156" s="352">
        <f>IF(売分析!C156&lt;&gt;"",HYPERLINK("https://kabutan.jp/stock/?code="&amp;売分析!C156,"株探"),"")</f>
        <v/>
      </c>
      <c r="C156" s="631">
        <f>IF(売分析!C156&lt;&gt;"",売分析!C156,"")</f>
        <v/>
      </c>
      <c r="D156" s="225">
        <f>IF(売分析!D156&lt;&gt;"",売分析!D156,"")</f>
        <v/>
      </c>
      <c r="E156" s="353">
        <f>IF(売分析!E156&lt;&gt;"",売分析!E156,"")</f>
        <v/>
      </c>
      <c r="F156" s="353">
        <f>IF(売分析!F156&lt;&gt;"",売分析!F156,"")</f>
        <v/>
      </c>
      <c r="G156" s="353">
        <f>IF(売分析!H156&lt;&gt;"",売分析!H156,"")</f>
        <v/>
      </c>
      <c r="H156" s="353">
        <f>IF(売分析!I156&lt;&gt;"",売分析!I156,"")</f>
        <v/>
      </c>
      <c r="I156" s="225">
        <f>IF(売分析!J156&lt;&gt;"",売分析!J156,"")</f>
        <v/>
      </c>
      <c r="J156" s="353">
        <f>IF(売分析!AB156&lt;&gt;"",売分析!AB156,"")</f>
        <v/>
      </c>
      <c r="K156" s="353">
        <f>IF(売分析!AC156&lt;&gt;"",売分析!AC156,"")</f>
        <v/>
      </c>
      <c r="L156" s="353">
        <f>IF(売分析!K156&lt;&gt;"",売分析!K156,"")</f>
        <v/>
      </c>
      <c r="M156" s="225">
        <f>IF(売分析!P156&lt;&gt;"",売分析!P156,"")</f>
        <v/>
      </c>
      <c r="N156" s="627">
        <f>IF(売分析!O156&lt;&gt;"",売分析!O156,"")</f>
        <v/>
      </c>
      <c r="O156" s="357">
        <f>IF(売分析!X156&lt;&gt;"",売分析!X156,"")</f>
        <v/>
      </c>
      <c r="P156" s="626">
        <f>IF(売分析!L156&lt;&gt;"",売分析!L156,"")</f>
        <v/>
      </c>
      <c r="Q156" s="353">
        <f>IF(売分析!S156&lt;&gt;"",売分析!S156,"")</f>
        <v/>
      </c>
      <c r="R156" s="353">
        <f>IF(売分析!R156&lt;&gt;"",売分析!R156,"")</f>
        <v/>
      </c>
      <c r="S156" s="225">
        <f>IF(売分析!AA156&lt;&gt;"",売分析!AA156,"")</f>
        <v/>
      </c>
      <c r="T156" s="629">
        <f>IF(売分析!Z156&lt;&gt;"",売分析!Z156,"")</f>
        <v/>
      </c>
      <c r="U156" s="225">
        <f>IF(売分析!V156&lt;&gt;"",売分析!V156,"")</f>
        <v/>
      </c>
      <c r="V156" s="628">
        <f>IF(売分析!W156&lt;&gt;"",売分析!W156,"")</f>
        <v/>
      </c>
      <c r="W156" s="225">
        <f>IF(売分析!AD156&lt;&gt;"",売分析!AD156,"")</f>
        <v/>
      </c>
      <c r="X156" s="225">
        <f>IF(売分析!AE156&lt;&gt;"",売分析!AE156,"")</f>
        <v/>
      </c>
      <c r="Y156" s="411">
        <f>IF(売分析!T156&lt;&gt;"",売分析!T156,"")</f>
        <v/>
      </c>
      <c r="Z156" s="225">
        <f>IF(売分析!Y156&lt;&gt;"",売分析!Y156,"")</f>
        <v/>
      </c>
    </row>
    <row r="157">
      <c r="A157" s="345">
        <f>IF(売分析!C157&lt;&gt;"",ROW()-2,"")</f>
        <v/>
      </c>
      <c r="B157" s="344">
        <f>IF(売分析!C157&lt;&gt;"",HYPERLINK("https://kabutan.jp/stock/?code="&amp;売分析!C157,"株探"),"")</f>
        <v/>
      </c>
      <c r="C157" s="630">
        <f>IF(売分析!C157&lt;&gt;"",売分析!C157,"")</f>
        <v/>
      </c>
      <c r="D157" s="345">
        <f>IF(売分析!D157&lt;&gt;"",売分析!D157,"")</f>
        <v/>
      </c>
      <c r="E157" s="346">
        <f>IF(売分析!E157&lt;&gt;"",売分析!E157,"")</f>
        <v/>
      </c>
      <c r="F157" s="346">
        <f>IF(売分析!F157&lt;&gt;"",売分析!F157,"")</f>
        <v/>
      </c>
      <c r="G157" s="346">
        <f>IF(売分析!H157&lt;&gt;"",売分析!H157,"")</f>
        <v/>
      </c>
      <c r="H157" s="346">
        <f>IF(売分析!I157&lt;&gt;"",売分析!I157,"")</f>
        <v/>
      </c>
      <c r="I157" s="345">
        <f>IF(売分析!J157&lt;&gt;"",売分析!J157,"")</f>
        <v/>
      </c>
      <c r="J157" s="346">
        <f>IF(売分析!AB157&lt;&gt;"",売分析!AB157,"")</f>
        <v/>
      </c>
      <c r="K157" s="346">
        <f>IF(売分析!AC157&lt;&gt;"",売分析!AC157,"")</f>
        <v/>
      </c>
      <c r="L157" s="346">
        <f>IF(売分析!K157&lt;&gt;"",売分析!K157,"")</f>
        <v/>
      </c>
      <c r="M157" s="345">
        <f>IF(売分析!P157&lt;&gt;"",売分析!P157,"")</f>
        <v/>
      </c>
      <c r="N157" s="620">
        <f>IF(売分析!O157&lt;&gt;"",売分析!O157,"")</f>
        <v/>
      </c>
      <c r="O157" s="350">
        <f>IF(売分析!X157&lt;&gt;"",売分析!X157,"")</f>
        <v/>
      </c>
      <c r="P157" s="619">
        <f>IF(売分析!L157&lt;&gt;"",売分析!L157,"")</f>
        <v/>
      </c>
      <c r="Q157" s="346">
        <f>IF(売分析!S157&lt;&gt;"",売分析!S157,"")</f>
        <v/>
      </c>
      <c r="R157" s="346">
        <f>IF(売分析!R157&lt;&gt;"",売分析!R157,"")</f>
        <v/>
      </c>
      <c r="S157" s="345">
        <f>IF(売分析!AA157&lt;&gt;"",売分析!AA157,"")</f>
        <v/>
      </c>
      <c r="T157" s="622">
        <f>IF(売分析!Z157&lt;&gt;"",売分析!Z157,"")</f>
        <v/>
      </c>
      <c r="U157" s="345">
        <f>IF(売分析!V157&lt;&gt;"",売分析!V157,"")</f>
        <v/>
      </c>
      <c r="V157" s="621">
        <f>IF(売分析!W157&lt;&gt;"",売分析!W157,"")</f>
        <v/>
      </c>
      <c r="W157" s="345">
        <f>IF(売分析!AD157&lt;&gt;"",売分析!AD157,"")</f>
        <v/>
      </c>
      <c r="X157" s="345">
        <f>IF(売分析!AE157&lt;&gt;"",売分析!AE157,"")</f>
        <v/>
      </c>
      <c r="Y157" s="410">
        <f>IF(売分析!T157&lt;&gt;"",売分析!T157,"")</f>
        <v/>
      </c>
      <c r="Z157" s="345">
        <f>IF(売分析!Y157&lt;&gt;"",売分析!Y157,"")</f>
        <v/>
      </c>
    </row>
    <row r="158">
      <c r="A158" s="225">
        <f>IF(売分析!C158&lt;&gt;"",ROW()-2,"")</f>
        <v/>
      </c>
      <c r="B158" s="352">
        <f>IF(売分析!C158&lt;&gt;"",HYPERLINK("https://kabutan.jp/stock/?code="&amp;売分析!C158,"株探"),"")</f>
        <v/>
      </c>
      <c r="C158" s="631">
        <f>IF(売分析!C158&lt;&gt;"",売分析!C158,"")</f>
        <v/>
      </c>
      <c r="D158" s="225">
        <f>IF(売分析!D158&lt;&gt;"",売分析!D158,"")</f>
        <v/>
      </c>
      <c r="E158" s="353">
        <f>IF(売分析!E158&lt;&gt;"",売分析!E158,"")</f>
        <v/>
      </c>
      <c r="F158" s="353">
        <f>IF(売分析!F158&lt;&gt;"",売分析!F158,"")</f>
        <v/>
      </c>
      <c r="G158" s="353">
        <f>IF(売分析!H158&lt;&gt;"",売分析!H158,"")</f>
        <v/>
      </c>
      <c r="H158" s="353">
        <f>IF(売分析!I158&lt;&gt;"",売分析!I158,"")</f>
        <v/>
      </c>
      <c r="I158" s="225">
        <f>IF(売分析!J158&lt;&gt;"",売分析!J158,"")</f>
        <v/>
      </c>
      <c r="J158" s="353">
        <f>IF(売分析!AB158&lt;&gt;"",売分析!AB158,"")</f>
        <v/>
      </c>
      <c r="K158" s="353">
        <f>IF(売分析!AC158&lt;&gt;"",売分析!AC158,"")</f>
        <v/>
      </c>
      <c r="L158" s="353">
        <f>IF(売分析!K158&lt;&gt;"",売分析!K158,"")</f>
        <v/>
      </c>
      <c r="M158" s="225">
        <f>IF(売分析!P158&lt;&gt;"",売分析!P158,"")</f>
        <v/>
      </c>
      <c r="N158" s="627">
        <f>IF(売分析!O158&lt;&gt;"",売分析!O158,"")</f>
        <v/>
      </c>
      <c r="O158" s="357">
        <f>IF(売分析!X158&lt;&gt;"",売分析!X158,"")</f>
        <v/>
      </c>
      <c r="P158" s="626">
        <f>IF(売分析!L158&lt;&gt;"",売分析!L158,"")</f>
        <v/>
      </c>
      <c r="Q158" s="353">
        <f>IF(売分析!S158&lt;&gt;"",売分析!S158,"")</f>
        <v/>
      </c>
      <c r="R158" s="353">
        <f>IF(売分析!R158&lt;&gt;"",売分析!R158,"")</f>
        <v/>
      </c>
      <c r="S158" s="225">
        <f>IF(売分析!AA158&lt;&gt;"",売分析!AA158,"")</f>
        <v/>
      </c>
      <c r="T158" s="629">
        <f>IF(売分析!Z158&lt;&gt;"",売分析!Z158,"")</f>
        <v/>
      </c>
      <c r="U158" s="225">
        <f>IF(売分析!V158&lt;&gt;"",売分析!V158,"")</f>
        <v/>
      </c>
      <c r="V158" s="628">
        <f>IF(売分析!W158&lt;&gt;"",売分析!W158,"")</f>
        <v/>
      </c>
      <c r="W158" s="225">
        <f>IF(売分析!AD158&lt;&gt;"",売分析!AD158,"")</f>
        <v/>
      </c>
      <c r="X158" s="225">
        <f>IF(売分析!AE158&lt;&gt;"",売分析!AE158,"")</f>
        <v/>
      </c>
      <c r="Y158" s="411">
        <f>IF(売分析!T158&lt;&gt;"",売分析!T158,"")</f>
        <v/>
      </c>
      <c r="Z158" s="225">
        <f>IF(売分析!Y158&lt;&gt;"",売分析!Y158,"")</f>
        <v/>
      </c>
    </row>
    <row r="159">
      <c r="A159" s="345">
        <f>IF(売分析!C159&lt;&gt;"",ROW()-2,"")</f>
        <v/>
      </c>
      <c r="B159" s="344">
        <f>IF(売分析!C159&lt;&gt;"",HYPERLINK("https://kabutan.jp/stock/?code="&amp;売分析!C159,"株探"),"")</f>
        <v/>
      </c>
      <c r="C159" s="630">
        <f>IF(売分析!C159&lt;&gt;"",売分析!C159,"")</f>
        <v/>
      </c>
      <c r="D159" s="345">
        <f>IF(売分析!D159&lt;&gt;"",売分析!D159,"")</f>
        <v/>
      </c>
      <c r="E159" s="346">
        <f>IF(売分析!E159&lt;&gt;"",売分析!E159,"")</f>
        <v/>
      </c>
      <c r="F159" s="346">
        <f>IF(売分析!F159&lt;&gt;"",売分析!F159,"")</f>
        <v/>
      </c>
      <c r="G159" s="346">
        <f>IF(売分析!H159&lt;&gt;"",売分析!H159,"")</f>
        <v/>
      </c>
      <c r="H159" s="346">
        <f>IF(売分析!I159&lt;&gt;"",売分析!I159,"")</f>
        <v/>
      </c>
      <c r="I159" s="345">
        <f>IF(売分析!J159&lt;&gt;"",売分析!J159,"")</f>
        <v/>
      </c>
      <c r="J159" s="346">
        <f>IF(売分析!AB159&lt;&gt;"",売分析!AB159,"")</f>
        <v/>
      </c>
      <c r="K159" s="346">
        <f>IF(売分析!AC159&lt;&gt;"",売分析!AC159,"")</f>
        <v/>
      </c>
      <c r="L159" s="346">
        <f>IF(売分析!K159&lt;&gt;"",売分析!K159,"")</f>
        <v/>
      </c>
      <c r="M159" s="345">
        <f>IF(売分析!P159&lt;&gt;"",売分析!P159,"")</f>
        <v/>
      </c>
      <c r="N159" s="620">
        <f>IF(売分析!O159&lt;&gt;"",売分析!O159,"")</f>
        <v/>
      </c>
      <c r="O159" s="350">
        <f>IF(売分析!X159&lt;&gt;"",売分析!X159,"")</f>
        <v/>
      </c>
      <c r="P159" s="619">
        <f>IF(売分析!L159&lt;&gt;"",売分析!L159,"")</f>
        <v/>
      </c>
      <c r="Q159" s="346">
        <f>IF(売分析!S159&lt;&gt;"",売分析!S159,"")</f>
        <v/>
      </c>
      <c r="R159" s="346">
        <f>IF(売分析!R159&lt;&gt;"",売分析!R159,"")</f>
        <v/>
      </c>
      <c r="S159" s="345">
        <f>IF(売分析!AA159&lt;&gt;"",売分析!AA159,"")</f>
        <v/>
      </c>
      <c r="T159" s="622">
        <f>IF(売分析!Z159&lt;&gt;"",売分析!Z159,"")</f>
        <v/>
      </c>
      <c r="U159" s="345">
        <f>IF(売分析!V159&lt;&gt;"",売分析!V159,"")</f>
        <v/>
      </c>
      <c r="V159" s="621">
        <f>IF(売分析!W159&lt;&gt;"",売分析!W159,"")</f>
        <v/>
      </c>
      <c r="W159" s="345">
        <f>IF(売分析!AD159&lt;&gt;"",売分析!AD159,"")</f>
        <v/>
      </c>
      <c r="X159" s="345">
        <f>IF(売分析!AE159&lt;&gt;"",売分析!AE159,"")</f>
        <v/>
      </c>
      <c r="Y159" s="410">
        <f>IF(売分析!T159&lt;&gt;"",売分析!T159,"")</f>
        <v/>
      </c>
      <c r="Z159" s="345">
        <f>IF(売分析!Y159&lt;&gt;"",売分析!Y159,"")</f>
        <v/>
      </c>
    </row>
    <row r="160">
      <c r="A160" s="225">
        <f>IF(売分析!C160&lt;&gt;"",ROW()-2,"")</f>
        <v/>
      </c>
      <c r="B160" s="352">
        <f>IF(売分析!C160&lt;&gt;"",HYPERLINK("https://kabutan.jp/stock/?code="&amp;売分析!C160,"株探"),"")</f>
        <v/>
      </c>
      <c r="C160" s="631">
        <f>IF(売分析!C160&lt;&gt;"",売分析!C160,"")</f>
        <v/>
      </c>
      <c r="D160" s="225">
        <f>IF(売分析!D160&lt;&gt;"",売分析!D160,"")</f>
        <v/>
      </c>
      <c r="E160" s="353">
        <f>IF(売分析!E160&lt;&gt;"",売分析!E160,"")</f>
        <v/>
      </c>
      <c r="F160" s="353">
        <f>IF(売分析!F160&lt;&gt;"",売分析!F160,"")</f>
        <v/>
      </c>
      <c r="G160" s="353">
        <f>IF(売分析!H160&lt;&gt;"",売分析!H160,"")</f>
        <v/>
      </c>
      <c r="H160" s="353">
        <f>IF(売分析!I160&lt;&gt;"",売分析!I160,"")</f>
        <v/>
      </c>
      <c r="I160" s="225">
        <f>IF(売分析!J160&lt;&gt;"",売分析!J160,"")</f>
        <v/>
      </c>
      <c r="J160" s="353">
        <f>IF(売分析!AB160&lt;&gt;"",売分析!AB160,"")</f>
        <v/>
      </c>
      <c r="K160" s="353">
        <f>IF(売分析!AC160&lt;&gt;"",売分析!AC160,"")</f>
        <v/>
      </c>
      <c r="L160" s="353">
        <f>IF(売分析!K160&lt;&gt;"",売分析!K160,"")</f>
        <v/>
      </c>
      <c r="M160" s="225">
        <f>IF(売分析!P160&lt;&gt;"",売分析!P160,"")</f>
        <v/>
      </c>
      <c r="N160" s="627">
        <f>IF(売分析!O160&lt;&gt;"",売分析!O160,"")</f>
        <v/>
      </c>
      <c r="O160" s="357">
        <f>IF(売分析!X160&lt;&gt;"",売分析!X160,"")</f>
        <v/>
      </c>
      <c r="P160" s="626">
        <f>IF(売分析!L160&lt;&gt;"",売分析!L160,"")</f>
        <v/>
      </c>
      <c r="Q160" s="353">
        <f>IF(売分析!S160&lt;&gt;"",売分析!S160,"")</f>
        <v/>
      </c>
      <c r="R160" s="353">
        <f>IF(売分析!R160&lt;&gt;"",売分析!R160,"")</f>
        <v/>
      </c>
      <c r="S160" s="225">
        <f>IF(売分析!AA160&lt;&gt;"",売分析!AA160,"")</f>
        <v/>
      </c>
      <c r="T160" s="629">
        <f>IF(売分析!Z160&lt;&gt;"",売分析!Z160,"")</f>
        <v/>
      </c>
      <c r="U160" s="225">
        <f>IF(売分析!V160&lt;&gt;"",売分析!V160,"")</f>
        <v/>
      </c>
      <c r="V160" s="628">
        <f>IF(売分析!W160&lt;&gt;"",売分析!W160,"")</f>
        <v/>
      </c>
      <c r="W160" s="225">
        <f>IF(売分析!AD160&lt;&gt;"",売分析!AD160,"")</f>
        <v/>
      </c>
      <c r="X160" s="225">
        <f>IF(売分析!AE160&lt;&gt;"",売分析!AE160,"")</f>
        <v/>
      </c>
      <c r="Y160" s="411">
        <f>IF(売分析!T160&lt;&gt;"",売分析!T160,"")</f>
        <v/>
      </c>
      <c r="Z160" s="225">
        <f>IF(売分析!Y160&lt;&gt;"",売分析!Y160,"")</f>
        <v/>
      </c>
    </row>
    <row r="161">
      <c r="A161" s="345">
        <f>IF(売分析!C161&lt;&gt;"",ROW()-2,"")</f>
        <v/>
      </c>
      <c r="B161" s="344">
        <f>IF(売分析!C161&lt;&gt;"",HYPERLINK("https://kabutan.jp/stock/?code="&amp;売分析!C161,"株探"),"")</f>
        <v/>
      </c>
      <c r="C161" s="630">
        <f>IF(売分析!C161&lt;&gt;"",売分析!C161,"")</f>
        <v/>
      </c>
      <c r="D161" s="345">
        <f>IF(売分析!D161&lt;&gt;"",売分析!D161,"")</f>
        <v/>
      </c>
      <c r="E161" s="346">
        <f>IF(売分析!E161&lt;&gt;"",売分析!E161,"")</f>
        <v/>
      </c>
      <c r="F161" s="346">
        <f>IF(売分析!F161&lt;&gt;"",売分析!F161,"")</f>
        <v/>
      </c>
      <c r="G161" s="346">
        <f>IF(売分析!H161&lt;&gt;"",売分析!H161,"")</f>
        <v/>
      </c>
      <c r="H161" s="346">
        <f>IF(売分析!I161&lt;&gt;"",売分析!I161,"")</f>
        <v/>
      </c>
      <c r="I161" s="345">
        <f>IF(売分析!J161&lt;&gt;"",売分析!J161,"")</f>
        <v/>
      </c>
      <c r="J161" s="346">
        <f>IF(売分析!AB161&lt;&gt;"",売分析!AB161,"")</f>
        <v/>
      </c>
      <c r="K161" s="346">
        <f>IF(売分析!AC161&lt;&gt;"",売分析!AC161,"")</f>
        <v/>
      </c>
      <c r="L161" s="346">
        <f>IF(売分析!K161&lt;&gt;"",売分析!K161,"")</f>
        <v/>
      </c>
      <c r="M161" s="345">
        <f>IF(売分析!P161&lt;&gt;"",売分析!P161,"")</f>
        <v/>
      </c>
      <c r="N161" s="620">
        <f>IF(売分析!O161&lt;&gt;"",売分析!O161,"")</f>
        <v/>
      </c>
      <c r="O161" s="350">
        <f>IF(売分析!X161&lt;&gt;"",売分析!X161,"")</f>
        <v/>
      </c>
      <c r="P161" s="619">
        <f>IF(売分析!L161&lt;&gt;"",売分析!L161,"")</f>
        <v/>
      </c>
      <c r="Q161" s="346">
        <f>IF(売分析!S161&lt;&gt;"",売分析!S161,"")</f>
        <v/>
      </c>
      <c r="R161" s="346">
        <f>IF(売分析!R161&lt;&gt;"",売分析!R161,"")</f>
        <v/>
      </c>
      <c r="S161" s="345">
        <f>IF(売分析!AA161&lt;&gt;"",売分析!AA161,"")</f>
        <v/>
      </c>
      <c r="T161" s="622">
        <f>IF(売分析!Z161&lt;&gt;"",売分析!Z161,"")</f>
        <v/>
      </c>
      <c r="U161" s="345">
        <f>IF(売分析!V161&lt;&gt;"",売分析!V161,"")</f>
        <v/>
      </c>
      <c r="V161" s="621">
        <f>IF(売分析!W161&lt;&gt;"",売分析!W161,"")</f>
        <v/>
      </c>
      <c r="W161" s="345">
        <f>IF(売分析!AD161&lt;&gt;"",売分析!AD161,"")</f>
        <v/>
      </c>
      <c r="X161" s="345">
        <f>IF(売分析!AE161&lt;&gt;"",売分析!AE161,"")</f>
        <v/>
      </c>
      <c r="Y161" s="410">
        <f>IF(売分析!T161&lt;&gt;"",売分析!T161,"")</f>
        <v/>
      </c>
      <c r="Z161" s="345">
        <f>IF(売分析!Y161&lt;&gt;"",売分析!Y161,"")</f>
        <v/>
      </c>
    </row>
    <row r="162">
      <c r="A162" s="225">
        <f>IF(売分析!C162&lt;&gt;"",ROW()-2,"")</f>
        <v/>
      </c>
      <c r="B162" s="352">
        <f>IF(売分析!C162&lt;&gt;"",HYPERLINK("https://kabutan.jp/stock/?code="&amp;売分析!C162,"株探"),"")</f>
        <v/>
      </c>
      <c r="C162" s="631">
        <f>IF(売分析!C162&lt;&gt;"",売分析!C162,"")</f>
        <v/>
      </c>
      <c r="D162" s="225">
        <f>IF(売分析!D162&lt;&gt;"",売分析!D162,"")</f>
        <v/>
      </c>
      <c r="E162" s="353">
        <f>IF(売分析!E162&lt;&gt;"",売分析!E162,"")</f>
        <v/>
      </c>
      <c r="F162" s="353">
        <f>IF(売分析!F162&lt;&gt;"",売分析!F162,"")</f>
        <v/>
      </c>
      <c r="G162" s="353">
        <f>IF(売分析!H162&lt;&gt;"",売分析!H162,"")</f>
        <v/>
      </c>
      <c r="H162" s="353">
        <f>IF(売分析!I162&lt;&gt;"",売分析!I162,"")</f>
        <v/>
      </c>
      <c r="I162" s="225">
        <f>IF(売分析!J162&lt;&gt;"",売分析!J162,"")</f>
        <v/>
      </c>
      <c r="J162" s="353">
        <f>IF(売分析!AB162&lt;&gt;"",売分析!AB162,"")</f>
        <v/>
      </c>
      <c r="K162" s="353">
        <f>IF(売分析!AC162&lt;&gt;"",売分析!AC162,"")</f>
        <v/>
      </c>
      <c r="L162" s="353">
        <f>IF(売分析!K162&lt;&gt;"",売分析!K162,"")</f>
        <v/>
      </c>
      <c r="M162" s="225">
        <f>IF(売分析!P162&lt;&gt;"",売分析!P162,"")</f>
        <v/>
      </c>
      <c r="N162" s="627">
        <f>IF(売分析!O162&lt;&gt;"",売分析!O162,"")</f>
        <v/>
      </c>
      <c r="O162" s="357">
        <f>IF(売分析!X162&lt;&gt;"",売分析!X162,"")</f>
        <v/>
      </c>
      <c r="P162" s="626">
        <f>IF(売分析!L162&lt;&gt;"",売分析!L162,"")</f>
        <v/>
      </c>
      <c r="Q162" s="353">
        <f>IF(売分析!S162&lt;&gt;"",売分析!S162,"")</f>
        <v/>
      </c>
      <c r="R162" s="353">
        <f>IF(売分析!R162&lt;&gt;"",売分析!R162,"")</f>
        <v/>
      </c>
      <c r="S162" s="225">
        <f>IF(売分析!AA162&lt;&gt;"",売分析!AA162,"")</f>
        <v/>
      </c>
      <c r="T162" s="629">
        <f>IF(売分析!Z162&lt;&gt;"",売分析!Z162,"")</f>
        <v/>
      </c>
      <c r="U162" s="225">
        <f>IF(売分析!V162&lt;&gt;"",売分析!V162,"")</f>
        <v/>
      </c>
      <c r="V162" s="628">
        <f>IF(売分析!W162&lt;&gt;"",売分析!W162,"")</f>
        <v/>
      </c>
      <c r="W162" s="225">
        <f>IF(売分析!AD162&lt;&gt;"",売分析!AD162,"")</f>
        <v/>
      </c>
      <c r="X162" s="225">
        <f>IF(売分析!AE162&lt;&gt;"",売分析!AE162,"")</f>
        <v/>
      </c>
      <c r="Y162" s="411">
        <f>IF(売分析!T162&lt;&gt;"",売分析!T162,"")</f>
        <v/>
      </c>
      <c r="Z162" s="225">
        <f>IF(売分析!Y162&lt;&gt;"",売分析!Y162,"")</f>
        <v/>
      </c>
    </row>
    <row r="163">
      <c r="A163" s="345">
        <f>IF(売分析!C163&lt;&gt;"",ROW()-2,"")</f>
        <v/>
      </c>
      <c r="B163" s="344">
        <f>IF(売分析!C163&lt;&gt;"",HYPERLINK("https://kabutan.jp/stock/?code="&amp;売分析!C163,"株探"),"")</f>
        <v/>
      </c>
      <c r="C163" s="630">
        <f>IF(売分析!C163&lt;&gt;"",売分析!C163,"")</f>
        <v/>
      </c>
      <c r="D163" s="345">
        <f>IF(売分析!D163&lt;&gt;"",売分析!D163,"")</f>
        <v/>
      </c>
      <c r="E163" s="346">
        <f>IF(売分析!E163&lt;&gt;"",売分析!E163,"")</f>
        <v/>
      </c>
      <c r="F163" s="346">
        <f>IF(売分析!F163&lt;&gt;"",売分析!F163,"")</f>
        <v/>
      </c>
      <c r="G163" s="346">
        <f>IF(売分析!H163&lt;&gt;"",売分析!H163,"")</f>
        <v/>
      </c>
      <c r="H163" s="346">
        <f>IF(売分析!I163&lt;&gt;"",売分析!I163,"")</f>
        <v/>
      </c>
      <c r="I163" s="345">
        <f>IF(売分析!J163&lt;&gt;"",売分析!J163,"")</f>
        <v/>
      </c>
      <c r="J163" s="346">
        <f>IF(売分析!AB163&lt;&gt;"",売分析!AB163,"")</f>
        <v/>
      </c>
      <c r="K163" s="346">
        <f>IF(売分析!AC163&lt;&gt;"",売分析!AC163,"")</f>
        <v/>
      </c>
      <c r="L163" s="346">
        <f>IF(売分析!K163&lt;&gt;"",売分析!K163,"")</f>
        <v/>
      </c>
      <c r="M163" s="345">
        <f>IF(売分析!P163&lt;&gt;"",売分析!P163,"")</f>
        <v/>
      </c>
      <c r="N163" s="620">
        <f>IF(売分析!O163&lt;&gt;"",売分析!O163,"")</f>
        <v/>
      </c>
      <c r="O163" s="350">
        <f>IF(売分析!X163&lt;&gt;"",売分析!X163,"")</f>
        <v/>
      </c>
      <c r="P163" s="619">
        <f>IF(売分析!L163&lt;&gt;"",売分析!L163,"")</f>
        <v/>
      </c>
      <c r="Q163" s="346">
        <f>IF(売分析!S163&lt;&gt;"",売分析!S163,"")</f>
        <v/>
      </c>
      <c r="R163" s="346">
        <f>IF(売分析!R163&lt;&gt;"",売分析!R163,"")</f>
        <v/>
      </c>
      <c r="S163" s="345">
        <f>IF(売分析!AA163&lt;&gt;"",売分析!AA163,"")</f>
        <v/>
      </c>
      <c r="T163" s="622">
        <f>IF(売分析!Z163&lt;&gt;"",売分析!Z163,"")</f>
        <v/>
      </c>
      <c r="U163" s="345">
        <f>IF(売分析!V163&lt;&gt;"",売分析!V163,"")</f>
        <v/>
      </c>
      <c r="V163" s="621">
        <f>IF(売分析!W163&lt;&gt;"",売分析!W163,"")</f>
        <v/>
      </c>
      <c r="W163" s="345">
        <f>IF(売分析!AD163&lt;&gt;"",売分析!AD163,"")</f>
        <v/>
      </c>
      <c r="X163" s="345">
        <f>IF(売分析!AE163&lt;&gt;"",売分析!AE163,"")</f>
        <v/>
      </c>
      <c r="Y163" s="410">
        <f>IF(売分析!T163&lt;&gt;"",売分析!T163,"")</f>
        <v/>
      </c>
      <c r="Z163" s="345">
        <f>IF(売分析!Y163&lt;&gt;"",売分析!Y163,"")</f>
        <v/>
      </c>
    </row>
    <row r="164">
      <c r="A164" s="225">
        <f>IF(売分析!C164&lt;&gt;"",ROW()-2,"")</f>
        <v/>
      </c>
      <c r="B164" s="352">
        <f>IF(売分析!C164&lt;&gt;"",HYPERLINK("https://kabutan.jp/stock/?code="&amp;売分析!C164,"株探"),"")</f>
        <v/>
      </c>
      <c r="C164" s="631">
        <f>IF(売分析!C164&lt;&gt;"",売分析!C164,"")</f>
        <v/>
      </c>
      <c r="D164" s="225">
        <f>IF(売分析!D164&lt;&gt;"",売分析!D164,"")</f>
        <v/>
      </c>
      <c r="E164" s="353">
        <f>IF(売分析!E164&lt;&gt;"",売分析!E164,"")</f>
        <v/>
      </c>
      <c r="F164" s="353">
        <f>IF(売分析!F164&lt;&gt;"",売分析!F164,"")</f>
        <v/>
      </c>
      <c r="G164" s="353">
        <f>IF(売分析!H164&lt;&gt;"",売分析!H164,"")</f>
        <v/>
      </c>
      <c r="H164" s="353">
        <f>IF(売分析!I164&lt;&gt;"",売分析!I164,"")</f>
        <v/>
      </c>
      <c r="I164" s="225">
        <f>IF(売分析!J164&lt;&gt;"",売分析!J164,"")</f>
        <v/>
      </c>
      <c r="J164" s="353">
        <f>IF(売分析!AB164&lt;&gt;"",売分析!AB164,"")</f>
        <v/>
      </c>
      <c r="K164" s="353">
        <f>IF(売分析!AC164&lt;&gt;"",売分析!AC164,"")</f>
        <v/>
      </c>
      <c r="L164" s="353">
        <f>IF(売分析!K164&lt;&gt;"",売分析!K164,"")</f>
        <v/>
      </c>
      <c r="M164" s="225">
        <f>IF(売分析!P164&lt;&gt;"",売分析!P164,"")</f>
        <v/>
      </c>
      <c r="N164" s="627">
        <f>IF(売分析!O164&lt;&gt;"",売分析!O164,"")</f>
        <v/>
      </c>
      <c r="O164" s="357">
        <f>IF(売分析!X164&lt;&gt;"",売分析!X164,"")</f>
        <v/>
      </c>
      <c r="P164" s="626">
        <f>IF(売分析!L164&lt;&gt;"",売分析!L164,"")</f>
        <v/>
      </c>
      <c r="Q164" s="353">
        <f>IF(売分析!S164&lt;&gt;"",売分析!S164,"")</f>
        <v/>
      </c>
      <c r="R164" s="353">
        <f>IF(売分析!R164&lt;&gt;"",売分析!R164,"")</f>
        <v/>
      </c>
      <c r="S164" s="225">
        <f>IF(売分析!AA164&lt;&gt;"",売分析!AA164,"")</f>
        <v/>
      </c>
      <c r="T164" s="629">
        <f>IF(売分析!Z164&lt;&gt;"",売分析!Z164,"")</f>
        <v/>
      </c>
      <c r="U164" s="225">
        <f>IF(売分析!V164&lt;&gt;"",売分析!V164,"")</f>
        <v/>
      </c>
      <c r="V164" s="628">
        <f>IF(売分析!W164&lt;&gt;"",売分析!W164,"")</f>
        <v/>
      </c>
      <c r="W164" s="225">
        <f>IF(売分析!AD164&lt;&gt;"",売分析!AD164,"")</f>
        <v/>
      </c>
      <c r="X164" s="225">
        <f>IF(売分析!AE164&lt;&gt;"",売分析!AE164,"")</f>
        <v/>
      </c>
      <c r="Y164" s="411">
        <f>IF(売分析!T164&lt;&gt;"",売分析!T164,"")</f>
        <v/>
      </c>
      <c r="Z164" s="225">
        <f>IF(売分析!Y164&lt;&gt;"",売分析!Y164,"")</f>
        <v/>
      </c>
    </row>
    <row r="165">
      <c r="A165" s="345">
        <f>IF(売分析!C165&lt;&gt;"",ROW()-2,"")</f>
        <v/>
      </c>
      <c r="B165" s="344">
        <f>IF(売分析!C165&lt;&gt;"",HYPERLINK("https://kabutan.jp/stock/?code="&amp;売分析!C165,"株探"),"")</f>
        <v/>
      </c>
      <c r="C165" s="630">
        <f>IF(売分析!C165&lt;&gt;"",売分析!C165,"")</f>
        <v/>
      </c>
      <c r="D165" s="345">
        <f>IF(売分析!D165&lt;&gt;"",売分析!D165,"")</f>
        <v/>
      </c>
      <c r="E165" s="346">
        <f>IF(売分析!E165&lt;&gt;"",売分析!E165,"")</f>
        <v/>
      </c>
      <c r="F165" s="346">
        <f>IF(売分析!F165&lt;&gt;"",売分析!F165,"")</f>
        <v/>
      </c>
      <c r="G165" s="346">
        <f>IF(売分析!H165&lt;&gt;"",売分析!H165,"")</f>
        <v/>
      </c>
      <c r="H165" s="346">
        <f>IF(売分析!I165&lt;&gt;"",売分析!I165,"")</f>
        <v/>
      </c>
      <c r="I165" s="345">
        <f>IF(売分析!J165&lt;&gt;"",売分析!J165,"")</f>
        <v/>
      </c>
      <c r="J165" s="346">
        <f>IF(売分析!AB165&lt;&gt;"",売分析!AB165,"")</f>
        <v/>
      </c>
      <c r="K165" s="346">
        <f>IF(売分析!AC165&lt;&gt;"",売分析!AC165,"")</f>
        <v/>
      </c>
      <c r="L165" s="346">
        <f>IF(売分析!K165&lt;&gt;"",売分析!K165,"")</f>
        <v/>
      </c>
      <c r="M165" s="345">
        <f>IF(売分析!P165&lt;&gt;"",売分析!P165,"")</f>
        <v/>
      </c>
      <c r="N165" s="620">
        <f>IF(売分析!O165&lt;&gt;"",売分析!O165,"")</f>
        <v/>
      </c>
      <c r="O165" s="350">
        <f>IF(売分析!X165&lt;&gt;"",売分析!X165,"")</f>
        <v/>
      </c>
      <c r="P165" s="619">
        <f>IF(売分析!L165&lt;&gt;"",売分析!L165,"")</f>
        <v/>
      </c>
      <c r="Q165" s="346">
        <f>IF(売分析!S165&lt;&gt;"",売分析!S165,"")</f>
        <v/>
      </c>
      <c r="R165" s="346">
        <f>IF(売分析!R165&lt;&gt;"",売分析!R165,"")</f>
        <v/>
      </c>
      <c r="S165" s="345">
        <f>IF(売分析!AA165&lt;&gt;"",売分析!AA165,"")</f>
        <v/>
      </c>
      <c r="T165" s="622">
        <f>IF(売分析!Z165&lt;&gt;"",売分析!Z165,"")</f>
        <v/>
      </c>
      <c r="U165" s="345">
        <f>IF(売分析!V165&lt;&gt;"",売分析!V165,"")</f>
        <v/>
      </c>
      <c r="V165" s="621">
        <f>IF(売分析!W165&lt;&gt;"",売分析!W165,"")</f>
        <v/>
      </c>
      <c r="W165" s="345">
        <f>IF(売分析!AD165&lt;&gt;"",売分析!AD165,"")</f>
        <v/>
      </c>
      <c r="X165" s="345">
        <f>IF(売分析!AE165&lt;&gt;"",売分析!AE165,"")</f>
        <v/>
      </c>
      <c r="Y165" s="410">
        <f>IF(売分析!T165&lt;&gt;"",売分析!T165,"")</f>
        <v/>
      </c>
      <c r="Z165" s="345">
        <f>IF(売分析!Y165&lt;&gt;"",売分析!Y165,"")</f>
        <v/>
      </c>
    </row>
    <row r="166">
      <c r="A166" s="225">
        <f>IF(売分析!C166&lt;&gt;"",ROW()-2,"")</f>
        <v/>
      </c>
      <c r="B166" s="352">
        <f>IF(売分析!C166&lt;&gt;"",HYPERLINK("https://kabutan.jp/stock/?code="&amp;売分析!C166,"株探"),"")</f>
        <v/>
      </c>
      <c r="C166" s="631">
        <f>IF(売分析!C166&lt;&gt;"",売分析!C166,"")</f>
        <v/>
      </c>
      <c r="D166" s="225">
        <f>IF(売分析!D166&lt;&gt;"",売分析!D166,"")</f>
        <v/>
      </c>
      <c r="E166" s="353">
        <f>IF(売分析!E166&lt;&gt;"",売分析!E166,"")</f>
        <v/>
      </c>
      <c r="F166" s="353">
        <f>IF(売分析!F166&lt;&gt;"",売分析!F166,"")</f>
        <v/>
      </c>
      <c r="G166" s="353">
        <f>IF(売分析!H166&lt;&gt;"",売分析!H166,"")</f>
        <v/>
      </c>
      <c r="H166" s="353">
        <f>IF(売分析!I166&lt;&gt;"",売分析!I166,"")</f>
        <v/>
      </c>
      <c r="I166" s="225">
        <f>IF(売分析!J166&lt;&gt;"",売分析!J166,"")</f>
        <v/>
      </c>
      <c r="J166" s="353">
        <f>IF(売分析!AB166&lt;&gt;"",売分析!AB166,"")</f>
        <v/>
      </c>
      <c r="K166" s="353">
        <f>IF(売分析!AC166&lt;&gt;"",売分析!AC166,"")</f>
        <v/>
      </c>
      <c r="L166" s="353">
        <f>IF(売分析!K166&lt;&gt;"",売分析!K166,"")</f>
        <v/>
      </c>
      <c r="M166" s="225">
        <f>IF(売分析!P166&lt;&gt;"",売分析!P166,"")</f>
        <v/>
      </c>
      <c r="N166" s="627">
        <f>IF(売分析!O166&lt;&gt;"",売分析!O166,"")</f>
        <v/>
      </c>
      <c r="O166" s="357">
        <f>IF(売分析!X166&lt;&gt;"",売分析!X166,"")</f>
        <v/>
      </c>
      <c r="P166" s="626">
        <f>IF(売分析!L166&lt;&gt;"",売分析!L166,"")</f>
        <v/>
      </c>
      <c r="Q166" s="353">
        <f>IF(売分析!S166&lt;&gt;"",売分析!S166,"")</f>
        <v/>
      </c>
      <c r="R166" s="353">
        <f>IF(売分析!R166&lt;&gt;"",売分析!R166,"")</f>
        <v/>
      </c>
      <c r="S166" s="225">
        <f>IF(売分析!AA166&lt;&gt;"",売分析!AA166,"")</f>
        <v/>
      </c>
      <c r="T166" s="629">
        <f>IF(売分析!Z166&lt;&gt;"",売分析!Z166,"")</f>
        <v/>
      </c>
      <c r="U166" s="225">
        <f>IF(売分析!V166&lt;&gt;"",売分析!V166,"")</f>
        <v/>
      </c>
      <c r="V166" s="628">
        <f>IF(売分析!W166&lt;&gt;"",売分析!W166,"")</f>
        <v/>
      </c>
      <c r="W166" s="225">
        <f>IF(売分析!AD166&lt;&gt;"",売分析!AD166,"")</f>
        <v/>
      </c>
      <c r="X166" s="225">
        <f>IF(売分析!AE166&lt;&gt;"",売分析!AE166,"")</f>
        <v/>
      </c>
      <c r="Y166" s="411">
        <f>IF(売分析!T166&lt;&gt;"",売分析!T166,"")</f>
        <v/>
      </c>
      <c r="Z166" s="225">
        <f>IF(売分析!Y166&lt;&gt;"",売分析!Y166,"")</f>
        <v/>
      </c>
    </row>
    <row r="167">
      <c r="A167" s="345">
        <f>IF(売分析!C167&lt;&gt;"",ROW()-2,"")</f>
        <v/>
      </c>
      <c r="B167" s="344">
        <f>IF(売分析!C167&lt;&gt;"",HYPERLINK("https://kabutan.jp/stock/?code="&amp;売分析!C167,"株探"),"")</f>
        <v/>
      </c>
      <c r="C167" s="630">
        <f>IF(売分析!C167&lt;&gt;"",売分析!C167,"")</f>
        <v/>
      </c>
      <c r="D167" s="345">
        <f>IF(売分析!D167&lt;&gt;"",売分析!D167,"")</f>
        <v/>
      </c>
      <c r="E167" s="346">
        <f>IF(売分析!E167&lt;&gt;"",売分析!E167,"")</f>
        <v/>
      </c>
      <c r="F167" s="346">
        <f>IF(売分析!F167&lt;&gt;"",売分析!F167,"")</f>
        <v/>
      </c>
      <c r="G167" s="346">
        <f>IF(売分析!H167&lt;&gt;"",売分析!H167,"")</f>
        <v/>
      </c>
      <c r="H167" s="346">
        <f>IF(売分析!I167&lt;&gt;"",売分析!I167,"")</f>
        <v/>
      </c>
      <c r="I167" s="345">
        <f>IF(売分析!J167&lt;&gt;"",売分析!J167,"")</f>
        <v/>
      </c>
      <c r="J167" s="346">
        <f>IF(売分析!AB167&lt;&gt;"",売分析!AB167,"")</f>
        <v/>
      </c>
      <c r="K167" s="346">
        <f>IF(売分析!AC167&lt;&gt;"",売分析!AC167,"")</f>
        <v/>
      </c>
      <c r="L167" s="346">
        <f>IF(売分析!K167&lt;&gt;"",売分析!K167,"")</f>
        <v/>
      </c>
      <c r="M167" s="345">
        <f>IF(売分析!P167&lt;&gt;"",売分析!P167,"")</f>
        <v/>
      </c>
      <c r="N167" s="620">
        <f>IF(売分析!O167&lt;&gt;"",売分析!O167,"")</f>
        <v/>
      </c>
      <c r="O167" s="350">
        <f>IF(売分析!X167&lt;&gt;"",売分析!X167,"")</f>
        <v/>
      </c>
      <c r="P167" s="619">
        <f>IF(売分析!L167&lt;&gt;"",売分析!L167,"")</f>
        <v/>
      </c>
      <c r="Q167" s="346">
        <f>IF(売分析!S167&lt;&gt;"",売分析!S167,"")</f>
        <v/>
      </c>
      <c r="R167" s="346">
        <f>IF(売分析!R167&lt;&gt;"",売分析!R167,"")</f>
        <v/>
      </c>
      <c r="S167" s="345">
        <f>IF(売分析!AA167&lt;&gt;"",売分析!AA167,"")</f>
        <v/>
      </c>
      <c r="T167" s="622">
        <f>IF(売分析!Z167&lt;&gt;"",売分析!Z167,"")</f>
        <v/>
      </c>
      <c r="U167" s="345">
        <f>IF(売分析!V167&lt;&gt;"",売分析!V167,"")</f>
        <v/>
      </c>
      <c r="V167" s="621">
        <f>IF(売分析!W167&lt;&gt;"",売分析!W167,"")</f>
        <v/>
      </c>
      <c r="W167" s="345">
        <f>IF(売分析!AD167&lt;&gt;"",売分析!AD167,"")</f>
        <v/>
      </c>
      <c r="X167" s="345">
        <f>IF(売分析!AE167&lt;&gt;"",売分析!AE167,"")</f>
        <v/>
      </c>
      <c r="Y167" s="410">
        <f>IF(売分析!T167&lt;&gt;"",売分析!T167,"")</f>
        <v/>
      </c>
      <c r="Z167" s="345">
        <f>IF(売分析!Y167&lt;&gt;"",売分析!Y167,"")</f>
        <v/>
      </c>
    </row>
    <row r="168">
      <c r="A168" s="225">
        <f>IF(売分析!C168&lt;&gt;"",ROW()-2,"")</f>
        <v/>
      </c>
      <c r="B168" s="352">
        <f>IF(売分析!C168&lt;&gt;"",HYPERLINK("https://kabutan.jp/stock/?code="&amp;売分析!C168,"株探"),"")</f>
        <v/>
      </c>
      <c r="C168" s="631">
        <f>IF(売分析!C168&lt;&gt;"",売分析!C168,"")</f>
        <v/>
      </c>
      <c r="D168" s="225">
        <f>IF(売分析!D168&lt;&gt;"",売分析!D168,"")</f>
        <v/>
      </c>
      <c r="E168" s="353">
        <f>IF(売分析!E168&lt;&gt;"",売分析!E168,"")</f>
        <v/>
      </c>
      <c r="F168" s="353">
        <f>IF(売分析!F168&lt;&gt;"",売分析!F168,"")</f>
        <v/>
      </c>
      <c r="G168" s="353">
        <f>IF(売分析!H168&lt;&gt;"",売分析!H168,"")</f>
        <v/>
      </c>
      <c r="H168" s="353">
        <f>IF(売分析!I168&lt;&gt;"",売分析!I168,"")</f>
        <v/>
      </c>
      <c r="I168" s="225">
        <f>IF(売分析!J168&lt;&gt;"",売分析!J168,"")</f>
        <v/>
      </c>
      <c r="J168" s="353">
        <f>IF(売分析!AB168&lt;&gt;"",売分析!AB168,"")</f>
        <v/>
      </c>
      <c r="K168" s="353">
        <f>IF(売分析!AC168&lt;&gt;"",売分析!AC168,"")</f>
        <v/>
      </c>
      <c r="L168" s="353">
        <f>IF(売分析!K168&lt;&gt;"",売分析!K168,"")</f>
        <v/>
      </c>
      <c r="M168" s="225">
        <f>IF(売分析!P168&lt;&gt;"",売分析!P168,"")</f>
        <v/>
      </c>
      <c r="N168" s="627">
        <f>IF(売分析!O168&lt;&gt;"",売分析!O168,"")</f>
        <v/>
      </c>
      <c r="O168" s="357">
        <f>IF(売分析!X168&lt;&gt;"",売分析!X168,"")</f>
        <v/>
      </c>
      <c r="P168" s="626">
        <f>IF(売分析!L168&lt;&gt;"",売分析!L168,"")</f>
        <v/>
      </c>
      <c r="Q168" s="353">
        <f>IF(売分析!S168&lt;&gt;"",売分析!S168,"")</f>
        <v/>
      </c>
      <c r="R168" s="353">
        <f>IF(売分析!R168&lt;&gt;"",売分析!R168,"")</f>
        <v/>
      </c>
      <c r="S168" s="225">
        <f>IF(売分析!AA168&lt;&gt;"",売分析!AA168,"")</f>
        <v/>
      </c>
      <c r="T168" s="629">
        <f>IF(売分析!Z168&lt;&gt;"",売分析!Z168,"")</f>
        <v/>
      </c>
      <c r="U168" s="225">
        <f>IF(売分析!V168&lt;&gt;"",売分析!V168,"")</f>
        <v/>
      </c>
      <c r="V168" s="628">
        <f>IF(売分析!W168&lt;&gt;"",売分析!W168,"")</f>
        <v/>
      </c>
      <c r="W168" s="225">
        <f>IF(売分析!AD168&lt;&gt;"",売分析!AD168,"")</f>
        <v/>
      </c>
      <c r="X168" s="225">
        <f>IF(売分析!AE168&lt;&gt;"",売分析!AE168,"")</f>
        <v/>
      </c>
      <c r="Y168" s="411">
        <f>IF(売分析!T168&lt;&gt;"",売分析!T168,"")</f>
        <v/>
      </c>
      <c r="Z168" s="225">
        <f>IF(売分析!Y168&lt;&gt;"",売分析!Y168,"")</f>
        <v/>
      </c>
    </row>
    <row r="169">
      <c r="A169" s="345">
        <f>IF(売分析!C169&lt;&gt;"",ROW()-2,"")</f>
        <v/>
      </c>
      <c r="B169" s="344">
        <f>IF(売分析!C169&lt;&gt;"",HYPERLINK("https://kabutan.jp/stock/?code="&amp;売分析!C169,"株探"),"")</f>
        <v/>
      </c>
      <c r="C169" s="630">
        <f>IF(売分析!C169&lt;&gt;"",売分析!C169,"")</f>
        <v/>
      </c>
      <c r="D169" s="345">
        <f>IF(売分析!D169&lt;&gt;"",売分析!D169,"")</f>
        <v/>
      </c>
      <c r="E169" s="346">
        <f>IF(売分析!E169&lt;&gt;"",売分析!E169,"")</f>
        <v/>
      </c>
      <c r="F169" s="346">
        <f>IF(売分析!F169&lt;&gt;"",売分析!F169,"")</f>
        <v/>
      </c>
      <c r="G169" s="346">
        <f>IF(売分析!H169&lt;&gt;"",売分析!H169,"")</f>
        <v/>
      </c>
      <c r="H169" s="346">
        <f>IF(売分析!I169&lt;&gt;"",売分析!I169,"")</f>
        <v/>
      </c>
      <c r="I169" s="345">
        <f>IF(売分析!J169&lt;&gt;"",売分析!J169,"")</f>
        <v/>
      </c>
      <c r="J169" s="346">
        <f>IF(売分析!AB169&lt;&gt;"",売分析!AB169,"")</f>
        <v/>
      </c>
      <c r="K169" s="346">
        <f>IF(売分析!AC169&lt;&gt;"",売分析!AC169,"")</f>
        <v/>
      </c>
      <c r="L169" s="346">
        <f>IF(売分析!K169&lt;&gt;"",売分析!K169,"")</f>
        <v/>
      </c>
      <c r="M169" s="345">
        <f>IF(売分析!P169&lt;&gt;"",売分析!P169,"")</f>
        <v/>
      </c>
      <c r="N169" s="620">
        <f>IF(売分析!O169&lt;&gt;"",売分析!O169,"")</f>
        <v/>
      </c>
      <c r="O169" s="350">
        <f>IF(売分析!X169&lt;&gt;"",売分析!X169,"")</f>
        <v/>
      </c>
      <c r="P169" s="619">
        <f>IF(売分析!L169&lt;&gt;"",売分析!L169,"")</f>
        <v/>
      </c>
      <c r="Q169" s="346">
        <f>IF(売分析!S169&lt;&gt;"",売分析!S169,"")</f>
        <v/>
      </c>
      <c r="R169" s="346">
        <f>IF(売分析!R169&lt;&gt;"",売分析!R169,"")</f>
        <v/>
      </c>
      <c r="S169" s="345">
        <f>IF(売分析!AA169&lt;&gt;"",売分析!AA169,"")</f>
        <v/>
      </c>
      <c r="T169" s="622">
        <f>IF(売分析!Z169&lt;&gt;"",売分析!Z169,"")</f>
        <v/>
      </c>
      <c r="U169" s="345">
        <f>IF(売分析!V169&lt;&gt;"",売分析!V169,"")</f>
        <v/>
      </c>
      <c r="V169" s="621">
        <f>IF(売分析!W169&lt;&gt;"",売分析!W169,"")</f>
        <v/>
      </c>
      <c r="W169" s="345">
        <f>IF(売分析!AD169&lt;&gt;"",売分析!AD169,"")</f>
        <v/>
      </c>
      <c r="X169" s="345">
        <f>IF(売分析!AE169&lt;&gt;"",売分析!AE169,"")</f>
        <v/>
      </c>
      <c r="Y169" s="410">
        <f>IF(売分析!T169&lt;&gt;"",売分析!T169,"")</f>
        <v/>
      </c>
      <c r="Z169" s="345">
        <f>IF(売分析!Y169&lt;&gt;"",売分析!Y169,"")</f>
        <v/>
      </c>
    </row>
    <row r="170">
      <c r="A170" s="225">
        <f>IF(売分析!C170&lt;&gt;"",ROW()-2,"")</f>
        <v/>
      </c>
      <c r="B170" s="352">
        <f>IF(売分析!C170&lt;&gt;"",HYPERLINK("https://kabutan.jp/stock/?code="&amp;売分析!C170,"株探"),"")</f>
        <v/>
      </c>
      <c r="C170" s="631">
        <f>IF(売分析!C170&lt;&gt;"",売分析!C170,"")</f>
        <v/>
      </c>
      <c r="D170" s="225">
        <f>IF(売分析!D170&lt;&gt;"",売分析!D170,"")</f>
        <v/>
      </c>
      <c r="E170" s="353">
        <f>IF(売分析!E170&lt;&gt;"",売分析!E170,"")</f>
        <v/>
      </c>
      <c r="F170" s="353">
        <f>IF(売分析!F170&lt;&gt;"",売分析!F170,"")</f>
        <v/>
      </c>
      <c r="G170" s="353">
        <f>IF(売分析!H170&lt;&gt;"",売分析!H170,"")</f>
        <v/>
      </c>
      <c r="H170" s="353">
        <f>IF(売分析!I170&lt;&gt;"",売分析!I170,"")</f>
        <v/>
      </c>
      <c r="I170" s="225">
        <f>IF(売分析!J170&lt;&gt;"",売分析!J170,"")</f>
        <v/>
      </c>
      <c r="J170" s="353">
        <f>IF(売分析!AB170&lt;&gt;"",売分析!AB170,"")</f>
        <v/>
      </c>
      <c r="K170" s="353">
        <f>IF(売分析!AC170&lt;&gt;"",売分析!AC170,"")</f>
        <v/>
      </c>
      <c r="L170" s="353">
        <f>IF(売分析!K170&lt;&gt;"",売分析!K170,"")</f>
        <v/>
      </c>
      <c r="M170" s="225">
        <f>IF(売分析!P170&lt;&gt;"",売分析!P170,"")</f>
        <v/>
      </c>
      <c r="N170" s="627">
        <f>IF(売分析!O170&lt;&gt;"",売分析!O170,"")</f>
        <v/>
      </c>
      <c r="O170" s="357">
        <f>IF(売分析!X170&lt;&gt;"",売分析!X170,"")</f>
        <v/>
      </c>
      <c r="P170" s="626">
        <f>IF(売分析!L170&lt;&gt;"",売分析!L170,"")</f>
        <v/>
      </c>
      <c r="Q170" s="353">
        <f>IF(売分析!S170&lt;&gt;"",売分析!S170,"")</f>
        <v/>
      </c>
      <c r="R170" s="353">
        <f>IF(売分析!R170&lt;&gt;"",売分析!R170,"")</f>
        <v/>
      </c>
      <c r="S170" s="225">
        <f>IF(売分析!AA170&lt;&gt;"",売分析!AA170,"")</f>
        <v/>
      </c>
      <c r="T170" s="629">
        <f>IF(売分析!Z170&lt;&gt;"",売分析!Z170,"")</f>
        <v/>
      </c>
      <c r="U170" s="225">
        <f>IF(売分析!V170&lt;&gt;"",売分析!V170,"")</f>
        <v/>
      </c>
      <c r="V170" s="628">
        <f>IF(売分析!W170&lt;&gt;"",売分析!W170,"")</f>
        <v/>
      </c>
      <c r="W170" s="225">
        <f>IF(売分析!AD170&lt;&gt;"",売分析!AD170,"")</f>
        <v/>
      </c>
      <c r="X170" s="225">
        <f>IF(売分析!AE170&lt;&gt;"",売分析!AE170,"")</f>
        <v/>
      </c>
      <c r="Y170" s="411">
        <f>IF(売分析!T170&lt;&gt;"",売分析!T170,"")</f>
        <v/>
      </c>
      <c r="Z170" s="225">
        <f>IF(売分析!Y170&lt;&gt;"",売分析!Y170,"")</f>
        <v/>
      </c>
    </row>
    <row r="171">
      <c r="A171" s="345">
        <f>IF(売分析!C171&lt;&gt;"",ROW()-2,"")</f>
        <v/>
      </c>
      <c r="B171" s="344">
        <f>IF(売分析!C171&lt;&gt;"",HYPERLINK("https://kabutan.jp/stock/?code="&amp;売分析!C171,"株探"),"")</f>
        <v/>
      </c>
      <c r="C171" s="630">
        <f>IF(売分析!C171&lt;&gt;"",売分析!C171,"")</f>
        <v/>
      </c>
      <c r="D171" s="345">
        <f>IF(売分析!D171&lt;&gt;"",売分析!D171,"")</f>
        <v/>
      </c>
      <c r="E171" s="346">
        <f>IF(売分析!E171&lt;&gt;"",売分析!E171,"")</f>
        <v/>
      </c>
      <c r="F171" s="346">
        <f>IF(売分析!F171&lt;&gt;"",売分析!F171,"")</f>
        <v/>
      </c>
      <c r="G171" s="346">
        <f>IF(売分析!H171&lt;&gt;"",売分析!H171,"")</f>
        <v/>
      </c>
      <c r="H171" s="346">
        <f>IF(売分析!I171&lt;&gt;"",売分析!I171,"")</f>
        <v/>
      </c>
      <c r="I171" s="345">
        <f>IF(売分析!J171&lt;&gt;"",売分析!J171,"")</f>
        <v/>
      </c>
      <c r="J171" s="346">
        <f>IF(売分析!AB171&lt;&gt;"",売分析!AB171,"")</f>
        <v/>
      </c>
      <c r="K171" s="346">
        <f>IF(売分析!AC171&lt;&gt;"",売分析!AC171,"")</f>
        <v/>
      </c>
      <c r="L171" s="346">
        <f>IF(売分析!K171&lt;&gt;"",売分析!K171,"")</f>
        <v/>
      </c>
      <c r="M171" s="345">
        <f>IF(売分析!P171&lt;&gt;"",売分析!P171,"")</f>
        <v/>
      </c>
      <c r="N171" s="620">
        <f>IF(売分析!O171&lt;&gt;"",売分析!O171,"")</f>
        <v/>
      </c>
      <c r="O171" s="350">
        <f>IF(売分析!X171&lt;&gt;"",売分析!X171,"")</f>
        <v/>
      </c>
      <c r="P171" s="619">
        <f>IF(売分析!L171&lt;&gt;"",売分析!L171,"")</f>
        <v/>
      </c>
      <c r="Q171" s="346">
        <f>IF(売分析!S171&lt;&gt;"",売分析!S171,"")</f>
        <v/>
      </c>
      <c r="R171" s="346">
        <f>IF(売分析!R171&lt;&gt;"",売分析!R171,"")</f>
        <v/>
      </c>
      <c r="S171" s="345">
        <f>IF(売分析!AA171&lt;&gt;"",売分析!AA171,"")</f>
        <v/>
      </c>
      <c r="T171" s="622">
        <f>IF(売分析!Z171&lt;&gt;"",売分析!Z171,"")</f>
        <v/>
      </c>
      <c r="U171" s="345">
        <f>IF(売分析!V171&lt;&gt;"",売分析!V171,"")</f>
        <v/>
      </c>
      <c r="V171" s="621">
        <f>IF(売分析!W171&lt;&gt;"",売分析!W171,"")</f>
        <v/>
      </c>
      <c r="W171" s="345">
        <f>IF(売分析!AD171&lt;&gt;"",売分析!AD171,"")</f>
        <v/>
      </c>
      <c r="X171" s="345">
        <f>IF(売分析!AE171&lt;&gt;"",売分析!AE171,"")</f>
        <v/>
      </c>
      <c r="Y171" s="410">
        <f>IF(売分析!T171&lt;&gt;"",売分析!T171,"")</f>
        <v/>
      </c>
      <c r="Z171" s="345">
        <f>IF(売分析!Y171&lt;&gt;"",売分析!Y171,"")</f>
        <v/>
      </c>
    </row>
    <row r="172">
      <c r="A172" s="225">
        <f>IF(売分析!C172&lt;&gt;"",ROW()-2,"")</f>
        <v/>
      </c>
      <c r="B172" s="352">
        <f>IF(売分析!C172&lt;&gt;"",HYPERLINK("https://kabutan.jp/stock/?code="&amp;売分析!C172,"株探"),"")</f>
        <v/>
      </c>
      <c r="C172" s="631">
        <f>IF(売分析!C172&lt;&gt;"",売分析!C172,"")</f>
        <v/>
      </c>
      <c r="D172" s="225">
        <f>IF(売分析!D172&lt;&gt;"",売分析!D172,"")</f>
        <v/>
      </c>
      <c r="E172" s="353">
        <f>IF(売分析!E172&lt;&gt;"",売分析!E172,"")</f>
        <v/>
      </c>
      <c r="F172" s="353">
        <f>IF(売分析!F172&lt;&gt;"",売分析!F172,"")</f>
        <v/>
      </c>
      <c r="G172" s="353">
        <f>IF(売分析!H172&lt;&gt;"",売分析!H172,"")</f>
        <v/>
      </c>
      <c r="H172" s="353">
        <f>IF(売分析!I172&lt;&gt;"",売分析!I172,"")</f>
        <v/>
      </c>
      <c r="I172" s="225">
        <f>IF(売分析!J172&lt;&gt;"",売分析!J172,"")</f>
        <v/>
      </c>
      <c r="J172" s="353">
        <f>IF(売分析!AB172&lt;&gt;"",売分析!AB172,"")</f>
        <v/>
      </c>
      <c r="K172" s="353">
        <f>IF(売分析!AC172&lt;&gt;"",売分析!AC172,"")</f>
        <v/>
      </c>
      <c r="L172" s="353">
        <f>IF(売分析!K172&lt;&gt;"",売分析!K172,"")</f>
        <v/>
      </c>
      <c r="M172" s="225">
        <f>IF(売分析!P172&lt;&gt;"",売分析!P172,"")</f>
        <v/>
      </c>
      <c r="N172" s="627">
        <f>IF(売分析!O172&lt;&gt;"",売分析!O172,"")</f>
        <v/>
      </c>
      <c r="O172" s="357">
        <f>IF(売分析!X172&lt;&gt;"",売分析!X172,"")</f>
        <v/>
      </c>
      <c r="P172" s="626">
        <f>IF(売分析!L172&lt;&gt;"",売分析!L172,"")</f>
        <v/>
      </c>
      <c r="Q172" s="353">
        <f>IF(売分析!S172&lt;&gt;"",売分析!S172,"")</f>
        <v/>
      </c>
      <c r="R172" s="353">
        <f>IF(売分析!R172&lt;&gt;"",売分析!R172,"")</f>
        <v/>
      </c>
      <c r="S172" s="225">
        <f>IF(売分析!AA172&lt;&gt;"",売分析!AA172,"")</f>
        <v/>
      </c>
      <c r="T172" s="629">
        <f>IF(売分析!Z172&lt;&gt;"",売分析!Z172,"")</f>
        <v/>
      </c>
      <c r="U172" s="225">
        <f>IF(売分析!V172&lt;&gt;"",売分析!V172,"")</f>
        <v/>
      </c>
      <c r="V172" s="628">
        <f>IF(売分析!W172&lt;&gt;"",売分析!W172,"")</f>
        <v/>
      </c>
      <c r="W172" s="225">
        <f>IF(売分析!AD172&lt;&gt;"",売分析!AD172,"")</f>
        <v/>
      </c>
      <c r="X172" s="225">
        <f>IF(売分析!AE172&lt;&gt;"",売分析!AE172,"")</f>
        <v/>
      </c>
      <c r="Y172" s="411">
        <f>IF(売分析!T172&lt;&gt;"",売分析!T172,"")</f>
        <v/>
      </c>
      <c r="Z172" s="225">
        <f>IF(売分析!Y172&lt;&gt;"",売分析!Y172,"")</f>
        <v/>
      </c>
    </row>
    <row r="173">
      <c r="A173" s="345">
        <f>IF(売分析!C173&lt;&gt;"",ROW()-2,"")</f>
        <v/>
      </c>
      <c r="B173" s="344">
        <f>IF(売分析!C173&lt;&gt;"",HYPERLINK("https://kabutan.jp/stock/?code="&amp;売分析!C173,"株探"),"")</f>
        <v/>
      </c>
      <c r="C173" s="630">
        <f>IF(売分析!C173&lt;&gt;"",売分析!C173,"")</f>
        <v/>
      </c>
      <c r="D173" s="345">
        <f>IF(売分析!D173&lt;&gt;"",売分析!D173,"")</f>
        <v/>
      </c>
      <c r="E173" s="346">
        <f>IF(売分析!E173&lt;&gt;"",売分析!E173,"")</f>
        <v/>
      </c>
      <c r="F173" s="346">
        <f>IF(売分析!F173&lt;&gt;"",売分析!F173,"")</f>
        <v/>
      </c>
      <c r="G173" s="346">
        <f>IF(売分析!H173&lt;&gt;"",売分析!H173,"")</f>
        <v/>
      </c>
      <c r="H173" s="346">
        <f>IF(売分析!I173&lt;&gt;"",売分析!I173,"")</f>
        <v/>
      </c>
      <c r="I173" s="345">
        <f>IF(売分析!J173&lt;&gt;"",売分析!J173,"")</f>
        <v/>
      </c>
      <c r="J173" s="346">
        <f>IF(売分析!AB173&lt;&gt;"",売分析!AB173,"")</f>
        <v/>
      </c>
      <c r="K173" s="346">
        <f>IF(売分析!AC173&lt;&gt;"",売分析!AC173,"")</f>
        <v/>
      </c>
      <c r="L173" s="346">
        <f>IF(売分析!K173&lt;&gt;"",売分析!K173,"")</f>
        <v/>
      </c>
      <c r="M173" s="345">
        <f>IF(売分析!P173&lt;&gt;"",売分析!P173,"")</f>
        <v/>
      </c>
      <c r="N173" s="620">
        <f>IF(売分析!O173&lt;&gt;"",売分析!O173,"")</f>
        <v/>
      </c>
      <c r="O173" s="350">
        <f>IF(売分析!X173&lt;&gt;"",売分析!X173,"")</f>
        <v/>
      </c>
      <c r="P173" s="619">
        <f>IF(売分析!L173&lt;&gt;"",売分析!L173,"")</f>
        <v/>
      </c>
      <c r="Q173" s="346">
        <f>IF(売分析!S173&lt;&gt;"",売分析!S173,"")</f>
        <v/>
      </c>
      <c r="R173" s="346">
        <f>IF(売分析!R173&lt;&gt;"",売分析!R173,"")</f>
        <v/>
      </c>
      <c r="S173" s="345">
        <f>IF(売分析!AA173&lt;&gt;"",売分析!AA173,"")</f>
        <v/>
      </c>
      <c r="T173" s="622">
        <f>IF(売分析!Z173&lt;&gt;"",売分析!Z173,"")</f>
        <v/>
      </c>
      <c r="U173" s="345">
        <f>IF(売分析!V173&lt;&gt;"",売分析!V173,"")</f>
        <v/>
      </c>
      <c r="V173" s="621">
        <f>IF(売分析!W173&lt;&gt;"",売分析!W173,"")</f>
        <v/>
      </c>
      <c r="W173" s="345">
        <f>IF(売分析!AD173&lt;&gt;"",売分析!AD173,"")</f>
        <v/>
      </c>
      <c r="X173" s="345">
        <f>IF(売分析!AE173&lt;&gt;"",売分析!AE173,"")</f>
        <v/>
      </c>
      <c r="Y173" s="410">
        <f>IF(売分析!T173&lt;&gt;"",売分析!T173,"")</f>
        <v/>
      </c>
      <c r="Z173" s="345">
        <f>IF(売分析!Y173&lt;&gt;"",売分析!Y173,"")</f>
        <v/>
      </c>
    </row>
    <row r="174">
      <c r="A174" s="225">
        <f>IF(売分析!C174&lt;&gt;"",ROW()-2,"")</f>
        <v/>
      </c>
      <c r="B174" s="352">
        <f>IF(売分析!C174&lt;&gt;"",HYPERLINK("https://kabutan.jp/stock/?code="&amp;売分析!C174,"株探"),"")</f>
        <v/>
      </c>
      <c r="C174" s="631">
        <f>IF(売分析!C174&lt;&gt;"",売分析!C174,"")</f>
        <v/>
      </c>
      <c r="D174" s="225">
        <f>IF(売分析!D174&lt;&gt;"",売分析!D174,"")</f>
        <v/>
      </c>
      <c r="E174" s="353">
        <f>IF(売分析!E174&lt;&gt;"",売分析!E174,"")</f>
        <v/>
      </c>
      <c r="F174" s="353">
        <f>IF(売分析!F174&lt;&gt;"",売分析!F174,"")</f>
        <v/>
      </c>
      <c r="G174" s="353">
        <f>IF(売分析!H174&lt;&gt;"",売分析!H174,"")</f>
        <v/>
      </c>
      <c r="H174" s="353">
        <f>IF(売分析!I174&lt;&gt;"",売分析!I174,"")</f>
        <v/>
      </c>
      <c r="I174" s="225">
        <f>IF(売分析!J174&lt;&gt;"",売分析!J174,"")</f>
        <v/>
      </c>
      <c r="J174" s="353">
        <f>IF(売分析!AB174&lt;&gt;"",売分析!AB174,"")</f>
        <v/>
      </c>
      <c r="K174" s="353">
        <f>IF(売分析!AC174&lt;&gt;"",売分析!AC174,"")</f>
        <v/>
      </c>
      <c r="L174" s="353">
        <f>IF(売分析!K174&lt;&gt;"",売分析!K174,"")</f>
        <v/>
      </c>
      <c r="M174" s="225">
        <f>IF(売分析!P174&lt;&gt;"",売分析!P174,"")</f>
        <v/>
      </c>
      <c r="N174" s="627">
        <f>IF(売分析!O174&lt;&gt;"",売分析!O174,"")</f>
        <v/>
      </c>
      <c r="O174" s="357">
        <f>IF(売分析!X174&lt;&gt;"",売分析!X174,"")</f>
        <v/>
      </c>
      <c r="P174" s="626">
        <f>IF(売分析!L174&lt;&gt;"",売分析!L174,"")</f>
        <v/>
      </c>
      <c r="Q174" s="353">
        <f>IF(売分析!S174&lt;&gt;"",売分析!S174,"")</f>
        <v/>
      </c>
      <c r="R174" s="353">
        <f>IF(売分析!R174&lt;&gt;"",売分析!R174,"")</f>
        <v/>
      </c>
      <c r="S174" s="225">
        <f>IF(売分析!AA174&lt;&gt;"",売分析!AA174,"")</f>
        <v/>
      </c>
      <c r="T174" s="629">
        <f>IF(売分析!Z174&lt;&gt;"",売分析!Z174,"")</f>
        <v/>
      </c>
      <c r="U174" s="225">
        <f>IF(売分析!V174&lt;&gt;"",売分析!V174,"")</f>
        <v/>
      </c>
      <c r="V174" s="628">
        <f>IF(売分析!W174&lt;&gt;"",売分析!W174,"")</f>
        <v/>
      </c>
      <c r="W174" s="225">
        <f>IF(売分析!AD174&lt;&gt;"",売分析!AD174,"")</f>
        <v/>
      </c>
      <c r="X174" s="225">
        <f>IF(売分析!AE174&lt;&gt;"",売分析!AE174,"")</f>
        <v/>
      </c>
      <c r="Y174" s="411">
        <f>IF(売分析!T174&lt;&gt;"",売分析!T174,"")</f>
        <v/>
      </c>
      <c r="Z174" s="225">
        <f>IF(売分析!Y174&lt;&gt;"",売分析!Y174,"")</f>
        <v/>
      </c>
    </row>
    <row r="175">
      <c r="A175" s="345">
        <f>IF(売分析!C175&lt;&gt;"",ROW()-2,"")</f>
        <v/>
      </c>
      <c r="B175" s="344">
        <f>IF(売分析!C175&lt;&gt;"",HYPERLINK("https://kabutan.jp/stock/?code="&amp;売分析!C175,"株探"),"")</f>
        <v/>
      </c>
      <c r="C175" s="630">
        <f>IF(売分析!C175&lt;&gt;"",売分析!C175,"")</f>
        <v/>
      </c>
      <c r="D175" s="345">
        <f>IF(売分析!D175&lt;&gt;"",売分析!D175,"")</f>
        <v/>
      </c>
      <c r="E175" s="346">
        <f>IF(売分析!E175&lt;&gt;"",売分析!E175,"")</f>
        <v/>
      </c>
      <c r="F175" s="346">
        <f>IF(売分析!F175&lt;&gt;"",売分析!F175,"")</f>
        <v/>
      </c>
      <c r="G175" s="346">
        <f>IF(売分析!H175&lt;&gt;"",売分析!H175,"")</f>
        <v/>
      </c>
      <c r="H175" s="346">
        <f>IF(売分析!I175&lt;&gt;"",売分析!I175,"")</f>
        <v/>
      </c>
      <c r="I175" s="345">
        <f>IF(売分析!J175&lt;&gt;"",売分析!J175,"")</f>
        <v/>
      </c>
      <c r="J175" s="346">
        <f>IF(売分析!AB175&lt;&gt;"",売分析!AB175,"")</f>
        <v/>
      </c>
      <c r="K175" s="346">
        <f>IF(売分析!AC175&lt;&gt;"",売分析!AC175,"")</f>
        <v/>
      </c>
      <c r="L175" s="346">
        <f>IF(売分析!K175&lt;&gt;"",売分析!K175,"")</f>
        <v/>
      </c>
      <c r="M175" s="345">
        <f>IF(売分析!P175&lt;&gt;"",売分析!P175,"")</f>
        <v/>
      </c>
      <c r="N175" s="620">
        <f>IF(売分析!O175&lt;&gt;"",売分析!O175,"")</f>
        <v/>
      </c>
      <c r="O175" s="350">
        <f>IF(売分析!X175&lt;&gt;"",売分析!X175,"")</f>
        <v/>
      </c>
      <c r="P175" s="619">
        <f>IF(売分析!L175&lt;&gt;"",売分析!L175,"")</f>
        <v/>
      </c>
      <c r="Q175" s="346">
        <f>IF(売分析!S175&lt;&gt;"",売分析!S175,"")</f>
        <v/>
      </c>
      <c r="R175" s="346">
        <f>IF(売分析!R175&lt;&gt;"",売分析!R175,"")</f>
        <v/>
      </c>
      <c r="S175" s="345">
        <f>IF(売分析!AA175&lt;&gt;"",売分析!AA175,"")</f>
        <v/>
      </c>
      <c r="T175" s="622">
        <f>IF(売分析!Z175&lt;&gt;"",売分析!Z175,"")</f>
        <v/>
      </c>
      <c r="U175" s="345">
        <f>IF(売分析!V175&lt;&gt;"",売分析!V175,"")</f>
        <v/>
      </c>
      <c r="V175" s="621">
        <f>IF(売分析!W175&lt;&gt;"",売分析!W175,"")</f>
        <v/>
      </c>
      <c r="W175" s="345">
        <f>IF(売分析!AD175&lt;&gt;"",売分析!AD175,"")</f>
        <v/>
      </c>
      <c r="X175" s="345">
        <f>IF(売分析!AE175&lt;&gt;"",売分析!AE175,"")</f>
        <v/>
      </c>
      <c r="Y175" s="410">
        <f>IF(売分析!T175&lt;&gt;"",売分析!T175,"")</f>
        <v/>
      </c>
      <c r="Z175" s="345">
        <f>IF(売分析!Y175&lt;&gt;"",売分析!Y175,"")</f>
        <v/>
      </c>
    </row>
    <row r="176">
      <c r="A176" s="225">
        <f>IF(売分析!C176&lt;&gt;"",ROW()-2,"")</f>
        <v/>
      </c>
      <c r="B176" s="352">
        <f>IF(売分析!C176&lt;&gt;"",HYPERLINK("https://kabutan.jp/stock/?code="&amp;売分析!C176,"株探"),"")</f>
        <v/>
      </c>
      <c r="C176" s="631">
        <f>IF(売分析!C176&lt;&gt;"",売分析!C176,"")</f>
        <v/>
      </c>
      <c r="D176" s="225">
        <f>IF(売分析!D176&lt;&gt;"",売分析!D176,"")</f>
        <v/>
      </c>
      <c r="E176" s="353">
        <f>IF(売分析!E176&lt;&gt;"",売分析!E176,"")</f>
        <v/>
      </c>
      <c r="F176" s="353">
        <f>IF(売分析!F176&lt;&gt;"",売分析!F176,"")</f>
        <v/>
      </c>
      <c r="G176" s="353">
        <f>IF(売分析!H176&lt;&gt;"",売分析!H176,"")</f>
        <v/>
      </c>
      <c r="H176" s="353">
        <f>IF(売分析!I176&lt;&gt;"",売分析!I176,"")</f>
        <v/>
      </c>
      <c r="I176" s="225">
        <f>IF(売分析!J176&lt;&gt;"",売分析!J176,"")</f>
        <v/>
      </c>
      <c r="J176" s="353">
        <f>IF(売分析!AB176&lt;&gt;"",売分析!AB176,"")</f>
        <v/>
      </c>
      <c r="K176" s="353">
        <f>IF(売分析!AC176&lt;&gt;"",売分析!AC176,"")</f>
        <v/>
      </c>
      <c r="L176" s="353">
        <f>IF(売分析!K176&lt;&gt;"",売分析!K176,"")</f>
        <v/>
      </c>
      <c r="M176" s="225">
        <f>IF(売分析!P176&lt;&gt;"",売分析!P176,"")</f>
        <v/>
      </c>
      <c r="N176" s="627">
        <f>IF(売分析!O176&lt;&gt;"",売分析!O176,"")</f>
        <v/>
      </c>
      <c r="O176" s="357">
        <f>IF(売分析!X176&lt;&gt;"",売分析!X176,"")</f>
        <v/>
      </c>
      <c r="P176" s="626">
        <f>IF(売分析!L176&lt;&gt;"",売分析!L176,"")</f>
        <v/>
      </c>
      <c r="Q176" s="353">
        <f>IF(売分析!S176&lt;&gt;"",売分析!S176,"")</f>
        <v/>
      </c>
      <c r="R176" s="353">
        <f>IF(売分析!R176&lt;&gt;"",売分析!R176,"")</f>
        <v/>
      </c>
      <c r="S176" s="225">
        <f>IF(売分析!AA176&lt;&gt;"",売分析!AA176,"")</f>
        <v/>
      </c>
      <c r="T176" s="629">
        <f>IF(売分析!Z176&lt;&gt;"",売分析!Z176,"")</f>
        <v/>
      </c>
      <c r="U176" s="225">
        <f>IF(売分析!V176&lt;&gt;"",売分析!V176,"")</f>
        <v/>
      </c>
      <c r="V176" s="628">
        <f>IF(売分析!W176&lt;&gt;"",売分析!W176,"")</f>
        <v/>
      </c>
      <c r="W176" s="225">
        <f>IF(売分析!AD176&lt;&gt;"",売分析!AD176,"")</f>
        <v/>
      </c>
      <c r="X176" s="225">
        <f>IF(売分析!AE176&lt;&gt;"",売分析!AE176,"")</f>
        <v/>
      </c>
      <c r="Y176" s="411">
        <f>IF(売分析!T176&lt;&gt;"",売分析!T176,"")</f>
        <v/>
      </c>
      <c r="Z176" s="225">
        <f>IF(売分析!Y176&lt;&gt;"",売分析!Y176,"")</f>
        <v/>
      </c>
    </row>
    <row r="177">
      <c r="A177" s="345">
        <f>IF(売分析!C177&lt;&gt;"",ROW()-2,"")</f>
        <v/>
      </c>
      <c r="B177" s="344">
        <f>IF(売分析!C177&lt;&gt;"",HYPERLINK("https://kabutan.jp/stock/?code="&amp;売分析!C177,"株探"),"")</f>
        <v/>
      </c>
      <c r="C177" s="630">
        <f>IF(売分析!C177&lt;&gt;"",売分析!C177,"")</f>
        <v/>
      </c>
      <c r="D177" s="345">
        <f>IF(売分析!D177&lt;&gt;"",売分析!D177,"")</f>
        <v/>
      </c>
      <c r="E177" s="346">
        <f>IF(売分析!E177&lt;&gt;"",売分析!E177,"")</f>
        <v/>
      </c>
      <c r="F177" s="346">
        <f>IF(売分析!F177&lt;&gt;"",売分析!F177,"")</f>
        <v/>
      </c>
      <c r="G177" s="346">
        <f>IF(売分析!H177&lt;&gt;"",売分析!H177,"")</f>
        <v/>
      </c>
      <c r="H177" s="346">
        <f>IF(売分析!I177&lt;&gt;"",売分析!I177,"")</f>
        <v/>
      </c>
      <c r="I177" s="345">
        <f>IF(売分析!J177&lt;&gt;"",売分析!J177,"")</f>
        <v/>
      </c>
      <c r="J177" s="346">
        <f>IF(売分析!AB177&lt;&gt;"",売分析!AB177,"")</f>
        <v/>
      </c>
      <c r="K177" s="346">
        <f>IF(売分析!AC177&lt;&gt;"",売分析!AC177,"")</f>
        <v/>
      </c>
      <c r="L177" s="346">
        <f>IF(売分析!K177&lt;&gt;"",売分析!K177,"")</f>
        <v/>
      </c>
      <c r="M177" s="345">
        <f>IF(売分析!P177&lt;&gt;"",売分析!P177,"")</f>
        <v/>
      </c>
      <c r="N177" s="620">
        <f>IF(売分析!O177&lt;&gt;"",売分析!O177,"")</f>
        <v/>
      </c>
      <c r="O177" s="350">
        <f>IF(売分析!X177&lt;&gt;"",売分析!X177,"")</f>
        <v/>
      </c>
      <c r="P177" s="619">
        <f>IF(売分析!L177&lt;&gt;"",売分析!L177,"")</f>
        <v/>
      </c>
      <c r="Q177" s="346">
        <f>IF(売分析!S177&lt;&gt;"",売分析!S177,"")</f>
        <v/>
      </c>
      <c r="R177" s="346">
        <f>IF(売分析!R177&lt;&gt;"",売分析!R177,"")</f>
        <v/>
      </c>
      <c r="S177" s="345">
        <f>IF(売分析!AA177&lt;&gt;"",売分析!AA177,"")</f>
        <v/>
      </c>
      <c r="T177" s="622">
        <f>IF(売分析!Z177&lt;&gt;"",売分析!Z177,"")</f>
        <v/>
      </c>
      <c r="U177" s="345">
        <f>IF(売分析!V177&lt;&gt;"",売分析!V177,"")</f>
        <v/>
      </c>
      <c r="V177" s="621">
        <f>IF(売分析!W177&lt;&gt;"",売分析!W177,"")</f>
        <v/>
      </c>
      <c r="W177" s="345">
        <f>IF(売分析!AD177&lt;&gt;"",売分析!AD177,"")</f>
        <v/>
      </c>
      <c r="X177" s="345">
        <f>IF(売分析!AE177&lt;&gt;"",売分析!AE177,"")</f>
        <v/>
      </c>
      <c r="Y177" s="410">
        <f>IF(売分析!T177&lt;&gt;"",売分析!T177,"")</f>
        <v/>
      </c>
      <c r="Z177" s="345">
        <f>IF(売分析!Y177&lt;&gt;"",売分析!Y177,"")</f>
        <v/>
      </c>
    </row>
    <row r="178">
      <c r="A178" s="225">
        <f>IF(売分析!C178&lt;&gt;"",ROW()-2,"")</f>
        <v/>
      </c>
      <c r="B178" s="352">
        <f>IF(売分析!C178&lt;&gt;"",HYPERLINK("https://kabutan.jp/stock/?code="&amp;売分析!C178,"株探"),"")</f>
        <v/>
      </c>
      <c r="C178" s="631">
        <f>IF(売分析!C178&lt;&gt;"",売分析!C178,"")</f>
        <v/>
      </c>
      <c r="D178" s="225">
        <f>IF(売分析!D178&lt;&gt;"",売分析!D178,"")</f>
        <v/>
      </c>
      <c r="E178" s="353">
        <f>IF(売分析!E178&lt;&gt;"",売分析!E178,"")</f>
        <v/>
      </c>
      <c r="F178" s="353">
        <f>IF(売分析!F178&lt;&gt;"",売分析!F178,"")</f>
        <v/>
      </c>
      <c r="G178" s="353">
        <f>IF(売分析!H178&lt;&gt;"",売分析!H178,"")</f>
        <v/>
      </c>
      <c r="H178" s="353">
        <f>IF(売分析!I178&lt;&gt;"",売分析!I178,"")</f>
        <v/>
      </c>
      <c r="I178" s="225">
        <f>IF(売分析!J178&lt;&gt;"",売分析!J178,"")</f>
        <v/>
      </c>
      <c r="J178" s="353">
        <f>IF(売分析!AB178&lt;&gt;"",売分析!AB178,"")</f>
        <v/>
      </c>
      <c r="K178" s="353">
        <f>IF(売分析!AC178&lt;&gt;"",売分析!AC178,"")</f>
        <v/>
      </c>
      <c r="L178" s="353">
        <f>IF(売分析!K178&lt;&gt;"",売分析!K178,"")</f>
        <v/>
      </c>
      <c r="M178" s="225">
        <f>IF(売分析!P178&lt;&gt;"",売分析!P178,"")</f>
        <v/>
      </c>
      <c r="N178" s="627">
        <f>IF(売分析!O178&lt;&gt;"",売分析!O178,"")</f>
        <v/>
      </c>
      <c r="O178" s="357">
        <f>IF(売分析!X178&lt;&gt;"",売分析!X178,"")</f>
        <v/>
      </c>
      <c r="P178" s="626">
        <f>IF(売分析!L178&lt;&gt;"",売分析!L178,"")</f>
        <v/>
      </c>
      <c r="Q178" s="353">
        <f>IF(売分析!S178&lt;&gt;"",売分析!S178,"")</f>
        <v/>
      </c>
      <c r="R178" s="353">
        <f>IF(売分析!R178&lt;&gt;"",売分析!R178,"")</f>
        <v/>
      </c>
      <c r="S178" s="225">
        <f>IF(売分析!AA178&lt;&gt;"",売分析!AA178,"")</f>
        <v/>
      </c>
      <c r="T178" s="629">
        <f>IF(売分析!Z178&lt;&gt;"",売分析!Z178,"")</f>
        <v/>
      </c>
      <c r="U178" s="225">
        <f>IF(売分析!V178&lt;&gt;"",売分析!V178,"")</f>
        <v/>
      </c>
      <c r="V178" s="628">
        <f>IF(売分析!W178&lt;&gt;"",売分析!W178,"")</f>
        <v/>
      </c>
      <c r="W178" s="225">
        <f>IF(売分析!AD178&lt;&gt;"",売分析!AD178,"")</f>
        <v/>
      </c>
      <c r="X178" s="225">
        <f>IF(売分析!AE178&lt;&gt;"",売分析!AE178,"")</f>
        <v/>
      </c>
      <c r="Y178" s="411">
        <f>IF(売分析!T178&lt;&gt;"",売分析!T178,"")</f>
        <v/>
      </c>
      <c r="Z178" s="225">
        <f>IF(売分析!Y178&lt;&gt;"",売分析!Y178,"")</f>
        <v/>
      </c>
    </row>
    <row r="179">
      <c r="A179" s="345">
        <f>IF(売分析!C179&lt;&gt;"",ROW()-2,"")</f>
        <v/>
      </c>
      <c r="B179" s="344">
        <f>IF(売分析!C179&lt;&gt;"",HYPERLINK("https://kabutan.jp/stock/?code="&amp;売分析!C179,"株探"),"")</f>
        <v/>
      </c>
      <c r="C179" s="630">
        <f>IF(売分析!C179&lt;&gt;"",売分析!C179,"")</f>
        <v/>
      </c>
      <c r="D179" s="345">
        <f>IF(売分析!D179&lt;&gt;"",売分析!D179,"")</f>
        <v/>
      </c>
      <c r="E179" s="346">
        <f>IF(売分析!E179&lt;&gt;"",売分析!E179,"")</f>
        <v/>
      </c>
      <c r="F179" s="346">
        <f>IF(売分析!F179&lt;&gt;"",売分析!F179,"")</f>
        <v/>
      </c>
      <c r="G179" s="346">
        <f>IF(売分析!H179&lt;&gt;"",売分析!H179,"")</f>
        <v/>
      </c>
      <c r="H179" s="346">
        <f>IF(売分析!I179&lt;&gt;"",売分析!I179,"")</f>
        <v/>
      </c>
      <c r="I179" s="345">
        <f>IF(売分析!J179&lt;&gt;"",売分析!J179,"")</f>
        <v/>
      </c>
      <c r="J179" s="346">
        <f>IF(売分析!AB179&lt;&gt;"",売分析!AB179,"")</f>
        <v/>
      </c>
      <c r="K179" s="346">
        <f>IF(売分析!AC179&lt;&gt;"",売分析!AC179,"")</f>
        <v/>
      </c>
      <c r="L179" s="346">
        <f>IF(売分析!K179&lt;&gt;"",売分析!K179,"")</f>
        <v/>
      </c>
      <c r="M179" s="345">
        <f>IF(売分析!P179&lt;&gt;"",売分析!P179,"")</f>
        <v/>
      </c>
      <c r="N179" s="620">
        <f>IF(売分析!O179&lt;&gt;"",売分析!O179,"")</f>
        <v/>
      </c>
      <c r="O179" s="350">
        <f>IF(売分析!X179&lt;&gt;"",売分析!X179,"")</f>
        <v/>
      </c>
      <c r="P179" s="619">
        <f>IF(売分析!L179&lt;&gt;"",売分析!L179,"")</f>
        <v/>
      </c>
      <c r="Q179" s="346">
        <f>IF(売分析!S179&lt;&gt;"",売分析!S179,"")</f>
        <v/>
      </c>
      <c r="R179" s="346">
        <f>IF(売分析!R179&lt;&gt;"",売分析!R179,"")</f>
        <v/>
      </c>
      <c r="S179" s="345">
        <f>IF(売分析!AA179&lt;&gt;"",売分析!AA179,"")</f>
        <v/>
      </c>
      <c r="T179" s="622">
        <f>IF(売分析!Z179&lt;&gt;"",売分析!Z179,"")</f>
        <v/>
      </c>
      <c r="U179" s="345">
        <f>IF(売分析!V179&lt;&gt;"",売分析!V179,"")</f>
        <v/>
      </c>
      <c r="V179" s="621">
        <f>IF(売分析!W179&lt;&gt;"",売分析!W179,"")</f>
        <v/>
      </c>
      <c r="W179" s="345">
        <f>IF(売分析!AD179&lt;&gt;"",売分析!AD179,"")</f>
        <v/>
      </c>
      <c r="X179" s="345">
        <f>IF(売分析!AE179&lt;&gt;"",売分析!AE179,"")</f>
        <v/>
      </c>
      <c r="Y179" s="410">
        <f>IF(売分析!T179&lt;&gt;"",売分析!T179,"")</f>
        <v/>
      </c>
      <c r="Z179" s="345">
        <f>IF(売分析!Y179&lt;&gt;"",売分析!Y179,"")</f>
        <v/>
      </c>
    </row>
    <row r="180">
      <c r="A180" s="225">
        <f>IF(売分析!C180&lt;&gt;"",ROW()-2,"")</f>
        <v/>
      </c>
      <c r="B180" s="352">
        <f>IF(売分析!C180&lt;&gt;"",HYPERLINK("https://kabutan.jp/stock/?code="&amp;売分析!C180,"株探"),"")</f>
        <v/>
      </c>
      <c r="C180" s="631">
        <f>IF(売分析!C180&lt;&gt;"",売分析!C180,"")</f>
        <v/>
      </c>
      <c r="D180" s="225">
        <f>IF(売分析!D180&lt;&gt;"",売分析!D180,"")</f>
        <v/>
      </c>
      <c r="E180" s="353">
        <f>IF(売分析!E180&lt;&gt;"",売分析!E180,"")</f>
        <v/>
      </c>
      <c r="F180" s="353">
        <f>IF(売分析!F180&lt;&gt;"",売分析!F180,"")</f>
        <v/>
      </c>
      <c r="G180" s="353">
        <f>IF(売分析!H180&lt;&gt;"",売分析!H180,"")</f>
        <v/>
      </c>
      <c r="H180" s="353">
        <f>IF(売分析!I180&lt;&gt;"",売分析!I180,"")</f>
        <v/>
      </c>
      <c r="I180" s="225">
        <f>IF(売分析!J180&lt;&gt;"",売分析!J180,"")</f>
        <v/>
      </c>
      <c r="J180" s="353">
        <f>IF(売分析!AB180&lt;&gt;"",売分析!AB180,"")</f>
        <v/>
      </c>
      <c r="K180" s="353">
        <f>IF(売分析!AC180&lt;&gt;"",売分析!AC180,"")</f>
        <v/>
      </c>
      <c r="L180" s="353">
        <f>IF(売分析!K180&lt;&gt;"",売分析!K180,"")</f>
        <v/>
      </c>
      <c r="M180" s="225">
        <f>IF(売分析!P180&lt;&gt;"",売分析!P180,"")</f>
        <v/>
      </c>
      <c r="N180" s="627">
        <f>IF(売分析!O180&lt;&gt;"",売分析!O180,"")</f>
        <v/>
      </c>
      <c r="O180" s="357">
        <f>IF(売分析!X180&lt;&gt;"",売分析!X180,"")</f>
        <v/>
      </c>
      <c r="P180" s="626">
        <f>IF(売分析!L180&lt;&gt;"",売分析!L180,"")</f>
        <v/>
      </c>
      <c r="Q180" s="353">
        <f>IF(売分析!S180&lt;&gt;"",売分析!S180,"")</f>
        <v/>
      </c>
      <c r="R180" s="353">
        <f>IF(売分析!R180&lt;&gt;"",売分析!R180,"")</f>
        <v/>
      </c>
      <c r="S180" s="225">
        <f>IF(売分析!AA180&lt;&gt;"",売分析!AA180,"")</f>
        <v/>
      </c>
      <c r="T180" s="629">
        <f>IF(売分析!Z180&lt;&gt;"",売分析!Z180,"")</f>
        <v/>
      </c>
      <c r="U180" s="225">
        <f>IF(売分析!V180&lt;&gt;"",売分析!V180,"")</f>
        <v/>
      </c>
      <c r="V180" s="628">
        <f>IF(売分析!W180&lt;&gt;"",売分析!W180,"")</f>
        <v/>
      </c>
      <c r="W180" s="225">
        <f>IF(売分析!AD180&lt;&gt;"",売分析!AD180,"")</f>
        <v/>
      </c>
      <c r="X180" s="225">
        <f>IF(売分析!AE180&lt;&gt;"",売分析!AE180,"")</f>
        <v/>
      </c>
      <c r="Y180" s="411">
        <f>IF(売分析!T180&lt;&gt;"",売分析!T180,"")</f>
        <v/>
      </c>
      <c r="Z180" s="225">
        <f>IF(売分析!Y180&lt;&gt;"",売分析!Y180,"")</f>
        <v/>
      </c>
    </row>
    <row r="181">
      <c r="A181" s="345">
        <f>IF(売分析!C181&lt;&gt;"",ROW()-2,"")</f>
        <v/>
      </c>
      <c r="B181" s="344">
        <f>IF(売分析!C181&lt;&gt;"",HYPERLINK("https://kabutan.jp/stock/?code="&amp;売分析!C181,"株探"),"")</f>
        <v/>
      </c>
      <c r="C181" s="630">
        <f>IF(売分析!C181&lt;&gt;"",売分析!C181,"")</f>
        <v/>
      </c>
      <c r="D181" s="345">
        <f>IF(売分析!D181&lt;&gt;"",売分析!D181,"")</f>
        <v/>
      </c>
      <c r="E181" s="346">
        <f>IF(売分析!E181&lt;&gt;"",売分析!E181,"")</f>
        <v/>
      </c>
      <c r="F181" s="346">
        <f>IF(売分析!F181&lt;&gt;"",売分析!F181,"")</f>
        <v/>
      </c>
      <c r="G181" s="346">
        <f>IF(売分析!H181&lt;&gt;"",売分析!H181,"")</f>
        <v/>
      </c>
      <c r="H181" s="346">
        <f>IF(売分析!I181&lt;&gt;"",売分析!I181,"")</f>
        <v/>
      </c>
      <c r="I181" s="345">
        <f>IF(売分析!J181&lt;&gt;"",売分析!J181,"")</f>
        <v/>
      </c>
      <c r="J181" s="346">
        <f>IF(売分析!AB181&lt;&gt;"",売分析!AB181,"")</f>
        <v/>
      </c>
      <c r="K181" s="346">
        <f>IF(売分析!AC181&lt;&gt;"",売分析!AC181,"")</f>
        <v/>
      </c>
      <c r="L181" s="346">
        <f>IF(売分析!K181&lt;&gt;"",売分析!K181,"")</f>
        <v/>
      </c>
      <c r="M181" s="345">
        <f>IF(売分析!P181&lt;&gt;"",売分析!P181,"")</f>
        <v/>
      </c>
      <c r="N181" s="620">
        <f>IF(売分析!O181&lt;&gt;"",売分析!O181,"")</f>
        <v/>
      </c>
      <c r="O181" s="350">
        <f>IF(売分析!X181&lt;&gt;"",売分析!X181,"")</f>
        <v/>
      </c>
      <c r="P181" s="619">
        <f>IF(売分析!L181&lt;&gt;"",売分析!L181,"")</f>
        <v/>
      </c>
      <c r="Q181" s="346">
        <f>IF(売分析!S181&lt;&gt;"",売分析!S181,"")</f>
        <v/>
      </c>
      <c r="R181" s="346">
        <f>IF(売分析!R181&lt;&gt;"",売分析!R181,"")</f>
        <v/>
      </c>
      <c r="S181" s="345">
        <f>IF(売分析!AA181&lt;&gt;"",売分析!AA181,"")</f>
        <v/>
      </c>
      <c r="T181" s="622">
        <f>IF(売分析!Z181&lt;&gt;"",売分析!Z181,"")</f>
        <v/>
      </c>
      <c r="U181" s="345">
        <f>IF(売分析!V181&lt;&gt;"",売分析!V181,"")</f>
        <v/>
      </c>
      <c r="V181" s="621">
        <f>IF(売分析!W181&lt;&gt;"",売分析!W181,"")</f>
        <v/>
      </c>
      <c r="W181" s="345">
        <f>IF(売分析!AD181&lt;&gt;"",売分析!AD181,"")</f>
        <v/>
      </c>
      <c r="X181" s="345">
        <f>IF(売分析!AE181&lt;&gt;"",売分析!AE181,"")</f>
        <v/>
      </c>
      <c r="Y181" s="410">
        <f>IF(売分析!T181&lt;&gt;"",売分析!T181,"")</f>
        <v/>
      </c>
      <c r="Z181" s="345">
        <f>IF(売分析!Y181&lt;&gt;"",売分析!Y181,"")</f>
        <v/>
      </c>
    </row>
    <row r="182">
      <c r="A182" s="225">
        <f>IF(売分析!C182&lt;&gt;"",ROW()-2,"")</f>
        <v/>
      </c>
      <c r="B182" s="352">
        <f>IF(売分析!C182&lt;&gt;"",HYPERLINK("https://kabutan.jp/stock/?code="&amp;売分析!C182,"株探"),"")</f>
        <v/>
      </c>
      <c r="C182" s="631">
        <f>IF(売分析!C182&lt;&gt;"",売分析!C182,"")</f>
        <v/>
      </c>
      <c r="D182" s="225">
        <f>IF(売分析!D182&lt;&gt;"",売分析!D182,"")</f>
        <v/>
      </c>
      <c r="E182" s="353">
        <f>IF(売分析!E182&lt;&gt;"",売分析!E182,"")</f>
        <v/>
      </c>
      <c r="F182" s="353">
        <f>IF(売分析!F182&lt;&gt;"",売分析!F182,"")</f>
        <v/>
      </c>
      <c r="G182" s="353">
        <f>IF(売分析!H182&lt;&gt;"",売分析!H182,"")</f>
        <v/>
      </c>
      <c r="H182" s="353">
        <f>IF(売分析!I182&lt;&gt;"",売分析!I182,"")</f>
        <v/>
      </c>
      <c r="I182" s="225">
        <f>IF(売分析!J182&lt;&gt;"",売分析!J182,"")</f>
        <v/>
      </c>
      <c r="J182" s="353">
        <f>IF(売分析!AB182&lt;&gt;"",売分析!AB182,"")</f>
        <v/>
      </c>
      <c r="K182" s="353">
        <f>IF(売分析!AC182&lt;&gt;"",売分析!AC182,"")</f>
        <v/>
      </c>
      <c r="L182" s="353">
        <f>IF(売分析!K182&lt;&gt;"",売分析!K182,"")</f>
        <v/>
      </c>
      <c r="M182" s="225">
        <f>IF(売分析!P182&lt;&gt;"",売分析!P182,"")</f>
        <v/>
      </c>
      <c r="N182" s="627">
        <f>IF(売分析!O182&lt;&gt;"",売分析!O182,"")</f>
        <v/>
      </c>
      <c r="O182" s="357">
        <f>IF(売分析!X182&lt;&gt;"",売分析!X182,"")</f>
        <v/>
      </c>
      <c r="P182" s="626">
        <f>IF(売分析!L182&lt;&gt;"",売分析!L182,"")</f>
        <v/>
      </c>
      <c r="Q182" s="353">
        <f>IF(売分析!S182&lt;&gt;"",売分析!S182,"")</f>
        <v/>
      </c>
      <c r="R182" s="353">
        <f>IF(売分析!R182&lt;&gt;"",売分析!R182,"")</f>
        <v/>
      </c>
      <c r="S182" s="225">
        <f>IF(売分析!AA182&lt;&gt;"",売分析!AA182,"")</f>
        <v/>
      </c>
      <c r="T182" s="629">
        <f>IF(売分析!Z182&lt;&gt;"",売分析!Z182,"")</f>
        <v/>
      </c>
      <c r="U182" s="225">
        <f>IF(売分析!V182&lt;&gt;"",売分析!V182,"")</f>
        <v/>
      </c>
      <c r="V182" s="628">
        <f>IF(売分析!W182&lt;&gt;"",売分析!W182,"")</f>
        <v/>
      </c>
      <c r="W182" s="225">
        <f>IF(売分析!AD182&lt;&gt;"",売分析!AD182,"")</f>
        <v/>
      </c>
      <c r="X182" s="225">
        <f>IF(売分析!AE182&lt;&gt;"",売分析!AE182,"")</f>
        <v/>
      </c>
      <c r="Y182" s="411">
        <f>IF(売分析!T182&lt;&gt;"",売分析!T182,"")</f>
        <v/>
      </c>
      <c r="Z182" s="225">
        <f>IF(売分析!Y182&lt;&gt;"",売分析!Y182,"")</f>
        <v/>
      </c>
    </row>
    <row r="183">
      <c r="A183" s="345">
        <f>IF(売分析!C183&lt;&gt;"",ROW()-2,"")</f>
        <v/>
      </c>
      <c r="B183" s="344">
        <f>IF(売分析!C183&lt;&gt;"",HYPERLINK("https://kabutan.jp/stock/?code="&amp;売分析!C183,"株探"),"")</f>
        <v/>
      </c>
      <c r="C183" s="630">
        <f>IF(売分析!C183&lt;&gt;"",売分析!C183,"")</f>
        <v/>
      </c>
      <c r="D183" s="345">
        <f>IF(売分析!D183&lt;&gt;"",売分析!D183,"")</f>
        <v/>
      </c>
      <c r="E183" s="346">
        <f>IF(売分析!E183&lt;&gt;"",売分析!E183,"")</f>
        <v/>
      </c>
      <c r="F183" s="346">
        <f>IF(売分析!F183&lt;&gt;"",売分析!F183,"")</f>
        <v/>
      </c>
      <c r="G183" s="346">
        <f>IF(売分析!H183&lt;&gt;"",売分析!H183,"")</f>
        <v/>
      </c>
      <c r="H183" s="346">
        <f>IF(売分析!I183&lt;&gt;"",売分析!I183,"")</f>
        <v/>
      </c>
      <c r="I183" s="345">
        <f>IF(売分析!J183&lt;&gt;"",売分析!J183,"")</f>
        <v/>
      </c>
      <c r="J183" s="346">
        <f>IF(売分析!AB183&lt;&gt;"",売分析!AB183,"")</f>
        <v/>
      </c>
      <c r="K183" s="346">
        <f>IF(売分析!AC183&lt;&gt;"",売分析!AC183,"")</f>
        <v/>
      </c>
      <c r="L183" s="346">
        <f>IF(売分析!K183&lt;&gt;"",売分析!K183,"")</f>
        <v/>
      </c>
      <c r="M183" s="345">
        <f>IF(売分析!P183&lt;&gt;"",売分析!P183,"")</f>
        <v/>
      </c>
      <c r="N183" s="620">
        <f>IF(売分析!O183&lt;&gt;"",売分析!O183,"")</f>
        <v/>
      </c>
      <c r="O183" s="350">
        <f>IF(売分析!X183&lt;&gt;"",売分析!X183,"")</f>
        <v/>
      </c>
      <c r="P183" s="619">
        <f>IF(売分析!L183&lt;&gt;"",売分析!L183,"")</f>
        <v/>
      </c>
      <c r="Q183" s="346">
        <f>IF(売分析!S183&lt;&gt;"",売分析!S183,"")</f>
        <v/>
      </c>
      <c r="R183" s="346">
        <f>IF(売分析!R183&lt;&gt;"",売分析!R183,"")</f>
        <v/>
      </c>
      <c r="S183" s="345">
        <f>IF(売分析!AA183&lt;&gt;"",売分析!AA183,"")</f>
        <v/>
      </c>
      <c r="T183" s="622">
        <f>IF(売分析!Z183&lt;&gt;"",売分析!Z183,"")</f>
        <v/>
      </c>
      <c r="U183" s="345">
        <f>IF(売分析!V183&lt;&gt;"",売分析!V183,"")</f>
        <v/>
      </c>
      <c r="V183" s="621">
        <f>IF(売分析!W183&lt;&gt;"",売分析!W183,"")</f>
        <v/>
      </c>
      <c r="W183" s="345">
        <f>IF(売分析!AD183&lt;&gt;"",売分析!AD183,"")</f>
        <v/>
      </c>
      <c r="X183" s="345">
        <f>IF(売分析!AE183&lt;&gt;"",売分析!AE183,"")</f>
        <v/>
      </c>
      <c r="Y183" s="410">
        <f>IF(売分析!T183&lt;&gt;"",売分析!T183,"")</f>
        <v/>
      </c>
      <c r="Z183" s="345">
        <f>IF(売分析!Y183&lt;&gt;"",売分析!Y183,"")</f>
        <v/>
      </c>
    </row>
    <row r="184">
      <c r="A184" s="225">
        <f>IF(売分析!C184&lt;&gt;"",ROW()-2,"")</f>
        <v/>
      </c>
      <c r="B184" s="352">
        <f>IF(売分析!C184&lt;&gt;"",HYPERLINK("https://kabutan.jp/stock/?code="&amp;売分析!C184,"株探"),"")</f>
        <v/>
      </c>
      <c r="C184" s="631">
        <f>IF(売分析!C184&lt;&gt;"",売分析!C184,"")</f>
        <v/>
      </c>
      <c r="D184" s="225">
        <f>IF(売分析!D184&lt;&gt;"",売分析!D184,"")</f>
        <v/>
      </c>
      <c r="E184" s="353">
        <f>IF(売分析!E184&lt;&gt;"",売分析!E184,"")</f>
        <v/>
      </c>
      <c r="F184" s="353">
        <f>IF(売分析!F184&lt;&gt;"",売分析!F184,"")</f>
        <v/>
      </c>
      <c r="G184" s="353">
        <f>IF(売分析!H184&lt;&gt;"",売分析!H184,"")</f>
        <v/>
      </c>
      <c r="H184" s="353">
        <f>IF(売分析!I184&lt;&gt;"",売分析!I184,"")</f>
        <v/>
      </c>
      <c r="I184" s="225">
        <f>IF(売分析!J184&lt;&gt;"",売分析!J184,"")</f>
        <v/>
      </c>
      <c r="J184" s="353">
        <f>IF(売分析!AB184&lt;&gt;"",売分析!AB184,"")</f>
        <v/>
      </c>
      <c r="K184" s="353">
        <f>IF(売分析!AC184&lt;&gt;"",売分析!AC184,"")</f>
        <v/>
      </c>
      <c r="L184" s="353">
        <f>IF(売分析!K184&lt;&gt;"",売分析!K184,"")</f>
        <v/>
      </c>
      <c r="M184" s="225">
        <f>IF(売分析!P184&lt;&gt;"",売分析!P184,"")</f>
        <v/>
      </c>
      <c r="N184" s="627">
        <f>IF(売分析!O184&lt;&gt;"",売分析!O184,"")</f>
        <v/>
      </c>
      <c r="O184" s="357">
        <f>IF(売分析!X184&lt;&gt;"",売分析!X184,"")</f>
        <v/>
      </c>
      <c r="P184" s="626">
        <f>IF(売分析!L184&lt;&gt;"",売分析!L184,"")</f>
        <v/>
      </c>
      <c r="Q184" s="353">
        <f>IF(売分析!S184&lt;&gt;"",売分析!S184,"")</f>
        <v/>
      </c>
      <c r="R184" s="353">
        <f>IF(売分析!R184&lt;&gt;"",売分析!R184,"")</f>
        <v/>
      </c>
      <c r="S184" s="225">
        <f>IF(売分析!AA184&lt;&gt;"",売分析!AA184,"")</f>
        <v/>
      </c>
      <c r="T184" s="629">
        <f>IF(売分析!Z184&lt;&gt;"",売分析!Z184,"")</f>
        <v/>
      </c>
      <c r="U184" s="225">
        <f>IF(売分析!V184&lt;&gt;"",売分析!V184,"")</f>
        <v/>
      </c>
      <c r="V184" s="628">
        <f>IF(売分析!W184&lt;&gt;"",売分析!W184,"")</f>
        <v/>
      </c>
      <c r="W184" s="225">
        <f>IF(売分析!AD184&lt;&gt;"",売分析!AD184,"")</f>
        <v/>
      </c>
      <c r="X184" s="225">
        <f>IF(売分析!AE184&lt;&gt;"",売分析!AE184,"")</f>
        <v/>
      </c>
      <c r="Y184" s="411">
        <f>IF(売分析!T184&lt;&gt;"",売分析!T184,"")</f>
        <v/>
      </c>
      <c r="Z184" s="225">
        <f>IF(売分析!Y184&lt;&gt;"",売分析!Y184,"")</f>
        <v/>
      </c>
    </row>
    <row r="185">
      <c r="A185" s="345">
        <f>IF(売分析!C185&lt;&gt;"",ROW()-2,"")</f>
        <v/>
      </c>
      <c r="B185" s="344">
        <f>IF(売分析!C185&lt;&gt;"",HYPERLINK("https://kabutan.jp/stock/?code="&amp;売分析!C185,"株探"),"")</f>
        <v/>
      </c>
      <c r="C185" s="630">
        <f>IF(売分析!C185&lt;&gt;"",売分析!C185,"")</f>
        <v/>
      </c>
      <c r="D185" s="345">
        <f>IF(売分析!D185&lt;&gt;"",売分析!D185,"")</f>
        <v/>
      </c>
      <c r="E185" s="346">
        <f>IF(売分析!E185&lt;&gt;"",売分析!E185,"")</f>
        <v/>
      </c>
      <c r="F185" s="346">
        <f>IF(売分析!F185&lt;&gt;"",売分析!F185,"")</f>
        <v/>
      </c>
      <c r="G185" s="346">
        <f>IF(売分析!H185&lt;&gt;"",売分析!H185,"")</f>
        <v/>
      </c>
      <c r="H185" s="346">
        <f>IF(売分析!I185&lt;&gt;"",売分析!I185,"")</f>
        <v/>
      </c>
      <c r="I185" s="345">
        <f>IF(売分析!J185&lt;&gt;"",売分析!J185,"")</f>
        <v/>
      </c>
      <c r="J185" s="346">
        <f>IF(売分析!AB185&lt;&gt;"",売分析!AB185,"")</f>
        <v/>
      </c>
      <c r="K185" s="346">
        <f>IF(売分析!AC185&lt;&gt;"",売分析!AC185,"")</f>
        <v/>
      </c>
      <c r="L185" s="346">
        <f>IF(売分析!K185&lt;&gt;"",売分析!K185,"")</f>
        <v/>
      </c>
      <c r="M185" s="345">
        <f>IF(売分析!P185&lt;&gt;"",売分析!P185,"")</f>
        <v/>
      </c>
      <c r="N185" s="620">
        <f>IF(売分析!O185&lt;&gt;"",売分析!O185,"")</f>
        <v/>
      </c>
      <c r="O185" s="350">
        <f>IF(売分析!X185&lt;&gt;"",売分析!X185,"")</f>
        <v/>
      </c>
      <c r="P185" s="619">
        <f>IF(売分析!L185&lt;&gt;"",売分析!L185,"")</f>
        <v/>
      </c>
      <c r="Q185" s="346">
        <f>IF(売分析!S185&lt;&gt;"",売分析!S185,"")</f>
        <v/>
      </c>
      <c r="R185" s="346">
        <f>IF(売分析!R185&lt;&gt;"",売分析!R185,"")</f>
        <v/>
      </c>
      <c r="S185" s="345">
        <f>IF(売分析!AA185&lt;&gt;"",売分析!AA185,"")</f>
        <v/>
      </c>
      <c r="T185" s="622">
        <f>IF(売分析!Z185&lt;&gt;"",売分析!Z185,"")</f>
        <v/>
      </c>
      <c r="U185" s="345">
        <f>IF(売分析!V185&lt;&gt;"",売分析!V185,"")</f>
        <v/>
      </c>
      <c r="V185" s="621">
        <f>IF(売分析!W185&lt;&gt;"",売分析!W185,"")</f>
        <v/>
      </c>
      <c r="W185" s="345">
        <f>IF(売分析!AD185&lt;&gt;"",売分析!AD185,"")</f>
        <v/>
      </c>
      <c r="X185" s="345">
        <f>IF(売分析!AE185&lt;&gt;"",売分析!AE185,"")</f>
        <v/>
      </c>
      <c r="Y185" s="410">
        <f>IF(売分析!T185&lt;&gt;"",売分析!T185,"")</f>
        <v/>
      </c>
      <c r="Z185" s="345">
        <f>IF(売分析!Y185&lt;&gt;"",売分析!Y185,"")</f>
        <v/>
      </c>
    </row>
    <row r="186">
      <c r="A186" s="225">
        <f>IF(売分析!C186&lt;&gt;"",ROW()-2,"")</f>
        <v/>
      </c>
      <c r="B186" s="352">
        <f>IF(売分析!C186&lt;&gt;"",HYPERLINK("https://kabutan.jp/stock/?code="&amp;売分析!C186,"株探"),"")</f>
        <v/>
      </c>
      <c r="C186" s="631">
        <f>IF(売分析!C186&lt;&gt;"",売分析!C186,"")</f>
        <v/>
      </c>
      <c r="D186" s="225">
        <f>IF(売分析!D186&lt;&gt;"",売分析!D186,"")</f>
        <v/>
      </c>
      <c r="E186" s="353">
        <f>IF(売分析!E186&lt;&gt;"",売分析!E186,"")</f>
        <v/>
      </c>
      <c r="F186" s="353">
        <f>IF(売分析!F186&lt;&gt;"",売分析!F186,"")</f>
        <v/>
      </c>
      <c r="G186" s="353">
        <f>IF(売分析!H186&lt;&gt;"",売分析!H186,"")</f>
        <v/>
      </c>
      <c r="H186" s="353">
        <f>IF(売分析!I186&lt;&gt;"",売分析!I186,"")</f>
        <v/>
      </c>
      <c r="I186" s="225">
        <f>IF(売分析!J186&lt;&gt;"",売分析!J186,"")</f>
        <v/>
      </c>
      <c r="J186" s="353">
        <f>IF(売分析!AB186&lt;&gt;"",売分析!AB186,"")</f>
        <v/>
      </c>
      <c r="K186" s="353">
        <f>IF(売分析!AC186&lt;&gt;"",売分析!AC186,"")</f>
        <v/>
      </c>
      <c r="L186" s="353">
        <f>IF(売分析!K186&lt;&gt;"",売分析!K186,"")</f>
        <v/>
      </c>
      <c r="M186" s="225">
        <f>IF(売分析!P186&lt;&gt;"",売分析!P186,"")</f>
        <v/>
      </c>
      <c r="N186" s="627">
        <f>IF(売分析!O186&lt;&gt;"",売分析!O186,"")</f>
        <v/>
      </c>
      <c r="O186" s="357">
        <f>IF(売分析!X186&lt;&gt;"",売分析!X186,"")</f>
        <v/>
      </c>
      <c r="P186" s="626">
        <f>IF(売分析!L186&lt;&gt;"",売分析!L186,"")</f>
        <v/>
      </c>
      <c r="Q186" s="353">
        <f>IF(売分析!S186&lt;&gt;"",売分析!S186,"")</f>
        <v/>
      </c>
      <c r="R186" s="353">
        <f>IF(売分析!R186&lt;&gt;"",売分析!R186,"")</f>
        <v/>
      </c>
      <c r="S186" s="225">
        <f>IF(売分析!AA186&lt;&gt;"",売分析!AA186,"")</f>
        <v/>
      </c>
      <c r="T186" s="629">
        <f>IF(売分析!Z186&lt;&gt;"",売分析!Z186,"")</f>
        <v/>
      </c>
      <c r="U186" s="225">
        <f>IF(売分析!V186&lt;&gt;"",売分析!V186,"")</f>
        <v/>
      </c>
      <c r="V186" s="628">
        <f>IF(売分析!W186&lt;&gt;"",売分析!W186,"")</f>
        <v/>
      </c>
      <c r="W186" s="225">
        <f>IF(売分析!AD186&lt;&gt;"",売分析!AD186,"")</f>
        <v/>
      </c>
      <c r="X186" s="225">
        <f>IF(売分析!AE186&lt;&gt;"",売分析!AE186,"")</f>
        <v/>
      </c>
      <c r="Y186" s="411">
        <f>IF(売分析!T186&lt;&gt;"",売分析!T186,"")</f>
        <v/>
      </c>
      <c r="Z186" s="225">
        <f>IF(売分析!Y186&lt;&gt;"",売分析!Y186,"")</f>
        <v/>
      </c>
    </row>
    <row r="187">
      <c r="A187" s="345">
        <f>IF(売分析!C187&lt;&gt;"",ROW()-2,"")</f>
        <v/>
      </c>
      <c r="B187" s="344">
        <f>IF(売分析!C187&lt;&gt;"",HYPERLINK("https://kabutan.jp/stock/?code="&amp;売分析!C187,"株探"),"")</f>
        <v/>
      </c>
      <c r="C187" s="630">
        <f>IF(売分析!C187&lt;&gt;"",売分析!C187,"")</f>
        <v/>
      </c>
      <c r="D187" s="345">
        <f>IF(売分析!D187&lt;&gt;"",売分析!D187,"")</f>
        <v/>
      </c>
      <c r="E187" s="346">
        <f>IF(売分析!E187&lt;&gt;"",売分析!E187,"")</f>
        <v/>
      </c>
      <c r="F187" s="346">
        <f>IF(売分析!F187&lt;&gt;"",売分析!F187,"")</f>
        <v/>
      </c>
      <c r="G187" s="346">
        <f>IF(売分析!H187&lt;&gt;"",売分析!H187,"")</f>
        <v/>
      </c>
      <c r="H187" s="346">
        <f>IF(売分析!I187&lt;&gt;"",売分析!I187,"")</f>
        <v/>
      </c>
      <c r="I187" s="345">
        <f>IF(売分析!J187&lt;&gt;"",売分析!J187,"")</f>
        <v/>
      </c>
      <c r="J187" s="346">
        <f>IF(売分析!AB187&lt;&gt;"",売分析!AB187,"")</f>
        <v/>
      </c>
      <c r="K187" s="346">
        <f>IF(売分析!AC187&lt;&gt;"",売分析!AC187,"")</f>
        <v/>
      </c>
      <c r="L187" s="346">
        <f>IF(売分析!K187&lt;&gt;"",売分析!K187,"")</f>
        <v/>
      </c>
      <c r="M187" s="345">
        <f>IF(売分析!P187&lt;&gt;"",売分析!P187,"")</f>
        <v/>
      </c>
      <c r="N187" s="620">
        <f>IF(売分析!O187&lt;&gt;"",売分析!O187,"")</f>
        <v/>
      </c>
      <c r="O187" s="350">
        <f>IF(売分析!X187&lt;&gt;"",売分析!X187,"")</f>
        <v/>
      </c>
      <c r="P187" s="619">
        <f>IF(売分析!L187&lt;&gt;"",売分析!L187,"")</f>
        <v/>
      </c>
      <c r="Q187" s="346">
        <f>IF(売分析!S187&lt;&gt;"",売分析!S187,"")</f>
        <v/>
      </c>
      <c r="R187" s="346">
        <f>IF(売分析!R187&lt;&gt;"",売分析!R187,"")</f>
        <v/>
      </c>
      <c r="S187" s="345">
        <f>IF(売分析!AA187&lt;&gt;"",売分析!AA187,"")</f>
        <v/>
      </c>
      <c r="T187" s="622">
        <f>IF(売分析!Z187&lt;&gt;"",売分析!Z187,"")</f>
        <v/>
      </c>
      <c r="U187" s="345">
        <f>IF(売分析!V187&lt;&gt;"",売分析!V187,"")</f>
        <v/>
      </c>
      <c r="V187" s="621">
        <f>IF(売分析!W187&lt;&gt;"",売分析!W187,"")</f>
        <v/>
      </c>
      <c r="W187" s="345">
        <f>IF(売分析!AD187&lt;&gt;"",売分析!AD187,"")</f>
        <v/>
      </c>
      <c r="X187" s="345">
        <f>IF(売分析!AE187&lt;&gt;"",売分析!AE187,"")</f>
        <v/>
      </c>
      <c r="Y187" s="410">
        <f>IF(売分析!T187&lt;&gt;"",売分析!T187,"")</f>
        <v/>
      </c>
      <c r="Z187" s="345">
        <f>IF(売分析!Y187&lt;&gt;"",売分析!Y187,"")</f>
        <v/>
      </c>
    </row>
    <row r="188">
      <c r="A188" s="225">
        <f>IF(売分析!C188&lt;&gt;"",ROW()-2,"")</f>
        <v/>
      </c>
      <c r="B188" s="352">
        <f>IF(売分析!C188&lt;&gt;"",HYPERLINK("https://kabutan.jp/stock/?code="&amp;売分析!C188,"株探"),"")</f>
        <v/>
      </c>
      <c r="C188" s="631">
        <f>IF(売分析!C188&lt;&gt;"",売分析!C188,"")</f>
        <v/>
      </c>
      <c r="D188" s="225">
        <f>IF(売分析!D188&lt;&gt;"",売分析!D188,"")</f>
        <v/>
      </c>
      <c r="E188" s="353">
        <f>IF(売分析!E188&lt;&gt;"",売分析!E188,"")</f>
        <v/>
      </c>
      <c r="F188" s="353">
        <f>IF(売分析!F188&lt;&gt;"",売分析!F188,"")</f>
        <v/>
      </c>
      <c r="G188" s="353">
        <f>IF(売分析!H188&lt;&gt;"",売分析!H188,"")</f>
        <v/>
      </c>
      <c r="H188" s="353">
        <f>IF(売分析!I188&lt;&gt;"",売分析!I188,"")</f>
        <v/>
      </c>
      <c r="I188" s="225">
        <f>IF(売分析!J188&lt;&gt;"",売分析!J188,"")</f>
        <v/>
      </c>
      <c r="J188" s="353">
        <f>IF(売分析!AB188&lt;&gt;"",売分析!AB188,"")</f>
        <v/>
      </c>
      <c r="K188" s="353">
        <f>IF(売分析!AC188&lt;&gt;"",売分析!AC188,"")</f>
        <v/>
      </c>
      <c r="L188" s="353">
        <f>IF(売分析!K188&lt;&gt;"",売分析!K188,"")</f>
        <v/>
      </c>
      <c r="M188" s="225">
        <f>IF(売分析!P188&lt;&gt;"",売分析!P188,"")</f>
        <v/>
      </c>
      <c r="N188" s="627">
        <f>IF(売分析!O188&lt;&gt;"",売分析!O188,"")</f>
        <v/>
      </c>
      <c r="O188" s="357">
        <f>IF(売分析!X188&lt;&gt;"",売分析!X188,"")</f>
        <v/>
      </c>
      <c r="P188" s="626">
        <f>IF(売分析!L188&lt;&gt;"",売分析!L188,"")</f>
        <v/>
      </c>
      <c r="Q188" s="353">
        <f>IF(売分析!S188&lt;&gt;"",売分析!S188,"")</f>
        <v/>
      </c>
      <c r="R188" s="353">
        <f>IF(売分析!R188&lt;&gt;"",売分析!R188,"")</f>
        <v/>
      </c>
      <c r="S188" s="225">
        <f>IF(売分析!AA188&lt;&gt;"",売分析!AA188,"")</f>
        <v/>
      </c>
      <c r="T188" s="629">
        <f>IF(売分析!Z188&lt;&gt;"",売分析!Z188,"")</f>
        <v/>
      </c>
      <c r="U188" s="225">
        <f>IF(売分析!V188&lt;&gt;"",売分析!V188,"")</f>
        <v/>
      </c>
      <c r="V188" s="628">
        <f>IF(売分析!W188&lt;&gt;"",売分析!W188,"")</f>
        <v/>
      </c>
      <c r="W188" s="225">
        <f>IF(売分析!AD188&lt;&gt;"",売分析!AD188,"")</f>
        <v/>
      </c>
      <c r="X188" s="225">
        <f>IF(売分析!AE188&lt;&gt;"",売分析!AE188,"")</f>
        <v/>
      </c>
      <c r="Y188" s="411">
        <f>IF(売分析!T188&lt;&gt;"",売分析!T188,"")</f>
        <v/>
      </c>
      <c r="Z188" s="225">
        <f>IF(売分析!Y188&lt;&gt;"",売分析!Y188,"")</f>
        <v/>
      </c>
    </row>
    <row r="189">
      <c r="A189" s="345">
        <f>IF(売分析!C189&lt;&gt;"",ROW()-2,"")</f>
        <v/>
      </c>
      <c r="B189" s="344">
        <f>IF(売分析!C189&lt;&gt;"",HYPERLINK("https://kabutan.jp/stock/?code="&amp;売分析!C189,"株探"),"")</f>
        <v/>
      </c>
      <c r="C189" s="630">
        <f>IF(売分析!C189&lt;&gt;"",売分析!C189,"")</f>
        <v/>
      </c>
      <c r="D189" s="345">
        <f>IF(売分析!D189&lt;&gt;"",売分析!D189,"")</f>
        <v/>
      </c>
      <c r="E189" s="346">
        <f>IF(売分析!E189&lt;&gt;"",売分析!E189,"")</f>
        <v/>
      </c>
      <c r="F189" s="346">
        <f>IF(売分析!F189&lt;&gt;"",売分析!F189,"")</f>
        <v/>
      </c>
      <c r="G189" s="346">
        <f>IF(売分析!H189&lt;&gt;"",売分析!H189,"")</f>
        <v/>
      </c>
      <c r="H189" s="346">
        <f>IF(売分析!I189&lt;&gt;"",売分析!I189,"")</f>
        <v/>
      </c>
      <c r="I189" s="345">
        <f>IF(売分析!J189&lt;&gt;"",売分析!J189,"")</f>
        <v/>
      </c>
      <c r="J189" s="346">
        <f>IF(売分析!AB189&lt;&gt;"",売分析!AB189,"")</f>
        <v/>
      </c>
      <c r="K189" s="346">
        <f>IF(売分析!AC189&lt;&gt;"",売分析!AC189,"")</f>
        <v/>
      </c>
      <c r="L189" s="346">
        <f>IF(売分析!K189&lt;&gt;"",売分析!K189,"")</f>
        <v/>
      </c>
      <c r="M189" s="345">
        <f>IF(売分析!P189&lt;&gt;"",売分析!P189,"")</f>
        <v/>
      </c>
      <c r="N189" s="620">
        <f>IF(売分析!O189&lt;&gt;"",売分析!O189,"")</f>
        <v/>
      </c>
      <c r="O189" s="350">
        <f>IF(売分析!X189&lt;&gt;"",売分析!X189,"")</f>
        <v/>
      </c>
      <c r="P189" s="619">
        <f>IF(売分析!L189&lt;&gt;"",売分析!L189,"")</f>
        <v/>
      </c>
      <c r="Q189" s="346">
        <f>IF(売分析!S189&lt;&gt;"",売分析!S189,"")</f>
        <v/>
      </c>
      <c r="R189" s="346">
        <f>IF(売分析!R189&lt;&gt;"",売分析!R189,"")</f>
        <v/>
      </c>
      <c r="S189" s="345">
        <f>IF(売分析!AA189&lt;&gt;"",売分析!AA189,"")</f>
        <v/>
      </c>
      <c r="T189" s="622">
        <f>IF(売分析!Z189&lt;&gt;"",売分析!Z189,"")</f>
        <v/>
      </c>
      <c r="U189" s="345">
        <f>IF(売分析!V189&lt;&gt;"",売分析!V189,"")</f>
        <v/>
      </c>
      <c r="V189" s="621">
        <f>IF(売分析!W189&lt;&gt;"",売分析!W189,"")</f>
        <v/>
      </c>
      <c r="W189" s="345">
        <f>IF(売分析!AD189&lt;&gt;"",売分析!AD189,"")</f>
        <v/>
      </c>
      <c r="X189" s="345">
        <f>IF(売分析!AE189&lt;&gt;"",売分析!AE189,"")</f>
        <v/>
      </c>
      <c r="Y189" s="410">
        <f>IF(売分析!T189&lt;&gt;"",売分析!T189,"")</f>
        <v/>
      </c>
      <c r="Z189" s="345">
        <f>IF(売分析!Y189&lt;&gt;"",売分析!Y189,"")</f>
        <v/>
      </c>
    </row>
    <row r="190">
      <c r="A190" s="225">
        <f>IF(売分析!C190&lt;&gt;"",ROW()-2,"")</f>
        <v/>
      </c>
      <c r="B190" s="352">
        <f>IF(売分析!C190&lt;&gt;"",HYPERLINK("https://kabutan.jp/stock/?code="&amp;売分析!C190,"株探"),"")</f>
        <v/>
      </c>
      <c r="C190" s="631">
        <f>IF(売分析!C190&lt;&gt;"",売分析!C190,"")</f>
        <v/>
      </c>
      <c r="D190" s="225">
        <f>IF(売分析!D190&lt;&gt;"",売分析!D190,"")</f>
        <v/>
      </c>
      <c r="E190" s="353">
        <f>IF(売分析!E190&lt;&gt;"",売分析!E190,"")</f>
        <v/>
      </c>
      <c r="F190" s="353">
        <f>IF(売分析!F190&lt;&gt;"",売分析!F190,"")</f>
        <v/>
      </c>
      <c r="G190" s="353">
        <f>IF(売分析!H190&lt;&gt;"",売分析!H190,"")</f>
        <v/>
      </c>
      <c r="H190" s="353">
        <f>IF(売分析!I190&lt;&gt;"",売分析!I190,"")</f>
        <v/>
      </c>
      <c r="I190" s="225">
        <f>IF(売分析!J190&lt;&gt;"",売分析!J190,"")</f>
        <v/>
      </c>
      <c r="J190" s="353">
        <f>IF(売分析!AB190&lt;&gt;"",売分析!AB190,"")</f>
        <v/>
      </c>
      <c r="K190" s="353">
        <f>IF(売分析!AC190&lt;&gt;"",売分析!AC190,"")</f>
        <v/>
      </c>
      <c r="L190" s="353">
        <f>IF(売分析!K190&lt;&gt;"",売分析!K190,"")</f>
        <v/>
      </c>
      <c r="M190" s="225">
        <f>IF(売分析!P190&lt;&gt;"",売分析!P190,"")</f>
        <v/>
      </c>
      <c r="N190" s="627">
        <f>IF(売分析!O190&lt;&gt;"",売分析!O190,"")</f>
        <v/>
      </c>
      <c r="O190" s="357">
        <f>IF(売分析!X190&lt;&gt;"",売分析!X190,"")</f>
        <v/>
      </c>
      <c r="P190" s="626">
        <f>IF(売分析!L190&lt;&gt;"",売分析!L190,"")</f>
        <v/>
      </c>
      <c r="Q190" s="353">
        <f>IF(売分析!S190&lt;&gt;"",売分析!S190,"")</f>
        <v/>
      </c>
      <c r="R190" s="353">
        <f>IF(売分析!R190&lt;&gt;"",売分析!R190,"")</f>
        <v/>
      </c>
      <c r="S190" s="225">
        <f>IF(売分析!AA190&lt;&gt;"",売分析!AA190,"")</f>
        <v/>
      </c>
      <c r="T190" s="629">
        <f>IF(売分析!Z190&lt;&gt;"",売分析!Z190,"")</f>
        <v/>
      </c>
      <c r="U190" s="225">
        <f>IF(売分析!V190&lt;&gt;"",売分析!V190,"")</f>
        <v/>
      </c>
      <c r="V190" s="628">
        <f>IF(売分析!W190&lt;&gt;"",売分析!W190,"")</f>
        <v/>
      </c>
      <c r="W190" s="225">
        <f>IF(売分析!AD190&lt;&gt;"",売分析!AD190,"")</f>
        <v/>
      </c>
      <c r="X190" s="225">
        <f>IF(売分析!AE190&lt;&gt;"",売分析!AE190,"")</f>
        <v/>
      </c>
      <c r="Y190" s="411">
        <f>IF(売分析!T190&lt;&gt;"",売分析!T190,"")</f>
        <v/>
      </c>
      <c r="Z190" s="225">
        <f>IF(売分析!Y190&lt;&gt;"",売分析!Y190,"")</f>
        <v/>
      </c>
    </row>
    <row r="191">
      <c r="A191" s="345">
        <f>IF(売分析!C191&lt;&gt;"",ROW()-2,"")</f>
        <v/>
      </c>
      <c r="B191" s="344">
        <f>IF(売分析!C191&lt;&gt;"",HYPERLINK("https://kabutan.jp/stock/?code="&amp;売分析!C191,"株探"),"")</f>
        <v/>
      </c>
      <c r="C191" s="630">
        <f>IF(売分析!C191&lt;&gt;"",売分析!C191,"")</f>
        <v/>
      </c>
      <c r="D191" s="345">
        <f>IF(売分析!D191&lt;&gt;"",売分析!D191,"")</f>
        <v/>
      </c>
      <c r="E191" s="346">
        <f>IF(売分析!E191&lt;&gt;"",売分析!E191,"")</f>
        <v/>
      </c>
      <c r="F191" s="346">
        <f>IF(売分析!F191&lt;&gt;"",売分析!F191,"")</f>
        <v/>
      </c>
      <c r="G191" s="346">
        <f>IF(売分析!H191&lt;&gt;"",売分析!H191,"")</f>
        <v/>
      </c>
      <c r="H191" s="346">
        <f>IF(売分析!I191&lt;&gt;"",売分析!I191,"")</f>
        <v/>
      </c>
      <c r="I191" s="345">
        <f>IF(売分析!J191&lt;&gt;"",売分析!J191,"")</f>
        <v/>
      </c>
      <c r="J191" s="346">
        <f>IF(売分析!AB191&lt;&gt;"",売分析!AB191,"")</f>
        <v/>
      </c>
      <c r="K191" s="346">
        <f>IF(売分析!AC191&lt;&gt;"",売分析!AC191,"")</f>
        <v/>
      </c>
      <c r="L191" s="346">
        <f>IF(売分析!K191&lt;&gt;"",売分析!K191,"")</f>
        <v/>
      </c>
      <c r="M191" s="345">
        <f>IF(売分析!P191&lt;&gt;"",売分析!P191,"")</f>
        <v/>
      </c>
      <c r="N191" s="620">
        <f>IF(売分析!O191&lt;&gt;"",売分析!O191,"")</f>
        <v/>
      </c>
      <c r="O191" s="350">
        <f>IF(売分析!X191&lt;&gt;"",売分析!X191,"")</f>
        <v/>
      </c>
      <c r="P191" s="619">
        <f>IF(売分析!L191&lt;&gt;"",売分析!L191,"")</f>
        <v/>
      </c>
      <c r="Q191" s="346">
        <f>IF(売分析!S191&lt;&gt;"",売分析!S191,"")</f>
        <v/>
      </c>
      <c r="R191" s="346">
        <f>IF(売分析!R191&lt;&gt;"",売分析!R191,"")</f>
        <v/>
      </c>
      <c r="S191" s="345">
        <f>IF(売分析!AA191&lt;&gt;"",売分析!AA191,"")</f>
        <v/>
      </c>
      <c r="T191" s="622">
        <f>IF(売分析!Z191&lt;&gt;"",売分析!Z191,"")</f>
        <v/>
      </c>
      <c r="U191" s="345">
        <f>IF(売分析!V191&lt;&gt;"",売分析!V191,"")</f>
        <v/>
      </c>
      <c r="V191" s="621">
        <f>IF(売分析!W191&lt;&gt;"",売分析!W191,"")</f>
        <v/>
      </c>
      <c r="W191" s="345">
        <f>IF(売分析!AD191&lt;&gt;"",売分析!AD191,"")</f>
        <v/>
      </c>
      <c r="X191" s="345">
        <f>IF(売分析!AE191&lt;&gt;"",売分析!AE191,"")</f>
        <v/>
      </c>
      <c r="Y191" s="410">
        <f>IF(売分析!T191&lt;&gt;"",売分析!T191,"")</f>
        <v/>
      </c>
      <c r="Z191" s="345">
        <f>IF(売分析!Y191&lt;&gt;"",売分析!Y191,"")</f>
        <v/>
      </c>
    </row>
    <row r="192">
      <c r="A192" s="225">
        <f>IF(売分析!C192&lt;&gt;"",ROW()-2,"")</f>
        <v/>
      </c>
      <c r="B192" s="352">
        <f>IF(売分析!C192&lt;&gt;"",HYPERLINK("https://kabutan.jp/stock/?code="&amp;売分析!C192,"株探"),"")</f>
        <v/>
      </c>
      <c r="C192" s="631">
        <f>IF(売分析!C192&lt;&gt;"",売分析!C192,"")</f>
        <v/>
      </c>
      <c r="D192" s="225">
        <f>IF(売分析!D192&lt;&gt;"",売分析!D192,"")</f>
        <v/>
      </c>
      <c r="E192" s="353">
        <f>IF(売分析!E192&lt;&gt;"",売分析!E192,"")</f>
        <v/>
      </c>
      <c r="F192" s="353">
        <f>IF(売分析!F192&lt;&gt;"",売分析!F192,"")</f>
        <v/>
      </c>
      <c r="G192" s="353">
        <f>IF(売分析!H192&lt;&gt;"",売分析!H192,"")</f>
        <v/>
      </c>
      <c r="H192" s="353">
        <f>IF(売分析!I192&lt;&gt;"",売分析!I192,"")</f>
        <v/>
      </c>
      <c r="I192" s="225">
        <f>IF(売分析!J192&lt;&gt;"",売分析!J192,"")</f>
        <v/>
      </c>
      <c r="J192" s="353">
        <f>IF(売分析!AB192&lt;&gt;"",売分析!AB192,"")</f>
        <v/>
      </c>
      <c r="K192" s="353">
        <f>IF(売分析!AC192&lt;&gt;"",売分析!AC192,"")</f>
        <v/>
      </c>
      <c r="L192" s="353">
        <f>IF(売分析!K192&lt;&gt;"",売分析!K192,"")</f>
        <v/>
      </c>
      <c r="M192" s="225">
        <f>IF(売分析!P192&lt;&gt;"",売分析!P192,"")</f>
        <v/>
      </c>
      <c r="N192" s="627">
        <f>IF(売分析!O192&lt;&gt;"",売分析!O192,"")</f>
        <v/>
      </c>
      <c r="O192" s="357">
        <f>IF(売分析!X192&lt;&gt;"",売分析!X192,"")</f>
        <v/>
      </c>
      <c r="P192" s="626">
        <f>IF(売分析!L192&lt;&gt;"",売分析!L192,"")</f>
        <v/>
      </c>
      <c r="Q192" s="353">
        <f>IF(売分析!S192&lt;&gt;"",売分析!S192,"")</f>
        <v/>
      </c>
      <c r="R192" s="353">
        <f>IF(売分析!R192&lt;&gt;"",売分析!R192,"")</f>
        <v/>
      </c>
      <c r="S192" s="225">
        <f>IF(売分析!AA192&lt;&gt;"",売分析!AA192,"")</f>
        <v/>
      </c>
      <c r="T192" s="629">
        <f>IF(売分析!Z192&lt;&gt;"",売分析!Z192,"")</f>
        <v/>
      </c>
      <c r="U192" s="225">
        <f>IF(売分析!V192&lt;&gt;"",売分析!V192,"")</f>
        <v/>
      </c>
      <c r="V192" s="628">
        <f>IF(売分析!W192&lt;&gt;"",売分析!W192,"")</f>
        <v/>
      </c>
      <c r="W192" s="225">
        <f>IF(売分析!AD192&lt;&gt;"",売分析!AD192,"")</f>
        <v/>
      </c>
      <c r="X192" s="225">
        <f>IF(売分析!AE192&lt;&gt;"",売分析!AE192,"")</f>
        <v/>
      </c>
      <c r="Y192" s="411">
        <f>IF(売分析!T192&lt;&gt;"",売分析!T192,"")</f>
        <v/>
      </c>
      <c r="Z192" s="225">
        <f>IF(売分析!Y192&lt;&gt;"",売分析!Y192,"")</f>
        <v/>
      </c>
    </row>
    <row r="193">
      <c r="A193" s="345">
        <f>IF(売分析!C193&lt;&gt;"",ROW()-2,"")</f>
        <v/>
      </c>
      <c r="B193" s="344">
        <f>IF(売分析!C193&lt;&gt;"",HYPERLINK("https://kabutan.jp/stock/?code="&amp;売分析!C193,"株探"),"")</f>
        <v/>
      </c>
      <c r="C193" s="630">
        <f>IF(売分析!C193&lt;&gt;"",売分析!C193,"")</f>
        <v/>
      </c>
      <c r="D193" s="345">
        <f>IF(売分析!D193&lt;&gt;"",売分析!D193,"")</f>
        <v/>
      </c>
      <c r="E193" s="346">
        <f>IF(売分析!E193&lt;&gt;"",売分析!E193,"")</f>
        <v/>
      </c>
      <c r="F193" s="346">
        <f>IF(売分析!F193&lt;&gt;"",売分析!F193,"")</f>
        <v/>
      </c>
      <c r="G193" s="346">
        <f>IF(売分析!H193&lt;&gt;"",売分析!H193,"")</f>
        <v/>
      </c>
      <c r="H193" s="346">
        <f>IF(売分析!I193&lt;&gt;"",売分析!I193,"")</f>
        <v/>
      </c>
      <c r="I193" s="345">
        <f>IF(売分析!J193&lt;&gt;"",売分析!J193,"")</f>
        <v/>
      </c>
      <c r="J193" s="346">
        <f>IF(売分析!AB193&lt;&gt;"",売分析!AB193,"")</f>
        <v/>
      </c>
      <c r="K193" s="346">
        <f>IF(売分析!AC193&lt;&gt;"",売分析!AC193,"")</f>
        <v/>
      </c>
      <c r="L193" s="346">
        <f>IF(売分析!K193&lt;&gt;"",売分析!K193,"")</f>
        <v/>
      </c>
      <c r="M193" s="345">
        <f>IF(売分析!P193&lt;&gt;"",売分析!P193,"")</f>
        <v/>
      </c>
      <c r="N193" s="620">
        <f>IF(売分析!O193&lt;&gt;"",売分析!O193,"")</f>
        <v/>
      </c>
      <c r="O193" s="350">
        <f>IF(売分析!X193&lt;&gt;"",売分析!X193,"")</f>
        <v/>
      </c>
      <c r="P193" s="619">
        <f>IF(売分析!L193&lt;&gt;"",売分析!L193,"")</f>
        <v/>
      </c>
      <c r="Q193" s="346">
        <f>IF(売分析!S193&lt;&gt;"",売分析!S193,"")</f>
        <v/>
      </c>
      <c r="R193" s="346">
        <f>IF(売分析!R193&lt;&gt;"",売分析!R193,"")</f>
        <v/>
      </c>
      <c r="S193" s="345">
        <f>IF(売分析!AA193&lt;&gt;"",売分析!AA193,"")</f>
        <v/>
      </c>
      <c r="T193" s="622">
        <f>IF(売分析!Z193&lt;&gt;"",売分析!Z193,"")</f>
        <v/>
      </c>
      <c r="U193" s="345">
        <f>IF(売分析!V193&lt;&gt;"",売分析!V193,"")</f>
        <v/>
      </c>
      <c r="V193" s="621">
        <f>IF(売分析!W193&lt;&gt;"",売分析!W193,"")</f>
        <v/>
      </c>
      <c r="W193" s="345">
        <f>IF(売分析!AD193&lt;&gt;"",売分析!AD193,"")</f>
        <v/>
      </c>
      <c r="X193" s="345">
        <f>IF(売分析!AE193&lt;&gt;"",売分析!AE193,"")</f>
        <v/>
      </c>
      <c r="Y193" s="410">
        <f>IF(売分析!T193&lt;&gt;"",売分析!T193,"")</f>
        <v/>
      </c>
      <c r="Z193" s="345">
        <f>IF(売分析!Y193&lt;&gt;"",売分析!Y193,"")</f>
        <v/>
      </c>
    </row>
    <row r="194">
      <c r="A194" s="225">
        <f>IF(売分析!C194&lt;&gt;"",ROW()-2,"")</f>
        <v/>
      </c>
      <c r="B194" s="352">
        <f>IF(売分析!C194&lt;&gt;"",HYPERLINK("https://kabutan.jp/stock/?code="&amp;売分析!C194,"株探"),"")</f>
        <v/>
      </c>
      <c r="C194" s="631">
        <f>IF(売分析!C194&lt;&gt;"",売分析!C194,"")</f>
        <v/>
      </c>
      <c r="D194" s="225">
        <f>IF(売分析!D194&lt;&gt;"",売分析!D194,"")</f>
        <v/>
      </c>
      <c r="E194" s="353">
        <f>IF(売分析!E194&lt;&gt;"",売分析!E194,"")</f>
        <v/>
      </c>
      <c r="F194" s="353">
        <f>IF(売分析!F194&lt;&gt;"",売分析!F194,"")</f>
        <v/>
      </c>
      <c r="G194" s="353">
        <f>IF(売分析!H194&lt;&gt;"",売分析!H194,"")</f>
        <v/>
      </c>
      <c r="H194" s="353">
        <f>IF(売分析!I194&lt;&gt;"",売分析!I194,"")</f>
        <v/>
      </c>
      <c r="I194" s="225">
        <f>IF(売分析!J194&lt;&gt;"",売分析!J194,"")</f>
        <v/>
      </c>
      <c r="J194" s="353">
        <f>IF(売分析!AB194&lt;&gt;"",売分析!AB194,"")</f>
        <v/>
      </c>
      <c r="K194" s="353">
        <f>IF(売分析!AC194&lt;&gt;"",売分析!AC194,"")</f>
        <v/>
      </c>
      <c r="L194" s="353">
        <f>IF(売分析!K194&lt;&gt;"",売分析!K194,"")</f>
        <v/>
      </c>
      <c r="M194" s="225">
        <f>IF(売分析!P194&lt;&gt;"",売分析!P194,"")</f>
        <v/>
      </c>
      <c r="N194" s="627">
        <f>IF(売分析!O194&lt;&gt;"",売分析!O194,"")</f>
        <v/>
      </c>
      <c r="O194" s="357">
        <f>IF(売分析!X194&lt;&gt;"",売分析!X194,"")</f>
        <v/>
      </c>
      <c r="P194" s="626">
        <f>IF(売分析!L194&lt;&gt;"",売分析!L194,"")</f>
        <v/>
      </c>
      <c r="Q194" s="353">
        <f>IF(売分析!S194&lt;&gt;"",売分析!S194,"")</f>
        <v/>
      </c>
      <c r="R194" s="353">
        <f>IF(売分析!R194&lt;&gt;"",売分析!R194,"")</f>
        <v/>
      </c>
      <c r="S194" s="225">
        <f>IF(売分析!AA194&lt;&gt;"",売分析!AA194,"")</f>
        <v/>
      </c>
      <c r="T194" s="629">
        <f>IF(売分析!Z194&lt;&gt;"",売分析!Z194,"")</f>
        <v/>
      </c>
      <c r="U194" s="225">
        <f>IF(売分析!V194&lt;&gt;"",売分析!V194,"")</f>
        <v/>
      </c>
      <c r="V194" s="628">
        <f>IF(売分析!W194&lt;&gt;"",売分析!W194,"")</f>
        <v/>
      </c>
      <c r="W194" s="225">
        <f>IF(売分析!AD194&lt;&gt;"",売分析!AD194,"")</f>
        <v/>
      </c>
      <c r="X194" s="225">
        <f>IF(売分析!AE194&lt;&gt;"",売分析!AE194,"")</f>
        <v/>
      </c>
      <c r="Y194" s="411">
        <f>IF(売分析!T194&lt;&gt;"",売分析!T194,"")</f>
        <v/>
      </c>
      <c r="Z194" s="225">
        <f>IF(売分析!Y194&lt;&gt;"",売分析!Y194,"")</f>
        <v/>
      </c>
    </row>
    <row r="195">
      <c r="A195" s="345">
        <f>IF(売分析!C195&lt;&gt;"",ROW()-2,"")</f>
        <v/>
      </c>
      <c r="B195" s="344">
        <f>IF(売分析!C195&lt;&gt;"",HYPERLINK("https://kabutan.jp/stock/?code="&amp;売分析!C195,"株探"),"")</f>
        <v/>
      </c>
      <c r="C195" s="630">
        <f>IF(売分析!C195&lt;&gt;"",売分析!C195,"")</f>
        <v/>
      </c>
      <c r="D195" s="345">
        <f>IF(売分析!D195&lt;&gt;"",売分析!D195,"")</f>
        <v/>
      </c>
      <c r="E195" s="346">
        <f>IF(売分析!E195&lt;&gt;"",売分析!E195,"")</f>
        <v/>
      </c>
      <c r="F195" s="346">
        <f>IF(売分析!F195&lt;&gt;"",売分析!F195,"")</f>
        <v/>
      </c>
      <c r="G195" s="346">
        <f>IF(売分析!H195&lt;&gt;"",売分析!H195,"")</f>
        <v/>
      </c>
      <c r="H195" s="346">
        <f>IF(売分析!I195&lt;&gt;"",売分析!I195,"")</f>
        <v/>
      </c>
      <c r="I195" s="345">
        <f>IF(売分析!J195&lt;&gt;"",売分析!J195,"")</f>
        <v/>
      </c>
      <c r="J195" s="346">
        <f>IF(売分析!AB195&lt;&gt;"",売分析!AB195,"")</f>
        <v/>
      </c>
      <c r="K195" s="346">
        <f>IF(売分析!AC195&lt;&gt;"",売分析!AC195,"")</f>
        <v/>
      </c>
      <c r="L195" s="346">
        <f>IF(売分析!K195&lt;&gt;"",売分析!K195,"")</f>
        <v/>
      </c>
      <c r="M195" s="345">
        <f>IF(売分析!P195&lt;&gt;"",売分析!P195,"")</f>
        <v/>
      </c>
      <c r="N195" s="620">
        <f>IF(売分析!O195&lt;&gt;"",売分析!O195,"")</f>
        <v/>
      </c>
      <c r="O195" s="350">
        <f>IF(売分析!X195&lt;&gt;"",売分析!X195,"")</f>
        <v/>
      </c>
      <c r="P195" s="619">
        <f>IF(売分析!L195&lt;&gt;"",売分析!L195,"")</f>
        <v/>
      </c>
      <c r="Q195" s="346">
        <f>IF(売分析!S195&lt;&gt;"",売分析!S195,"")</f>
        <v/>
      </c>
      <c r="R195" s="346">
        <f>IF(売分析!R195&lt;&gt;"",売分析!R195,"")</f>
        <v/>
      </c>
      <c r="S195" s="345">
        <f>IF(売分析!AA195&lt;&gt;"",売分析!AA195,"")</f>
        <v/>
      </c>
      <c r="T195" s="622">
        <f>IF(売分析!Z195&lt;&gt;"",売分析!Z195,"")</f>
        <v/>
      </c>
      <c r="U195" s="345">
        <f>IF(売分析!V195&lt;&gt;"",売分析!V195,"")</f>
        <v/>
      </c>
      <c r="V195" s="621">
        <f>IF(売分析!W195&lt;&gt;"",売分析!W195,"")</f>
        <v/>
      </c>
      <c r="W195" s="345">
        <f>IF(売分析!AD195&lt;&gt;"",売分析!AD195,"")</f>
        <v/>
      </c>
      <c r="X195" s="345">
        <f>IF(売分析!AE195&lt;&gt;"",売分析!AE195,"")</f>
        <v/>
      </c>
      <c r="Y195" s="410">
        <f>IF(売分析!T195&lt;&gt;"",売分析!T195,"")</f>
        <v/>
      </c>
      <c r="Z195" s="345">
        <f>IF(売分析!Y195&lt;&gt;"",売分析!Y195,"")</f>
        <v/>
      </c>
    </row>
    <row r="196">
      <c r="A196" s="225">
        <f>IF(売分析!C196&lt;&gt;"",ROW()-2,"")</f>
        <v/>
      </c>
      <c r="B196" s="352">
        <f>IF(売分析!C196&lt;&gt;"",HYPERLINK("https://kabutan.jp/stock/?code="&amp;売分析!C196,"株探"),"")</f>
        <v/>
      </c>
      <c r="C196" s="631">
        <f>IF(売分析!C196&lt;&gt;"",売分析!C196,"")</f>
        <v/>
      </c>
      <c r="D196" s="225">
        <f>IF(売分析!D196&lt;&gt;"",売分析!D196,"")</f>
        <v/>
      </c>
      <c r="E196" s="353">
        <f>IF(売分析!E196&lt;&gt;"",売分析!E196,"")</f>
        <v/>
      </c>
      <c r="F196" s="353">
        <f>IF(売分析!F196&lt;&gt;"",売分析!F196,"")</f>
        <v/>
      </c>
      <c r="G196" s="353">
        <f>IF(売分析!H196&lt;&gt;"",売分析!H196,"")</f>
        <v/>
      </c>
      <c r="H196" s="353">
        <f>IF(売分析!I196&lt;&gt;"",売分析!I196,"")</f>
        <v/>
      </c>
      <c r="I196" s="225">
        <f>IF(売分析!J196&lt;&gt;"",売分析!J196,"")</f>
        <v/>
      </c>
      <c r="J196" s="353">
        <f>IF(売分析!AB196&lt;&gt;"",売分析!AB196,"")</f>
        <v/>
      </c>
      <c r="K196" s="353">
        <f>IF(売分析!AC196&lt;&gt;"",売分析!AC196,"")</f>
        <v/>
      </c>
      <c r="L196" s="353">
        <f>IF(売分析!K196&lt;&gt;"",売分析!K196,"")</f>
        <v/>
      </c>
      <c r="M196" s="225">
        <f>IF(売分析!P196&lt;&gt;"",売分析!P196,"")</f>
        <v/>
      </c>
      <c r="N196" s="627">
        <f>IF(売分析!O196&lt;&gt;"",売分析!O196,"")</f>
        <v/>
      </c>
      <c r="O196" s="357">
        <f>IF(売分析!X196&lt;&gt;"",売分析!X196,"")</f>
        <v/>
      </c>
      <c r="P196" s="626">
        <f>IF(売分析!L196&lt;&gt;"",売分析!L196,"")</f>
        <v/>
      </c>
      <c r="Q196" s="353">
        <f>IF(売分析!S196&lt;&gt;"",売分析!S196,"")</f>
        <v/>
      </c>
      <c r="R196" s="353">
        <f>IF(売分析!R196&lt;&gt;"",売分析!R196,"")</f>
        <v/>
      </c>
      <c r="S196" s="225">
        <f>IF(売分析!AA196&lt;&gt;"",売分析!AA196,"")</f>
        <v/>
      </c>
      <c r="T196" s="629">
        <f>IF(売分析!Z196&lt;&gt;"",売分析!Z196,"")</f>
        <v/>
      </c>
      <c r="U196" s="225">
        <f>IF(売分析!V196&lt;&gt;"",売分析!V196,"")</f>
        <v/>
      </c>
      <c r="V196" s="628">
        <f>IF(売分析!W196&lt;&gt;"",売分析!W196,"")</f>
        <v/>
      </c>
      <c r="W196" s="225">
        <f>IF(売分析!AD196&lt;&gt;"",売分析!AD196,"")</f>
        <v/>
      </c>
      <c r="X196" s="225">
        <f>IF(売分析!AE196&lt;&gt;"",売分析!AE196,"")</f>
        <v/>
      </c>
      <c r="Y196" s="411">
        <f>IF(売分析!T196&lt;&gt;"",売分析!T196,"")</f>
        <v/>
      </c>
      <c r="Z196" s="225">
        <f>IF(売分析!Y196&lt;&gt;"",売分析!Y196,"")</f>
        <v/>
      </c>
    </row>
    <row r="197">
      <c r="A197" s="345">
        <f>IF(売分析!C197&lt;&gt;"",ROW()-2,"")</f>
        <v/>
      </c>
      <c r="B197" s="344">
        <f>IF(売分析!C197&lt;&gt;"",HYPERLINK("https://kabutan.jp/stock/?code="&amp;売分析!C197,"株探"),"")</f>
        <v/>
      </c>
      <c r="C197" s="630">
        <f>IF(売分析!C197&lt;&gt;"",売分析!C197,"")</f>
        <v/>
      </c>
      <c r="D197" s="345">
        <f>IF(売分析!D197&lt;&gt;"",売分析!D197,"")</f>
        <v/>
      </c>
      <c r="E197" s="346">
        <f>IF(売分析!E197&lt;&gt;"",売分析!E197,"")</f>
        <v/>
      </c>
      <c r="F197" s="346">
        <f>IF(売分析!F197&lt;&gt;"",売分析!F197,"")</f>
        <v/>
      </c>
      <c r="G197" s="346">
        <f>IF(売分析!H197&lt;&gt;"",売分析!H197,"")</f>
        <v/>
      </c>
      <c r="H197" s="346">
        <f>IF(売分析!I197&lt;&gt;"",売分析!I197,"")</f>
        <v/>
      </c>
      <c r="I197" s="345">
        <f>IF(売分析!J197&lt;&gt;"",売分析!J197,"")</f>
        <v/>
      </c>
      <c r="J197" s="346">
        <f>IF(売分析!AB197&lt;&gt;"",売分析!AB197,"")</f>
        <v/>
      </c>
      <c r="K197" s="346">
        <f>IF(売分析!AC197&lt;&gt;"",売分析!AC197,"")</f>
        <v/>
      </c>
      <c r="L197" s="346">
        <f>IF(売分析!K197&lt;&gt;"",売分析!K197,"")</f>
        <v/>
      </c>
      <c r="M197" s="345">
        <f>IF(売分析!P197&lt;&gt;"",売分析!P197,"")</f>
        <v/>
      </c>
      <c r="N197" s="620">
        <f>IF(売分析!O197&lt;&gt;"",売分析!O197,"")</f>
        <v/>
      </c>
      <c r="O197" s="350">
        <f>IF(売分析!X197&lt;&gt;"",売分析!X197,"")</f>
        <v/>
      </c>
      <c r="P197" s="619">
        <f>IF(売分析!L197&lt;&gt;"",売分析!L197,"")</f>
        <v/>
      </c>
      <c r="Q197" s="346">
        <f>IF(売分析!S197&lt;&gt;"",売分析!S197,"")</f>
        <v/>
      </c>
      <c r="R197" s="346">
        <f>IF(売分析!R197&lt;&gt;"",売分析!R197,"")</f>
        <v/>
      </c>
      <c r="S197" s="345">
        <f>IF(売分析!AA197&lt;&gt;"",売分析!AA197,"")</f>
        <v/>
      </c>
      <c r="T197" s="622">
        <f>IF(売分析!Z197&lt;&gt;"",売分析!Z197,"")</f>
        <v/>
      </c>
      <c r="U197" s="345">
        <f>IF(売分析!V197&lt;&gt;"",売分析!V197,"")</f>
        <v/>
      </c>
      <c r="V197" s="621">
        <f>IF(売分析!W197&lt;&gt;"",売分析!W197,"")</f>
        <v/>
      </c>
      <c r="W197" s="345">
        <f>IF(売分析!AD197&lt;&gt;"",売分析!AD197,"")</f>
        <v/>
      </c>
      <c r="X197" s="345">
        <f>IF(売分析!AE197&lt;&gt;"",売分析!AE197,"")</f>
        <v/>
      </c>
      <c r="Y197" s="410">
        <f>IF(売分析!T197&lt;&gt;"",売分析!T197,"")</f>
        <v/>
      </c>
      <c r="Z197" s="345">
        <f>IF(売分析!Y197&lt;&gt;"",売分析!Y197,"")</f>
        <v/>
      </c>
    </row>
    <row r="198">
      <c r="A198" s="225">
        <f>IF(売分析!C198&lt;&gt;"",ROW()-2,"")</f>
        <v/>
      </c>
      <c r="B198" s="352">
        <f>IF(売分析!C198&lt;&gt;"",HYPERLINK("https://kabutan.jp/stock/?code="&amp;売分析!C198,"株探"),"")</f>
        <v/>
      </c>
      <c r="C198" s="631">
        <f>IF(売分析!C198&lt;&gt;"",売分析!C198,"")</f>
        <v/>
      </c>
      <c r="D198" s="225">
        <f>IF(売分析!D198&lt;&gt;"",売分析!D198,"")</f>
        <v/>
      </c>
      <c r="E198" s="353">
        <f>IF(売分析!E198&lt;&gt;"",売分析!E198,"")</f>
        <v/>
      </c>
      <c r="F198" s="353">
        <f>IF(売分析!F198&lt;&gt;"",売分析!F198,"")</f>
        <v/>
      </c>
      <c r="G198" s="353">
        <f>IF(売分析!H198&lt;&gt;"",売分析!H198,"")</f>
        <v/>
      </c>
      <c r="H198" s="353">
        <f>IF(売分析!I198&lt;&gt;"",売分析!I198,"")</f>
        <v/>
      </c>
      <c r="I198" s="225">
        <f>IF(売分析!J198&lt;&gt;"",売分析!J198,"")</f>
        <v/>
      </c>
      <c r="J198" s="353">
        <f>IF(売分析!AB198&lt;&gt;"",売分析!AB198,"")</f>
        <v/>
      </c>
      <c r="K198" s="353">
        <f>IF(売分析!AC198&lt;&gt;"",売分析!AC198,"")</f>
        <v/>
      </c>
      <c r="L198" s="353">
        <f>IF(売分析!K198&lt;&gt;"",売分析!K198,"")</f>
        <v/>
      </c>
      <c r="M198" s="225">
        <f>IF(売分析!P198&lt;&gt;"",売分析!P198,"")</f>
        <v/>
      </c>
      <c r="N198" s="627">
        <f>IF(売分析!O198&lt;&gt;"",売分析!O198,"")</f>
        <v/>
      </c>
      <c r="O198" s="357">
        <f>IF(売分析!X198&lt;&gt;"",売分析!X198,"")</f>
        <v/>
      </c>
      <c r="P198" s="626">
        <f>IF(売分析!L198&lt;&gt;"",売分析!L198,"")</f>
        <v/>
      </c>
      <c r="Q198" s="353">
        <f>IF(売分析!S198&lt;&gt;"",売分析!S198,"")</f>
        <v/>
      </c>
      <c r="R198" s="353">
        <f>IF(売分析!R198&lt;&gt;"",売分析!R198,"")</f>
        <v/>
      </c>
      <c r="S198" s="225">
        <f>IF(売分析!AA198&lt;&gt;"",売分析!AA198,"")</f>
        <v/>
      </c>
      <c r="T198" s="629">
        <f>IF(売分析!Z198&lt;&gt;"",売分析!Z198,"")</f>
        <v/>
      </c>
      <c r="U198" s="225">
        <f>IF(売分析!V198&lt;&gt;"",売分析!V198,"")</f>
        <v/>
      </c>
      <c r="V198" s="628">
        <f>IF(売分析!W198&lt;&gt;"",売分析!W198,"")</f>
        <v/>
      </c>
      <c r="W198" s="225">
        <f>IF(売分析!AD198&lt;&gt;"",売分析!AD198,"")</f>
        <v/>
      </c>
      <c r="X198" s="225">
        <f>IF(売分析!AE198&lt;&gt;"",売分析!AE198,"")</f>
        <v/>
      </c>
      <c r="Y198" s="411">
        <f>IF(売分析!T198&lt;&gt;"",売分析!T198,"")</f>
        <v/>
      </c>
      <c r="Z198" s="225">
        <f>IF(売分析!Y198&lt;&gt;"",売分析!Y198,"")</f>
        <v/>
      </c>
    </row>
    <row r="199">
      <c r="A199" s="345">
        <f>IF(売分析!C199&lt;&gt;"",ROW()-2,"")</f>
        <v/>
      </c>
      <c r="B199" s="344">
        <f>IF(売分析!C199&lt;&gt;"",HYPERLINK("https://kabutan.jp/stock/?code="&amp;売分析!C199,"株探"),"")</f>
        <v/>
      </c>
      <c r="C199" s="630">
        <f>IF(売分析!C199&lt;&gt;"",売分析!C199,"")</f>
        <v/>
      </c>
      <c r="D199" s="345">
        <f>IF(売分析!D199&lt;&gt;"",売分析!D199,"")</f>
        <v/>
      </c>
      <c r="E199" s="346">
        <f>IF(売分析!E199&lt;&gt;"",売分析!E199,"")</f>
        <v/>
      </c>
      <c r="F199" s="346">
        <f>IF(売分析!F199&lt;&gt;"",売分析!F199,"")</f>
        <v/>
      </c>
      <c r="G199" s="346">
        <f>IF(売分析!H199&lt;&gt;"",売分析!H199,"")</f>
        <v/>
      </c>
      <c r="H199" s="346">
        <f>IF(売分析!I199&lt;&gt;"",売分析!I199,"")</f>
        <v/>
      </c>
      <c r="I199" s="345">
        <f>IF(売分析!J199&lt;&gt;"",売分析!J199,"")</f>
        <v/>
      </c>
      <c r="J199" s="346">
        <f>IF(売分析!AB199&lt;&gt;"",売分析!AB199,"")</f>
        <v/>
      </c>
      <c r="K199" s="346">
        <f>IF(売分析!AC199&lt;&gt;"",売分析!AC199,"")</f>
        <v/>
      </c>
      <c r="L199" s="346">
        <f>IF(売分析!K199&lt;&gt;"",売分析!K199,"")</f>
        <v/>
      </c>
      <c r="M199" s="345">
        <f>IF(売分析!P199&lt;&gt;"",売分析!P199,"")</f>
        <v/>
      </c>
      <c r="N199" s="620">
        <f>IF(売分析!O199&lt;&gt;"",売分析!O199,"")</f>
        <v/>
      </c>
      <c r="O199" s="350">
        <f>IF(売分析!X199&lt;&gt;"",売分析!X199,"")</f>
        <v/>
      </c>
      <c r="P199" s="619">
        <f>IF(売分析!L199&lt;&gt;"",売分析!L199,"")</f>
        <v/>
      </c>
      <c r="Q199" s="346">
        <f>IF(売分析!S199&lt;&gt;"",売分析!S199,"")</f>
        <v/>
      </c>
      <c r="R199" s="346">
        <f>IF(売分析!R199&lt;&gt;"",売分析!R199,"")</f>
        <v/>
      </c>
      <c r="S199" s="345">
        <f>IF(売分析!AA199&lt;&gt;"",売分析!AA199,"")</f>
        <v/>
      </c>
      <c r="T199" s="622">
        <f>IF(売分析!Z199&lt;&gt;"",売分析!Z199,"")</f>
        <v/>
      </c>
      <c r="U199" s="345">
        <f>IF(売分析!V199&lt;&gt;"",売分析!V199,"")</f>
        <v/>
      </c>
      <c r="V199" s="621">
        <f>IF(売分析!W199&lt;&gt;"",売分析!W199,"")</f>
        <v/>
      </c>
      <c r="W199" s="345">
        <f>IF(売分析!AD199&lt;&gt;"",売分析!AD199,"")</f>
        <v/>
      </c>
      <c r="X199" s="345">
        <f>IF(売分析!AE199&lt;&gt;"",売分析!AE199,"")</f>
        <v/>
      </c>
      <c r="Y199" s="410">
        <f>IF(売分析!T199&lt;&gt;"",売分析!T199,"")</f>
        <v/>
      </c>
      <c r="Z199" s="345">
        <f>IF(売分析!Y199&lt;&gt;"",売分析!Y199,"")</f>
        <v/>
      </c>
    </row>
    <row r="200">
      <c r="A200" s="225">
        <f>IF(売分析!C200&lt;&gt;"",ROW()-2,"")</f>
        <v/>
      </c>
      <c r="B200" s="352">
        <f>IF(売分析!C200&lt;&gt;"",HYPERLINK("https://kabutan.jp/stock/?code="&amp;売分析!C200,"株探"),"")</f>
        <v/>
      </c>
      <c r="C200" s="631">
        <f>IF(売分析!C200&lt;&gt;"",売分析!C200,"")</f>
        <v/>
      </c>
      <c r="D200" s="225">
        <f>IF(売分析!D200&lt;&gt;"",売分析!D200,"")</f>
        <v/>
      </c>
      <c r="E200" s="353">
        <f>IF(売分析!E200&lt;&gt;"",売分析!E200,"")</f>
        <v/>
      </c>
      <c r="F200" s="353">
        <f>IF(売分析!F200&lt;&gt;"",売分析!F200,"")</f>
        <v/>
      </c>
      <c r="G200" s="353">
        <f>IF(売分析!H200&lt;&gt;"",売分析!H200,"")</f>
        <v/>
      </c>
      <c r="H200" s="353">
        <f>IF(売分析!I200&lt;&gt;"",売分析!I200,"")</f>
        <v/>
      </c>
      <c r="I200" s="225">
        <f>IF(売分析!J200&lt;&gt;"",売分析!J200,"")</f>
        <v/>
      </c>
      <c r="J200" s="353">
        <f>IF(売分析!AB200&lt;&gt;"",売分析!AB200,"")</f>
        <v/>
      </c>
      <c r="K200" s="353">
        <f>IF(売分析!AC200&lt;&gt;"",売分析!AC200,"")</f>
        <v/>
      </c>
      <c r="L200" s="353">
        <f>IF(売分析!K200&lt;&gt;"",売分析!K200,"")</f>
        <v/>
      </c>
      <c r="M200" s="225">
        <f>IF(売分析!P200&lt;&gt;"",売分析!P200,"")</f>
        <v/>
      </c>
      <c r="N200" s="627">
        <f>IF(売分析!O200&lt;&gt;"",売分析!O200,"")</f>
        <v/>
      </c>
      <c r="O200" s="357">
        <f>IF(売分析!X200&lt;&gt;"",売分析!X200,"")</f>
        <v/>
      </c>
      <c r="P200" s="626">
        <f>IF(売分析!L200&lt;&gt;"",売分析!L200,"")</f>
        <v/>
      </c>
      <c r="Q200" s="353">
        <f>IF(売分析!S200&lt;&gt;"",売分析!S200,"")</f>
        <v/>
      </c>
      <c r="R200" s="353">
        <f>IF(売分析!R200&lt;&gt;"",売分析!R200,"")</f>
        <v/>
      </c>
      <c r="S200" s="225">
        <f>IF(売分析!AA200&lt;&gt;"",売分析!AA200,"")</f>
        <v/>
      </c>
      <c r="T200" s="629">
        <f>IF(売分析!Z200&lt;&gt;"",売分析!Z200,"")</f>
        <v/>
      </c>
      <c r="U200" s="225">
        <f>IF(売分析!V200&lt;&gt;"",売分析!V200,"")</f>
        <v/>
      </c>
      <c r="V200" s="628">
        <f>IF(売分析!W200&lt;&gt;"",売分析!W200,"")</f>
        <v/>
      </c>
      <c r="W200" s="225">
        <f>IF(売分析!AD200&lt;&gt;"",売分析!AD200,"")</f>
        <v/>
      </c>
      <c r="X200" s="225">
        <f>IF(売分析!AE200&lt;&gt;"",売分析!AE200,"")</f>
        <v/>
      </c>
      <c r="Y200" s="411">
        <f>IF(売分析!T200&lt;&gt;"",売分析!T200,"")</f>
        <v/>
      </c>
      <c r="Z200" s="225">
        <f>IF(売分析!Y200&lt;&gt;"",売分析!Y200,"")</f>
        <v/>
      </c>
    </row>
    <row r="201">
      <c r="A201" s="345">
        <f>IF(売分析!C201&lt;&gt;"",ROW()-2,"")</f>
        <v/>
      </c>
      <c r="B201" s="344">
        <f>IF(売分析!C201&lt;&gt;"",HYPERLINK("https://kabutan.jp/stock/?code="&amp;売分析!C201,"株探"),"")</f>
        <v/>
      </c>
      <c r="C201" s="630">
        <f>IF(売分析!C201&lt;&gt;"",売分析!C201,"")</f>
        <v/>
      </c>
      <c r="D201" s="345">
        <f>IF(売分析!D201&lt;&gt;"",売分析!D201,"")</f>
        <v/>
      </c>
      <c r="E201" s="346">
        <f>IF(売分析!E201&lt;&gt;"",売分析!E201,"")</f>
        <v/>
      </c>
      <c r="F201" s="346">
        <f>IF(売分析!F201&lt;&gt;"",売分析!F201,"")</f>
        <v/>
      </c>
      <c r="G201" s="346">
        <f>IF(売分析!H201&lt;&gt;"",売分析!H201,"")</f>
        <v/>
      </c>
      <c r="H201" s="346">
        <f>IF(売分析!I201&lt;&gt;"",売分析!I201,"")</f>
        <v/>
      </c>
      <c r="I201" s="345">
        <f>IF(売分析!J201&lt;&gt;"",売分析!J201,"")</f>
        <v/>
      </c>
      <c r="J201" s="346">
        <f>IF(売分析!AB201&lt;&gt;"",売分析!AB201,"")</f>
        <v/>
      </c>
      <c r="K201" s="346">
        <f>IF(売分析!AC201&lt;&gt;"",売分析!AC201,"")</f>
        <v/>
      </c>
      <c r="L201" s="346">
        <f>IF(売分析!K201&lt;&gt;"",売分析!K201,"")</f>
        <v/>
      </c>
      <c r="M201" s="345">
        <f>IF(売分析!P201&lt;&gt;"",売分析!P201,"")</f>
        <v/>
      </c>
      <c r="N201" s="620">
        <f>IF(売分析!O201&lt;&gt;"",売分析!O201,"")</f>
        <v/>
      </c>
      <c r="O201" s="350">
        <f>IF(売分析!X201&lt;&gt;"",売分析!X201,"")</f>
        <v/>
      </c>
      <c r="P201" s="619">
        <f>IF(売分析!L201&lt;&gt;"",売分析!L201,"")</f>
        <v/>
      </c>
      <c r="Q201" s="346">
        <f>IF(売分析!S201&lt;&gt;"",売分析!S201,"")</f>
        <v/>
      </c>
      <c r="R201" s="346">
        <f>IF(売分析!R201&lt;&gt;"",売分析!R201,"")</f>
        <v/>
      </c>
      <c r="S201" s="345">
        <f>IF(売分析!AA201&lt;&gt;"",売分析!AA201,"")</f>
        <v/>
      </c>
      <c r="T201" s="622">
        <f>IF(売分析!Z201&lt;&gt;"",売分析!Z201,"")</f>
        <v/>
      </c>
      <c r="U201" s="345">
        <f>IF(売分析!V201&lt;&gt;"",売分析!V201,"")</f>
        <v/>
      </c>
      <c r="V201" s="621">
        <f>IF(売分析!W201&lt;&gt;"",売分析!W201,"")</f>
        <v/>
      </c>
      <c r="W201" s="345">
        <f>IF(売分析!AD201&lt;&gt;"",売分析!AD201,"")</f>
        <v/>
      </c>
      <c r="X201" s="345">
        <f>IF(売分析!AE201&lt;&gt;"",売分析!AE201,"")</f>
        <v/>
      </c>
      <c r="Y201" s="410">
        <f>IF(売分析!T201&lt;&gt;"",売分析!T201,"")</f>
        <v/>
      </c>
      <c r="Z201" s="345">
        <f>IF(売分析!Y201&lt;&gt;"",売分析!Y201,"")</f>
        <v/>
      </c>
    </row>
    <row r="202">
      <c r="A202" s="225">
        <f>IF(売分析!C202&lt;&gt;"",ROW()-2,"")</f>
        <v/>
      </c>
      <c r="B202" s="352">
        <f>IF(売分析!C202&lt;&gt;"",HYPERLINK("https://kabutan.jp/stock/?code="&amp;売分析!C202,"株探"),"")</f>
        <v/>
      </c>
      <c r="C202" s="631">
        <f>IF(売分析!C202&lt;&gt;"",売分析!C202,"")</f>
        <v/>
      </c>
      <c r="D202" s="225">
        <f>IF(売分析!D202&lt;&gt;"",売分析!D202,"")</f>
        <v/>
      </c>
      <c r="E202" s="353">
        <f>IF(売分析!E202&lt;&gt;"",売分析!E202,"")</f>
        <v/>
      </c>
      <c r="F202" s="353">
        <f>IF(売分析!F202&lt;&gt;"",売分析!F202,"")</f>
        <v/>
      </c>
      <c r="G202" s="353">
        <f>IF(売分析!H202&lt;&gt;"",売分析!H202,"")</f>
        <v/>
      </c>
      <c r="H202" s="353">
        <f>IF(売分析!I202&lt;&gt;"",売分析!I202,"")</f>
        <v/>
      </c>
      <c r="I202" s="225">
        <f>IF(売分析!J202&lt;&gt;"",売分析!J202,"")</f>
        <v/>
      </c>
      <c r="J202" s="353">
        <f>IF(売分析!AB202&lt;&gt;"",売分析!AB202,"")</f>
        <v/>
      </c>
      <c r="K202" s="353">
        <f>IF(売分析!AC202&lt;&gt;"",売分析!AC202,"")</f>
        <v/>
      </c>
      <c r="L202" s="353">
        <f>IF(売分析!K202&lt;&gt;"",売分析!K202,"")</f>
        <v/>
      </c>
      <c r="M202" s="225">
        <f>IF(売分析!P202&lt;&gt;"",売分析!P202,"")</f>
        <v/>
      </c>
      <c r="N202" s="627">
        <f>IF(売分析!O202&lt;&gt;"",売分析!O202,"")</f>
        <v/>
      </c>
      <c r="O202" s="357">
        <f>IF(売分析!X202&lt;&gt;"",売分析!X202,"")</f>
        <v/>
      </c>
      <c r="P202" s="626">
        <f>IF(売分析!L202&lt;&gt;"",売分析!L202,"")</f>
        <v/>
      </c>
      <c r="Q202" s="353">
        <f>IF(売分析!S202&lt;&gt;"",売分析!S202,"")</f>
        <v/>
      </c>
      <c r="R202" s="353">
        <f>IF(売分析!R202&lt;&gt;"",売分析!R202,"")</f>
        <v/>
      </c>
      <c r="S202" s="225">
        <f>IF(売分析!AA202&lt;&gt;"",売分析!AA202,"")</f>
        <v/>
      </c>
      <c r="T202" s="629">
        <f>IF(売分析!Z202&lt;&gt;"",売分析!Z202,"")</f>
        <v/>
      </c>
      <c r="U202" s="225">
        <f>IF(売分析!V202&lt;&gt;"",売分析!V202,"")</f>
        <v/>
      </c>
      <c r="V202" s="628">
        <f>IF(売分析!W202&lt;&gt;"",売分析!W202,"")</f>
        <v/>
      </c>
      <c r="W202" s="225">
        <f>IF(売分析!AD202&lt;&gt;"",売分析!AD202,"")</f>
        <v/>
      </c>
      <c r="X202" s="225">
        <f>IF(売分析!AE202&lt;&gt;"",売分析!AE202,"")</f>
        <v/>
      </c>
      <c r="Y202" s="411">
        <f>IF(売分析!T202&lt;&gt;"",売分析!T202,"")</f>
        <v/>
      </c>
      <c r="Z202" s="225">
        <f>IF(売分析!Y202&lt;&gt;"",売分析!Y202,"")</f>
        <v/>
      </c>
    </row>
    <row r="203">
      <c r="A203" s="345">
        <f>IF(売分析!C203&lt;&gt;"",ROW()-2,"")</f>
        <v/>
      </c>
      <c r="B203" s="344">
        <f>IF(売分析!C203&lt;&gt;"",HYPERLINK("https://kabutan.jp/stock/?code="&amp;売分析!C203,"株探"),"")</f>
        <v/>
      </c>
      <c r="C203" s="630">
        <f>IF(売分析!C203&lt;&gt;"",売分析!C203,"")</f>
        <v/>
      </c>
      <c r="D203" s="345">
        <f>IF(売分析!D203&lt;&gt;"",売分析!D203,"")</f>
        <v/>
      </c>
      <c r="E203" s="346">
        <f>IF(売分析!E203&lt;&gt;"",売分析!E203,"")</f>
        <v/>
      </c>
      <c r="F203" s="346">
        <f>IF(売分析!F203&lt;&gt;"",売分析!F203,"")</f>
        <v/>
      </c>
      <c r="G203" s="346">
        <f>IF(売分析!H203&lt;&gt;"",売分析!H203,"")</f>
        <v/>
      </c>
      <c r="H203" s="346">
        <f>IF(売分析!I203&lt;&gt;"",売分析!I203,"")</f>
        <v/>
      </c>
      <c r="I203" s="345">
        <f>IF(売分析!J203&lt;&gt;"",売分析!J203,"")</f>
        <v/>
      </c>
      <c r="J203" s="346">
        <f>IF(売分析!AB203&lt;&gt;"",売分析!AB203,"")</f>
        <v/>
      </c>
      <c r="K203" s="346">
        <f>IF(売分析!AC203&lt;&gt;"",売分析!AC203,"")</f>
        <v/>
      </c>
      <c r="L203" s="346">
        <f>IF(売分析!K203&lt;&gt;"",売分析!K203,"")</f>
        <v/>
      </c>
      <c r="M203" s="345">
        <f>IF(売分析!P203&lt;&gt;"",売分析!P203,"")</f>
        <v/>
      </c>
      <c r="N203" s="620">
        <f>IF(売分析!O203&lt;&gt;"",売分析!O203,"")</f>
        <v/>
      </c>
      <c r="O203" s="350">
        <f>IF(売分析!X203&lt;&gt;"",売分析!X203,"")</f>
        <v/>
      </c>
      <c r="P203" s="619">
        <f>IF(売分析!L203&lt;&gt;"",売分析!L203,"")</f>
        <v/>
      </c>
      <c r="Q203" s="346">
        <f>IF(売分析!S203&lt;&gt;"",売分析!S203,"")</f>
        <v/>
      </c>
      <c r="R203" s="346">
        <f>IF(売分析!R203&lt;&gt;"",売分析!R203,"")</f>
        <v/>
      </c>
      <c r="S203" s="345">
        <f>IF(売分析!AA203&lt;&gt;"",売分析!AA203,"")</f>
        <v/>
      </c>
      <c r="T203" s="622">
        <f>IF(売分析!Z203&lt;&gt;"",売分析!Z203,"")</f>
        <v/>
      </c>
      <c r="U203" s="345">
        <f>IF(売分析!V203&lt;&gt;"",売分析!V203,"")</f>
        <v/>
      </c>
      <c r="V203" s="621">
        <f>IF(売分析!W203&lt;&gt;"",売分析!W203,"")</f>
        <v/>
      </c>
      <c r="W203" s="345">
        <f>IF(売分析!AD203&lt;&gt;"",売分析!AD203,"")</f>
        <v/>
      </c>
      <c r="X203" s="345">
        <f>IF(売分析!AE203&lt;&gt;"",売分析!AE203,"")</f>
        <v/>
      </c>
      <c r="Y203" s="410">
        <f>IF(売分析!T203&lt;&gt;"",売分析!T203,"")</f>
        <v/>
      </c>
      <c r="Z203" s="345">
        <f>IF(売分析!Y203&lt;&gt;"",売分析!Y203,"")</f>
        <v/>
      </c>
    </row>
    <row r="204">
      <c r="A204" s="225">
        <f>IF(売分析!C204&lt;&gt;"",ROW()-2,"")</f>
        <v/>
      </c>
      <c r="B204" s="352">
        <f>IF(売分析!C204&lt;&gt;"",HYPERLINK("https://kabutan.jp/stock/?code="&amp;売分析!C204,"株探"),"")</f>
        <v/>
      </c>
      <c r="C204" s="631">
        <f>IF(売分析!C204&lt;&gt;"",売分析!C204,"")</f>
        <v/>
      </c>
      <c r="D204" s="225">
        <f>IF(売分析!D204&lt;&gt;"",売分析!D204,"")</f>
        <v/>
      </c>
      <c r="E204" s="353">
        <f>IF(売分析!E204&lt;&gt;"",売分析!E204,"")</f>
        <v/>
      </c>
      <c r="F204" s="353">
        <f>IF(売分析!F204&lt;&gt;"",売分析!F204,"")</f>
        <v/>
      </c>
      <c r="G204" s="353">
        <f>IF(売分析!H204&lt;&gt;"",売分析!H204,"")</f>
        <v/>
      </c>
      <c r="H204" s="353">
        <f>IF(売分析!I204&lt;&gt;"",売分析!I204,"")</f>
        <v/>
      </c>
      <c r="I204" s="225">
        <f>IF(売分析!J204&lt;&gt;"",売分析!J204,"")</f>
        <v/>
      </c>
      <c r="J204" s="353">
        <f>IF(売分析!AB204&lt;&gt;"",売分析!AB204,"")</f>
        <v/>
      </c>
      <c r="K204" s="353">
        <f>IF(売分析!AC204&lt;&gt;"",売分析!AC204,"")</f>
        <v/>
      </c>
      <c r="L204" s="353">
        <f>IF(売分析!K204&lt;&gt;"",売分析!K204,"")</f>
        <v/>
      </c>
      <c r="M204" s="225">
        <f>IF(売分析!P204&lt;&gt;"",売分析!P204,"")</f>
        <v/>
      </c>
      <c r="N204" s="627">
        <f>IF(売分析!O204&lt;&gt;"",売分析!O204,"")</f>
        <v/>
      </c>
      <c r="O204" s="357">
        <f>IF(売分析!X204&lt;&gt;"",売分析!X204,"")</f>
        <v/>
      </c>
      <c r="P204" s="626">
        <f>IF(売分析!L204&lt;&gt;"",売分析!L204,"")</f>
        <v/>
      </c>
      <c r="Q204" s="353">
        <f>IF(売分析!S204&lt;&gt;"",売分析!S204,"")</f>
        <v/>
      </c>
      <c r="R204" s="353">
        <f>IF(売分析!R204&lt;&gt;"",売分析!R204,"")</f>
        <v/>
      </c>
      <c r="S204" s="225">
        <f>IF(売分析!AA204&lt;&gt;"",売分析!AA204,"")</f>
        <v/>
      </c>
      <c r="T204" s="629">
        <f>IF(売分析!Z204&lt;&gt;"",売分析!Z204,"")</f>
        <v/>
      </c>
      <c r="U204" s="225">
        <f>IF(売分析!V204&lt;&gt;"",売分析!V204,"")</f>
        <v/>
      </c>
      <c r="V204" s="628">
        <f>IF(売分析!W204&lt;&gt;"",売分析!W204,"")</f>
        <v/>
      </c>
      <c r="W204" s="225">
        <f>IF(売分析!AD204&lt;&gt;"",売分析!AD204,"")</f>
        <v/>
      </c>
      <c r="X204" s="225">
        <f>IF(売分析!AE204&lt;&gt;"",売分析!AE204,"")</f>
        <v/>
      </c>
      <c r="Y204" s="411">
        <f>IF(売分析!T204&lt;&gt;"",売分析!T204,"")</f>
        <v/>
      </c>
      <c r="Z204" s="225">
        <f>IF(売分析!Y204&lt;&gt;"",売分析!Y204,"")</f>
        <v/>
      </c>
    </row>
    <row r="205">
      <c r="A205" s="345">
        <f>IF(売分析!C205&lt;&gt;"",ROW()-2,"")</f>
        <v/>
      </c>
      <c r="B205" s="344">
        <f>IF(売分析!C205&lt;&gt;"",HYPERLINK("https://kabutan.jp/stock/?code="&amp;売分析!C205,"株探"),"")</f>
        <v/>
      </c>
      <c r="C205" s="630">
        <f>IF(売分析!C205&lt;&gt;"",売分析!C205,"")</f>
        <v/>
      </c>
      <c r="D205" s="345">
        <f>IF(売分析!D205&lt;&gt;"",売分析!D205,"")</f>
        <v/>
      </c>
      <c r="E205" s="346">
        <f>IF(売分析!E205&lt;&gt;"",売分析!E205,"")</f>
        <v/>
      </c>
      <c r="F205" s="346">
        <f>IF(売分析!F205&lt;&gt;"",売分析!F205,"")</f>
        <v/>
      </c>
      <c r="G205" s="346">
        <f>IF(売分析!H205&lt;&gt;"",売分析!H205,"")</f>
        <v/>
      </c>
      <c r="H205" s="346">
        <f>IF(売分析!I205&lt;&gt;"",売分析!I205,"")</f>
        <v/>
      </c>
      <c r="I205" s="345">
        <f>IF(売分析!J205&lt;&gt;"",売分析!J205,"")</f>
        <v/>
      </c>
      <c r="J205" s="346">
        <f>IF(売分析!AB205&lt;&gt;"",売分析!AB205,"")</f>
        <v/>
      </c>
      <c r="K205" s="346">
        <f>IF(売分析!AC205&lt;&gt;"",売分析!AC205,"")</f>
        <v/>
      </c>
      <c r="L205" s="346">
        <f>IF(売分析!K205&lt;&gt;"",売分析!K205,"")</f>
        <v/>
      </c>
      <c r="M205" s="345">
        <f>IF(売分析!P205&lt;&gt;"",売分析!P205,"")</f>
        <v/>
      </c>
      <c r="N205" s="620">
        <f>IF(売分析!O205&lt;&gt;"",売分析!O205,"")</f>
        <v/>
      </c>
      <c r="O205" s="350">
        <f>IF(売分析!X205&lt;&gt;"",売分析!X205,"")</f>
        <v/>
      </c>
      <c r="P205" s="619">
        <f>IF(売分析!L205&lt;&gt;"",売分析!L205,"")</f>
        <v/>
      </c>
      <c r="Q205" s="346">
        <f>IF(売分析!S205&lt;&gt;"",売分析!S205,"")</f>
        <v/>
      </c>
      <c r="R205" s="346">
        <f>IF(売分析!R205&lt;&gt;"",売分析!R205,"")</f>
        <v/>
      </c>
      <c r="S205" s="345">
        <f>IF(売分析!AA205&lt;&gt;"",売分析!AA205,"")</f>
        <v/>
      </c>
      <c r="T205" s="622">
        <f>IF(売分析!Z205&lt;&gt;"",売分析!Z205,"")</f>
        <v/>
      </c>
      <c r="U205" s="345">
        <f>IF(売分析!V205&lt;&gt;"",売分析!V205,"")</f>
        <v/>
      </c>
      <c r="V205" s="621">
        <f>IF(売分析!W205&lt;&gt;"",売分析!W205,"")</f>
        <v/>
      </c>
      <c r="W205" s="345">
        <f>IF(売分析!AD205&lt;&gt;"",売分析!AD205,"")</f>
        <v/>
      </c>
      <c r="X205" s="345">
        <f>IF(売分析!AE205&lt;&gt;"",売分析!AE205,"")</f>
        <v/>
      </c>
      <c r="Y205" s="410">
        <f>IF(売分析!T205&lt;&gt;"",売分析!T205,"")</f>
        <v/>
      </c>
      <c r="Z205" s="345">
        <f>IF(売分析!Y205&lt;&gt;"",売分析!Y205,"")</f>
        <v/>
      </c>
    </row>
    <row r="206">
      <c r="A206" s="225">
        <f>IF(売分析!C206&lt;&gt;"",ROW()-2,"")</f>
        <v/>
      </c>
      <c r="B206" s="352">
        <f>IF(売分析!C206&lt;&gt;"",HYPERLINK("https://kabutan.jp/stock/?code="&amp;売分析!C206,"株探"),"")</f>
        <v/>
      </c>
      <c r="C206" s="631">
        <f>IF(売分析!C206&lt;&gt;"",売分析!C206,"")</f>
        <v/>
      </c>
      <c r="D206" s="225">
        <f>IF(売分析!D206&lt;&gt;"",売分析!D206,"")</f>
        <v/>
      </c>
      <c r="E206" s="353">
        <f>IF(売分析!E206&lt;&gt;"",売分析!E206,"")</f>
        <v/>
      </c>
      <c r="F206" s="353">
        <f>IF(売分析!F206&lt;&gt;"",売分析!F206,"")</f>
        <v/>
      </c>
      <c r="G206" s="353">
        <f>IF(売分析!H206&lt;&gt;"",売分析!H206,"")</f>
        <v/>
      </c>
      <c r="H206" s="353">
        <f>IF(売分析!I206&lt;&gt;"",売分析!I206,"")</f>
        <v/>
      </c>
      <c r="I206" s="225">
        <f>IF(売分析!J206&lt;&gt;"",売分析!J206,"")</f>
        <v/>
      </c>
      <c r="J206" s="353">
        <f>IF(売分析!AB206&lt;&gt;"",売分析!AB206,"")</f>
        <v/>
      </c>
      <c r="K206" s="353">
        <f>IF(売分析!AC206&lt;&gt;"",売分析!AC206,"")</f>
        <v/>
      </c>
      <c r="L206" s="353">
        <f>IF(売分析!K206&lt;&gt;"",売分析!K206,"")</f>
        <v/>
      </c>
      <c r="M206" s="225">
        <f>IF(売分析!P206&lt;&gt;"",売分析!P206,"")</f>
        <v/>
      </c>
      <c r="N206" s="627">
        <f>IF(売分析!O206&lt;&gt;"",売分析!O206,"")</f>
        <v/>
      </c>
      <c r="O206" s="357">
        <f>IF(売分析!X206&lt;&gt;"",売分析!X206,"")</f>
        <v/>
      </c>
      <c r="P206" s="626">
        <f>IF(売分析!L206&lt;&gt;"",売分析!L206,"")</f>
        <v/>
      </c>
      <c r="Q206" s="353">
        <f>IF(売分析!S206&lt;&gt;"",売分析!S206,"")</f>
        <v/>
      </c>
      <c r="R206" s="353">
        <f>IF(売分析!R206&lt;&gt;"",売分析!R206,"")</f>
        <v/>
      </c>
      <c r="S206" s="225">
        <f>IF(売分析!AA206&lt;&gt;"",売分析!AA206,"")</f>
        <v/>
      </c>
      <c r="T206" s="629">
        <f>IF(売分析!Z206&lt;&gt;"",売分析!Z206,"")</f>
        <v/>
      </c>
      <c r="U206" s="225">
        <f>IF(売分析!V206&lt;&gt;"",売分析!V206,"")</f>
        <v/>
      </c>
      <c r="V206" s="628">
        <f>IF(売分析!W206&lt;&gt;"",売分析!W206,"")</f>
        <v/>
      </c>
      <c r="W206" s="225">
        <f>IF(売分析!AD206&lt;&gt;"",売分析!AD206,"")</f>
        <v/>
      </c>
      <c r="X206" s="225">
        <f>IF(売分析!AE206&lt;&gt;"",売分析!AE206,"")</f>
        <v/>
      </c>
      <c r="Y206" s="411">
        <f>IF(売分析!T206&lt;&gt;"",売分析!T206,"")</f>
        <v/>
      </c>
      <c r="Z206" s="225">
        <f>IF(売分析!Y206&lt;&gt;"",売分析!Y206,"")</f>
        <v/>
      </c>
    </row>
  </sheetData>
  <mergeCells count="1">
    <mergeCell ref="A1:Z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3">
    <tabColor rgb="FFFFC000"/>
    <outlinePr summaryBelow="1" summaryRight="1"/>
    <pageSetUpPr/>
  </sheetPr>
  <dimension ref="A1:V505"/>
  <sheetViews>
    <sheetView zoomScale="104" zoomScaleNormal="104" workbookViewId="0">
      <selection activeCell="M29" sqref="M29"/>
    </sheetView>
  </sheetViews>
  <sheetFormatPr baseColWidth="8" defaultRowHeight="18.75"/>
  <cols>
    <col width="13.875" customWidth="1" style="574" min="1" max="1"/>
    <col width="15.625" bestFit="1" customWidth="1" style="431" min="3" max="3"/>
    <col width="21.625" customWidth="1" style="431" min="4" max="4"/>
    <col width="17.5" bestFit="1" customWidth="1" style="433" min="5" max="7"/>
    <col width="31" bestFit="1" customWidth="1" style="434" min="8" max="8"/>
    <col width="14.875" customWidth="1" style="433" min="9" max="9"/>
    <col width="28.375" bestFit="1" customWidth="1" style="430" min="10" max="10"/>
    <col width="18.375" customWidth="1" style="574" min="11" max="11"/>
    <col width="18.375" bestFit="1" customWidth="1" style="430" min="12" max="12"/>
    <col width="20.5" bestFit="1" customWidth="1" style="430" min="13" max="13"/>
    <col width="16.625" customWidth="1" style="574" min="14" max="14"/>
    <col width="17.625" bestFit="1" customWidth="1" style="430" min="15" max="15"/>
    <col width="20.25" bestFit="1" customWidth="1" style="430" min="16" max="16"/>
    <col width="17.25" bestFit="1" customWidth="1" style="574" min="17" max="17"/>
    <col width="255.625" bestFit="1" customWidth="1" style="432" min="18" max="18"/>
    <col width="15.5" customWidth="1" style="574" min="19" max="19"/>
    <col width="15.75" bestFit="1" customWidth="1" style="574" min="20" max="20"/>
    <col width="11.875" bestFit="1" customWidth="1" style="574" min="21" max="21"/>
    <col width="16.375" bestFit="1" customWidth="1" style="574" min="22" max="22"/>
  </cols>
  <sheetData>
    <row r="1" ht="92.25" customFormat="1" customHeight="1" s="429">
      <c r="A1" s="582" t="inlineStr">
        <is>
          <t>売り抽出　結果</t>
        </is>
      </c>
      <c r="B1" s="632" t="n"/>
      <c r="C1" s="632" t="n"/>
      <c r="D1" s="632" t="n"/>
      <c r="E1" s="632" t="n"/>
      <c r="F1" s="632" t="n"/>
      <c r="G1" s="632" t="n"/>
      <c r="H1" s="632" t="n"/>
      <c r="I1" s="632" t="n"/>
      <c r="J1" s="632" t="n"/>
      <c r="K1" s="632" t="n"/>
      <c r="L1" s="632" t="n"/>
      <c r="M1" s="632" t="n"/>
      <c r="N1" s="632" t="n"/>
      <c r="O1" s="632" t="n"/>
      <c r="P1" s="632" t="n"/>
      <c r="Q1" s="632" t="n"/>
      <c r="R1" s="633" t="n"/>
      <c r="S1" s="428" t="n"/>
      <c r="T1" s="428" t="n"/>
      <c r="U1" s="428" t="n"/>
      <c r="V1" s="428" t="n"/>
    </row>
    <row r="2" ht="39.95" customFormat="1" customHeight="1" s="382">
      <c r="A2" s="585" t="inlineStr">
        <is>
          <t>TOPIX: 上昇▲ (+1.23%) 【通常】　　最終更新: 2026/06/22 10:20　　高精度売り抽出[RSS](スコア10以上)</t>
        </is>
      </c>
      <c r="B2" s="634" t="n"/>
      <c r="C2" s="634" t="n"/>
      <c r="D2" s="634" t="n"/>
      <c r="E2" s="634" t="n"/>
      <c r="F2" s="634" t="n"/>
      <c r="G2" s="634" t="n"/>
      <c r="H2" s="634" t="n"/>
      <c r="I2" s="634" t="n"/>
      <c r="J2" s="634" t="n"/>
      <c r="K2" s="634" t="n"/>
      <c r="L2" s="634" t="n"/>
      <c r="M2" s="634" t="n"/>
      <c r="N2" s="634" t="n"/>
      <c r="O2" s="634" t="n"/>
      <c r="P2" s="634" t="n"/>
      <c r="Q2" s="634" t="n"/>
      <c r="R2" s="635" t="n"/>
      <c r="S2" s="431" t="n"/>
    </row>
    <row r="3" ht="39.95" customFormat="1" customHeight="1" s="508">
      <c r="A3" s="503" t="inlineStr">
        <is>
          <t>株探</t>
        </is>
      </c>
      <c r="B3" s="504" t="inlineStr">
        <is>
          <t>メモ</t>
        </is>
      </c>
      <c r="C3" s="636" t="inlineStr">
        <is>
          <t>銘柄コード</t>
        </is>
      </c>
      <c r="D3" s="504" t="inlineStr">
        <is>
          <t>銘柄名称</t>
        </is>
      </c>
      <c r="E3" s="547" t="inlineStr">
        <is>
          <t>現在値</t>
        </is>
      </c>
      <c r="F3" s="547" t="inlineStr">
        <is>
          <t>高値</t>
        </is>
      </c>
      <c r="G3" s="547" t="inlineStr">
        <is>
          <t>安値</t>
        </is>
      </c>
      <c r="H3" s="547" t="inlineStr">
        <is>
          <t>出来高</t>
        </is>
      </c>
      <c r="I3" s="637" t="inlineStr">
        <is>
          <t>RSI(14)</t>
        </is>
      </c>
      <c r="J3" s="504" t="inlineStr">
        <is>
          <t>EMAトレンド</t>
        </is>
      </c>
      <c r="K3" s="504" t="inlineStr">
        <is>
          <t>戻り売り判定</t>
        </is>
      </c>
      <c r="L3" s="504" t="inlineStr">
        <is>
          <t>出来高倍率</t>
        </is>
      </c>
      <c r="M3" s="506" t="inlineStr">
        <is>
          <t>MACD</t>
        </is>
      </c>
      <c r="N3" s="504" t="inlineStr">
        <is>
          <t>安値更新</t>
        </is>
      </c>
      <c r="O3" s="505" t="inlineStr">
        <is>
          <t>利確ライン</t>
        </is>
      </c>
      <c r="P3" s="505" t="inlineStr">
        <is>
          <t>損切ライン</t>
        </is>
      </c>
      <c r="Q3" s="504" t="inlineStr">
        <is>
          <t>スコア</t>
        </is>
      </c>
      <c r="R3" s="504" t="inlineStr">
        <is>
          <t>シグナル内容</t>
        </is>
      </c>
      <c r="S3" s="507" t="n"/>
      <c r="T3" s="507" t="n"/>
      <c r="U3" s="507" t="n"/>
      <c r="V3" s="507" t="n"/>
    </row>
    <row r="4" ht="39.95" customFormat="1" customHeight="1" s="508">
      <c r="A4" s="509">
        <f>HYPERLINK("https://kabutan.jp/stock/?code="&amp;TEXT(C4,"0000"),"株探")</f>
        <v/>
      </c>
      <c r="B4" s="510" t="n"/>
      <c r="C4" s="638" t="n">
        <v>5253</v>
      </c>
      <c r="D4" s="511" t="inlineStr">
        <is>
          <t>カバー</t>
        </is>
      </c>
      <c r="E4" s="549" t="n">
        <v>1276</v>
      </c>
      <c r="F4" s="549" t="n">
        <v>1314</v>
      </c>
      <c r="G4" s="549" t="n">
        <v>1271</v>
      </c>
      <c r="H4" s="550" t="n">
        <v>468200</v>
      </c>
      <c r="I4" s="551" t="n">
        <v>50</v>
      </c>
      <c r="J4" s="513" t="inlineStr">
        <is>
          <t>下降トレンド▼</t>
        </is>
      </c>
      <c r="K4" s="551" t="inlineStr">
        <is>
          <t>-</t>
        </is>
      </c>
      <c r="L4" s="551" t="inlineStr">
        <is>
          <t>-</t>
        </is>
      </c>
      <c r="M4" s="551" t="n">
        <v>-41.11</v>
      </c>
      <c r="N4" s="551" t="inlineStr">
        <is>
          <t>-</t>
        </is>
      </c>
      <c r="O4" s="549" t="n">
        <v>1212</v>
      </c>
      <c r="P4" s="549" t="n">
        <v>1314</v>
      </c>
      <c r="Q4" s="513" t="n">
        <v>11</v>
      </c>
      <c r="R4" s="536" t="inlineStr">
        <is>
          <t>下降トレンド▼ [DC直近5日] [完全下降] [Hist悪化] EMA12&lt;26 MACD&lt;Sig [○売りモメンタム部分] [前日:大陰線▼+2] [対TOPIX弱]</t>
        </is>
      </c>
      <c r="S4" s="507" t="n"/>
      <c r="T4" s="507" t="n"/>
      <c r="U4" s="507" t="n"/>
      <c r="V4" s="507" t="n"/>
    </row>
    <row r="5" ht="40.5" customFormat="1" customHeight="1" s="508">
      <c r="A5" s="509">
        <f>HYPERLINK("https://kabutan.jp/stock/?code="&amp;TEXT(C5,"0000"),"株探")</f>
        <v/>
      </c>
      <c r="B5" s="510" t="n"/>
      <c r="C5" s="638" t="n">
        <v>9348</v>
      </c>
      <c r="D5" s="511" t="inlineStr">
        <is>
          <t>ｉｓｐａｃｅ</t>
        </is>
      </c>
      <c r="E5" s="549" t="n">
        <v>458</v>
      </c>
      <c r="F5" s="549" t="n">
        <v>465</v>
      </c>
      <c r="G5" s="549" t="n">
        <v>451</v>
      </c>
      <c r="H5" s="550" t="n">
        <v>887400</v>
      </c>
      <c r="I5" s="551" t="n">
        <v>36.3</v>
      </c>
      <c r="J5" s="510" t="inlineStr">
        <is>
          <t>もみ合い→</t>
        </is>
      </c>
      <c r="K5" s="551" t="inlineStr">
        <is>
          <t>-</t>
        </is>
      </c>
      <c r="L5" s="551" t="inlineStr">
        <is>
          <t>0.2倍</t>
        </is>
      </c>
      <c r="M5" s="551" t="n">
        <v>-11.01</v>
      </c>
      <c r="N5" s="551" t="inlineStr">
        <is>
          <t>通常</t>
        </is>
      </c>
      <c r="O5" s="549" t="n">
        <v>435</v>
      </c>
      <c r="P5" s="549" t="n">
        <v>472</v>
      </c>
      <c r="Q5" s="513" t="n">
        <v>10</v>
      </c>
      <c r="R5" s="536" t="inlineStr">
        <is>
          <t>MACD- [DC直近5日] [完全下降] [Hist悪化] EMA12&lt;26 MACD&lt;Sig RSI&lt;50 [◎売りモメンタム完全] [前日:大陰線▼+2]</t>
        </is>
      </c>
      <c r="S5" s="507" t="n"/>
      <c r="T5" s="507" t="n"/>
      <c r="U5" s="507" t="n"/>
      <c r="V5" s="507" t="n"/>
    </row>
    <row r="6" ht="40.5" customFormat="1" customHeight="1" s="508">
      <c r="A6" s="509">
        <f>HYPERLINK("https://kabutan.jp/stock/?code="&amp;TEXT(C6,"0000"),"株探")</f>
        <v/>
      </c>
      <c r="B6" s="514" t="n"/>
      <c r="C6" s="639" t="n">
        <v>9404</v>
      </c>
      <c r="D6" s="515" t="inlineStr">
        <is>
          <t>日本テレビＨＬＤＳ</t>
        </is>
      </c>
      <c r="E6" s="516" t="n">
        <v>2750.5</v>
      </c>
      <c r="F6" s="516" t="n">
        <v>2782.5</v>
      </c>
      <c r="G6" s="516" t="n">
        <v>2745.5</v>
      </c>
      <c r="H6" s="517" t="n">
        <v>58800</v>
      </c>
      <c r="I6" s="518" t="n">
        <v>44.7</v>
      </c>
      <c r="J6" s="519" t="inlineStr">
        <is>
          <t>下降トレンド▼</t>
        </is>
      </c>
      <c r="K6" s="518" t="inlineStr">
        <is>
          <t>-</t>
        </is>
      </c>
      <c r="L6" s="518" t="inlineStr">
        <is>
          <t>0.1倍</t>
        </is>
      </c>
      <c r="M6" s="518" t="n">
        <v>-8.31</v>
      </c>
      <c r="N6" s="518" t="inlineStr">
        <is>
          <t>通常</t>
        </is>
      </c>
      <c r="O6" s="516" t="n">
        <v>2613</v>
      </c>
      <c r="P6" s="516" t="n">
        <v>2833</v>
      </c>
      <c r="Q6" s="521" t="n">
        <v>10</v>
      </c>
      <c r="R6" s="514" t="inlineStr">
        <is>
          <t>下降トレンド▼ MACD- [完全下降] [ADX=29] EMA12&lt;26 RSI&lt;50 [○売りモメンタム部分] [前日:大陰線▼+2] [対TOPIX弱]</t>
        </is>
      </c>
      <c r="S6" s="507" t="n"/>
      <c r="T6" s="507" t="n"/>
      <c r="U6" s="507" t="n"/>
      <c r="V6" s="507" t="n"/>
    </row>
    <row r="7" ht="40.5" customFormat="1" customHeight="1" s="508">
      <c r="A7" s="509">
        <f>HYPERLINK("https://kabutan.jp/stock/?code="&amp;TEXT(C7,"0000"),"株探")</f>
        <v/>
      </c>
      <c r="B7" s="510" t="n"/>
      <c r="C7" s="638" t="n">
        <v>9104</v>
      </c>
      <c r="D7" s="511" t="inlineStr">
        <is>
          <t>商船三井</t>
        </is>
      </c>
      <c r="E7" s="549" t="n">
        <v>5247</v>
      </c>
      <c r="F7" s="549" t="n">
        <v>5309</v>
      </c>
      <c r="G7" s="549" t="n">
        <v>5231</v>
      </c>
      <c r="H7" s="550" t="n">
        <v>790800</v>
      </c>
      <c r="I7" s="551" t="n">
        <v>50</v>
      </c>
      <c r="J7" s="513" t="inlineStr">
        <is>
          <t>下降トレンド▼</t>
        </is>
      </c>
      <c r="K7" s="551" t="inlineStr">
        <is>
          <t>-</t>
        </is>
      </c>
      <c r="L7" s="551" t="inlineStr">
        <is>
          <t>-</t>
        </is>
      </c>
      <c r="M7" s="551" t="n">
        <v>-130.57</v>
      </c>
      <c r="N7" s="551" t="inlineStr">
        <is>
          <t>-</t>
        </is>
      </c>
      <c r="O7" s="549" t="n">
        <v>4985</v>
      </c>
      <c r="P7" s="549" t="n">
        <v>5404</v>
      </c>
      <c r="Q7" s="513" t="n">
        <v>10</v>
      </c>
      <c r="R7" s="536" t="inlineStr">
        <is>
          <t>下降トレンド▼ [完全下降] [ADX=25] [Hist悪化] EMA12&lt;26 MACD&lt;Sig [○売りモメンタム部分] [前日:大陰線▼+2] [対TOPIX弱]</t>
        </is>
      </c>
      <c r="S7" s="507" t="n"/>
      <c r="T7" s="507" t="n"/>
      <c r="U7" s="507" t="n"/>
      <c r="V7" s="507" t="n"/>
    </row>
    <row r="8" ht="40.5" customFormat="1" customHeight="1" s="507">
      <c r="A8" s="523" t="n"/>
      <c r="B8" s="524" t="n"/>
      <c r="C8" s="640" t="n"/>
      <c r="D8" s="524" t="n"/>
      <c r="E8" s="552" t="n"/>
      <c r="F8" s="552" t="n"/>
      <c r="G8" s="552" t="n"/>
      <c r="H8" s="553" t="n"/>
      <c r="I8" s="641" t="n"/>
      <c r="J8" s="524" t="n"/>
      <c r="K8" s="524" t="n"/>
      <c r="L8" s="524" t="n"/>
      <c r="M8" s="526" t="n"/>
      <c r="N8" s="524" t="n"/>
      <c r="O8" s="525" t="n"/>
      <c r="P8" s="525" t="n"/>
      <c r="Q8" s="524" t="n"/>
      <c r="R8" s="537" t="n"/>
    </row>
    <row r="9" ht="40.5" customFormat="1" customHeight="1" s="507">
      <c r="A9" s="523" t="n"/>
      <c r="B9" s="514" t="n"/>
      <c r="C9" s="639" t="n"/>
      <c r="D9" s="522" t="n"/>
      <c r="E9" s="516" t="n"/>
      <c r="F9" s="516" t="n"/>
      <c r="G9" s="516" t="n"/>
      <c r="H9" s="517" t="n"/>
      <c r="I9" s="518" t="n"/>
      <c r="J9" s="518" t="n"/>
      <c r="K9" s="520" t="n"/>
      <c r="L9" s="518" t="n"/>
      <c r="M9" s="518" t="n"/>
      <c r="N9" s="520" t="n"/>
      <c r="O9" s="516" t="n"/>
      <c r="P9" s="516" t="n"/>
      <c r="Q9" s="520" t="n"/>
      <c r="R9" s="514" t="n"/>
    </row>
    <row r="10" ht="40.5" customFormat="1" customHeight="1" s="507">
      <c r="A10" s="523" t="n"/>
      <c r="B10" s="514" t="n"/>
      <c r="C10" s="639" t="n"/>
      <c r="D10" s="522" t="n"/>
      <c r="E10" s="516" t="n"/>
      <c r="F10" s="516" t="n"/>
      <c r="G10" s="516" t="n"/>
      <c r="H10" s="517" t="n"/>
      <c r="I10" s="518" t="n"/>
      <c r="J10" s="518" t="n"/>
      <c r="K10" s="520" t="n"/>
      <c r="L10" s="518" t="n"/>
      <c r="M10" s="518" t="n"/>
      <c r="N10" s="520" t="n"/>
      <c r="O10" s="516" t="n"/>
      <c r="P10" s="516" t="n"/>
      <c r="Q10" s="520" t="n"/>
      <c r="R10" s="514" t="n"/>
    </row>
    <row r="11" ht="40.5" customFormat="1" customHeight="1" s="507">
      <c r="A11" s="523" t="n"/>
      <c r="B11" s="514" t="n"/>
      <c r="C11" s="639" t="n"/>
      <c r="D11" s="522" t="n"/>
      <c r="E11" s="516" t="n"/>
      <c r="F11" s="516" t="n"/>
      <c r="G11" s="516" t="n"/>
      <c r="H11" s="517" t="n"/>
      <c r="I11" s="518" t="n"/>
      <c r="J11" s="518" t="n"/>
      <c r="K11" s="520" t="n"/>
      <c r="L11" s="518" t="n"/>
      <c r="M11" s="518" t="n"/>
      <c r="N11" s="520" t="n"/>
      <c r="O11" s="516" t="n"/>
      <c r="P11" s="516" t="n"/>
      <c r="Q11" s="520" t="n"/>
      <c r="R11" s="514" t="n"/>
    </row>
    <row r="12" ht="40.5" customFormat="1" customHeight="1" s="507">
      <c r="A12" s="523" t="n"/>
      <c r="B12" s="514" t="n"/>
      <c r="C12" s="639" t="n"/>
      <c r="D12" s="522" t="n"/>
      <c r="E12" s="516" t="n"/>
      <c r="F12" s="516" t="n"/>
      <c r="G12" s="516" t="n"/>
      <c r="H12" s="517" t="n"/>
      <c r="I12" s="518" t="n"/>
      <c r="J12" s="518" t="n"/>
      <c r="K12" s="520" t="n"/>
      <c r="L12" s="518" t="n"/>
      <c r="M12" s="518" t="n"/>
      <c r="N12" s="520" t="n"/>
      <c r="O12" s="516" t="n"/>
      <c r="P12" s="516" t="n"/>
      <c r="Q12" s="520" t="n"/>
      <c r="R12" s="514" t="n"/>
    </row>
    <row r="13" ht="40.5" customFormat="1" customHeight="1" s="507">
      <c r="A13" s="523" t="n"/>
      <c r="B13" s="514" t="n"/>
      <c r="C13" s="639" t="n"/>
      <c r="D13" s="522" t="n"/>
      <c r="E13" s="516" t="n"/>
      <c r="F13" s="516" t="n"/>
      <c r="G13" s="516" t="n"/>
      <c r="H13" s="517" t="n"/>
      <c r="I13" s="518" t="n"/>
      <c r="J13" s="518" t="n"/>
      <c r="K13" s="520" t="n"/>
      <c r="L13" s="518" t="n"/>
      <c r="M13" s="518" t="n"/>
      <c r="N13" s="520" t="n"/>
      <c r="O13" s="516" t="n"/>
      <c r="P13" s="516" t="n"/>
      <c r="Q13" s="520" t="n"/>
      <c r="R13" s="514" t="n"/>
    </row>
    <row r="14" ht="40.5" customFormat="1" customHeight="1" s="507">
      <c r="A14" s="523" t="n"/>
      <c r="B14" s="527" t="n"/>
      <c r="C14" s="642" t="n"/>
      <c r="D14" s="528" t="n"/>
      <c r="E14" s="529" t="n"/>
      <c r="F14" s="529" t="n"/>
      <c r="G14" s="529" t="n"/>
      <c r="H14" s="530" t="n"/>
      <c r="I14" s="643" t="n"/>
      <c r="J14" s="532" t="n"/>
      <c r="K14" s="533" t="n"/>
      <c r="L14" s="532" t="n"/>
      <c r="M14" s="534" t="n"/>
      <c r="N14" s="533" t="n"/>
      <c r="O14" s="529" t="n"/>
      <c r="P14" s="529" t="n"/>
      <c r="Q14" s="533" t="n"/>
      <c r="R14" s="527" t="n"/>
    </row>
    <row r="15" ht="40.5" customFormat="1" customHeight="1" s="507">
      <c r="A15" s="523" t="n"/>
      <c r="B15" s="514" t="n"/>
      <c r="C15" s="639" t="n"/>
      <c r="D15" s="522" t="n"/>
      <c r="E15" s="516" t="n"/>
      <c r="F15" s="516" t="n"/>
      <c r="G15" s="516" t="n"/>
      <c r="H15" s="517" t="n"/>
      <c r="I15" s="518" t="n"/>
      <c r="J15" s="518" t="n"/>
      <c r="K15" s="520" t="n"/>
      <c r="L15" s="518" t="n"/>
      <c r="M15" s="518" t="n"/>
      <c r="N15" s="520" t="n"/>
      <c r="O15" s="516" t="n"/>
      <c r="P15" s="516" t="n"/>
      <c r="Q15" s="520" t="n"/>
      <c r="R15" s="514" t="n"/>
    </row>
    <row r="16" ht="40.5" customFormat="1" customHeight="1" s="507">
      <c r="A16" s="523" t="n"/>
      <c r="B16" s="510" t="n"/>
      <c r="C16" s="638" t="n"/>
      <c r="D16" s="510" t="n"/>
      <c r="E16" s="549" t="n"/>
      <c r="F16" s="549" t="n"/>
      <c r="G16" s="549" t="n"/>
      <c r="H16" s="550" t="n"/>
      <c r="I16" s="551" t="n"/>
      <c r="J16" s="510" t="n"/>
      <c r="K16" s="510" t="n"/>
      <c r="L16" s="510" t="n"/>
      <c r="M16" s="510" t="n"/>
      <c r="N16" s="510" t="n"/>
      <c r="O16" s="512" t="n"/>
      <c r="P16" s="512" t="n"/>
      <c r="Q16" s="510" t="n"/>
      <c r="R16" s="536" t="n"/>
    </row>
    <row r="17" ht="40.5" customFormat="1" customHeight="1" s="507">
      <c r="A17" s="523" t="n"/>
      <c r="B17" s="514" t="n"/>
      <c r="C17" s="639" t="n"/>
      <c r="D17" s="522" t="n"/>
      <c r="E17" s="516" t="n"/>
      <c r="F17" s="516" t="n"/>
      <c r="G17" s="516" t="n"/>
      <c r="H17" s="517" t="n"/>
      <c r="I17" s="518" t="n"/>
      <c r="J17" s="518" t="n"/>
      <c r="K17" s="520" t="n"/>
      <c r="L17" s="518" t="n"/>
      <c r="M17" s="518" t="n"/>
      <c r="N17" s="520" t="n"/>
      <c r="O17" s="516" t="n"/>
      <c r="P17" s="516" t="n"/>
      <c r="Q17" s="520" t="n"/>
      <c r="R17" s="514" t="n"/>
    </row>
    <row r="18" ht="40.5" customFormat="1" customHeight="1" s="507">
      <c r="A18" s="523" t="n"/>
      <c r="B18" s="514" t="n"/>
      <c r="C18" s="639" t="n"/>
      <c r="D18" s="522" t="n"/>
      <c r="E18" s="516" t="n"/>
      <c r="F18" s="516" t="n"/>
      <c r="G18" s="516" t="n"/>
      <c r="H18" s="517" t="n"/>
      <c r="I18" s="518" t="n"/>
      <c r="J18" s="518" t="n"/>
      <c r="K18" s="520" t="n"/>
      <c r="L18" s="518" t="n"/>
      <c r="M18" s="518" t="n"/>
      <c r="N18" s="520" t="n"/>
      <c r="O18" s="516" t="n"/>
      <c r="P18" s="516" t="n"/>
      <c r="Q18" s="520" t="n"/>
      <c r="R18" s="514" t="n"/>
    </row>
    <row r="19" ht="40.5" customFormat="1" customHeight="1" s="507">
      <c r="A19" s="523" t="n"/>
      <c r="B19" s="514" t="n"/>
      <c r="C19" s="639" t="n"/>
      <c r="D19" s="522" t="n"/>
      <c r="E19" s="516" t="n"/>
      <c r="F19" s="516" t="n"/>
      <c r="G19" s="516" t="n"/>
      <c r="H19" s="517" t="n"/>
      <c r="I19" s="518" t="n"/>
      <c r="J19" s="518" t="n"/>
      <c r="K19" s="520" t="n"/>
      <c r="L19" s="518" t="n"/>
      <c r="M19" s="518" t="n"/>
      <c r="N19" s="520" t="n"/>
      <c r="O19" s="516" t="n"/>
      <c r="P19" s="516" t="n"/>
      <c r="Q19" s="520" t="n"/>
      <c r="R19" s="522" t="n"/>
    </row>
    <row r="20" ht="40.5" customFormat="1" customHeight="1" s="507">
      <c r="A20" s="523" t="n"/>
      <c r="B20" s="527" t="n"/>
      <c r="C20" s="642" t="n"/>
      <c r="D20" s="528" t="n"/>
      <c r="E20" s="529" t="n"/>
      <c r="F20" s="529" t="n"/>
      <c r="G20" s="529" t="n"/>
      <c r="H20" s="530" t="n"/>
      <c r="I20" s="643" t="n"/>
      <c r="J20" s="532" t="n"/>
      <c r="K20" s="533" t="n"/>
      <c r="L20" s="532" t="n"/>
      <c r="M20" s="534" t="n"/>
      <c r="N20" s="535" t="n"/>
      <c r="O20" s="529" t="n"/>
      <c r="P20" s="529" t="n"/>
      <c r="Q20" s="533" t="n"/>
      <c r="R20" s="528" t="n"/>
    </row>
    <row r="21" ht="40.5" customFormat="1" customHeight="1" s="507">
      <c r="A21" s="523" t="n"/>
      <c r="B21" s="514" t="n"/>
      <c r="C21" s="639" t="n"/>
      <c r="D21" s="522" t="n"/>
      <c r="E21" s="516" t="n"/>
      <c r="F21" s="516" t="n"/>
      <c r="G21" s="516" t="n"/>
      <c r="H21" s="517" t="n"/>
      <c r="I21" s="518" t="n"/>
      <c r="J21" s="518" t="n"/>
      <c r="K21" s="520" t="n"/>
      <c r="L21" s="518" t="n"/>
      <c r="M21" s="518" t="n"/>
      <c r="N21" s="520" t="n"/>
      <c r="O21" s="516" t="n"/>
      <c r="P21" s="516" t="n"/>
      <c r="Q21" s="520" t="n"/>
      <c r="R21" s="522" t="n"/>
    </row>
    <row r="22" ht="40.5" customFormat="1" customHeight="1" s="507">
      <c r="A22" s="523" t="n"/>
      <c r="B22" s="514" t="n"/>
      <c r="C22" s="639" t="n"/>
      <c r="D22" s="522" t="n"/>
      <c r="E22" s="516" t="n"/>
      <c r="F22" s="516" t="n"/>
      <c r="G22" s="516" t="n"/>
      <c r="H22" s="517" t="n"/>
      <c r="I22" s="518" t="n"/>
      <c r="J22" s="518" t="n"/>
      <c r="K22" s="520" t="n"/>
      <c r="L22" s="518" t="n"/>
      <c r="M22" s="518" t="n"/>
      <c r="N22" s="520" t="n"/>
      <c r="O22" s="516" t="n"/>
      <c r="P22" s="516" t="n"/>
      <c r="Q22" s="520" t="n"/>
      <c r="R22" s="522" t="n"/>
    </row>
    <row r="23" ht="40.5" customFormat="1" customHeight="1" s="507">
      <c r="A23" s="523" t="n"/>
      <c r="B23" s="514" t="n"/>
      <c r="C23" s="639" t="n"/>
      <c r="D23" s="522" t="n"/>
      <c r="E23" s="516" t="n"/>
      <c r="F23" s="516" t="n"/>
      <c r="G23" s="516" t="n"/>
      <c r="H23" s="517" t="n"/>
      <c r="I23" s="518" t="n"/>
      <c r="J23" s="518" t="n"/>
      <c r="K23" s="520" t="n"/>
      <c r="L23" s="518" t="n"/>
      <c r="M23" s="518" t="n"/>
      <c r="N23" s="520" t="n"/>
      <c r="O23" s="516" t="n"/>
      <c r="P23" s="516" t="n"/>
      <c r="Q23" s="520" t="n"/>
      <c r="R23" s="522" t="n"/>
    </row>
    <row r="24" ht="40.5" customFormat="1" customHeight="1" s="507">
      <c r="A24" s="523" t="n"/>
      <c r="B24" s="514" t="n"/>
      <c r="C24" s="639" t="n"/>
      <c r="D24" s="522" t="n"/>
      <c r="E24" s="516" t="n"/>
      <c r="F24" s="516" t="n"/>
      <c r="G24" s="516" t="n"/>
      <c r="H24" s="517" t="n"/>
      <c r="I24" s="518" t="n"/>
      <c r="J24" s="518" t="n"/>
      <c r="K24" s="520" t="n"/>
      <c r="L24" s="518" t="n"/>
      <c r="M24" s="518" t="n"/>
      <c r="N24" s="520" t="n"/>
      <c r="O24" s="516" t="n"/>
      <c r="P24" s="516" t="n"/>
      <c r="Q24" s="520" t="n"/>
      <c r="R24" s="522" t="n"/>
    </row>
    <row r="25" ht="40.5" customFormat="1" customHeight="1" s="507">
      <c r="A25" s="523" t="n"/>
      <c r="B25" s="514" t="n"/>
      <c r="C25" s="639" t="n"/>
      <c r="D25" s="522" t="n"/>
      <c r="E25" s="516" t="n"/>
      <c r="F25" s="516" t="n"/>
      <c r="G25" s="516" t="n"/>
      <c r="H25" s="517" t="n"/>
      <c r="I25" s="518" t="n"/>
      <c r="J25" s="518" t="n"/>
      <c r="K25" s="520" t="n"/>
      <c r="L25" s="518" t="n"/>
      <c r="M25" s="518" t="n"/>
      <c r="N25" s="520" t="n"/>
      <c r="O25" s="516" t="n"/>
      <c r="P25" s="516" t="n"/>
      <c r="Q25" s="520" t="n"/>
      <c r="R25" s="522" t="n"/>
    </row>
    <row r="26" ht="40.5" customFormat="1" customHeight="1" s="507">
      <c r="A26" s="523" t="n"/>
      <c r="B26" s="514" t="n"/>
      <c r="C26" s="639" t="n"/>
      <c r="D26" s="522" t="n"/>
      <c r="E26" s="516" t="n"/>
      <c r="F26" s="516" t="n"/>
      <c r="G26" s="516" t="n"/>
      <c r="H26" s="517" t="n"/>
      <c r="I26" s="518" t="n"/>
      <c r="J26" s="518" t="n"/>
      <c r="K26" s="520" t="n"/>
      <c r="L26" s="518" t="n"/>
      <c r="M26" s="518" t="n"/>
      <c r="N26" s="520" t="n"/>
      <c r="O26" s="516" t="n"/>
      <c r="P26" s="516" t="n"/>
      <c r="Q26" s="520" t="n"/>
      <c r="R26" s="522" t="n"/>
    </row>
    <row r="27" ht="40.5" customHeight="1" s="574">
      <c r="A27" s="474" t="n"/>
      <c r="B27" s="475" t="n"/>
      <c r="C27" s="644" t="n"/>
      <c r="D27" s="480" t="n"/>
      <c r="E27" s="476" t="n"/>
      <c r="F27" s="476" t="n"/>
      <c r="G27" s="476" t="n"/>
      <c r="H27" s="477" t="n"/>
      <c r="I27" s="478" t="n"/>
      <c r="J27" s="478" t="n"/>
      <c r="K27" s="479" t="n"/>
      <c r="L27" s="478" t="n"/>
      <c r="M27" s="478" t="n"/>
      <c r="N27" s="479" t="n"/>
      <c r="O27" s="476" t="n"/>
      <c r="P27" s="476" t="n"/>
      <c r="Q27" s="479" t="n"/>
      <c r="R27" s="480" t="n"/>
    </row>
    <row r="28" ht="40.5" customHeight="1" s="574">
      <c r="A28" s="474" t="n"/>
      <c r="B28" s="475" t="n"/>
      <c r="C28" s="644" t="n"/>
      <c r="D28" s="480" t="n"/>
      <c r="E28" s="476" t="n"/>
      <c r="F28" s="476" t="n"/>
      <c r="G28" s="476" t="n"/>
      <c r="H28" s="477" t="n"/>
      <c r="I28" s="478" t="n"/>
      <c r="J28" s="478" t="n"/>
      <c r="K28" s="479" t="n"/>
      <c r="L28" s="478" t="n"/>
      <c r="M28" s="478" t="n"/>
      <c r="N28" s="479" t="n"/>
      <c r="O28" s="476" t="n"/>
      <c r="P28" s="476" t="n"/>
      <c r="Q28" s="479" t="n"/>
      <c r="R28" s="480" t="n"/>
    </row>
    <row r="29" ht="40.5" customHeight="1" s="574">
      <c r="A29" s="474" t="n"/>
      <c r="B29" s="475" t="n"/>
      <c r="C29" s="644" t="n"/>
      <c r="D29" s="480" t="n"/>
      <c r="E29" s="476" t="n"/>
      <c r="F29" s="476" t="n"/>
      <c r="G29" s="476" t="n"/>
      <c r="H29" s="477" t="n"/>
      <c r="I29" s="478" t="n"/>
      <c r="J29" s="478" t="n"/>
      <c r="K29" s="479" t="n"/>
      <c r="L29" s="478" t="n"/>
      <c r="M29" s="478" t="n"/>
      <c r="N29" s="479" t="n"/>
      <c r="O29" s="476" t="n"/>
      <c r="P29" s="476" t="n"/>
      <c r="Q29" s="479" t="n"/>
      <c r="R29" s="480" t="n"/>
    </row>
    <row r="30" ht="40.5" customHeight="1" s="574">
      <c r="A30" s="474" t="n"/>
      <c r="B30" s="475" t="n"/>
      <c r="C30" s="644" t="n"/>
      <c r="D30" s="480" t="n"/>
      <c r="E30" s="476" t="n"/>
      <c r="F30" s="476" t="n"/>
      <c r="G30" s="476" t="n"/>
      <c r="H30" s="477" t="n"/>
      <c r="I30" s="478" t="n"/>
      <c r="J30" s="478" t="n"/>
      <c r="K30" s="479" t="n"/>
      <c r="L30" s="478" t="n"/>
      <c r="M30" s="478" t="n"/>
      <c r="N30" s="479" t="n"/>
      <c r="O30" s="476" t="n"/>
      <c r="P30" s="476" t="n"/>
      <c r="Q30" s="479" t="n"/>
      <c r="R30" s="480" t="n"/>
    </row>
    <row r="31" ht="40.5" customHeight="1" s="574">
      <c r="A31" s="474" t="n"/>
      <c r="B31" s="475" t="n"/>
      <c r="C31" s="644" t="n"/>
      <c r="D31" s="480" t="n"/>
      <c r="E31" s="476" t="n"/>
      <c r="F31" s="476" t="n"/>
      <c r="G31" s="476" t="n"/>
      <c r="H31" s="477" t="n"/>
      <c r="I31" s="478" t="n"/>
      <c r="J31" s="478" t="n"/>
      <c r="K31" s="479" t="n"/>
      <c r="L31" s="478" t="n"/>
      <c r="M31" s="478" t="n"/>
      <c r="N31" s="479" t="n"/>
      <c r="O31" s="476" t="n"/>
      <c r="P31" s="476" t="n"/>
      <c r="Q31" s="479" t="n"/>
      <c r="R31" s="480" t="n"/>
    </row>
    <row r="32" ht="40.5" customHeight="1" s="574">
      <c r="A32" s="474" t="n"/>
      <c r="B32" s="475" t="n"/>
      <c r="C32" s="644" t="n"/>
      <c r="D32" s="480" t="n"/>
      <c r="E32" s="476" t="n"/>
      <c r="F32" s="476" t="n"/>
      <c r="G32" s="476" t="n"/>
      <c r="H32" s="477" t="n"/>
      <c r="I32" s="478" t="n"/>
      <c r="J32" s="478" t="n"/>
      <c r="K32" s="479" t="n"/>
      <c r="L32" s="478" t="n"/>
      <c r="M32" s="478" t="n"/>
      <c r="N32" s="479" t="n"/>
      <c r="O32" s="476" t="n"/>
      <c r="P32" s="476" t="n"/>
      <c r="Q32" s="479" t="n"/>
      <c r="R32" s="480" t="n"/>
    </row>
    <row r="33" ht="40.5" customHeight="1" s="574">
      <c r="A33" s="474" t="n"/>
      <c r="B33" s="475" t="n"/>
      <c r="C33" s="644" t="n"/>
      <c r="D33" s="480" t="n"/>
      <c r="E33" s="476" t="n"/>
      <c r="F33" s="476" t="n"/>
      <c r="G33" s="476" t="n"/>
      <c r="H33" s="477" t="n"/>
      <c r="I33" s="478" t="n"/>
      <c r="J33" s="478" t="n"/>
      <c r="K33" s="479" t="n"/>
      <c r="L33" s="478" t="n"/>
      <c r="M33" s="478" t="n"/>
      <c r="N33" s="479" t="n"/>
      <c r="O33" s="476" t="n"/>
      <c r="P33" s="476" t="n"/>
      <c r="Q33" s="479" t="n"/>
      <c r="R33" s="480" t="n"/>
    </row>
    <row r="34" ht="40.5" customHeight="1" s="574">
      <c r="A34" s="489" t="n"/>
      <c r="B34" s="475" t="n"/>
      <c r="C34" s="644" t="n"/>
      <c r="D34" s="480" t="n"/>
      <c r="E34" s="476" t="n"/>
      <c r="F34" s="476" t="n"/>
      <c r="G34" s="476" t="n"/>
      <c r="H34" s="477" t="n"/>
      <c r="I34" s="478" t="n"/>
      <c r="J34" s="478" t="n"/>
      <c r="K34" s="479" t="n"/>
      <c r="L34" s="478" t="n"/>
      <c r="M34" s="478" t="n"/>
      <c r="N34" s="479" t="n"/>
      <c r="O34" s="476" t="n"/>
      <c r="P34" s="476" t="n"/>
      <c r="Q34" s="479" t="n"/>
      <c r="R34" s="480" t="n"/>
    </row>
    <row r="35" ht="40.5" customHeight="1" s="574">
      <c r="A35" s="489" t="n"/>
      <c r="B35" s="475" t="n"/>
      <c r="C35" s="644" t="n"/>
      <c r="D35" s="480" t="n"/>
      <c r="E35" s="476" t="n"/>
      <c r="F35" s="476" t="n"/>
      <c r="G35" s="476" t="n"/>
      <c r="H35" s="477" t="n"/>
      <c r="I35" s="478" t="n"/>
      <c r="J35" s="478" t="n"/>
      <c r="K35" s="479" t="n"/>
      <c r="L35" s="478" t="n"/>
      <c r="M35" s="478" t="n"/>
      <c r="N35" s="479" t="n"/>
      <c r="O35" s="476" t="n"/>
      <c r="P35" s="476" t="n"/>
      <c r="Q35" s="479" t="n"/>
      <c r="R35" s="480" t="n"/>
    </row>
    <row r="36" ht="40.5" customHeight="1" s="574">
      <c r="A36" s="489" t="n"/>
      <c r="B36" s="475" t="n"/>
      <c r="C36" s="644" t="n"/>
      <c r="D36" s="480" t="n"/>
      <c r="E36" s="476" t="n"/>
      <c r="F36" s="476" t="n"/>
      <c r="G36" s="476" t="n"/>
      <c r="H36" s="477" t="n"/>
      <c r="I36" s="478" t="n"/>
      <c r="J36" s="478" t="n"/>
      <c r="K36" s="479" t="n"/>
      <c r="L36" s="478" t="n"/>
      <c r="M36" s="478" t="n"/>
      <c r="N36" s="479" t="n"/>
      <c r="O36" s="476" t="n"/>
      <c r="P36" s="476" t="n"/>
      <c r="Q36" s="479" t="n"/>
      <c r="R36" s="480" t="n"/>
    </row>
    <row r="37" ht="40.5" customHeight="1" s="574">
      <c r="A37" s="489" t="n"/>
      <c r="B37" s="475" t="n"/>
      <c r="C37" s="644" t="n"/>
      <c r="D37" s="480" t="n"/>
      <c r="E37" s="476" t="n"/>
      <c r="F37" s="476" t="n"/>
      <c r="G37" s="476" t="n"/>
      <c r="H37" s="477" t="n"/>
      <c r="I37" s="478" t="n"/>
      <c r="J37" s="478" t="n"/>
      <c r="K37" s="479" t="n"/>
      <c r="L37" s="478" t="n"/>
      <c r="M37" s="478" t="n"/>
      <c r="N37" s="479" t="n"/>
      <c r="O37" s="476" t="n"/>
      <c r="P37" s="476" t="n"/>
      <c r="Q37" s="479" t="n"/>
      <c r="R37" s="480" t="n"/>
    </row>
    <row r="38" ht="40.5" customHeight="1" s="574">
      <c r="A38" s="489" t="n"/>
      <c r="B38" s="481" t="n"/>
      <c r="C38" s="645" t="n"/>
      <c r="D38" s="488" t="n"/>
      <c r="E38" s="482" t="n"/>
      <c r="F38" s="482" t="n"/>
      <c r="G38" s="482" t="n"/>
      <c r="H38" s="483" t="n"/>
      <c r="I38" s="646" t="n"/>
      <c r="J38" s="486" t="n"/>
      <c r="K38" s="485" t="n"/>
      <c r="L38" s="486" t="n"/>
      <c r="M38" s="487" t="n"/>
      <c r="N38" s="485" t="n"/>
      <c r="O38" s="482" t="n"/>
      <c r="P38" s="482" t="n"/>
      <c r="Q38" s="485" t="n"/>
      <c r="R38" s="488" t="n"/>
    </row>
    <row r="39" ht="40.5" customHeight="1" s="574">
      <c r="A39" s="489" t="n"/>
      <c r="B39" s="475" t="n"/>
      <c r="C39" s="644" t="n"/>
      <c r="D39" s="480" t="n"/>
      <c r="E39" s="476" t="n"/>
      <c r="F39" s="476" t="n"/>
      <c r="G39" s="476" t="n"/>
      <c r="H39" s="477" t="n"/>
      <c r="I39" s="478" t="n"/>
      <c r="J39" s="478" t="n"/>
      <c r="K39" s="479" t="n"/>
      <c r="L39" s="478" t="n"/>
      <c r="M39" s="478" t="n"/>
      <c r="N39" s="479" t="n"/>
      <c r="O39" s="476" t="n"/>
      <c r="P39" s="476" t="n"/>
      <c r="Q39" s="479" t="n"/>
      <c r="R39" s="480" t="n"/>
    </row>
    <row r="40" ht="40.5" customHeight="1" s="574">
      <c r="A40" s="489" t="n"/>
      <c r="B40" s="475" t="n"/>
      <c r="C40" s="644" t="n"/>
      <c r="D40" s="480" t="n"/>
      <c r="E40" s="476" t="n"/>
      <c r="F40" s="476" t="n"/>
      <c r="G40" s="476" t="n"/>
      <c r="H40" s="477" t="n"/>
      <c r="I40" s="478" t="n"/>
      <c r="J40" s="478" t="n"/>
      <c r="K40" s="479" t="n"/>
      <c r="L40" s="478" t="n"/>
      <c r="M40" s="478" t="n"/>
      <c r="N40" s="479" t="n"/>
      <c r="O40" s="476" t="n"/>
      <c r="P40" s="476" t="n"/>
      <c r="Q40" s="479" t="n"/>
      <c r="R40" s="480" t="n"/>
    </row>
    <row r="41" ht="40.5" customHeight="1" s="574">
      <c r="A41" s="489" t="n"/>
      <c r="B41" s="475" t="n"/>
      <c r="C41" s="644" t="n"/>
      <c r="D41" s="480" t="n"/>
      <c r="E41" s="476" t="n"/>
      <c r="F41" s="476" t="n"/>
      <c r="G41" s="476" t="n"/>
      <c r="H41" s="477" t="n"/>
      <c r="I41" s="478" t="n"/>
      <c r="J41" s="478" t="n"/>
      <c r="K41" s="479" t="n"/>
      <c r="L41" s="478" t="n"/>
      <c r="M41" s="478" t="n"/>
      <c r="N41" s="479" t="n"/>
      <c r="O41" s="476" t="n"/>
      <c r="P41" s="476" t="n"/>
      <c r="Q41" s="479" t="n"/>
      <c r="R41" s="480" t="n"/>
    </row>
    <row r="42" ht="40.5" customHeight="1" s="574">
      <c r="A42" s="489" t="n"/>
      <c r="B42" s="481" t="n"/>
      <c r="C42" s="645" t="n"/>
      <c r="D42" s="488" t="n"/>
      <c r="E42" s="482" t="n"/>
      <c r="F42" s="482" t="n"/>
      <c r="G42" s="482" t="n"/>
      <c r="H42" s="483" t="n"/>
      <c r="I42" s="646" t="n"/>
      <c r="J42" s="486" t="n"/>
      <c r="K42" s="485" t="n"/>
      <c r="L42" s="486" t="n"/>
      <c r="M42" s="487" t="n"/>
      <c r="N42" s="485" t="n"/>
      <c r="O42" s="482" t="n"/>
      <c r="P42" s="482" t="n"/>
      <c r="Q42" s="485" t="n"/>
      <c r="R42" s="488" t="n"/>
    </row>
    <row r="43" ht="40.5" customHeight="1" s="574">
      <c r="A43" s="490" t="n"/>
      <c r="B43" s="491" t="n"/>
      <c r="C43" s="647" t="n"/>
      <c r="D43" s="492" t="n"/>
      <c r="E43" s="493" t="n"/>
      <c r="F43" s="493" t="n"/>
      <c r="G43" s="493" t="n"/>
      <c r="H43" s="494" t="n"/>
      <c r="I43" s="495" t="n"/>
      <c r="J43" s="495" t="n"/>
      <c r="K43" s="496" t="n"/>
      <c r="L43" s="495" t="n"/>
      <c r="M43" s="495" t="n"/>
      <c r="N43" s="496" t="n"/>
      <c r="O43" s="493" t="n"/>
      <c r="P43" s="493" t="n"/>
      <c r="Q43" s="496" t="n"/>
      <c r="R43" s="492" t="n"/>
    </row>
    <row r="44" ht="40.5" customHeight="1" s="574">
      <c r="A44" s="490" t="n"/>
      <c r="B44" s="497" t="n"/>
      <c r="C44" s="648" t="n"/>
      <c r="D44" s="498" t="n"/>
      <c r="E44" s="499" t="n"/>
      <c r="F44" s="499" t="n"/>
      <c r="G44" s="499" t="n"/>
      <c r="H44" s="500" t="n"/>
      <c r="I44" s="501" t="n"/>
      <c r="J44" s="501" t="n"/>
      <c r="K44" s="497" t="n"/>
      <c r="L44" s="501" t="n"/>
      <c r="M44" s="501" t="n"/>
      <c r="N44" s="497" t="n"/>
      <c r="O44" s="499" t="n"/>
      <c r="P44" s="499" t="n"/>
      <c r="Q44" s="497" t="n"/>
      <c r="R44" s="502" t="n"/>
    </row>
    <row r="45" ht="40.5" customHeight="1" s="574">
      <c r="A45" s="490" t="n"/>
      <c r="B45" s="491" t="n"/>
      <c r="C45" s="647" t="n"/>
      <c r="D45" s="492" t="n"/>
      <c r="E45" s="493" t="n"/>
      <c r="F45" s="493" t="n"/>
      <c r="G45" s="493" t="n"/>
      <c r="H45" s="494" t="n"/>
      <c r="I45" s="495" t="n"/>
      <c r="J45" s="495" t="n"/>
      <c r="K45" s="496" t="n"/>
      <c r="L45" s="495" t="n"/>
      <c r="M45" s="495" t="n"/>
      <c r="N45" s="496" t="n"/>
      <c r="O45" s="493" t="n"/>
      <c r="P45" s="493" t="n"/>
      <c r="Q45" s="496" t="n"/>
      <c r="R45" s="492" t="n"/>
    </row>
    <row r="46" ht="24" customHeight="1" s="574">
      <c r="A46" s="490" t="n"/>
      <c r="B46" s="491" t="n"/>
      <c r="C46" s="647" t="n"/>
      <c r="D46" s="492" t="n"/>
      <c r="E46" s="493" t="n"/>
      <c r="F46" s="493" t="n"/>
      <c r="G46" s="493" t="n"/>
      <c r="H46" s="494" t="n"/>
      <c r="I46" s="495" t="n"/>
      <c r="J46" s="495" t="n"/>
      <c r="K46" s="496" t="n"/>
      <c r="L46" s="495" t="n"/>
      <c r="M46" s="495" t="n"/>
      <c r="N46" s="496" t="n"/>
      <c r="O46" s="493" t="n"/>
      <c r="P46" s="493" t="n"/>
      <c r="Q46" s="496" t="n"/>
      <c r="R46" s="492" t="n"/>
    </row>
    <row r="47" ht="24" customHeight="1" s="574">
      <c r="A47" s="490" t="n"/>
      <c r="B47" s="491" t="n"/>
      <c r="C47" s="647" t="n"/>
      <c r="D47" s="492" t="n"/>
      <c r="E47" s="493" t="n"/>
      <c r="F47" s="493" t="n"/>
      <c r="G47" s="493" t="n"/>
      <c r="H47" s="494" t="n"/>
      <c r="I47" s="495" t="n"/>
      <c r="J47" s="495" t="n"/>
      <c r="K47" s="496" t="n"/>
      <c r="L47" s="495" t="n"/>
      <c r="M47" s="495" t="n"/>
      <c r="N47" s="496" t="n"/>
      <c r="O47" s="493" t="n"/>
      <c r="P47" s="493" t="n"/>
      <c r="Q47" s="496" t="n"/>
      <c r="R47" s="492" t="n"/>
    </row>
    <row r="48" ht="24" customHeight="1" s="574">
      <c r="A48" s="490" t="n"/>
      <c r="B48" s="491" t="n"/>
      <c r="C48" s="647" t="n"/>
      <c r="D48" s="492" t="n"/>
      <c r="E48" s="493" t="n"/>
      <c r="F48" s="493" t="n"/>
      <c r="G48" s="493" t="n"/>
      <c r="H48" s="494" t="n"/>
      <c r="I48" s="495" t="n"/>
      <c r="J48" s="495" t="n"/>
      <c r="K48" s="496" t="n"/>
      <c r="L48" s="495" t="n"/>
      <c r="M48" s="495" t="n"/>
      <c r="N48" s="496" t="n"/>
      <c r="O48" s="493" t="n"/>
      <c r="P48" s="493" t="n"/>
      <c r="Q48" s="496" t="n"/>
      <c r="R48" s="492" t="n"/>
    </row>
    <row r="49" ht="24" customHeight="1" s="574">
      <c r="A49" s="490" t="n"/>
      <c r="B49" s="491" t="n"/>
      <c r="C49" s="647" t="n"/>
      <c r="D49" s="492" t="n"/>
      <c r="E49" s="493" t="n"/>
      <c r="F49" s="493" t="n"/>
      <c r="G49" s="493" t="n"/>
      <c r="H49" s="494" t="n"/>
      <c r="I49" s="495" t="n"/>
      <c r="J49" s="495" t="n"/>
      <c r="K49" s="496" t="n"/>
      <c r="L49" s="495" t="n"/>
      <c r="M49" s="495" t="n"/>
      <c r="N49" s="496" t="n"/>
      <c r="O49" s="493" t="n"/>
      <c r="P49" s="493" t="n"/>
      <c r="Q49" s="496" t="n"/>
      <c r="R49" s="492" t="n"/>
    </row>
    <row r="50">
      <c r="A50" s="463" t="n"/>
      <c r="B50" s="463" t="n"/>
      <c r="C50" s="465" t="n"/>
      <c r="D50" s="465" t="n"/>
      <c r="E50" s="466" t="n"/>
      <c r="F50" s="466" t="n"/>
      <c r="G50" s="466" t="n"/>
      <c r="H50" s="467" t="n"/>
      <c r="I50" s="466" t="n"/>
      <c r="J50" s="464" t="n"/>
      <c r="K50" s="463" t="n"/>
      <c r="L50" s="464" t="n"/>
      <c r="M50" s="464" t="n"/>
      <c r="N50" s="463" t="n"/>
      <c r="O50" s="464" t="n"/>
      <c r="P50" s="464" t="n"/>
      <c r="Q50" s="463" t="n"/>
      <c r="R50" s="468" t="n"/>
    </row>
    <row r="51">
      <c r="A51" s="463" t="n"/>
      <c r="B51" s="463" t="n"/>
      <c r="C51" s="465" t="n"/>
      <c r="D51" s="465" t="n"/>
      <c r="E51" s="466" t="n"/>
      <c r="F51" s="466" t="n"/>
      <c r="G51" s="466" t="n"/>
      <c r="H51" s="467" t="n"/>
      <c r="I51" s="466" t="n"/>
      <c r="J51" s="464" t="n"/>
      <c r="K51" s="463" t="n"/>
      <c r="L51" s="464" t="n"/>
      <c r="M51" s="464" t="n"/>
      <c r="N51" s="463" t="n"/>
      <c r="O51" s="464" t="n"/>
      <c r="P51" s="464" t="n"/>
      <c r="Q51" s="463" t="n"/>
      <c r="R51" s="468" t="n"/>
    </row>
    <row r="52">
      <c r="A52" s="463" t="n"/>
      <c r="B52" s="463" t="n"/>
      <c r="C52" s="465" t="n"/>
      <c r="D52" s="465" t="n"/>
      <c r="E52" s="466" t="n"/>
      <c r="F52" s="466" t="n"/>
      <c r="G52" s="466" t="n"/>
      <c r="H52" s="467" t="n"/>
      <c r="I52" s="466" t="n"/>
      <c r="J52" s="464" t="n"/>
      <c r="K52" s="463" t="n"/>
      <c r="L52" s="464" t="n"/>
      <c r="M52" s="464" t="n"/>
      <c r="N52" s="463" t="n"/>
      <c r="O52" s="464" t="n"/>
      <c r="P52" s="464" t="n"/>
      <c r="Q52" s="463" t="n"/>
      <c r="R52" s="468" t="n"/>
    </row>
    <row r="53">
      <c r="A53" s="463" t="n"/>
      <c r="B53" s="463" t="n"/>
      <c r="C53" s="465" t="n"/>
      <c r="D53" s="465" t="n"/>
      <c r="E53" s="466" t="n"/>
      <c r="F53" s="466" t="n"/>
      <c r="G53" s="466" t="n"/>
      <c r="H53" s="467" t="n"/>
      <c r="I53" s="466" t="n"/>
      <c r="J53" s="464" t="n"/>
      <c r="K53" s="463" t="n"/>
      <c r="L53" s="464" t="n"/>
      <c r="M53" s="464" t="n"/>
      <c r="N53" s="463" t="n"/>
      <c r="O53" s="464" t="n"/>
      <c r="P53" s="464" t="n"/>
      <c r="Q53" s="463" t="n"/>
      <c r="R53" s="468" t="n"/>
    </row>
    <row r="54">
      <c r="A54" s="463" t="n"/>
      <c r="B54" s="463" t="n"/>
      <c r="C54" s="465" t="n"/>
      <c r="D54" s="465" t="n"/>
      <c r="E54" s="466" t="n"/>
      <c r="F54" s="466" t="n"/>
      <c r="G54" s="466" t="n"/>
      <c r="H54" s="467" t="n"/>
      <c r="I54" s="466" t="n"/>
      <c r="J54" s="464" t="n"/>
      <c r="K54" s="463" t="n"/>
      <c r="L54" s="464" t="n"/>
      <c r="M54" s="464" t="n"/>
      <c r="N54" s="463" t="n"/>
      <c r="O54" s="464" t="n"/>
      <c r="P54" s="464" t="n"/>
      <c r="Q54" s="463" t="n"/>
      <c r="R54" s="468" t="n"/>
    </row>
    <row r="55">
      <c r="A55" s="463" t="n"/>
      <c r="B55" s="463" t="n"/>
      <c r="C55" s="465" t="n"/>
      <c r="D55" s="465" t="n"/>
      <c r="E55" s="466" t="n"/>
      <c r="F55" s="466" t="n"/>
      <c r="G55" s="466" t="n"/>
      <c r="H55" s="467" t="n"/>
      <c r="I55" s="466" t="n"/>
      <c r="J55" s="464" t="n"/>
      <c r="K55" s="463" t="n"/>
      <c r="L55" s="464" t="n"/>
      <c r="M55" s="464" t="n"/>
      <c r="N55" s="463" t="n"/>
      <c r="O55" s="464" t="n"/>
      <c r="P55" s="464" t="n"/>
      <c r="Q55" s="463" t="n"/>
      <c r="R55" s="468" t="n"/>
    </row>
    <row r="56">
      <c r="A56" s="463" t="n"/>
      <c r="B56" s="463" t="n"/>
      <c r="C56" s="465" t="n"/>
      <c r="D56" s="465" t="n"/>
      <c r="E56" s="466" t="n"/>
      <c r="F56" s="466" t="n"/>
      <c r="G56" s="466" t="n"/>
      <c r="H56" s="467" t="n"/>
      <c r="I56" s="466" t="n"/>
      <c r="J56" s="464" t="n"/>
      <c r="K56" s="463" t="n"/>
      <c r="L56" s="464" t="n"/>
      <c r="M56" s="464" t="n"/>
      <c r="N56" s="463" t="n"/>
      <c r="O56" s="464" t="n"/>
      <c r="P56" s="464" t="n"/>
      <c r="Q56" s="463" t="n"/>
      <c r="R56" s="468" t="n"/>
    </row>
    <row r="57">
      <c r="A57" s="463" t="n"/>
      <c r="B57" s="463" t="n"/>
      <c r="C57" s="465" t="n"/>
      <c r="D57" s="465" t="n"/>
      <c r="E57" s="466" t="n"/>
      <c r="F57" s="466" t="n"/>
      <c r="G57" s="466" t="n"/>
      <c r="H57" s="467" t="n"/>
      <c r="I57" s="466" t="n"/>
      <c r="J57" s="464" t="n"/>
      <c r="K57" s="463" t="n"/>
      <c r="L57" s="464" t="n"/>
      <c r="M57" s="464" t="n"/>
      <c r="N57" s="463" t="n"/>
      <c r="O57" s="464" t="n"/>
      <c r="P57" s="464" t="n"/>
      <c r="Q57" s="463" t="n"/>
      <c r="R57" s="468" t="n"/>
    </row>
    <row r="58">
      <c r="A58" s="463" t="n"/>
      <c r="B58" s="463" t="n"/>
      <c r="C58" s="465" t="n"/>
      <c r="D58" s="465" t="n"/>
      <c r="E58" s="466" t="n"/>
      <c r="F58" s="466" t="n"/>
      <c r="G58" s="466" t="n"/>
      <c r="H58" s="467" t="n"/>
      <c r="I58" s="466" t="n"/>
      <c r="J58" s="464" t="n"/>
      <c r="K58" s="463" t="n"/>
      <c r="L58" s="464" t="n"/>
      <c r="M58" s="464" t="n"/>
      <c r="N58" s="463" t="n"/>
      <c r="O58" s="464" t="n"/>
      <c r="P58" s="464" t="n"/>
      <c r="Q58" s="463" t="n"/>
      <c r="R58" s="468" t="n"/>
    </row>
    <row r="59">
      <c r="A59" s="463" t="n"/>
      <c r="B59" s="463" t="n"/>
      <c r="C59" s="465" t="n"/>
      <c r="D59" s="465" t="n"/>
      <c r="E59" s="466" t="n"/>
      <c r="F59" s="466" t="n"/>
      <c r="G59" s="466" t="n"/>
      <c r="H59" s="467" t="n"/>
      <c r="I59" s="466" t="n"/>
      <c r="J59" s="464" t="n"/>
      <c r="K59" s="463" t="n"/>
      <c r="L59" s="464" t="n"/>
      <c r="M59" s="464" t="n"/>
      <c r="N59" s="463" t="n"/>
      <c r="O59" s="464" t="n"/>
      <c r="P59" s="464" t="n"/>
      <c r="Q59" s="463" t="n"/>
      <c r="R59" s="468" t="n"/>
    </row>
    <row r="60">
      <c r="A60" s="463" t="n"/>
      <c r="B60" s="463" t="n"/>
      <c r="C60" s="465" t="n"/>
      <c r="D60" s="465" t="n"/>
      <c r="E60" s="466" t="n"/>
      <c r="F60" s="466" t="n"/>
      <c r="G60" s="466" t="n"/>
      <c r="H60" s="467" t="n"/>
      <c r="I60" s="466" t="n"/>
      <c r="J60" s="464" t="n"/>
      <c r="K60" s="463" t="n"/>
      <c r="L60" s="464" t="n"/>
      <c r="M60" s="464" t="n"/>
      <c r="N60" s="463" t="n"/>
      <c r="O60" s="464" t="n"/>
      <c r="P60" s="464" t="n"/>
      <c r="Q60" s="463" t="n"/>
      <c r="R60" s="468" t="n"/>
    </row>
    <row r="61">
      <c r="A61" s="463" t="n"/>
      <c r="B61" s="463" t="n"/>
      <c r="C61" s="465" t="n"/>
      <c r="D61" s="465" t="n"/>
      <c r="E61" s="466" t="n"/>
      <c r="F61" s="466" t="n"/>
      <c r="G61" s="466" t="n"/>
      <c r="H61" s="467" t="n"/>
      <c r="I61" s="466" t="n"/>
      <c r="J61" s="464" t="n"/>
      <c r="K61" s="463" t="n"/>
      <c r="L61" s="464" t="n"/>
      <c r="M61" s="464" t="n"/>
      <c r="N61" s="463" t="n"/>
      <c r="O61" s="464" t="n"/>
      <c r="P61" s="464" t="n"/>
      <c r="Q61" s="463" t="n"/>
      <c r="R61" s="468" t="n"/>
    </row>
    <row r="62">
      <c r="A62" s="463" t="n"/>
      <c r="B62" s="463" t="n"/>
      <c r="C62" s="465" t="n"/>
      <c r="D62" s="465" t="n"/>
      <c r="E62" s="466" t="n"/>
      <c r="F62" s="466" t="n"/>
      <c r="G62" s="466" t="n"/>
      <c r="H62" s="467" t="n"/>
      <c r="I62" s="466" t="n"/>
      <c r="J62" s="464" t="n"/>
      <c r="K62" s="463" t="n"/>
      <c r="L62" s="464" t="n"/>
      <c r="M62" s="464" t="n"/>
      <c r="N62" s="463" t="n"/>
      <c r="O62" s="464" t="n"/>
      <c r="P62" s="464" t="n"/>
      <c r="Q62" s="463" t="n"/>
      <c r="R62" s="468" t="n"/>
    </row>
    <row r="63">
      <c r="A63" s="463" t="n"/>
      <c r="B63" s="463" t="n"/>
      <c r="C63" s="465" t="n"/>
      <c r="D63" s="465" t="n"/>
      <c r="E63" s="466" t="n"/>
      <c r="F63" s="466" t="n"/>
      <c r="G63" s="466" t="n"/>
      <c r="H63" s="467" t="n"/>
      <c r="I63" s="466" t="n"/>
      <c r="J63" s="464" t="n"/>
      <c r="K63" s="463" t="n"/>
      <c r="L63" s="464" t="n"/>
      <c r="M63" s="464" t="n"/>
      <c r="N63" s="463" t="n"/>
      <c r="O63" s="464" t="n"/>
      <c r="P63" s="464" t="n"/>
      <c r="Q63" s="463" t="n"/>
      <c r="R63" s="468" t="n"/>
    </row>
    <row r="64">
      <c r="A64" s="463" t="n"/>
      <c r="B64" s="463" t="n"/>
      <c r="C64" s="465" t="n"/>
      <c r="D64" s="465" t="n"/>
      <c r="E64" s="466" t="n"/>
      <c r="F64" s="466" t="n"/>
      <c r="G64" s="466" t="n"/>
      <c r="H64" s="467" t="n"/>
      <c r="I64" s="466" t="n"/>
      <c r="J64" s="464" t="n"/>
      <c r="K64" s="463" t="n"/>
      <c r="L64" s="464" t="n"/>
      <c r="M64" s="464" t="n"/>
      <c r="N64" s="463" t="n"/>
      <c r="O64" s="464" t="n"/>
      <c r="P64" s="464" t="n"/>
      <c r="Q64" s="463" t="n"/>
      <c r="R64" s="468" t="n"/>
    </row>
    <row r="65">
      <c r="A65" s="463" t="n"/>
      <c r="B65" s="463" t="n"/>
      <c r="C65" s="465" t="n"/>
      <c r="D65" s="465" t="n"/>
      <c r="E65" s="466" t="n"/>
      <c r="F65" s="466" t="n"/>
      <c r="G65" s="466" t="n"/>
      <c r="H65" s="467" t="n"/>
      <c r="I65" s="466" t="n"/>
      <c r="J65" s="464" t="n"/>
      <c r="K65" s="463" t="n"/>
      <c r="L65" s="464" t="n"/>
      <c r="M65" s="464" t="n"/>
      <c r="N65" s="463" t="n"/>
      <c r="O65" s="464" t="n"/>
      <c r="P65" s="464" t="n"/>
      <c r="Q65" s="463" t="n"/>
      <c r="R65" s="468" t="n"/>
    </row>
    <row r="66">
      <c r="A66" s="463" t="n"/>
      <c r="B66" s="463" t="n"/>
      <c r="C66" s="465" t="n"/>
      <c r="D66" s="465" t="n"/>
      <c r="E66" s="466" t="n"/>
      <c r="F66" s="466" t="n"/>
      <c r="G66" s="466" t="n"/>
      <c r="H66" s="467" t="n"/>
      <c r="I66" s="466" t="n"/>
      <c r="J66" s="464" t="n"/>
      <c r="K66" s="463" t="n"/>
      <c r="L66" s="464" t="n"/>
      <c r="M66" s="464" t="n"/>
      <c r="N66" s="463" t="n"/>
      <c r="O66" s="464" t="n"/>
      <c r="P66" s="464" t="n"/>
      <c r="Q66" s="463" t="n"/>
      <c r="R66" s="468" t="n"/>
    </row>
    <row r="67">
      <c r="A67" s="463" t="n"/>
      <c r="B67" s="463" t="n"/>
      <c r="C67" s="465" t="n"/>
      <c r="D67" s="465" t="n"/>
      <c r="E67" s="466" t="n"/>
      <c r="F67" s="466" t="n"/>
      <c r="G67" s="466" t="n"/>
      <c r="H67" s="467" t="n"/>
      <c r="I67" s="466" t="n"/>
      <c r="J67" s="464" t="n"/>
      <c r="K67" s="463" t="n"/>
      <c r="L67" s="464" t="n"/>
      <c r="M67" s="464" t="n"/>
      <c r="N67" s="463" t="n"/>
      <c r="O67" s="464" t="n"/>
      <c r="P67" s="464" t="n"/>
      <c r="Q67" s="463" t="n"/>
      <c r="R67" s="468" t="n"/>
    </row>
    <row r="68">
      <c r="A68" s="463" t="n"/>
      <c r="B68" s="463" t="n"/>
      <c r="C68" s="465" t="n"/>
      <c r="D68" s="465" t="n"/>
      <c r="E68" s="466" t="n"/>
      <c r="F68" s="466" t="n"/>
      <c r="G68" s="466" t="n"/>
      <c r="H68" s="467" t="n"/>
      <c r="I68" s="466" t="n"/>
      <c r="J68" s="464" t="n"/>
      <c r="K68" s="463" t="n"/>
      <c r="L68" s="464" t="n"/>
      <c r="M68" s="464" t="n"/>
      <c r="N68" s="463" t="n"/>
      <c r="O68" s="464" t="n"/>
      <c r="P68" s="464" t="n"/>
      <c r="Q68" s="463" t="n"/>
      <c r="R68" s="468" t="n"/>
    </row>
    <row r="69">
      <c r="A69" s="463" t="n"/>
      <c r="B69" s="463" t="n"/>
      <c r="C69" s="465" t="n"/>
      <c r="D69" s="465" t="n"/>
      <c r="E69" s="466" t="n"/>
      <c r="F69" s="466" t="n"/>
      <c r="G69" s="466" t="n"/>
      <c r="H69" s="467" t="n"/>
      <c r="I69" s="466" t="n"/>
      <c r="J69" s="464" t="n"/>
      <c r="K69" s="463" t="n"/>
      <c r="L69" s="464" t="n"/>
      <c r="M69" s="464" t="n"/>
      <c r="N69" s="463" t="n"/>
      <c r="O69" s="464" t="n"/>
      <c r="P69" s="464" t="n"/>
      <c r="Q69" s="463" t="n"/>
      <c r="R69" s="468" t="n"/>
    </row>
    <row r="70">
      <c r="A70" s="463" t="n"/>
      <c r="B70" s="463" t="n"/>
      <c r="C70" s="465" t="n"/>
      <c r="D70" s="465" t="n"/>
      <c r="E70" s="466" t="n"/>
      <c r="F70" s="466" t="n"/>
      <c r="G70" s="466" t="n"/>
      <c r="H70" s="467" t="n"/>
      <c r="I70" s="466" t="n"/>
      <c r="J70" s="464" t="n"/>
      <c r="K70" s="463" t="n"/>
      <c r="L70" s="464" t="n"/>
      <c r="M70" s="464" t="n"/>
      <c r="N70" s="463" t="n"/>
      <c r="O70" s="464" t="n"/>
      <c r="P70" s="464" t="n"/>
      <c r="Q70" s="463" t="n"/>
      <c r="R70" s="468" t="n"/>
    </row>
    <row r="71">
      <c r="A71" s="463" t="n"/>
      <c r="B71" s="463" t="n"/>
      <c r="C71" s="465" t="n"/>
      <c r="D71" s="465" t="n"/>
      <c r="E71" s="466" t="n"/>
      <c r="F71" s="466" t="n"/>
      <c r="G71" s="466" t="n"/>
      <c r="H71" s="467" t="n"/>
      <c r="I71" s="466" t="n"/>
      <c r="J71" s="464" t="n"/>
      <c r="K71" s="463" t="n"/>
      <c r="L71" s="464" t="n"/>
      <c r="M71" s="464" t="n"/>
      <c r="N71" s="463" t="n"/>
      <c r="O71" s="464" t="n"/>
      <c r="P71" s="464" t="n"/>
      <c r="Q71" s="463" t="n"/>
      <c r="R71" s="468" t="n"/>
    </row>
    <row r="72">
      <c r="A72" s="463" t="n"/>
      <c r="B72" s="463" t="n"/>
      <c r="C72" s="465" t="n"/>
      <c r="D72" s="465" t="n"/>
      <c r="E72" s="466" t="n"/>
      <c r="F72" s="466" t="n"/>
      <c r="G72" s="466" t="n"/>
      <c r="H72" s="467" t="n"/>
      <c r="I72" s="466" t="n"/>
      <c r="J72" s="464" t="n"/>
      <c r="K72" s="463" t="n"/>
      <c r="L72" s="464" t="n"/>
      <c r="M72" s="464" t="n"/>
      <c r="N72" s="463" t="n"/>
      <c r="O72" s="464" t="n"/>
      <c r="P72" s="464" t="n"/>
      <c r="Q72" s="463" t="n"/>
      <c r="R72" s="468" t="n"/>
    </row>
    <row r="73">
      <c r="A73" s="463" t="n"/>
      <c r="B73" s="463" t="n"/>
      <c r="C73" s="465" t="n"/>
      <c r="D73" s="465" t="n"/>
      <c r="E73" s="466" t="n"/>
      <c r="F73" s="466" t="n"/>
      <c r="G73" s="466" t="n"/>
      <c r="H73" s="467" t="n"/>
      <c r="I73" s="466" t="n"/>
      <c r="J73" s="464" t="n"/>
      <c r="K73" s="463" t="n"/>
      <c r="L73" s="464" t="n"/>
      <c r="M73" s="464" t="n"/>
      <c r="N73" s="463" t="n"/>
      <c r="O73" s="464" t="n"/>
      <c r="P73" s="464" t="n"/>
      <c r="Q73" s="463" t="n"/>
      <c r="R73" s="468" t="n"/>
    </row>
    <row r="74">
      <c r="A74" s="463" t="n"/>
      <c r="B74" s="463" t="n"/>
      <c r="C74" s="465" t="n"/>
      <c r="D74" s="465" t="n"/>
      <c r="E74" s="466" t="n"/>
      <c r="F74" s="466" t="n"/>
      <c r="G74" s="466" t="n"/>
      <c r="H74" s="467" t="n"/>
      <c r="I74" s="466" t="n"/>
      <c r="J74" s="464" t="n"/>
      <c r="K74" s="463" t="n"/>
      <c r="L74" s="464" t="n"/>
      <c r="M74" s="464" t="n"/>
      <c r="N74" s="463" t="n"/>
      <c r="O74" s="464" t="n"/>
      <c r="P74" s="464" t="n"/>
      <c r="Q74" s="463" t="n"/>
      <c r="R74" s="468" t="n"/>
    </row>
    <row r="75">
      <c r="A75" s="463" t="n"/>
      <c r="B75" s="463" t="n"/>
      <c r="C75" s="465" t="n"/>
      <c r="D75" s="465" t="n"/>
      <c r="E75" s="466" t="n"/>
      <c r="F75" s="466" t="n"/>
      <c r="G75" s="466" t="n"/>
      <c r="H75" s="467" t="n"/>
      <c r="I75" s="466" t="n"/>
      <c r="J75" s="464" t="n"/>
      <c r="K75" s="463" t="n"/>
      <c r="L75" s="464" t="n"/>
      <c r="M75" s="464" t="n"/>
      <c r="N75" s="463" t="n"/>
      <c r="O75" s="464" t="n"/>
      <c r="P75" s="464" t="n"/>
      <c r="Q75" s="463" t="n"/>
      <c r="R75" s="468" t="n"/>
    </row>
    <row r="76">
      <c r="A76" s="463" t="n"/>
      <c r="B76" s="463" t="n"/>
      <c r="C76" s="465" t="n"/>
      <c r="D76" s="465" t="n"/>
      <c r="E76" s="466" t="n"/>
      <c r="F76" s="466" t="n"/>
      <c r="G76" s="466" t="n"/>
      <c r="H76" s="467" t="n"/>
      <c r="I76" s="466" t="n"/>
      <c r="J76" s="464" t="n"/>
      <c r="K76" s="463" t="n"/>
      <c r="L76" s="464" t="n"/>
      <c r="M76" s="464" t="n"/>
      <c r="N76" s="463" t="n"/>
      <c r="O76" s="464" t="n"/>
      <c r="P76" s="464" t="n"/>
      <c r="Q76" s="463" t="n"/>
      <c r="R76" s="468" t="n"/>
    </row>
    <row r="77">
      <c r="A77" s="463" t="n"/>
      <c r="B77" s="463" t="n"/>
      <c r="C77" s="465" t="n"/>
      <c r="D77" s="465" t="n"/>
      <c r="E77" s="466" t="n"/>
      <c r="F77" s="466" t="n"/>
      <c r="G77" s="466" t="n"/>
      <c r="H77" s="467" t="n"/>
      <c r="I77" s="466" t="n"/>
      <c r="J77" s="464" t="n"/>
      <c r="K77" s="463" t="n"/>
      <c r="L77" s="464" t="n"/>
      <c r="M77" s="464" t="n"/>
      <c r="N77" s="463" t="n"/>
      <c r="O77" s="464" t="n"/>
      <c r="P77" s="464" t="n"/>
      <c r="Q77" s="463" t="n"/>
      <c r="R77" s="468" t="n"/>
    </row>
    <row r="78">
      <c r="A78" s="463" t="n"/>
      <c r="B78" s="463" t="n"/>
      <c r="C78" s="465" t="n"/>
      <c r="D78" s="465" t="n"/>
      <c r="E78" s="466" t="n"/>
      <c r="F78" s="466" t="n"/>
      <c r="G78" s="466" t="n"/>
      <c r="H78" s="467" t="n"/>
      <c r="I78" s="466" t="n"/>
      <c r="J78" s="464" t="n"/>
      <c r="K78" s="463" t="n"/>
      <c r="L78" s="464" t="n"/>
      <c r="M78" s="464" t="n"/>
      <c r="N78" s="463" t="n"/>
      <c r="O78" s="464" t="n"/>
      <c r="P78" s="464" t="n"/>
      <c r="Q78" s="463" t="n"/>
      <c r="R78" s="468" t="n"/>
    </row>
    <row r="79">
      <c r="A79" s="463" t="n"/>
      <c r="B79" s="463" t="n"/>
      <c r="C79" s="465" t="n"/>
      <c r="D79" s="465" t="n"/>
      <c r="E79" s="466" t="n"/>
      <c r="F79" s="466" t="n"/>
      <c r="G79" s="466" t="n"/>
      <c r="H79" s="467" t="n"/>
      <c r="I79" s="466" t="n"/>
      <c r="J79" s="464" t="n"/>
      <c r="K79" s="463" t="n"/>
      <c r="L79" s="464" t="n"/>
      <c r="M79" s="464" t="n"/>
      <c r="N79" s="463" t="n"/>
      <c r="O79" s="464" t="n"/>
      <c r="P79" s="464" t="n"/>
      <c r="Q79" s="463" t="n"/>
      <c r="R79" s="468" t="n"/>
    </row>
    <row r="80">
      <c r="A80" s="463" t="n"/>
      <c r="B80" s="463" t="n"/>
      <c r="C80" s="465" t="n"/>
      <c r="D80" s="465" t="n"/>
      <c r="E80" s="466" t="n"/>
      <c r="F80" s="466" t="n"/>
      <c r="G80" s="466" t="n"/>
      <c r="H80" s="467" t="n"/>
      <c r="I80" s="466" t="n"/>
      <c r="J80" s="464" t="n"/>
      <c r="K80" s="463" t="n"/>
      <c r="L80" s="464" t="n"/>
      <c r="M80" s="464" t="n"/>
      <c r="N80" s="463" t="n"/>
      <c r="O80" s="464" t="n"/>
      <c r="P80" s="464" t="n"/>
      <c r="Q80" s="463" t="n"/>
      <c r="R80" s="468" t="n"/>
    </row>
    <row r="81">
      <c r="A81" s="463" t="n"/>
      <c r="B81" s="463" t="n"/>
      <c r="C81" s="465" t="n"/>
      <c r="D81" s="465" t="n"/>
      <c r="E81" s="466" t="n"/>
      <c r="F81" s="466" t="n"/>
      <c r="G81" s="466" t="n"/>
      <c r="H81" s="467" t="n"/>
      <c r="I81" s="466" t="n"/>
      <c r="J81" s="464" t="n"/>
      <c r="K81" s="463" t="n"/>
      <c r="L81" s="464" t="n"/>
      <c r="M81" s="464" t="n"/>
      <c r="N81" s="463" t="n"/>
      <c r="O81" s="464" t="n"/>
      <c r="P81" s="464" t="n"/>
      <c r="Q81" s="463" t="n"/>
      <c r="R81" s="468" t="n"/>
    </row>
    <row r="82">
      <c r="A82" s="463" t="n"/>
      <c r="B82" s="463" t="n"/>
      <c r="C82" s="465" t="n"/>
      <c r="D82" s="465" t="n"/>
      <c r="E82" s="466" t="n"/>
      <c r="F82" s="466" t="n"/>
      <c r="G82" s="466" t="n"/>
      <c r="H82" s="467" t="n"/>
      <c r="I82" s="466" t="n"/>
      <c r="J82" s="464" t="n"/>
      <c r="K82" s="463" t="n"/>
      <c r="L82" s="464" t="n"/>
      <c r="M82" s="464" t="n"/>
      <c r="N82" s="463" t="n"/>
      <c r="O82" s="464" t="n"/>
      <c r="P82" s="464" t="n"/>
      <c r="Q82" s="463" t="n"/>
      <c r="R82" s="468" t="n"/>
    </row>
    <row r="83">
      <c r="A83" s="463" t="n"/>
      <c r="B83" s="463" t="n"/>
      <c r="C83" s="465" t="n"/>
      <c r="D83" s="465" t="n"/>
      <c r="E83" s="466" t="n"/>
      <c r="F83" s="466" t="n"/>
      <c r="G83" s="466" t="n"/>
      <c r="H83" s="467" t="n"/>
      <c r="I83" s="466" t="n"/>
      <c r="J83" s="464" t="n"/>
      <c r="K83" s="463" t="n"/>
      <c r="L83" s="464" t="n"/>
      <c r="M83" s="464" t="n"/>
      <c r="N83" s="463" t="n"/>
      <c r="O83" s="464" t="n"/>
      <c r="P83" s="464" t="n"/>
      <c r="Q83" s="463" t="n"/>
      <c r="R83" s="468" t="n"/>
    </row>
    <row r="84">
      <c r="A84" s="463" t="n"/>
      <c r="B84" s="463" t="n"/>
      <c r="C84" s="465" t="n"/>
      <c r="D84" s="465" t="n"/>
      <c r="E84" s="466" t="n"/>
      <c r="F84" s="466" t="n"/>
      <c r="G84" s="466" t="n"/>
      <c r="H84" s="467" t="n"/>
      <c r="I84" s="466" t="n"/>
      <c r="J84" s="464" t="n"/>
      <c r="K84" s="463" t="n"/>
      <c r="L84" s="464" t="n"/>
      <c r="M84" s="464" t="n"/>
      <c r="N84" s="463" t="n"/>
      <c r="O84" s="464" t="n"/>
      <c r="P84" s="464" t="n"/>
      <c r="Q84" s="463" t="n"/>
      <c r="R84" s="468" t="n"/>
    </row>
    <row r="85">
      <c r="A85" s="463" t="n"/>
      <c r="B85" s="463" t="n"/>
      <c r="C85" s="465" t="n"/>
      <c r="D85" s="465" t="n"/>
      <c r="E85" s="466" t="n"/>
      <c r="F85" s="466" t="n"/>
      <c r="G85" s="466" t="n"/>
      <c r="H85" s="467" t="n"/>
      <c r="I85" s="466" t="n"/>
      <c r="J85" s="464" t="n"/>
      <c r="K85" s="463" t="n"/>
      <c r="L85" s="464" t="n"/>
      <c r="M85" s="464" t="n"/>
      <c r="N85" s="463" t="n"/>
      <c r="O85" s="464" t="n"/>
      <c r="P85" s="464" t="n"/>
      <c r="Q85" s="463" t="n"/>
      <c r="R85" s="468" t="n"/>
    </row>
    <row r="86">
      <c r="A86" s="463" t="n"/>
      <c r="B86" s="463" t="n"/>
      <c r="C86" s="465" t="n"/>
      <c r="D86" s="465" t="n"/>
      <c r="E86" s="466" t="n"/>
      <c r="F86" s="466" t="n"/>
      <c r="G86" s="466" t="n"/>
      <c r="H86" s="467" t="n"/>
      <c r="I86" s="466" t="n"/>
      <c r="J86" s="464" t="n"/>
      <c r="K86" s="463" t="n"/>
      <c r="L86" s="464" t="n"/>
      <c r="M86" s="464" t="n"/>
      <c r="N86" s="463" t="n"/>
      <c r="O86" s="464" t="n"/>
      <c r="P86" s="464" t="n"/>
      <c r="Q86" s="463" t="n"/>
      <c r="R86" s="468" t="n"/>
    </row>
    <row r="87">
      <c r="A87" s="463" t="n"/>
      <c r="B87" s="463" t="n"/>
      <c r="C87" s="465" t="n"/>
      <c r="D87" s="465" t="n"/>
      <c r="E87" s="466" t="n"/>
      <c r="F87" s="466" t="n"/>
      <c r="G87" s="466" t="n"/>
      <c r="H87" s="467" t="n"/>
      <c r="I87" s="466" t="n"/>
      <c r="J87" s="464" t="n"/>
      <c r="K87" s="463" t="n"/>
      <c r="L87" s="464" t="n"/>
      <c r="M87" s="464" t="n"/>
      <c r="N87" s="463" t="n"/>
      <c r="O87" s="464" t="n"/>
      <c r="P87" s="464" t="n"/>
      <c r="Q87" s="463" t="n"/>
      <c r="R87" s="468" t="n"/>
    </row>
    <row r="88">
      <c r="A88" s="463" t="n"/>
      <c r="B88" s="463" t="n"/>
      <c r="C88" s="465" t="n"/>
      <c r="D88" s="465" t="n"/>
      <c r="E88" s="466" t="n"/>
      <c r="F88" s="466" t="n"/>
      <c r="G88" s="466" t="n"/>
      <c r="H88" s="467" t="n"/>
      <c r="I88" s="466" t="n"/>
      <c r="J88" s="464" t="n"/>
      <c r="K88" s="463" t="n"/>
      <c r="L88" s="464" t="n"/>
      <c r="M88" s="464" t="n"/>
      <c r="N88" s="463" t="n"/>
      <c r="O88" s="464" t="n"/>
      <c r="P88" s="464" t="n"/>
      <c r="Q88" s="463" t="n"/>
      <c r="R88" s="468" t="n"/>
    </row>
    <row r="89">
      <c r="A89" s="463" t="n"/>
      <c r="B89" s="463" t="n"/>
      <c r="C89" s="465" t="n"/>
      <c r="D89" s="465" t="n"/>
      <c r="E89" s="466" t="n"/>
      <c r="F89" s="466" t="n"/>
      <c r="G89" s="466" t="n"/>
      <c r="H89" s="467" t="n"/>
      <c r="I89" s="466" t="n"/>
      <c r="J89" s="464" t="n"/>
      <c r="K89" s="463" t="n"/>
      <c r="L89" s="464" t="n"/>
      <c r="M89" s="464" t="n"/>
      <c r="N89" s="463" t="n"/>
      <c r="O89" s="464" t="n"/>
      <c r="P89" s="464" t="n"/>
      <c r="Q89" s="463" t="n"/>
      <c r="R89" s="468" t="n"/>
    </row>
    <row r="90">
      <c r="A90" s="463" t="n"/>
      <c r="B90" s="463" t="n"/>
      <c r="C90" s="465" t="n"/>
      <c r="D90" s="465" t="n"/>
      <c r="E90" s="466" t="n"/>
      <c r="F90" s="466" t="n"/>
      <c r="G90" s="466" t="n"/>
      <c r="H90" s="467" t="n"/>
      <c r="I90" s="466" t="n"/>
      <c r="J90" s="464" t="n"/>
      <c r="K90" s="463" t="n"/>
      <c r="L90" s="464" t="n"/>
      <c r="M90" s="464" t="n"/>
      <c r="N90" s="463" t="n"/>
      <c r="O90" s="464" t="n"/>
      <c r="P90" s="464" t="n"/>
      <c r="Q90" s="463" t="n"/>
      <c r="R90" s="468" t="n"/>
    </row>
    <row r="91">
      <c r="A91" s="463" t="n"/>
      <c r="B91" s="463" t="n"/>
      <c r="C91" s="465" t="n"/>
      <c r="D91" s="465" t="n"/>
      <c r="E91" s="466" t="n"/>
      <c r="F91" s="466" t="n"/>
      <c r="G91" s="466" t="n"/>
      <c r="H91" s="467" t="n"/>
      <c r="I91" s="466" t="n"/>
      <c r="J91" s="464" t="n"/>
      <c r="K91" s="463" t="n"/>
      <c r="L91" s="464" t="n"/>
      <c r="M91" s="464" t="n"/>
      <c r="N91" s="463" t="n"/>
      <c r="O91" s="464" t="n"/>
      <c r="P91" s="464" t="n"/>
      <c r="Q91" s="463" t="n"/>
      <c r="R91" s="468" t="n"/>
    </row>
    <row r="92">
      <c r="A92" s="463" t="n"/>
      <c r="B92" s="463" t="n"/>
      <c r="C92" s="465" t="n"/>
      <c r="D92" s="465" t="n"/>
      <c r="E92" s="466" t="n"/>
      <c r="F92" s="466" t="n"/>
      <c r="G92" s="466" t="n"/>
      <c r="H92" s="467" t="n"/>
      <c r="I92" s="466" t="n"/>
      <c r="J92" s="464" t="n"/>
      <c r="K92" s="463" t="n"/>
      <c r="L92" s="464" t="n"/>
      <c r="M92" s="464" t="n"/>
      <c r="N92" s="463" t="n"/>
      <c r="O92" s="464" t="n"/>
      <c r="P92" s="464" t="n"/>
      <c r="Q92" s="463" t="n"/>
      <c r="R92" s="468" t="n"/>
    </row>
    <row r="93">
      <c r="A93" s="463" t="n"/>
      <c r="B93" s="463" t="n"/>
      <c r="C93" s="465" t="n"/>
      <c r="D93" s="465" t="n"/>
      <c r="E93" s="466" t="n"/>
      <c r="F93" s="466" t="n"/>
      <c r="G93" s="466" t="n"/>
      <c r="H93" s="467" t="n"/>
      <c r="I93" s="466" t="n"/>
      <c r="J93" s="464" t="n"/>
      <c r="K93" s="463" t="n"/>
      <c r="L93" s="464" t="n"/>
      <c r="M93" s="464" t="n"/>
      <c r="N93" s="463" t="n"/>
      <c r="O93" s="464" t="n"/>
      <c r="P93" s="464" t="n"/>
      <c r="Q93" s="463" t="n"/>
      <c r="R93" s="468" t="n"/>
    </row>
    <row r="94">
      <c r="A94" s="463" t="n"/>
      <c r="B94" s="463" t="n"/>
      <c r="C94" s="465" t="n"/>
      <c r="D94" s="465" t="n"/>
      <c r="E94" s="466" t="n"/>
      <c r="F94" s="466" t="n"/>
      <c r="G94" s="466" t="n"/>
      <c r="H94" s="467" t="n"/>
      <c r="I94" s="466" t="n"/>
      <c r="J94" s="464" t="n"/>
      <c r="K94" s="463" t="n"/>
      <c r="L94" s="464" t="n"/>
      <c r="M94" s="464" t="n"/>
      <c r="N94" s="463" t="n"/>
      <c r="O94" s="464" t="n"/>
      <c r="P94" s="464" t="n"/>
      <c r="Q94" s="463" t="n"/>
      <c r="R94" s="468" t="n"/>
    </row>
    <row r="95">
      <c r="A95" s="463" t="n"/>
      <c r="B95" s="463" t="n"/>
      <c r="C95" s="465" t="n"/>
      <c r="D95" s="465" t="n"/>
      <c r="E95" s="466" t="n"/>
      <c r="F95" s="466" t="n"/>
      <c r="G95" s="466" t="n"/>
      <c r="H95" s="467" t="n"/>
      <c r="I95" s="466" t="n"/>
      <c r="J95" s="464" t="n"/>
      <c r="K95" s="463" t="n"/>
      <c r="L95" s="464" t="n"/>
      <c r="M95" s="464" t="n"/>
      <c r="N95" s="463" t="n"/>
      <c r="O95" s="464" t="n"/>
      <c r="P95" s="464" t="n"/>
      <c r="Q95" s="463" t="n"/>
      <c r="R95" s="468" t="n"/>
    </row>
    <row r="96">
      <c r="A96" s="463" t="n"/>
      <c r="B96" s="463" t="n"/>
      <c r="C96" s="465" t="n"/>
      <c r="D96" s="465" t="n"/>
      <c r="E96" s="466" t="n"/>
      <c r="F96" s="466" t="n"/>
      <c r="G96" s="466" t="n"/>
      <c r="H96" s="467" t="n"/>
      <c r="I96" s="466" t="n"/>
      <c r="J96" s="464" t="n"/>
      <c r="K96" s="463" t="n"/>
      <c r="L96" s="464" t="n"/>
      <c r="M96" s="464" t="n"/>
      <c r="N96" s="463" t="n"/>
      <c r="O96" s="464" t="n"/>
      <c r="P96" s="464" t="n"/>
      <c r="Q96" s="463" t="n"/>
      <c r="R96" s="468" t="n"/>
    </row>
    <row r="97">
      <c r="A97" s="463" t="n"/>
      <c r="B97" s="463" t="n"/>
      <c r="C97" s="465" t="n"/>
      <c r="D97" s="465" t="n"/>
      <c r="E97" s="466" t="n"/>
      <c r="F97" s="466" t="n"/>
      <c r="G97" s="466" t="n"/>
      <c r="H97" s="467" t="n"/>
      <c r="I97" s="466" t="n"/>
      <c r="J97" s="464" t="n"/>
      <c r="K97" s="463" t="n"/>
      <c r="L97" s="464" t="n"/>
      <c r="M97" s="464" t="n"/>
      <c r="N97" s="463" t="n"/>
      <c r="O97" s="464" t="n"/>
      <c r="P97" s="464" t="n"/>
      <c r="Q97" s="463" t="n"/>
      <c r="R97" s="468" t="n"/>
    </row>
    <row r="98">
      <c r="A98" s="463" t="n"/>
      <c r="B98" s="463" t="n"/>
      <c r="C98" s="465" t="n"/>
      <c r="D98" s="465" t="n"/>
      <c r="E98" s="466" t="n"/>
      <c r="F98" s="466" t="n"/>
      <c r="G98" s="466" t="n"/>
      <c r="H98" s="467" t="n"/>
      <c r="I98" s="466" t="n"/>
      <c r="J98" s="464" t="n"/>
      <c r="K98" s="463" t="n"/>
      <c r="L98" s="464" t="n"/>
      <c r="M98" s="464" t="n"/>
      <c r="N98" s="463" t="n"/>
      <c r="O98" s="464" t="n"/>
      <c r="P98" s="464" t="n"/>
      <c r="Q98" s="463" t="n"/>
      <c r="R98" s="468" t="n"/>
    </row>
    <row r="99">
      <c r="A99" s="463" t="n"/>
      <c r="B99" s="463" t="n"/>
      <c r="C99" s="465" t="n"/>
      <c r="D99" s="465" t="n"/>
      <c r="E99" s="466" t="n"/>
      <c r="F99" s="466" t="n"/>
      <c r="G99" s="466" t="n"/>
      <c r="H99" s="467" t="n"/>
      <c r="I99" s="466" t="n"/>
      <c r="J99" s="464" t="n"/>
      <c r="K99" s="463" t="n"/>
      <c r="L99" s="464" t="n"/>
      <c r="M99" s="464" t="n"/>
      <c r="N99" s="463" t="n"/>
      <c r="O99" s="464" t="n"/>
      <c r="P99" s="464" t="n"/>
      <c r="Q99" s="463" t="n"/>
      <c r="R99" s="468" t="n"/>
    </row>
    <row r="100">
      <c r="A100" s="463" t="n"/>
      <c r="B100" s="463" t="n"/>
      <c r="C100" s="465" t="n"/>
      <c r="D100" s="465" t="n"/>
      <c r="E100" s="466" t="n"/>
      <c r="F100" s="466" t="n"/>
      <c r="G100" s="466" t="n"/>
      <c r="H100" s="467" t="n"/>
      <c r="I100" s="466" t="n"/>
      <c r="J100" s="464" t="n"/>
      <c r="K100" s="463" t="n"/>
      <c r="L100" s="464" t="n"/>
      <c r="M100" s="464" t="n"/>
      <c r="N100" s="463" t="n"/>
      <c r="O100" s="464" t="n"/>
      <c r="P100" s="464" t="n"/>
      <c r="Q100" s="463" t="n"/>
      <c r="R100" s="468" t="n"/>
    </row>
    <row r="101">
      <c r="A101" s="463" t="n"/>
      <c r="B101" s="463" t="n"/>
      <c r="C101" s="465" t="n"/>
      <c r="D101" s="465" t="n"/>
      <c r="E101" s="466" t="n"/>
      <c r="F101" s="466" t="n"/>
      <c r="G101" s="466" t="n"/>
      <c r="H101" s="467" t="n"/>
      <c r="I101" s="466" t="n"/>
      <c r="J101" s="464" t="n"/>
      <c r="K101" s="463" t="n"/>
      <c r="L101" s="464" t="n"/>
      <c r="M101" s="464" t="n"/>
      <c r="N101" s="463" t="n"/>
      <c r="O101" s="464" t="n"/>
      <c r="P101" s="464" t="n"/>
      <c r="Q101" s="463" t="n"/>
      <c r="R101" s="468" t="n"/>
    </row>
    <row r="102">
      <c r="A102" s="463" t="n"/>
      <c r="B102" s="463" t="n"/>
      <c r="C102" s="465" t="n"/>
      <c r="D102" s="465" t="n"/>
      <c r="E102" s="466" t="n"/>
      <c r="F102" s="466" t="n"/>
      <c r="G102" s="466" t="n"/>
      <c r="H102" s="467" t="n"/>
      <c r="I102" s="466" t="n"/>
      <c r="J102" s="464" t="n"/>
      <c r="K102" s="463" t="n"/>
      <c r="L102" s="464" t="n"/>
      <c r="M102" s="464" t="n"/>
      <c r="N102" s="463" t="n"/>
      <c r="O102" s="464" t="n"/>
      <c r="P102" s="464" t="n"/>
      <c r="Q102" s="463" t="n"/>
      <c r="R102" s="468" t="n"/>
    </row>
    <row r="103">
      <c r="A103" s="463" t="n"/>
      <c r="B103" s="463" t="n"/>
      <c r="C103" s="465" t="n"/>
      <c r="D103" s="465" t="n"/>
      <c r="E103" s="466" t="n"/>
      <c r="F103" s="466" t="n"/>
      <c r="G103" s="466" t="n"/>
      <c r="H103" s="467" t="n"/>
      <c r="I103" s="466" t="n"/>
      <c r="J103" s="464" t="n"/>
      <c r="K103" s="463" t="n"/>
      <c r="L103" s="464" t="n"/>
      <c r="M103" s="464" t="n"/>
      <c r="N103" s="463" t="n"/>
      <c r="O103" s="464" t="n"/>
      <c r="P103" s="464" t="n"/>
      <c r="Q103" s="463" t="n"/>
      <c r="R103" s="468" t="n"/>
    </row>
    <row r="104">
      <c r="A104" s="463" t="n"/>
      <c r="B104" s="463" t="n"/>
      <c r="C104" s="465" t="n"/>
      <c r="D104" s="465" t="n"/>
      <c r="E104" s="466" t="n"/>
      <c r="F104" s="466" t="n"/>
      <c r="G104" s="466" t="n"/>
      <c r="H104" s="467" t="n"/>
      <c r="I104" s="466" t="n"/>
      <c r="J104" s="464" t="n"/>
      <c r="K104" s="463" t="n"/>
      <c r="L104" s="464" t="n"/>
      <c r="M104" s="464" t="n"/>
      <c r="N104" s="463" t="n"/>
      <c r="O104" s="464" t="n"/>
      <c r="P104" s="464" t="n"/>
      <c r="Q104" s="463" t="n"/>
      <c r="R104" s="468" t="n"/>
    </row>
    <row r="105">
      <c r="A105" s="463" t="n"/>
      <c r="B105" s="463" t="n"/>
      <c r="C105" s="465" t="n"/>
      <c r="D105" s="465" t="n"/>
      <c r="E105" s="466" t="n"/>
      <c r="F105" s="466" t="n"/>
      <c r="G105" s="466" t="n"/>
      <c r="H105" s="467" t="n"/>
      <c r="I105" s="466" t="n"/>
      <c r="J105" s="464" t="n"/>
      <c r="K105" s="463" t="n"/>
      <c r="L105" s="464" t="n"/>
      <c r="M105" s="464" t="n"/>
      <c r="N105" s="463" t="n"/>
      <c r="O105" s="464" t="n"/>
      <c r="P105" s="464" t="n"/>
      <c r="Q105" s="463" t="n"/>
      <c r="R105" s="468" t="n"/>
    </row>
    <row r="106">
      <c r="A106" s="463" t="n"/>
      <c r="B106" s="463" t="n"/>
      <c r="C106" s="465" t="n"/>
      <c r="D106" s="465" t="n"/>
      <c r="E106" s="466" t="n"/>
      <c r="F106" s="466" t="n"/>
      <c r="G106" s="466" t="n"/>
      <c r="H106" s="467" t="n"/>
      <c r="I106" s="466" t="n"/>
      <c r="J106" s="464" t="n"/>
      <c r="K106" s="463" t="n"/>
      <c r="L106" s="464" t="n"/>
      <c r="M106" s="464" t="n"/>
      <c r="N106" s="463" t="n"/>
      <c r="O106" s="464" t="n"/>
      <c r="P106" s="464" t="n"/>
      <c r="Q106" s="463" t="n"/>
      <c r="R106" s="468" t="n"/>
    </row>
    <row r="107">
      <c r="A107" s="463" t="n"/>
      <c r="B107" s="463" t="n"/>
      <c r="C107" s="465" t="n"/>
      <c r="D107" s="465" t="n"/>
      <c r="E107" s="466" t="n"/>
      <c r="F107" s="466" t="n"/>
      <c r="G107" s="466" t="n"/>
      <c r="H107" s="467" t="n"/>
      <c r="I107" s="466" t="n"/>
      <c r="J107" s="464" t="n"/>
      <c r="K107" s="463" t="n"/>
      <c r="L107" s="464" t="n"/>
      <c r="M107" s="464" t="n"/>
      <c r="N107" s="463" t="n"/>
      <c r="O107" s="464" t="n"/>
      <c r="P107" s="464" t="n"/>
      <c r="Q107" s="463" t="n"/>
      <c r="R107" s="468" t="n"/>
    </row>
    <row r="108">
      <c r="A108" s="463" t="n"/>
      <c r="B108" s="463" t="n"/>
      <c r="C108" s="465" t="n"/>
      <c r="D108" s="465" t="n"/>
      <c r="E108" s="466" t="n"/>
      <c r="F108" s="466" t="n"/>
      <c r="G108" s="466" t="n"/>
      <c r="H108" s="467" t="n"/>
      <c r="I108" s="466" t="n"/>
      <c r="J108" s="464" t="n"/>
      <c r="K108" s="463" t="n"/>
      <c r="L108" s="464" t="n"/>
      <c r="M108" s="464" t="n"/>
      <c r="N108" s="463" t="n"/>
      <c r="O108" s="464" t="n"/>
      <c r="P108" s="464" t="n"/>
      <c r="Q108" s="463" t="n"/>
      <c r="R108" s="468" t="n"/>
    </row>
    <row r="109">
      <c r="A109" s="463" t="n"/>
      <c r="B109" s="463" t="n"/>
      <c r="C109" s="465" t="n"/>
      <c r="D109" s="465" t="n"/>
      <c r="E109" s="466" t="n"/>
      <c r="F109" s="466" t="n"/>
      <c r="G109" s="466" t="n"/>
      <c r="H109" s="467" t="n"/>
      <c r="I109" s="466" t="n"/>
      <c r="J109" s="464" t="n"/>
      <c r="K109" s="463" t="n"/>
      <c r="L109" s="464" t="n"/>
      <c r="M109" s="464" t="n"/>
      <c r="N109" s="463" t="n"/>
      <c r="O109" s="464" t="n"/>
      <c r="P109" s="464" t="n"/>
      <c r="Q109" s="463" t="n"/>
      <c r="R109" s="468" t="n"/>
    </row>
    <row r="110">
      <c r="A110" s="463" t="n"/>
      <c r="B110" s="463" t="n"/>
      <c r="C110" s="465" t="n"/>
      <c r="D110" s="465" t="n"/>
      <c r="E110" s="466" t="n"/>
      <c r="F110" s="466" t="n"/>
      <c r="G110" s="466" t="n"/>
      <c r="H110" s="467" t="n"/>
      <c r="I110" s="466" t="n"/>
      <c r="J110" s="464" t="n"/>
      <c r="K110" s="463" t="n"/>
      <c r="L110" s="464" t="n"/>
      <c r="M110" s="464" t="n"/>
      <c r="N110" s="463" t="n"/>
      <c r="O110" s="464" t="n"/>
      <c r="P110" s="464" t="n"/>
      <c r="Q110" s="463" t="n"/>
      <c r="R110" s="468" t="n"/>
    </row>
    <row r="111">
      <c r="A111" s="463" t="n"/>
      <c r="B111" s="463" t="n"/>
      <c r="C111" s="465" t="n"/>
      <c r="D111" s="465" t="n"/>
      <c r="E111" s="466" t="n"/>
      <c r="F111" s="466" t="n"/>
      <c r="G111" s="466" t="n"/>
      <c r="H111" s="467" t="n"/>
      <c r="I111" s="466" t="n"/>
      <c r="J111" s="464" t="n"/>
      <c r="K111" s="463" t="n"/>
      <c r="L111" s="464" t="n"/>
      <c r="M111" s="464" t="n"/>
      <c r="N111" s="463" t="n"/>
      <c r="O111" s="464" t="n"/>
      <c r="P111" s="464" t="n"/>
      <c r="Q111" s="463" t="n"/>
      <c r="R111" s="468" t="n"/>
    </row>
    <row r="112">
      <c r="A112" s="463" t="n"/>
      <c r="B112" s="463" t="n"/>
      <c r="C112" s="465" t="n"/>
      <c r="D112" s="465" t="n"/>
      <c r="E112" s="466" t="n"/>
      <c r="F112" s="466" t="n"/>
      <c r="G112" s="466" t="n"/>
      <c r="H112" s="467" t="n"/>
      <c r="I112" s="466" t="n"/>
      <c r="J112" s="464" t="n"/>
      <c r="K112" s="463" t="n"/>
      <c r="L112" s="464" t="n"/>
      <c r="M112" s="464" t="n"/>
      <c r="N112" s="463" t="n"/>
      <c r="O112" s="464" t="n"/>
      <c r="P112" s="464" t="n"/>
      <c r="Q112" s="463" t="n"/>
      <c r="R112" s="468" t="n"/>
    </row>
    <row r="113">
      <c r="A113" s="463" t="n"/>
      <c r="B113" s="463" t="n"/>
      <c r="C113" s="465" t="n"/>
      <c r="D113" s="465" t="n"/>
      <c r="E113" s="466" t="n"/>
      <c r="F113" s="466" t="n"/>
      <c r="G113" s="466" t="n"/>
      <c r="H113" s="467" t="n"/>
      <c r="I113" s="466" t="n"/>
      <c r="J113" s="464" t="n"/>
      <c r="K113" s="463" t="n"/>
      <c r="L113" s="464" t="n"/>
      <c r="M113" s="464" t="n"/>
      <c r="N113" s="463" t="n"/>
      <c r="O113" s="464" t="n"/>
      <c r="P113" s="464" t="n"/>
      <c r="Q113" s="463" t="n"/>
      <c r="R113" s="468" t="n"/>
    </row>
    <row r="114">
      <c r="A114" s="463" t="n"/>
      <c r="B114" s="463" t="n"/>
      <c r="C114" s="465" t="n"/>
      <c r="D114" s="465" t="n"/>
      <c r="E114" s="466" t="n"/>
      <c r="F114" s="466" t="n"/>
      <c r="G114" s="466" t="n"/>
      <c r="H114" s="467" t="n"/>
      <c r="I114" s="466" t="n"/>
      <c r="J114" s="464" t="n"/>
      <c r="K114" s="463" t="n"/>
      <c r="L114" s="464" t="n"/>
      <c r="M114" s="464" t="n"/>
      <c r="N114" s="463" t="n"/>
      <c r="O114" s="464" t="n"/>
      <c r="P114" s="464" t="n"/>
      <c r="Q114" s="463" t="n"/>
      <c r="R114" s="468" t="n"/>
    </row>
    <row r="115">
      <c r="A115" s="463" t="n"/>
      <c r="B115" s="463" t="n"/>
      <c r="C115" s="465" t="n"/>
      <c r="D115" s="465" t="n"/>
      <c r="E115" s="466" t="n"/>
      <c r="F115" s="466" t="n"/>
      <c r="G115" s="466" t="n"/>
      <c r="H115" s="467" t="n"/>
      <c r="I115" s="466" t="n"/>
      <c r="J115" s="464" t="n"/>
      <c r="K115" s="463" t="n"/>
      <c r="L115" s="464" t="n"/>
      <c r="M115" s="464" t="n"/>
      <c r="N115" s="463" t="n"/>
      <c r="O115" s="464" t="n"/>
      <c r="P115" s="464" t="n"/>
      <c r="Q115" s="463" t="n"/>
      <c r="R115" s="468" t="n"/>
    </row>
    <row r="116">
      <c r="A116" s="463" t="n"/>
      <c r="B116" s="463" t="n"/>
      <c r="C116" s="465" t="n"/>
      <c r="D116" s="465" t="n"/>
      <c r="E116" s="466" t="n"/>
      <c r="F116" s="466" t="n"/>
      <c r="G116" s="466" t="n"/>
      <c r="H116" s="467" t="n"/>
      <c r="I116" s="466" t="n"/>
      <c r="J116" s="464" t="n"/>
      <c r="K116" s="463" t="n"/>
      <c r="L116" s="464" t="n"/>
      <c r="M116" s="464" t="n"/>
      <c r="N116" s="463" t="n"/>
      <c r="O116" s="464" t="n"/>
      <c r="P116" s="464" t="n"/>
      <c r="Q116" s="463" t="n"/>
      <c r="R116" s="468" t="n"/>
    </row>
    <row r="117">
      <c r="A117" s="463" t="n"/>
      <c r="B117" s="463" t="n"/>
      <c r="C117" s="465" t="n"/>
      <c r="D117" s="465" t="n"/>
      <c r="E117" s="466" t="n"/>
      <c r="F117" s="466" t="n"/>
      <c r="G117" s="466" t="n"/>
      <c r="H117" s="467" t="n"/>
      <c r="I117" s="466" t="n"/>
      <c r="J117" s="464" t="n"/>
      <c r="K117" s="463" t="n"/>
      <c r="L117" s="464" t="n"/>
      <c r="M117" s="464" t="n"/>
      <c r="N117" s="463" t="n"/>
      <c r="O117" s="464" t="n"/>
      <c r="P117" s="464" t="n"/>
      <c r="Q117" s="463" t="n"/>
      <c r="R117" s="468" t="n"/>
    </row>
    <row r="118">
      <c r="A118" s="463" t="n"/>
      <c r="B118" s="463" t="n"/>
      <c r="C118" s="465" t="n"/>
      <c r="D118" s="465" t="n"/>
      <c r="E118" s="466" t="n"/>
      <c r="F118" s="466" t="n"/>
      <c r="G118" s="466" t="n"/>
      <c r="H118" s="467" t="n"/>
      <c r="I118" s="466" t="n"/>
      <c r="J118" s="464" t="n"/>
      <c r="K118" s="463" t="n"/>
      <c r="L118" s="464" t="n"/>
      <c r="M118" s="464" t="n"/>
      <c r="N118" s="463" t="n"/>
      <c r="O118" s="464" t="n"/>
      <c r="P118" s="464" t="n"/>
      <c r="Q118" s="463" t="n"/>
      <c r="R118" s="468" t="n"/>
    </row>
    <row r="119">
      <c r="A119" s="463" t="n"/>
      <c r="B119" s="463" t="n"/>
      <c r="C119" s="465" t="n"/>
      <c r="D119" s="465" t="n"/>
      <c r="E119" s="466" t="n"/>
      <c r="F119" s="466" t="n"/>
      <c r="G119" s="466" t="n"/>
      <c r="H119" s="467" t="n"/>
      <c r="I119" s="466" t="n"/>
      <c r="J119" s="464" t="n"/>
      <c r="K119" s="463" t="n"/>
      <c r="L119" s="464" t="n"/>
      <c r="M119" s="464" t="n"/>
      <c r="N119" s="463" t="n"/>
      <c r="O119" s="464" t="n"/>
      <c r="P119" s="464" t="n"/>
      <c r="Q119" s="463" t="n"/>
      <c r="R119" s="468" t="n"/>
    </row>
    <row r="120">
      <c r="A120" s="463" t="n"/>
      <c r="B120" s="463" t="n"/>
      <c r="C120" s="465" t="n"/>
      <c r="D120" s="465" t="n"/>
      <c r="E120" s="466" t="n"/>
      <c r="F120" s="466" t="n"/>
      <c r="G120" s="466" t="n"/>
      <c r="H120" s="467" t="n"/>
      <c r="I120" s="466" t="n"/>
      <c r="J120" s="464" t="n"/>
      <c r="K120" s="463" t="n"/>
      <c r="L120" s="464" t="n"/>
      <c r="M120" s="464" t="n"/>
      <c r="N120" s="463" t="n"/>
      <c r="O120" s="464" t="n"/>
      <c r="P120" s="464" t="n"/>
      <c r="Q120" s="463" t="n"/>
      <c r="R120" s="468" t="n"/>
    </row>
    <row r="121">
      <c r="A121" s="463" t="n"/>
      <c r="B121" s="463" t="n"/>
      <c r="C121" s="465" t="n"/>
      <c r="D121" s="465" t="n"/>
      <c r="E121" s="466" t="n"/>
      <c r="F121" s="466" t="n"/>
      <c r="G121" s="466" t="n"/>
      <c r="H121" s="467" t="n"/>
      <c r="I121" s="466" t="n"/>
      <c r="J121" s="464" t="n"/>
      <c r="K121" s="463" t="n"/>
      <c r="L121" s="464" t="n"/>
      <c r="M121" s="464" t="n"/>
      <c r="N121" s="463" t="n"/>
      <c r="O121" s="464" t="n"/>
      <c r="P121" s="464" t="n"/>
      <c r="Q121" s="463" t="n"/>
      <c r="R121" s="468" t="n"/>
    </row>
    <row r="122">
      <c r="A122" s="463" t="n"/>
      <c r="B122" s="463" t="n"/>
      <c r="C122" s="465" t="n"/>
      <c r="D122" s="465" t="n"/>
      <c r="E122" s="466" t="n"/>
      <c r="F122" s="466" t="n"/>
      <c r="G122" s="466" t="n"/>
      <c r="H122" s="467" t="n"/>
      <c r="I122" s="466" t="n"/>
      <c r="J122" s="464" t="n"/>
      <c r="K122" s="463" t="n"/>
      <c r="L122" s="464" t="n"/>
      <c r="M122" s="464" t="n"/>
      <c r="N122" s="463" t="n"/>
      <c r="O122" s="464" t="n"/>
      <c r="P122" s="464" t="n"/>
      <c r="Q122" s="463" t="n"/>
      <c r="R122" s="468" t="n"/>
    </row>
    <row r="123">
      <c r="A123" s="463" t="n"/>
      <c r="B123" s="463" t="n"/>
      <c r="C123" s="465" t="n"/>
      <c r="D123" s="465" t="n"/>
      <c r="E123" s="466" t="n"/>
      <c r="F123" s="466" t="n"/>
      <c r="G123" s="466" t="n"/>
      <c r="H123" s="467" t="n"/>
      <c r="I123" s="466" t="n"/>
      <c r="J123" s="464" t="n"/>
      <c r="K123" s="463" t="n"/>
      <c r="L123" s="464" t="n"/>
      <c r="M123" s="464" t="n"/>
      <c r="N123" s="463" t="n"/>
      <c r="O123" s="464" t="n"/>
      <c r="P123" s="464" t="n"/>
      <c r="Q123" s="463" t="n"/>
      <c r="R123" s="468" t="n"/>
    </row>
    <row r="124">
      <c r="A124" s="463" t="n"/>
      <c r="B124" s="463" t="n"/>
      <c r="C124" s="465" t="n"/>
      <c r="D124" s="465" t="n"/>
      <c r="E124" s="466" t="n"/>
      <c r="F124" s="466" t="n"/>
      <c r="G124" s="466" t="n"/>
      <c r="H124" s="467" t="n"/>
      <c r="I124" s="466" t="n"/>
      <c r="J124" s="464" t="n"/>
      <c r="K124" s="463" t="n"/>
      <c r="L124" s="464" t="n"/>
      <c r="M124" s="464" t="n"/>
      <c r="N124" s="463" t="n"/>
      <c r="O124" s="464" t="n"/>
      <c r="P124" s="464" t="n"/>
      <c r="Q124" s="463" t="n"/>
      <c r="R124" s="468" t="n"/>
    </row>
    <row r="125">
      <c r="A125" s="463" t="n"/>
      <c r="B125" s="463" t="n"/>
      <c r="C125" s="465" t="n"/>
      <c r="D125" s="465" t="n"/>
      <c r="E125" s="466" t="n"/>
      <c r="F125" s="466" t="n"/>
      <c r="G125" s="466" t="n"/>
      <c r="H125" s="467" t="n"/>
      <c r="I125" s="466" t="n"/>
      <c r="J125" s="464" t="n"/>
      <c r="K125" s="463" t="n"/>
      <c r="L125" s="464" t="n"/>
      <c r="M125" s="464" t="n"/>
      <c r="N125" s="463" t="n"/>
      <c r="O125" s="464" t="n"/>
      <c r="P125" s="464" t="n"/>
      <c r="Q125" s="463" t="n"/>
      <c r="R125" s="468" t="n"/>
    </row>
    <row r="126">
      <c r="A126" s="463" t="n"/>
      <c r="B126" s="463" t="n"/>
      <c r="C126" s="465" t="n"/>
      <c r="D126" s="465" t="n"/>
      <c r="E126" s="466" t="n"/>
      <c r="F126" s="466" t="n"/>
      <c r="G126" s="466" t="n"/>
      <c r="H126" s="467" t="n"/>
      <c r="I126" s="466" t="n"/>
      <c r="J126" s="464" t="n"/>
      <c r="K126" s="463" t="n"/>
      <c r="L126" s="464" t="n"/>
      <c r="M126" s="464" t="n"/>
      <c r="N126" s="463" t="n"/>
      <c r="O126" s="464" t="n"/>
      <c r="P126" s="464" t="n"/>
      <c r="Q126" s="463" t="n"/>
      <c r="R126" s="468" t="n"/>
    </row>
    <row r="127">
      <c r="A127" s="463" t="n"/>
      <c r="B127" s="463" t="n"/>
      <c r="C127" s="465" t="n"/>
      <c r="D127" s="465" t="n"/>
      <c r="E127" s="466" t="n"/>
      <c r="F127" s="466" t="n"/>
      <c r="G127" s="466" t="n"/>
      <c r="H127" s="467" t="n"/>
      <c r="I127" s="466" t="n"/>
      <c r="J127" s="464" t="n"/>
      <c r="K127" s="463" t="n"/>
      <c r="L127" s="464" t="n"/>
      <c r="M127" s="464" t="n"/>
      <c r="N127" s="463" t="n"/>
      <c r="O127" s="464" t="n"/>
      <c r="P127" s="464" t="n"/>
      <c r="Q127" s="463" t="n"/>
      <c r="R127" s="468" t="n"/>
    </row>
    <row r="128">
      <c r="A128" s="463" t="n"/>
      <c r="B128" s="463" t="n"/>
      <c r="C128" s="465" t="n"/>
      <c r="D128" s="465" t="n"/>
      <c r="E128" s="466" t="n"/>
      <c r="F128" s="466" t="n"/>
      <c r="G128" s="466" t="n"/>
      <c r="H128" s="467" t="n"/>
      <c r="I128" s="466" t="n"/>
      <c r="J128" s="464" t="n"/>
      <c r="K128" s="463" t="n"/>
      <c r="L128" s="464" t="n"/>
      <c r="M128" s="464" t="n"/>
      <c r="N128" s="463" t="n"/>
      <c r="O128" s="464" t="n"/>
      <c r="P128" s="464" t="n"/>
      <c r="Q128" s="463" t="n"/>
      <c r="R128" s="468" t="n"/>
    </row>
    <row r="129">
      <c r="A129" s="463" t="n"/>
      <c r="B129" s="463" t="n"/>
      <c r="C129" s="465" t="n"/>
      <c r="D129" s="465" t="n"/>
      <c r="E129" s="466" t="n"/>
      <c r="F129" s="466" t="n"/>
      <c r="G129" s="466" t="n"/>
      <c r="H129" s="467" t="n"/>
      <c r="I129" s="466" t="n"/>
      <c r="J129" s="464" t="n"/>
      <c r="K129" s="463" t="n"/>
      <c r="L129" s="464" t="n"/>
      <c r="M129" s="464" t="n"/>
      <c r="N129" s="463" t="n"/>
      <c r="O129" s="464" t="n"/>
      <c r="P129" s="464" t="n"/>
      <c r="Q129" s="463" t="n"/>
      <c r="R129" s="468" t="n"/>
    </row>
    <row r="130">
      <c r="A130" s="463" t="n"/>
      <c r="B130" s="463" t="n"/>
      <c r="C130" s="465" t="n"/>
      <c r="D130" s="465" t="n"/>
      <c r="E130" s="466" t="n"/>
      <c r="F130" s="466" t="n"/>
      <c r="G130" s="466" t="n"/>
      <c r="H130" s="467" t="n"/>
      <c r="I130" s="466" t="n"/>
      <c r="J130" s="464" t="n"/>
      <c r="K130" s="463" t="n"/>
      <c r="L130" s="464" t="n"/>
      <c r="M130" s="464" t="n"/>
      <c r="N130" s="463" t="n"/>
      <c r="O130" s="464" t="n"/>
      <c r="P130" s="464" t="n"/>
      <c r="Q130" s="463" t="n"/>
      <c r="R130" s="468" t="n"/>
    </row>
    <row r="131">
      <c r="A131" s="463" t="n"/>
      <c r="B131" s="463" t="n"/>
      <c r="C131" s="465" t="n"/>
      <c r="D131" s="465" t="n"/>
      <c r="E131" s="466" t="n"/>
      <c r="F131" s="466" t="n"/>
      <c r="G131" s="466" t="n"/>
      <c r="H131" s="467" t="n"/>
      <c r="I131" s="466" t="n"/>
      <c r="J131" s="464" t="n"/>
      <c r="K131" s="463" t="n"/>
      <c r="L131" s="464" t="n"/>
      <c r="M131" s="464" t="n"/>
      <c r="N131" s="463" t="n"/>
      <c r="O131" s="464" t="n"/>
      <c r="P131" s="464" t="n"/>
      <c r="Q131" s="463" t="n"/>
      <c r="R131" s="468" t="n"/>
    </row>
    <row r="132">
      <c r="A132" s="463" t="n"/>
      <c r="B132" s="463" t="n"/>
      <c r="C132" s="465" t="n"/>
      <c r="D132" s="465" t="n"/>
      <c r="E132" s="466" t="n"/>
      <c r="F132" s="466" t="n"/>
      <c r="G132" s="466" t="n"/>
      <c r="H132" s="467" t="n"/>
      <c r="I132" s="466" t="n"/>
      <c r="J132" s="464" t="n"/>
      <c r="K132" s="463" t="n"/>
      <c r="L132" s="464" t="n"/>
      <c r="M132" s="464" t="n"/>
      <c r="N132" s="463" t="n"/>
      <c r="O132" s="464" t="n"/>
      <c r="P132" s="464" t="n"/>
      <c r="Q132" s="463" t="n"/>
      <c r="R132" s="468" t="n"/>
    </row>
    <row r="133">
      <c r="A133" s="463" t="n"/>
      <c r="B133" s="463" t="n"/>
      <c r="C133" s="465" t="n"/>
      <c r="D133" s="465" t="n"/>
      <c r="E133" s="466" t="n"/>
      <c r="F133" s="466" t="n"/>
      <c r="G133" s="466" t="n"/>
      <c r="H133" s="467" t="n"/>
      <c r="I133" s="466" t="n"/>
      <c r="J133" s="464" t="n"/>
      <c r="K133" s="463" t="n"/>
      <c r="L133" s="464" t="n"/>
      <c r="M133" s="464" t="n"/>
      <c r="N133" s="463" t="n"/>
      <c r="O133" s="464" t="n"/>
      <c r="P133" s="464" t="n"/>
      <c r="Q133" s="463" t="n"/>
      <c r="R133" s="468" t="n"/>
    </row>
    <row r="134">
      <c r="A134" s="463" t="n"/>
      <c r="B134" s="463" t="n"/>
      <c r="C134" s="465" t="n"/>
      <c r="D134" s="465" t="n"/>
      <c r="E134" s="466" t="n"/>
      <c r="F134" s="466" t="n"/>
      <c r="G134" s="466" t="n"/>
      <c r="H134" s="467" t="n"/>
      <c r="I134" s="466" t="n"/>
      <c r="J134" s="464" t="n"/>
      <c r="K134" s="463" t="n"/>
      <c r="L134" s="464" t="n"/>
      <c r="M134" s="464" t="n"/>
      <c r="N134" s="463" t="n"/>
      <c r="O134" s="464" t="n"/>
      <c r="P134" s="464" t="n"/>
      <c r="Q134" s="463" t="n"/>
      <c r="R134" s="468" t="n"/>
    </row>
    <row r="135">
      <c r="A135" s="463" t="n"/>
      <c r="B135" s="463" t="n"/>
      <c r="C135" s="465" t="n"/>
      <c r="D135" s="465" t="n"/>
      <c r="E135" s="466" t="n"/>
      <c r="F135" s="466" t="n"/>
      <c r="G135" s="466" t="n"/>
      <c r="H135" s="467" t="n"/>
      <c r="I135" s="466" t="n"/>
      <c r="J135" s="464" t="n"/>
      <c r="K135" s="463" t="n"/>
      <c r="L135" s="464" t="n"/>
      <c r="M135" s="464" t="n"/>
      <c r="N135" s="463" t="n"/>
      <c r="O135" s="464" t="n"/>
      <c r="P135" s="464" t="n"/>
      <c r="Q135" s="463" t="n"/>
      <c r="R135" s="468" t="n"/>
    </row>
    <row r="136">
      <c r="A136" s="463" t="n"/>
      <c r="B136" s="463" t="n"/>
      <c r="C136" s="465" t="n"/>
      <c r="D136" s="465" t="n"/>
      <c r="E136" s="466" t="n"/>
      <c r="F136" s="466" t="n"/>
      <c r="G136" s="466" t="n"/>
      <c r="H136" s="467" t="n"/>
      <c r="I136" s="466" t="n"/>
      <c r="J136" s="464" t="n"/>
      <c r="K136" s="463" t="n"/>
      <c r="L136" s="464" t="n"/>
      <c r="M136" s="464" t="n"/>
      <c r="N136" s="463" t="n"/>
      <c r="O136" s="464" t="n"/>
      <c r="P136" s="464" t="n"/>
      <c r="Q136" s="463" t="n"/>
      <c r="R136" s="468" t="n"/>
    </row>
    <row r="137">
      <c r="A137" s="463" t="n"/>
      <c r="B137" s="463" t="n"/>
      <c r="C137" s="465" t="n"/>
      <c r="D137" s="465" t="n"/>
      <c r="E137" s="466" t="n"/>
      <c r="F137" s="466" t="n"/>
      <c r="G137" s="466" t="n"/>
      <c r="H137" s="467" t="n"/>
      <c r="I137" s="466" t="n"/>
      <c r="J137" s="464" t="n"/>
      <c r="K137" s="463" t="n"/>
      <c r="L137" s="464" t="n"/>
      <c r="M137" s="464" t="n"/>
      <c r="N137" s="463" t="n"/>
      <c r="O137" s="464" t="n"/>
      <c r="P137" s="464" t="n"/>
      <c r="Q137" s="463" t="n"/>
      <c r="R137" s="468" t="n"/>
    </row>
    <row r="138">
      <c r="A138" s="463" t="n"/>
      <c r="B138" s="463" t="n"/>
      <c r="C138" s="465" t="n"/>
      <c r="D138" s="465" t="n"/>
      <c r="E138" s="466" t="n"/>
      <c r="F138" s="466" t="n"/>
      <c r="G138" s="466" t="n"/>
      <c r="H138" s="467" t="n"/>
      <c r="I138" s="466" t="n"/>
      <c r="J138" s="464" t="n"/>
      <c r="K138" s="463" t="n"/>
      <c r="L138" s="464" t="n"/>
      <c r="M138" s="464" t="n"/>
      <c r="N138" s="463" t="n"/>
      <c r="O138" s="464" t="n"/>
      <c r="P138" s="464" t="n"/>
      <c r="Q138" s="463" t="n"/>
      <c r="R138" s="468" t="n"/>
    </row>
    <row r="139">
      <c r="A139" s="463" t="n"/>
      <c r="B139" s="463" t="n"/>
      <c r="C139" s="465" t="n"/>
      <c r="D139" s="465" t="n"/>
      <c r="E139" s="466" t="n"/>
      <c r="F139" s="466" t="n"/>
      <c r="G139" s="466" t="n"/>
      <c r="H139" s="467" t="n"/>
      <c r="I139" s="466" t="n"/>
      <c r="J139" s="464" t="n"/>
      <c r="K139" s="463" t="n"/>
      <c r="L139" s="464" t="n"/>
      <c r="M139" s="464" t="n"/>
      <c r="N139" s="463" t="n"/>
      <c r="O139" s="464" t="n"/>
      <c r="P139" s="464" t="n"/>
      <c r="Q139" s="463" t="n"/>
      <c r="R139" s="468" t="n"/>
    </row>
    <row r="140">
      <c r="A140" s="463" t="n"/>
      <c r="B140" s="463" t="n"/>
      <c r="C140" s="465" t="n"/>
      <c r="D140" s="465" t="n"/>
      <c r="E140" s="466" t="n"/>
      <c r="F140" s="466" t="n"/>
      <c r="G140" s="466" t="n"/>
      <c r="H140" s="467" t="n"/>
      <c r="I140" s="466" t="n"/>
      <c r="J140" s="464" t="n"/>
      <c r="K140" s="463" t="n"/>
      <c r="L140" s="464" t="n"/>
      <c r="M140" s="464" t="n"/>
      <c r="N140" s="463" t="n"/>
      <c r="O140" s="464" t="n"/>
      <c r="P140" s="464" t="n"/>
      <c r="Q140" s="463" t="n"/>
      <c r="R140" s="468" t="n"/>
    </row>
    <row r="141">
      <c r="A141" s="463" t="n"/>
      <c r="B141" s="463" t="n"/>
      <c r="C141" s="465" t="n"/>
      <c r="D141" s="465" t="n"/>
      <c r="E141" s="466" t="n"/>
      <c r="F141" s="466" t="n"/>
      <c r="G141" s="466" t="n"/>
      <c r="H141" s="467" t="n"/>
      <c r="I141" s="466" t="n"/>
      <c r="J141" s="464" t="n"/>
      <c r="K141" s="463" t="n"/>
      <c r="L141" s="464" t="n"/>
      <c r="M141" s="464" t="n"/>
      <c r="N141" s="463" t="n"/>
      <c r="O141" s="464" t="n"/>
      <c r="P141" s="464" t="n"/>
      <c r="Q141" s="463" t="n"/>
      <c r="R141" s="468" t="n"/>
    </row>
    <row r="142">
      <c r="A142" s="463" t="n"/>
      <c r="B142" s="463" t="n"/>
      <c r="C142" s="465" t="n"/>
      <c r="D142" s="465" t="n"/>
      <c r="E142" s="466" t="n"/>
      <c r="F142" s="466" t="n"/>
      <c r="G142" s="466" t="n"/>
      <c r="H142" s="467" t="n"/>
      <c r="I142" s="466" t="n"/>
      <c r="J142" s="464" t="n"/>
      <c r="K142" s="463" t="n"/>
      <c r="L142" s="464" t="n"/>
      <c r="M142" s="464" t="n"/>
      <c r="N142" s="463" t="n"/>
      <c r="O142" s="464" t="n"/>
      <c r="P142" s="464" t="n"/>
      <c r="Q142" s="463" t="n"/>
      <c r="R142" s="468" t="n"/>
    </row>
    <row r="143">
      <c r="A143" s="463" t="n"/>
      <c r="B143" s="463" t="n"/>
      <c r="C143" s="465" t="n"/>
      <c r="D143" s="465" t="n"/>
      <c r="E143" s="466" t="n"/>
      <c r="F143" s="466" t="n"/>
      <c r="G143" s="466" t="n"/>
      <c r="H143" s="467" t="n"/>
      <c r="I143" s="466" t="n"/>
      <c r="J143" s="464" t="n"/>
      <c r="K143" s="463" t="n"/>
      <c r="L143" s="464" t="n"/>
      <c r="M143" s="464" t="n"/>
      <c r="N143" s="463" t="n"/>
      <c r="O143" s="464" t="n"/>
      <c r="P143" s="464" t="n"/>
      <c r="Q143" s="463" t="n"/>
      <c r="R143" s="468" t="n"/>
    </row>
    <row r="144">
      <c r="A144" s="463" t="n"/>
      <c r="B144" s="463" t="n"/>
      <c r="C144" s="465" t="n"/>
      <c r="D144" s="465" t="n"/>
      <c r="E144" s="466" t="n"/>
      <c r="F144" s="466" t="n"/>
      <c r="G144" s="466" t="n"/>
      <c r="H144" s="467" t="n"/>
      <c r="I144" s="466" t="n"/>
      <c r="J144" s="464" t="n"/>
      <c r="K144" s="463" t="n"/>
      <c r="L144" s="464" t="n"/>
      <c r="M144" s="464" t="n"/>
      <c r="N144" s="463" t="n"/>
      <c r="O144" s="464" t="n"/>
      <c r="P144" s="464" t="n"/>
      <c r="Q144" s="463" t="n"/>
      <c r="R144" s="468" t="n"/>
    </row>
    <row r="145">
      <c r="A145" s="463" t="n"/>
      <c r="B145" s="463" t="n"/>
      <c r="C145" s="465" t="n"/>
      <c r="D145" s="465" t="n"/>
      <c r="E145" s="466" t="n"/>
      <c r="F145" s="466" t="n"/>
      <c r="G145" s="466" t="n"/>
      <c r="H145" s="467" t="n"/>
      <c r="I145" s="466" t="n"/>
      <c r="J145" s="464" t="n"/>
      <c r="K145" s="463" t="n"/>
      <c r="L145" s="464" t="n"/>
      <c r="M145" s="464" t="n"/>
      <c r="N145" s="463" t="n"/>
      <c r="O145" s="464" t="n"/>
      <c r="P145" s="464" t="n"/>
      <c r="Q145" s="463" t="n"/>
      <c r="R145" s="468" t="n"/>
    </row>
    <row r="146">
      <c r="A146" s="463" t="n"/>
      <c r="B146" s="463" t="n"/>
      <c r="C146" s="465" t="n"/>
      <c r="D146" s="465" t="n"/>
      <c r="E146" s="466" t="n"/>
      <c r="F146" s="466" t="n"/>
      <c r="G146" s="466" t="n"/>
      <c r="H146" s="467" t="n"/>
      <c r="I146" s="466" t="n"/>
      <c r="J146" s="464" t="n"/>
      <c r="K146" s="463" t="n"/>
      <c r="L146" s="464" t="n"/>
      <c r="M146" s="464" t="n"/>
      <c r="N146" s="463" t="n"/>
      <c r="O146" s="464" t="n"/>
      <c r="P146" s="464" t="n"/>
      <c r="Q146" s="463" t="n"/>
      <c r="R146" s="468" t="n"/>
    </row>
    <row r="147">
      <c r="A147" s="463" t="n"/>
      <c r="B147" s="463" t="n"/>
      <c r="C147" s="465" t="n"/>
      <c r="D147" s="465" t="n"/>
      <c r="E147" s="466" t="n"/>
      <c r="F147" s="466" t="n"/>
      <c r="G147" s="466" t="n"/>
      <c r="H147" s="467" t="n"/>
      <c r="I147" s="466" t="n"/>
      <c r="J147" s="464" t="n"/>
      <c r="K147" s="463" t="n"/>
      <c r="L147" s="464" t="n"/>
      <c r="M147" s="464" t="n"/>
      <c r="N147" s="463" t="n"/>
      <c r="O147" s="464" t="n"/>
      <c r="P147" s="464" t="n"/>
      <c r="Q147" s="463" t="n"/>
      <c r="R147" s="468" t="n"/>
    </row>
    <row r="148">
      <c r="A148" s="463" t="n"/>
      <c r="B148" s="463" t="n"/>
      <c r="C148" s="465" t="n"/>
      <c r="D148" s="465" t="n"/>
      <c r="E148" s="466" t="n"/>
      <c r="F148" s="466" t="n"/>
      <c r="G148" s="466" t="n"/>
      <c r="H148" s="467" t="n"/>
      <c r="I148" s="466" t="n"/>
      <c r="J148" s="464" t="n"/>
      <c r="K148" s="463" t="n"/>
      <c r="L148" s="464" t="n"/>
      <c r="M148" s="464" t="n"/>
      <c r="N148" s="463" t="n"/>
      <c r="O148" s="464" t="n"/>
      <c r="P148" s="464" t="n"/>
      <c r="Q148" s="463" t="n"/>
      <c r="R148" s="468" t="n"/>
    </row>
    <row r="149">
      <c r="A149" s="463" t="n"/>
      <c r="B149" s="463" t="n"/>
      <c r="C149" s="465" t="n"/>
      <c r="D149" s="465" t="n"/>
      <c r="E149" s="466" t="n"/>
      <c r="F149" s="466" t="n"/>
      <c r="G149" s="466" t="n"/>
      <c r="H149" s="467" t="n"/>
      <c r="I149" s="466" t="n"/>
      <c r="J149" s="464" t="n"/>
      <c r="K149" s="463" t="n"/>
      <c r="L149" s="464" t="n"/>
      <c r="M149" s="464" t="n"/>
      <c r="N149" s="463" t="n"/>
      <c r="O149" s="464" t="n"/>
      <c r="P149" s="464" t="n"/>
      <c r="Q149" s="463" t="n"/>
      <c r="R149" s="468" t="n"/>
    </row>
    <row r="150">
      <c r="A150" s="463" t="n"/>
      <c r="B150" s="463" t="n"/>
      <c r="C150" s="465" t="n"/>
      <c r="D150" s="465" t="n"/>
      <c r="E150" s="466" t="n"/>
      <c r="F150" s="466" t="n"/>
      <c r="G150" s="466" t="n"/>
      <c r="H150" s="467" t="n"/>
      <c r="I150" s="466" t="n"/>
      <c r="J150" s="464" t="n"/>
      <c r="K150" s="463" t="n"/>
      <c r="L150" s="464" t="n"/>
      <c r="M150" s="464" t="n"/>
      <c r="N150" s="463" t="n"/>
      <c r="O150" s="464" t="n"/>
      <c r="P150" s="464" t="n"/>
      <c r="Q150" s="463" t="n"/>
      <c r="R150" s="468" t="n"/>
    </row>
    <row r="151">
      <c r="A151" s="463" t="n"/>
      <c r="B151" s="463" t="n"/>
      <c r="C151" s="465" t="n"/>
      <c r="D151" s="465" t="n"/>
      <c r="E151" s="466" t="n"/>
      <c r="F151" s="466" t="n"/>
      <c r="G151" s="466" t="n"/>
      <c r="H151" s="467" t="n"/>
      <c r="I151" s="466" t="n"/>
      <c r="J151" s="464" t="n"/>
      <c r="K151" s="463" t="n"/>
      <c r="L151" s="464" t="n"/>
      <c r="M151" s="464" t="n"/>
      <c r="N151" s="463" t="n"/>
      <c r="O151" s="464" t="n"/>
      <c r="P151" s="464" t="n"/>
      <c r="Q151" s="463" t="n"/>
      <c r="R151" s="468" t="n"/>
    </row>
    <row r="152">
      <c r="A152" s="463" t="n"/>
      <c r="B152" s="463" t="n"/>
      <c r="C152" s="465" t="n"/>
      <c r="D152" s="465" t="n"/>
      <c r="E152" s="466" t="n"/>
      <c r="F152" s="466" t="n"/>
      <c r="G152" s="466" t="n"/>
      <c r="H152" s="467" t="n"/>
      <c r="I152" s="466" t="n"/>
      <c r="J152" s="464" t="n"/>
      <c r="K152" s="463" t="n"/>
      <c r="L152" s="464" t="n"/>
      <c r="M152" s="464" t="n"/>
      <c r="N152" s="463" t="n"/>
      <c r="O152" s="464" t="n"/>
      <c r="P152" s="464" t="n"/>
      <c r="Q152" s="463" t="n"/>
      <c r="R152" s="468" t="n"/>
    </row>
    <row r="153">
      <c r="A153" s="463" t="n"/>
      <c r="B153" s="463" t="n"/>
      <c r="C153" s="465" t="n"/>
      <c r="D153" s="465" t="n"/>
      <c r="E153" s="466" t="n"/>
      <c r="F153" s="466" t="n"/>
      <c r="G153" s="466" t="n"/>
      <c r="H153" s="467" t="n"/>
      <c r="I153" s="466" t="n"/>
      <c r="J153" s="464" t="n"/>
      <c r="K153" s="463" t="n"/>
      <c r="L153" s="464" t="n"/>
      <c r="M153" s="464" t="n"/>
      <c r="N153" s="463" t="n"/>
      <c r="O153" s="464" t="n"/>
      <c r="P153" s="464" t="n"/>
      <c r="Q153" s="463" t="n"/>
      <c r="R153" s="468" t="n"/>
    </row>
    <row r="154">
      <c r="A154" s="463" t="n"/>
      <c r="B154" s="463" t="n"/>
      <c r="C154" s="465" t="n"/>
      <c r="D154" s="465" t="n"/>
      <c r="E154" s="466" t="n"/>
      <c r="F154" s="466" t="n"/>
      <c r="G154" s="466" t="n"/>
      <c r="H154" s="467" t="n"/>
      <c r="I154" s="466" t="n"/>
      <c r="J154" s="464" t="n"/>
      <c r="K154" s="463" t="n"/>
      <c r="L154" s="464" t="n"/>
      <c r="M154" s="464" t="n"/>
      <c r="N154" s="463" t="n"/>
      <c r="O154" s="464" t="n"/>
      <c r="P154" s="464" t="n"/>
      <c r="Q154" s="463" t="n"/>
      <c r="R154" s="468" t="n"/>
    </row>
    <row r="155">
      <c r="A155" s="463" t="n"/>
      <c r="B155" s="463" t="n"/>
      <c r="C155" s="465" t="n"/>
      <c r="D155" s="465" t="n"/>
      <c r="E155" s="466" t="n"/>
      <c r="F155" s="466" t="n"/>
      <c r="G155" s="466" t="n"/>
      <c r="H155" s="467" t="n"/>
      <c r="I155" s="466" t="n"/>
      <c r="J155" s="464" t="n"/>
      <c r="K155" s="463" t="n"/>
      <c r="L155" s="464" t="n"/>
      <c r="M155" s="464" t="n"/>
      <c r="N155" s="463" t="n"/>
      <c r="O155" s="464" t="n"/>
      <c r="P155" s="464" t="n"/>
      <c r="Q155" s="463" t="n"/>
      <c r="R155" s="468" t="n"/>
    </row>
    <row r="156">
      <c r="A156" s="463" t="n"/>
      <c r="B156" s="463" t="n"/>
      <c r="C156" s="465" t="n"/>
      <c r="D156" s="465" t="n"/>
      <c r="E156" s="466" t="n"/>
      <c r="F156" s="466" t="n"/>
      <c r="G156" s="466" t="n"/>
      <c r="H156" s="467" t="n"/>
      <c r="I156" s="466" t="n"/>
      <c r="J156" s="464" t="n"/>
      <c r="K156" s="463" t="n"/>
      <c r="L156" s="464" t="n"/>
      <c r="M156" s="464" t="n"/>
      <c r="N156" s="463" t="n"/>
      <c r="O156" s="464" t="n"/>
      <c r="P156" s="464" t="n"/>
      <c r="Q156" s="463" t="n"/>
      <c r="R156" s="468" t="n"/>
    </row>
    <row r="157">
      <c r="A157" s="463" t="n"/>
      <c r="B157" s="463" t="n"/>
      <c r="C157" s="465" t="n"/>
      <c r="D157" s="465" t="n"/>
      <c r="E157" s="466" t="n"/>
      <c r="F157" s="466" t="n"/>
      <c r="G157" s="466" t="n"/>
      <c r="H157" s="467" t="n"/>
      <c r="I157" s="466" t="n"/>
      <c r="J157" s="464" t="n"/>
      <c r="K157" s="463" t="n"/>
      <c r="L157" s="464" t="n"/>
      <c r="M157" s="464" t="n"/>
      <c r="N157" s="463" t="n"/>
      <c r="O157" s="464" t="n"/>
      <c r="P157" s="464" t="n"/>
      <c r="Q157" s="463" t="n"/>
      <c r="R157" s="468" t="n"/>
    </row>
    <row r="158">
      <c r="A158" s="463" t="n"/>
      <c r="B158" s="463" t="n"/>
      <c r="C158" s="465" t="n"/>
      <c r="D158" s="465" t="n"/>
      <c r="E158" s="466" t="n"/>
      <c r="F158" s="466" t="n"/>
      <c r="G158" s="466" t="n"/>
      <c r="H158" s="467" t="n"/>
      <c r="I158" s="466" t="n"/>
      <c r="J158" s="464" t="n"/>
      <c r="K158" s="463" t="n"/>
      <c r="L158" s="464" t="n"/>
      <c r="M158" s="464" t="n"/>
      <c r="N158" s="463" t="n"/>
      <c r="O158" s="464" t="n"/>
      <c r="P158" s="464" t="n"/>
      <c r="Q158" s="463" t="n"/>
      <c r="R158" s="468" t="n"/>
    </row>
    <row r="159">
      <c r="A159" s="463" t="n"/>
      <c r="B159" s="463" t="n"/>
      <c r="C159" s="465" t="n"/>
      <c r="D159" s="465" t="n"/>
      <c r="E159" s="466" t="n"/>
      <c r="F159" s="466" t="n"/>
      <c r="G159" s="466" t="n"/>
      <c r="H159" s="467" t="n"/>
      <c r="I159" s="466" t="n"/>
      <c r="J159" s="464" t="n"/>
      <c r="K159" s="463" t="n"/>
      <c r="L159" s="464" t="n"/>
      <c r="M159" s="464" t="n"/>
      <c r="N159" s="463" t="n"/>
      <c r="O159" s="464" t="n"/>
      <c r="P159" s="464" t="n"/>
      <c r="Q159" s="463" t="n"/>
      <c r="R159" s="468" t="n"/>
    </row>
    <row r="160">
      <c r="A160" s="463" t="n"/>
      <c r="B160" s="463" t="n"/>
      <c r="C160" s="465" t="n"/>
      <c r="D160" s="465" t="n"/>
      <c r="E160" s="466" t="n"/>
      <c r="F160" s="466" t="n"/>
      <c r="G160" s="466" t="n"/>
      <c r="H160" s="467" t="n"/>
      <c r="I160" s="466" t="n"/>
      <c r="J160" s="464" t="n"/>
      <c r="K160" s="463" t="n"/>
      <c r="L160" s="464" t="n"/>
      <c r="M160" s="464" t="n"/>
      <c r="N160" s="463" t="n"/>
      <c r="O160" s="464" t="n"/>
      <c r="P160" s="464" t="n"/>
      <c r="Q160" s="463" t="n"/>
      <c r="R160" s="468" t="n"/>
    </row>
    <row r="161">
      <c r="A161" s="463" t="n"/>
      <c r="B161" s="463" t="n"/>
      <c r="C161" s="465" t="n"/>
      <c r="D161" s="465" t="n"/>
      <c r="E161" s="466" t="n"/>
      <c r="F161" s="466" t="n"/>
      <c r="G161" s="466" t="n"/>
      <c r="H161" s="467" t="n"/>
      <c r="I161" s="466" t="n"/>
      <c r="J161" s="464" t="n"/>
      <c r="K161" s="463" t="n"/>
      <c r="L161" s="464" t="n"/>
      <c r="M161" s="464" t="n"/>
      <c r="N161" s="463" t="n"/>
      <c r="O161" s="464" t="n"/>
      <c r="P161" s="464" t="n"/>
      <c r="Q161" s="463" t="n"/>
      <c r="R161" s="468" t="n"/>
    </row>
    <row r="162">
      <c r="A162" s="463" t="n"/>
      <c r="B162" s="463" t="n"/>
      <c r="C162" s="465" t="n"/>
      <c r="D162" s="465" t="n"/>
      <c r="E162" s="466" t="n"/>
      <c r="F162" s="466" t="n"/>
      <c r="G162" s="466" t="n"/>
      <c r="H162" s="467" t="n"/>
      <c r="I162" s="466" t="n"/>
      <c r="J162" s="464" t="n"/>
      <c r="K162" s="463" t="n"/>
      <c r="L162" s="464" t="n"/>
      <c r="M162" s="464" t="n"/>
      <c r="N162" s="463" t="n"/>
      <c r="O162" s="464" t="n"/>
      <c r="P162" s="464" t="n"/>
      <c r="Q162" s="463" t="n"/>
      <c r="R162" s="468" t="n"/>
    </row>
    <row r="163">
      <c r="A163" s="463" t="n"/>
      <c r="B163" s="463" t="n"/>
      <c r="C163" s="465" t="n"/>
      <c r="D163" s="465" t="n"/>
      <c r="E163" s="466" t="n"/>
      <c r="F163" s="466" t="n"/>
      <c r="G163" s="466" t="n"/>
      <c r="H163" s="467" t="n"/>
      <c r="I163" s="466" t="n"/>
      <c r="J163" s="464" t="n"/>
      <c r="K163" s="463" t="n"/>
      <c r="L163" s="464" t="n"/>
      <c r="M163" s="464" t="n"/>
      <c r="N163" s="463" t="n"/>
      <c r="O163" s="464" t="n"/>
      <c r="P163" s="464" t="n"/>
      <c r="Q163" s="463" t="n"/>
      <c r="R163" s="468" t="n"/>
    </row>
    <row r="164">
      <c r="A164" s="463" t="n"/>
      <c r="B164" s="463" t="n"/>
      <c r="C164" s="465" t="n"/>
      <c r="D164" s="465" t="n"/>
      <c r="E164" s="466" t="n"/>
      <c r="F164" s="466" t="n"/>
      <c r="G164" s="466" t="n"/>
      <c r="H164" s="467" t="n"/>
      <c r="I164" s="466" t="n"/>
      <c r="J164" s="464" t="n"/>
      <c r="K164" s="463" t="n"/>
      <c r="L164" s="464" t="n"/>
      <c r="M164" s="464" t="n"/>
      <c r="N164" s="463" t="n"/>
      <c r="O164" s="464" t="n"/>
      <c r="P164" s="464" t="n"/>
      <c r="Q164" s="463" t="n"/>
      <c r="R164" s="468" t="n"/>
    </row>
    <row r="165">
      <c r="A165" s="463" t="n"/>
      <c r="B165" s="463" t="n"/>
      <c r="C165" s="465" t="n"/>
      <c r="D165" s="465" t="n"/>
      <c r="E165" s="466" t="n"/>
      <c r="F165" s="466" t="n"/>
      <c r="G165" s="466" t="n"/>
      <c r="H165" s="467" t="n"/>
      <c r="I165" s="466" t="n"/>
      <c r="J165" s="464" t="n"/>
      <c r="K165" s="463" t="n"/>
      <c r="L165" s="464" t="n"/>
      <c r="M165" s="464" t="n"/>
      <c r="N165" s="463" t="n"/>
      <c r="O165" s="464" t="n"/>
      <c r="P165" s="464" t="n"/>
      <c r="Q165" s="463" t="n"/>
      <c r="R165" s="468" t="n"/>
    </row>
    <row r="166">
      <c r="A166" s="463" t="n"/>
      <c r="B166" s="463" t="n"/>
      <c r="C166" s="465" t="n"/>
      <c r="D166" s="465" t="n"/>
      <c r="E166" s="466" t="n"/>
      <c r="F166" s="466" t="n"/>
      <c r="G166" s="466" t="n"/>
      <c r="H166" s="467" t="n"/>
      <c r="I166" s="466" t="n"/>
      <c r="J166" s="464" t="n"/>
      <c r="K166" s="463" t="n"/>
      <c r="L166" s="464" t="n"/>
      <c r="M166" s="464" t="n"/>
      <c r="N166" s="463" t="n"/>
      <c r="O166" s="464" t="n"/>
      <c r="P166" s="464" t="n"/>
      <c r="Q166" s="463" t="n"/>
      <c r="R166" s="468" t="n"/>
    </row>
    <row r="167">
      <c r="A167" s="463" t="n"/>
      <c r="B167" s="463" t="n"/>
      <c r="C167" s="465" t="n"/>
      <c r="D167" s="465" t="n"/>
      <c r="E167" s="466" t="n"/>
      <c r="F167" s="466" t="n"/>
      <c r="G167" s="466" t="n"/>
      <c r="H167" s="467" t="n"/>
      <c r="I167" s="466" t="n"/>
      <c r="J167" s="464" t="n"/>
      <c r="K167" s="463" t="n"/>
      <c r="L167" s="464" t="n"/>
      <c r="M167" s="464" t="n"/>
      <c r="N167" s="463" t="n"/>
      <c r="O167" s="464" t="n"/>
      <c r="P167" s="464" t="n"/>
      <c r="Q167" s="463" t="n"/>
      <c r="R167" s="468" t="n"/>
    </row>
    <row r="168">
      <c r="A168" s="463" t="n"/>
      <c r="B168" s="463" t="n"/>
      <c r="C168" s="465" t="n"/>
      <c r="D168" s="465" t="n"/>
      <c r="E168" s="466" t="n"/>
      <c r="F168" s="466" t="n"/>
      <c r="G168" s="466" t="n"/>
      <c r="H168" s="467" t="n"/>
      <c r="I168" s="466" t="n"/>
      <c r="J168" s="464" t="n"/>
      <c r="K168" s="463" t="n"/>
      <c r="L168" s="464" t="n"/>
      <c r="M168" s="464" t="n"/>
      <c r="N168" s="463" t="n"/>
      <c r="O168" s="464" t="n"/>
      <c r="P168" s="464" t="n"/>
      <c r="Q168" s="463" t="n"/>
      <c r="R168" s="468" t="n"/>
    </row>
    <row r="169">
      <c r="A169" s="463" t="n"/>
      <c r="B169" s="463" t="n"/>
      <c r="C169" s="465" t="n"/>
      <c r="D169" s="465" t="n"/>
      <c r="E169" s="466" t="n"/>
      <c r="F169" s="466" t="n"/>
      <c r="G169" s="466" t="n"/>
      <c r="H169" s="467" t="n"/>
      <c r="I169" s="466" t="n"/>
      <c r="J169" s="464" t="n"/>
      <c r="K169" s="463" t="n"/>
      <c r="L169" s="464" t="n"/>
      <c r="M169" s="464" t="n"/>
      <c r="N169" s="463" t="n"/>
      <c r="O169" s="464" t="n"/>
      <c r="P169" s="464" t="n"/>
      <c r="Q169" s="463" t="n"/>
      <c r="R169" s="468" t="n"/>
    </row>
    <row r="170">
      <c r="A170" s="463" t="n"/>
      <c r="B170" s="463" t="n"/>
      <c r="C170" s="465" t="n"/>
      <c r="D170" s="465" t="n"/>
      <c r="E170" s="466" t="n"/>
      <c r="F170" s="466" t="n"/>
      <c r="G170" s="466" t="n"/>
      <c r="H170" s="467" t="n"/>
      <c r="I170" s="466" t="n"/>
      <c r="J170" s="464" t="n"/>
      <c r="K170" s="463" t="n"/>
      <c r="L170" s="464" t="n"/>
      <c r="M170" s="464" t="n"/>
      <c r="N170" s="463" t="n"/>
      <c r="O170" s="464" t="n"/>
      <c r="P170" s="464" t="n"/>
      <c r="Q170" s="463" t="n"/>
      <c r="R170" s="468" t="n"/>
    </row>
    <row r="171">
      <c r="A171" s="463" t="n"/>
      <c r="B171" s="463" t="n"/>
      <c r="C171" s="465" t="n"/>
      <c r="D171" s="465" t="n"/>
      <c r="E171" s="466" t="n"/>
      <c r="F171" s="466" t="n"/>
      <c r="G171" s="466" t="n"/>
      <c r="H171" s="467" t="n"/>
      <c r="I171" s="466" t="n"/>
      <c r="J171" s="464" t="n"/>
      <c r="K171" s="463" t="n"/>
      <c r="L171" s="464" t="n"/>
      <c r="M171" s="464" t="n"/>
      <c r="N171" s="463" t="n"/>
      <c r="O171" s="464" t="n"/>
      <c r="P171" s="464" t="n"/>
      <c r="Q171" s="463" t="n"/>
      <c r="R171" s="468" t="n"/>
    </row>
    <row r="172">
      <c r="A172" s="463" t="n"/>
      <c r="B172" s="463" t="n"/>
      <c r="C172" s="465" t="n"/>
      <c r="D172" s="465" t="n"/>
      <c r="E172" s="466" t="n"/>
      <c r="F172" s="466" t="n"/>
      <c r="G172" s="466" t="n"/>
      <c r="H172" s="467" t="n"/>
      <c r="I172" s="466" t="n"/>
      <c r="J172" s="464" t="n"/>
      <c r="K172" s="463" t="n"/>
      <c r="L172" s="464" t="n"/>
      <c r="M172" s="464" t="n"/>
      <c r="N172" s="463" t="n"/>
      <c r="O172" s="464" t="n"/>
      <c r="P172" s="464" t="n"/>
      <c r="Q172" s="463" t="n"/>
      <c r="R172" s="468" t="n"/>
    </row>
    <row r="173">
      <c r="A173" s="463" t="n"/>
      <c r="B173" s="463" t="n"/>
      <c r="C173" s="465" t="n"/>
      <c r="D173" s="465" t="n"/>
      <c r="E173" s="466" t="n"/>
      <c r="F173" s="466" t="n"/>
      <c r="G173" s="466" t="n"/>
      <c r="H173" s="467" t="n"/>
      <c r="I173" s="466" t="n"/>
      <c r="J173" s="464" t="n"/>
      <c r="K173" s="463" t="n"/>
      <c r="L173" s="464" t="n"/>
      <c r="M173" s="464" t="n"/>
      <c r="N173" s="463" t="n"/>
      <c r="O173" s="464" t="n"/>
      <c r="P173" s="464" t="n"/>
      <c r="Q173" s="463" t="n"/>
      <c r="R173" s="468" t="n"/>
    </row>
    <row r="174">
      <c r="A174" s="463" t="n"/>
      <c r="B174" s="463" t="n"/>
      <c r="C174" s="465" t="n"/>
      <c r="D174" s="465" t="n"/>
      <c r="E174" s="466" t="n"/>
      <c r="F174" s="466" t="n"/>
      <c r="G174" s="466" t="n"/>
      <c r="H174" s="467" t="n"/>
      <c r="I174" s="466" t="n"/>
      <c r="J174" s="464" t="n"/>
      <c r="K174" s="463" t="n"/>
      <c r="L174" s="464" t="n"/>
      <c r="M174" s="464" t="n"/>
      <c r="N174" s="463" t="n"/>
      <c r="O174" s="464" t="n"/>
      <c r="P174" s="464" t="n"/>
      <c r="Q174" s="463" t="n"/>
      <c r="R174" s="468" t="n"/>
    </row>
    <row r="175">
      <c r="A175" s="463" t="n"/>
      <c r="B175" s="463" t="n"/>
      <c r="C175" s="465" t="n"/>
      <c r="D175" s="465" t="n"/>
      <c r="E175" s="466" t="n"/>
      <c r="F175" s="466" t="n"/>
      <c r="G175" s="466" t="n"/>
      <c r="H175" s="467" t="n"/>
      <c r="I175" s="466" t="n"/>
      <c r="J175" s="464" t="n"/>
      <c r="K175" s="463" t="n"/>
      <c r="L175" s="464" t="n"/>
      <c r="M175" s="464" t="n"/>
      <c r="N175" s="463" t="n"/>
      <c r="O175" s="464" t="n"/>
      <c r="P175" s="464" t="n"/>
      <c r="Q175" s="463" t="n"/>
      <c r="R175" s="468" t="n"/>
    </row>
    <row r="176">
      <c r="A176" s="463" t="n"/>
      <c r="B176" s="463" t="n"/>
      <c r="C176" s="465" t="n"/>
      <c r="D176" s="465" t="n"/>
      <c r="E176" s="466" t="n"/>
      <c r="F176" s="466" t="n"/>
      <c r="G176" s="466" t="n"/>
      <c r="H176" s="467" t="n"/>
      <c r="I176" s="466" t="n"/>
      <c r="J176" s="464" t="n"/>
      <c r="K176" s="463" t="n"/>
      <c r="L176" s="464" t="n"/>
      <c r="M176" s="464" t="n"/>
      <c r="N176" s="463" t="n"/>
      <c r="O176" s="464" t="n"/>
      <c r="P176" s="464" t="n"/>
      <c r="Q176" s="463" t="n"/>
      <c r="R176" s="468" t="n"/>
    </row>
    <row r="177">
      <c r="A177" s="463" t="n"/>
      <c r="B177" s="463" t="n"/>
      <c r="C177" s="465" t="n"/>
      <c r="D177" s="465" t="n"/>
      <c r="E177" s="466" t="n"/>
      <c r="F177" s="466" t="n"/>
      <c r="G177" s="466" t="n"/>
      <c r="H177" s="467" t="n"/>
      <c r="I177" s="466" t="n"/>
      <c r="J177" s="464" t="n"/>
      <c r="K177" s="463" t="n"/>
      <c r="L177" s="464" t="n"/>
      <c r="M177" s="464" t="n"/>
      <c r="N177" s="463" t="n"/>
      <c r="O177" s="464" t="n"/>
      <c r="P177" s="464" t="n"/>
      <c r="Q177" s="463" t="n"/>
      <c r="R177" s="468" t="n"/>
    </row>
    <row r="178">
      <c r="A178" s="463" t="n"/>
      <c r="B178" s="463" t="n"/>
      <c r="C178" s="465" t="n"/>
      <c r="D178" s="465" t="n"/>
      <c r="E178" s="466" t="n"/>
      <c r="F178" s="466" t="n"/>
      <c r="G178" s="466" t="n"/>
      <c r="H178" s="467" t="n"/>
      <c r="I178" s="466" t="n"/>
      <c r="J178" s="464" t="n"/>
      <c r="K178" s="463" t="n"/>
      <c r="L178" s="464" t="n"/>
      <c r="M178" s="464" t="n"/>
      <c r="N178" s="463" t="n"/>
      <c r="O178" s="464" t="n"/>
      <c r="P178" s="464" t="n"/>
      <c r="Q178" s="463" t="n"/>
      <c r="R178" s="468" t="n"/>
    </row>
    <row r="179">
      <c r="A179" s="463" t="n"/>
      <c r="B179" s="463" t="n"/>
      <c r="C179" s="465" t="n"/>
      <c r="D179" s="465" t="n"/>
      <c r="E179" s="466" t="n"/>
      <c r="F179" s="466" t="n"/>
      <c r="G179" s="466" t="n"/>
      <c r="H179" s="467" t="n"/>
      <c r="I179" s="466" t="n"/>
      <c r="J179" s="464" t="n"/>
      <c r="K179" s="463" t="n"/>
      <c r="L179" s="464" t="n"/>
      <c r="M179" s="464" t="n"/>
      <c r="N179" s="463" t="n"/>
      <c r="O179" s="464" t="n"/>
      <c r="P179" s="464" t="n"/>
      <c r="Q179" s="463" t="n"/>
      <c r="R179" s="468" t="n"/>
    </row>
    <row r="180">
      <c r="A180" s="463" t="n"/>
      <c r="B180" s="463" t="n"/>
      <c r="C180" s="465" t="n"/>
      <c r="D180" s="465" t="n"/>
      <c r="E180" s="466" t="n"/>
      <c r="F180" s="466" t="n"/>
      <c r="G180" s="466" t="n"/>
      <c r="H180" s="467" t="n"/>
      <c r="I180" s="466" t="n"/>
      <c r="J180" s="464" t="n"/>
      <c r="K180" s="463" t="n"/>
      <c r="L180" s="464" t="n"/>
      <c r="M180" s="464" t="n"/>
      <c r="N180" s="463" t="n"/>
      <c r="O180" s="464" t="n"/>
      <c r="P180" s="464" t="n"/>
      <c r="Q180" s="463" t="n"/>
      <c r="R180" s="468" t="n"/>
    </row>
    <row r="181">
      <c r="A181" s="463" t="n"/>
      <c r="B181" s="463" t="n"/>
      <c r="C181" s="465" t="n"/>
      <c r="D181" s="465" t="n"/>
      <c r="E181" s="466" t="n"/>
      <c r="F181" s="466" t="n"/>
      <c r="G181" s="466" t="n"/>
      <c r="H181" s="467" t="n"/>
      <c r="I181" s="466" t="n"/>
      <c r="J181" s="464" t="n"/>
      <c r="K181" s="463" t="n"/>
      <c r="L181" s="464" t="n"/>
      <c r="M181" s="464" t="n"/>
      <c r="N181" s="463" t="n"/>
      <c r="O181" s="464" t="n"/>
      <c r="P181" s="464" t="n"/>
      <c r="Q181" s="463" t="n"/>
      <c r="R181" s="468" t="n"/>
    </row>
    <row r="182">
      <c r="A182" s="463" t="n"/>
      <c r="B182" s="463" t="n"/>
      <c r="C182" s="465" t="n"/>
      <c r="D182" s="465" t="n"/>
      <c r="E182" s="466" t="n"/>
      <c r="F182" s="466" t="n"/>
      <c r="G182" s="466" t="n"/>
      <c r="H182" s="467" t="n"/>
      <c r="I182" s="466" t="n"/>
      <c r="J182" s="464" t="n"/>
      <c r="K182" s="463" t="n"/>
      <c r="L182" s="464" t="n"/>
      <c r="M182" s="464" t="n"/>
      <c r="N182" s="463" t="n"/>
      <c r="O182" s="464" t="n"/>
      <c r="P182" s="464" t="n"/>
      <c r="Q182" s="463" t="n"/>
      <c r="R182" s="468" t="n"/>
    </row>
    <row r="183">
      <c r="A183" s="463" t="n"/>
      <c r="B183" s="463" t="n"/>
      <c r="C183" s="465" t="n"/>
      <c r="D183" s="465" t="n"/>
      <c r="E183" s="466" t="n"/>
      <c r="F183" s="466" t="n"/>
      <c r="G183" s="466" t="n"/>
      <c r="H183" s="467" t="n"/>
      <c r="I183" s="466" t="n"/>
      <c r="J183" s="464" t="n"/>
      <c r="K183" s="463" t="n"/>
      <c r="L183" s="464" t="n"/>
      <c r="M183" s="464" t="n"/>
      <c r="N183" s="463" t="n"/>
      <c r="O183" s="464" t="n"/>
      <c r="P183" s="464" t="n"/>
      <c r="Q183" s="463" t="n"/>
      <c r="R183" s="468" t="n"/>
    </row>
    <row r="184">
      <c r="A184" s="463" t="n"/>
      <c r="B184" s="463" t="n"/>
      <c r="C184" s="465" t="n"/>
      <c r="D184" s="465" t="n"/>
      <c r="E184" s="466" t="n"/>
      <c r="F184" s="466" t="n"/>
      <c r="G184" s="466" t="n"/>
      <c r="H184" s="467" t="n"/>
      <c r="I184" s="466" t="n"/>
      <c r="J184" s="464" t="n"/>
      <c r="K184" s="463" t="n"/>
      <c r="L184" s="464" t="n"/>
      <c r="M184" s="464" t="n"/>
      <c r="N184" s="463" t="n"/>
      <c r="O184" s="464" t="n"/>
      <c r="P184" s="464" t="n"/>
      <c r="Q184" s="463" t="n"/>
      <c r="R184" s="468" t="n"/>
    </row>
    <row r="185">
      <c r="A185" s="463" t="n"/>
      <c r="B185" s="463" t="n"/>
      <c r="C185" s="465" t="n"/>
      <c r="D185" s="465" t="n"/>
      <c r="E185" s="466" t="n"/>
      <c r="F185" s="466" t="n"/>
      <c r="G185" s="466" t="n"/>
      <c r="H185" s="467" t="n"/>
      <c r="I185" s="466" t="n"/>
      <c r="J185" s="464" t="n"/>
      <c r="K185" s="463" t="n"/>
      <c r="L185" s="464" t="n"/>
      <c r="M185" s="464" t="n"/>
      <c r="N185" s="463" t="n"/>
      <c r="O185" s="464" t="n"/>
      <c r="P185" s="464" t="n"/>
      <c r="Q185" s="463" t="n"/>
      <c r="R185" s="468" t="n"/>
    </row>
    <row r="186">
      <c r="A186" s="463" t="n"/>
      <c r="B186" s="463" t="n"/>
      <c r="C186" s="465" t="n"/>
      <c r="D186" s="465" t="n"/>
      <c r="E186" s="466" t="n"/>
      <c r="F186" s="466" t="n"/>
      <c r="G186" s="466" t="n"/>
      <c r="H186" s="467" t="n"/>
      <c r="I186" s="466" t="n"/>
      <c r="J186" s="464" t="n"/>
      <c r="K186" s="463" t="n"/>
      <c r="L186" s="464" t="n"/>
      <c r="M186" s="464" t="n"/>
      <c r="N186" s="463" t="n"/>
      <c r="O186" s="464" t="n"/>
      <c r="P186" s="464" t="n"/>
      <c r="Q186" s="463" t="n"/>
      <c r="R186" s="468" t="n"/>
    </row>
    <row r="187">
      <c r="A187" s="463" t="n"/>
      <c r="B187" s="463" t="n"/>
      <c r="C187" s="465" t="n"/>
      <c r="D187" s="465" t="n"/>
      <c r="E187" s="466" t="n"/>
      <c r="F187" s="466" t="n"/>
      <c r="G187" s="466" t="n"/>
      <c r="H187" s="467" t="n"/>
      <c r="I187" s="466" t="n"/>
      <c r="J187" s="464" t="n"/>
      <c r="K187" s="463" t="n"/>
      <c r="L187" s="464" t="n"/>
      <c r="M187" s="464" t="n"/>
      <c r="N187" s="463" t="n"/>
      <c r="O187" s="464" t="n"/>
      <c r="P187" s="464" t="n"/>
      <c r="Q187" s="463" t="n"/>
      <c r="R187" s="468" t="n"/>
    </row>
    <row r="188">
      <c r="A188" s="463" t="n"/>
      <c r="B188" s="463" t="n"/>
      <c r="C188" s="465" t="n"/>
      <c r="D188" s="465" t="n"/>
      <c r="E188" s="466" t="n"/>
      <c r="F188" s="466" t="n"/>
      <c r="G188" s="466" t="n"/>
      <c r="H188" s="467" t="n"/>
      <c r="I188" s="466" t="n"/>
      <c r="J188" s="464" t="n"/>
      <c r="K188" s="463" t="n"/>
      <c r="L188" s="464" t="n"/>
      <c r="M188" s="464" t="n"/>
      <c r="N188" s="463" t="n"/>
      <c r="O188" s="464" t="n"/>
      <c r="P188" s="464" t="n"/>
      <c r="Q188" s="463" t="n"/>
      <c r="R188" s="468" t="n"/>
    </row>
    <row r="189">
      <c r="A189" s="463" t="n"/>
      <c r="B189" s="463" t="n"/>
      <c r="C189" s="465" t="n"/>
      <c r="D189" s="465" t="n"/>
      <c r="E189" s="466" t="n"/>
      <c r="F189" s="466" t="n"/>
      <c r="G189" s="466" t="n"/>
      <c r="H189" s="467" t="n"/>
      <c r="I189" s="466" t="n"/>
      <c r="J189" s="464" t="n"/>
      <c r="K189" s="463" t="n"/>
      <c r="L189" s="464" t="n"/>
      <c r="M189" s="464" t="n"/>
      <c r="N189" s="463" t="n"/>
      <c r="O189" s="464" t="n"/>
      <c r="P189" s="464" t="n"/>
      <c r="Q189" s="463" t="n"/>
      <c r="R189" s="468" t="n"/>
    </row>
    <row r="190">
      <c r="A190" s="463" t="n"/>
      <c r="B190" s="463" t="n"/>
      <c r="C190" s="465" t="n"/>
      <c r="D190" s="465" t="n"/>
      <c r="E190" s="466" t="n"/>
      <c r="F190" s="466" t="n"/>
      <c r="G190" s="466" t="n"/>
      <c r="H190" s="467" t="n"/>
      <c r="I190" s="466" t="n"/>
      <c r="J190" s="464" t="n"/>
      <c r="K190" s="463" t="n"/>
      <c r="L190" s="464" t="n"/>
      <c r="M190" s="464" t="n"/>
      <c r="N190" s="463" t="n"/>
      <c r="O190" s="464" t="n"/>
      <c r="P190" s="464" t="n"/>
      <c r="Q190" s="463" t="n"/>
      <c r="R190" s="468" t="n"/>
    </row>
    <row r="191">
      <c r="A191" s="463" t="n"/>
      <c r="B191" s="463" t="n"/>
      <c r="C191" s="465" t="n"/>
      <c r="D191" s="465" t="n"/>
      <c r="E191" s="466" t="n"/>
      <c r="F191" s="466" t="n"/>
      <c r="G191" s="466" t="n"/>
      <c r="H191" s="467" t="n"/>
      <c r="I191" s="466" t="n"/>
      <c r="J191" s="464" t="n"/>
      <c r="K191" s="463" t="n"/>
      <c r="L191" s="464" t="n"/>
      <c r="M191" s="464" t="n"/>
      <c r="N191" s="463" t="n"/>
      <c r="O191" s="464" t="n"/>
      <c r="P191" s="464" t="n"/>
      <c r="Q191" s="463" t="n"/>
      <c r="R191" s="468" t="n"/>
    </row>
    <row r="192">
      <c r="A192" s="463" t="n"/>
      <c r="B192" s="463" t="n"/>
      <c r="C192" s="465" t="n"/>
      <c r="D192" s="465" t="n"/>
      <c r="E192" s="466" t="n"/>
      <c r="F192" s="466" t="n"/>
      <c r="G192" s="466" t="n"/>
      <c r="H192" s="467" t="n"/>
      <c r="I192" s="466" t="n"/>
      <c r="J192" s="464" t="n"/>
      <c r="K192" s="463" t="n"/>
      <c r="L192" s="464" t="n"/>
      <c r="M192" s="464" t="n"/>
      <c r="N192" s="463" t="n"/>
      <c r="O192" s="464" t="n"/>
      <c r="P192" s="464" t="n"/>
      <c r="Q192" s="463" t="n"/>
      <c r="R192" s="468" t="n"/>
    </row>
    <row r="193">
      <c r="A193" s="463" t="n"/>
      <c r="B193" s="463" t="n"/>
      <c r="C193" s="465" t="n"/>
      <c r="D193" s="465" t="n"/>
      <c r="E193" s="466" t="n"/>
      <c r="F193" s="466" t="n"/>
      <c r="G193" s="466" t="n"/>
      <c r="H193" s="467" t="n"/>
      <c r="I193" s="466" t="n"/>
      <c r="J193" s="464" t="n"/>
      <c r="K193" s="463" t="n"/>
      <c r="L193" s="464" t="n"/>
      <c r="M193" s="464" t="n"/>
      <c r="N193" s="463" t="n"/>
      <c r="O193" s="464" t="n"/>
      <c r="P193" s="464" t="n"/>
      <c r="Q193" s="463" t="n"/>
      <c r="R193" s="468" t="n"/>
    </row>
    <row r="194">
      <c r="A194" s="463" t="n"/>
      <c r="B194" s="463" t="n"/>
      <c r="C194" s="465" t="n"/>
      <c r="D194" s="465" t="n"/>
      <c r="E194" s="466" t="n"/>
      <c r="F194" s="466" t="n"/>
      <c r="G194" s="466" t="n"/>
      <c r="H194" s="467" t="n"/>
      <c r="I194" s="466" t="n"/>
      <c r="J194" s="464" t="n"/>
      <c r="K194" s="463" t="n"/>
      <c r="L194" s="464" t="n"/>
      <c r="M194" s="464" t="n"/>
      <c r="N194" s="463" t="n"/>
      <c r="O194" s="464" t="n"/>
      <c r="P194" s="464" t="n"/>
      <c r="Q194" s="463" t="n"/>
      <c r="R194" s="468" t="n"/>
    </row>
    <row r="195">
      <c r="A195" s="463" t="n"/>
      <c r="B195" s="463" t="n"/>
      <c r="C195" s="465" t="n"/>
      <c r="D195" s="465" t="n"/>
      <c r="E195" s="466" t="n"/>
      <c r="F195" s="466" t="n"/>
      <c r="G195" s="466" t="n"/>
      <c r="H195" s="467" t="n"/>
      <c r="I195" s="466" t="n"/>
      <c r="J195" s="464" t="n"/>
      <c r="K195" s="463" t="n"/>
      <c r="L195" s="464" t="n"/>
      <c r="M195" s="464" t="n"/>
      <c r="N195" s="463" t="n"/>
      <c r="O195" s="464" t="n"/>
      <c r="P195" s="464" t="n"/>
      <c r="Q195" s="463" t="n"/>
      <c r="R195" s="468" t="n"/>
    </row>
    <row r="196">
      <c r="A196" s="463" t="n"/>
      <c r="B196" s="463" t="n"/>
      <c r="C196" s="465" t="n"/>
      <c r="D196" s="465" t="n"/>
      <c r="E196" s="466" t="n"/>
      <c r="F196" s="466" t="n"/>
      <c r="G196" s="466" t="n"/>
      <c r="H196" s="467" t="n"/>
      <c r="I196" s="466" t="n"/>
      <c r="J196" s="464" t="n"/>
      <c r="K196" s="463" t="n"/>
      <c r="L196" s="464" t="n"/>
      <c r="M196" s="464" t="n"/>
      <c r="N196" s="463" t="n"/>
      <c r="O196" s="464" t="n"/>
      <c r="P196" s="464" t="n"/>
      <c r="Q196" s="463" t="n"/>
      <c r="R196" s="468" t="n"/>
    </row>
    <row r="197">
      <c r="A197" s="463" t="n"/>
      <c r="B197" s="463" t="n"/>
      <c r="C197" s="465" t="n"/>
      <c r="D197" s="465" t="n"/>
      <c r="E197" s="466" t="n"/>
      <c r="F197" s="466" t="n"/>
      <c r="G197" s="466" t="n"/>
      <c r="H197" s="467" t="n"/>
      <c r="I197" s="466" t="n"/>
      <c r="J197" s="464" t="n"/>
      <c r="K197" s="463" t="n"/>
      <c r="L197" s="464" t="n"/>
      <c r="M197" s="464" t="n"/>
      <c r="N197" s="463" t="n"/>
      <c r="O197" s="464" t="n"/>
      <c r="P197" s="464" t="n"/>
      <c r="Q197" s="463" t="n"/>
      <c r="R197" s="468" t="n"/>
    </row>
    <row r="198">
      <c r="A198" s="463" t="n"/>
      <c r="B198" s="463" t="n"/>
      <c r="C198" s="465" t="n"/>
      <c r="D198" s="465" t="n"/>
      <c r="E198" s="466" t="n"/>
      <c r="F198" s="466" t="n"/>
      <c r="G198" s="466" t="n"/>
      <c r="H198" s="467" t="n"/>
      <c r="I198" s="466" t="n"/>
      <c r="J198" s="464" t="n"/>
      <c r="K198" s="463" t="n"/>
      <c r="L198" s="464" t="n"/>
      <c r="M198" s="464" t="n"/>
      <c r="N198" s="463" t="n"/>
      <c r="O198" s="464" t="n"/>
      <c r="P198" s="464" t="n"/>
      <c r="Q198" s="463" t="n"/>
      <c r="R198" s="468" t="n"/>
    </row>
    <row r="199">
      <c r="A199" s="463" t="n"/>
      <c r="B199" s="463" t="n"/>
      <c r="C199" s="465" t="n"/>
      <c r="D199" s="465" t="n"/>
      <c r="E199" s="466" t="n"/>
      <c r="F199" s="466" t="n"/>
      <c r="G199" s="466" t="n"/>
      <c r="H199" s="467" t="n"/>
      <c r="I199" s="466" t="n"/>
      <c r="J199" s="464" t="n"/>
      <c r="K199" s="463" t="n"/>
      <c r="L199" s="464" t="n"/>
      <c r="M199" s="464" t="n"/>
      <c r="N199" s="463" t="n"/>
      <c r="O199" s="464" t="n"/>
      <c r="P199" s="464" t="n"/>
      <c r="Q199" s="463" t="n"/>
      <c r="R199" s="468" t="n"/>
    </row>
    <row r="200">
      <c r="A200" s="463" t="n"/>
      <c r="B200" s="463" t="n"/>
      <c r="C200" s="465" t="n"/>
      <c r="D200" s="465" t="n"/>
      <c r="E200" s="466" t="n"/>
      <c r="F200" s="466" t="n"/>
      <c r="G200" s="466" t="n"/>
      <c r="H200" s="467" t="n"/>
      <c r="I200" s="466" t="n"/>
      <c r="J200" s="464" t="n"/>
      <c r="K200" s="463" t="n"/>
      <c r="L200" s="464" t="n"/>
      <c r="M200" s="464" t="n"/>
      <c r="N200" s="463" t="n"/>
      <c r="O200" s="464" t="n"/>
      <c r="P200" s="464" t="n"/>
      <c r="Q200" s="463" t="n"/>
      <c r="R200" s="468" t="n"/>
    </row>
    <row r="201">
      <c r="A201" s="463" t="n"/>
      <c r="B201" s="463" t="n"/>
      <c r="C201" s="465" t="n"/>
      <c r="D201" s="465" t="n"/>
      <c r="E201" s="466" t="n"/>
      <c r="F201" s="466" t="n"/>
      <c r="G201" s="466" t="n"/>
      <c r="H201" s="467" t="n"/>
      <c r="I201" s="466" t="n"/>
      <c r="J201" s="464" t="n"/>
      <c r="K201" s="463" t="n"/>
      <c r="L201" s="464" t="n"/>
      <c r="M201" s="464" t="n"/>
      <c r="N201" s="463" t="n"/>
      <c r="O201" s="464" t="n"/>
      <c r="P201" s="464" t="n"/>
      <c r="Q201" s="463" t="n"/>
      <c r="R201" s="468" t="n"/>
    </row>
    <row r="202">
      <c r="A202" s="463" t="n"/>
      <c r="B202" s="463" t="n"/>
      <c r="C202" s="465" t="n"/>
      <c r="D202" s="465" t="n"/>
      <c r="E202" s="466" t="n"/>
      <c r="F202" s="466" t="n"/>
      <c r="G202" s="466" t="n"/>
      <c r="H202" s="467" t="n"/>
      <c r="I202" s="466" t="n"/>
      <c r="J202" s="464" t="n"/>
      <c r="K202" s="463" t="n"/>
      <c r="L202" s="464" t="n"/>
      <c r="M202" s="464" t="n"/>
      <c r="N202" s="463" t="n"/>
      <c r="O202" s="464" t="n"/>
      <c r="P202" s="464" t="n"/>
      <c r="Q202" s="463" t="n"/>
      <c r="R202" s="468" t="n"/>
    </row>
    <row r="203">
      <c r="A203" s="463" t="n"/>
      <c r="B203" s="463" t="n"/>
      <c r="C203" s="465" t="n"/>
      <c r="D203" s="465" t="n"/>
      <c r="E203" s="466" t="n"/>
      <c r="F203" s="466" t="n"/>
      <c r="G203" s="466" t="n"/>
      <c r="H203" s="467" t="n"/>
      <c r="I203" s="466" t="n"/>
      <c r="J203" s="464" t="n"/>
      <c r="K203" s="463" t="n"/>
      <c r="L203" s="464" t="n"/>
      <c r="M203" s="464" t="n"/>
      <c r="N203" s="463" t="n"/>
      <c r="O203" s="464" t="n"/>
      <c r="P203" s="464" t="n"/>
      <c r="Q203" s="463" t="n"/>
      <c r="R203" s="468" t="n"/>
    </row>
    <row r="204">
      <c r="A204" s="463" t="n"/>
      <c r="B204" s="463" t="n"/>
      <c r="C204" s="465" t="n"/>
      <c r="D204" s="465" t="n"/>
      <c r="E204" s="466" t="n"/>
      <c r="F204" s="466" t="n"/>
      <c r="G204" s="466" t="n"/>
      <c r="H204" s="467" t="n"/>
      <c r="I204" s="466" t="n"/>
      <c r="J204" s="464" t="n"/>
      <c r="K204" s="463" t="n"/>
      <c r="L204" s="464" t="n"/>
      <c r="M204" s="464" t="n"/>
      <c r="N204" s="463" t="n"/>
      <c r="O204" s="464" t="n"/>
      <c r="P204" s="464" t="n"/>
      <c r="Q204" s="463" t="n"/>
      <c r="R204" s="468" t="n"/>
    </row>
    <row r="205">
      <c r="A205" s="463" t="n"/>
      <c r="B205" s="463" t="n"/>
      <c r="C205" s="465" t="n"/>
      <c r="D205" s="465" t="n"/>
      <c r="E205" s="466" t="n"/>
      <c r="F205" s="466" t="n"/>
      <c r="G205" s="466" t="n"/>
      <c r="H205" s="467" t="n"/>
      <c r="I205" s="466" t="n"/>
      <c r="J205" s="464" t="n"/>
      <c r="K205" s="463" t="n"/>
      <c r="L205" s="464" t="n"/>
      <c r="M205" s="464" t="n"/>
      <c r="N205" s="463" t="n"/>
      <c r="O205" s="464" t="n"/>
      <c r="P205" s="464" t="n"/>
      <c r="Q205" s="463" t="n"/>
      <c r="R205" s="468" t="n"/>
    </row>
    <row r="206">
      <c r="A206" s="463" t="n"/>
      <c r="B206" s="463" t="n"/>
      <c r="C206" s="465" t="n"/>
      <c r="D206" s="465" t="n"/>
      <c r="E206" s="466" t="n"/>
      <c r="F206" s="466" t="n"/>
      <c r="G206" s="466" t="n"/>
      <c r="H206" s="467" t="n"/>
      <c r="I206" s="466" t="n"/>
      <c r="J206" s="464" t="n"/>
      <c r="K206" s="463" t="n"/>
      <c r="L206" s="464" t="n"/>
      <c r="M206" s="464" t="n"/>
      <c r="N206" s="463" t="n"/>
      <c r="O206" s="464" t="n"/>
      <c r="P206" s="464" t="n"/>
      <c r="Q206" s="463" t="n"/>
      <c r="R206" s="468" t="n"/>
    </row>
    <row r="207">
      <c r="A207" s="463" t="n"/>
      <c r="B207" s="463" t="n"/>
      <c r="C207" s="465" t="n"/>
      <c r="D207" s="465" t="n"/>
      <c r="E207" s="466" t="n"/>
      <c r="F207" s="466" t="n"/>
      <c r="G207" s="466" t="n"/>
      <c r="H207" s="467" t="n"/>
      <c r="I207" s="466" t="n"/>
      <c r="J207" s="464" t="n"/>
      <c r="K207" s="463" t="n"/>
      <c r="L207" s="464" t="n"/>
      <c r="M207" s="464" t="n"/>
      <c r="N207" s="463" t="n"/>
      <c r="O207" s="464" t="n"/>
      <c r="P207" s="464" t="n"/>
      <c r="Q207" s="463" t="n"/>
      <c r="R207" s="468" t="n"/>
    </row>
    <row r="208">
      <c r="A208" s="463" t="n"/>
      <c r="B208" s="463" t="n"/>
      <c r="C208" s="465" t="n"/>
      <c r="D208" s="465" t="n"/>
      <c r="E208" s="466" t="n"/>
      <c r="F208" s="466" t="n"/>
      <c r="G208" s="466" t="n"/>
      <c r="H208" s="467" t="n"/>
      <c r="I208" s="466" t="n"/>
      <c r="J208" s="464" t="n"/>
      <c r="K208" s="463" t="n"/>
      <c r="L208" s="464" t="n"/>
      <c r="M208" s="464" t="n"/>
      <c r="N208" s="463" t="n"/>
      <c r="O208" s="464" t="n"/>
      <c r="P208" s="464" t="n"/>
      <c r="Q208" s="463" t="n"/>
      <c r="R208" s="468" t="n"/>
    </row>
    <row r="209">
      <c r="A209" s="463" t="n"/>
      <c r="B209" s="463" t="n"/>
      <c r="C209" s="465" t="n"/>
      <c r="D209" s="465" t="n"/>
      <c r="E209" s="466" t="n"/>
      <c r="F209" s="466" t="n"/>
      <c r="G209" s="466" t="n"/>
      <c r="H209" s="467" t="n"/>
      <c r="I209" s="466" t="n"/>
      <c r="J209" s="464" t="n"/>
      <c r="K209" s="463" t="n"/>
      <c r="L209" s="464" t="n"/>
      <c r="M209" s="464" t="n"/>
      <c r="N209" s="463" t="n"/>
      <c r="O209" s="464" t="n"/>
      <c r="P209" s="464" t="n"/>
      <c r="Q209" s="463" t="n"/>
      <c r="R209" s="468" t="n"/>
    </row>
    <row r="210">
      <c r="A210" s="463" t="n"/>
      <c r="B210" s="463" t="n"/>
      <c r="C210" s="465" t="n"/>
      <c r="D210" s="465" t="n"/>
      <c r="E210" s="466" t="n"/>
      <c r="F210" s="466" t="n"/>
      <c r="G210" s="466" t="n"/>
      <c r="H210" s="467" t="n"/>
      <c r="I210" s="466" t="n"/>
      <c r="J210" s="464" t="n"/>
      <c r="K210" s="463" t="n"/>
      <c r="L210" s="464" t="n"/>
      <c r="M210" s="464" t="n"/>
      <c r="N210" s="463" t="n"/>
      <c r="O210" s="464" t="n"/>
      <c r="P210" s="464" t="n"/>
      <c r="Q210" s="463" t="n"/>
      <c r="R210" s="468" t="n"/>
    </row>
    <row r="211">
      <c r="A211" s="463" t="n"/>
      <c r="B211" s="463" t="n"/>
      <c r="C211" s="465" t="n"/>
      <c r="D211" s="465" t="n"/>
      <c r="E211" s="466" t="n"/>
      <c r="F211" s="466" t="n"/>
      <c r="G211" s="466" t="n"/>
      <c r="H211" s="467" t="n"/>
      <c r="I211" s="466" t="n"/>
      <c r="J211" s="464" t="n"/>
      <c r="K211" s="463" t="n"/>
      <c r="L211" s="464" t="n"/>
      <c r="M211" s="464" t="n"/>
      <c r="N211" s="463" t="n"/>
      <c r="O211" s="464" t="n"/>
      <c r="P211" s="464" t="n"/>
      <c r="Q211" s="463" t="n"/>
      <c r="R211" s="468" t="n"/>
    </row>
    <row r="212">
      <c r="A212" s="463" t="n"/>
      <c r="B212" s="463" t="n"/>
      <c r="C212" s="465" t="n"/>
      <c r="D212" s="465" t="n"/>
      <c r="E212" s="466" t="n"/>
      <c r="F212" s="466" t="n"/>
      <c r="G212" s="466" t="n"/>
      <c r="H212" s="467" t="n"/>
      <c r="I212" s="466" t="n"/>
      <c r="J212" s="464" t="n"/>
      <c r="K212" s="463" t="n"/>
      <c r="L212" s="464" t="n"/>
      <c r="M212" s="464" t="n"/>
      <c r="N212" s="463" t="n"/>
      <c r="O212" s="464" t="n"/>
      <c r="P212" s="464" t="n"/>
      <c r="Q212" s="463" t="n"/>
      <c r="R212" s="468" t="n"/>
    </row>
    <row r="213">
      <c r="A213" s="463" t="n"/>
      <c r="B213" s="463" t="n"/>
      <c r="C213" s="465" t="n"/>
      <c r="D213" s="465" t="n"/>
      <c r="E213" s="466" t="n"/>
      <c r="F213" s="466" t="n"/>
      <c r="G213" s="466" t="n"/>
      <c r="H213" s="467" t="n"/>
      <c r="I213" s="466" t="n"/>
      <c r="J213" s="464" t="n"/>
      <c r="K213" s="463" t="n"/>
      <c r="L213" s="464" t="n"/>
      <c r="M213" s="464" t="n"/>
      <c r="N213" s="463" t="n"/>
      <c r="O213" s="464" t="n"/>
      <c r="P213" s="464" t="n"/>
      <c r="Q213" s="463" t="n"/>
      <c r="R213" s="468" t="n"/>
    </row>
    <row r="214">
      <c r="A214" s="463" t="n"/>
      <c r="B214" s="463" t="n"/>
      <c r="C214" s="465" t="n"/>
      <c r="D214" s="465" t="n"/>
      <c r="E214" s="466" t="n"/>
      <c r="F214" s="466" t="n"/>
      <c r="G214" s="466" t="n"/>
      <c r="H214" s="467" t="n"/>
      <c r="I214" s="466" t="n"/>
      <c r="J214" s="464" t="n"/>
      <c r="K214" s="463" t="n"/>
      <c r="L214" s="464" t="n"/>
      <c r="M214" s="464" t="n"/>
      <c r="N214" s="463" t="n"/>
      <c r="O214" s="464" t="n"/>
      <c r="P214" s="464" t="n"/>
      <c r="Q214" s="463" t="n"/>
      <c r="R214" s="468" t="n"/>
    </row>
    <row r="215">
      <c r="A215" s="463" t="n"/>
      <c r="B215" s="463" t="n"/>
      <c r="C215" s="465" t="n"/>
      <c r="D215" s="465" t="n"/>
      <c r="E215" s="466" t="n"/>
      <c r="F215" s="466" t="n"/>
      <c r="G215" s="466" t="n"/>
      <c r="H215" s="467" t="n"/>
      <c r="I215" s="466" t="n"/>
      <c r="J215" s="464" t="n"/>
      <c r="K215" s="463" t="n"/>
      <c r="L215" s="464" t="n"/>
      <c r="M215" s="464" t="n"/>
      <c r="N215" s="463" t="n"/>
      <c r="O215" s="464" t="n"/>
      <c r="P215" s="464" t="n"/>
      <c r="Q215" s="463" t="n"/>
      <c r="R215" s="468" t="n"/>
    </row>
    <row r="216">
      <c r="A216" s="463" t="n"/>
      <c r="B216" s="463" t="n"/>
      <c r="C216" s="465" t="n"/>
      <c r="D216" s="465" t="n"/>
      <c r="E216" s="466" t="n"/>
      <c r="F216" s="466" t="n"/>
      <c r="G216" s="466" t="n"/>
      <c r="H216" s="467" t="n"/>
      <c r="I216" s="466" t="n"/>
      <c r="J216" s="464" t="n"/>
      <c r="K216" s="463" t="n"/>
      <c r="L216" s="464" t="n"/>
      <c r="M216" s="464" t="n"/>
      <c r="N216" s="463" t="n"/>
      <c r="O216" s="464" t="n"/>
      <c r="P216" s="464" t="n"/>
      <c r="Q216" s="463" t="n"/>
      <c r="R216" s="468" t="n"/>
    </row>
    <row r="217">
      <c r="A217" s="463" t="n"/>
      <c r="B217" s="463" t="n"/>
      <c r="C217" s="465" t="n"/>
      <c r="D217" s="465" t="n"/>
      <c r="E217" s="466" t="n"/>
      <c r="F217" s="466" t="n"/>
      <c r="G217" s="466" t="n"/>
      <c r="H217" s="467" t="n"/>
      <c r="I217" s="466" t="n"/>
      <c r="J217" s="464" t="n"/>
      <c r="K217" s="463" t="n"/>
      <c r="L217" s="464" t="n"/>
      <c r="M217" s="464" t="n"/>
      <c r="N217" s="463" t="n"/>
      <c r="O217" s="464" t="n"/>
      <c r="P217" s="464" t="n"/>
      <c r="Q217" s="463" t="n"/>
      <c r="R217" s="468" t="n"/>
    </row>
    <row r="218">
      <c r="A218" s="463" t="n"/>
      <c r="B218" s="463" t="n"/>
      <c r="C218" s="465" t="n"/>
      <c r="D218" s="465" t="n"/>
      <c r="E218" s="466" t="n"/>
      <c r="F218" s="466" t="n"/>
      <c r="G218" s="466" t="n"/>
      <c r="H218" s="467" t="n"/>
      <c r="I218" s="466" t="n"/>
      <c r="J218" s="464" t="n"/>
      <c r="K218" s="463" t="n"/>
      <c r="L218" s="464" t="n"/>
      <c r="M218" s="464" t="n"/>
      <c r="N218" s="463" t="n"/>
      <c r="O218" s="464" t="n"/>
      <c r="P218" s="464" t="n"/>
      <c r="Q218" s="463" t="n"/>
      <c r="R218" s="468" t="n"/>
    </row>
    <row r="219">
      <c r="A219" s="463" t="n"/>
      <c r="B219" s="463" t="n"/>
      <c r="C219" s="465" t="n"/>
      <c r="D219" s="465" t="n"/>
      <c r="E219" s="466" t="n"/>
      <c r="F219" s="466" t="n"/>
      <c r="G219" s="466" t="n"/>
      <c r="H219" s="467" t="n"/>
      <c r="I219" s="466" t="n"/>
      <c r="J219" s="464" t="n"/>
      <c r="K219" s="463" t="n"/>
      <c r="L219" s="464" t="n"/>
      <c r="M219" s="464" t="n"/>
      <c r="N219" s="463" t="n"/>
      <c r="O219" s="464" t="n"/>
      <c r="P219" s="464" t="n"/>
      <c r="Q219" s="463" t="n"/>
      <c r="R219" s="468" t="n"/>
    </row>
    <row r="220">
      <c r="A220" s="463" t="n"/>
      <c r="B220" s="463" t="n"/>
      <c r="C220" s="465" t="n"/>
      <c r="D220" s="465" t="n"/>
      <c r="E220" s="466" t="n"/>
      <c r="F220" s="466" t="n"/>
      <c r="G220" s="466" t="n"/>
      <c r="H220" s="467" t="n"/>
      <c r="I220" s="466" t="n"/>
      <c r="J220" s="464" t="n"/>
      <c r="K220" s="463" t="n"/>
      <c r="L220" s="464" t="n"/>
      <c r="M220" s="464" t="n"/>
      <c r="N220" s="463" t="n"/>
      <c r="O220" s="464" t="n"/>
      <c r="P220" s="464" t="n"/>
      <c r="Q220" s="463" t="n"/>
      <c r="R220" s="468" t="n"/>
    </row>
    <row r="221">
      <c r="A221" s="463" t="n"/>
      <c r="B221" s="463" t="n"/>
      <c r="C221" s="465" t="n"/>
      <c r="D221" s="465" t="n"/>
      <c r="E221" s="466" t="n"/>
      <c r="F221" s="466" t="n"/>
      <c r="G221" s="466" t="n"/>
      <c r="H221" s="467" t="n"/>
      <c r="I221" s="466" t="n"/>
      <c r="J221" s="464" t="n"/>
      <c r="K221" s="463" t="n"/>
      <c r="L221" s="464" t="n"/>
      <c r="M221" s="464" t="n"/>
      <c r="N221" s="463" t="n"/>
      <c r="O221" s="464" t="n"/>
      <c r="P221" s="464" t="n"/>
      <c r="Q221" s="463" t="n"/>
      <c r="R221" s="468" t="n"/>
    </row>
    <row r="222">
      <c r="A222" s="463" t="n"/>
      <c r="B222" s="463" t="n"/>
      <c r="C222" s="465" t="n"/>
      <c r="D222" s="465" t="n"/>
      <c r="E222" s="466" t="n"/>
      <c r="F222" s="466" t="n"/>
      <c r="G222" s="466" t="n"/>
      <c r="H222" s="467" t="n"/>
      <c r="I222" s="466" t="n"/>
      <c r="J222" s="464" t="n"/>
      <c r="K222" s="463" t="n"/>
      <c r="L222" s="464" t="n"/>
      <c r="M222" s="464" t="n"/>
      <c r="N222" s="463" t="n"/>
      <c r="O222" s="464" t="n"/>
      <c r="P222" s="464" t="n"/>
      <c r="Q222" s="463" t="n"/>
      <c r="R222" s="468" t="n"/>
    </row>
    <row r="223">
      <c r="A223" s="463" t="n"/>
      <c r="B223" s="463" t="n"/>
      <c r="C223" s="465" t="n"/>
      <c r="D223" s="465" t="n"/>
      <c r="E223" s="466" t="n"/>
      <c r="F223" s="466" t="n"/>
      <c r="G223" s="466" t="n"/>
      <c r="H223" s="467" t="n"/>
      <c r="I223" s="466" t="n"/>
      <c r="J223" s="464" t="n"/>
      <c r="K223" s="463" t="n"/>
      <c r="L223" s="464" t="n"/>
      <c r="M223" s="464" t="n"/>
      <c r="N223" s="463" t="n"/>
      <c r="O223" s="464" t="n"/>
      <c r="P223" s="464" t="n"/>
      <c r="Q223" s="463" t="n"/>
      <c r="R223" s="468" t="n"/>
    </row>
    <row r="224">
      <c r="A224" s="463" t="n"/>
      <c r="B224" s="463" t="n"/>
      <c r="C224" s="465" t="n"/>
      <c r="D224" s="465" t="n"/>
      <c r="E224" s="466" t="n"/>
      <c r="F224" s="466" t="n"/>
      <c r="G224" s="466" t="n"/>
      <c r="H224" s="467" t="n"/>
      <c r="I224" s="466" t="n"/>
      <c r="J224" s="464" t="n"/>
      <c r="K224" s="463" t="n"/>
      <c r="L224" s="464" t="n"/>
      <c r="M224" s="464" t="n"/>
      <c r="N224" s="463" t="n"/>
      <c r="O224" s="464" t="n"/>
      <c r="P224" s="464" t="n"/>
      <c r="Q224" s="463" t="n"/>
      <c r="R224" s="468" t="n"/>
    </row>
    <row r="225">
      <c r="A225" s="463" t="n"/>
      <c r="B225" s="463" t="n"/>
      <c r="C225" s="465" t="n"/>
      <c r="D225" s="465" t="n"/>
      <c r="E225" s="466" t="n"/>
      <c r="F225" s="466" t="n"/>
      <c r="G225" s="466" t="n"/>
      <c r="H225" s="467" t="n"/>
      <c r="I225" s="466" t="n"/>
      <c r="J225" s="464" t="n"/>
      <c r="K225" s="463" t="n"/>
      <c r="L225" s="464" t="n"/>
      <c r="M225" s="464" t="n"/>
      <c r="N225" s="463" t="n"/>
      <c r="O225" s="464" t="n"/>
      <c r="P225" s="464" t="n"/>
      <c r="Q225" s="463" t="n"/>
      <c r="R225" s="468" t="n"/>
    </row>
    <row r="226">
      <c r="A226" s="463" t="n"/>
      <c r="B226" s="463" t="n"/>
      <c r="C226" s="465" t="n"/>
      <c r="D226" s="465" t="n"/>
      <c r="E226" s="466" t="n"/>
      <c r="F226" s="466" t="n"/>
      <c r="G226" s="466" t="n"/>
      <c r="H226" s="467" t="n"/>
      <c r="I226" s="466" t="n"/>
      <c r="J226" s="464" t="n"/>
      <c r="K226" s="463" t="n"/>
      <c r="L226" s="464" t="n"/>
      <c r="M226" s="464" t="n"/>
      <c r="N226" s="463" t="n"/>
      <c r="O226" s="464" t="n"/>
      <c r="P226" s="464" t="n"/>
      <c r="Q226" s="463" t="n"/>
      <c r="R226" s="468" t="n"/>
    </row>
    <row r="227">
      <c r="A227" s="463" t="n"/>
      <c r="B227" s="463" t="n"/>
      <c r="C227" s="465" t="n"/>
      <c r="D227" s="465" t="n"/>
      <c r="E227" s="466" t="n"/>
      <c r="F227" s="466" t="n"/>
      <c r="G227" s="466" t="n"/>
      <c r="H227" s="467" t="n"/>
      <c r="I227" s="466" t="n"/>
      <c r="J227" s="464" t="n"/>
      <c r="K227" s="463" t="n"/>
      <c r="L227" s="464" t="n"/>
      <c r="M227" s="464" t="n"/>
      <c r="N227" s="463" t="n"/>
      <c r="O227" s="464" t="n"/>
      <c r="P227" s="464" t="n"/>
      <c r="Q227" s="463" t="n"/>
      <c r="R227" s="468" t="n"/>
    </row>
    <row r="228">
      <c r="A228" s="463" t="n"/>
      <c r="B228" s="463" t="n"/>
      <c r="C228" s="465" t="n"/>
      <c r="D228" s="465" t="n"/>
      <c r="E228" s="466" t="n"/>
      <c r="F228" s="466" t="n"/>
      <c r="G228" s="466" t="n"/>
      <c r="H228" s="467" t="n"/>
      <c r="I228" s="466" t="n"/>
      <c r="J228" s="464" t="n"/>
      <c r="K228" s="463" t="n"/>
      <c r="L228" s="464" t="n"/>
      <c r="M228" s="464" t="n"/>
      <c r="N228" s="463" t="n"/>
      <c r="O228" s="464" t="n"/>
      <c r="P228" s="464" t="n"/>
      <c r="Q228" s="463" t="n"/>
      <c r="R228" s="468" t="n"/>
    </row>
    <row r="229">
      <c r="A229" s="463" t="n"/>
      <c r="B229" s="463" t="n"/>
      <c r="C229" s="465" t="n"/>
      <c r="D229" s="465" t="n"/>
      <c r="E229" s="466" t="n"/>
      <c r="F229" s="466" t="n"/>
      <c r="G229" s="466" t="n"/>
      <c r="H229" s="467" t="n"/>
      <c r="I229" s="466" t="n"/>
      <c r="J229" s="464" t="n"/>
      <c r="K229" s="463" t="n"/>
      <c r="L229" s="464" t="n"/>
      <c r="M229" s="464" t="n"/>
      <c r="N229" s="463" t="n"/>
      <c r="O229" s="464" t="n"/>
      <c r="P229" s="464" t="n"/>
      <c r="Q229" s="463" t="n"/>
      <c r="R229" s="468" t="n"/>
    </row>
    <row r="230">
      <c r="A230" s="463" t="n"/>
      <c r="B230" s="463" t="n"/>
      <c r="C230" s="465" t="n"/>
      <c r="D230" s="465" t="n"/>
      <c r="E230" s="466" t="n"/>
      <c r="F230" s="466" t="n"/>
      <c r="G230" s="466" t="n"/>
      <c r="H230" s="467" t="n"/>
      <c r="I230" s="466" t="n"/>
      <c r="J230" s="464" t="n"/>
      <c r="K230" s="463" t="n"/>
      <c r="L230" s="464" t="n"/>
      <c r="M230" s="464" t="n"/>
      <c r="N230" s="463" t="n"/>
      <c r="O230" s="464" t="n"/>
      <c r="P230" s="464" t="n"/>
      <c r="Q230" s="463" t="n"/>
      <c r="R230" s="468" t="n"/>
    </row>
    <row r="231">
      <c r="A231" s="463" t="n"/>
      <c r="B231" s="463" t="n"/>
      <c r="C231" s="465" t="n"/>
      <c r="D231" s="465" t="n"/>
      <c r="E231" s="466" t="n"/>
      <c r="F231" s="466" t="n"/>
      <c r="G231" s="466" t="n"/>
      <c r="H231" s="467" t="n"/>
      <c r="I231" s="466" t="n"/>
      <c r="J231" s="464" t="n"/>
      <c r="K231" s="463" t="n"/>
      <c r="L231" s="464" t="n"/>
      <c r="M231" s="464" t="n"/>
      <c r="N231" s="463" t="n"/>
      <c r="O231" s="464" t="n"/>
      <c r="P231" s="464" t="n"/>
      <c r="Q231" s="463" t="n"/>
      <c r="R231" s="468" t="n"/>
    </row>
    <row r="232">
      <c r="A232" s="463" t="n"/>
      <c r="B232" s="463" t="n"/>
      <c r="C232" s="465" t="n"/>
      <c r="D232" s="465" t="n"/>
      <c r="E232" s="466" t="n"/>
      <c r="F232" s="466" t="n"/>
      <c r="G232" s="466" t="n"/>
      <c r="H232" s="467" t="n"/>
      <c r="I232" s="466" t="n"/>
      <c r="J232" s="464" t="n"/>
      <c r="K232" s="463" t="n"/>
      <c r="L232" s="464" t="n"/>
      <c r="M232" s="464" t="n"/>
      <c r="N232" s="463" t="n"/>
      <c r="O232" s="464" t="n"/>
      <c r="P232" s="464" t="n"/>
      <c r="Q232" s="463" t="n"/>
      <c r="R232" s="468" t="n"/>
    </row>
    <row r="233">
      <c r="A233" s="463" t="n"/>
      <c r="B233" s="463" t="n"/>
      <c r="C233" s="465" t="n"/>
      <c r="D233" s="465" t="n"/>
      <c r="E233" s="466" t="n"/>
      <c r="F233" s="466" t="n"/>
      <c r="G233" s="466" t="n"/>
      <c r="H233" s="467" t="n"/>
      <c r="I233" s="466" t="n"/>
      <c r="J233" s="464" t="n"/>
      <c r="K233" s="463" t="n"/>
      <c r="L233" s="464" t="n"/>
      <c r="M233" s="464" t="n"/>
      <c r="N233" s="463" t="n"/>
      <c r="O233" s="464" t="n"/>
      <c r="P233" s="464" t="n"/>
      <c r="Q233" s="463" t="n"/>
      <c r="R233" s="468" t="n"/>
    </row>
    <row r="234">
      <c r="A234" s="463" t="n"/>
      <c r="B234" s="463" t="n"/>
      <c r="C234" s="465" t="n"/>
      <c r="D234" s="465" t="n"/>
      <c r="E234" s="466" t="n"/>
      <c r="F234" s="466" t="n"/>
      <c r="G234" s="466" t="n"/>
      <c r="H234" s="467" t="n"/>
      <c r="I234" s="466" t="n"/>
      <c r="J234" s="464" t="n"/>
      <c r="K234" s="463" t="n"/>
      <c r="L234" s="464" t="n"/>
      <c r="M234" s="464" t="n"/>
      <c r="N234" s="463" t="n"/>
      <c r="O234" s="464" t="n"/>
      <c r="P234" s="464" t="n"/>
      <c r="Q234" s="463" t="n"/>
      <c r="R234" s="468" t="n"/>
    </row>
    <row r="235">
      <c r="A235" s="463" t="n"/>
      <c r="B235" s="463" t="n"/>
      <c r="C235" s="465" t="n"/>
      <c r="D235" s="465" t="n"/>
      <c r="E235" s="466" t="n"/>
      <c r="F235" s="466" t="n"/>
      <c r="G235" s="466" t="n"/>
      <c r="H235" s="467" t="n"/>
      <c r="I235" s="466" t="n"/>
      <c r="J235" s="464" t="n"/>
      <c r="K235" s="463" t="n"/>
      <c r="L235" s="464" t="n"/>
      <c r="M235" s="464" t="n"/>
      <c r="N235" s="463" t="n"/>
      <c r="O235" s="464" t="n"/>
      <c r="P235" s="464" t="n"/>
      <c r="Q235" s="463" t="n"/>
      <c r="R235" s="468" t="n"/>
    </row>
    <row r="236">
      <c r="A236" s="463" t="n"/>
      <c r="B236" s="463" t="n"/>
      <c r="C236" s="465" t="n"/>
      <c r="D236" s="465" t="n"/>
      <c r="E236" s="466" t="n"/>
      <c r="F236" s="466" t="n"/>
      <c r="G236" s="466" t="n"/>
      <c r="H236" s="467" t="n"/>
      <c r="I236" s="466" t="n"/>
      <c r="J236" s="464" t="n"/>
      <c r="K236" s="463" t="n"/>
      <c r="L236" s="464" t="n"/>
      <c r="M236" s="464" t="n"/>
      <c r="N236" s="463" t="n"/>
      <c r="O236" s="464" t="n"/>
      <c r="P236" s="464" t="n"/>
      <c r="Q236" s="463" t="n"/>
      <c r="R236" s="468" t="n"/>
    </row>
    <row r="237">
      <c r="A237" s="463" t="n"/>
      <c r="B237" s="463" t="n"/>
      <c r="C237" s="465" t="n"/>
      <c r="D237" s="465" t="n"/>
      <c r="E237" s="466" t="n"/>
      <c r="F237" s="466" t="n"/>
      <c r="G237" s="466" t="n"/>
      <c r="H237" s="467" t="n"/>
      <c r="I237" s="466" t="n"/>
      <c r="J237" s="464" t="n"/>
      <c r="K237" s="463" t="n"/>
      <c r="L237" s="464" t="n"/>
      <c r="M237" s="464" t="n"/>
      <c r="N237" s="463" t="n"/>
      <c r="O237" s="464" t="n"/>
      <c r="P237" s="464" t="n"/>
      <c r="Q237" s="463" t="n"/>
      <c r="R237" s="468" t="n"/>
    </row>
    <row r="238">
      <c r="A238" s="463" t="n"/>
      <c r="B238" s="463" t="n"/>
      <c r="C238" s="465" t="n"/>
      <c r="D238" s="465" t="n"/>
      <c r="E238" s="466" t="n"/>
      <c r="F238" s="466" t="n"/>
      <c r="G238" s="466" t="n"/>
      <c r="H238" s="467" t="n"/>
      <c r="I238" s="466" t="n"/>
      <c r="J238" s="464" t="n"/>
      <c r="K238" s="463" t="n"/>
      <c r="L238" s="464" t="n"/>
      <c r="M238" s="464" t="n"/>
      <c r="N238" s="463" t="n"/>
      <c r="O238" s="464" t="n"/>
      <c r="P238" s="464" t="n"/>
      <c r="Q238" s="463" t="n"/>
      <c r="R238" s="468" t="n"/>
    </row>
    <row r="239">
      <c r="A239" s="463" t="n"/>
      <c r="B239" s="463" t="n"/>
      <c r="C239" s="465" t="n"/>
      <c r="D239" s="465" t="n"/>
      <c r="E239" s="466" t="n"/>
      <c r="F239" s="466" t="n"/>
      <c r="G239" s="466" t="n"/>
      <c r="H239" s="467" t="n"/>
      <c r="I239" s="466" t="n"/>
      <c r="J239" s="464" t="n"/>
      <c r="K239" s="463" t="n"/>
      <c r="L239" s="464" t="n"/>
      <c r="M239" s="464" t="n"/>
      <c r="N239" s="463" t="n"/>
      <c r="O239" s="464" t="n"/>
      <c r="P239" s="464" t="n"/>
      <c r="Q239" s="463" t="n"/>
      <c r="R239" s="468" t="n"/>
    </row>
    <row r="240">
      <c r="A240" s="463" t="n"/>
      <c r="B240" s="463" t="n"/>
      <c r="C240" s="465" t="n"/>
      <c r="D240" s="465" t="n"/>
      <c r="E240" s="466" t="n"/>
      <c r="F240" s="466" t="n"/>
      <c r="G240" s="466" t="n"/>
      <c r="H240" s="467" t="n"/>
      <c r="I240" s="466" t="n"/>
      <c r="J240" s="464" t="n"/>
      <c r="K240" s="463" t="n"/>
      <c r="L240" s="464" t="n"/>
      <c r="M240" s="464" t="n"/>
      <c r="N240" s="463" t="n"/>
      <c r="O240" s="464" t="n"/>
      <c r="P240" s="464" t="n"/>
      <c r="Q240" s="463" t="n"/>
      <c r="R240" s="468" t="n"/>
    </row>
    <row r="241">
      <c r="A241" s="463" t="n"/>
      <c r="B241" s="463" t="n"/>
      <c r="C241" s="465" t="n"/>
      <c r="D241" s="465" t="n"/>
      <c r="E241" s="466" t="n"/>
      <c r="F241" s="466" t="n"/>
      <c r="G241" s="466" t="n"/>
      <c r="H241" s="467" t="n"/>
      <c r="I241" s="466" t="n"/>
      <c r="J241" s="464" t="n"/>
      <c r="K241" s="463" t="n"/>
      <c r="L241" s="464" t="n"/>
      <c r="M241" s="464" t="n"/>
      <c r="N241" s="463" t="n"/>
      <c r="O241" s="464" t="n"/>
      <c r="P241" s="464" t="n"/>
      <c r="Q241" s="463" t="n"/>
      <c r="R241" s="468" t="n"/>
    </row>
    <row r="242">
      <c r="A242" s="463" t="n"/>
      <c r="B242" s="463" t="n"/>
      <c r="C242" s="465" t="n"/>
      <c r="D242" s="465" t="n"/>
      <c r="E242" s="466" t="n"/>
      <c r="F242" s="466" t="n"/>
      <c r="G242" s="466" t="n"/>
      <c r="H242" s="467" t="n"/>
      <c r="I242" s="466" t="n"/>
      <c r="J242" s="464" t="n"/>
      <c r="K242" s="463" t="n"/>
      <c r="L242" s="464" t="n"/>
      <c r="M242" s="464" t="n"/>
      <c r="N242" s="463" t="n"/>
      <c r="O242" s="464" t="n"/>
      <c r="P242" s="464" t="n"/>
      <c r="Q242" s="463" t="n"/>
      <c r="R242" s="468" t="n"/>
    </row>
    <row r="243">
      <c r="A243" s="463" t="n"/>
      <c r="B243" s="463" t="n"/>
      <c r="C243" s="465" t="n"/>
      <c r="D243" s="465" t="n"/>
      <c r="E243" s="466" t="n"/>
      <c r="F243" s="466" t="n"/>
      <c r="G243" s="466" t="n"/>
      <c r="H243" s="467" t="n"/>
      <c r="I243" s="466" t="n"/>
      <c r="J243" s="464" t="n"/>
      <c r="K243" s="463" t="n"/>
      <c r="L243" s="464" t="n"/>
      <c r="M243" s="464" t="n"/>
      <c r="N243" s="463" t="n"/>
      <c r="O243" s="464" t="n"/>
      <c r="P243" s="464" t="n"/>
      <c r="Q243" s="463" t="n"/>
      <c r="R243" s="468" t="n"/>
    </row>
    <row r="244">
      <c r="A244" s="463" t="n"/>
      <c r="B244" s="463" t="n"/>
      <c r="C244" s="465" t="n"/>
      <c r="D244" s="465" t="n"/>
      <c r="E244" s="466" t="n"/>
      <c r="F244" s="466" t="n"/>
      <c r="G244" s="466" t="n"/>
      <c r="H244" s="467" t="n"/>
      <c r="I244" s="466" t="n"/>
      <c r="J244" s="464" t="n"/>
      <c r="K244" s="463" t="n"/>
      <c r="L244" s="464" t="n"/>
      <c r="M244" s="464" t="n"/>
      <c r="N244" s="463" t="n"/>
      <c r="O244" s="464" t="n"/>
      <c r="P244" s="464" t="n"/>
      <c r="Q244" s="463" t="n"/>
      <c r="R244" s="468" t="n"/>
    </row>
    <row r="245">
      <c r="A245" s="463" t="n"/>
      <c r="B245" s="463" t="n"/>
      <c r="C245" s="465" t="n"/>
      <c r="D245" s="465" t="n"/>
      <c r="E245" s="466" t="n"/>
      <c r="F245" s="466" t="n"/>
      <c r="G245" s="466" t="n"/>
      <c r="H245" s="467" t="n"/>
      <c r="I245" s="466" t="n"/>
      <c r="J245" s="464" t="n"/>
      <c r="K245" s="463" t="n"/>
      <c r="L245" s="464" t="n"/>
      <c r="M245" s="464" t="n"/>
      <c r="N245" s="463" t="n"/>
      <c r="O245" s="464" t="n"/>
      <c r="P245" s="464" t="n"/>
      <c r="Q245" s="463" t="n"/>
      <c r="R245" s="468" t="n"/>
    </row>
    <row r="246">
      <c r="A246" s="463" t="n"/>
      <c r="B246" s="463" t="n"/>
      <c r="C246" s="465" t="n"/>
      <c r="D246" s="465" t="n"/>
      <c r="E246" s="466" t="n"/>
      <c r="F246" s="466" t="n"/>
      <c r="G246" s="466" t="n"/>
      <c r="H246" s="467" t="n"/>
      <c r="I246" s="466" t="n"/>
      <c r="J246" s="464" t="n"/>
      <c r="K246" s="463" t="n"/>
      <c r="L246" s="464" t="n"/>
      <c r="M246" s="464" t="n"/>
      <c r="N246" s="463" t="n"/>
      <c r="O246" s="464" t="n"/>
      <c r="P246" s="464" t="n"/>
      <c r="Q246" s="463" t="n"/>
      <c r="R246" s="468" t="n"/>
    </row>
    <row r="247">
      <c r="A247" s="463" t="n"/>
      <c r="B247" s="463" t="n"/>
      <c r="C247" s="465" t="n"/>
      <c r="D247" s="465" t="n"/>
      <c r="E247" s="466" t="n"/>
      <c r="F247" s="466" t="n"/>
      <c r="G247" s="466" t="n"/>
      <c r="H247" s="467" t="n"/>
      <c r="I247" s="466" t="n"/>
      <c r="J247" s="464" t="n"/>
      <c r="K247" s="463" t="n"/>
      <c r="L247" s="464" t="n"/>
      <c r="M247" s="464" t="n"/>
      <c r="N247" s="463" t="n"/>
      <c r="O247" s="464" t="n"/>
      <c r="P247" s="464" t="n"/>
      <c r="Q247" s="463" t="n"/>
      <c r="R247" s="468" t="n"/>
    </row>
    <row r="248">
      <c r="A248" s="463" t="n"/>
      <c r="B248" s="463" t="n"/>
      <c r="C248" s="465" t="n"/>
      <c r="D248" s="465" t="n"/>
      <c r="E248" s="466" t="n"/>
      <c r="F248" s="466" t="n"/>
      <c r="G248" s="466" t="n"/>
      <c r="H248" s="467" t="n"/>
      <c r="I248" s="466" t="n"/>
      <c r="J248" s="464" t="n"/>
      <c r="K248" s="463" t="n"/>
      <c r="L248" s="464" t="n"/>
      <c r="M248" s="464" t="n"/>
      <c r="N248" s="463" t="n"/>
      <c r="O248" s="464" t="n"/>
      <c r="P248" s="464" t="n"/>
      <c r="Q248" s="463" t="n"/>
      <c r="R248" s="468" t="n"/>
    </row>
    <row r="249">
      <c r="A249" s="463" t="n"/>
      <c r="B249" s="463" t="n"/>
      <c r="C249" s="465" t="n"/>
      <c r="D249" s="465" t="n"/>
      <c r="E249" s="466" t="n"/>
      <c r="F249" s="466" t="n"/>
      <c r="G249" s="466" t="n"/>
      <c r="H249" s="467" t="n"/>
      <c r="I249" s="466" t="n"/>
      <c r="J249" s="464" t="n"/>
      <c r="K249" s="463" t="n"/>
      <c r="L249" s="464" t="n"/>
      <c r="M249" s="464" t="n"/>
      <c r="N249" s="463" t="n"/>
      <c r="O249" s="464" t="n"/>
      <c r="P249" s="464" t="n"/>
      <c r="Q249" s="463" t="n"/>
      <c r="R249" s="468" t="n"/>
    </row>
    <row r="250">
      <c r="A250" s="463" t="n"/>
      <c r="B250" s="463" t="n"/>
      <c r="C250" s="465" t="n"/>
      <c r="D250" s="465" t="n"/>
      <c r="E250" s="466" t="n"/>
      <c r="F250" s="466" t="n"/>
      <c r="G250" s="466" t="n"/>
      <c r="H250" s="467" t="n"/>
      <c r="I250" s="466" t="n"/>
      <c r="J250" s="464" t="n"/>
      <c r="K250" s="463" t="n"/>
      <c r="L250" s="464" t="n"/>
      <c r="M250" s="464" t="n"/>
      <c r="N250" s="463" t="n"/>
      <c r="O250" s="464" t="n"/>
      <c r="P250" s="464" t="n"/>
      <c r="Q250" s="463" t="n"/>
      <c r="R250" s="468" t="n"/>
    </row>
    <row r="251">
      <c r="A251" s="463" t="n"/>
      <c r="B251" s="463" t="n"/>
      <c r="C251" s="465" t="n"/>
      <c r="D251" s="465" t="n"/>
      <c r="E251" s="466" t="n"/>
      <c r="F251" s="466" t="n"/>
      <c r="G251" s="466" t="n"/>
      <c r="H251" s="467" t="n"/>
      <c r="I251" s="466" t="n"/>
      <c r="J251" s="464" t="n"/>
      <c r="K251" s="463" t="n"/>
      <c r="L251" s="464" t="n"/>
      <c r="M251" s="464" t="n"/>
      <c r="N251" s="463" t="n"/>
      <c r="O251" s="464" t="n"/>
      <c r="P251" s="464" t="n"/>
      <c r="Q251" s="463" t="n"/>
      <c r="R251" s="468" t="n"/>
    </row>
    <row r="252">
      <c r="A252" s="463" t="n"/>
      <c r="B252" s="463" t="n"/>
      <c r="C252" s="465" t="n"/>
      <c r="D252" s="465" t="n"/>
      <c r="E252" s="466" t="n"/>
      <c r="F252" s="466" t="n"/>
      <c r="G252" s="466" t="n"/>
      <c r="H252" s="467" t="n"/>
      <c r="I252" s="466" t="n"/>
      <c r="J252" s="464" t="n"/>
      <c r="K252" s="463" t="n"/>
      <c r="L252" s="464" t="n"/>
      <c r="M252" s="464" t="n"/>
      <c r="N252" s="463" t="n"/>
      <c r="O252" s="464" t="n"/>
      <c r="P252" s="464" t="n"/>
      <c r="Q252" s="463" t="n"/>
      <c r="R252" s="468" t="n"/>
    </row>
    <row r="253">
      <c r="A253" s="463" t="n"/>
      <c r="B253" s="463" t="n"/>
      <c r="C253" s="465" t="n"/>
      <c r="D253" s="465" t="n"/>
      <c r="E253" s="466" t="n"/>
      <c r="F253" s="466" t="n"/>
      <c r="G253" s="466" t="n"/>
      <c r="H253" s="467" t="n"/>
      <c r="I253" s="466" t="n"/>
      <c r="J253" s="464" t="n"/>
      <c r="K253" s="463" t="n"/>
      <c r="L253" s="464" t="n"/>
      <c r="M253" s="464" t="n"/>
      <c r="N253" s="463" t="n"/>
      <c r="O253" s="464" t="n"/>
      <c r="P253" s="464" t="n"/>
      <c r="Q253" s="463" t="n"/>
      <c r="R253" s="468" t="n"/>
    </row>
    <row r="254">
      <c r="A254" s="463" t="n"/>
      <c r="B254" s="463" t="n"/>
      <c r="C254" s="465" t="n"/>
      <c r="D254" s="465" t="n"/>
      <c r="E254" s="466" t="n"/>
      <c r="F254" s="466" t="n"/>
      <c r="G254" s="466" t="n"/>
      <c r="H254" s="467" t="n"/>
      <c r="I254" s="466" t="n"/>
      <c r="J254" s="464" t="n"/>
      <c r="K254" s="463" t="n"/>
      <c r="L254" s="464" t="n"/>
      <c r="M254" s="464" t="n"/>
      <c r="N254" s="463" t="n"/>
      <c r="O254" s="464" t="n"/>
      <c r="P254" s="464" t="n"/>
      <c r="Q254" s="463" t="n"/>
      <c r="R254" s="468" t="n"/>
    </row>
    <row r="255">
      <c r="A255" s="463" t="n"/>
      <c r="B255" s="463" t="n"/>
      <c r="C255" s="465" t="n"/>
      <c r="D255" s="465" t="n"/>
      <c r="E255" s="466" t="n"/>
      <c r="F255" s="466" t="n"/>
      <c r="G255" s="466" t="n"/>
      <c r="H255" s="467" t="n"/>
      <c r="I255" s="466" t="n"/>
      <c r="J255" s="464" t="n"/>
      <c r="K255" s="463" t="n"/>
      <c r="L255" s="464" t="n"/>
      <c r="M255" s="464" t="n"/>
      <c r="N255" s="463" t="n"/>
      <c r="O255" s="464" t="n"/>
      <c r="P255" s="464" t="n"/>
      <c r="Q255" s="463" t="n"/>
      <c r="R255" s="468" t="n"/>
    </row>
    <row r="256">
      <c r="A256" s="463" t="n"/>
      <c r="B256" s="463" t="n"/>
      <c r="C256" s="465" t="n"/>
      <c r="D256" s="465" t="n"/>
      <c r="E256" s="466" t="n"/>
      <c r="F256" s="466" t="n"/>
      <c r="G256" s="466" t="n"/>
      <c r="H256" s="467" t="n"/>
      <c r="I256" s="466" t="n"/>
      <c r="J256" s="464" t="n"/>
      <c r="K256" s="463" t="n"/>
      <c r="L256" s="464" t="n"/>
      <c r="M256" s="464" t="n"/>
      <c r="N256" s="463" t="n"/>
      <c r="O256" s="464" t="n"/>
      <c r="P256" s="464" t="n"/>
      <c r="Q256" s="463" t="n"/>
      <c r="R256" s="468" t="n"/>
    </row>
    <row r="257">
      <c r="A257" s="463" t="n"/>
      <c r="B257" s="463" t="n"/>
      <c r="C257" s="465" t="n"/>
      <c r="D257" s="465" t="n"/>
      <c r="E257" s="466" t="n"/>
      <c r="F257" s="466" t="n"/>
      <c r="G257" s="466" t="n"/>
      <c r="H257" s="467" t="n"/>
      <c r="I257" s="466" t="n"/>
      <c r="J257" s="464" t="n"/>
      <c r="K257" s="463" t="n"/>
      <c r="L257" s="464" t="n"/>
      <c r="M257" s="464" t="n"/>
      <c r="N257" s="463" t="n"/>
      <c r="O257" s="464" t="n"/>
      <c r="P257" s="464" t="n"/>
      <c r="Q257" s="463" t="n"/>
      <c r="R257" s="468" t="n"/>
    </row>
    <row r="258">
      <c r="A258" s="463" t="n"/>
      <c r="B258" s="463" t="n"/>
      <c r="C258" s="465" t="n"/>
      <c r="D258" s="465" t="n"/>
      <c r="E258" s="466" t="n"/>
      <c r="F258" s="466" t="n"/>
      <c r="G258" s="466" t="n"/>
      <c r="H258" s="467" t="n"/>
      <c r="I258" s="466" t="n"/>
      <c r="J258" s="464" t="n"/>
      <c r="K258" s="463" t="n"/>
      <c r="L258" s="464" t="n"/>
      <c r="M258" s="464" t="n"/>
      <c r="N258" s="463" t="n"/>
      <c r="O258" s="464" t="n"/>
      <c r="P258" s="464" t="n"/>
      <c r="Q258" s="463" t="n"/>
      <c r="R258" s="468" t="n"/>
    </row>
    <row r="259">
      <c r="A259" s="463" t="n"/>
      <c r="B259" s="463" t="n"/>
      <c r="C259" s="465" t="n"/>
      <c r="D259" s="465" t="n"/>
      <c r="E259" s="466" t="n"/>
      <c r="F259" s="466" t="n"/>
      <c r="G259" s="466" t="n"/>
      <c r="H259" s="467" t="n"/>
      <c r="I259" s="466" t="n"/>
      <c r="J259" s="464" t="n"/>
      <c r="K259" s="463" t="n"/>
      <c r="L259" s="464" t="n"/>
      <c r="M259" s="464" t="n"/>
      <c r="N259" s="463" t="n"/>
      <c r="O259" s="464" t="n"/>
      <c r="P259" s="464" t="n"/>
      <c r="Q259" s="463" t="n"/>
      <c r="R259" s="468" t="n"/>
    </row>
    <row r="260">
      <c r="A260" s="463" t="n"/>
      <c r="B260" s="463" t="n"/>
      <c r="C260" s="465" t="n"/>
      <c r="D260" s="465" t="n"/>
      <c r="E260" s="466" t="n"/>
      <c r="F260" s="466" t="n"/>
      <c r="G260" s="466" t="n"/>
      <c r="H260" s="467" t="n"/>
      <c r="I260" s="466" t="n"/>
      <c r="J260" s="464" t="n"/>
      <c r="K260" s="463" t="n"/>
      <c r="L260" s="464" t="n"/>
      <c r="M260" s="464" t="n"/>
      <c r="N260" s="463" t="n"/>
      <c r="O260" s="464" t="n"/>
      <c r="P260" s="464" t="n"/>
      <c r="Q260" s="463" t="n"/>
      <c r="R260" s="468" t="n"/>
    </row>
    <row r="261">
      <c r="A261" s="463" t="n"/>
      <c r="B261" s="463" t="n"/>
      <c r="C261" s="465" t="n"/>
      <c r="D261" s="465" t="n"/>
      <c r="E261" s="466" t="n"/>
      <c r="F261" s="466" t="n"/>
      <c r="G261" s="466" t="n"/>
      <c r="H261" s="467" t="n"/>
      <c r="I261" s="466" t="n"/>
      <c r="J261" s="464" t="n"/>
      <c r="K261" s="463" t="n"/>
      <c r="L261" s="464" t="n"/>
      <c r="M261" s="464" t="n"/>
      <c r="N261" s="463" t="n"/>
      <c r="O261" s="464" t="n"/>
      <c r="P261" s="464" t="n"/>
      <c r="Q261" s="463" t="n"/>
      <c r="R261" s="468" t="n"/>
    </row>
    <row r="262">
      <c r="A262" s="463" t="n"/>
      <c r="B262" s="463" t="n"/>
      <c r="C262" s="465" t="n"/>
      <c r="D262" s="465" t="n"/>
      <c r="E262" s="466" t="n"/>
      <c r="F262" s="466" t="n"/>
      <c r="G262" s="466" t="n"/>
      <c r="H262" s="467" t="n"/>
      <c r="I262" s="466" t="n"/>
      <c r="J262" s="464" t="n"/>
      <c r="K262" s="463" t="n"/>
      <c r="L262" s="464" t="n"/>
      <c r="M262" s="464" t="n"/>
      <c r="N262" s="463" t="n"/>
      <c r="O262" s="464" t="n"/>
      <c r="P262" s="464" t="n"/>
      <c r="Q262" s="463" t="n"/>
      <c r="R262" s="468" t="n"/>
    </row>
    <row r="263">
      <c r="A263" s="463" t="n"/>
      <c r="B263" s="463" t="n"/>
      <c r="C263" s="465" t="n"/>
      <c r="D263" s="465" t="n"/>
      <c r="E263" s="466" t="n"/>
      <c r="F263" s="466" t="n"/>
      <c r="G263" s="466" t="n"/>
      <c r="H263" s="467" t="n"/>
      <c r="I263" s="466" t="n"/>
      <c r="J263" s="464" t="n"/>
      <c r="K263" s="463" t="n"/>
      <c r="L263" s="464" t="n"/>
      <c r="M263" s="464" t="n"/>
      <c r="N263" s="463" t="n"/>
      <c r="O263" s="464" t="n"/>
      <c r="P263" s="464" t="n"/>
      <c r="Q263" s="463" t="n"/>
      <c r="R263" s="468" t="n"/>
    </row>
    <row r="264">
      <c r="A264" s="463" t="n"/>
      <c r="B264" s="463" t="n"/>
      <c r="C264" s="465" t="n"/>
      <c r="D264" s="465" t="n"/>
      <c r="E264" s="466" t="n"/>
      <c r="F264" s="466" t="n"/>
      <c r="G264" s="466" t="n"/>
      <c r="H264" s="467" t="n"/>
      <c r="I264" s="466" t="n"/>
      <c r="J264" s="464" t="n"/>
      <c r="K264" s="463" t="n"/>
      <c r="L264" s="464" t="n"/>
      <c r="M264" s="464" t="n"/>
      <c r="N264" s="463" t="n"/>
      <c r="O264" s="464" t="n"/>
      <c r="P264" s="464" t="n"/>
      <c r="Q264" s="463" t="n"/>
      <c r="R264" s="468" t="n"/>
    </row>
    <row r="265">
      <c r="A265" s="463" t="n"/>
      <c r="B265" s="463" t="n"/>
      <c r="C265" s="465" t="n"/>
      <c r="D265" s="465" t="n"/>
      <c r="E265" s="466" t="n"/>
      <c r="F265" s="466" t="n"/>
      <c r="G265" s="466" t="n"/>
      <c r="H265" s="467" t="n"/>
      <c r="I265" s="466" t="n"/>
      <c r="J265" s="464" t="n"/>
      <c r="K265" s="463" t="n"/>
      <c r="L265" s="464" t="n"/>
      <c r="M265" s="464" t="n"/>
      <c r="N265" s="463" t="n"/>
      <c r="O265" s="464" t="n"/>
      <c r="P265" s="464" t="n"/>
      <c r="Q265" s="463" t="n"/>
      <c r="R265" s="468" t="n"/>
    </row>
    <row r="266">
      <c r="A266" s="463" t="n"/>
      <c r="B266" s="463" t="n"/>
      <c r="C266" s="465" t="n"/>
      <c r="D266" s="465" t="n"/>
      <c r="E266" s="466" t="n"/>
      <c r="F266" s="466" t="n"/>
      <c r="G266" s="466" t="n"/>
      <c r="H266" s="467" t="n"/>
      <c r="I266" s="466" t="n"/>
      <c r="J266" s="464" t="n"/>
      <c r="K266" s="463" t="n"/>
      <c r="L266" s="464" t="n"/>
      <c r="M266" s="464" t="n"/>
      <c r="N266" s="463" t="n"/>
      <c r="O266" s="464" t="n"/>
      <c r="P266" s="464" t="n"/>
      <c r="Q266" s="463" t="n"/>
      <c r="R266" s="468" t="n"/>
    </row>
    <row r="267">
      <c r="A267" s="463" t="n"/>
      <c r="B267" s="463" t="n"/>
      <c r="C267" s="465" t="n"/>
      <c r="D267" s="465" t="n"/>
      <c r="E267" s="466" t="n"/>
      <c r="F267" s="466" t="n"/>
      <c r="G267" s="466" t="n"/>
      <c r="H267" s="467" t="n"/>
      <c r="I267" s="466" t="n"/>
      <c r="J267" s="464" t="n"/>
      <c r="K267" s="463" t="n"/>
      <c r="L267" s="464" t="n"/>
      <c r="M267" s="464" t="n"/>
      <c r="N267" s="463" t="n"/>
      <c r="O267" s="464" t="n"/>
      <c r="P267" s="464" t="n"/>
      <c r="Q267" s="463" t="n"/>
      <c r="R267" s="468" t="n"/>
    </row>
    <row r="268">
      <c r="A268" s="463" t="n"/>
      <c r="B268" s="463" t="n"/>
      <c r="C268" s="465" t="n"/>
      <c r="D268" s="465" t="n"/>
      <c r="E268" s="466" t="n"/>
      <c r="F268" s="466" t="n"/>
      <c r="G268" s="466" t="n"/>
      <c r="H268" s="467" t="n"/>
      <c r="I268" s="466" t="n"/>
      <c r="J268" s="464" t="n"/>
      <c r="K268" s="463" t="n"/>
      <c r="L268" s="464" t="n"/>
      <c r="M268" s="464" t="n"/>
      <c r="N268" s="463" t="n"/>
      <c r="O268" s="464" t="n"/>
      <c r="P268" s="464" t="n"/>
      <c r="Q268" s="463" t="n"/>
      <c r="R268" s="468" t="n"/>
    </row>
    <row r="269">
      <c r="A269" s="463" t="n"/>
      <c r="B269" s="463" t="n"/>
      <c r="C269" s="465" t="n"/>
      <c r="D269" s="465" t="n"/>
      <c r="E269" s="466" t="n"/>
      <c r="F269" s="466" t="n"/>
      <c r="G269" s="466" t="n"/>
      <c r="H269" s="467" t="n"/>
      <c r="I269" s="466" t="n"/>
      <c r="J269" s="464" t="n"/>
      <c r="K269" s="463" t="n"/>
      <c r="L269" s="464" t="n"/>
      <c r="M269" s="464" t="n"/>
      <c r="N269" s="463" t="n"/>
      <c r="O269" s="464" t="n"/>
      <c r="P269" s="464" t="n"/>
      <c r="Q269" s="463" t="n"/>
      <c r="R269" s="468" t="n"/>
    </row>
    <row r="270">
      <c r="A270" s="463" t="n"/>
      <c r="B270" s="463" t="n"/>
      <c r="C270" s="465" t="n"/>
      <c r="D270" s="465" t="n"/>
      <c r="E270" s="466" t="n"/>
      <c r="F270" s="466" t="n"/>
      <c r="G270" s="466" t="n"/>
      <c r="H270" s="467" t="n"/>
      <c r="I270" s="466" t="n"/>
      <c r="J270" s="464" t="n"/>
      <c r="K270" s="463" t="n"/>
      <c r="L270" s="464" t="n"/>
      <c r="M270" s="464" t="n"/>
      <c r="N270" s="463" t="n"/>
      <c r="O270" s="464" t="n"/>
      <c r="P270" s="464" t="n"/>
      <c r="Q270" s="463" t="n"/>
      <c r="R270" s="468" t="n"/>
    </row>
    <row r="271">
      <c r="A271" s="463" t="n"/>
      <c r="B271" s="463" t="n"/>
      <c r="C271" s="465" t="n"/>
      <c r="D271" s="465" t="n"/>
      <c r="E271" s="466" t="n"/>
      <c r="F271" s="466" t="n"/>
      <c r="G271" s="466" t="n"/>
      <c r="H271" s="467" t="n"/>
      <c r="I271" s="466" t="n"/>
      <c r="J271" s="464" t="n"/>
      <c r="K271" s="463" t="n"/>
      <c r="L271" s="464" t="n"/>
      <c r="M271" s="464" t="n"/>
      <c r="N271" s="463" t="n"/>
      <c r="O271" s="464" t="n"/>
      <c r="P271" s="464" t="n"/>
      <c r="Q271" s="463" t="n"/>
      <c r="R271" s="468" t="n"/>
    </row>
    <row r="272">
      <c r="A272" s="463" t="n"/>
      <c r="B272" s="463" t="n"/>
      <c r="C272" s="465" t="n"/>
      <c r="D272" s="465" t="n"/>
      <c r="E272" s="466" t="n"/>
      <c r="F272" s="466" t="n"/>
      <c r="G272" s="466" t="n"/>
      <c r="H272" s="467" t="n"/>
      <c r="I272" s="466" t="n"/>
      <c r="J272" s="464" t="n"/>
      <c r="K272" s="463" t="n"/>
      <c r="L272" s="464" t="n"/>
      <c r="M272" s="464" t="n"/>
      <c r="N272" s="463" t="n"/>
      <c r="O272" s="464" t="n"/>
      <c r="P272" s="464" t="n"/>
      <c r="Q272" s="463" t="n"/>
      <c r="R272" s="468" t="n"/>
    </row>
    <row r="273">
      <c r="A273" s="463" t="n"/>
      <c r="B273" s="463" t="n"/>
      <c r="C273" s="465" t="n"/>
      <c r="D273" s="465" t="n"/>
      <c r="E273" s="466" t="n"/>
      <c r="F273" s="466" t="n"/>
      <c r="G273" s="466" t="n"/>
      <c r="H273" s="467" t="n"/>
      <c r="I273" s="466" t="n"/>
      <c r="J273" s="464" t="n"/>
      <c r="K273" s="463" t="n"/>
      <c r="L273" s="464" t="n"/>
      <c r="M273" s="464" t="n"/>
      <c r="N273" s="463" t="n"/>
      <c r="O273" s="464" t="n"/>
      <c r="P273" s="464" t="n"/>
      <c r="Q273" s="463" t="n"/>
      <c r="R273" s="468" t="n"/>
    </row>
    <row r="274">
      <c r="A274" s="463" t="n"/>
      <c r="B274" s="463" t="n"/>
      <c r="C274" s="465" t="n"/>
      <c r="D274" s="465" t="n"/>
      <c r="E274" s="466" t="n"/>
      <c r="F274" s="466" t="n"/>
      <c r="G274" s="466" t="n"/>
      <c r="H274" s="467" t="n"/>
      <c r="I274" s="466" t="n"/>
      <c r="J274" s="464" t="n"/>
      <c r="K274" s="463" t="n"/>
      <c r="L274" s="464" t="n"/>
      <c r="M274" s="464" t="n"/>
      <c r="N274" s="463" t="n"/>
      <c r="O274" s="464" t="n"/>
      <c r="P274" s="464" t="n"/>
      <c r="Q274" s="463" t="n"/>
      <c r="R274" s="468" t="n"/>
    </row>
    <row r="275">
      <c r="A275" s="463" t="n"/>
      <c r="B275" s="463" t="n"/>
      <c r="C275" s="465" t="n"/>
      <c r="D275" s="465" t="n"/>
      <c r="E275" s="466" t="n"/>
      <c r="F275" s="466" t="n"/>
      <c r="G275" s="466" t="n"/>
      <c r="H275" s="467" t="n"/>
      <c r="I275" s="466" t="n"/>
      <c r="J275" s="464" t="n"/>
      <c r="K275" s="463" t="n"/>
      <c r="L275" s="464" t="n"/>
      <c r="M275" s="464" t="n"/>
      <c r="N275" s="463" t="n"/>
      <c r="O275" s="464" t="n"/>
      <c r="P275" s="464" t="n"/>
      <c r="Q275" s="463" t="n"/>
      <c r="R275" s="468" t="n"/>
    </row>
    <row r="276">
      <c r="A276" s="463" t="n"/>
      <c r="B276" s="463" t="n"/>
      <c r="C276" s="465" t="n"/>
      <c r="D276" s="465" t="n"/>
      <c r="E276" s="466" t="n"/>
      <c r="F276" s="466" t="n"/>
      <c r="G276" s="466" t="n"/>
      <c r="H276" s="467" t="n"/>
      <c r="I276" s="466" t="n"/>
      <c r="J276" s="464" t="n"/>
      <c r="K276" s="463" t="n"/>
      <c r="L276" s="464" t="n"/>
      <c r="M276" s="464" t="n"/>
      <c r="N276" s="463" t="n"/>
      <c r="O276" s="464" t="n"/>
      <c r="P276" s="464" t="n"/>
      <c r="Q276" s="463" t="n"/>
      <c r="R276" s="468" t="n"/>
    </row>
    <row r="277">
      <c r="A277" s="463" t="n"/>
      <c r="B277" s="463" t="n"/>
      <c r="C277" s="465" t="n"/>
      <c r="D277" s="465" t="n"/>
      <c r="E277" s="466" t="n"/>
      <c r="F277" s="466" t="n"/>
      <c r="G277" s="466" t="n"/>
      <c r="H277" s="467" t="n"/>
      <c r="I277" s="466" t="n"/>
      <c r="J277" s="464" t="n"/>
      <c r="K277" s="463" t="n"/>
      <c r="L277" s="464" t="n"/>
      <c r="M277" s="464" t="n"/>
      <c r="N277" s="463" t="n"/>
      <c r="O277" s="464" t="n"/>
      <c r="P277" s="464" t="n"/>
      <c r="Q277" s="463" t="n"/>
      <c r="R277" s="468" t="n"/>
    </row>
    <row r="278">
      <c r="A278" s="463" t="n"/>
      <c r="B278" s="463" t="n"/>
      <c r="C278" s="465" t="n"/>
      <c r="D278" s="465" t="n"/>
      <c r="E278" s="466" t="n"/>
      <c r="F278" s="466" t="n"/>
      <c r="G278" s="466" t="n"/>
      <c r="H278" s="467" t="n"/>
      <c r="I278" s="466" t="n"/>
      <c r="J278" s="464" t="n"/>
      <c r="K278" s="463" t="n"/>
      <c r="L278" s="464" t="n"/>
      <c r="M278" s="464" t="n"/>
      <c r="N278" s="463" t="n"/>
      <c r="O278" s="464" t="n"/>
      <c r="P278" s="464" t="n"/>
      <c r="Q278" s="463" t="n"/>
      <c r="R278" s="468" t="n"/>
    </row>
    <row r="279">
      <c r="A279" s="463" t="n"/>
      <c r="B279" s="463" t="n"/>
      <c r="C279" s="465" t="n"/>
      <c r="D279" s="465" t="n"/>
      <c r="E279" s="466" t="n"/>
      <c r="F279" s="466" t="n"/>
      <c r="G279" s="466" t="n"/>
      <c r="H279" s="467" t="n"/>
      <c r="I279" s="466" t="n"/>
      <c r="J279" s="464" t="n"/>
      <c r="K279" s="463" t="n"/>
      <c r="L279" s="464" t="n"/>
      <c r="M279" s="464" t="n"/>
      <c r="N279" s="463" t="n"/>
      <c r="O279" s="464" t="n"/>
      <c r="P279" s="464" t="n"/>
      <c r="Q279" s="463" t="n"/>
      <c r="R279" s="468" t="n"/>
    </row>
    <row r="280">
      <c r="A280" s="463" t="n"/>
      <c r="B280" s="463" t="n"/>
      <c r="C280" s="465" t="n"/>
      <c r="D280" s="465" t="n"/>
      <c r="E280" s="466" t="n"/>
      <c r="F280" s="466" t="n"/>
      <c r="G280" s="466" t="n"/>
      <c r="H280" s="467" t="n"/>
      <c r="I280" s="466" t="n"/>
      <c r="J280" s="464" t="n"/>
      <c r="K280" s="463" t="n"/>
      <c r="L280" s="464" t="n"/>
      <c r="M280" s="464" t="n"/>
      <c r="N280" s="463" t="n"/>
      <c r="O280" s="464" t="n"/>
      <c r="P280" s="464" t="n"/>
      <c r="Q280" s="463" t="n"/>
      <c r="R280" s="468" t="n"/>
    </row>
    <row r="281">
      <c r="A281" s="463" t="n"/>
      <c r="B281" s="463" t="n"/>
      <c r="C281" s="465" t="n"/>
      <c r="D281" s="465" t="n"/>
      <c r="E281" s="466" t="n"/>
      <c r="F281" s="466" t="n"/>
      <c r="G281" s="466" t="n"/>
      <c r="H281" s="467" t="n"/>
      <c r="I281" s="466" t="n"/>
      <c r="J281" s="464" t="n"/>
      <c r="K281" s="463" t="n"/>
      <c r="L281" s="464" t="n"/>
      <c r="M281" s="464" t="n"/>
      <c r="N281" s="463" t="n"/>
      <c r="O281" s="464" t="n"/>
      <c r="P281" s="464" t="n"/>
      <c r="Q281" s="463" t="n"/>
      <c r="R281" s="468" t="n"/>
    </row>
    <row r="282">
      <c r="A282" s="463" t="n"/>
      <c r="B282" s="463" t="n"/>
      <c r="C282" s="465" t="n"/>
      <c r="D282" s="465" t="n"/>
      <c r="E282" s="466" t="n"/>
      <c r="F282" s="466" t="n"/>
      <c r="G282" s="466" t="n"/>
      <c r="H282" s="467" t="n"/>
      <c r="I282" s="466" t="n"/>
      <c r="J282" s="464" t="n"/>
      <c r="K282" s="463" t="n"/>
      <c r="L282" s="464" t="n"/>
      <c r="M282" s="464" t="n"/>
      <c r="N282" s="463" t="n"/>
      <c r="O282" s="464" t="n"/>
      <c r="P282" s="464" t="n"/>
      <c r="Q282" s="463" t="n"/>
      <c r="R282" s="468" t="n"/>
    </row>
    <row r="283">
      <c r="A283" s="463" t="n"/>
      <c r="B283" s="463" t="n"/>
      <c r="C283" s="465" t="n"/>
      <c r="D283" s="465" t="n"/>
      <c r="E283" s="466" t="n"/>
      <c r="F283" s="466" t="n"/>
      <c r="G283" s="466" t="n"/>
      <c r="H283" s="467" t="n"/>
      <c r="I283" s="466" t="n"/>
      <c r="J283" s="464" t="n"/>
      <c r="K283" s="463" t="n"/>
      <c r="L283" s="464" t="n"/>
      <c r="M283" s="464" t="n"/>
      <c r="N283" s="463" t="n"/>
      <c r="O283" s="464" t="n"/>
      <c r="P283" s="464" t="n"/>
      <c r="Q283" s="463" t="n"/>
      <c r="R283" s="468" t="n"/>
    </row>
    <row r="284">
      <c r="A284" s="463" t="n"/>
      <c r="B284" s="463" t="n"/>
      <c r="C284" s="465" t="n"/>
      <c r="D284" s="465" t="n"/>
      <c r="E284" s="466" t="n"/>
      <c r="F284" s="466" t="n"/>
      <c r="G284" s="466" t="n"/>
      <c r="H284" s="467" t="n"/>
      <c r="I284" s="466" t="n"/>
      <c r="J284" s="464" t="n"/>
      <c r="K284" s="463" t="n"/>
      <c r="L284" s="464" t="n"/>
      <c r="M284" s="464" t="n"/>
      <c r="N284" s="463" t="n"/>
      <c r="O284" s="464" t="n"/>
      <c r="P284" s="464" t="n"/>
      <c r="Q284" s="463" t="n"/>
      <c r="R284" s="468" t="n"/>
    </row>
    <row r="285">
      <c r="A285" s="463" t="n"/>
      <c r="B285" s="463" t="n"/>
      <c r="C285" s="465" t="n"/>
      <c r="D285" s="465" t="n"/>
      <c r="E285" s="466" t="n"/>
      <c r="F285" s="466" t="n"/>
      <c r="G285" s="466" t="n"/>
      <c r="H285" s="467" t="n"/>
      <c r="I285" s="466" t="n"/>
      <c r="J285" s="464" t="n"/>
      <c r="K285" s="463" t="n"/>
      <c r="L285" s="464" t="n"/>
      <c r="M285" s="464" t="n"/>
      <c r="N285" s="463" t="n"/>
      <c r="O285" s="464" t="n"/>
      <c r="P285" s="464" t="n"/>
      <c r="Q285" s="463" t="n"/>
      <c r="R285" s="468" t="n"/>
    </row>
    <row r="286">
      <c r="A286" s="463" t="n"/>
      <c r="B286" s="463" t="n"/>
      <c r="C286" s="465" t="n"/>
      <c r="D286" s="465" t="n"/>
      <c r="E286" s="466" t="n"/>
      <c r="F286" s="466" t="n"/>
      <c r="G286" s="466" t="n"/>
      <c r="H286" s="467" t="n"/>
      <c r="I286" s="466" t="n"/>
      <c r="J286" s="464" t="n"/>
      <c r="K286" s="463" t="n"/>
      <c r="L286" s="464" t="n"/>
      <c r="M286" s="464" t="n"/>
      <c r="N286" s="463" t="n"/>
      <c r="O286" s="464" t="n"/>
      <c r="P286" s="464" t="n"/>
      <c r="Q286" s="463" t="n"/>
      <c r="R286" s="468" t="n"/>
    </row>
    <row r="287">
      <c r="A287" s="463" t="n"/>
      <c r="B287" s="463" t="n"/>
      <c r="C287" s="465" t="n"/>
      <c r="D287" s="465" t="n"/>
      <c r="E287" s="466" t="n"/>
      <c r="F287" s="466" t="n"/>
      <c r="G287" s="466" t="n"/>
      <c r="H287" s="467" t="n"/>
      <c r="I287" s="466" t="n"/>
      <c r="J287" s="464" t="n"/>
      <c r="K287" s="463" t="n"/>
      <c r="L287" s="464" t="n"/>
      <c r="M287" s="464" t="n"/>
      <c r="N287" s="463" t="n"/>
      <c r="O287" s="464" t="n"/>
      <c r="P287" s="464" t="n"/>
      <c r="Q287" s="463" t="n"/>
      <c r="R287" s="468" t="n"/>
    </row>
    <row r="288">
      <c r="A288" s="463" t="n"/>
      <c r="B288" s="463" t="n"/>
      <c r="C288" s="465" t="n"/>
      <c r="D288" s="465" t="n"/>
      <c r="E288" s="466" t="n"/>
      <c r="F288" s="466" t="n"/>
      <c r="G288" s="466" t="n"/>
      <c r="H288" s="467" t="n"/>
      <c r="I288" s="466" t="n"/>
      <c r="J288" s="464" t="n"/>
      <c r="K288" s="463" t="n"/>
      <c r="L288" s="464" t="n"/>
      <c r="M288" s="464" t="n"/>
      <c r="N288" s="463" t="n"/>
      <c r="O288" s="464" t="n"/>
      <c r="P288" s="464" t="n"/>
      <c r="Q288" s="463" t="n"/>
      <c r="R288" s="468" t="n"/>
    </row>
    <row r="289">
      <c r="A289" s="463" t="n"/>
      <c r="B289" s="463" t="n"/>
      <c r="C289" s="465" t="n"/>
      <c r="D289" s="465" t="n"/>
      <c r="E289" s="466" t="n"/>
      <c r="F289" s="466" t="n"/>
      <c r="G289" s="466" t="n"/>
      <c r="H289" s="467" t="n"/>
      <c r="I289" s="466" t="n"/>
      <c r="J289" s="464" t="n"/>
      <c r="K289" s="463" t="n"/>
      <c r="L289" s="464" t="n"/>
      <c r="M289" s="464" t="n"/>
      <c r="N289" s="463" t="n"/>
      <c r="O289" s="464" t="n"/>
      <c r="P289" s="464" t="n"/>
      <c r="Q289" s="463" t="n"/>
      <c r="R289" s="468" t="n"/>
    </row>
    <row r="290">
      <c r="A290" s="463" t="n"/>
      <c r="B290" s="463" t="n"/>
      <c r="C290" s="465" t="n"/>
      <c r="D290" s="465" t="n"/>
      <c r="E290" s="466" t="n"/>
      <c r="F290" s="466" t="n"/>
      <c r="G290" s="466" t="n"/>
      <c r="H290" s="467" t="n"/>
      <c r="I290" s="466" t="n"/>
      <c r="J290" s="464" t="n"/>
      <c r="K290" s="463" t="n"/>
      <c r="L290" s="464" t="n"/>
      <c r="M290" s="464" t="n"/>
      <c r="N290" s="463" t="n"/>
      <c r="O290" s="464" t="n"/>
      <c r="P290" s="464" t="n"/>
      <c r="Q290" s="463" t="n"/>
      <c r="R290" s="468" t="n"/>
    </row>
    <row r="291">
      <c r="A291" s="463" t="n"/>
      <c r="B291" s="463" t="n"/>
      <c r="C291" s="465" t="n"/>
      <c r="D291" s="465" t="n"/>
      <c r="E291" s="466" t="n"/>
      <c r="F291" s="466" t="n"/>
      <c r="G291" s="466" t="n"/>
      <c r="H291" s="467" t="n"/>
      <c r="I291" s="466" t="n"/>
      <c r="J291" s="464" t="n"/>
      <c r="K291" s="463" t="n"/>
      <c r="L291" s="464" t="n"/>
      <c r="M291" s="464" t="n"/>
      <c r="N291" s="463" t="n"/>
      <c r="O291" s="464" t="n"/>
      <c r="P291" s="464" t="n"/>
      <c r="Q291" s="463" t="n"/>
      <c r="R291" s="468" t="n"/>
    </row>
    <row r="292">
      <c r="A292" s="463" t="n"/>
      <c r="B292" s="463" t="n"/>
      <c r="C292" s="465" t="n"/>
      <c r="D292" s="465" t="n"/>
      <c r="E292" s="466" t="n"/>
      <c r="F292" s="466" t="n"/>
      <c r="G292" s="466" t="n"/>
      <c r="H292" s="467" t="n"/>
      <c r="I292" s="466" t="n"/>
      <c r="J292" s="464" t="n"/>
      <c r="K292" s="463" t="n"/>
      <c r="L292" s="464" t="n"/>
      <c r="M292" s="464" t="n"/>
      <c r="N292" s="463" t="n"/>
      <c r="O292" s="464" t="n"/>
      <c r="P292" s="464" t="n"/>
      <c r="Q292" s="463" t="n"/>
      <c r="R292" s="468" t="n"/>
    </row>
    <row r="293">
      <c r="A293" s="463" t="n"/>
      <c r="B293" s="463" t="n"/>
      <c r="C293" s="465" t="n"/>
      <c r="D293" s="465" t="n"/>
      <c r="E293" s="466" t="n"/>
      <c r="F293" s="466" t="n"/>
      <c r="G293" s="466" t="n"/>
      <c r="H293" s="467" t="n"/>
      <c r="I293" s="466" t="n"/>
      <c r="J293" s="464" t="n"/>
      <c r="K293" s="463" t="n"/>
      <c r="L293" s="464" t="n"/>
      <c r="M293" s="464" t="n"/>
      <c r="N293" s="463" t="n"/>
      <c r="O293" s="464" t="n"/>
      <c r="P293" s="464" t="n"/>
      <c r="Q293" s="463" t="n"/>
      <c r="R293" s="468" t="n"/>
    </row>
    <row r="294">
      <c r="A294" s="463" t="n"/>
      <c r="B294" s="463" t="n"/>
      <c r="C294" s="465" t="n"/>
      <c r="D294" s="465" t="n"/>
      <c r="E294" s="466" t="n"/>
      <c r="F294" s="466" t="n"/>
      <c r="G294" s="466" t="n"/>
      <c r="H294" s="467" t="n"/>
      <c r="I294" s="466" t="n"/>
      <c r="J294" s="464" t="n"/>
      <c r="K294" s="463" t="n"/>
      <c r="L294" s="464" t="n"/>
      <c r="M294" s="464" t="n"/>
      <c r="N294" s="463" t="n"/>
      <c r="O294" s="464" t="n"/>
      <c r="P294" s="464" t="n"/>
      <c r="Q294" s="463" t="n"/>
      <c r="R294" s="468" t="n"/>
    </row>
    <row r="295">
      <c r="A295" s="463" t="n"/>
      <c r="B295" s="463" t="n"/>
      <c r="C295" s="465" t="n"/>
      <c r="D295" s="465" t="n"/>
      <c r="E295" s="466" t="n"/>
      <c r="F295" s="466" t="n"/>
      <c r="G295" s="466" t="n"/>
      <c r="H295" s="467" t="n"/>
      <c r="I295" s="466" t="n"/>
      <c r="J295" s="464" t="n"/>
      <c r="K295" s="463" t="n"/>
      <c r="L295" s="464" t="n"/>
      <c r="M295" s="464" t="n"/>
      <c r="N295" s="463" t="n"/>
      <c r="O295" s="464" t="n"/>
      <c r="P295" s="464" t="n"/>
      <c r="Q295" s="463" t="n"/>
      <c r="R295" s="468" t="n"/>
    </row>
    <row r="296">
      <c r="A296" s="463" t="n"/>
      <c r="B296" s="463" t="n"/>
      <c r="C296" s="465" t="n"/>
      <c r="D296" s="465" t="n"/>
      <c r="E296" s="466" t="n"/>
      <c r="F296" s="466" t="n"/>
      <c r="G296" s="466" t="n"/>
      <c r="H296" s="467" t="n"/>
      <c r="I296" s="466" t="n"/>
      <c r="J296" s="464" t="n"/>
      <c r="K296" s="463" t="n"/>
      <c r="L296" s="464" t="n"/>
      <c r="M296" s="464" t="n"/>
      <c r="N296" s="463" t="n"/>
      <c r="O296" s="464" t="n"/>
      <c r="P296" s="464" t="n"/>
      <c r="Q296" s="463" t="n"/>
      <c r="R296" s="468" t="n"/>
    </row>
    <row r="297">
      <c r="A297" s="463" t="n"/>
      <c r="B297" s="463" t="n"/>
      <c r="C297" s="465" t="n"/>
      <c r="D297" s="465" t="n"/>
      <c r="E297" s="466" t="n"/>
      <c r="F297" s="466" t="n"/>
      <c r="G297" s="466" t="n"/>
      <c r="H297" s="467" t="n"/>
      <c r="I297" s="466" t="n"/>
      <c r="J297" s="464" t="n"/>
      <c r="K297" s="463" t="n"/>
      <c r="L297" s="464" t="n"/>
      <c r="M297" s="464" t="n"/>
      <c r="N297" s="463" t="n"/>
      <c r="O297" s="464" t="n"/>
      <c r="P297" s="464" t="n"/>
      <c r="Q297" s="463" t="n"/>
      <c r="R297" s="468" t="n"/>
    </row>
    <row r="298">
      <c r="A298" s="463" t="n"/>
      <c r="B298" s="463" t="n"/>
      <c r="C298" s="465" t="n"/>
      <c r="D298" s="465" t="n"/>
      <c r="E298" s="466" t="n"/>
      <c r="F298" s="466" t="n"/>
      <c r="G298" s="466" t="n"/>
      <c r="H298" s="467" t="n"/>
      <c r="I298" s="466" t="n"/>
      <c r="J298" s="464" t="n"/>
      <c r="K298" s="463" t="n"/>
      <c r="L298" s="464" t="n"/>
      <c r="M298" s="464" t="n"/>
      <c r="N298" s="463" t="n"/>
      <c r="O298" s="464" t="n"/>
      <c r="P298" s="464" t="n"/>
      <c r="Q298" s="463" t="n"/>
      <c r="R298" s="468" t="n"/>
    </row>
    <row r="299">
      <c r="A299" s="463" t="n"/>
      <c r="B299" s="463" t="n"/>
      <c r="C299" s="465" t="n"/>
      <c r="D299" s="465" t="n"/>
      <c r="E299" s="466" t="n"/>
      <c r="F299" s="466" t="n"/>
      <c r="G299" s="466" t="n"/>
      <c r="H299" s="467" t="n"/>
      <c r="I299" s="466" t="n"/>
      <c r="J299" s="464" t="n"/>
      <c r="K299" s="463" t="n"/>
      <c r="L299" s="464" t="n"/>
      <c r="M299" s="464" t="n"/>
      <c r="N299" s="463" t="n"/>
      <c r="O299" s="464" t="n"/>
      <c r="P299" s="464" t="n"/>
      <c r="Q299" s="463" t="n"/>
      <c r="R299" s="468" t="n"/>
    </row>
    <row r="300">
      <c r="A300" s="463" t="n"/>
      <c r="B300" s="463" t="n"/>
      <c r="C300" s="465" t="n"/>
      <c r="D300" s="465" t="n"/>
      <c r="E300" s="466" t="n"/>
      <c r="F300" s="466" t="n"/>
      <c r="G300" s="466" t="n"/>
      <c r="H300" s="467" t="n"/>
      <c r="I300" s="466" t="n"/>
      <c r="J300" s="464" t="n"/>
      <c r="K300" s="463" t="n"/>
      <c r="L300" s="464" t="n"/>
      <c r="M300" s="464" t="n"/>
      <c r="N300" s="463" t="n"/>
      <c r="O300" s="464" t="n"/>
      <c r="P300" s="464" t="n"/>
      <c r="Q300" s="463" t="n"/>
      <c r="R300" s="468" t="n"/>
    </row>
    <row r="301">
      <c r="A301" s="463" t="n"/>
      <c r="B301" s="463" t="n"/>
      <c r="C301" s="465" t="n"/>
      <c r="D301" s="465" t="n"/>
      <c r="E301" s="466" t="n"/>
      <c r="F301" s="466" t="n"/>
      <c r="G301" s="466" t="n"/>
      <c r="H301" s="467" t="n"/>
      <c r="I301" s="466" t="n"/>
      <c r="J301" s="464" t="n"/>
      <c r="K301" s="463" t="n"/>
      <c r="L301" s="464" t="n"/>
      <c r="M301" s="464" t="n"/>
      <c r="N301" s="463" t="n"/>
      <c r="O301" s="464" t="n"/>
      <c r="P301" s="464" t="n"/>
      <c r="Q301" s="463" t="n"/>
      <c r="R301" s="468" t="n"/>
    </row>
    <row r="302">
      <c r="A302" s="463" t="n"/>
      <c r="B302" s="463" t="n"/>
      <c r="C302" s="465" t="n"/>
      <c r="D302" s="465" t="n"/>
      <c r="E302" s="466" t="n"/>
      <c r="F302" s="466" t="n"/>
      <c r="G302" s="466" t="n"/>
      <c r="H302" s="467" t="n"/>
      <c r="I302" s="466" t="n"/>
      <c r="J302" s="464" t="n"/>
      <c r="K302" s="463" t="n"/>
      <c r="L302" s="464" t="n"/>
      <c r="M302" s="464" t="n"/>
      <c r="N302" s="463" t="n"/>
      <c r="O302" s="464" t="n"/>
      <c r="P302" s="464" t="n"/>
      <c r="Q302" s="463" t="n"/>
      <c r="R302" s="468" t="n"/>
    </row>
    <row r="303">
      <c r="A303" s="463" t="n"/>
      <c r="B303" s="463" t="n"/>
      <c r="C303" s="465" t="n"/>
      <c r="D303" s="465" t="n"/>
      <c r="E303" s="466" t="n"/>
      <c r="F303" s="466" t="n"/>
      <c r="G303" s="466" t="n"/>
      <c r="H303" s="467" t="n"/>
      <c r="I303" s="466" t="n"/>
      <c r="J303" s="464" t="n"/>
      <c r="K303" s="463" t="n"/>
      <c r="L303" s="464" t="n"/>
      <c r="M303" s="464" t="n"/>
      <c r="N303" s="463" t="n"/>
      <c r="O303" s="464" t="n"/>
      <c r="P303" s="464" t="n"/>
      <c r="Q303" s="463" t="n"/>
      <c r="R303" s="468" t="n"/>
    </row>
    <row r="304">
      <c r="A304" s="463" t="n"/>
      <c r="B304" s="463" t="n"/>
      <c r="C304" s="465" t="n"/>
      <c r="D304" s="465" t="n"/>
      <c r="E304" s="466" t="n"/>
      <c r="F304" s="466" t="n"/>
      <c r="G304" s="466" t="n"/>
      <c r="H304" s="467" t="n"/>
      <c r="I304" s="466" t="n"/>
      <c r="J304" s="464" t="n"/>
      <c r="K304" s="463" t="n"/>
      <c r="L304" s="464" t="n"/>
      <c r="M304" s="464" t="n"/>
      <c r="N304" s="463" t="n"/>
      <c r="O304" s="464" t="n"/>
      <c r="P304" s="464" t="n"/>
      <c r="Q304" s="463" t="n"/>
      <c r="R304" s="468" t="n"/>
    </row>
    <row r="305">
      <c r="A305" s="463" t="n"/>
      <c r="B305" s="463" t="n"/>
      <c r="C305" s="465" t="n"/>
      <c r="D305" s="465" t="n"/>
      <c r="E305" s="466" t="n"/>
      <c r="F305" s="466" t="n"/>
      <c r="G305" s="466" t="n"/>
      <c r="H305" s="467" t="n"/>
      <c r="I305" s="466" t="n"/>
      <c r="J305" s="464" t="n"/>
      <c r="K305" s="463" t="n"/>
      <c r="L305" s="464" t="n"/>
      <c r="M305" s="464" t="n"/>
      <c r="N305" s="463" t="n"/>
      <c r="O305" s="464" t="n"/>
      <c r="P305" s="464" t="n"/>
      <c r="Q305" s="463" t="n"/>
      <c r="R305" s="468" t="n"/>
    </row>
    <row r="306">
      <c r="A306" s="463" t="n"/>
      <c r="B306" s="463" t="n"/>
      <c r="C306" s="465" t="n"/>
      <c r="D306" s="465" t="n"/>
      <c r="E306" s="466" t="n"/>
      <c r="F306" s="466" t="n"/>
      <c r="G306" s="466" t="n"/>
      <c r="H306" s="467" t="n"/>
      <c r="I306" s="466" t="n"/>
      <c r="J306" s="464" t="n"/>
      <c r="K306" s="463" t="n"/>
      <c r="L306" s="464" t="n"/>
      <c r="M306" s="464" t="n"/>
      <c r="N306" s="463" t="n"/>
      <c r="O306" s="464" t="n"/>
      <c r="P306" s="464" t="n"/>
      <c r="Q306" s="463" t="n"/>
      <c r="R306" s="468" t="n"/>
    </row>
    <row r="307">
      <c r="A307" s="463" t="n"/>
      <c r="B307" s="463" t="n"/>
      <c r="C307" s="465" t="n"/>
      <c r="D307" s="465" t="n"/>
      <c r="E307" s="466" t="n"/>
      <c r="F307" s="466" t="n"/>
      <c r="G307" s="466" t="n"/>
      <c r="H307" s="467" t="n"/>
      <c r="I307" s="466" t="n"/>
      <c r="J307" s="464" t="n"/>
      <c r="K307" s="463" t="n"/>
      <c r="L307" s="464" t="n"/>
      <c r="M307" s="464" t="n"/>
      <c r="N307" s="463" t="n"/>
      <c r="O307" s="464" t="n"/>
      <c r="P307" s="464" t="n"/>
      <c r="Q307" s="463" t="n"/>
      <c r="R307" s="468" t="n"/>
    </row>
    <row r="308">
      <c r="A308" s="463" t="n"/>
      <c r="B308" s="463" t="n"/>
      <c r="C308" s="465" t="n"/>
      <c r="D308" s="465" t="n"/>
      <c r="E308" s="466" t="n"/>
      <c r="F308" s="466" t="n"/>
      <c r="G308" s="466" t="n"/>
      <c r="H308" s="467" t="n"/>
      <c r="I308" s="466" t="n"/>
      <c r="J308" s="464" t="n"/>
      <c r="K308" s="463" t="n"/>
      <c r="L308" s="464" t="n"/>
      <c r="M308" s="464" t="n"/>
      <c r="N308" s="463" t="n"/>
      <c r="O308" s="464" t="n"/>
      <c r="P308" s="464" t="n"/>
      <c r="Q308" s="463" t="n"/>
      <c r="R308" s="468" t="n"/>
    </row>
    <row r="309">
      <c r="A309" s="463" t="n"/>
      <c r="B309" s="463" t="n"/>
      <c r="C309" s="465" t="n"/>
      <c r="D309" s="465" t="n"/>
      <c r="E309" s="466" t="n"/>
      <c r="F309" s="466" t="n"/>
      <c r="G309" s="466" t="n"/>
      <c r="H309" s="467" t="n"/>
      <c r="I309" s="466" t="n"/>
      <c r="J309" s="464" t="n"/>
      <c r="K309" s="463" t="n"/>
      <c r="L309" s="464" t="n"/>
      <c r="M309" s="464" t="n"/>
      <c r="N309" s="463" t="n"/>
      <c r="O309" s="464" t="n"/>
      <c r="P309" s="464" t="n"/>
      <c r="Q309" s="463" t="n"/>
      <c r="R309" s="468" t="n"/>
    </row>
    <row r="310">
      <c r="A310" s="463" t="n"/>
      <c r="B310" s="463" t="n"/>
      <c r="C310" s="465" t="n"/>
      <c r="D310" s="465" t="n"/>
      <c r="E310" s="466" t="n"/>
      <c r="F310" s="466" t="n"/>
      <c r="G310" s="466" t="n"/>
      <c r="H310" s="467" t="n"/>
      <c r="I310" s="466" t="n"/>
      <c r="J310" s="464" t="n"/>
      <c r="K310" s="463" t="n"/>
      <c r="L310" s="464" t="n"/>
      <c r="M310" s="464" t="n"/>
      <c r="N310" s="463" t="n"/>
      <c r="O310" s="464" t="n"/>
      <c r="P310" s="464" t="n"/>
      <c r="Q310" s="463" t="n"/>
      <c r="R310" s="468" t="n"/>
    </row>
    <row r="311">
      <c r="A311" s="463" t="n"/>
      <c r="B311" s="463" t="n"/>
      <c r="C311" s="465" t="n"/>
      <c r="D311" s="465" t="n"/>
      <c r="E311" s="466" t="n"/>
      <c r="F311" s="466" t="n"/>
      <c r="G311" s="466" t="n"/>
      <c r="H311" s="467" t="n"/>
      <c r="I311" s="466" t="n"/>
      <c r="J311" s="464" t="n"/>
      <c r="K311" s="463" t="n"/>
      <c r="L311" s="464" t="n"/>
      <c r="M311" s="464" t="n"/>
      <c r="N311" s="463" t="n"/>
      <c r="O311" s="464" t="n"/>
      <c r="P311" s="464" t="n"/>
      <c r="Q311" s="463" t="n"/>
      <c r="R311" s="468" t="n"/>
    </row>
    <row r="312">
      <c r="A312" s="463" t="n"/>
      <c r="B312" s="463" t="n"/>
      <c r="C312" s="465" t="n"/>
      <c r="D312" s="465" t="n"/>
      <c r="E312" s="466" t="n"/>
      <c r="F312" s="466" t="n"/>
      <c r="G312" s="466" t="n"/>
      <c r="H312" s="467" t="n"/>
      <c r="I312" s="466" t="n"/>
      <c r="J312" s="464" t="n"/>
      <c r="K312" s="463" t="n"/>
      <c r="L312" s="464" t="n"/>
      <c r="M312" s="464" t="n"/>
      <c r="N312" s="463" t="n"/>
      <c r="O312" s="464" t="n"/>
      <c r="P312" s="464" t="n"/>
      <c r="Q312" s="463" t="n"/>
      <c r="R312" s="468" t="n"/>
    </row>
    <row r="313">
      <c r="A313" s="463" t="n"/>
      <c r="B313" s="463" t="n"/>
      <c r="C313" s="465" t="n"/>
      <c r="D313" s="465" t="n"/>
      <c r="E313" s="466" t="n"/>
      <c r="F313" s="466" t="n"/>
      <c r="G313" s="466" t="n"/>
      <c r="H313" s="467" t="n"/>
      <c r="I313" s="466" t="n"/>
      <c r="J313" s="464" t="n"/>
      <c r="K313" s="463" t="n"/>
      <c r="L313" s="464" t="n"/>
      <c r="M313" s="464" t="n"/>
      <c r="N313" s="463" t="n"/>
      <c r="O313" s="464" t="n"/>
      <c r="P313" s="464" t="n"/>
      <c r="Q313" s="463" t="n"/>
      <c r="R313" s="468" t="n"/>
    </row>
    <row r="314">
      <c r="A314" s="463" t="n"/>
      <c r="B314" s="463" t="n"/>
      <c r="C314" s="465" t="n"/>
      <c r="D314" s="465" t="n"/>
      <c r="E314" s="466" t="n"/>
      <c r="F314" s="466" t="n"/>
      <c r="G314" s="466" t="n"/>
      <c r="H314" s="467" t="n"/>
      <c r="I314" s="466" t="n"/>
      <c r="J314" s="464" t="n"/>
      <c r="K314" s="463" t="n"/>
      <c r="L314" s="464" t="n"/>
      <c r="M314" s="464" t="n"/>
      <c r="N314" s="463" t="n"/>
      <c r="O314" s="464" t="n"/>
      <c r="P314" s="464" t="n"/>
      <c r="Q314" s="463" t="n"/>
      <c r="R314" s="468" t="n"/>
    </row>
    <row r="315">
      <c r="A315" s="463" t="n"/>
      <c r="B315" s="463" t="n"/>
      <c r="C315" s="465" t="n"/>
      <c r="D315" s="465" t="n"/>
      <c r="E315" s="466" t="n"/>
      <c r="F315" s="466" t="n"/>
      <c r="G315" s="466" t="n"/>
      <c r="H315" s="467" t="n"/>
      <c r="I315" s="466" t="n"/>
      <c r="J315" s="464" t="n"/>
      <c r="K315" s="463" t="n"/>
      <c r="L315" s="464" t="n"/>
      <c r="M315" s="464" t="n"/>
      <c r="N315" s="463" t="n"/>
      <c r="O315" s="464" t="n"/>
      <c r="P315" s="464" t="n"/>
      <c r="Q315" s="463" t="n"/>
      <c r="R315" s="468" t="n"/>
    </row>
    <row r="316">
      <c r="A316" s="463" t="n"/>
      <c r="B316" s="463" t="n"/>
      <c r="C316" s="465" t="n"/>
      <c r="D316" s="465" t="n"/>
      <c r="E316" s="466" t="n"/>
      <c r="F316" s="466" t="n"/>
      <c r="G316" s="466" t="n"/>
      <c r="H316" s="467" t="n"/>
      <c r="I316" s="466" t="n"/>
      <c r="J316" s="464" t="n"/>
      <c r="K316" s="463" t="n"/>
      <c r="L316" s="464" t="n"/>
      <c r="M316" s="464" t="n"/>
      <c r="N316" s="463" t="n"/>
      <c r="O316" s="464" t="n"/>
      <c r="P316" s="464" t="n"/>
      <c r="Q316" s="463" t="n"/>
      <c r="R316" s="468" t="n"/>
    </row>
    <row r="317">
      <c r="A317" s="463" t="n"/>
      <c r="B317" s="463" t="n"/>
      <c r="C317" s="465" t="n"/>
      <c r="D317" s="465" t="n"/>
      <c r="E317" s="466" t="n"/>
      <c r="F317" s="466" t="n"/>
      <c r="G317" s="466" t="n"/>
      <c r="H317" s="467" t="n"/>
      <c r="I317" s="466" t="n"/>
      <c r="J317" s="464" t="n"/>
      <c r="K317" s="463" t="n"/>
      <c r="L317" s="464" t="n"/>
      <c r="M317" s="464" t="n"/>
      <c r="N317" s="463" t="n"/>
      <c r="O317" s="464" t="n"/>
      <c r="P317" s="464" t="n"/>
      <c r="Q317" s="463" t="n"/>
      <c r="R317" s="468" t="n"/>
    </row>
    <row r="318">
      <c r="A318" s="463" t="n"/>
      <c r="B318" s="463" t="n"/>
      <c r="C318" s="465" t="n"/>
      <c r="D318" s="465" t="n"/>
      <c r="E318" s="466" t="n"/>
      <c r="F318" s="466" t="n"/>
      <c r="G318" s="466" t="n"/>
      <c r="H318" s="467" t="n"/>
      <c r="I318" s="466" t="n"/>
      <c r="J318" s="464" t="n"/>
      <c r="K318" s="463" t="n"/>
      <c r="L318" s="464" t="n"/>
      <c r="M318" s="464" t="n"/>
      <c r="N318" s="463" t="n"/>
      <c r="O318" s="464" t="n"/>
      <c r="P318" s="464" t="n"/>
      <c r="Q318" s="463" t="n"/>
      <c r="R318" s="468" t="n"/>
    </row>
    <row r="319">
      <c r="A319" s="463" t="n"/>
      <c r="B319" s="463" t="n"/>
      <c r="C319" s="465" t="n"/>
      <c r="D319" s="465" t="n"/>
      <c r="E319" s="466" t="n"/>
      <c r="F319" s="466" t="n"/>
      <c r="G319" s="466" t="n"/>
      <c r="H319" s="467" t="n"/>
      <c r="I319" s="466" t="n"/>
      <c r="J319" s="464" t="n"/>
      <c r="K319" s="463" t="n"/>
      <c r="L319" s="464" t="n"/>
      <c r="M319" s="464" t="n"/>
      <c r="N319" s="463" t="n"/>
      <c r="O319" s="464" t="n"/>
      <c r="P319" s="464" t="n"/>
      <c r="Q319" s="463" t="n"/>
      <c r="R319" s="468" t="n"/>
    </row>
    <row r="320">
      <c r="A320" s="463" t="n"/>
      <c r="B320" s="463" t="n"/>
      <c r="C320" s="465" t="n"/>
      <c r="D320" s="465" t="n"/>
      <c r="E320" s="466" t="n"/>
      <c r="F320" s="466" t="n"/>
      <c r="G320" s="466" t="n"/>
      <c r="H320" s="467" t="n"/>
      <c r="I320" s="466" t="n"/>
      <c r="J320" s="464" t="n"/>
      <c r="K320" s="463" t="n"/>
      <c r="L320" s="464" t="n"/>
      <c r="M320" s="464" t="n"/>
      <c r="N320" s="463" t="n"/>
      <c r="O320" s="464" t="n"/>
      <c r="P320" s="464" t="n"/>
      <c r="Q320" s="463" t="n"/>
      <c r="R320" s="468" t="n"/>
    </row>
    <row r="321">
      <c r="A321" s="463" t="n"/>
      <c r="B321" s="463" t="n"/>
      <c r="C321" s="465" t="n"/>
      <c r="D321" s="465" t="n"/>
      <c r="E321" s="466" t="n"/>
      <c r="F321" s="466" t="n"/>
      <c r="G321" s="466" t="n"/>
      <c r="H321" s="467" t="n"/>
      <c r="I321" s="466" t="n"/>
      <c r="J321" s="464" t="n"/>
      <c r="K321" s="463" t="n"/>
      <c r="L321" s="464" t="n"/>
      <c r="M321" s="464" t="n"/>
      <c r="N321" s="463" t="n"/>
      <c r="O321" s="464" t="n"/>
      <c r="P321" s="464" t="n"/>
      <c r="Q321" s="463" t="n"/>
      <c r="R321" s="468" t="n"/>
    </row>
    <row r="322">
      <c r="A322" s="463" t="n"/>
      <c r="B322" s="463" t="n"/>
      <c r="C322" s="465" t="n"/>
      <c r="D322" s="465" t="n"/>
      <c r="E322" s="466" t="n"/>
      <c r="F322" s="466" t="n"/>
      <c r="G322" s="466" t="n"/>
      <c r="H322" s="467" t="n"/>
      <c r="I322" s="466" t="n"/>
      <c r="J322" s="464" t="n"/>
      <c r="K322" s="463" t="n"/>
      <c r="L322" s="464" t="n"/>
      <c r="M322" s="464" t="n"/>
      <c r="N322" s="463" t="n"/>
      <c r="O322" s="464" t="n"/>
      <c r="P322" s="464" t="n"/>
      <c r="Q322" s="463" t="n"/>
      <c r="R322" s="468" t="n"/>
    </row>
    <row r="323">
      <c r="A323" s="463" t="n"/>
      <c r="B323" s="463" t="n"/>
      <c r="C323" s="465" t="n"/>
      <c r="D323" s="465" t="n"/>
      <c r="E323" s="466" t="n"/>
      <c r="F323" s="466" t="n"/>
      <c r="G323" s="466" t="n"/>
      <c r="H323" s="467" t="n"/>
      <c r="I323" s="466" t="n"/>
      <c r="J323" s="464" t="n"/>
      <c r="K323" s="463" t="n"/>
      <c r="L323" s="464" t="n"/>
      <c r="M323" s="464" t="n"/>
      <c r="N323" s="463" t="n"/>
      <c r="O323" s="464" t="n"/>
      <c r="P323" s="464" t="n"/>
      <c r="Q323" s="463" t="n"/>
      <c r="R323" s="468" t="n"/>
    </row>
    <row r="324">
      <c r="A324" s="463" t="n"/>
      <c r="B324" s="463" t="n"/>
      <c r="C324" s="465" t="n"/>
      <c r="D324" s="465" t="n"/>
      <c r="E324" s="466" t="n"/>
      <c r="F324" s="466" t="n"/>
      <c r="G324" s="466" t="n"/>
      <c r="H324" s="467" t="n"/>
      <c r="I324" s="466" t="n"/>
      <c r="J324" s="464" t="n"/>
      <c r="K324" s="463" t="n"/>
      <c r="L324" s="464" t="n"/>
      <c r="M324" s="464" t="n"/>
      <c r="N324" s="463" t="n"/>
      <c r="O324" s="464" t="n"/>
      <c r="P324" s="464" t="n"/>
      <c r="Q324" s="463" t="n"/>
      <c r="R324" s="468" t="n"/>
    </row>
    <row r="325">
      <c r="A325" s="463" t="n"/>
      <c r="B325" s="463" t="n"/>
      <c r="C325" s="465" t="n"/>
      <c r="D325" s="465" t="n"/>
      <c r="E325" s="466" t="n"/>
      <c r="F325" s="466" t="n"/>
      <c r="G325" s="466" t="n"/>
      <c r="H325" s="467" t="n"/>
      <c r="I325" s="466" t="n"/>
      <c r="J325" s="464" t="n"/>
      <c r="K325" s="463" t="n"/>
      <c r="L325" s="464" t="n"/>
      <c r="M325" s="464" t="n"/>
      <c r="N325" s="463" t="n"/>
      <c r="O325" s="464" t="n"/>
      <c r="P325" s="464" t="n"/>
      <c r="Q325" s="463" t="n"/>
      <c r="R325" s="468" t="n"/>
    </row>
    <row r="326">
      <c r="A326" s="463" t="n"/>
      <c r="B326" s="463" t="n"/>
      <c r="C326" s="465" t="n"/>
      <c r="D326" s="465" t="n"/>
      <c r="E326" s="466" t="n"/>
      <c r="F326" s="466" t="n"/>
      <c r="G326" s="466" t="n"/>
      <c r="H326" s="467" t="n"/>
      <c r="I326" s="466" t="n"/>
      <c r="J326" s="464" t="n"/>
      <c r="K326" s="463" t="n"/>
      <c r="L326" s="464" t="n"/>
      <c r="M326" s="464" t="n"/>
      <c r="N326" s="463" t="n"/>
      <c r="O326" s="464" t="n"/>
      <c r="P326" s="464" t="n"/>
      <c r="Q326" s="463" t="n"/>
      <c r="R326" s="468" t="n"/>
    </row>
    <row r="327">
      <c r="A327" s="463" t="n"/>
      <c r="B327" s="463" t="n"/>
      <c r="C327" s="465" t="n"/>
      <c r="D327" s="465" t="n"/>
      <c r="E327" s="466" t="n"/>
      <c r="F327" s="466" t="n"/>
      <c r="G327" s="466" t="n"/>
      <c r="H327" s="467" t="n"/>
      <c r="I327" s="466" t="n"/>
      <c r="J327" s="464" t="n"/>
      <c r="K327" s="463" t="n"/>
      <c r="L327" s="464" t="n"/>
      <c r="M327" s="464" t="n"/>
      <c r="N327" s="463" t="n"/>
      <c r="O327" s="464" t="n"/>
      <c r="P327" s="464" t="n"/>
      <c r="Q327" s="463" t="n"/>
      <c r="R327" s="468" t="n"/>
    </row>
    <row r="328">
      <c r="A328" s="463" t="n"/>
      <c r="B328" s="463" t="n"/>
      <c r="C328" s="465" t="n"/>
      <c r="D328" s="465" t="n"/>
      <c r="E328" s="466" t="n"/>
      <c r="F328" s="466" t="n"/>
      <c r="G328" s="466" t="n"/>
      <c r="H328" s="467" t="n"/>
      <c r="I328" s="466" t="n"/>
      <c r="J328" s="464" t="n"/>
      <c r="K328" s="463" t="n"/>
      <c r="L328" s="464" t="n"/>
      <c r="M328" s="464" t="n"/>
      <c r="N328" s="463" t="n"/>
      <c r="O328" s="464" t="n"/>
      <c r="P328" s="464" t="n"/>
      <c r="Q328" s="463" t="n"/>
      <c r="R328" s="468" t="n"/>
    </row>
    <row r="329">
      <c r="A329" s="463" t="n"/>
      <c r="B329" s="463" t="n"/>
      <c r="C329" s="465" t="n"/>
      <c r="D329" s="465" t="n"/>
      <c r="E329" s="466" t="n"/>
      <c r="F329" s="466" t="n"/>
      <c r="G329" s="466" t="n"/>
      <c r="H329" s="467" t="n"/>
      <c r="I329" s="466" t="n"/>
      <c r="J329" s="464" t="n"/>
      <c r="K329" s="463" t="n"/>
      <c r="L329" s="464" t="n"/>
      <c r="M329" s="464" t="n"/>
      <c r="N329" s="463" t="n"/>
      <c r="O329" s="464" t="n"/>
      <c r="P329" s="464" t="n"/>
      <c r="Q329" s="463" t="n"/>
      <c r="R329" s="468" t="n"/>
    </row>
    <row r="330">
      <c r="A330" s="463" t="n"/>
      <c r="B330" s="463" t="n"/>
      <c r="C330" s="465" t="n"/>
      <c r="D330" s="465" t="n"/>
      <c r="E330" s="466" t="n"/>
      <c r="F330" s="466" t="n"/>
      <c r="G330" s="466" t="n"/>
      <c r="H330" s="467" t="n"/>
      <c r="I330" s="466" t="n"/>
      <c r="J330" s="464" t="n"/>
      <c r="K330" s="463" t="n"/>
      <c r="L330" s="464" t="n"/>
      <c r="M330" s="464" t="n"/>
      <c r="N330" s="463" t="n"/>
      <c r="O330" s="464" t="n"/>
      <c r="P330" s="464" t="n"/>
      <c r="Q330" s="463" t="n"/>
      <c r="R330" s="468" t="n"/>
    </row>
    <row r="331">
      <c r="A331" s="463" t="n"/>
      <c r="B331" s="463" t="n"/>
      <c r="C331" s="465" t="n"/>
      <c r="D331" s="465" t="n"/>
      <c r="E331" s="466" t="n"/>
      <c r="F331" s="466" t="n"/>
      <c r="G331" s="466" t="n"/>
      <c r="H331" s="467" t="n"/>
      <c r="I331" s="466" t="n"/>
      <c r="J331" s="464" t="n"/>
      <c r="K331" s="463" t="n"/>
      <c r="L331" s="464" t="n"/>
      <c r="M331" s="464" t="n"/>
      <c r="N331" s="463" t="n"/>
      <c r="O331" s="464" t="n"/>
      <c r="P331" s="464" t="n"/>
      <c r="Q331" s="463" t="n"/>
      <c r="R331" s="468" t="n"/>
    </row>
    <row r="332">
      <c r="A332" s="463" t="n"/>
      <c r="B332" s="463" t="n"/>
      <c r="C332" s="465" t="n"/>
      <c r="D332" s="465" t="n"/>
      <c r="E332" s="466" t="n"/>
      <c r="F332" s="466" t="n"/>
      <c r="G332" s="466" t="n"/>
      <c r="H332" s="467" t="n"/>
      <c r="I332" s="466" t="n"/>
      <c r="J332" s="464" t="n"/>
      <c r="K332" s="463" t="n"/>
      <c r="L332" s="464" t="n"/>
      <c r="M332" s="464" t="n"/>
      <c r="N332" s="463" t="n"/>
      <c r="O332" s="464" t="n"/>
      <c r="P332" s="464" t="n"/>
      <c r="Q332" s="463" t="n"/>
      <c r="R332" s="468" t="n"/>
    </row>
    <row r="333">
      <c r="A333" s="463" t="n"/>
      <c r="B333" s="463" t="n"/>
      <c r="C333" s="465" t="n"/>
      <c r="D333" s="465" t="n"/>
      <c r="E333" s="466" t="n"/>
      <c r="F333" s="466" t="n"/>
      <c r="G333" s="466" t="n"/>
      <c r="H333" s="467" t="n"/>
      <c r="I333" s="466" t="n"/>
      <c r="J333" s="464" t="n"/>
      <c r="K333" s="463" t="n"/>
      <c r="L333" s="464" t="n"/>
      <c r="M333" s="464" t="n"/>
      <c r="N333" s="463" t="n"/>
      <c r="O333" s="464" t="n"/>
      <c r="P333" s="464" t="n"/>
      <c r="Q333" s="463" t="n"/>
      <c r="R333" s="468" t="n"/>
    </row>
    <row r="334">
      <c r="A334" s="463" t="n"/>
      <c r="B334" s="463" t="n"/>
      <c r="C334" s="465" t="n"/>
      <c r="D334" s="465" t="n"/>
      <c r="E334" s="466" t="n"/>
      <c r="F334" s="466" t="n"/>
      <c r="G334" s="466" t="n"/>
      <c r="H334" s="467" t="n"/>
      <c r="I334" s="466" t="n"/>
      <c r="J334" s="464" t="n"/>
      <c r="K334" s="463" t="n"/>
      <c r="L334" s="464" t="n"/>
      <c r="M334" s="464" t="n"/>
      <c r="N334" s="463" t="n"/>
      <c r="O334" s="464" t="n"/>
      <c r="P334" s="464" t="n"/>
      <c r="Q334" s="463" t="n"/>
      <c r="R334" s="468" t="n"/>
    </row>
    <row r="335">
      <c r="A335" s="463" t="n"/>
      <c r="B335" s="463" t="n"/>
      <c r="C335" s="465" t="n"/>
      <c r="D335" s="465" t="n"/>
      <c r="E335" s="466" t="n"/>
      <c r="F335" s="466" t="n"/>
      <c r="G335" s="466" t="n"/>
      <c r="H335" s="467" t="n"/>
      <c r="I335" s="466" t="n"/>
      <c r="J335" s="464" t="n"/>
      <c r="K335" s="463" t="n"/>
      <c r="L335" s="464" t="n"/>
      <c r="M335" s="464" t="n"/>
      <c r="N335" s="463" t="n"/>
      <c r="O335" s="464" t="n"/>
      <c r="P335" s="464" t="n"/>
      <c r="Q335" s="463" t="n"/>
      <c r="R335" s="468" t="n"/>
    </row>
    <row r="336">
      <c r="A336" s="463" t="n"/>
      <c r="B336" s="463" t="n"/>
      <c r="C336" s="465" t="n"/>
      <c r="D336" s="465" t="n"/>
      <c r="E336" s="466" t="n"/>
      <c r="F336" s="466" t="n"/>
      <c r="G336" s="466" t="n"/>
      <c r="H336" s="467" t="n"/>
      <c r="I336" s="466" t="n"/>
      <c r="J336" s="464" t="n"/>
      <c r="K336" s="463" t="n"/>
      <c r="L336" s="464" t="n"/>
      <c r="M336" s="464" t="n"/>
      <c r="N336" s="463" t="n"/>
      <c r="O336" s="464" t="n"/>
      <c r="P336" s="464" t="n"/>
      <c r="Q336" s="463" t="n"/>
      <c r="R336" s="468" t="n"/>
    </row>
    <row r="337">
      <c r="A337" s="463" t="n"/>
      <c r="B337" s="463" t="n"/>
      <c r="C337" s="465" t="n"/>
      <c r="D337" s="465" t="n"/>
      <c r="E337" s="466" t="n"/>
      <c r="F337" s="466" t="n"/>
      <c r="G337" s="466" t="n"/>
      <c r="H337" s="467" t="n"/>
      <c r="I337" s="466" t="n"/>
      <c r="J337" s="464" t="n"/>
      <c r="K337" s="463" t="n"/>
      <c r="L337" s="464" t="n"/>
      <c r="M337" s="464" t="n"/>
      <c r="N337" s="463" t="n"/>
      <c r="O337" s="464" t="n"/>
      <c r="P337" s="464" t="n"/>
      <c r="Q337" s="463" t="n"/>
      <c r="R337" s="468" t="n"/>
    </row>
    <row r="338">
      <c r="A338" s="463" t="n"/>
      <c r="B338" s="463" t="n"/>
      <c r="C338" s="465" t="n"/>
      <c r="D338" s="465" t="n"/>
      <c r="E338" s="466" t="n"/>
      <c r="F338" s="466" t="n"/>
      <c r="G338" s="466" t="n"/>
      <c r="H338" s="467" t="n"/>
      <c r="I338" s="466" t="n"/>
      <c r="J338" s="464" t="n"/>
      <c r="K338" s="463" t="n"/>
      <c r="L338" s="464" t="n"/>
      <c r="M338" s="464" t="n"/>
      <c r="N338" s="463" t="n"/>
      <c r="O338" s="464" t="n"/>
      <c r="P338" s="464" t="n"/>
      <c r="Q338" s="463" t="n"/>
      <c r="R338" s="468" t="n"/>
    </row>
    <row r="339">
      <c r="A339" s="463" t="n"/>
      <c r="B339" s="463" t="n"/>
      <c r="C339" s="465" t="n"/>
      <c r="D339" s="465" t="n"/>
      <c r="E339" s="466" t="n"/>
      <c r="F339" s="466" t="n"/>
      <c r="G339" s="466" t="n"/>
      <c r="H339" s="467" t="n"/>
      <c r="I339" s="466" t="n"/>
      <c r="J339" s="464" t="n"/>
      <c r="K339" s="463" t="n"/>
      <c r="L339" s="464" t="n"/>
      <c r="M339" s="464" t="n"/>
      <c r="N339" s="463" t="n"/>
      <c r="O339" s="464" t="n"/>
      <c r="P339" s="464" t="n"/>
      <c r="Q339" s="463" t="n"/>
      <c r="R339" s="468" t="n"/>
    </row>
    <row r="340">
      <c r="A340" s="463" t="n"/>
      <c r="B340" s="463" t="n"/>
      <c r="C340" s="465" t="n"/>
      <c r="D340" s="465" t="n"/>
      <c r="E340" s="466" t="n"/>
      <c r="F340" s="466" t="n"/>
      <c r="G340" s="466" t="n"/>
      <c r="H340" s="467" t="n"/>
      <c r="I340" s="466" t="n"/>
      <c r="J340" s="464" t="n"/>
      <c r="K340" s="463" t="n"/>
      <c r="L340" s="464" t="n"/>
      <c r="M340" s="464" t="n"/>
      <c r="N340" s="463" t="n"/>
      <c r="O340" s="464" t="n"/>
      <c r="P340" s="464" t="n"/>
      <c r="Q340" s="463" t="n"/>
      <c r="R340" s="468" t="n"/>
    </row>
    <row r="341">
      <c r="A341" s="463" t="n"/>
      <c r="B341" s="463" t="n"/>
      <c r="C341" s="465" t="n"/>
      <c r="D341" s="465" t="n"/>
      <c r="E341" s="466" t="n"/>
      <c r="F341" s="466" t="n"/>
      <c r="G341" s="466" t="n"/>
      <c r="H341" s="467" t="n"/>
      <c r="I341" s="466" t="n"/>
      <c r="J341" s="464" t="n"/>
      <c r="K341" s="463" t="n"/>
      <c r="L341" s="464" t="n"/>
      <c r="M341" s="464" t="n"/>
      <c r="N341" s="463" t="n"/>
      <c r="O341" s="464" t="n"/>
      <c r="P341" s="464" t="n"/>
      <c r="Q341" s="463" t="n"/>
      <c r="R341" s="468" t="n"/>
    </row>
    <row r="342">
      <c r="A342" s="463" t="n"/>
      <c r="B342" s="463" t="n"/>
      <c r="C342" s="465" t="n"/>
      <c r="D342" s="465" t="n"/>
      <c r="E342" s="466" t="n"/>
      <c r="F342" s="466" t="n"/>
      <c r="G342" s="466" t="n"/>
      <c r="H342" s="467" t="n"/>
      <c r="I342" s="466" t="n"/>
      <c r="J342" s="464" t="n"/>
      <c r="K342" s="463" t="n"/>
      <c r="L342" s="464" t="n"/>
      <c r="M342" s="464" t="n"/>
      <c r="N342" s="463" t="n"/>
      <c r="O342" s="464" t="n"/>
      <c r="P342" s="464" t="n"/>
      <c r="Q342" s="463" t="n"/>
      <c r="R342" s="468" t="n"/>
    </row>
    <row r="343">
      <c r="A343" s="463" t="n"/>
      <c r="B343" s="463" t="n"/>
      <c r="C343" s="465" t="n"/>
      <c r="D343" s="465" t="n"/>
      <c r="E343" s="466" t="n"/>
      <c r="F343" s="466" t="n"/>
      <c r="G343" s="466" t="n"/>
      <c r="H343" s="467" t="n"/>
      <c r="I343" s="466" t="n"/>
      <c r="J343" s="464" t="n"/>
      <c r="K343" s="463" t="n"/>
      <c r="L343" s="464" t="n"/>
      <c r="M343" s="464" t="n"/>
      <c r="N343" s="463" t="n"/>
      <c r="O343" s="464" t="n"/>
      <c r="P343" s="464" t="n"/>
      <c r="Q343" s="463" t="n"/>
      <c r="R343" s="468" t="n"/>
    </row>
    <row r="344">
      <c r="A344" s="463" t="n"/>
      <c r="B344" s="463" t="n"/>
      <c r="C344" s="465" t="n"/>
      <c r="D344" s="465" t="n"/>
      <c r="E344" s="466" t="n"/>
      <c r="F344" s="466" t="n"/>
      <c r="G344" s="466" t="n"/>
      <c r="H344" s="467" t="n"/>
      <c r="I344" s="466" t="n"/>
      <c r="J344" s="464" t="n"/>
      <c r="K344" s="463" t="n"/>
      <c r="L344" s="464" t="n"/>
      <c r="M344" s="464" t="n"/>
      <c r="N344" s="463" t="n"/>
      <c r="O344" s="464" t="n"/>
      <c r="P344" s="464" t="n"/>
      <c r="Q344" s="463" t="n"/>
      <c r="R344" s="468" t="n"/>
    </row>
    <row r="345">
      <c r="A345" s="463" t="n"/>
      <c r="B345" s="463" t="n"/>
      <c r="C345" s="465" t="n"/>
      <c r="D345" s="465" t="n"/>
      <c r="E345" s="466" t="n"/>
      <c r="F345" s="466" t="n"/>
      <c r="G345" s="466" t="n"/>
      <c r="H345" s="467" t="n"/>
      <c r="I345" s="466" t="n"/>
      <c r="J345" s="464" t="n"/>
      <c r="K345" s="463" t="n"/>
      <c r="L345" s="464" t="n"/>
      <c r="M345" s="464" t="n"/>
      <c r="N345" s="463" t="n"/>
      <c r="O345" s="464" t="n"/>
      <c r="P345" s="464" t="n"/>
      <c r="Q345" s="463" t="n"/>
      <c r="R345" s="468" t="n"/>
    </row>
    <row r="346">
      <c r="A346" s="463" t="n"/>
      <c r="B346" s="463" t="n"/>
      <c r="C346" s="465" t="n"/>
      <c r="D346" s="465" t="n"/>
      <c r="E346" s="466" t="n"/>
      <c r="F346" s="466" t="n"/>
      <c r="G346" s="466" t="n"/>
      <c r="H346" s="467" t="n"/>
      <c r="I346" s="466" t="n"/>
      <c r="J346" s="464" t="n"/>
      <c r="K346" s="463" t="n"/>
      <c r="L346" s="464" t="n"/>
      <c r="M346" s="464" t="n"/>
      <c r="N346" s="463" t="n"/>
      <c r="O346" s="464" t="n"/>
      <c r="P346" s="464" t="n"/>
      <c r="Q346" s="463" t="n"/>
      <c r="R346" s="468" t="n"/>
    </row>
    <row r="347">
      <c r="A347" s="463" t="n"/>
      <c r="B347" s="463" t="n"/>
      <c r="C347" s="465" t="n"/>
      <c r="D347" s="465" t="n"/>
      <c r="E347" s="466" t="n"/>
      <c r="F347" s="466" t="n"/>
      <c r="G347" s="466" t="n"/>
      <c r="H347" s="467" t="n"/>
      <c r="I347" s="466" t="n"/>
      <c r="J347" s="464" t="n"/>
      <c r="K347" s="463" t="n"/>
      <c r="L347" s="464" t="n"/>
      <c r="M347" s="464" t="n"/>
      <c r="N347" s="463" t="n"/>
      <c r="O347" s="464" t="n"/>
      <c r="P347" s="464" t="n"/>
      <c r="Q347" s="463" t="n"/>
      <c r="R347" s="468" t="n"/>
    </row>
    <row r="348">
      <c r="A348" s="463" t="n"/>
      <c r="B348" s="463" t="n"/>
      <c r="C348" s="465" t="n"/>
      <c r="D348" s="465" t="n"/>
      <c r="E348" s="466" t="n"/>
      <c r="F348" s="466" t="n"/>
      <c r="G348" s="466" t="n"/>
      <c r="H348" s="467" t="n"/>
      <c r="I348" s="466" t="n"/>
      <c r="J348" s="464" t="n"/>
      <c r="K348" s="463" t="n"/>
      <c r="L348" s="464" t="n"/>
      <c r="M348" s="464" t="n"/>
      <c r="N348" s="463" t="n"/>
      <c r="O348" s="464" t="n"/>
      <c r="P348" s="464" t="n"/>
      <c r="Q348" s="463" t="n"/>
      <c r="R348" s="468" t="n"/>
    </row>
    <row r="349">
      <c r="A349" s="463" t="n"/>
      <c r="B349" s="463" t="n"/>
      <c r="C349" s="465" t="n"/>
      <c r="D349" s="465" t="n"/>
      <c r="E349" s="466" t="n"/>
      <c r="F349" s="466" t="n"/>
      <c r="G349" s="466" t="n"/>
      <c r="H349" s="467" t="n"/>
      <c r="I349" s="466" t="n"/>
      <c r="J349" s="464" t="n"/>
      <c r="K349" s="463" t="n"/>
      <c r="L349" s="464" t="n"/>
      <c r="M349" s="464" t="n"/>
      <c r="N349" s="463" t="n"/>
      <c r="O349" s="464" t="n"/>
      <c r="P349" s="464" t="n"/>
      <c r="Q349" s="463" t="n"/>
      <c r="R349" s="468" t="n"/>
    </row>
    <row r="350">
      <c r="A350" s="463" t="n"/>
      <c r="B350" s="463" t="n"/>
      <c r="C350" s="465" t="n"/>
      <c r="D350" s="465" t="n"/>
      <c r="E350" s="466" t="n"/>
      <c r="F350" s="466" t="n"/>
      <c r="G350" s="466" t="n"/>
      <c r="H350" s="467" t="n"/>
      <c r="I350" s="466" t="n"/>
      <c r="J350" s="464" t="n"/>
      <c r="K350" s="463" t="n"/>
      <c r="L350" s="464" t="n"/>
      <c r="M350" s="464" t="n"/>
      <c r="N350" s="463" t="n"/>
      <c r="O350" s="464" t="n"/>
      <c r="P350" s="464" t="n"/>
      <c r="Q350" s="463" t="n"/>
      <c r="R350" s="468" t="n"/>
    </row>
    <row r="351">
      <c r="A351" s="463" t="n"/>
      <c r="B351" s="463" t="n"/>
      <c r="C351" s="465" t="n"/>
      <c r="D351" s="465" t="n"/>
      <c r="E351" s="466" t="n"/>
      <c r="F351" s="466" t="n"/>
      <c r="G351" s="466" t="n"/>
      <c r="H351" s="467" t="n"/>
      <c r="I351" s="466" t="n"/>
      <c r="J351" s="464" t="n"/>
      <c r="K351" s="463" t="n"/>
      <c r="L351" s="464" t="n"/>
      <c r="M351" s="464" t="n"/>
      <c r="N351" s="463" t="n"/>
      <c r="O351" s="464" t="n"/>
      <c r="P351" s="464" t="n"/>
      <c r="Q351" s="463" t="n"/>
      <c r="R351" s="468" t="n"/>
    </row>
    <row r="352">
      <c r="A352" s="463" t="n"/>
      <c r="B352" s="463" t="n"/>
      <c r="C352" s="465" t="n"/>
      <c r="D352" s="465" t="n"/>
      <c r="E352" s="466" t="n"/>
      <c r="F352" s="466" t="n"/>
      <c r="G352" s="466" t="n"/>
      <c r="H352" s="467" t="n"/>
      <c r="I352" s="466" t="n"/>
      <c r="J352" s="464" t="n"/>
      <c r="K352" s="463" t="n"/>
      <c r="L352" s="464" t="n"/>
      <c r="M352" s="464" t="n"/>
      <c r="N352" s="463" t="n"/>
      <c r="O352" s="464" t="n"/>
      <c r="P352" s="464" t="n"/>
      <c r="Q352" s="463" t="n"/>
      <c r="R352" s="468" t="n"/>
    </row>
    <row r="353">
      <c r="A353" s="463" t="n"/>
      <c r="B353" s="463" t="n"/>
      <c r="C353" s="465" t="n"/>
      <c r="D353" s="465" t="n"/>
      <c r="E353" s="466" t="n"/>
      <c r="F353" s="466" t="n"/>
      <c r="G353" s="466" t="n"/>
      <c r="H353" s="467" t="n"/>
      <c r="I353" s="466" t="n"/>
      <c r="J353" s="464" t="n"/>
      <c r="K353" s="463" t="n"/>
      <c r="L353" s="464" t="n"/>
      <c r="M353" s="464" t="n"/>
      <c r="N353" s="463" t="n"/>
      <c r="O353" s="464" t="n"/>
      <c r="P353" s="464" t="n"/>
      <c r="Q353" s="463" t="n"/>
      <c r="R353" s="468" t="n"/>
    </row>
    <row r="354">
      <c r="A354" s="463" t="n"/>
      <c r="B354" s="463" t="n"/>
      <c r="C354" s="465" t="n"/>
      <c r="D354" s="465" t="n"/>
      <c r="E354" s="466" t="n"/>
      <c r="F354" s="466" t="n"/>
      <c r="G354" s="466" t="n"/>
      <c r="H354" s="467" t="n"/>
      <c r="I354" s="466" t="n"/>
      <c r="J354" s="464" t="n"/>
      <c r="K354" s="463" t="n"/>
      <c r="L354" s="464" t="n"/>
      <c r="M354" s="464" t="n"/>
      <c r="N354" s="463" t="n"/>
      <c r="O354" s="464" t="n"/>
      <c r="P354" s="464" t="n"/>
      <c r="Q354" s="463" t="n"/>
      <c r="R354" s="468" t="n"/>
    </row>
    <row r="355">
      <c r="A355" s="463" t="n"/>
      <c r="B355" s="463" t="n"/>
      <c r="C355" s="465" t="n"/>
      <c r="D355" s="465" t="n"/>
      <c r="E355" s="466" t="n"/>
      <c r="F355" s="466" t="n"/>
      <c r="G355" s="466" t="n"/>
      <c r="H355" s="467" t="n"/>
      <c r="I355" s="466" t="n"/>
      <c r="J355" s="464" t="n"/>
      <c r="K355" s="463" t="n"/>
      <c r="L355" s="464" t="n"/>
      <c r="M355" s="464" t="n"/>
      <c r="N355" s="463" t="n"/>
      <c r="O355" s="464" t="n"/>
      <c r="P355" s="464" t="n"/>
      <c r="Q355" s="463" t="n"/>
      <c r="R355" s="468" t="n"/>
    </row>
    <row r="356">
      <c r="A356" s="463" t="n"/>
      <c r="B356" s="463" t="n"/>
      <c r="C356" s="465" t="n"/>
      <c r="D356" s="465" t="n"/>
      <c r="E356" s="466" t="n"/>
      <c r="F356" s="466" t="n"/>
      <c r="G356" s="466" t="n"/>
      <c r="H356" s="467" t="n"/>
      <c r="I356" s="466" t="n"/>
      <c r="J356" s="464" t="n"/>
      <c r="K356" s="463" t="n"/>
      <c r="L356" s="464" t="n"/>
      <c r="M356" s="464" t="n"/>
      <c r="N356" s="463" t="n"/>
      <c r="O356" s="464" t="n"/>
      <c r="P356" s="464" t="n"/>
      <c r="Q356" s="463" t="n"/>
      <c r="R356" s="468" t="n"/>
    </row>
    <row r="357">
      <c r="A357" s="463" t="n"/>
      <c r="B357" s="463" t="n"/>
      <c r="C357" s="465" t="n"/>
      <c r="D357" s="465" t="n"/>
      <c r="E357" s="466" t="n"/>
      <c r="F357" s="466" t="n"/>
      <c r="G357" s="466" t="n"/>
      <c r="H357" s="467" t="n"/>
      <c r="I357" s="466" t="n"/>
      <c r="J357" s="464" t="n"/>
      <c r="K357" s="463" t="n"/>
      <c r="L357" s="464" t="n"/>
      <c r="M357" s="464" t="n"/>
      <c r="N357" s="463" t="n"/>
      <c r="O357" s="464" t="n"/>
      <c r="P357" s="464" t="n"/>
      <c r="Q357" s="463" t="n"/>
      <c r="R357" s="468" t="n"/>
    </row>
    <row r="358">
      <c r="A358" s="463" t="n"/>
      <c r="B358" s="463" t="n"/>
      <c r="C358" s="465" t="n"/>
      <c r="D358" s="465" t="n"/>
      <c r="E358" s="466" t="n"/>
      <c r="F358" s="466" t="n"/>
      <c r="G358" s="466" t="n"/>
      <c r="H358" s="467" t="n"/>
      <c r="I358" s="466" t="n"/>
      <c r="J358" s="464" t="n"/>
      <c r="K358" s="463" t="n"/>
      <c r="L358" s="464" t="n"/>
      <c r="M358" s="464" t="n"/>
      <c r="N358" s="463" t="n"/>
      <c r="O358" s="464" t="n"/>
      <c r="P358" s="464" t="n"/>
      <c r="Q358" s="463" t="n"/>
      <c r="R358" s="468" t="n"/>
    </row>
    <row r="359">
      <c r="A359" s="463" t="n"/>
      <c r="B359" s="463" t="n"/>
      <c r="C359" s="465" t="n"/>
      <c r="D359" s="465" t="n"/>
      <c r="E359" s="466" t="n"/>
      <c r="F359" s="466" t="n"/>
      <c r="G359" s="466" t="n"/>
      <c r="H359" s="467" t="n"/>
      <c r="I359" s="466" t="n"/>
      <c r="J359" s="464" t="n"/>
      <c r="K359" s="463" t="n"/>
      <c r="L359" s="464" t="n"/>
      <c r="M359" s="464" t="n"/>
      <c r="N359" s="463" t="n"/>
      <c r="O359" s="464" t="n"/>
      <c r="P359" s="464" t="n"/>
      <c r="Q359" s="463" t="n"/>
      <c r="R359" s="468" t="n"/>
    </row>
    <row r="360">
      <c r="A360" s="463" t="n"/>
      <c r="B360" s="463" t="n"/>
      <c r="C360" s="465" t="n"/>
      <c r="D360" s="465" t="n"/>
      <c r="E360" s="466" t="n"/>
      <c r="F360" s="466" t="n"/>
      <c r="G360" s="466" t="n"/>
      <c r="H360" s="467" t="n"/>
      <c r="I360" s="466" t="n"/>
      <c r="J360" s="464" t="n"/>
      <c r="K360" s="463" t="n"/>
      <c r="L360" s="464" t="n"/>
      <c r="M360" s="464" t="n"/>
      <c r="N360" s="463" t="n"/>
      <c r="O360" s="464" t="n"/>
      <c r="P360" s="464" t="n"/>
      <c r="Q360" s="463" t="n"/>
      <c r="R360" s="468" t="n"/>
    </row>
    <row r="361">
      <c r="A361" s="463" t="n"/>
      <c r="B361" s="463" t="n"/>
      <c r="C361" s="465" t="n"/>
      <c r="D361" s="465" t="n"/>
      <c r="E361" s="466" t="n"/>
      <c r="F361" s="466" t="n"/>
      <c r="G361" s="466" t="n"/>
      <c r="H361" s="467" t="n"/>
      <c r="I361" s="466" t="n"/>
      <c r="J361" s="464" t="n"/>
      <c r="K361" s="463" t="n"/>
      <c r="L361" s="464" t="n"/>
      <c r="M361" s="464" t="n"/>
      <c r="N361" s="463" t="n"/>
      <c r="O361" s="464" t="n"/>
      <c r="P361" s="464" t="n"/>
      <c r="Q361" s="463" t="n"/>
      <c r="R361" s="468" t="n"/>
    </row>
    <row r="362">
      <c r="A362" s="463" t="n"/>
      <c r="B362" s="463" t="n"/>
      <c r="C362" s="465" t="n"/>
      <c r="D362" s="465" t="n"/>
      <c r="E362" s="466" t="n"/>
      <c r="F362" s="466" t="n"/>
      <c r="G362" s="466" t="n"/>
      <c r="H362" s="467" t="n"/>
      <c r="I362" s="466" t="n"/>
      <c r="J362" s="464" t="n"/>
      <c r="K362" s="463" t="n"/>
      <c r="L362" s="464" t="n"/>
      <c r="M362" s="464" t="n"/>
      <c r="N362" s="463" t="n"/>
      <c r="O362" s="464" t="n"/>
      <c r="P362" s="464" t="n"/>
      <c r="Q362" s="463" t="n"/>
      <c r="R362" s="468" t="n"/>
    </row>
    <row r="363">
      <c r="A363" s="463" t="n"/>
      <c r="B363" s="463" t="n"/>
      <c r="C363" s="465" t="n"/>
      <c r="D363" s="465" t="n"/>
      <c r="E363" s="466" t="n"/>
      <c r="F363" s="466" t="n"/>
      <c r="G363" s="466" t="n"/>
      <c r="H363" s="467" t="n"/>
      <c r="I363" s="466" t="n"/>
      <c r="J363" s="464" t="n"/>
      <c r="K363" s="463" t="n"/>
      <c r="L363" s="464" t="n"/>
      <c r="M363" s="464" t="n"/>
      <c r="N363" s="463" t="n"/>
      <c r="O363" s="464" t="n"/>
      <c r="P363" s="464" t="n"/>
      <c r="Q363" s="463" t="n"/>
      <c r="R363" s="468" t="n"/>
    </row>
    <row r="364">
      <c r="A364" s="463" t="n"/>
      <c r="B364" s="463" t="n"/>
      <c r="C364" s="465" t="n"/>
      <c r="D364" s="465" t="n"/>
      <c r="E364" s="466" t="n"/>
      <c r="F364" s="466" t="n"/>
      <c r="G364" s="466" t="n"/>
      <c r="H364" s="467" t="n"/>
      <c r="I364" s="466" t="n"/>
      <c r="J364" s="464" t="n"/>
      <c r="K364" s="463" t="n"/>
      <c r="L364" s="464" t="n"/>
      <c r="M364" s="464" t="n"/>
      <c r="N364" s="463" t="n"/>
      <c r="O364" s="464" t="n"/>
      <c r="P364" s="464" t="n"/>
      <c r="Q364" s="463" t="n"/>
      <c r="R364" s="468" t="n"/>
    </row>
    <row r="365">
      <c r="A365" s="463" t="n"/>
      <c r="B365" s="463" t="n"/>
      <c r="C365" s="465" t="n"/>
      <c r="D365" s="465" t="n"/>
      <c r="E365" s="466" t="n"/>
      <c r="F365" s="466" t="n"/>
      <c r="G365" s="466" t="n"/>
      <c r="H365" s="467" t="n"/>
      <c r="I365" s="466" t="n"/>
      <c r="J365" s="464" t="n"/>
      <c r="K365" s="463" t="n"/>
      <c r="L365" s="464" t="n"/>
      <c r="M365" s="464" t="n"/>
      <c r="N365" s="463" t="n"/>
      <c r="O365" s="464" t="n"/>
      <c r="P365" s="464" t="n"/>
      <c r="Q365" s="463" t="n"/>
      <c r="R365" s="468" t="n"/>
    </row>
    <row r="366">
      <c r="A366" s="463" t="n"/>
      <c r="B366" s="463" t="n"/>
      <c r="C366" s="465" t="n"/>
      <c r="D366" s="465" t="n"/>
      <c r="E366" s="466" t="n"/>
      <c r="F366" s="466" t="n"/>
      <c r="G366" s="466" t="n"/>
      <c r="H366" s="467" t="n"/>
      <c r="I366" s="466" t="n"/>
      <c r="J366" s="464" t="n"/>
      <c r="K366" s="463" t="n"/>
      <c r="L366" s="464" t="n"/>
      <c r="M366" s="464" t="n"/>
      <c r="N366" s="463" t="n"/>
      <c r="O366" s="464" t="n"/>
      <c r="P366" s="464" t="n"/>
      <c r="Q366" s="463" t="n"/>
      <c r="R366" s="468" t="n"/>
    </row>
    <row r="367">
      <c r="A367" s="463" t="n"/>
      <c r="B367" s="463" t="n"/>
      <c r="C367" s="465" t="n"/>
      <c r="D367" s="465" t="n"/>
      <c r="E367" s="466" t="n"/>
      <c r="F367" s="466" t="n"/>
      <c r="G367" s="466" t="n"/>
      <c r="H367" s="467" t="n"/>
      <c r="I367" s="466" t="n"/>
      <c r="J367" s="464" t="n"/>
      <c r="K367" s="463" t="n"/>
      <c r="L367" s="464" t="n"/>
      <c r="M367" s="464" t="n"/>
      <c r="N367" s="463" t="n"/>
      <c r="O367" s="464" t="n"/>
      <c r="P367" s="464" t="n"/>
      <c r="Q367" s="463" t="n"/>
      <c r="R367" s="468" t="n"/>
    </row>
    <row r="368">
      <c r="A368" s="463" t="n"/>
      <c r="B368" s="463" t="n"/>
      <c r="C368" s="465" t="n"/>
      <c r="D368" s="465" t="n"/>
      <c r="E368" s="466" t="n"/>
      <c r="F368" s="466" t="n"/>
      <c r="G368" s="466" t="n"/>
      <c r="H368" s="467" t="n"/>
      <c r="I368" s="466" t="n"/>
      <c r="J368" s="464" t="n"/>
      <c r="K368" s="463" t="n"/>
      <c r="L368" s="464" t="n"/>
      <c r="M368" s="464" t="n"/>
      <c r="N368" s="463" t="n"/>
      <c r="O368" s="464" t="n"/>
      <c r="P368" s="464" t="n"/>
      <c r="Q368" s="463" t="n"/>
      <c r="R368" s="468" t="n"/>
    </row>
    <row r="369">
      <c r="A369" s="463" t="n"/>
      <c r="B369" s="463" t="n"/>
      <c r="C369" s="465" t="n"/>
      <c r="D369" s="465" t="n"/>
      <c r="E369" s="466" t="n"/>
      <c r="F369" s="466" t="n"/>
      <c r="G369" s="466" t="n"/>
      <c r="H369" s="467" t="n"/>
      <c r="I369" s="466" t="n"/>
      <c r="J369" s="464" t="n"/>
      <c r="K369" s="463" t="n"/>
      <c r="L369" s="464" t="n"/>
      <c r="M369" s="464" t="n"/>
      <c r="N369" s="463" t="n"/>
      <c r="O369" s="464" t="n"/>
      <c r="P369" s="464" t="n"/>
      <c r="Q369" s="463" t="n"/>
      <c r="R369" s="468" t="n"/>
    </row>
    <row r="370">
      <c r="A370" s="463" t="n"/>
      <c r="B370" s="463" t="n"/>
      <c r="C370" s="465" t="n"/>
      <c r="D370" s="465" t="n"/>
      <c r="E370" s="466" t="n"/>
      <c r="F370" s="466" t="n"/>
      <c r="G370" s="466" t="n"/>
      <c r="H370" s="467" t="n"/>
      <c r="I370" s="466" t="n"/>
      <c r="J370" s="464" t="n"/>
      <c r="K370" s="463" t="n"/>
      <c r="L370" s="464" t="n"/>
      <c r="M370" s="464" t="n"/>
      <c r="N370" s="463" t="n"/>
      <c r="O370" s="464" t="n"/>
      <c r="P370" s="464" t="n"/>
      <c r="Q370" s="463" t="n"/>
      <c r="R370" s="468" t="n"/>
    </row>
    <row r="371">
      <c r="A371" s="463" t="n"/>
      <c r="B371" s="463" t="n"/>
      <c r="C371" s="465" t="n"/>
      <c r="D371" s="465" t="n"/>
      <c r="E371" s="466" t="n"/>
      <c r="F371" s="466" t="n"/>
      <c r="G371" s="466" t="n"/>
      <c r="H371" s="467" t="n"/>
      <c r="I371" s="466" t="n"/>
      <c r="J371" s="464" t="n"/>
      <c r="K371" s="463" t="n"/>
      <c r="L371" s="464" t="n"/>
      <c r="M371" s="464" t="n"/>
      <c r="N371" s="463" t="n"/>
      <c r="O371" s="464" t="n"/>
      <c r="P371" s="464" t="n"/>
      <c r="Q371" s="463" t="n"/>
      <c r="R371" s="468" t="n"/>
    </row>
    <row r="372">
      <c r="A372" s="463" t="n"/>
      <c r="B372" s="463" t="n"/>
      <c r="C372" s="465" t="n"/>
      <c r="D372" s="465" t="n"/>
      <c r="E372" s="466" t="n"/>
      <c r="F372" s="466" t="n"/>
      <c r="G372" s="466" t="n"/>
      <c r="H372" s="467" t="n"/>
      <c r="I372" s="466" t="n"/>
      <c r="J372" s="464" t="n"/>
      <c r="K372" s="463" t="n"/>
      <c r="L372" s="464" t="n"/>
      <c r="M372" s="464" t="n"/>
      <c r="N372" s="463" t="n"/>
      <c r="O372" s="464" t="n"/>
      <c r="P372" s="464" t="n"/>
      <c r="Q372" s="463" t="n"/>
      <c r="R372" s="468" t="n"/>
    </row>
    <row r="373">
      <c r="A373" s="463" t="n"/>
      <c r="B373" s="463" t="n"/>
      <c r="C373" s="465" t="n"/>
      <c r="D373" s="465" t="n"/>
      <c r="E373" s="466" t="n"/>
      <c r="F373" s="466" t="n"/>
      <c r="G373" s="466" t="n"/>
      <c r="H373" s="467" t="n"/>
      <c r="I373" s="466" t="n"/>
      <c r="J373" s="464" t="n"/>
      <c r="K373" s="463" t="n"/>
      <c r="L373" s="464" t="n"/>
      <c r="M373" s="464" t="n"/>
      <c r="N373" s="463" t="n"/>
      <c r="O373" s="464" t="n"/>
      <c r="P373" s="464" t="n"/>
      <c r="Q373" s="463" t="n"/>
      <c r="R373" s="468" t="n"/>
    </row>
    <row r="374">
      <c r="A374" s="463" t="n"/>
      <c r="B374" s="463" t="n"/>
      <c r="C374" s="465" t="n"/>
      <c r="D374" s="465" t="n"/>
      <c r="E374" s="466" t="n"/>
      <c r="F374" s="466" t="n"/>
      <c r="G374" s="466" t="n"/>
      <c r="H374" s="467" t="n"/>
      <c r="I374" s="466" t="n"/>
      <c r="J374" s="464" t="n"/>
      <c r="K374" s="463" t="n"/>
      <c r="L374" s="464" t="n"/>
      <c r="M374" s="464" t="n"/>
      <c r="N374" s="463" t="n"/>
      <c r="O374" s="464" t="n"/>
      <c r="P374" s="464" t="n"/>
      <c r="Q374" s="463" t="n"/>
      <c r="R374" s="468" t="n"/>
    </row>
    <row r="375">
      <c r="A375" s="463" t="n"/>
      <c r="B375" s="463" t="n"/>
      <c r="C375" s="465" t="n"/>
      <c r="D375" s="465" t="n"/>
      <c r="E375" s="466" t="n"/>
      <c r="F375" s="466" t="n"/>
      <c r="G375" s="466" t="n"/>
      <c r="H375" s="467" t="n"/>
      <c r="I375" s="466" t="n"/>
      <c r="J375" s="464" t="n"/>
      <c r="K375" s="463" t="n"/>
      <c r="L375" s="464" t="n"/>
      <c r="M375" s="464" t="n"/>
      <c r="N375" s="463" t="n"/>
      <c r="O375" s="464" t="n"/>
      <c r="P375" s="464" t="n"/>
      <c r="Q375" s="463" t="n"/>
      <c r="R375" s="468" t="n"/>
    </row>
    <row r="376">
      <c r="A376" s="463" t="n"/>
      <c r="B376" s="463" t="n"/>
      <c r="C376" s="465" t="n"/>
      <c r="D376" s="465" t="n"/>
      <c r="E376" s="466" t="n"/>
      <c r="F376" s="466" t="n"/>
      <c r="G376" s="466" t="n"/>
      <c r="H376" s="467" t="n"/>
      <c r="I376" s="466" t="n"/>
      <c r="J376" s="464" t="n"/>
      <c r="K376" s="463" t="n"/>
      <c r="L376" s="464" t="n"/>
      <c r="M376" s="464" t="n"/>
      <c r="N376" s="463" t="n"/>
      <c r="O376" s="464" t="n"/>
      <c r="P376" s="464" t="n"/>
      <c r="Q376" s="463" t="n"/>
      <c r="R376" s="468" t="n"/>
    </row>
    <row r="377">
      <c r="A377" s="463" t="n"/>
      <c r="B377" s="463" t="n"/>
      <c r="C377" s="465" t="n"/>
      <c r="D377" s="465" t="n"/>
      <c r="E377" s="466" t="n"/>
      <c r="F377" s="466" t="n"/>
      <c r="G377" s="466" t="n"/>
      <c r="H377" s="467" t="n"/>
      <c r="I377" s="466" t="n"/>
      <c r="J377" s="464" t="n"/>
      <c r="K377" s="463" t="n"/>
      <c r="L377" s="464" t="n"/>
      <c r="M377" s="464" t="n"/>
      <c r="N377" s="463" t="n"/>
      <c r="O377" s="464" t="n"/>
      <c r="P377" s="464" t="n"/>
      <c r="Q377" s="463" t="n"/>
      <c r="R377" s="468" t="n"/>
    </row>
    <row r="378">
      <c r="A378" s="463" t="n"/>
      <c r="B378" s="463" t="n"/>
      <c r="C378" s="465" t="n"/>
      <c r="D378" s="465" t="n"/>
      <c r="E378" s="466" t="n"/>
      <c r="F378" s="466" t="n"/>
      <c r="G378" s="466" t="n"/>
      <c r="H378" s="467" t="n"/>
      <c r="I378" s="466" t="n"/>
      <c r="J378" s="464" t="n"/>
      <c r="K378" s="463" t="n"/>
      <c r="L378" s="464" t="n"/>
      <c r="M378" s="464" t="n"/>
      <c r="N378" s="463" t="n"/>
      <c r="O378" s="464" t="n"/>
      <c r="P378" s="464" t="n"/>
      <c r="Q378" s="463" t="n"/>
      <c r="R378" s="468" t="n"/>
    </row>
    <row r="379">
      <c r="A379" s="463" t="n"/>
      <c r="B379" s="463" t="n"/>
      <c r="C379" s="465" t="n"/>
      <c r="D379" s="465" t="n"/>
      <c r="E379" s="466" t="n"/>
      <c r="F379" s="466" t="n"/>
      <c r="G379" s="466" t="n"/>
      <c r="H379" s="467" t="n"/>
      <c r="I379" s="466" t="n"/>
      <c r="J379" s="464" t="n"/>
      <c r="K379" s="463" t="n"/>
      <c r="L379" s="464" t="n"/>
      <c r="M379" s="464" t="n"/>
      <c r="N379" s="463" t="n"/>
      <c r="O379" s="464" t="n"/>
      <c r="P379" s="464" t="n"/>
      <c r="Q379" s="463" t="n"/>
      <c r="R379" s="468" t="n"/>
    </row>
    <row r="380">
      <c r="A380" s="463" t="n"/>
      <c r="B380" s="463" t="n"/>
      <c r="C380" s="465" t="n"/>
      <c r="D380" s="465" t="n"/>
      <c r="E380" s="466" t="n"/>
      <c r="F380" s="466" t="n"/>
      <c r="G380" s="466" t="n"/>
      <c r="H380" s="467" t="n"/>
      <c r="I380" s="466" t="n"/>
      <c r="J380" s="464" t="n"/>
      <c r="K380" s="463" t="n"/>
      <c r="L380" s="464" t="n"/>
      <c r="M380" s="464" t="n"/>
      <c r="N380" s="463" t="n"/>
      <c r="O380" s="464" t="n"/>
      <c r="P380" s="464" t="n"/>
      <c r="Q380" s="463" t="n"/>
      <c r="R380" s="468" t="n"/>
    </row>
    <row r="381">
      <c r="A381" s="463" t="n"/>
      <c r="B381" s="463" t="n"/>
      <c r="C381" s="465" t="n"/>
      <c r="D381" s="465" t="n"/>
      <c r="E381" s="466" t="n"/>
      <c r="F381" s="466" t="n"/>
      <c r="G381" s="466" t="n"/>
      <c r="H381" s="467" t="n"/>
      <c r="I381" s="466" t="n"/>
      <c r="J381" s="464" t="n"/>
      <c r="K381" s="463" t="n"/>
      <c r="L381" s="464" t="n"/>
      <c r="M381" s="464" t="n"/>
      <c r="N381" s="463" t="n"/>
      <c r="O381" s="464" t="n"/>
      <c r="P381" s="464" t="n"/>
      <c r="Q381" s="463" t="n"/>
      <c r="R381" s="468" t="n"/>
    </row>
    <row r="382">
      <c r="A382" s="463" t="n"/>
      <c r="B382" s="463" t="n"/>
      <c r="C382" s="465" t="n"/>
      <c r="D382" s="465" t="n"/>
      <c r="E382" s="466" t="n"/>
      <c r="F382" s="466" t="n"/>
      <c r="G382" s="466" t="n"/>
      <c r="H382" s="467" t="n"/>
      <c r="I382" s="466" t="n"/>
      <c r="J382" s="464" t="n"/>
      <c r="K382" s="463" t="n"/>
      <c r="L382" s="464" t="n"/>
      <c r="M382" s="464" t="n"/>
      <c r="N382" s="463" t="n"/>
      <c r="O382" s="464" t="n"/>
      <c r="P382" s="464" t="n"/>
      <c r="Q382" s="463" t="n"/>
      <c r="R382" s="468" t="n"/>
    </row>
    <row r="383">
      <c r="A383" s="463" t="n"/>
      <c r="B383" s="463" t="n"/>
      <c r="C383" s="465" t="n"/>
      <c r="D383" s="465" t="n"/>
      <c r="E383" s="466" t="n"/>
      <c r="F383" s="466" t="n"/>
      <c r="G383" s="466" t="n"/>
      <c r="H383" s="467" t="n"/>
      <c r="I383" s="466" t="n"/>
      <c r="J383" s="464" t="n"/>
      <c r="K383" s="463" t="n"/>
      <c r="L383" s="464" t="n"/>
      <c r="M383" s="464" t="n"/>
      <c r="N383" s="463" t="n"/>
      <c r="O383" s="464" t="n"/>
      <c r="P383" s="464" t="n"/>
      <c r="Q383" s="463" t="n"/>
      <c r="R383" s="468" t="n"/>
    </row>
    <row r="384">
      <c r="A384" s="463" t="n"/>
      <c r="B384" s="463" t="n"/>
      <c r="C384" s="465" t="n"/>
      <c r="D384" s="465" t="n"/>
      <c r="E384" s="466" t="n"/>
      <c r="F384" s="466" t="n"/>
      <c r="G384" s="466" t="n"/>
      <c r="H384" s="467" t="n"/>
      <c r="I384" s="466" t="n"/>
      <c r="J384" s="464" t="n"/>
      <c r="K384" s="463" t="n"/>
      <c r="L384" s="464" t="n"/>
      <c r="M384" s="464" t="n"/>
      <c r="N384" s="463" t="n"/>
      <c r="O384" s="464" t="n"/>
      <c r="P384" s="464" t="n"/>
      <c r="Q384" s="463" t="n"/>
      <c r="R384" s="468" t="n"/>
    </row>
    <row r="385">
      <c r="A385" s="463" t="n"/>
      <c r="B385" s="463" t="n"/>
      <c r="C385" s="465" t="n"/>
      <c r="D385" s="465" t="n"/>
      <c r="E385" s="466" t="n"/>
      <c r="F385" s="466" t="n"/>
      <c r="G385" s="466" t="n"/>
      <c r="H385" s="467" t="n"/>
      <c r="I385" s="466" t="n"/>
      <c r="J385" s="464" t="n"/>
      <c r="K385" s="463" t="n"/>
      <c r="L385" s="464" t="n"/>
      <c r="M385" s="464" t="n"/>
      <c r="N385" s="463" t="n"/>
      <c r="O385" s="464" t="n"/>
      <c r="P385" s="464" t="n"/>
      <c r="Q385" s="463" t="n"/>
      <c r="R385" s="468" t="n"/>
    </row>
    <row r="386">
      <c r="A386" s="463" t="n"/>
      <c r="B386" s="463" t="n"/>
      <c r="C386" s="465" t="n"/>
      <c r="D386" s="465" t="n"/>
      <c r="E386" s="466" t="n"/>
      <c r="F386" s="466" t="n"/>
      <c r="G386" s="466" t="n"/>
      <c r="H386" s="467" t="n"/>
      <c r="I386" s="466" t="n"/>
      <c r="J386" s="464" t="n"/>
      <c r="K386" s="463" t="n"/>
      <c r="L386" s="464" t="n"/>
      <c r="M386" s="464" t="n"/>
      <c r="N386" s="463" t="n"/>
      <c r="O386" s="464" t="n"/>
      <c r="P386" s="464" t="n"/>
      <c r="Q386" s="463" t="n"/>
      <c r="R386" s="468" t="n"/>
    </row>
    <row r="387">
      <c r="A387" s="463" t="n"/>
      <c r="B387" s="463" t="n"/>
      <c r="C387" s="465" t="n"/>
      <c r="D387" s="465" t="n"/>
      <c r="E387" s="466" t="n"/>
      <c r="F387" s="466" t="n"/>
      <c r="G387" s="466" t="n"/>
      <c r="H387" s="467" t="n"/>
      <c r="I387" s="466" t="n"/>
      <c r="J387" s="464" t="n"/>
      <c r="K387" s="463" t="n"/>
      <c r="L387" s="464" t="n"/>
      <c r="M387" s="464" t="n"/>
      <c r="N387" s="463" t="n"/>
      <c r="O387" s="464" t="n"/>
      <c r="P387" s="464" t="n"/>
      <c r="Q387" s="463" t="n"/>
      <c r="R387" s="468" t="n"/>
    </row>
    <row r="388">
      <c r="A388" s="463" t="n"/>
      <c r="B388" s="463" t="n"/>
      <c r="C388" s="465" t="n"/>
      <c r="D388" s="465" t="n"/>
      <c r="E388" s="466" t="n"/>
      <c r="F388" s="466" t="n"/>
      <c r="G388" s="466" t="n"/>
      <c r="H388" s="467" t="n"/>
      <c r="I388" s="466" t="n"/>
      <c r="J388" s="464" t="n"/>
      <c r="K388" s="463" t="n"/>
      <c r="L388" s="464" t="n"/>
      <c r="M388" s="464" t="n"/>
      <c r="N388" s="463" t="n"/>
      <c r="O388" s="464" t="n"/>
      <c r="P388" s="464" t="n"/>
      <c r="Q388" s="463" t="n"/>
      <c r="R388" s="468" t="n"/>
    </row>
    <row r="389">
      <c r="A389" s="463" t="n"/>
      <c r="B389" s="463" t="n"/>
      <c r="C389" s="465" t="n"/>
      <c r="D389" s="465" t="n"/>
      <c r="E389" s="466" t="n"/>
      <c r="F389" s="466" t="n"/>
      <c r="G389" s="466" t="n"/>
      <c r="H389" s="467" t="n"/>
      <c r="I389" s="466" t="n"/>
      <c r="J389" s="464" t="n"/>
      <c r="K389" s="463" t="n"/>
      <c r="L389" s="464" t="n"/>
      <c r="M389" s="464" t="n"/>
      <c r="N389" s="463" t="n"/>
      <c r="O389" s="464" t="n"/>
      <c r="P389" s="464" t="n"/>
      <c r="Q389" s="463" t="n"/>
      <c r="R389" s="468" t="n"/>
    </row>
    <row r="390">
      <c r="A390" s="463" t="n"/>
      <c r="B390" s="463" t="n"/>
      <c r="C390" s="465" t="n"/>
      <c r="D390" s="465" t="n"/>
      <c r="E390" s="466" t="n"/>
      <c r="F390" s="466" t="n"/>
      <c r="G390" s="466" t="n"/>
      <c r="H390" s="467" t="n"/>
      <c r="I390" s="466" t="n"/>
      <c r="J390" s="464" t="n"/>
      <c r="K390" s="463" t="n"/>
      <c r="L390" s="464" t="n"/>
      <c r="M390" s="464" t="n"/>
      <c r="N390" s="463" t="n"/>
      <c r="O390" s="464" t="n"/>
      <c r="P390" s="464" t="n"/>
      <c r="Q390" s="463" t="n"/>
      <c r="R390" s="468" t="n"/>
    </row>
    <row r="391">
      <c r="A391" s="463" t="n"/>
      <c r="B391" s="463" t="n"/>
      <c r="C391" s="465" t="n"/>
      <c r="D391" s="465" t="n"/>
      <c r="E391" s="466" t="n"/>
      <c r="F391" s="466" t="n"/>
      <c r="G391" s="466" t="n"/>
      <c r="H391" s="467" t="n"/>
      <c r="I391" s="466" t="n"/>
      <c r="J391" s="464" t="n"/>
      <c r="K391" s="463" t="n"/>
      <c r="L391" s="464" t="n"/>
      <c r="M391" s="464" t="n"/>
      <c r="N391" s="463" t="n"/>
      <c r="O391" s="464" t="n"/>
      <c r="P391" s="464" t="n"/>
      <c r="Q391" s="463" t="n"/>
      <c r="R391" s="468" t="n"/>
    </row>
    <row r="392">
      <c r="A392" s="463" t="n"/>
      <c r="B392" s="463" t="n"/>
      <c r="C392" s="465" t="n"/>
      <c r="D392" s="465" t="n"/>
      <c r="E392" s="466" t="n"/>
      <c r="F392" s="466" t="n"/>
      <c r="G392" s="466" t="n"/>
      <c r="H392" s="467" t="n"/>
      <c r="I392" s="466" t="n"/>
      <c r="J392" s="464" t="n"/>
      <c r="K392" s="463" t="n"/>
      <c r="L392" s="464" t="n"/>
      <c r="M392" s="464" t="n"/>
      <c r="N392" s="463" t="n"/>
      <c r="O392" s="464" t="n"/>
      <c r="P392" s="464" t="n"/>
      <c r="Q392" s="463" t="n"/>
      <c r="R392" s="468" t="n"/>
    </row>
    <row r="393">
      <c r="A393" s="463" t="n"/>
      <c r="B393" s="463" t="n"/>
      <c r="C393" s="465" t="n"/>
      <c r="D393" s="465" t="n"/>
      <c r="E393" s="466" t="n"/>
      <c r="F393" s="466" t="n"/>
      <c r="G393" s="466" t="n"/>
      <c r="H393" s="467" t="n"/>
      <c r="I393" s="466" t="n"/>
      <c r="J393" s="464" t="n"/>
      <c r="K393" s="463" t="n"/>
      <c r="L393" s="464" t="n"/>
      <c r="M393" s="464" t="n"/>
      <c r="N393" s="463" t="n"/>
      <c r="O393" s="464" t="n"/>
      <c r="P393" s="464" t="n"/>
      <c r="Q393" s="463" t="n"/>
      <c r="R393" s="468" t="n"/>
    </row>
    <row r="394">
      <c r="A394" s="463" t="n"/>
      <c r="B394" s="463" t="n"/>
      <c r="C394" s="465" t="n"/>
      <c r="D394" s="465" t="n"/>
      <c r="E394" s="466" t="n"/>
      <c r="F394" s="466" t="n"/>
      <c r="G394" s="466" t="n"/>
      <c r="H394" s="467" t="n"/>
      <c r="I394" s="466" t="n"/>
      <c r="J394" s="464" t="n"/>
      <c r="K394" s="463" t="n"/>
      <c r="L394" s="464" t="n"/>
      <c r="M394" s="464" t="n"/>
      <c r="N394" s="463" t="n"/>
      <c r="O394" s="464" t="n"/>
      <c r="P394" s="464" t="n"/>
      <c r="Q394" s="463" t="n"/>
      <c r="R394" s="468" t="n"/>
    </row>
    <row r="395">
      <c r="A395" s="463" t="n"/>
      <c r="B395" s="463" t="n"/>
      <c r="C395" s="465" t="n"/>
      <c r="D395" s="465" t="n"/>
      <c r="E395" s="466" t="n"/>
      <c r="F395" s="466" t="n"/>
      <c r="G395" s="466" t="n"/>
      <c r="H395" s="467" t="n"/>
      <c r="I395" s="466" t="n"/>
      <c r="J395" s="464" t="n"/>
      <c r="K395" s="463" t="n"/>
      <c r="L395" s="464" t="n"/>
      <c r="M395" s="464" t="n"/>
      <c r="N395" s="463" t="n"/>
      <c r="O395" s="464" t="n"/>
      <c r="P395" s="464" t="n"/>
      <c r="Q395" s="463" t="n"/>
      <c r="R395" s="468" t="n"/>
    </row>
    <row r="396">
      <c r="A396" s="463" t="n"/>
      <c r="B396" s="463" t="n"/>
      <c r="C396" s="465" t="n"/>
      <c r="D396" s="465" t="n"/>
      <c r="E396" s="466" t="n"/>
      <c r="F396" s="466" t="n"/>
      <c r="G396" s="466" t="n"/>
      <c r="H396" s="467" t="n"/>
      <c r="I396" s="466" t="n"/>
      <c r="J396" s="464" t="n"/>
      <c r="K396" s="463" t="n"/>
      <c r="L396" s="464" t="n"/>
      <c r="M396" s="464" t="n"/>
      <c r="N396" s="463" t="n"/>
      <c r="O396" s="464" t="n"/>
      <c r="P396" s="464" t="n"/>
      <c r="Q396" s="463" t="n"/>
      <c r="R396" s="468" t="n"/>
    </row>
    <row r="397">
      <c r="A397" s="463" t="n"/>
      <c r="B397" s="463" t="n"/>
      <c r="C397" s="465" t="n"/>
      <c r="D397" s="465" t="n"/>
      <c r="E397" s="466" t="n"/>
      <c r="F397" s="466" t="n"/>
      <c r="G397" s="466" t="n"/>
      <c r="H397" s="467" t="n"/>
      <c r="I397" s="466" t="n"/>
      <c r="J397" s="464" t="n"/>
      <c r="K397" s="463" t="n"/>
      <c r="L397" s="464" t="n"/>
      <c r="M397" s="464" t="n"/>
      <c r="N397" s="463" t="n"/>
      <c r="O397" s="464" t="n"/>
      <c r="P397" s="464" t="n"/>
      <c r="Q397" s="463" t="n"/>
      <c r="R397" s="468" t="n"/>
    </row>
    <row r="398">
      <c r="A398" s="463" t="n"/>
      <c r="B398" s="463" t="n"/>
      <c r="C398" s="465" t="n"/>
      <c r="D398" s="465" t="n"/>
      <c r="E398" s="466" t="n"/>
      <c r="F398" s="466" t="n"/>
      <c r="G398" s="466" t="n"/>
      <c r="H398" s="467" t="n"/>
      <c r="I398" s="466" t="n"/>
      <c r="J398" s="464" t="n"/>
      <c r="K398" s="463" t="n"/>
      <c r="L398" s="464" t="n"/>
      <c r="M398" s="464" t="n"/>
      <c r="N398" s="463" t="n"/>
      <c r="O398" s="464" t="n"/>
      <c r="P398" s="464" t="n"/>
      <c r="Q398" s="463" t="n"/>
      <c r="R398" s="468" t="n"/>
    </row>
    <row r="399">
      <c r="A399" s="463" t="n"/>
      <c r="B399" s="463" t="n"/>
      <c r="C399" s="465" t="n"/>
      <c r="D399" s="465" t="n"/>
      <c r="E399" s="466" t="n"/>
      <c r="F399" s="466" t="n"/>
      <c r="G399" s="466" t="n"/>
      <c r="H399" s="467" t="n"/>
      <c r="I399" s="466" t="n"/>
      <c r="J399" s="464" t="n"/>
      <c r="K399" s="463" t="n"/>
      <c r="L399" s="464" t="n"/>
      <c r="M399" s="464" t="n"/>
      <c r="N399" s="463" t="n"/>
      <c r="O399" s="464" t="n"/>
      <c r="P399" s="464" t="n"/>
      <c r="Q399" s="463" t="n"/>
      <c r="R399" s="468" t="n"/>
    </row>
    <row r="400">
      <c r="A400" s="463" t="n"/>
      <c r="B400" s="463" t="n"/>
      <c r="C400" s="465" t="n"/>
      <c r="D400" s="465" t="n"/>
      <c r="E400" s="466" t="n"/>
      <c r="F400" s="466" t="n"/>
      <c r="G400" s="466" t="n"/>
      <c r="H400" s="467" t="n"/>
      <c r="I400" s="466" t="n"/>
      <c r="J400" s="464" t="n"/>
      <c r="K400" s="463" t="n"/>
      <c r="L400" s="464" t="n"/>
      <c r="M400" s="464" t="n"/>
      <c r="N400" s="463" t="n"/>
      <c r="O400" s="464" t="n"/>
      <c r="P400" s="464" t="n"/>
      <c r="Q400" s="463" t="n"/>
      <c r="R400" s="468" t="n"/>
    </row>
    <row r="401">
      <c r="A401" s="463" t="n"/>
      <c r="B401" s="463" t="n"/>
      <c r="C401" s="465" t="n"/>
      <c r="D401" s="465" t="n"/>
      <c r="E401" s="466" t="n"/>
      <c r="F401" s="466" t="n"/>
      <c r="G401" s="466" t="n"/>
      <c r="H401" s="467" t="n"/>
      <c r="I401" s="466" t="n"/>
      <c r="J401" s="464" t="n"/>
      <c r="K401" s="463" t="n"/>
      <c r="L401" s="464" t="n"/>
      <c r="M401" s="464" t="n"/>
      <c r="N401" s="463" t="n"/>
      <c r="O401" s="464" t="n"/>
      <c r="P401" s="464" t="n"/>
      <c r="Q401" s="463" t="n"/>
      <c r="R401" s="468" t="n"/>
    </row>
    <row r="402">
      <c r="A402" s="463" t="n"/>
      <c r="B402" s="463" t="n"/>
      <c r="C402" s="465" t="n"/>
      <c r="D402" s="465" t="n"/>
      <c r="E402" s="466" t="n"/>
      <c r="F402" s="466" t="n"/>
      <c r="G402" s="466" t="n"/>
      <c r="H402" s="467" t="n"/>
      <c r="I402" s="466" t="n"/>
      <c r="J402" s="464" t="n"/>
      <c r="K402" s="463" t="n"/>
      <c r="L402" s="464" t="n"/>
      <c r="M402" s="464" t="n"/>
      <c r="N402" s="463" t="n"/>
      <c r="O402" s="464" t="n"/>
      <c r="P402" s="464" t="n"/>
      <c r="Q402" s="463" t="n"/>
      <c r="R402" s="468" t="n"/>
    </row>
    <row r="403">
      <c r="A403" s="463" t="n"/>
      <c r="B403" s="463" t="n"/>
      <c r="C403" s="465" t="n"/>
      <c r="D403" s="465" t="n"/>
      <c r="E403" s="466" t="n"/>
      <c r="F403" s="466" t="n"/>
      <c r="G403" s="466" t="n"/>
      <c r="H403" s="467" t="n"/>
      <c r="I403" s="466" t="n"/>
      <c r="J403" s="464" t="n"/>
      <c r="K403" s="463" t="n"/>
      <c r="L403" s="464" t="n"/>
      <c r="M403" s="464" t="n"/>
      <c r="N403" s="463" t="n"/>
      <c r="O403" s="464" t="n"/>
      <c r="P403" s="464" t="n"/>
      <c r="Q403" s="463" t="n"/>
      <c r="R403" s="468" t="n"/>
    </row>
    <row r="404">
      <c r="A404" s="463" t="n"/>
      <c r="B404" s="463" t="n"/>
      <c r="C404" s="465" t="n"/>
      <c r="D404" s="465" t="n"/>
      <c r="E404" s="466" t="n"/>
      <c r="F404" s="466" t="n"/>
      <c r="G404" s="466" t="n"/>
      <c r="H404" s="467" t="n"/>
      <c r="I404" s="466" t="n"/>
      <c r="J404" s="464" t="n"/>
      <c r="K404" s="463" t="n"/>
      <c r="L404" s="464" t="n"/>
      <c r="M404" s="464" t="n"/>
      <c r="N404" s="463" t="n"/>
      <c r="O404" s="464" t="n"/>
      <c r="P404" s="464" t="n"/>
      <c r="Q404" s="463" t="n"/>
      <c r="R404" s="468" t="n"/>
    </row>
    <row r="405">
      <c r="A405" s="463" t="n"/>
      <c r="B405" s="463" t="n"/>
      <c r="C405" s="465" t="n"/>
      <c r="D405" s="465" t="n"/>
      <c r="E405" s="466" t="n"/>
      <c r="F405" s="466" t="n"/>
      <c r="G405" s="466" t="n"/>
      <c r="H405" s="467" t="n"/>
      <c r="I405" s="466" t="n"/>
      <c r="J405" s="464" t="n"/>
      <c r="K405" s="463" t="n"/>
      <c r="L405" s="464" t="n"/>
      <c r="M405" s="464" t="n"/>
      <c r="N405" s="463" t="n"/>
      <c r="O405" s="464" t="n"/>
      <c r="P405" s="464" t="n"/>
      <c r="Q405" s="463" t="n"/>
      <c r="R405" s="468" t="n"/>
    </row>
    <row r="406">
      <c r="A406" s="463" t="n"/>
      <c r="B406" s="463" t="n"/>
      <c r="C406" s="465" t="n"/>
      <c r="D406" s="465" t="n"/>
      <c r="E406" s="466" t="n"/>
      <c r="F406" s="466" t="n"/>
      <c r="G406" s="466" t="n"/>
      <c r="H406" s="467" t="n"/>
      <c r="I406" s="466" t="n"/>
      <c r="J406" s="464" t="n"/>
      <c r="K406" s="463" t="n"/>
      <c r="L406" s="464" t="n"/>
      <c r="M406" s="464" t="n"/>
      <c r="N406" s="463" t="n"/>
      <c r="O406" s="464" t="n"/>
      <c r="P406" s="464" t="n"/>
      <c r="Q406" s="463" t="n"/>
      <c r="R406" s="468" t="n"/>
    </row>
    <row r="407">
      <c r="A407" s="463" t="n"/>
      <c r="B407" s="463" t="n"/>
      <c r="C407" s="465" t="n"/>
      <c r="D407" s="465" t="n"/>
      <c r="E407" s="466" t="n"/>
      <c r="F407" s="466" t="n"/>
      <c r="G407" s="466" t="n"/>
      <c r="H407" s="467" t="n"/>
      <c r="I407" s="466" t="n"/>
      <c r="J407" s="464" t="n"/>
      <c r="K407" s="463" t="n"/>
      <c r="L407" s="464" t="n"/>
      <c r="M407" s="464" t="n"/>
      <c r="N407" s="463" t="n"/>
      <c r="O407" s="464" t="n"/>
      <c r="P407" s="464" t="n"/>
      <c r="Q407" s="463" t="n"/>
      <c r="R407" s="468" t="n"/>
    </row>
    <row r="408">
      <c r="A408" s="463" t="n"/>
      <c r="B408" s="463" t="n"/>
      <c r="C408" s="465" t="n"/>
      <c r="D408" s="465" t="n"/>
      <c r="E408" s="466" t="n"/>
      <c r="F408" s="466" t="n"/>
      <c r="G408" s="466" t="n"/>
      <c r="H408" s="467" t="n"/>
      <c r="I408" s="466" t="n"/>
      <c r="J408" s="464" t="n"/>
      <c r="K408" s="463" t="n"/>
      <c r="L408" s="464" t="n"/>
      <c r="M408" s="464" t="n"/>
      <c r="N408" s="463" t="n"/>
      <c r="O408" s="464" t="n"/>
      <c r="P408" s="464" t="n"/>
      <c r="Q408" s="463" t="n"/>
      <c r="R408" s="468" t="n"/>
    </row>
    <row r="409">
      <c r="A409" s="463" t="n"/>
      <c r="B409" s="463" t="n"/>
      <c r="C409" s="465" t="n"/>
      <c r="D409" s="465" t="n"/>
      <c r="E409" s="466" t="n"/>
      <c r="F409" s="466" t="n"/>
      <c r="G409" s="466" t="n"/>
      <c r="H409" s="467" t="n"/>
      <c r="I409" s="466" t="n"/>
      <c r="J409" s="464" t="n"/>
      <c r="K409" s="463" t="n"/>
      <c r="L409" s="464" t="n"/>
      <c r="M409" s="464" t="n"/>
      <c r="N409" s="463" t="n"/>
      <c r="O409" s="464" t="n"/>
      <c r="P409" s="464" t="n"/>
      <c r="Q409" s="463" t="n"/>
      <c r="R409" s="468" t="n"/>
    </row>
    <row r="410">
      <c r="A410" s="463" t="n"/>
      <c r="B410" s="463" t="n"/>
      <c r="C410" s="465" t="n"/>
      <c r="D410" s="465" t="n"/>
      <c r="E410" s="466" t="n"/>
      <c r="F410" s="466" t="n"/>
      <c r="G410" s="466" t="n"/>
      <c r="H410" s="467" t="n"/>
      <c r="I410" s="466" t="n"/>
      <c r="J410" s="464" t="n"/>
      <c r="K410" s="463" t="n"/>
      <c r="L410" s="464" t="n"/>
      <c r="M410" s="464" t="n"/>
      <c r="N410" s="463" t="n"/>
      <c r="O410" s="464" t="n"/>
      <c r="P410" s="464" t="n"/>
      <c r="Q410" s="463" t="n"/>
      <c r="R410" s="468" t="n"/>
    </row>
    <row r="411">
      <c r="A411" s="463" t="n"/>
      <c r="B411" s="463" t="n"/>
      <c r="C411" s="465" t="n"/>
      <c r="D411" s="465" t="n"/>
      <c r="E411" s="466" t="n"/>
      <c r="F411" s="466" t="n"/>
      <c r="G411" s="466" t="n"/>
      <c r="H411" s="467" t="n"/>
      <c r="I411" s="466" t="n"/>
      <c r="J411" s="464" t="n"/>
      <c r="K411" s="463" t="n"/>
      <c r="L411" s="464" t="n"/>
      <c r="M411" s="464" t="n"/>
      <c r="N411" s="463" t="n"/>
      <c r="O411" s="464" t="n"/>
      <c r="P411" s="464" t="n"/>
      <c r="Q411" s="463" t="n"/>
      <c r="R411" s="468" t="n"/>
    </row>
    <row r="412">
      <c r="A412" s="463" t="n"/>
      <c r="B412" s="463" t="n"/>
      <c r="C412" s="465" t="n"/>
      <c r="D412" s="465" t="n"/>
      <c r="E412" s="466" t="n"/>
      <c r="F412" s="466" t="n"/>
      <c r="G412" s="466" t="n"/>
      <c r="H412" s="467" t="n"/>
      <c r="I412" s="466" t="n"/>
      <c r="J412" s="464" t="n"/>
      <c r="K412" s="463" t="n"/>
      <c r="L412" s="464" t="n"/>
      <c r="M412" s="464" t="n"/>
      <c r="N412" s="463" t="n"/>
      <c r="O412" s="464" t="n"/>
      <c r="P412" s="464" t="n"/>
      <c r="Q412" s="463" t="n"/>
      <c r="R412" s="468" t="n"/>
    </row>
    <row r="413">
      <c r="A413" s="463" t="n"/>
      <c r="B413" s="463" t="n"/>
      <c r="C413" s="465" t="n"/>
      <c r="D413" s="465" t="n"/>
      <c r="E413" s="466" t="n"/>
      <c r="F413" s="466" t="n"/>
      <c r="G413" s="466" t="n"/>
      <c r="H413" s="467" t="n"/>
      <c r="I413" s="466" t="n"/>
      <c r="J413" s="464" t="n"/>
      <c r="K413" s="463" t="n"/>
      <c r="L413" s="464" t="n"/>
      <c r="M413" s="464" t="n"/>
      <c r="N413" s="463" t="n"/>
      <c r="O413" s="464" t="n"/>
      <c r="P413" s="464" t="n"/>
      <c r="Q413" s="463" t="n"/>
      <c r="R413" s="468" t="n"/>
    </row>
    <row r="414">
      <c r="A414" s="463" t="n"/>
      <c r="B414" s="463" t="n"/>
      <c r="C414" s="465" t="n"/>
      <c r="D414" s="465" t="n"/>
      <c r="E414" s="466" t="n"/>
      <c r="F414" s="466" t="n"/>
      <c r="G414" s="466" t="n"/>
      <c r="H414" s="467" t="n"/>
      <c r="I414" s="466" t="n"/>
      <c r="J414" s="464" t="n"/>
      <c r="K414" s="463" t="n"/>
      <c r="L414" s="464" t="n"/>
      <c r="M414" s="464" t="n"/>
      <c r="N414" s="463" t="n"/>
      <c r="O414" s="464" t="n"/>
      <c r="P414" s="464" t="n"/>
      <c r="Q414" s="463" t="n"/>
      <c r="R414" s="468" t="n"/>
    </row>
    <row r="415">
      <c r="A415" s="463" t="n"/>
      <c r="B415" s="463" t="n"/>
      <c r="C415" s="465" t="n"/>
      <c r="D415" s="465" t="n"/>
      <c r="E415" s="466" t="n"/>
      <c r="F415" s="466" t="n"/>
      <c r="G415" s="466" t="n"/>
      <c r="H415" s="467" t="n"/>
      <c r="I415" s="466" t="n"/>
      <c r="J415" s="464" t="n"/>
      <c r="K415" s="463" t="n"/>
      <c r="L415" s="464" t="n"/>
      <c r="M415" s="464" t="n"/>
      <c r="N415" s="463" t="n"/>
      <c r="O415" s="464" t="n"/>
      <c r="P415" s="464" t="n"/>
      <c r="Q415" s="463" t="n"/>
      <c r="R415" s="468" t="n"/>
    </row>
    <row r="416">
      <c r="A416" s="463" t="n"/>
      <c r="B416" s="463" t="n"/>
      <c r="C416" s="465" t="n"/>
      <c r="D416" s="465" t="n"/>
      <c r="E416" s="466" t="n"/>
      <c r="F416" s="466" t="n"/>
      <c r="G416" s="466" t="n"/>
      <c r="H416" s="467" t="n"/>
      <c r="I416" s="466" t="n"/>
      <c r="J416" s="464" t="n"/>
      <c r="K416" s="463" t="n"/>
      <c r="L416" s="464" t="n"/>
      <c r="M416" s="464" t="n"/>
      <c r="N416" s="463" t="n"/>
      <c r="O416" s="464" t="n"/>
      <c r="P416" s="464" t="n"/>
      <c r="Q416" s="463" t="n"/>
      <c r="R416" s="468" t="n"/>
    </row>
    <row r="417">
      <c r="A417" s="463" t="n"/>
      <c r="B417" s="463" t="n"/>
      <c r="C417" s="465" t="n"/>
      <c r="D417" s="465" t="n"/>
      <c r="E417" s="466" t="n"/>
      <c r="F417" s="466" t="n"/>
      <c r="G417" s="466" t="n"/>
      <c r="H417" s="467" t="n"/>
      <c r="I417" s="466" t="n"/>
      <c r="J417" s="464" t="n"/>
      <c r="K417" s="463" t="n"/>
      <c r="L417" s="464" t="n"/>
      <c r="M417" s="464" t="n"/>
      <c r="N417" s="463" t="n"/>
      <c r="O417" s="464" t="n"/>
      <c r="P417" s="464" t="n"/>
      <c r="Q417" s="463" t="n"/>
      <c r="R417" s="468" t="n"/>
    </row>
    <row r="418">
      <c r="A418" s="463" t="n"/>
      <c r="B418" s="463" t="n"/>
      <c r="C418" s="465" t="n"/>
      <c r="D418" s="465" t="n"/>
      <c r="E418" s="466" t="n"/>
      <c r="F418" s="466" t="n"/>
      <c r="G418" s="466" t="n"/>
      <c r="H418" s="467" t="n"/>
      <c r="I418" s="466" t="n"/>
      <c r="J418" s="464" t="n"/>
      <c r="K418" s="463" t="n"/>
      <c r="L418" s="464" t="n"/>
      <c r="M418" s="464" t="n"/>
      <c r="N418" s="463" t="n"/>
      <c r="O418" s="464" t="n"/>
      <c r="P418" s="464" t="n"/>
      <c r="Q418" s="463" t="n"/>
      <c r="R418" s="468" t="n"/>
    </row>
    <row r="419">
      <c r="A419" s="463" t="n"/>
      <c r="B419" s="463" t="n"/>
      <c r="C419" s="465" t="n"/>
      <c r="D419" s="465" t="n"/>
      <c r="E419" s="466" t="n"/>
      <c r="F419" s="466" t="n"/>
      <c r="G419" s="466" t="n"/>
      <c r="H419" s="467" t="n"/>
      <c r="I419" s="466" t="n"/>
      <c r="J419" s="464" t="n"/>
      <c r="K419" s="463" t="n"/>
      <c r="L419" s="464" t="n"/>
      <c r="M419" s="464" t="n"/>
      <c r="N419" s="463" t="n"/>
      <c r="O419" s="464" t="n"/>
      <c r="P419" s="464" t="n"/>
      <c r="Q419" s="463" t="n"/>
      <c r="R419" s="468" t="n"/>
    </row>
    <row r="420">
      <c r="A420" s="463" t="n"/>
      <c r="B420" s="463" t="n"/>
      <c r="C420" s="465" t="n"/>
      <c r="D420" s="465" t="n"/>
      <c r="E420" s="466" t="n"/>
      <c r="F420" s="466" t="n"/>
      <c r="G420" s="466" t="n"/>
      <c r="H420" s="467" t="n"/>
      <c r="I420" s="466" t="n"/>
      <c r="J420" s="464" t="n"/>
      <c r="K420" s="463" t="n"/>
      <c r="L420" s="464" t="n"/>
      <c r="M420" s="464" t="n"/>
      <c r="N420" s="463" t="n"/>
      <c r="O420" s="464" t="n"/>
      <c r="P420" s="464" t="n"/>
      <c r="Q420" s="463" t="n"/>
      <c r="R420" s="468" t="n"/>
    </row>
    <row r="421">
      <c r="A421" s="463" t="n"/>
      <c r="B421" s="463" t="n"/>
      <c r="C421" s="465" t="n"/>
      <c r="D421" s="465" t="n"/>
      <c r="E421" s="466" t="n"/>
      <c r="F421" s="466" t="n"/>
      <c r="G421" s="466" t="n"/>
      <c r="H421" s="467" t="n"/>
      <c r="I421" s="466" t="n"/>
      <c r="J421" s="464" t="n"/>
      <c r="K421" s="463" t="n"/>
      <c r="L421" s="464" t="n"/>
      <c r="M421" s="464" t="n"/>
      <c r="N421" s="463" t="n"/>
      <c r="O421" s="464" t="n"/>
      <c r="P421" s="464" t="n"/>
      <c r="Q421" s="463" t="n"/>
      <c r="R421" s="468" t="n"/>
    </row>
    <row r="422">
      <c r="A422" s="463" t="n"/>
      <c r="B422" s="463" t="n"/>
      <c r="C422" s="465" t="n"/>
      <c r="D422" s="465" t="n"/>
      <c r="E422" s="466" t="n"/>
      <c r="F422" s="466" t="n"/>
      <c r="G422" s="466" t="n"/>
      <c r="H422" s="467" t="n"/>
      <c r="I422" s="466" t="n"/>
      <c r="J422" s="464" t="n"/>
      <c r="K422" s="463" t="n"/>
      <c r="L422" s="464" t="n"/>
      <c r="M422" s="464" t="n"/>
      <c r="N422" s="463" t="n"/>
      <c r="O422" s="464" t="n"/>
      <c r="P422" s="464" t="n"/>
      <c r="Q422" s="463" t="n"/>
      <c r="R422" s="468" t="n"/>
    </row>
    <row r="423">
      <c r="A423" s="463" t="n"/>
      <c r="B423" s="463" t="n"/>
      <c r="C423" s="465" t="n"/>
      <c r="D423" s="465" t="n"/>
      <c r="E423" s="466" t="n"/>
      <c r="F423" s="466" t="n"/>
      <c r="G423" s="466" t="n"/>
      <c r="H423" s="467" t="n"/>
      <c r="I423" s="466" t="n"/>
      <c r="J423" s="464" t="n"/>
      <c r="K423" s="463" t="n"/>
      <c r="L423" s="464" t="n"/>
      <c r="M423" s="464" t="n"/>
      <c r="N423" s="463" t="n"/>
      <c r="O423" s="464" t="n"/>
      <c r="P423" s="464" t="n"/>
      <c r="Q423" s="463" t="n"/>
      <c r="R423" s="468" t="n"/>
    </row>
    <row r="424">
      <c r="A424" s="463" t="n"/>
      <c r="B424" s="463" t="n"/>
      <c r="C424" s="465" t="n"/>
      <c r="D424" s="465" t="n"/>
      <c r="E424" s="466" t="n"/>
      <c r="F424" s="466" t="n"/>
      <c r="G424" s="466" t="n"/>
      <c r="H424" s="467" t="n"/>
      <c r="I424" s="466" t="n"/>
      <c r="J424" s="464" t="n"/>
      <c r="K424" s="463" t="n"/>
      <c r="L424" s="464" t="n"/>
      <c r="M424" s="464" t="n"/>
      <c r="N424" s="463" t="n"/>
      <c r="O424" s="464" t="n"/>
      <c r="P424" s="464" t="n"/>
      <c r="Q424" s="463" t="n"/>
      <c r="R424" s="468" t="n"/>
    </row>
    <row r="425">
      <c r="A425" s="463" t="n"/>
      <c r="B425" s="463" t="n"/>
      <c r="C425" s="465" t="n"/>
      <c r="D425" s="465" t="n"/>
      <c r="E425" s="466" t="n"/>
      <c r="F425" s="466" t="n"/>
      <c r="G425" s="466" t="n"/>
      <c r="H425" s="467" t="n"/>
      <c r="I425" s="466" t="n"/>
      <c r="J425" s="464" t="n"/>
      <c r="K425" s="463" t="n"/>
      <c r="L425" s="464" t="n"/>
      <c r="M425" s="464" t="n"/>
      <c r="N425" s="463" t="n"/>
      <c r="O425" s="464" t="n"/>
      <c r="P425" s="464" t="n"/>
      <c r="Q425" s="463" t="n"/>
      <c r="R425" s="468" t="n"/>
    </row>
    <row r="426">
      <c r="A426" s="463" t="n"/>
      <c r="B426" s="463" t="n"/>
      <c r="C426" s="465" t="n"/>
      <c r="D426" s="465" t="n"/>
      <c r="E426" s="466" t="n"/>
      <c r="F426" s="466" t="n"/>
      <c r="G426" s="466" t="n"/>
      <c r="H426" s="467" t="n"/>
      <c r="I426" s="466" t="n"/>
      <c r="J426" s="464" t="n"/>
      <c r="K426" s="463" t="n"/>
      <c r="L426" s="464" t="n"/>
      <c r="M426" s="464" t="n"/>
      <c r="N426" s="463" t="n"/>
      <c r="O426" s="464" t="n"/>
      <c r="P426" s="464" t="n"/>
      <c r="Q426" s="463" t="n"/>
      <c r="R426" s="468" t="n"/>
    </row>
    <row r="427">
      <c r="A427" s="463" t="n"/>
      <c r="B427" s="463" t="n"/>
      <c r="C427" s="465" t="n"/>
      <c r="D427" s="465" t="n"/>
      <c r="E427" s="466" t="n"/>
      <c r="F427" s="466" t="n"/>
      <c r="G427" s="466" t="n"/>
      <c r="H427" s="467" t="n"/>
      <c r="I427" s="466" t="n"/>
      <c r="J427" s="464" t="n"/>
      <c r="K427" s="463" t="n"/>
      <c r="L427" s="464" t="n"/>
      <c r="M427" s="464" t="n"/>
      <c r="N427" s="463" t="n"/>
      <c r="O427" s="464" t="n"/>
      <c r="P427" s="464" t="n"/>
      <c r="Q427" s="463" t="n"/>
      <c r="R427" s="468" t="n"/>
    </row>
    <row r="428">
      <c r="A428" s="463" t="n"/>
      <c r="B428" s="463" t="n"/>
      <c r="C428" s="465" t="n"/>
      <c r="D428" s="465" t="n"/>
      <c r="E428" s="466" t="n"/>
      <c r="F428" s="466" t="n"/>
      <c r="G428" s="466" t="n"/>
      <c r="H428" s="467" t="n"/>
      <c r="I428" s="466" t="n"/>
      <c r="J428" s="464" t="n"/>
      <c r="K428" s="463" t="n"/>
      <c r="L428" s="464" t="n"/>
      <c r="M428" s="464" t="n"/>
      <c r="N428" s="463" t="n"/>
      <c r="O428" s="464" t="n"/>
      <c r="P428" s="464" t="n"/>
      <c r="Q428" s="463" t="n"/>
      <c r="R428" s="468" t="n"/>
    </row>
    <row r="429">
      <c r="A429" s="463" t="n"/>
      <c r="B429" s="463" t="n"/>
      <c r="C429" s="465" t="n"/>
      <c r="D429" s="465" t="n"/>
      <c r="E429" s="466" t="n"/>
      <c r="F429" s="466" t="n"/>
      <c r="G429" s="466" t="n"/>
      <c r="H429" s="467" t="n"/>
      <c r="I429" s="466" t="n"/>
      <c r="J429" s="464" t="n"/>
      <c r="K429" s="463" t="n"/>
      <c r="L429" s="464" t="n"/>
      <c r="M429" s="464" t="n"/>
      <c r="N429" s="463" t="n"/>
      <c r="O429" s="464" t="n"/>
      <c r="P429" s="464" t="n"/>
      <c r="Q429" s="463" t="n"/>
      <c r="R429" s="468" t="n"/>
    </row>
    <row r="430">
      <c r="A430" s="463" t="n"/>
      <c r="B430" s="463" t="n"/>
      <c r="C430" s="465" t="n"/>
      <c r="D430" s="465" t="n"/>
      <c r="E430" s="466" t="n"/>
      <c r="F430" s="466" t="n"/>
      <c r="G430" s="466" t="n"/>
      <c r="H430" s="467" t="n"/>
      <c r="I430" s="466" t="n"/>
      <c r="J430" s="464" t="n"/>
      <c r="K430" s="463" t="n"/>
      <c r="L430" s="464" t="n"/>
      <c r="M430" s="464" t="n"/>
      <c r="N430" s="463" t="n"/>
      <c r="O430" s="464" t="n"/>
      <c r="P430" s="464" t="n"/>
      <c r="Q430" s="463" t="n"/>
      <c r="R430" s="468" t="n"/>
    </row>
    <row r="431">
      <c r="A431" s="463" t="n"/>
      <c r="B431" s="463" t="n"/>
      <c r="C431" s="465" t="n"/>
      <c r="D431" s="465" t="n"/>
      <c r="E431" s="466" t="n"/>
      <c r="F431" s="466" t="n"/>
      <c r="G431" s="466" t="n"/>
      <c r="H431" s="467" t="n"/>
      <c r="I431" s="466" t="n"/>
      <c r="J431" s="464" t="n"/>
      <c r="K431" s="463" t="n"/>
      <c r="L431" s="464" t="n"/>
      <c r="M431" s="464" t="n"/>
      <c r="N431" s="463" t="n"/>
      <c r="O431" s="464" t="n"/>
      <c r="P431" s="464" t="n"/>
      <c r="Q431" s="463" t="n"/>
      <c r="R431" s="468" t="n"/>
    </row>
    <row r="432">
      <c r="A432" s="463" t="n"/>
      <c r="B432" s="463" t="n"/>
      <c r="C432" s="465" t="n"/>
      <c r="D432" s="465" t="n"/>
      <c r="E432" s="466" t="n"/>
      <c r="F432" s="466" t="n"/>
      <c r="G432" s="466" t="n"/>
      <c r="H432" s="467" t="n"/>
      <c r="I432" s="466" t="n"/>
      <c r="J432" s="464" t="n"/>
      <c r="K432" s="463" t="n"/>
      <c r="L432" s="464" t="n"/>
      <c r="M432" s="464" t="n"/>
      <c r="N432" s="463" t="n"/>
      <c r="O432" s="464" t="n"/>
      <c r="P432" s="464" t="n"/>
      <c r="Q432" s="463" t="n"/>
      <c r="R432" s="468" t="n"/>
    </row>
    <row r="433">
      <c r="A433" s="463" t="n"/>
      <c r="B433" s="463" t="n"/>
      <c r="C433" s="465" t="n"/>
      <c r="D433" s="465" t="n"/>
      <c r="E433" s="466" t="n"/>
      <c r="F433" s="466" t="n"/>
      <c r="G433" s="466" t="n"/>
      <c r="H433" s="467" t="n"/>
      <c r="I433" s="466" t="n"/>
      <c r="J433" s="464" t="n"/>
      <c r="K433" s="463" t="n"/>
      <c r="L433" s="464" t="n"/>
      <c r="M433" s="464" t="n"/>
      <c r="N433" s="463" t="n"/>
      <c r="O433" s="464" t="n"/>
      <c r="P433" s="464" t="n"/>
      <c r="Q433" s="463" t="n"/>
      <c r="R433" s="468" t="n"/>
    </row>
    <row r="434">
      <c r="A434" s="463" t="n"/>
      <c r="B434" s="463" t="n"/>
      <c r="C434" s="465" t="n"/>
      <c r="D434" s="465" t="n"/>
      <c r="E434" s="466" t="n"/>
      <c r="F434" s="466" t="n"/>
      <c r="G434" s="466" t="n"/>
      <c r="H434" s="467" t="n"/>
      <c r="I434" s="466" t="n"/>
      <c r="J434" s="464" t="n"/>
      <c r="K434" s="463" t="n"/>
      <c r="L434" s="464" t="n"/>
      <c r="M434" s="464" t="n"/>
      <c r="N434" s="463" t="n"/>
      <c r="O434" s="464" t="n"/>
      <c r="P434" s="464" t="n"/>
      <c r="Q434" s="463" t="n"/>
      <c r="R434" s="468" t="n"/>
    </row>
    <row r="435">
      <c r="A435" s="463" t="n"/>
      <c r="B435" s="463" t="n"/>
      <c r="C435" s="465" t="n"/>
      <c r="D435" s="465" t="n"/>
      <c r="E435" s="466" t="n"/>
      <c r="F435" s="466" t="n"/>
      <c r="G435" s="466" t="n"/>
      <c r="H435" s="467" t="n"/>
      <c r="I435" s="466" t="n"/>
      <c r="J435" s="464" t="n"/>
      <c r="K435" s="463" t="n"/>
      <c r="L435" s="464" t="n"/>
      <c r="M435" s="464" t="n"/>
      <c r="N435" s="463" t="n"/>
      <c r="O435" s="464" t="n"/>
      <c r="P435" s="464" t="n"/>
      <c r="Q435" s="463" t="n"/>
      <c r="R435" s="468" t="n"/>
    </row>
    <row r="436">
      <c r="A436" s="463" t="n"/>
      <c r="B436" s="463" t="n"/>
      <c r="C436" s="465" t="n"/>
      <c r="D436" s="465" t="n"/>
      <c r="E436" s="466" t="n"/>
      <c r="F436" s="466" t="n"/>
      <c r="G436" s="466" t="n"/>
      <c r="H436" s="467" t="n"/>
      <c r="I436" s="466" t="n"/>
      <c r="J436" s="464" t="n"/>
      <c r="K436" s="463" t="n"/>
      <c r="L436" s="464" t="n"/>
      <c r="M436" s="464" t="n"/>
      <c r="N436" s="463" t="n"/>
      <c r="O436" s="464" t="n"/>
      <c r="P436" s="464" t="n"/>
      <c r="Q436" s="463" t="n"/>
      <c r="R436" s="468" t="n"/>
    </row>
    <row r="437">
      <c r="A437" s="463" t="n"/>
      <c r="B437" s="463" t="n"/>
      <c r="C437" s="465" t="n"/>
      <c r="D437" s="465" t="n"/>
      <c r="E437" s="466" t="n"/>
      <c r="F437" s="466" t="n"/>
      <c r="G437" s="466" t="n"/>
      <c r="H437" s="467" t="n"/>
      <c r="I437" s="466" t="n"/>
      <c r="J437" s="464" t="n"/>
      <c r="K437" s="463" t="n"/>
      <c r="L437" s="464" t="n"/>
      <c r="M437" s="464" t="n"/>
      <c r="N437" s="463" t="n"/>
      <c r="O437" s="464" t="n"/>
      <c r="P437" s="464" t="n"/>
      <c r="Q437" s="463" t="n"/>
      <c r="R437" s="468" t="n"/>
    </row>
    <row r="438">
      <c r="A438" s="463" t="n"/>
      <c r="B438" s="463" t="n"/>
      <c r="C438" s="465" t="n"/>
      <c r="D438" s="465" t="n"/>
      <c r="E438" s="466" t="n"/>
      <c r="F438" s="466" t="n"/>
      <c r="G438" s="466" t="n"/>
      <c r="H438" s="467" t="n"/>
      <c r="I438" s="466" t="n"/>
      <c r="J438" s="464" t="n"/>
      <c r="K438" s="463" t="n"/>
      <c r="L438" s="464" t="n"/>
      <c r="M438" s="464" t="n"/>
      <c r="N438" s="463" t="n"/>
      <c r="O438" s="464" t="n"/>
      <c r="P438" s="464" t="n"/>
      <c r="Q438" s="463" t="n"/>
      <c r="R438" s="468" t="n"/>
    </row>
    <row r="439">
      <c r="A439" s="463" t="n"/>
      <c r="B439" s="463" t="n"/>
      <c r="C439" s="465" t="n"/>
      <c r="D439" s="465" t="n"/>
      <c r="E439" s="466" t="n"/>
      <c r="F439" s="466" t="n"/>
      <c r="G439" s="466" t="n"/>
      <c r="H439" s="467" t="n"/>
      <c r="I439" s="466" t="n"/>
      <c r="J439" s="464" t="n"/>
      <c r="K439" s="463" t="n"/>
      <c r="L439" s="464" t="n"/>
      <c r="M439" s="464" t="n"/>
      <c r="N439" s="463" t="n"/>
      <c r="O439" s="464" t="n"/>
      <c r="P439" s="464" t="n"/>
      <c r="Q439" s="463" t="n"/>
      <c r="R439" s="468" t="n"/>
    </row>
    <row r="440">
      <c r="A440" s="463" t="n"/>
      <c r="B440" s="463" t="n"/>
      <c r="C440" s="465" t="n"/>
      <c r="D440" s="465" t="n"/>
      <c r="E440" s="466" t="n"/>
      <c r="F440" s="466" t="n"/>
      <c r="G440" s="466" t="n"/>
      <c r="H440" s="467" t="n"/>
      <c r="I440" s="466" t="n"/>
      <c r="J440" s="464" t="n"/>
      <c r="K440" s="463" t="n"/>
      <c r="L440" s="464" t="n"/>
      <c r="M440" s="464" t="n"/>
      <c r="N440" s="463" t="n"/>
      <c r="O440" s="464" t="n"/>
      <c r="P440" s="464" t="n"/>
      <c r="Q440" s="463" t="n"/>
      <c r="R440" s="468" t="n"/>
    </row>
    <row r="441">
      <c r="A441" s="463" t="n"/>
      <c r="B441" s="463" t="n"/>
      <c r="C441" s="465" t="n"/>
      <c r="D441" s="465" t="n"/>
      <c r="E441" s="466" t="n"/>
      <c r="F441" s="466" t="n"/>
      <c r="G441" s="466" t="n"/>
      <c r="H441" s="467" t="n"/>
      <c r="I441" s="466" t="n"/>
      <c r="J441" s="464" t="n"/>
      <c r="K441" s="463" t="n"/>
      <c r="L441" s="464" t="n"/>
      <c r="M441" s="464" t="n"/>
      <c r="N441" s="463" t="n"/>
      <c r="O441" s="464" t="n"/>
      <c r="P441" s="464" t="n"/>
      <c r="Q441" s="463" t="n"/>
      <c r="R441" s="468" t="n"/>
    </row>
    <row r="442">
      <c r="A442" s="463" t="n"/>
      <c r="B442" s="463" t="n"/>
      <c r="C442" s="465" t="n"/>
      <c r="D442" s="465" t="n"/>
      <c r="E442" s="466" t="n"/>
      <c r="F442" s="466" t="n"/>
      <c r="G442" s="466" t="n"/>
      <c r="H442" s="467" t="n"/>
      <c r="I442" s="466" t="n"/>
      <c r="J442" s="464" t="n"/>
      <c r="K442" s="463" t="n"/>
      <c r="L442" s="464" t="n"/>
      <c r="M442" s="464" t="n"/>
      <c r="N442" s="463" t="n"/>
      <c r="O442" s="464" t="n"/>
      <c r="P442" s="464" t="n"/>
      <c r="Q442" s="463" t="n"/>
      <c r="R442" s="468" t="n"/>
    </row>
    <row r="443">
      <c r="A443" s="463" t="n"/>
      <c r="B443" s="463" t="n"/>
      <c r="C443" s="465" t="n"/>
      <c r="D443" s="465" t="n"/>
      <c r="E443" s="466" t="n"/>
      <c r="F443" s="466" t="n"/>
      <c r="G443" s="466" t="n"/>
      <c r="H443" s="467" t="n"/>
      <c r="I443" s="466" t="n"/>
      <c r="J443" s="464" t="n"/>
      <c r="K443" s="463" t="n"/>
      <c r="L443" s="464" t="n"/>
      <c r="M443" s="464" t="n"/>
      <c r="N443" s="463" t="n"/>
      <c r="O443" s="464" t="n"/>
      <c r="P443" s="464" t="n"/>
      <c r="Q443" s="463" t="n"/>
      <c r="R443" s="468" t="n"/>
    </row>
    <row r="444">
      <c r="A444" s="463" t="n"/>
      <c r="B444" s="463" t="n"/>
      <c r="C444" s="465" t="n"/>
      <c r="D444" s="465" t="n"/>
      <c r="E444" s="466" t="n"/>
      <c r="F444" s="466" t="n"/>
      <c r="G444" s="466" t="n"/>
      <c r="H444" s="467" t="n"/>
      <c r="I444" s="466" t="n"/>
      <c r="J444" s="464" t="n"/>
      <c r="K444" s="463" t="n"/>
      <c r="L444" s="464" t="n"/>
      <c r="M444" s="464" t="n"/>
      <c r="N444" s="463" t="n"/>
      <c r="O444" s="464" t="n"/>
      <c r="P444" s="464" t="n"/>
      <c r="Q444" s="463" t="n"/>
      <c r="R444" s="468" t="n"/>
    </row>
    <row r="445">
      <c r="A445" s="463" t="n"/>
      <c r="B445" s="463" t="n"/>
      <c r="C445" s="465" t="n"/>
      <c r="D445" s="465" t="n"/>
      <c r="E445" s="466" t="n"/>
      <c r="F445" s="466" t="n"/>
      <c r="G445" s="466" t="n"/>
      <c r="H445" s="467" t="n"/>
      <c r="I445" s="466" t="n"/>
      <c r="J445" s="464" t="n"/>
      <c r="K445" s="463" t="n"/>
      <c r="L445" s="464" t="n"/>
      <c r="M445" s="464" t="n"/>
      <c r="N445" s="463" t="n"/>
      <c r="O445" s="464" t="n"/>
      <c r="P445" s="464" t="n"/>
      <c r="Q445" s="463" t="n"/>
      <c r="R445" s="468" t="n"/>
    </row>
    <row r="446">
      <c r="A446" s="463" t="n"/>
      <c r="B446" s="463" t="n"/>
      <c r="C446" s="465" t="n"/>
      <c r="D446" s="465" t="n"/>
      <c r="E446" s="466" t="n"/>
      <c r="F446" s="466" t="n"/>
      <c r="G446" s="466" t="n"/>
      <c r="H446" s="467" t="n"/>
      <c r="I446" s="466" t="n"/>
      <c r="J446" s="464" t="n"/>
      <c r="K446" s="463" t="n"/>
      <c r="L446" s="464" t="n"/>
      <c r="M446" s="464" t="n"/>
      <c r="N446" s="463" t="n"/>
      <c r="O446" s="464" t="n"/>
      <c r="P446" s="464" t="n"/>
      <c r="Q446" s="463" t="n"/>
      <c r="R446" s="468" t="n"/>
    </row>
    <row r="447">
      <c r="A447" s="463" t="n"/>
      <c r="B447" s="463" t="n"/>
      <c r="C447" s="465" t="n"/>
      <c r="D447" s="465" t="n"/>
      <c r="E447" s="466" t="n"/>
      <c r="F447" s="466" t="n"/>
      <c r="G447" s="466" t="n"/>
      <c r="H447" s="467" t="n"/>
      <c r="I447" s="466" t="n"/>
      <c r="J447" s="464" t="n"/>
      <c r="K447" s="463" t="n"/>
      <c r="L447" s="464" t="n"/>
      <c r="M447" s="464" t="n"/>
      <c r="N447" s="463" t="n"/>
      <c r="O447" s="464" t="n"/>
      <c r="P447" s="464" t="n"/>
      <c r="Q447" s="463" t="n"/>
      <c r="R447" s="468" t="n"/>
    </row>
    <row r="448">
      <c r="A448" s="463" t="n"/>
      <c r="B448" s="463" t="n"/>
      <c r="C448" s="465" t="n"/>
      <c r="D448" s="465" t="n"/>
      <c r="E448" s="466" t="n"/>
      <c r="F448" s="466" t="n"/>
      <c r="G448" s="466" t="n"/>
      <c r="H448" s="467" t="n"/>
      <c r="I448" s="466" t="n"/>
      <c r="J448" s="464" t="n"/>
      <c r="K448" s="463" t="n"/>
      <c r="L448" s="464" t="n"/>
      <c r="M448" s="464" t="n"/>
      <c r="N448" s="463" t="n"/>
      <c r="O448" s="464" t="n"/>
      <c r="P448" s="464" t="n"/>
      <c r="Q448" s="463" t="n"/>
      <c r="R448" s="468" t="n"/>
    </row>
    <row r="449">
      <c r="A449" s="463" t="n"/>
      <c r="B449" s="463" t="n"/>
      <c r="C449" s="465" t="n"/>
      <c r="D449" s="465" t="n"/>
      <c r="E449" s="466" t="n"/>
      <c r="F449" s="466" t="n"/>
      <c r="G449" s="466" t="n"/>
      <c r="H449" s="467" t="n"/>
      <c r="I449" s="466" t="n"/>
      <c r="J449" s="464" t="n"/>
      <c r="K449" s="463" t="n"/>
      <c r="L449" s="464" t="n"/>
      <c r="M449" s="464" t="n"/>
      <c r="N449" s="463" t="n"/>
      <c r="O449" s="464" t="n"/>
      <c r="P449" s="464" t="n"/>
      <c r="Q449" s="463" t="n"/>
      <c r="R449" s="468" t="n"/>
    </row>
    <row r="450">
      <c r="A450" s="463" t="n"/>
      <c r="B450" s="463" t="n"/>
      <c r="C450" s="465" t="n"/>
      <c r="D450" s="465" t="n"/>
      <c r="E450" s="466" t="n"/>
      <c r="F450" s="466" t="n"/>
      <c r="G450" s="466" t="n"/>
      <c r="H450" s="467" t="n"/>
      <c r="I450" s="466" t="n"/>
      <c r="J450" s="464" t="n"/>
      <c r="K450" s="463" t="n"/>
      <c r="L450" s="464" t="n"/>
      <c r="M450" s="464" t="n"/>
      <c r="N450" s="463" t="n"/>
      <c r="O450" s="464" t="n"/>
      <c r="P450" s="464" t="n"/>
      <c r="Q450" s="463" t="n"/>
      <c r="R450" s="468" t="n"/>
    </row>
    <row r="451">
      <c r="A451" s="463" t="n"/>
      <c r="B451" s="463" t="n"/>
      <c r="C451" s="465" t="n"/>
      <c r="D451" s="465" t="n"/>
      <c r="E451" s="466" t="n"/>
      <c r="F451" s="466" t="n"/>
      <c r="G451" s="466" t="n"/>
      <c r="H451" s="467" t="n"/>
      <c r="I451" s="466" t="n"/>
      <c r="J451" s="464" t="n"/>
      <c r="K451" s="463" t="n"/>
      <c r="L451" s="464" t="n"/>
      <c r="M451" s="464" t="n"/>
      <c r="N451" s="463" t="n"/>
      <c r="O451" s="464" t="n"/>
      <c r="P451" s="464" t="n"/>
      <c r="Q451" s="463" t="n"/>
      <c r="R451" s="468" t="n"/>
    </row>
    <row r="452">
      <c r="A452" s="463" t="n"/>
      <c r="B452" s="463" t="n"/>
      <c r="C452" s="465" t="n"/>
      <c r="D452" s="465" t="n"/>
      <c r="E452" s="466" t="n"/>
      <c r="F452" s="466" t="n"/>
      <c r="G452" s="466" t="n"/>
      <c r="H452" s="467" t="n"/>
      <c r="I452" s="466" t="n"/>
      <c r="J452" s="464" t="n"/>
      <c r="K452" s="463" t="n"/>
      <c r="L452" s="464" t="n"/>
      <c r="M452" s="464" t="n"/>
      <c r="N452" s="463" t="n"/>
      <c r="O452" s="464" t="n"/>
      <c r="P452" s="464" t="n"/>
      <c r="Q452" s="463" t="n"/>
      <c r="R452" s="468" t="n"/>
    </row>
    <row r="453">
      <c r="A453" s="463" t="n"/>
      <c r="B453" s="463" t="n"/>
      <c r="C453" s="465" t="n"/>
      <c r="D453" s="465" t="n"/>
      <c r="E453" s="466" t="n"/>
      <c r="F453" s="466" t="n"/>
      <c r="G453" s="466" t="n"/>
      <c r="H453" s="467" t="n"/>
      <c r="I453" s="466" t="n"/>
      <c r="J453" s="464" t="n"/>
      <c r="K453" s="463" t="n"/>
      <c r="L453" s="464" t="n"/>
      <c r="M453" s="464" t="n"/>
      <c r="N453" s="463" t="n"/>
      <c r="O453" s="464" t="n"/>
      <c r="P453" s="464" t="n"/>
      <c r="Q453" s="463" t="n"/>
      <c r="R453" s="468" t="n"/>
    </row>
    <row r="454">
      <c r="A454" s="463" t="n"/>
      <c r="B454" s="463" t="n"/>
      <c r="C454" s="465" t="n"/>
      <c r="D454" s="465" t="n"/>
      <c r="E454" s="466" t="n"/>
      <c r="F454" s="466" t="n"/>
      <c r="G454" s="466" t="n"/>
      <c r="H454" s="467" t="n"/>
      <c r="I454" s="466" t="n"/>
      <c r="J454" s="464" t="n"/>
      <c r="K454" s="463" t="n"/>
      <c r="L454" s="464" t="n"/>
      <c r="M454" s="464" t="n"/>
      <c r="N454" s="463" t="n"/>
      <c r="O454" s="464" t="n"/>
      <c r="P454" s="464" t="n"/>
      <c r="Q454" s="463" t="n"/>
      <c r="R454" s="468" t="n"/>
    </row>
    <row r="455">
      <c r="A455" s="463" t="n"/>
      <c r="B455" s="463" t="n"/>
      <c r="C455" s="465" t="n"/>
      <c r="D455" s="465" t="n"/>
      <c r="E455" s="466" t="n"/>
      <c r="F455" s="466" t="n"/>
      <c r="G455" s="466" t="n"/>
      <c r="H455" s="467" t="n"/>
      <c r="I455" s="466" t="n"/>
      <c r="J455" s="464" t="n"/>
      <c r="K455" s="463" t="n"/>
      <c r="L455" s="464" t="n"/>
      <c r="M455" s="464" t="n"/>
      <c r="N455" s="463" t="n"/>
      <c r="O455" s="464" t="n"/>
      <c r="P455" s="464" t="n"/>
      <c r="Q455" s="463" t="n"/>
      <c r="R455" s="468" t="n"/>
    </row>
    <row r="456">
      <c r="A456" s="463" t="n"/>
      <c r="B456" s="463" t="n"/>
      <c r="C456" s="465" t="n"/>
      <c r="D456" s="465" t="n"/>
      <c r="E456" s="466" t="n"/>
      <c r="F456" s="466" t="n"/>
      <c r="G456" s="466" t="n"/>
      <c r="H456" s="467" t="n"/>
      <c r="I456" s="466" t="n"/>
      <c r="J456" s="464" t="n"/>
      <c r="K456" s="463" t="n"/>
      <c r="L456" s="464" t="n"/>
      <c r="M456" s="464" t="n"/>
      <c r="N456" s="463" t="n"/>
      <c r="O456" s="464" t="n"/>
      <c r="P456" s="464" t="n"/>
      <c r="Q456" s="463" t="n"/>
      <c r="R456" s="468" t="n"/>
    </row>
    <row r="457">
      <c r="A457" s="463" t="n"/>
      <c r="B457" s="463" t="n"/>
      <c r="C457" s="465" t="n"/>
      <c r="D457" s="465" t="n"/>
      <c r="E457" s="466" t="n"/>
      <c r="F457" s="466" t="n"/>
      <c r="G457" s="466" t="n"/>
      <c r="H457" s="467" t="n"/>
      <c r="I457" s="466" t="n"/>
      <c r="J457" s="464" t="n"/>
      <c r="K457" s="463" t="n"/>
      <c r="L457" s="464" t="n"/>
      <c r="M457" s="464" t="n"/>
      <c r="N457" s="463" t="n"/>
      <c r="O457" s="464" t="n"/>
      <c r="P457" s="464" t="n"/>
      <c r="Q457" s="463" t="n"/>
      <c r="R457" s="468" t="n"/>
    </row>
    <row r="458">
      <c r="A458" s="463" t="n"/>
      <c r="B458" s="463" t="n"/>
      <c r="C458" s="465" t="n"/>
      <c r="D458" s="465" t="n"/>
      <c r="E458" s="466" t="n"/>
      <c r="F458" s="466" t="n"/>
      <c r="G458" s="466" t="n"/>
      <c r="H458" s="467" t="n"/>
      <c r="I458" s="466" t="n"/>
      <c r="J458" s="464" t="n"/>
      <c r="K458" s="463" t="n"/>
      <c r="L458" s="464" t="n"/>
      <c r="M458" s="464" t="n"/>
      <c r="N458" s="463" t="n"/>
      <c r="O458" s="464" t="n"/>
      <c r="P458" s="464" t="n"/>
      <c r="Q458" s="463" t="n"/>
      <c r="R458" s="468" t="n"/>
    </row>
    <row r="459">
      <c r="A459" s="463" t="n"/>
      <c r="B459" s="463" t="n"/>
      <c r="C459" s="465" t="n"/>
      <c r="D459" s="465" t="n"/>
      <c r="E459" s="466" t="n"/>
      <c r="F459" s="466" t="n"/>
      <c r="G459" s="466" t="n"/>
      <c r="H459" s="467" t="n"/>
      <c r="I459" s="466" t="n"/>
      <c r="J459" s="464" t="n"/>
      <c r="K459" s="463" t="n"/>
      <c r="L459" s="464" t="n"/>
      <c r="M459" s="464" t="n"/>
      <c r="N459" s="463" t="n"/>
      <c r="O459" s="464" t="n"/>
      <c r="P459" s="464" t="n"/>
      <c r="Q459" s="463" t="n"/>
      <c r="R459" s="468" t="n"/>
    </row>
    <row r="460">
      <c r="A460" s="463" t="n"/>
      <c r="B460" s="463" t="n"/>
      <c r="C460" s="465" t="n"/>
      <c r="D460" s="465" t="n"/>
      <c r="E460" s="466" t="n"/>
      <c r="F460" s="466" t="n"/>
      <c r="G460" s="466" t="n"/>
      <c r="H460" s="467" t="n"/>
      <c r="I460" s="466" t="n"/>
      <c r="J460" s="464" t="n"/>
      <c r="K460" s="463" t="n"/>
      <c r="L460" s="464" t="n"/>
      <c r="M460" s="464" t="n"/>
      <c r="N460" s="463" t="n"/>
      <c r="O460" s="464" t="n"/>
      <c r="P460" s="464" t="n"/>
      <c r="Q460" s="463" t="n"/>
      <c r="R460" s="468" t="n"/>
    </row>
    <row r="461">
      <c r="A461" s="463" t="n"/>
      <c r="B461" s="463" t="n"/>
      <c r="C461" s="465" t="n"/>
      <c r="D461" s="465" t="n"/>
      <c r="E461" s="466" t="n"/>
      <c r="F461" s="466" t="n"/>
      <c r="G461" s="466" t="n"/>
      <c r="H461" s="467" t="n"/>
      <c r="I461" s="466" t="n"/>
      <c r="J461" s="464" t="n"/>
      <c r="K461" s="463" t="n"/>
      <c r="L461" s="464" t="n"/>
      <c r="M461" s="464" t="n"/>
      <c r="N461" s="463" t="n"/>
      <c r="O461" s="464" t="n"/>
      <c r="P461" s="464" t="n"/>
      <c r="Q461" s="463" t="n"/>
      <c r="R461" s="468" t="n"/>
    </row>
    <row r="462">
      <c r="A462" s="463" t="n"/>
      <c r="B462" s="463" t="n"/>
      <c r="C462" s="465" t="n"/>
      <c r="D462" s="465" t="n"/>
      <c r="E462" s="466" t="n"/>
      <c r="F462" s="466" t="n"/>
      <c r="G462" s="466" t="n"/>
      <c r="H462" s="467" t="n"/>
      <c r="I462" s="466" t="n"/>
      <c r="J462" s="464" t="n"/>
      <c r="K462" s="463" t="n"/>
      <c r="L462" s="464" t="n"/>
      <c r="M462" s="464" t="n"/>
      <c r="N462" s="463" t="n"/>
      <c r="O462" s="464" t="n"/>
      <c r="P462" s="464" t="n"/>
      <c r="Q462" s="463" t="n"/>
      <c r="R462" s="468" t="n"/>
    </row>
    <row r="463">
      <c r="A463" s="463" t="n"/>
      <c r="B463" s="463" t="n"/>
      <c r="C463" s="465" t="n"/>
      <c r="D463" s="465" t="n"/>
      <c r="E463" s="466" t="n"/>
      <c r="F463" s="466" t="n"/>
      <c r="G463" s="466" t="n"/>
      <c r="H463" s="467" t="n"/>
      <c r="I463" s="466" t="n"/>
      <c r="J463" s="464" t="n"/>
      <c r="K463" s="463" t="n"/>
      <c r="L463" s="464" t="n"/>
      <c r="M463" s="464" t="n"/>
      <c r="N463" s="463" t="n"/>
      <c r="O463" s="464" t="n"/>
      <c r="P463" s="464" t="n"/>
      <c r="Q463" s="463" t="n"/>
      <c r="R463" s="468" t="n"/>
    </row>
    <row r="464">
      <c r="A464" s="463" t="n"/>
      <c r="B464" s="463" t="n"/>
      <c r="C464" s="465" t="n"/>
      <c r="D464" s="465" t="n"/>
      <c r="E464" s="466" t="n"/>
      <c r="F464" s="466" t="n"/>
      <c r="G464" s="466" t="n"/>
      <c r="H464" s="467" t="n"/>
      <c r="I464" s="466" t="n"/>
      <c r="J464" s="464" t="n"/>
      <c r="K464" s="463" t="n"/>
      <c r="L464" s="464" t="n"/>
      <c r="M464" s="464" t="n"/>
      <c r="N464" s="463" t="n"/>
      <c r="O464" s="464" t="n"/>
      <c r="P464" s="464" t="n"/>
      <c r="Q464" s="463" t="n"/>
      <c r="R464" s="468" t="n"/>
    </row>
    <row r="465">
      <c r="A465" s="463" t="n"/>
      <c r="B465" s="463" t="n"/>
      <c r="C465" s="465" t="n"/>
      <c r="D465" s="465" t="n"/>
      <c r="E465" s="466" t="n"/>
      <c r="F465" s="466" t="n"/>
      <c r="G465" s="466" t="n"/>
      <c r="H465" s="467" t="n"/>
      <c r="I465" s="466" t="n"/>
      <c r="J465" s="464" t="n"/>
      <c r="K465" s="463" t="n"/>
      <c r="L465" s="464" t="n"/>
      <c r="M465" s="464" t="n"/>
      <c r="N465" s="463" t="n"/>
      <c r="O465" s="464" t="n"/>
      <c r="P465" s="464" t="n"/>
      <c r="Q465" s="463" t="n"/>
      <c r="R465" s="468" t="n"/>
    </row>
    <row r="466">
      <c r="A466" s="463" t="n"/>
      <c r="B466" s="463" t="n"/>
      <c r="C466" s="465" t="n"/>
      <c r="D466" s="465" t="n"/>
      <c r="E466" s="466" t="n"/>
      <c r="F466" s="466" t="n"/>
      <c r="G466" s="466" t="n"/>
      <c r="H466" s="467" t="n"/>
      <c r="I466" s="466" t="n"/>
      <c r="J466" s="464" t="n"/>
      <c r="K466" s="463" t="n"/>
      <c r="L466" s="464" t="n"/>
      <c r="M466" s="464" t="n"/>
      <c r="N466" s="463" t="n"/>
      <c r="O466" s="464" t="n"/>
      <c r="P466" s="464" t="n"/>
      <c r="Q466" s="463" t="n"/>
      <c r="R466" s="468" t="n"/>
    </row>
    <row r="467">
      <c r="A467" s="463" t="n"/>
      <c r="B467" s="463" t="n"/>
      <c r="C467" s="465" t="n"/>
      <c r="D467" s="465" t="n"/>
      <c r="E467" s="466" t="n"/>
      <c r="F467" s="466" t="n"/>
      <c r="G467" s="466" t="n"/>
      <c r="H467" s="467" t="n"/>
      <c r="I467" s="466" t="n"/>
      <c r="J467" s="464" t="n"/>
      <c r="K467" s="463" t="n"/>
      <c r="L467" s="464" t="n"/>
      <c r="M467" s="464" t="n"/>
      <c r="N467" s="463" t="n"/>
      <c r="O467" s="464" t="n"/>
      <c r="P467" s="464" t="n"/>
      <c r="Q467" s="463" t="n"/>
      <c r="R467" s="468" t="n"/>
    </row>
    <row r="468">
      <c r="A468" s="463" t="n"/>
      <c r="B468" s="463" t="n"/>
      <c r="C468" s="465" t="n"/>
      <c r="D468" s="465" t="n"/>
      <c r="E468" s="466" t="n"/>
      <c r="F468" s="466" t="n"/>
      <c r="G468" s="466" t="n"/>
      <c r="H468" s="467" t="n"/>
      <c r="I468" s="466" t="n"/>
      <c r="J468" s="464" t="n"/>
      <c r="K468" s="463" t="n"/>
      <c r="L468" s="464" t="n"/>
      <c r="M468" s="464" t="n"/>
      <c r="N468" s="463" t="n"/>
      <c r="O468" s="464" t="n"/>
      <c r="P468" s="464" t="n"/>
      <c r="Q468" s="463" t="n"/>
      <c r="R468" s="468" t="n"/>
    </row>
    <row r="469">
      <c r="A469" s="463" t="n"/>
      <c r="B469" s="463" t="n"/>
      <c r="C469" s="465" t="n"/>
      <c r="D469" s="465" t="n"/>
      <c r="E469" s="466" t="n"/>
      <c r="F469" s="466" t="n"/>
      <c r="G469" s="466" t="n"/>
      <c r="H469" s="467" t="n"/>
      <c r="I469" s="466" t="n"/>
      <c r="J469" s="464" t="n"/>
      <c r="K469" s="463" t="n"/>
      <c r="L469" s="464" t="n"/>
      <c r="M469" s="464" t="n"/>
      <c r="N469" s="463" t="n"/>
      <c r="O469" s="464" t="n"/>
      <c r="P469" s="464" t="n"/>
      <c r="Q469" s="463" t="n"/>
      <c r="R469" s="468" t="n"/>
    </row>
    <row r="470">
      <c r="A470" s="463" t="n"/>
      <c r="B470" s="463" t="n"/>
      <c r="C470" s="465" t="n"/>
      <c r="D470" s="465" t="n"/>
      <c r="E470" s="466" t="n"/>
      <c r="F470" s="466" t="n"/>
      <c r="G470" s="466" t="n"/>
      <c r="H470" s="467" t="n"/>
      <c r="I470" s="466" t="n"/>
      <c r="J470" s="464" t="n"/>
      <c r="K470" s="463" t="n"/>
      <c r="L470" s="464" t="n"/>
      <c r="M470" s="464" t="n"/>
      <c r="N470" s="463" t="n"/>
      <c r="O470" s="464" t="n"/>
      <c r="P470" s="464" t="n"/>
      <c r="Q470" s="463" t="n"/>
      <c r="R470" s="468" t="n"/>
    </row>
    <row r="471">
      <c r="A471" s="463" t="n"/>
      <c r="B471" s="463" t="n"/>
      <c r="C471" s="465" t="n"/>
      <c r="D471" s="465" t="n"/>
      <c r="E471" s="466" t="n"/>
      <c r="F471" s="466" t="n"/>
      <c r="G471" s="466" t="n"/>
      <c r="H471" s="467" t="n"/>
      <c r="I471" s="466" t="n"/>
      <c r="J471" s="464" t="n"/>
      <c r="K471" s="463" t="n"/>
      <c r="L471" s="464" t="n"/>
      <c r="M471" s="464" t="n"/>
      <c r="N471" s="463" t="n"/>
      <c r="O471" s="464" t="n"/>
      <c r="P471" s="464" t="n"/>
      <c r="Q471" s="463" t="n"/>
      <c r="R471" s="468" t="n"/>
    </row>
    <row r="472">
      <c r="A472" s="463" t="n"/>
      <c r="B472" s="463" t="n"/>
      <c r="C472" s="465" t="n"/>
      <c r="D472" s="465" t="n"/>
      <c r="E472" s="466" t="n"/>
      <c r="F472" s="466" t="n"/>
      <c r="G472" s="466" t="n"/>
      <c r="H472" s="467" t="n"/>
      <c r="I472" s="466" t="n"/>
      <c r="J472" s="464" t="n"/>
      <c r="K472" s="463" t="n"/>
      <c r="L472" s="464" t="n"/>
      <c r="M472" s="464" t="n"/>
      <c r="N472" s="463" t="n"/>
      <c r="O472" s="464" t="n"/>
      <c r="P472" s="464" t="n"/>
      <c r="Q472" s="463" t="n"/>
      <c r="R472" s="468" t="n"/>
    </row>
    <row r="473">
      <c r="A473" s="463" t="n"/>
      <c r="B473" s="463" t="n"/>
      <c r="C473" s="465" t="n"/>
      <c r="D473" s="465" t="n"/>
      <c r="E473" s="466" t="n"/>
      <c r="F473" s="466" t="n"/>
      <c r="G473" s="466" t="n"/>
      <c r="H473" s="467" t="n"/>
      <c r="I473" s="466" t="n"/>
      <c r="J473" s="464" t="n"/>
      <c r="K473" s="463" t="n"/>
      <c r="L473" s="464" t="n"/>
      <c r="M473" s="464" t="n"/>
      <c r="N473" s="463" t="n"/>
      <c r="O473" s="464" t="n"/>
      <c r="P473" s="464" t="n"/>
      <c r="Q473" s="463" t="n"/>
      <c r="R473" s="468" t="n"/>
    </row>
    <row r="474">
      <c r="A474" s="463" t="n"/>
      <c r="B474" s="463" t="n"/>
      <c r="C474" s="465" t="n"/>
      <c r="D474" s="465" t="n"/>
      <c r="E474" s="466" t="n"/>
      <c r="F474" s="466" t="n"/>
      <c r="G474" s="466" t="n"/>
      <c r="H474" s="467" t="n"/>
      <c r="I474" s="466" t="n"/>
      <c r="J474" s="464" t="n"/>
      <c r="K474" s="463" t="n"/>
      <c r="L474" s="464" t="n"/>
      <c r="M474" s="464" t="n"/>
      <c r="N474" s="463" t="n"/>
      <c r="O474" s="464" t="n"/>
      <c r="P474" s="464" t="n"/>
      <c r="Q474" s="463" t="n"/>
      <c r="R474" s="468" t="n"/>
    </row>
    <row r="475">
      <c r="A475" s="463" t="n"/>
      <c r="B475" s="463" t="n"/>
      <c r="C475" s="465" t="n"/>
      <c r="D475" s="465" t="n"/>
      <c r="E475" s="466" t="n"/>
      <c r="F475" s="466" t="n"/>
      <c r="G475" s="466" t="n"/>
      <c r="H475" s="467" t="n"/>
      <c r="I475" s="466" t="n"/>
      <c r="J475" s="464" t="n"/>
      <c r="K475" s="463" t="n"/>
      <c r="L475" s="464" t="n"/>
      <c r="M475" s="464" t="n"/>
      <c r="N475" s="463" t="n"/>
      <c r="O475" s="464" t="n"/>
      <c r="P475" s="464" t="n"/>
      <c r="Q475" s="463" t="n"/>
      <c r="R475" s="468" t="n"/>
    </row>
    <row r="476">
      <c r="A476" s="463" t="n"/>
      <c r="B476" s="463" t="n"/>
      <c r="C476" s="465" t="n"/>
      <c r="D476" s="465" t="n"/>
      <c r="E476" s="466" t="n"/>
      <c r="F476" s="466" t="n"/>
      <c r="G476" s="466" t="n"/>
      <c r="H476" s="467" t="n"/>
      <c r="I476" s="466" t="n"/>
      <c r="J476" s="464" t="n"/>
      <c r="K476" s="463" t="n"/>
      <c r="L476" s="464" t="n"/>
      <c r="M476" s="464" t="n"/>
      <c r="N476" s="463" t="n"/>
      <c r="O476" s="464" t="n"/>
      <c r="P476" s="464" t="n"/>
      <c r="Q476" s="463" t="n"/>
      <c r="R476" s="468" t="n"/>
    </row>
    <row r="477">
      <c r="A477" s="463" t="n"/>
      <c r="B477" s="463" t="n"/>
      <c r="C477" s="465" t="n"/>
      <c r="D477" s="465" t="n"/>
      <c r="E477" s="466" t="n"/>
      <c r="F477" s="466" t="n"/>
      <c r="G477" s="466" t="n"/>
      <c r="H477" s="467" t="n"/>
      <c r="I477" s="466" t="n"/>
      <c r="J477" s="464" t="n"/>
      <c r="K477" s="463" t="n"/>
      <c r="L477" s="464" t="n"/>
      <c r="M477" s="464" t="n"/>
      <c r="N477" s="463" t="n"/>
      <c r="O477" s="464" t="n"/>
      <c r="P477" s="464" t="n"/>
      <c r="Q477" s="463" t="n"/>
      <c r="R477" s="468" t="n"/>
    </row>
    <row r="478">
      <c r="A478" s="463" t="n"/>
      <c r="B478" s="463" t="n"/>
      <c r="C478" s="465" t="n"/>
      <c r="D478" s="465" t="n"/>
      <c r="E478" s="466" t="n"/>
      <c r="F478" s="466" t="n"/>
      <c r="G478" s="466" t="n"/>
      <c r="H478" s="467" t="n"/>
      <c r="I478" s="466" t="n"/>
      <c r="J478" s="464" t="n"/>
      <c r="K478" s="463" t="n"/>
      <c r="L478" s="464" t="n"/>
      <c r="M478" s="464" t="n"/>
      <c r="N478" s="463" t="n"/>
      <c r="O478" s="464" t="n"/>
      <c r="P478" s="464" t="n"/>
      <c r="Q478" s="463" t="n"/>
      <c r="R478" s="468" t="n"/>
    </row>
    <row r="479">
      <c r="A479" s="463" t="n"/>
      <c r="B479" s="463" t="n"/>
      <c r="C479" s="465" t="n"/>
      <c r="D479" s="465" t="n"/>
      <c r="E479" s="466" t="n"/>
      <c r="F479" s="466" t="n"/>
      <c r="G479" s="466" t="n"/>
      <c r="H479" s="467" t="n"/>
      <c r="I479" s="466" t="n"/>
      <c r="J479" s="464" t="n"/>
      <c r="K479" s="463" t="n"/>
      <c r="L479" s="464" t="n"/>
      <c r="M479" s="464" t="n"/>
      <c r="N479" s="463" t="n"/>
      <c r="O479" s="464" t="n"/>
      <c r="P479" s="464" t="n"/>
      <c r="Q479" s="463" t="n"/>
      <c r="R479" s="468" t="n"/>
    </row>
    <row r="480">
      <c r="A480" s="463" t="n"/>
      <c r="B480" s="463" t="n"/>
      <c r="C480" s="465" t="n"/>
      <c r="D480" s="465" t="n"/>
      <c r="E480" s="466" t="n"/>
      <c r="F480" s="466" t="n"/>
      <c r="G480" s="466" t="n"/>
      <c r="H480" s="467" t="n"/>
      <c r="I480" s="466" t="n"/>
      <c r="J480" s="464" t="n"/>
      <c r="K480" s="463" t="n"/>
      <c r="L480" s="464" t="n"/>
      <c r="M480" s="464" t="n"/>
      <c r="N480" s="463" t="n"/>
      <c r="O480" s="464" t="n"/>
      <c r="P480" s="464" t="n"/>
      <c r="Q480" s="463" t="n"/>
      <c r="R480" s="468" t="n"/>
    </row>
    <row r="481">
      <c r="A481" s="463" t="n"/>
      <c r="B481" s="463" t="n"/>
      <c r="C481" s="465" t="n"/>
      <c r="D481" s="465" t="n"/>
      <c r="E481" s="466" t="n"/>
      <c r="F481" s="466" t="n"/>
      <c r="G481" s="466" t="n"/>
      <c r="H481" s="467" t="n"/>
      <c r="I481" s="466" t="n"/>
      <c r="J481" s="464" t="n"/>
      <c r="K481" s="463" t="n"/>
      <c r="L481" s="464" t="n"/>
      <c r="M481" s="464" t="n"/>
      <c r="N481" s="463" t="n"/>
      <c r="O481" s="464" t="n"/>
      <c r="P481" s="464" t="n"/>
      <c r="Q481" s="463" t="n"/>
      <c r="R481" s="468" t="n"/>
    </row>
    <row r="482">
      <c r="A482" s="463" t="n"/>
      <c r="B482" s="463" t="n"/>
      <c r="C482" s="465" t="n"/>
      <c r="D482" s="465" t="n"/>
      <c r="E482" s="466" t="n"/>
      <c r="F482" s="466" t="n"/>
      <c r="G482" s="466" t="n"/>
      <c r="H482" s="467" t="n"/>
      <c r="I482" s="466" t="n"/>
      <c r="J482" s="464" t="n"/>
      <c r="K482" s="463" t="n"/>
      <c r="L482" s="464" t="n"/>
      <c r="M482" s="464" t="n"/>
      <c r="N482" s="463" t="n"/>
      <c r="O482" s="464" t="n"/>
      <c r="P482" s="464" t="n"/>
      <c r="Q482" s="463" t="n"/>
      <c r="R482" s="468" t="n"/>
    </row>
    <row r="483">
      <c r="A483" s="463" t="n"/>
      <c r="B483" s="463" t="n"/>
      <c r="C483" s="465" t="n"/>
      <c r="D483" s="465" t="n"/>
      <c r="E483" s="466" t="n"/>
      <c r="F483" s="466" t="n"/>
      <c r="G483" s="466" t="n"/>
      <c r="H483" s="467" t="n"/>
      <c r="I483" s="466" t="n"/>
      <c r="J483" s="464" t="n"/>
      <c r="K483" s="463" t="n"/>
      <c r="L483" s="464" t="n"/>
      <c r="M483" s="464" t="n"/>
      <c r="N483" s="463" t="n"/>
      <c r="O483" s="464" t="n"/>
      <c r="P483" s="464" t="n"/>
      <c r="Q483" s="463" t="n"/>
      <c r="R483" s="468" t="n"/>
    </row>
    <row r="484">
      <c r="A484" s="463" t="n"/>
      <c r="B484" s="463" t="n"/>
      <c r="C484" s="465" t="n"/>
      <c r="D484" s="465" t="n"/>
      <c r="E484" s="466" t="n"/>
      <c r="F484" s="466" t="n"/>
      <c r="G484" s="466" t="n"/>
      <c r="H484" s="467" t="n"/>
      <c r="I484" s="466" t="n"/>
      <c r="J484" s="464" t="n"/>
      <c r="K484" s="463" t="n"/>
      <c r="L484" s="464" t="n"/>
      <c r="M484" s="464" t="n"/>
      <c r="N484" s="463" t="n"/>
      <c r="O484" s="464" t="n"/>
      <c r="P484" s="464" t="n"/>
      <c r="Q484" s="463" t="n"/>
      <c r="R484" s="468" t="n"/>
    </row>
    <row r="485">
      <c r="A485" s="463" t="n"/>
      <c r="B485" s="463" t="n"/>
      <c r="C485" s="465" t="n"/>
      <c r="D485" s="465" t="n"/>
      <c r="E485" s="466" t="n"/>
      <c r="F485" s="466" t="n"/>
      <c r="G485" s="466" t="n"/>
      <c r="H485" s="467" t="n"/>
      <c r="I485" s="466" t="n"/>
      <c r="J485" s="464" t="n"/>
      <c r="K485" s="463" t="n"/>
      <c r="L485" s="464" t="n"/>
      <c r="M485" s="464" t="n"/>
      <c r="N485" s="463" t="n"/>
      <c r="O485" s="464" t="n"/>
      <c r="P485" s="464" t="n"/>
      <c r="Q485" s="463" t="n"/>
      <c r="R485" s="468" t="n"/>
    </row>
    <row r="486">
      <c r="A486" s="463" t="n"/>
      <c r="B486" s="463" t="n"/>
      <c r="C486" s="465" t="n"/>
      <c r="D486" s="465" t="n"/>
      <c r="E486" s="466" t="n"/>
      <c r="F486" s="466" t="n"/>
      <c r="G486" s="466" t="n"/>
      <c r="H486" s="467" t="n"/>
      <c r="I486" s="466" t="n"/>
      <c r="J486" s="464" t="n"/>
      <c r="K486" s="463" t="n"/>
      <c r="L486" s="464" t="n"/>
      <c r="M486" s="464" t="n"/>
      <c r="N486" s="463" t="n"/>
      <c r="O486" s="464" t="n"/>
      <c r="P486" s="464" t="n"/>
      <c r="Q486" s="463" t="n"/>
      <c r="R486" s="468" t="n"/>
    </row>
    <row r="487">
      <c r="A487" s="463" t="n"/>
      <c r="B487" s="463" t="n"/>
      <c r="C487" s="465" t="n"/>
      <c r="D487" s="465" t="n"/>
      <c r="E487" s="466" t="n"/>
      <c r="F487" s="466" t="n"/>
      <c r="G487" s="466" t="n"/>
      <c r="H487" s="467" t="n"/>
      <c r="I487" s="466" t="n"/>
      <c r="J487" s="464" t="n"/>
      <c r="K487" s="463" t="n"/>
      <c r="L487" s="464" t="n"/>
      <c r="M487" s="464" t="n"/>
      <c r="N487" s="463" t="n"/>
      <c r="O487" s="464" t="n"/>
      <c r="P487" s="464" t="n"/>
      <c r="Q487" s="463" t="n"/>
      <c r="R487" s="468" t="n"/>
    </row>
    <row r="488">
      <c r="A488" s="463" t="n"/>
      <c r="B488" s="463" t="n"/>
      <c r="C488" s="465" t="n"/>
      <c r="D488" s="465" t="n"/>
      <c r="E488" s="466" t="n"/>
      <c r="F488" s="466" t="n"/>
      <c r="G488" s="466" t="n"/>
      <c r="H488" s="467" t="n"/>
      <c r="I488" s="466" t="n"/>
      <c r="J488" s="464" t="n"/>
      <c r="K488" s="463" t="n"/>
      <c r="L488" s="464" t="n"/>
      <c r="M488" s="464" t="n"/>
      <c r="N488" s="463" t="n"/>
      <c r="O488" s="464" t="n"/>
      <c r="P488" s="464" t="n"/>
      <c r="Q488" s="463" t="n"/>
      <c r="R488" s="468" t="n"/>
    </row>
    <row r="489">
      <c r="A489" s="463" t="n"/>
      <c r="B489" s="463" t="n"/>
      <c r="C489" s="465" t="n"/>
      <c r="D489" s="465" t="n"/>
      <c r="E489" s="466" t="n"/>
      <c r="F489" s="466" t="n"/>
      <c r="G489" s="466" t="n"/>
      <c r="H489" s="467" t="n"/>
      <c r="I489" s="466" t="n"/>
      <c r="J489" s="464" t="n"/>
      <c r="K489" s="463" t="n"/>
      <c r="L489" s="464" t="n"/>
      <c r="M489" s="464" t="n"/>
      <c r="N489" s="463" t="n"/>
      <c r="O489" s="464" t="n"/>
      <c r="P489" s="464" t="n"/>
      <c r="Q489" s="463" t="n"/>
      <c r="R489" s="468" t="n"/>
    </row>
    <row r="490">
      <c r="A490" s="463" t="n"/>
      <c r="B490" s="463" t="n"/>
      <c r="C490" s="465" t="n"/>
      <c r="D490" s="465" t="n"/>
      <c r="E490" s="466" t="n"/>
      <c r="F490" s="466" t="n"/>
      <c r="G490" s="466" t="n"/>
      <c r="H490" s="467" t="n"/>
      <c r="I490" s="466" t="n"/>
      <c r="J490" s="464" t="n"/>
      <c r="K490" s="463" t="n"/>
      <c r="L490" s="464" t="n"/>
      <c r="M490" s="464" t="n"/>
      <c r="N490" s="463" t="n"/>
      <c r="O490" s="464" t="n"/>
      <c r="P490" s="464" t="n"/>
      <c r="Q490" s="463" t="n"/>
      <c r="R490" s="468" t="n"/>
    </row>
    <row r="491">
      <c r="A491" s="463" t="n"/>
      <c r="B491" s="463" t="n"/>
      <c r="C491" s="465" t="n"/>
      <c r="D491" s="465" t="n"/>
      <c r="E491" s="466" t="n"/>
      <c r="F491" s="466" t="n"/>
      <c r="G491" s="466" t="n"/>
      <c r="H491" s="467" t="n"/>
      <c r="I491" s="466" t="n"/>
      <c r="J491" s="464" t="n"/>
      <c r="K491" s="463" t="n"/>
      <c r="L491" s="464" t="n"/>
      <c r="M491" s="464" t="n"/>
      <c r="N491" s="463" t="n"/>
      <c r="O491" s="464" t="n"/>
      <c r="P491" s="464" t="n"/>
      <c r="Q491" s="463" t="n"/>
      <c r="R491" s="468" t="n"/>
    </row>
    <row r="492">
      <c r="A492" s="463" t="n"/>
      <c r="B492" s="463" t="n"/>
      <c r="C492" s="465" t="n"/>
      <c r="D492" s="465" t="n"/>
      <c r="E492" s="466" t="n"/>
      <c r="F492" s="466" t="n"/>
      <c r="G492" s="466" t="n"/>
      <c r="H492" s="467" t="n"/>
      <c r="I492" s="466" t="n"/>
      <c r="J492" s="464" t="n"/>
      <c r="K492" s="463" t="n"/>
      <c r="L492" s="464" t="n"/>
      <c r="M492" s="464" t="n"/>
      <c r="N492" s="463" t="n"/>
      <c r="O492" s="464" t="n"/>
      <c r="P492" s="464" t="n"/>
      <c r="Q492" s="463" t="n"/>
      <c r="R492" s="468" t="n"/>
    </row>
    <row r="493">
      <c r="A493" s="463" t="n"/>
      <c r="B493" s="463" t="n"/>
      <c r="C493" s="465" t="n"/>
      <c r="D493" s="465" t="n"/>
      <c r="E493" s="466" t="n"/>
      <c r="F493" s="466" t="n"/>
      <c r="G493" s="466" t="n"/>
      <c r="H493" s="467" t="n"/>
      <c r="I493" s="466" t="n"/>
      <c r="J493" s="464" t="n"/>
      <c r="K493" s="463" t="n"/>
      <c r="L493" s="464" t="n"/>
      <c r="M493" s="464" t="n"/>
      <c r="N493" s="463" t="n"/>
      <c r="O493" s="464" t="n"/>
      <c r="P493" s="464" t="n"/>
      <c r="Q493" s="463" t="n"/>
      <c r="R493" s="468" t="n"/>
    </row>
    <row r="494">
      <c r="A494" s="463" t="n"/>
      <c r="B494" s="463" t="n"/>
      <c r="C494" s="465" t="n"/>
      <c r="D494" s="465" t="n"/>
      <c r="E494" s="466" t="n"/>
      <c r="F494" s="466" t="n"/>
      <c r="G494" s="466" t="n"/>
      <c r="H494" s="467" t="n"/>
      <c r="I494" s="466" t="n"/>
      <c r="J494" s="464" t="n"/>
      <c r="K494" s="463" t="n"/>
      <c r="L494" s="464" t="n"/>
      <c r="M494" s="464" t="n"/>
      <c r="N494" s="463" t="n"/>
      <c r="O494" s="464" t="n"/>
      <c r="P494" s="464" t="n"/>
      <c r="Q494" s="463" t="n"/>
      <c r="R494" s="468" t="n"/>
    </row>
    <row r="495">
      <c r="A495" s="463" t="n"/>
      <c r="B495" s="463" t="n"/>
      <c r="C495" s="465" t="n"/>
      <c r="D495" s="465" t="n"/>
      <c r="E495" s="466" t="n"/>
      <c r="F495" s="466" t="n"/>
      <c r="G495" s="466" t="n"/>
      <c r="H495" s="467" t="n"/>
      <c r="I495" s="466" t="n"/>
      <c r="J495" s="464" t="n"/>
      <c r="K495" s="463" t="n"/>
      <c r="L495" s="464" t="n"/>
      <c r="M495" s="464" t="n"/>
      <c r="N495" s="463" t="n"/>
      <c r="O495" s="464" t="n"/>
      <c r="P495" s="464" t="n"/>
      <c r="Q495" s="463" t="n"/>
      <c r="R495" s="468" t="n"/>
    </row>
    <row r="496">
      <c r="A496" s="463" t="n"/>
      <c r="B496" s="463" t="n"/>
      <c r="C496" s="465" t="n"/>
      <c r="D496" s="465" t="n"/>
      <c r="E496" s="466" t="n"/>
      <c r="F496" s="466" t="n"/>
      <c r="G496" s="466" t="n"/>
      <c r="H496" s="467" t="n"/>
      <c r="I496" s="466" t="n"/>
      <c r="J496" s="464" t="n"/>
      <c r="K496" s="463" t="n"/>
      <c r="L496" s="464" t="n"/>
      <c r="M496" s="464" t="n"/>
      <c r="N496" s="463" t="n"/>
      <c r="O496" s="464" t="n"/>
      <c r="P496" s="464" t="n"/>
      <c r="Q496" s="463" t="n"/>
      <c r="R496" s="468" t="n"/>
    </row>
    <row r="497">
      <c r="A497" s="463" t="n"/>
      <c r="B497" s="463" t="n"/>
      <c r="C497" s="465" t="n"/>
      <c r="D497" s="465" t="n"/>
      <c r="E497" s="466" t="n"/>
      <c r="F497" s="466" t="n"/>
      <c r="G497" s="466" t="n"/>
      <c r="H497" s="467" t="n"/>
      <c r="I497" s="466" t="n"/>
      <c r="J497" s="464" t="n"/>
      <c r="K497" s="463" t="n"/>
      <c r="L497" s="464" t="n"/>
      <c r="M497" s="464" t="n"/>
      <c r="N497" s="463" t="n"/>
      <c r="O497" s="464" t="n"/>
      <c r="P497" s="464" t="n"/>
      <c r="Q497" s="463" t="n"/>
      <c r="R497" s="468" t="n"/>
    </row>
    <row r="498">
      <c r="A498" s="463" t="n"/>
      <c r="B498" s="463" t="n"/>
      <c r="C498" s="465" t="n"/>
      <c r="D498" s="465" t="n"/>
      <c r="E498" s="466" t="n"/>
      <c r="F498" s="466" t="n"/>
      <c r="G498" s="466" t="n"/>
      <c r="H498" s="467" t="n"/>
      <c r="I498" s="466" t="n"/>
      <c r="J498" s="464" t="n"/>
      <c r="K498" s="463" t="n"/>
      <c r="L498" s="464" t="n"/>
      <c r="M498" s="464" t="n"/>
      <c r="N498" s="463" t="n"/>
      <c r="O498" s="464" t="n"/>
      <c r="P498" s="464" t="n"/>
      <c r="Q498" s="463" t="n"/>
      <c r="R498" s="468" t="n"/>
    </row>
    <row r="499">
      <c r="A499" s="463" t="n"/>
      <c r="B499" s="463" t="n"/>
      <c r="C499" s="465" t="n"/>
      <c r="D499" s="465" t="n"/>
      <c r="E499" s="466" t="n"/>
      <c r="F499" s="466" t="n"/>
      <c r="G499" s="466" t="n"/>
      <c r="H499" s="467" t="n"/>
      <c r="I499" s="466" t="n"/>
      <c r="J499" s="464" t="n"/>
      <c r="K499" s="463" t="n"/>
      <c r="L499" s="464" t="n"/>
      <c r="M499" s="464" t="n"/>
      <c r="N499" s="463" t="n"/>
      <c r="O499" s="464" t="n"/>
      <c r="P499" s="464" t="n"/>
      <c r="Q499" s="463" t="n"/>
      <c r="R499" s="468" t="n"/>
    </row>
    <row r="500">
      <c r="A500" s="463" t="n"/>
      <c r="B500" s="463" t="n"/>
      <c r="C500" s="465" t="n"/>
      <c r="D500" s="465" t="n"/>
      <c r="E500" s="466" t="n"/>
      <c r="F500" s="466" t="n"/>
      <c r="G500" s="466" t="n"/>
      <c r="H500" s="467" t="n"/>
      <c r="I500" s="466" t="n"/>
      <c r="J500" s="464" t="n"/>
      <c r="K500" s="463" t="n"/>
      <c r="L500" s="464" t="n"/>
      <c r="M500" s="464" t="n"/>
      <c r="N500" s="463" t="n"/>
      <c r="O500" s="464" t="n"/>
      <c r="P500" s="464" t="n"/>
      <c r="Q500" s="463" t="n"/>
      <c r="R500" s="468" t="n"/>
    </row>
    <row r="501">
      <c r="A501" s="463" t="n"/>
      <c r="B501" s="463" t="n"/>
      <c r="C501" s="465" t="n"/>
      <c r="D501" s="465" t="n"/>
      <c r="E501" s="466" t="n"/>
      <c r="F501" s="466" t="n"/>
      <c r="G501" s="466" t="n"/>
      <c r="H501" s="467" t="n"/>
      <c r="I501" s="466" t="n"/>
      <c r="J501" s="464" t="n"/>
      <c r="K501" s="463" t="n"/>
      <c r="L501" s="464" t="n"/>
      <c r="M501" s="464" t="n"/>
      <c r="N501" s="463" t="n"/>
      <c r="O501" s="464" t="n"/>
      <c r="P501" s="464" t="n"/>
      <c r="Q501" s="463" t="n"/>
      <c r="R501" s="468" t="n"/>
    </row>
    <row r="502">
      <c r="A502" s="463" t="n"/>
      <c r="B502" s="463" t="n"/>
      <c r="C502" s="465" t="n"/>
      <c r="D502" s="465" t="n"/>
      <c r="E502" s="466" t="n"/>
      <c r="F502" s="466" t="n"/>
      <c r="G502" s="466" t="n"/>
      <c r="H502" s="467" t="n"/>
      <c r="I502" s="466" t="n"/>
      <c r="J502" s="464" t="n"/>
      <c r="K502" s="463" t="n"/>
      <c r="L502" s="464" t="n"/>
      <c r="M502" s="464" t="n"/>
      <c r="N502" s="463" t="n"/>
      <c r="O502" s="464" t="n"/>
      <c r="P502" s="464" t="n"/>
      <c r="Q502" s="463" t="n"/>
      <c r="R502" s="468" t="n"/>
    </row>
    <row r="503">
      <c r="A503" s="463" t="n"/>
      <c r="B503" s="463" t="n"/>
      <c r="C503" s="465" t="n"/>
      <c r="D503" s="465" t="n"/>
      <c r="E503" s="466" t="n"/>
      <c r="F503" s="466" t="n"/>
      <c r="G503" s="466" t="n"/>
      <c r="H503" s="467" t="n"/>
      <c r="I503" s="466" t="n"/>
      <c r="J503" s="464" t="n"/>
      <c r="K503" s="463" t="n"/>
      <c r="L503" s="464" t="n"/>
      <c r="M503" s="464" t="n"/>
      <c r="N503" s="463" t="n"/>
      <c r="O503" s="464" t="n"/>
      <c r="P503" s="464" t="n"/>
      <c r="Q503" s="463" t="n"/>
      <c r="R503" s="468" t="n"/>
    </row>
    <row r="504">
      <c r="A504" s="463" t="n"/>
      <c r="B504" s="463" t="n"/>
      <c r="C504" s="465" t="n"/>
      <c r="D504" s="465" t="n"/>
      <c r="E504" s="466" t="n"/>
      <c r="F504" s="466" t="n"/>
      <c r="G504" s="466" t="n"/>
      <c r="H504" s="467" t="n"/>
      <c r="I504" s="466" t="n"/>
      <c r="J504" s="464" t="n"/>
      <c r="K504" s="463" t="n"/>
      <c r="L504" s="464" t="n"/>
      <c r="M504" s="464" t="n"/>
      <c r="N504" s="463" t="n"/>
      <c r="O504" s="464" t="n"/>
      <c r="P504" s="464" t="n"/>
      <c r="Q504" s="463" t="n"/>
      <c r="R504" s="468" t="n"/>
    </row>
    <row r="505">
      <c r="A505" s="463" t="n"/>
      <c r="B505" s="463" t="n"/>
      <c r="C505" s="465" t="n"/>
      <c r="D505" s="465" t="n"/>
      <c r="E505" s="466" t="n"/>
      <c r="F505" s="466" t="n"/>
      <c r="G505" s="466" t="n"/>
      <c r="H505" s="467" t="n"/>
      <c r="I505" s="466" t="n"/>
      <c r="J505" s="464" t="n"/>
      <c r="K505" s="463" t="n"/>
      <c r="L505" s="464" t="n"/>
      <c r="M505" s="464" t="n"/>
      <c r="N505" s="463" t="n"/>
      <c r="O505" s="464" t="n"/>
      <c r="P505" s="464" t="n"/>
      <c r="Q505" s="463" t="n"/>
      <c r="R505" s="468" t="n"/>
    </row>
  </sheetData>
  <mergeCells count="2">
    <mergeCell ref="A2:R2"/>
    <mergeCell ref="A1:R1"/>
  </mergeCells>
  <pageMargins left="0.7086614173228347" right="0.7086614173228347" top="0.7480314960629921" bottom="0.7480314960629921" header="0.3149606299212598" footer="0.3149606299212598"/>
  <pageSetup orientation="landscape" paperSize="9" scale="50" fitToHeight="0" horizontalDpi="0" verticalDpi="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5">
    <tabColor theme="6" tint="-0.499984740745262"/>
    <outlinePr summaryBelow="1" summaryRight="1"/>
    <pageSetUpPr/>
  </sheetPr>
  <dimension ref="A1:BL505"/>
  <sheetViews>
    <sheetView showGridLines="0" workbookViewId="0">
      <pane xSplit="4" ySplit="4" topLeftCell="E245" activePane="bottomRight" state="frozen"/>
      <selection activeCell="C162" sqref="C162"/>
      <selection pane="topRight" activeCell="C162" sqref="C162"/>
      <selection pane="bottomLeft" activeCell="C162" sqref="C162"/>
      <selection pane="bottomRight" activeCell="G41" sqref="G41"/>
    </sheetView>
  </sheetViews>
  <sheetFormatPr baseColWidth="8" defaultRowHeight="14.25"/>
  <cols>
    <col width="9" customWidth="1" style="79" min="1" max="1"/>
    <col width="18" customWidth="1" style="570" min="2" max="2"/>
    <col width="10" customWidth="1" style="570" min="3" max="4"/>
    <col width="7" customWidth="1" style="570" min="5" max="14"/>
    <col width="7.25" customWidth="1" style="570" min="15" max="15"/>
    <col width="8.75" customWidth="1" style="570" min="16" max="16"/>
    <col width="7" customWidth="1" style="570" min="17" max="44"/>
    <col width="9.875" customWidth="1" style="570" min="45" max="45"/>
    <col width="7" customWidth="1" style="570" min="46" max="64"/>
    <col width="9" customWidth="1" style="570" min="65" max="16384"/>
  </cols>
  <sheetData>
    <row r="1" ht="30" customHeight="1" s="574">
      <c r="A1" s="586" t="inlineStr">
        <is>
          <t>始値</t>
        </is>
      </c>
      <c r="B1" s="570" t="n"/>
      <c r="C1" s="570" t="n"/>
      <c r="D1" s="570" t="n"/>
      <c r="E1" s="570" t="n"/>
      <c r="F1" s="570" t="n"/>
      <c r="G1" s="570" t="n"/>
      <c r="H1" s="570" t="n"/>
      <c r="I1" s="570" t="n"/>
      <c r="J1" s="570" t="n"/>
      <c r="K1" s="570" t="n"/>
      <c r="L1" s="570" t="n"/>
      <c r="M1" s="570" t="n"/>
      <c r="N1" s="570" t="n"/>
      <c r="O1" s="570" t="n"/>
      <c r="P1" s="570" t="n"/>
      <c r="Q1" s="570" t="n"/>
      <c r="R1" s="570" t="n"/>
      <c r="S1" s="570" t="n"/>
      <c r="T1" s="570" t="n"/>
      <c r="U1" s="570" t="n"/>
      <c r="V1" s="570" t="n"/>
      <c r="W1" s="570" t="n"/>
      <c r="X1" s="570" t="n"/>
      <c r="Y1" s="570" t="n"/>
      <c r="Z1" s="570" t="n"/>
      <c r="AA1" s="570" t="n"/>
      <c r="AB1" s="570" t="n"/>
      <c r="AC1" s="570" t="n"/>
      <c r="AD1" s="570" t="n"/>
      <c r="AE1" s="570" t="n"/>
      <c r="AF1" s="570" t="n"/>
      <c r="AG1" s="570" t="n"/>
      <c r="AH1" s="570" t="n"/>
      <c r="AI1" s="570" t="n"/>
      <c r="AJ1" s="570" t="n"/>
      <c r="AK1" s="570" t="n"/>
      <c r="AL1" s="570" t="n"/>
      <c r="AM1" s="570" t="n"/>
      <c r="AN1" s="570" t="n"/>
      <c r="AO1" s="570" t="n"/>
      <c r="AP1" s="570" t="n"/>
      <c r="AQ1" s="570" t="n"/>
      <c r="AR1" s="570" t="n"/>
      <c r="AS1" s="570" t="n"/>
      <c r="AT1" s="570" t="n"/>
      <c r="AU1" s="570" t="n"/>
      <c r="AV1" s="570" t="n"/>
      <c r="AW1" s="570" t="n"/>
      <c r="AX1" s="570" t="n"/>
      <c r="AY1" s="570" t="n"/>
      <c r="AZ1" s="570" t="n"/>
      <c r="BA1" s="570" t="n"/>
      <c r="BB1" s="570" t="n"/>
      <c r="BC1" s="570" t="n"/>
      <c r="BD1" s="570" t="n"/>
      <c r="BE1" s="570" t="n"/>
      <c r="BF1" s="570" t="n"/>
      <c r="BG1" s="570" t="n"/>
      <c r="BH1" s="570" t="n"/>
      <c r="BI1" s="570" t="n"/>
      <c r="BJ1" s="570" t="n"/>
      <c r="BK1" s="570" t="n"/>
      <c r="BL1" s="570" t="n"/>
    </row>
    <row r="2" ht="18" customHeight="1" s="574">
      <c r="A2" s="188" t="inlineStr">
        <is>
          <t>コード</t>
        </is>
      </c>
      <c r="B2" s="188" t="inlineStr">
        <is>
          <t>銘 柄 名</t>
        </is>
      </c>
      <c r="C2" s="188" t="inlineStr">
        <is>
          <t>RSS 始値</t>
        </is>
      </c>
      <c r="D2" s="188" t="inlineStr">
        <is>
          <t>差  分</t>
        </is>
      </c>
      <c r="E2" s="189" t="n"/>
      <c r="F2" s="189" t="n"/>
      <c r="G2" s="189" t="n"/>
      <c r="H2" s="189" t="n"/>
      <c r="I2" s="189" t="n"/>
      <c r="J2" s="189" t="n"/>
      <c r="K2" s="189" t="n"/>
      <c r="L2" s="189" t="n"/>
      <c r="M2" s="189" t="n"/>
      <c r="N2" s="189" t="n"/>
      <c r="O2" s="189" t="n"/>
      <c r="P2" s="189" t="n"/>
      <c r="Q2" s="189" t="n"/>
      <c r="R2" s="189" t="n"/>
      <c r="S2" s="189" t="n"/>
      <c r="T2" s="189" t="n"/>
      <c r="U2" s="189" t="n"/>
      <c r="V2" s="189" t="n"/>
      <c r="W2" s="189" t="n"/>
      <c r="X2" s="189" t="n"/>
      <c r="Y2" s="189" t="n"/>
      <c r="Z2" s="189" t="n"/>
      <c r="AA2" s="189" t="n"/>
      <c r="AB2" s="189" t="n"/>
      <c r="AC2" s="189" t="n"/>
      <c r="AD2" s="189" t="n"/>
      <c r="AE2" s="189" t="n"/>
      <c r="AF2" s="189" t="n"/>
      <c r="AG2" s="189" t="n"/>
      <c r="AH2" s="189" t="n"/>
      <c r="AI2" s="189" t="n"/>
      <c r="AJ2" s="189" t="n"/>
      <c r="AK2" s="189" t="n"/>
      <c r="AL2" s="189" t="n"/>
      <c r="AM2" s="189" t="n"/>
      <c r="AN2" s="189" t="n"/>
      <c r="AO2" s="189" t="n"/>
      <c r="AP2" s="189" t="n"/>
      <c r="AQ2" s="189" t="n"/>
      <c r="AR2" s="189" t="n"/>
      <c r="AS2" s="189" t="n"/>
      <c r="AT2" s="189" t="n"/>
      <c r="AU2" s="189" t="n"/>
      <c r="AV2" s="189" t="n"/>
      <c r="AW2" s="189" t="n"/>
      <c r="AX2" s="189" t="n"/>
      <c r="AY2" s="189" t="n"/>
      <c r="AZ2" s="189" t="n"/>
      <c r="BA2" s="189" t="n"/>
      <c r="BB2" s="189" t="n"/>
      <c r="BC2" s="189" t="n"/>
      <c r="BD2" s="189" t="n"/>
      <c r="BE2" s="189" t="n"/>
      <c r="BF2" s="189" t="n"/>
      <c r="BG2" s="189" t="n"/>
      <c r="BH2" s="189" t="n"/>
      <c r="BI2" s="189" t="n"/>
      <c r="BJ2" s="189" t="n"/>
      <c r="BK2" s="189" t="n"/>
      <c r="BL2" s="189" t="n"/>
    </row>
    <row r="3" ht="14.1" customHeight="1" s="574">
      <c r="A3" s="649" t="inlineStr">
        <is>
          <t>日  付</t>
        </is>
      </c>
      <c r="B3" s="650" t="n"/>
      <c r="C3" s="651" t="inlineStr">
        <is>
          <t>本日</t>
        </is>
      </c>
      <c r="D3" s="650" t="n"/>
      <c r="E3" s="652" t="n">
        <v>46195</v>
      </c>
      <c r="F3" s="652" t="n">
        <v>46192</v>
      </c>
      <c r="G3" s="652" t="n">
        <v>46191</v>
      </c>
      <c r="H3" s="652" t="n">
        <v>46190</v>
      </c>
      <c r="I3" s="652" t="n">
        <v>46189</v>
      </c>
      <c r="J3" s="652" t="n">
        <v>46188</v>
      </c>
      <c r="K3" s="652" t="n">
        <v>46185</v>
      </c>
      <c r="L3" s="652" t="n">
        <v>46184</v>
      </c>
      <c r="M3" s="652" t="n">
        <v>46183</v>
      </c>
      <c r="N3" s="652" t="n">
        <v>46181</v>
      </c>
      <c r="O3" s="652" t="n">
        <v>46178</v>
      </c>
      <c r="P3" s="652" t="n">
        <v>46177</v>
      </c>
      <c r="Q3" s="652" t="n">
        <v>46176</v>
      </c>
      <c r="R3" s="652" t="n">
        <v>46175</v>
      </c>
      <c r="S3" s="652" t="n">
        <v>46171</v>
      </c>
      <c r="T3" s="652" t="n">
        <v>46170</v>
      </c>
      <c r="U3" s="652" t="n">
        <v>46169</v>
      </c>
      <c r="V3" s="652" t="n">
        <v>46167</v>
      </c>
      <c r="W3" s="652" t="n">
        <v>46164</v>
      </c>
      <c r="X3" s="652" t="n">
        <v>46163</v>
      </c>
      <c r="Y3" s="652" t="n">
        <v>46162</v>
      </c>
      <c r="Z3" s="652" t="n">
        <v>46161</v>
      </c>
      <c r="AA3" s="652" t="n">
        <v>46160</v>
      </c>
      <c r="AB3" s="652" t="n">
        <v>46157</v>
      </c>
      <c r="AC3" s="652" t="n">
        <v>46156</v>
      </c>
      <c r="AD3" s="652" t="n">
        <v>46155</v>
      </c>
      <c r="AE3" s="652" t="n">
        <v>46154</v>
      </c>
      <c r="AF3" s="652" t="n">
        <v>46153</v>
      </c>
      <c r="AG3" s="652" t="n">
        <v>46150</v>
      </c>
      <c r="AH3" s="652" t="n">
        <v>46149</v>
      </c>
      <c r="AI3" s="652" t="n">
        <v>46143</v>
      </c>
      <c r="AJ3" s="652" t="n">
        <v>46142</v>
      </c>
      <c r="AK3" s="652" t="n">
        <v>46140</v>
      </c>
      <c r="AL3" s="652" t="n">
        <v>46139</v>
      </c>
      <c r="AM3" s="652" t="n">
        <v>46136</v>
      </c>
      <c r="AN3" s="652" t="n">
        <v>46135</v>
      </c>
      <c r="AO3" s="652" t="n">
        <v>46134</v>
      </c>
      <c r="AP3" s="652" t="n">
        <v>46133</v>
      </c>
      <c r="AQ3" s="652" t="n">
        <v>46132</v>
      </c>
      <c r="AR3" s="652" t="n">
        <v>46129</v>
      </c>
      <c r="AS3" s="652" t="n">
        <v>46128</v>
      </c>
      <c r="AT3" s="652" t="n">
        <v>46127</v>
      </c>
      <c r="AU3" s="652" t="n">
        <v>46126</v>
      </c>
      <c r="AV3" s="652" t="n">
        <v>46125</v>
      </c>
      <c r="AW3" s="652" t="n">
        <v>46122</v>
      </c>
      <c r="AX3" s="652" t="n">
        <v>46121</v>
      </c>
      <c r="AY3" s="652" t="n">
        <v>46120</v>
      </c>
      <c r="AZ3" s="652" t="n">
        <v>46119</v>
      </c>
      <c r="BA3" s="652" t="n">
        <v>46118</v>
      </c>
      <c r="BB3" s="652" t="n">
        <v>46115</v>
      </c>
      <c r="BC3" s="652" t="n">
        <v>46114</v>
      </c>
      <c r="BD3" s="652" t="n">
        <v>46113</v>
      </c>
      <c r="BE3" s="652" t="n">
        <v>46112</v>
      </c>
      <c r="BF3" s="652" t="n">
        <v>46111</v>
      </c>
      <c r="BG3" s="652" t="n">
        <v>46108</v>
      </c>
      <c r="BH3" s="652" t="n">
        <v>46107</v>
      </c>
      <c r="BI3" s="652" t="n">
        <v>46106</v>
      </c>
      <c r="BJ3" s="652" t="n">
        <v>46105</v>
      </c>
      <c r="BK3" s="652" t="n">
        <v>46104</v>
      </c>
      <c r="BL3" s="652" t="n">
        <v>46100</v>
      </c>
    </row>
    <row r="4" ht="18" customHeight="1" s="574">
      <c r="A4" s="193" t="n"/>
      <c r="B4" s="193" t="n"/>
      <c r="C4" s="193" t="n"/>
      <c r="D4" s="193" t="n"/>
      <c r="E4" s="193" t="n"/>
      <c r="F4" s="193" t="n"/>
      <c r="G4" s="193" t="n"/>
      <c r="H4" s="193" t="n"/>
      <c r="I4" s="193" t="n"/>
      <c r="J4" s="193" t="n"/>
      <c r="K4" s="193" t="n"/>
      <c r="L4" s="193" t="n"/>
      <c r="M4" s="193" t="n"/>
      <c r="N4" s="193" t="n"/>
      <c r="O4" s="193" t="n"/>
      <c r="P4" s="193" t="n"/>
      <c r="Q4" s="193" t="n"/>
      <c r="R4" s="193" t="n"/>
      <c r="S4" s="193" t="n"/>
      <c r="T4" s="193" t="n"/>
      <c r="U4" s="193" t="n"/>
      <c r="V4" s="193" t="n"/>
      <c r="W4" s="193" t="n"/>
      <c r="X4" s="193" t="n"/>
      <c r="Y4" s="193" t="n"/>
      <c r="Z4" s="193" t="n"/>
      <c r="AA4" s="193" t="n"/>
      <c r="AB4" s="193" t="n"/>
      <c r="AC4" s="193" t="n"/>
      <c r="AD4" s="193" t="n"/>
      <c r="AE4" s="193" t="n"/>
      <c r="AF4" s="193" t="n"/>
      <c r="AG4" s="193" t="n"/>
      <c r="AH4" s="193" t="n"/>
      <c r="AI4" s="193" t="n"/>
      <c r="AJ4" s="193" t="n"/>
      <c r="AK4" s="193" t="n"/>
      <c r="AL4" s="193" t="n"/>
      <c r="AM4" s="193" t="n"/>
      <c r="AN4" s="193" t="n"/>
      <c r="AO4" s="193" t="n"/>
      <c r="AP4" s="193" t="n"/>
      <c r="AQ4" s="193" t="n"/>
      <c r="AR4" s="193" t="n"/>
      <c r="AS4" s="193" t="n"/>
      <c r="AT4" s="193" t="n"/>
      <c r="AU4" s="193" t="n"/>
      <c r="AV4" s="193" t="n"/>
      <c r="AW4" s="193" t="n"/>
      <c r="AX4" s="193" t="n"/>
      <c r="AY4" s="193" t="n"/>
      <c r="AZ4" s="193" t="n"/>
      <c r="BA4" s="193" t="n"/>
      <c r="BB4" s="193" t="n"/>
      <c r="BC4" s="193" t="n"/>
      <c r="BD4" s="193" t="n"/>
      <c r="BE4" s="193" t="n"/>
      <c r="BF4" s="193" t="n"/>
      <c r="BG4" s="193" t="n"/>
      <c r="BH4" s="193" t="n"/>
      <c r="BI4" s="193" t="n"/>
      <c r="BJ4" s="193" t="n"/>
      <c r="BK4" s="193" t="n"/>
      <c r="BL4" s="193" t="n"/>
    </row>
    <row r="5" ht="15.95" customHeight="1" s="574">
      <c r="A5" s="653">
        <f>IF(銘柄管理!B5="","",銘柄管理!B5)</f>
        <v/>
      </c>
      <c r="B5" s="17">
        <f>IF(銘柄管理!C5="","",銘柄管理!C5)</f>
        <v/>
      </c>
      <c r="C5" s="18">
        <f t="array" ref="C5">_xll.RssIndexMarket("TOPX", "始値")</f>
        <v/>
      </c>
      <c r="D5" s="654">
        <f>IF(OR(C5=0,E5=0),"",C5-E5)</f>
        <v/>
      </c>
      <c r="E5" s="9" t="n">
        <v>4030.01</v>
      </c>
      <c r="F5" s="9" t="n">
        <v>4067.98</v>
      </c>
      <c r="G5" s="9" t="n">
        <v>4031.1</v>
      </c>
      <c r="H5" s="9" t="n">
        <v>3997.71</v>
      </c>
      <c r="I5" s="9" t="n">
        <v>3984.4</v>
      </c>
      <c r="J5" s="9" t="n">
        <v>3928.06</v>
      </c>
      <c r="K5" s="9" t="n">
        <v>3872.43</v>
      </c>
      <c r="L5" s="9" t="n">
        <v>3807.07</v>
      </c>
      <c r="M5" s="9" t="n">
        <v>3891.31</v>
      </c>
      <c r="N5" s="9" t="n">
        <v>3910.54</v>
      </c>
      <c r="O5" s="9" t="n">
        <v>3961.8</v>
      </c>
      <c r="P5" s="9" t="n">
        <v>3968.05</v>
      </c>
      <c r="Q5" s="9" t="n">
        <v>3944.96</v>
      </c>
      <c r="R5" s="9" t="n">
        <v>3913.4</v>
      </c>
      <c r="S5" s="9" t="n">
        <v>3917.83</v>
      </c>
      <c r="T5" s="9" t="n">
        <v>3905.04</v>
      </c>
      <c r="U5" s="9" t="n">
        <v>3951.71</v>
      </c>
      <c r="V5" s="9" t="n">
        <v>3903.54</v>
      </c>
      <c r="W5" s="9" t="n">
        <v>3866.61</v>
      </c>
      <c r="X5" s="9" t="n">
        <v>3825.33</v>
      </c>
      <c r="Y5" s="9" t="n">
        <v>3851.76</v>
      </c>
      <c r="Z5" s="9" t="n">
        <v>3856.77</v>
      </c>
      <c r="AA5" s="9" t="n">
        <v>3859.85</v>
      </c>
      <c r="AB5" s="9" t="n">
        <v>3891.81</v>
      </c>
      <c r="AC5" s="9" t="n">
        <v>3913.9</v>
      </c>
      <c r="AD5" s="9" t="n"/>
      <c r="AE5" s="9" t="n"/>
      <c r="AF5" s="9" t="n"/>
      <c r="AG5" s="9" t="n"/>
      <c r="AH5" s="9" t="n"/>
      <c r="AI5" s="9" t="n"/>
      <c r="AJ5" s="9" t="n"/>
      <c r="AK5" s="9" t="n"/>
      <c r="AL5" s="9" t="n"/>
      <c r="AM5" s="9" t="n"/>
      <c r="AN5" s="9" t="n"/>
      <c r="AO5" s="9" t="n"/>
      <c r="AP5" s="20" t="n"/>
      <c r="AQ5" s="20" t="n"/>
      <c r="AR5" s="20" t="n"/>
      <c r="AS5" s="20" t="n"/>
      <c r="AT5" s="20" t="n"/>
      <c r="AU5" s="20" t="n"/>
      <c r="AV5" s="20" t="n"/>
      <c r="AW5" s="20" t="n"/>
      <c r="AX5" s="20" t="n"/>
      <c r="AY5" s="20" t="n"/>
      <c r="AZ5" s="20" t="n"/>
      <c r="BA5" s="20" t="n"/>
      <c r="BB5" s="20" t="n"/>
      <c r="BC5" s="20" t="n"/>
      <c r="BD5" s="20" t="n"/>
      <c r="BE5" s="20" t="n"/>
      <c r="BF5" s="20" t="n"/>
      <c r="BG5" s="20" t="n"/>
      <c r="BH5" s="20" t="n"/>
      <c r="BI5" s="20" t="n"/>
      <c r="BJ5" s="20" t="n"/>
      <c r="BK5" s="20" t="n"/>
      <c r="BL5" s="20" t="n"/>
    </row>
    <row r="6" ht="15.95" customHeight="1" s="574">
      <c r="A6" s="81" t="inlineStr">
        <is>
          <t>5706</t>
        </is>
      </c>
      <c r="B6" s="17" t="inlineStr">
        <is>
          <t>三井金属</t>
        </is>
      </c>
      <c r="C6" s="655">
        <f>_xll.RssMarket("5706","始値")</f>
        <v/>
      </c>
      <c r="D6" s="656">
        <f>C6-E6</f>
        <v/>
      </c>
      <c r="E6" s="21" t="n">
        <v>50220</v>
      </c>
      <c r="F6" s="21" t="n">
        <v>49850</v>
      </c>
      <c r="G6" s="21" t="n">
        <v>47180</v>
      </c>
      <c r="H6" s="21" t="n">
        <v>47100</v>
      </c>
      <c r="I6" s="21" t="n">
        <v>45000</v>
      </c>
      <c r="J6" s="21" t="n">
        <v>45590</v>
      </c>
      <c r="K6" s="21" t="n">
        <v>41000</v>
      </c>
      <c r="L6" s="21" t="n">
        <v>35660</v>
      </c>
      <c r="M6" s="21" t="n">
        <v>38700</v>
      </c>
      <c r="N6" s="21" t="n">
        <v>40290</v>
      </c>
      <c r="O6" s="21" t="n">
        <v>44010</v>
      </c>
      <c r="P6" s="21" t="n">
        <v>46530</v>
      </c>
      <c r="Q6" s="21" t="n">
        <v>49920</v>
      </c>
      <c r="R6" s="21" t="n">
        <v>53270</v>
      </c>
      <c r="S6" s="21" t="n">
        <v>50150</v>
      </c>
      <c r="T6" s="21" t="n">
        <v>55650</v>
      </c>
      <c r="U6" s="21" t="n">
        <v>50790</v>
      </c>
      <c r="V6" s="21" t="n">
        <v>47460</v>
      </c>
      <c r="W6" s="21" t="n">
        <v>45760</v>
      </c>
      <c r="X6" s="21" t="n">
        <v>43710</v>
      </c>
      <c r="Y6" s="21" t="n">
        <v>47490</v>
      </c>
      <c r="Z6" s="21" t="n">
        <v>46100</v>
      </c>
      <c r="AA6" s="21" t="n">
        <v>50490</v>
      </c>
      <c r="AB6" s="21" t="n">
        <v>49900</v>
      </c>
      <c r="AC6" s="21" t="n">
        <v>49840</v>
      </c>
      <c r="AD6" s="21" t="n">
        <v>51500</v>
      </c>
      <c r="AE6" s="21" t="n">
        <v>52000</v>
      </c>
      <c r="AF6" s="21" t="n">
        <v>48000</v>
      </c>
      <c r="AG6" s="21" t="n">
        <v>45960</v>
      </c>
      <c r="AH6" s="21" t="n">
        <v>42340</v>
      </c>
      <c r="AI6" s="21" t="n">
        <v>41030</v>
      </c>
      <c r="AJ6" s="21" t="n">
        <v>39890</v>
      </c>
      <c r="AK6" s="21" t="n">
        <v>38700</v>
      </c>
      <c r="AL6" s="21" t="n">
        <v>38000</v>
      </c>
      <c r="AM6" s="21" t="n">
        <v>39000</v>
      </c>
      <c r="AN6" s="21" t="n">
        <v>37200</v>
      </c>
      <c r="AO6" s="21" t="n">
        <v>35840</v>
      </c>
      <c r="AP6" s="22" t="n">
        <v>36210</v>
      </c>
      <c r="AQ6" s="22" t="n">
        <v>37490</v>
      </c>
      <c r="AR6" s="22" t="n">
        <v>36000</v>
      </c>
      <c r="AS6" s="22" t="n">
        <v>39660</v>
      </c>
      <c r="AT6" s="22" t="n">
        <v>38450</v>
      </c>
      <c r="AU6" s="22" t="n">
        <v>36500</v>
      </c>
      <c r="AV6" s="22" t="n">
        <v>35390</v>
      </c>
      <c r="AW6" s="22" t="n">
        <v>34320</v>
      </c>
      <c r="AX6" s="22" t="n">
        <v>34000</v>
      </c>
      <c r="AY6" s="22" t="n">
        <v>31620</v>
      </c>
      <c r="AZ6" s="22" t="n">
        <v>31520</v>
      </c>
      <c r="BA6" s="22" t="n">
        <v>31130</v>
      </c>
      <c r="BB6" s="22" t="n">
        <v>31430</v>
      </c>
      <c r="BC6" s="22" t="n">
        <v>30040</v>
      </c>
      <c r="BD6" s="22" t="n">
        <v>27575</v>
      </c>
      <c r="BE6" s="22" t="n">
        <v>29730</v>
      </c>
      <c r="BF6" s="22" t="n">
        <v>30190</v>
      </c>
      <c r="BG6" s="22" t="n">
        <v>31980</v>
      </c>
      <c r="BH6" s="22" t="n">
        <v>32000</v>
      </c>
      <c r="BI6" s="22" t="n">
        <v>30190</v>
      </c>
      <c r="BJ6" s="22" t="n">
        <v>28820</v>
      </c>
      <c r="BK6" s="22" t="n">
        <v>31420</v>
      </c>
      <c r="BL6" s="22" t="n">
        <v>31250</v>
      </c>
    </row>
    <row r="7" ht="15.95" customHeight="1" s="574">
      <c r="A7" s="81" t="inlineStr">
        <is>
          <t>5423</t>
        </is>
      </c>
      <c r="B7" s="17" t="inlineStr">
        <is>
          <t>東京製鐵</t>
        </is>
      </c>
      <c r="C7" s="655">
        <f>_xll.RssMarket("5423","始値")</f>
        <v/>
      </c>
      <c r="D7" s="656">
        <f>C7-E7</f>
        <v/>
      </c>
      <c r="E7" s="21" t="n">
        <v>1763</v>
      </c>
      <c r="F7" s="21" t="n">
        <v>1759</v>
      </c>
      <c r="G7" s="21" t="n">
        <v>1761</v>
      </c>
      <c r="H7" s="21" t="n">
        <v>1755</v>
      </c>
      <c r="I7" s="21" t="n">
        <v>1741</v>
      </c>
      <c r="J7" s="21" t="n">
        <v>1716</v>
      </c>
      <c r="K7" s="21" t="n">
        <v>1723</v>
      </c>
      <c r="L7" s="21" t="n">
        <v>1663</v>
      </c>
      <c r="M7" s="21" t="n">
        <v>1671</v>
      </c>
      <c r="N7" s="21" t="n">
        <v>1701</v>
      </c>
      <c r="O7" s="21" t="n">
        <v>1695</v>
      </c>
      <c r="P7" s="21" t="n">
        <v>1705</v>
      </c>
      <c r="Q7" s="21" t="n">
        <v>1695</v>
      </c>
      <c r="R7" s="21" t="n">
        <v>1685</v>
      </c>
      <c r="S7" s="21" t="n">
        <v>1712</v>
      </c>
      <c r="T7" s="21" t="n">
        <v>1694</v>
      </c>
      <c r="U7" s="21" t="n">
        <v>1720</v>
      </c>
      <c r="V7" s="21" t="n">
        <v>1747</v>
      </c>
      <c r="W7" s="21" t="n">
        <v>1728</v>
      </c>
      <c r="X7" s="21" t="n">
        <v>1758</v>
      </c>
      <c r="Y7" s="21" t="n">
        <v>1795</v>
      </c>
      <c r="Z7" s="21" t="n">
        <v>1821</v>
      </c>
      <c r="AA7" s="21" t="n">
        <v>1862</v>
      </c>
      <c r="AB7" s="21" t="n">
        <v>1723</v>
      </c>
      <c r="AC7" s="21" t="n">
        <v>1680</v>
      </c>
      <c r="AD7" s="21" t="n">
        <v>1694</v>
      </c>
      <c r="AE7" s="21" t="n">
        <v>1658</v>
      </c>
      <c r="AF7" s="21" t="n">
        <v>1703</v>
      </c>
      <c r="AG7" s="21" t="n">
        <v>1665</v>
      </c>
      <c r="AH7" s="21" t="n">
        <v>1695</v>
      </c>
      <c r="AI7" s="21" t="n">
        <v>1679</v>
      </c>
      <c r="AJ7" s="21" t="n">
        <v>1679</v>
      </c>
      <c r="AK7" s="21" t="n">
        <v>1730</v>
      </c>
      <c r="AL7" s="21" t="n">
        <v>1716</v>
      </c>
      <c r="AM7" s="21" t="n">
        <v>1786</v>
      </c>
      <c r="AN7" s="21" t="n">
        <v>1837</v>
      </c>
      <c r="AO7" s="21" t="n">
        <v>1804</v>
      </c>
      <c r="AP7" s="22" t="n">
        <v>1795</v>
      </c>
      <c r="AQ7" s="22" t="n">
        <v>1764</v>
      </c>
      <c r="AR7" s="22" t="n">
        <v>1764</v>
      </c>
      <c r="AS7" s="22" t="n">
        <v>1728</v>
      </c>
      <c r="AT7" s="22" t="n">
        <v>1720</v>
      </c>
      <c r="AU7" s="22" t="n">
        <v>1745</v>
      </c>
      <c r="AV7" s="22" t="n">
        <v>1778</v>
      </c>
      <c r="AW7" s="22" t="n">
        <v>1818</v>
      </c>
      <c r="AX7" s="22" t="n">
        <v>1824</v>
      </c>
      <c r="AY7" s="22" t="n">
        <v>1877</v>
      </c>
      <c r="AZ7" s="22" t="n">
        <v>1912</v>
      </c>
      <c r="BA7" s="22" t="n">
        <v>1907</v>
      </c>
      <c r="BB7" s="22" t="n">
        <v>1638</v>
      </c>
      <c r="BC7" s="22" t="n">
        <v>1626</v>
      </c>
      <c r="BD7" s="22" t="n">
        <v>1626</v>
      </c>
      <c r="BE7" s="22" t="n">
        <v>1604</v>
      </c>
      <c r="BF7" s="22" t="n">
        <v>1647</v>
      </c>
      <c r="BG7" s="22" t="n">
        <v>1613</v>
      </c>
      <c r="BH7" s="22" t="n">
        <v>1620</v>
      </c>
      <c r="BI7" s="22" t="n">
        <v>1596</v>
      </c>
      <c r="BJ7" s="22" t="n">
        <v>1592</v>
      </c>
      <c r="BK7" s="22" t="n">
        <v>1629</v>
      </c>
      <c r="BL7" s="22" t="n">
        <v>1628</v>
      </c>
    </row>
    <row r="8" ht="15.95" customHeight="1" s="574">
      <c r="A8" s="81" t="inlineStr">
        <is>
          <t>5713</t>
        </is>
      </c>
      <c r="B8" s="17" t="inlineStr">
        <is>
          <t>住友鉱山</t>
        </is>
      </c>
      <c r="C8" s="655">
        <f>_xll.RssMarket("5713","始値")</f>
        <v/>
      </c>
      <c r="D8" s="656">
        <f>C8-E8</f>
        <v/>
      </c>
      <c r="E8" s="23" t="n">
        <v>8504</v>
      </c>
      <c r="F8" s="23" t="n">
        <v>8990</v>
      </c>
      <c r="G8" s="23" t="n">
        <v>9090</v>
      </c>
      <c r="H8" s="23" t="n">
        <v>8899</v>
      </c>
      <c r="I8" s="23" t="n">
        <v>9340</v>
      </c>
      <c r="J8" s="23" t="n">
        <v>8938</v>
      </c>
      <c r="K8" s="23" t="n">
        <v>8230</v>
      </c>
      <c r="L8" s="23" t="n">
        <v>7625</v>
      </c>
      <c r="M8" s="23" t="n">
        <v>7597</v>
      </c>
      <c r="N8" s="23" t="n">
        <v>8100</v>
      </c>
      <c r="O8" s="23" t="n">
        <v>8690</v>
      </c>
      <c r="P8" s="23" t="n">
        <v>8837</v>
      </c>
      <c r="Q8" s="23" t="n">
        <v>9010</v>
      </c>
      <c r="R8" s="23" t="n">
        <v>8843</v>
      </c>
      <c r="S8" s="23" t="n">
        <v>9145</v>
      </c>
      <c r="T8" s="23" t="n">
        <v>9398</v>
      </c>
      <c r="U8" s="23" t="n">
        <v>10155</v>
      </c>
      <c r="V8" s="23" t="n">
        <v>9789</v>
      </c>
      <c r="W8" s="23" t="n">
        <v>9393</v>
      </c>
      <c r="X8" s="23" t="n">
        <v>9280</v>
      </c>
      <c r="Y8" s="23" t="n">
        <v>9130</v>
      </c>
      <c r="Z8" s="23" t="n">
        <v>9520</v>
      </c>
      <c r="AA8" s="23" t="n">
        <v>9917</v>
      </c>
      <c r="AB8" s="23" t="n">
        <v>10560</v>
      </c>
      <c r="AC8" s="23" t="n">
        <v>10860</v>
      </c>
      <c r="AD8" s="23" t="n">
        <v>10660</v>
      </c>
      <c r="AE8" s="23" t="n">
        <v>10590</v>
      </c>
      <c r="AF8" s="23" t="n">
        <v>10750</v>
      </c>
      <c r="AG8" s="23" t="n">
        <v>10290</v>
      </c>
      <c r="AH8" s="23" t="n">
        <v>10135</v>
      </c>
      <c r="AI8" s="23" t="n">
        <v>9489</v>
      </c>
      <c r="AJ8" s="23" t="n">
        <v>9431</v>
      </c>
      <c r="AK8" s="23" t="n">
        <v>9699</v>
      </c>
      <c r="AL8" s="23" t="n">
        <v>10300</v>
      </c>
      <c r="AM8" s="23" t="n">
        <v>9996</v>
      </c>
      <c r="AN8" s="23" t="n">
        <v>10170</v>
      </c>
      <c r="AO8" s="23" t="n">
        <v>10170</v>
      </c>
      <c r="AP8" s="22" t="n">
        <v>10780</v>
      </c>
      <c r="AQ8" s="22" t="n">
        <v>10735</v>
      </c>
      <c r="AR8" s="22" t="n">
        <v>10700</v>
      </c>
      <c r="AS8" s="22" t="n">
        <v>10150</v>
      </c>
      <c r="AT8" s="22" t="n">
        <v>9894</v>
      </c>
      <c r="AU8" s="22" t="n">
        <v>9950</v>
      </c>
      <c r="AV8" s="22" t="n">
        <v>10200</v>
      </c>
      <c r="AW8" s="22" t="n">
        <v>10200</v>
      </c>
      <c r="AX8" s="22" t="n">
        <v>9395</v>
      </c>
      <c r="AY8" s="22" t="n">
        <v>9439</v>
      </c>
      <c r="AZ8" s="22" t="n">
        <v>9686</v>
      </c>
      <c r="BA8" s="22" t="n">
        <v>9743</v>
      </c>
      <c r="BB8" s="22" t="n">
        <v>9455</v>
      </c>
      <c r="BC8" s="22" t="n">
        <v>8810</v>
      </c>
      <c r="BD8" s="22" t="n">
        <v>9089</v>
      </c>
      <c r="BE8" s="22" t="n">
        <v>9187</v>
      </c>
      <c r="BF8" s="22" t="n">
        <v>9243</v>
      </c>
      <c r="BG8" s="22" t="n">
        <v>9180</v>
      </c>
      <c r="BH8" s="22" t="n">
        <v>8775</v>
      </c>
      <c r="BI8" s="22" t="n">
        <v>8537</v>
      </c>
      <c r="BJ8" s="22" t="n">
        <v>9415</v>
      </c>
      <c r="BK8" s="22" t="n">
        <v>9718</v>
      </c>
      <c r="BL8" s="22" t="n">
        <v>9844</v>
      </c>
    </row>
    <row r="9" ht="15.95" customHeight="1" s="574">
      <c r="A9" s="81" t="inlineStr">
        <is>
          <t>5711</t>
        </is>
      </c>
      <c r="B9" s="17" t="inlineStr">
        <is>
          <t>三菱マテリアル</t>
        </is>
      </c>
      <c r="C9" s="655">
        <f>_xll.RssMarket("5711","始値")</f>
        <v/>
      </c>
      <c r="D9" s="656">
        <f>C9-E9</f>
        <v/>
      </c>
      <c r="E9" s="22" t="n">
        <v>4836</v>
      </c>
      <c r="F9" s="22" t="n">
        <v>4903</v>
      </c>
      <c r="G9" s="22" t="n">
        <v>4839</v>
      </c>
      <c r="H9" s="22" t="n">
        <v>4870</v>
      </c>
      <c r="I9" s="22" t="n">
        <v>5050</v>
      </c>
      <c r="J9" s="22" t="n">
        <v>4902</v>
      </c>
      <c r="K9" s="22" t="n">
        <v>4583</v>
      </c>
      <c r="L9" s="22" t="n">
        <v>4400</v>
      </c>
      <c r="M9" s="22" t="n">
        <v>4466</v>
      </c>
      <c r="N9" s="22" t="n">
        <v>4750</v>
      </c>
      <c r="O9" s="22" t="n">
        <v>4931</v>
      </c>
      <c r="P9" s="22" t="n">
        <v>5065</v>
      </c>
      <c r="Q9" s="22" t="n">
        <v>5150</v>
      </c>
      <c r="R9" s="22" t="n">
        <v>5027</v>
      </c>
      <c r="S9" s="22" t="n">
        <v>5228</v>
      </c>
      <c r="T9" s="22" t="n">
        <v>5171</v>
      </c>
      <c r="U9" s="22" t="n">
        <v>5448</v>
      </c>
      <c r="V9" s="22" t="n">
        <v>5157</v>
      </c>
      <c r="W9" s="22" t="n">
        <v>5050</v>
      </c>
      <c r="X9" s="22" t="n">
        <v>4829</v>
      </c>
      <c r="Y9" s="22" t="n">
        <v>4848</v>
      </c>
      <c r="Z9" s="22" t="n">
        <v>5000</v>
      </c>
      <c r="AA9" s="22" t="n">
        <v>5250</v>
      </c>
      <c r="AB9" s="22" t="n">
        <v>5363</v>
      </c>
      <c r="AC9" s="22" t="n">
        <v>5646</v>
      </c>
      <c r="AD9" s="22" t="n">
        <v>5850</v>
      </c>
      <c r="AE9" s="22" t="n">
        <v>5657</v>
      </c>
      <c r="AF9" s="22" t="n">
        <v>5628</v>
      </c>
      <c r="AG9" s="22" t="n">
        <v>5325</v>
      </c>
      <c r="AH9" s="22" t="n">
        <v>5320</v>
      </c>
      <c r="AI9" s="22" t="n">
        <v>5143</v>
      </c>
      <c r="AJ9" s="22" t="n">
        <v>5082</v>
      </c>
      <c r="AK9" s="22" t="n">
        <v>5183</v>
      </c>
      <c r="AL9" s="22" t="n">
        <v>5284</v>
      </c>
      <c r="AM9" s="22" t="n">
        <v>5393</v>
      </c>
      <c r="AN9" s="22" t="n">
        <v>5450</v>
      </c>
      <c r="AO9" s="22" t="n">
        <v>5550</v>
      </c>
      <c r="AP9" s="22" t="n">
        <v>5588</v>
      </c>
      <c r="AQ9" s="22" t="n">
        <v>5701</v>
      </c>
      <c r="AR9" s="22" t="n">
        <v>5728</v>
      </c>
      <c r="AS9" s="22" t="n">
        <v>5788</v>
      </c>
      <c r="AT9" s="22" t="n">
        <v>5590</v>
      </c>
      <c r="AU9" s="22" t="n">
        <v>5500</v>
      </c>
      <c r="AV9" s="22" t="n">
        <v>5577</v>
      </c>
      <c r="AW9" s="22" t="n">
        <v>5637</v>
      </c>
      <c r="AX9" s="22" t="n">
        <v>5455</v>
      </c>
      <c r="AY9" s="22" t="n">
        <v>5198</v>
      </c>
      <c r="AZ9" s="22" t="n">
        <v>5170</v>
      </c>
      <c r="BA9" s="22" t="n">
        <v>5182</v>
      </c>
      <c r="BB9" s="22" t="n">
        <v>5277</v>
      </c>
      <c r="BC9" s="22" t="n">
        <v>5076</v>
      </c>
      <c r="BD9" s="22" t="n">
        <v>4800</v>
      </c>
      <c r="BE9" s="22" t="n">
        <v>4857</v>
      </c>
      <c r="BF9" s="22" t="n">
        <v>5044</v>
      </c>
      <c r="BG9" s="22" t="n">
        <v>5258</v>
      </c>
      <c r="BH9" s="22" t="n">
        <v>5222</v>
      </c>
      <c r="BI9" s="22" t="n">
        <v>4994</v>
      </c>
      <c r="BJ9" s="22" t="n">
        <v>4879</v>
      </c>
      <c r="BK9" s="22" t="n">
        <v>5449</v>
      </c>
      <c r="BL9" s="22" t="n">
        <v>5299</v>
      </c>
    </row>
    <row r="10" ht="15.95" customHeight="1" s="574">
      <c r="A10" s="81" t="inlineStr">
        <is>
          <t>5714</t>
        </is>
      </c>
      <c r="B10" s="17" t="inlineStr">
        <is>
          <t>ＤＯＷＡホールディングス</t>
        </is>
      </c>
      <c r="C10" s="655">
        <f>_xll.RssMarket("5714","始値")</f>
        <v/>
      </c>
      <c r="D10" s="656">
        <f>C10-E10</f>
        <v/>
      </c>
      <c r="E10" s="22" t="n">
        <v>9480</v>
      </c>
      <c r="F10" s="22" t="n">
        <v>9566</v>
      </c>
      <c r="G10" s="22" t="n">
        <v>9799</v>
      </c>
      <c r="H10" s="22" t="n">
        <v>9770</v>
      </c>
      <c r="I10" s="22" t="n">
        <v>9904</v>
      </c>
      <c r="J10" s="22" t="n">
        <v>9677</v>
      </c>
      <c r="K10" s="22" t="n">
        <v>9225</v>
      </c>
      <c r="L10" s="22" t="n">
        <v>8847</v>
      </c>
      <c r="M10" s="22" t="n">
        <v>8954</v>
      </c>
      <c r="N10" s="22" t="n">
        <v>9650</v>
      </c>
      <c r="O10" s="22" t="n">
        <v>10105</v>
      </c>
      <c r="P10" s="22" t="n">
        <v>10090</v>
      </c>
      <c r="Q10" s="22" t="n">
        <v>10490</v>
      </c>
      <c r="R10" s="22" t="n">
        <v>10275</v>
      </c>
      <c r="S10" s="22" t="n">
        <v>10635</v>
      </c>
      <c r="T10" s="22" t="n">
        <v>10600</v>
      </c>
      <c r="U10" s="22" t="n">
        <v>11000</v>
      </c>
      <c r="V10" s="22" t="n">
        <v>10775</v>
      </c>
      <c r="W10" s="22" t="n">
        <v>10400</v>
      </c>
      <c r="X10" s="22" t="n">
        <v>10305</v>
      </c>
      <c r="Y10" s="22" t="n">
        <v>10220</v>
      </c>
      <c r="Z10" s="22" t="n">
        <v>11110</v>
      </c>
      <c r="AA10" s="22" t="n">
        <v>11515</v>
      </c>
      <c r="AB10" s="22" t="n">
        <v>11885</v>
      </c>
      <c r="AC10" s="22" t="n">
        <v>10550</v>
      </c>
      <c r="AD10" s="22" t="n">
        <v>10205</v>
      </c>
      <c r="AE10" s="22" t="n">
        <v>10465</v>
      </c>
      <c r="AF10" s="22" t="n">
        <v>10365</v>
      </c>
      <c r="AG10" s="22" t="n">
        <v>9965</v>
      </c>
      <c r="AH10" s="22" t="n">
        <v>9620</v>
      </c>
      <c r="AI10" s="22" t="n">
        <v>9538</v>
      </c>
      <c r="AJ10" s="22" t="n">
        <v>9504</v>
      </c>
      <c r="AK10" s="22" t="n">
        <v>9546</v>
      </c>
      <c r="AL10" s="22" t="n">
        <v>9525</v>
      </c>
      <c r="AM10" s="22" t="n">
        <v>9651</v>
      </c>
      <c r="AN10" s="22" t="n">
        <v>9849</v>
      </c>
      <c r="AO10" s="22" t="n">
        <v>9822</v>
      </c>
      <c r="AP10" s="22" t="n">
        <v>9914</v>
      </c>
      <c r="AQ10" s="22" t="n">
        <v>10005</v>
      </c>
      <c r="AR10" s="22" t="n">
        <v>10190</v>
      </c>
      <c r="AS10" s="22" t="n">
        <v>10115</v>
      </c>
      <c r="AT10" s="22" t="n">
        <v>10285</v>
      </c>
      <c r="AU10" s="22" t="n">
        <v>9827</v>
      </c>
      <c r="AV10" s="22" t="n">
        <v>9688</v>
      </c>
      <c r="AW10" s="22" t="n">
        <v>9832</v>
      </c>
      <c r="AX10" s="22" t="n">
        <v>9900</v>
      </c>
      <c r="AY10" s="22" t="n">
        <v>9831</v>
      </c>
      <c r="AZ10" s="22" t="n">
        <v>9117</v>
      </c>
      <c r="BA10" s="22" t="n">
        <v>9094</v>
      </c>
      <c r="BB10" s="22" t="n">
        <v>9139</v>
      </c>
      <c r="BC10" s="22" t="n">
        <v>9390</v>
      </c>
      <c r="BD10" s="22" t="n">
        <v>9103</v>
      </c>
      <c r="BE10" s="22" t="n">
        <v>8604</v>
      </c>
      <c r="BF10" s="22" t="n">
        <v>8622</v>
      </c>
      <c r="BG10" s="22" t="n">
        <v>9319</v>
      </c>
      <c r="BH10" s="22" t="n">
        <v>9362</v>
      </c>
      <c r="BI10" s="22" t="n">
        <v>9318</v>
      </c>
      <c r="BJ10" s="22" t="n">
        <v>8990</v>
      </c>
      <c r="BK10" s="22" t="n">
        <v>8671</v>
      </c>
      <c r="BL10" s="22" t="n">
        <v>9648</v>
      </c>
    </row>
    <row r="11" ht="15.95" customHeight="1" s="574">
      <c r="A11" s="81" t="inlineStr">
        <is>
          <t>6701</t>
        </is>
      </c>
      <c r="B11" s="17" t="inlineStr">
        <is>
          <t>日本電気</t>
        </is>
      </c>
      <c r="C11" s="655">
        <f>_xll.RssMarket("6701","始値")</f>
        <v/>
      </c>
      <c r="D11" s="656">
        <f>C11-E11</f>
        <v/>
      </c>
      <c r="E11" s="22" t="n">
        <v>3750</v>
      </c>
      <c r="F11" s="22" t="n">
        <v>3775</v>
      </c>
      <c r="G11" s="22" t="n">
        <v>3874</v>
      </c>
      <c r="H11" s="22" t="n">
        <v>3877</v>
      </c>
      <c r="I11" s="22" t="n">
        <v>3803</v>
      </c>
      <c r="J11" s="22" t="n">
        <v>3912</v>
      </c>
      <c r="K11" s="22" t="n">
        <v>3994</v>
      </c>
      <c r="L11" s="22" t="n">
        <v>3979</v>
      </c>
      <c r="M11" s="22" t="n">
        <v>4079</v>
      </c>
      <c r="N11" s="22" t="n">
        <v>4152</v>
      </c>
      <c r="O11" s="22" t="n">
        <v>4265</v>
      </c>
      <c r="P11" s="22" t="n">
        <v>4203</v>
      </c>
      <c r="Q11" s="22" t="n">
        <v>4306</v>
      </c>
      <c r="R11" s="22" t="n">
        <v>4469</v>
      </c>
      <c r="S11" s="22" t="n">
        <v>4145</v>
      </c>
      <c r="T11" s="22" t="n">
        <v>4148</v>
      </c>
      <c r="U11" s="22" t="n">
        <v>4002</v>
      </c>
      <c r="V11" s="22" t="n">
        <v>4100</v>
      </c>
      <c r="W11" s="22" t="n">
        <v>4121</v>
      </c>
      <c r="X11" s="22" t="n">
        <v>4151</v>
      </c>
      <c r="Y11" s="22" t="n">
        <v>4308</v>
      </c>
      <c r="Z11" s="22" t="n">
        <v>4280</v>
      </c>
      <c r="AA11" s="22" t="n">
        <v>4110</v>
      </c>
      <c r="AB11" s="22" t="n">
        <v>4109</v>
      </c>
      <c r="AC11" s="22" t="n">
        <v>4103</v>
      </c>
      <c r="AD11" s="22" t="n">
        <v>4330</v>
      </c>
      <c r="AE11" s="22" t="n">
        <v>4106</v>
      </c>
      <c r="AF11" s="22" t="n">
        <v>4137</v>
      </c>
      <c r="AG11" s="22" t="n">
        <v>4131</v>
      </c>
      <c r="AH11" s="22" t="n">
        <v>4010</v>
      </c>
      <c r="AI11" s="22" t="n">
        <v>4069</v>
      </c>
      <c r="AJ11" s="22" t="n">
        <v>4196</v>
      </c>
      <c r="AK11" s="22" t="n">
        <v>4680</v>
      </c>
      <c r="AL11" s="22" t="n">
        <v>4476</v>
      </c>
      <c r="AM11" s="22" t="n">
        <v>4416</v>
      </c>
      <c r="AN11" s="22" t="n">
        <v>4467</v>
      </c>
      <c r="AO11" s="22" t="n">
        <v>4390</v>
      </c>
      <c r="AP11" s="22" t="n">
        <v>4331</v>
      </c>
      <c r="AQ11" s="22" t="n">
        <v>4375</v>
      </c>
      <c r="AR11" s="22" t="n">
        <v>4410</v>
      </c>
      <c r="AS11" s="22" t="n">
        <v>4185</v>
      </c>
      <c r="AT11" s="22" t="n">
        <v>4048</v>
      </c>
      <c r="AU11" s="22" t="n">
        <v>3800</v>
      </c>
      <c r="AV11" s="22" t="n">
        <v>3978</v>
      </c>
      <c r="AW11" s="22" t="n">
        <v>4130</v>
      </c>
      <c r="AX11" s="22" t="n">
        <v>4196</v>
      </c>
      <c r="AY11" s="22" t="n">
        <v>4037</v>
      </c>
      <c r="AZ11" s="22" t="n">
        <v>4050</v>
      </c>
      <c r="BA11" s="22" t="n">
        <v>4062</v>
      </c>
      <c r="BB11" s="22" t="n">
        <v>4062</v>
      </c>
      <c r="BC11" s="22" t="n">
        <v>4095</v>
      </c>
      <c r="BD11" s="22" t="n">
        <v>4095</v>
      </c>
      <c r="BE11" s="22" t="n">
        <v>4000</v>
      </c>
      <c r="BF11" s="22" t="n">
        <v>4000</v>
      </c>
      <c r="BG11" s="22" t="n">
        <v>4000</v>
      </c>
      <c r="BH11" s="22" t="n">
        <v>3859</v>
      </c>
      <c r="BI11" s="22" t="n">
        <v>3859</v>
      </c>
      <c r="BJ11" s="22" t="n">
        <v>3859</v>
      </c>
      <c r="BK11" s="22" t="n">
        <v>3780</v>
      </c>
      <c r="BL11" s="22" t="n">
        <v>3780</v>
      </c>
    </row>
    <row r="12" ht="15.95" customHeight="1" s="574">
      <c r="A12" s="81" t="inlineStr">
        <is>
          <t>1605</t>
        </is>
      </c>
      <c r="B12" s="17" t="inlineStr">
        <is>
          <t>ＩＮＰＥＸ</t>
        </is>
      </c>
      <c r="C12" s="655">
        <f>_xll.RssMarket("1605","始値")</f>
        <v/>
      </c>
      <c r="D12" s="656">
        <f>C12-E12</f>
        <v/>
      </c>
      <c r="E12" s="22" t="n">
        <v>3500</v>
      </c>
      <c r="F12" s="22" t="n">
        <v>3407</v>
      </c>
      <c r="G12" s="22" t="n">
        <v>3442</v>
      </c>
      <c r="H12" s="22" t="n">
        <v>3328</v>
      </c>
      <c r="I12" s="22" t="n">
        <v>3467</v>
      </c>
      <c r="J12" s="22" t="n">
        <v>3559</v>
      </c>
      <c r="K12" s="22" t="n">
        <v>3554</v>
      </c>
      <c r="L12" s="22" t="n">
        <v>3587</v>
      </c>
      <c r="M12" s="22" t="n">
        <v>3537</v>
      </c>
      <c r="N12" s="22" t="n">
        <v>3657</v>
      </c>
      <c r="O12" s="22" t="n">
        <v>3650</v>
      </c>
      <c r="P12" s="22" t="n">
        <v>3646</v>
      </c>
      <c r="Q12" s="22" t="n">
        <v>3684</v>
      </c>
      <c r="R12" s="22" t="n">
        <v>3470</v>
      </c>
      <c r="S12" s="22" t="n">
        <v>3605</v>
      </c>
      <c r="T12" s="22" t="n">
        <v>3600</v>
      </c>
      <c r="U12" s="22" t="n">
        <v>3650</v>
      </c>
      <c r="V12" s="22" t="n">
        <v>3757</v>
      </c>
      <c r="W12" s="22" t="n">
        <v>3821</v>
      </c>
      <c r="X12" s="22" t="n">
        <v>3868</v>
      </c>
      <c r="Y12" s="22" t="n">
        <v>3970</v>
      </c>
      <c r="Z12" s="22" t="n">
        <v>3972</v>
      </c>
      <c r="AA12" s="22" t="n">
        <v>3967</v>
      </c>
      <c r="AB12" s="22" t="n">
        <v>3864</v>
      </c>
      <c r="AC12" s="22" t="n">
        <v>4000</v>
      </c>
      <c r="AD12" s="22" t="n">
        <v>3973</v>
      </c>
      <c r="AE12" s="22" t="n">
        <v>3915</v>
      </c>
      <c r="AF12" s="22" t="n">
        <v>3788</v>
      </c>
      <c r="AG12" s="22" t="n">
        <v>3803</v>
      </c>
      <c r="AH12" s="22" t="n">
        <v>3856</v>
      </c>
      <c r="AI12" s="22" t="n">
        <v>4131</v>
      </c>
      <c r="AJ12" s="22" t="n">
        <v>4173</v>
      </c>
      <c r="AK12" s="22" t="n">
        <v>3994</v>
      </c>
      <c r="AL12" s="22" t="n">
        <v>3984</v>
      </c>
      <c r="AM12" s="22" t="n">
        <v>4000</v>
      </c>
      <c r="AN12" s="22" t="n">
        <v>3856</v>
      </c>
      <c r="AO12" s="22" t="n">
        <v>3900</v>
      </c>
      <c r="AP12" s="22" t="n">
        <v>3881</v>
      </c>
      <c r="AQ12" s="22" t="n">
        <v>3915</v>
      </c>
      <c r="AR12" s="22" t="n">
        <v>3997</v>
      </c>
      <c r="AS12" s="22" t="n">
        <v>4035</v>
      </c>
      <c r="AT12" s="22" t="n">
        <v>4125</v>
      </c>
      <c r="AU12" s="22" t="n">
        <v>4209</v>
      </c>
      <c r="AV12" s="22" t="n">
        <v>4354</v>
      </c>
      <c r="AW12" s="22" t="n">
        <v>4247</v>
      </c>
      <c r="AX12" s="22" t="n">
        <v>4271</v>
      </c>
      <c r="AY12" s="22" t="n">
        <v>4075</v>
      </c>
      <c r="AZ12" s="22" t="n">
        <v>4567</v>
      </c>
      <c r="BA12" s="22" t="n">
        <v>4710</v>
      </c>
      <c r="BB12" s="22" t="n">
        <v>4550</v>
      </c>
      <c r="BC12" s="22" t="n">
        <v>4480</v>
      </c>
      <c r="BD12" s="22" t="n">
        <v>4530</v>
      </c>
      <c r="BE12" s="22" t="n">
        <v>4930</v>
      </c>
      <c r="BF12" s="22" t="n">
        <v>4830</v>
      </c>
      <c r="BG12" s="22" t="n">
        <v>4690</v>
      </c>
      <c r="BH12" s="22" t="n">
        <v>4584</v>
      </c>
      <c r="BI12" s="22" t="n">
        <v>4619</v>
      </c>
      <c r="BJ12" s="22" t="n">
        <v>4413</v>
      </c>
      <c r="BK12" s="22" t="n">
        <v>4531</v>
      </c>
      <c r="BL12" s="22" t="n">
        <v>4745</v>
      </c>
    </row>
    <row r="13" ht="15.95" customHeight="1" s="574">
      <c r="A13" s="81" t="inlineStr">
        <is>
          <t>5703</t>
        </is>
      </c>
      <c r="B13" s="17" t="inlineStr">
        <is>
          <t>日本軽金属ＨＤ</t>
        </is>
      </c>
      <c r="C13" s="655">
        <f>_xll.RssMarket("5703","始値")</f>
        <v/>
      </c>
      <c r="D13" s="656">
        <f>C13-E13</f>
        <v/>
      </c>
      <c r="E13" s="22" t="n">
        <v>2997</v>
      </c>
      <c r="F13" s="22" t="n">
        <v>2971</v>
      </c>
      <c r="G13" s="22" t="n">
        <v>2960</v>
      </c>
      <c r="H13" s="22" t="n">
        <v>3035</v>
      </c>
      <c r="I13" s="22" t="n">
        <v>3060</v>
      </c>
      <c r="J13" s="22" t="n">
        <v>3110</v>
      </c>
      <c r="K13" s="22" t="n">
        <v>3080</v>
      </c>
      <c r="L13" s="22" t="n">
        <v>2927</v>
      </c>
      <c r="M13" s="22" t="n">
        <v>3090</v>
      </c>
      <c r="N13" s="22" t="n">
        <v>3160</v>
      </c>
      <c r="O13" s="22" t="n">
        <v>3195</v>
      </c>
      <c r="P13" s="22" t="n">
        <v>3230</v>
      </c>
      <c r="Q13" s="22" t="n">
        <v>3235</v>
      </c>
      <c r="R13" s="22" t="n">
        <v>3105</v>
      </c>
      <c r="S13" s="22" t="n">
        <v>3230</v>
      </c>
      <c r="T13" s="22" t="n">
        <v>3155</v>
      </c>
      <c r="U13" s="22" t="n">
        <v>3290</v>
      </c>
      <c r="V13" s="22" t="n">
        <v>3190</v>
      </c>
      <c r="W13" s="22" t="n">
        <v>3100</v>
      </c>
      <c r="X13" s="22" t="n">
        <v>3120</v>
      </c>
      <c r="Y13" s="22" t="n">
        <v>3045</v>
      </c>
      <c r="Z13" s="22" t="n">
        <v>3140</v>
      </c>
      <c r="AA13" s="22" t="n">
        <v>3065</v>
      </c>
      <c r="AB13" s="22" t="n">
        <v>3050</v>
      </c>
      <c r="AC13" s="22" t="n">
        <v>2969</v>
      </c>
      <c r="AD13" s="22" t="n">
        <v>2939</v>
      </c>
      <c r="AE13" s="22" t="n">
        <v>2928</v>
      </c>
      <c r="AF13" s="22" t="n">
        <v>2956</v>
      </c>
      <c r="AG13" s="22" t="n">
        <v>2854</v>
      </c>
      <c r="AH13" s="22" t="n">
        <v>2899</v>
      </c>
      <c r="AI13" s="22" t="n">
        <v>2703</v>
      </c>
      <c r="AJ13" s="22" t="n">
        <v>2834</v>
      </c>
      <c r="AK13" s="22" t="n">
        <v>2876</v>
      </c>
      <c r="AL13" s="22" t="n">
        <v>2876</v>
      </c>
      <c r="AM13" s="22" t="n">
        <v>2847</v>
      </c>
      <c r="AN13" s="22" t="n">
        <v>2915</v>
      </c>
      <c r="AO13" s="22" t="n">
        <v>2939</v>
      </c>
      <c r="AP13" s="22" t="n">
        <v>3025</v>
      </c>
      <c r="AQ13" s="22" t="n">
        <v>2999</v>
      </c>
      <c r="AR13" s="22" t="n">
        <v>3020</v>
      </c>
      <c r="AS13" s="22" t="n">
        <v>3030</v>
      </c>
      <c r="AT13" s="22" t="n">
        <v>3070</v>
      </c>
      <c r="AU13" s="22" t="n">
        <v>3030</v>
      </c>
      <c r="AV13" s="22" t="n">
        <v>2981</v>
      </c>
      <c r="AW13" s="22" t="n">
        <v>2998</v>
      </c>
      <c r="AX13" s="22" t="n">
        <v>2988</v>
      </c>
      <c r="AY13" s="22" t="n">
        <v>2980</v>
      </c>
      <c r="AZ13" s="22" t="n">
        <v>2867</v>
      </c>
      <c r="BA13" s="22" t="n">
        <v>2880</v>
      </c>
      <c r="BB13" s="22" t="n">
        <v>2801</v>
      </c>
      <c r="BC13" s="22" t="n">
        <v>2880</v>
      </c>
      <c r="BD13" s="22" t="n">
        <v>2856</v>
      </c>
      <c r="BE13" s="22" t="n">
        <v>2656</v>
      </c>
      <c r="BF13" s="22" t="n">
        <v>2580</v>
      </c>
      <c r="BG13" s="22" t="n">
        <v>2700</v>
      </c>
      <c r="BH13" s="22" t="n">
        <v>2746</v>
      </c>
      <c r="BI13" s="22" t="n">
        <v>2717</v>
      </c>
      <c r="BJ13" s="22" t="n">
        <v>2644</v>
      </c>
      <c r="BK13" s="22" t="n">
        <v>2536</v>
      </c>
      <c r="BL13" s="22" t="n">
        <v>2795</v>
      </c>
    </row>
    <row r="14" ht="15.95" customHeight="1" s="574">
      <c r="A14" s="81" t="inlineStr">
        <is>
          <t>8002</t>
        </is>
      </c>
      <c r="B14" s="17" t="inlineStr">
        <is>
          <t>丸紅</t>
        </is>
      </c>
      <c r="C14" s="655">
        <f>_xll.RssMarket("8002","始値")</f>
        <v/>
      </c>
      <c r="D14" s="656">
        <f>C14-E14</f>
        <v/>
      </c>
      <c r="E14" s="22" t="n">
        <v>4868</v>
      </c>
      <c r="F14" s="22" t="n">
        <v>4850</v>
      </c>
      <c r="G14" s="22" t="n">
        <v>4949</v>
      </c>
      <c r="H14" s="22" t="n">
        <v>4981</v>
      </c>
      <c r="I14" s="22" t="n">
        <v>5023</v>
      </c>
      <c r="J14" s="22" t="n">
        <v>5009</v>
      </c>
      <c r="K14" s="22" t="n">
        <v>4869</v>
      </c>
      <c r="L14" s="22" t="n">
        <v>4780</v>
      </c>
      <c r="M14" s="22" t="n">
        <v>4850</v>
      </c>
      <c r="N14" s="22" t="n">
        <v>4960</v>
      </c>
      <c r="O14" s="22" t="n">
        <v>5018</v>
      </c>
      <c r="P14" s="22" t="n">
        <v>4997</v>
      </c>
      <c r="Q14" s="22" t="n">
        <v>4899</v>
      </c>
      <c r="R14" s="22" t="n">
        <v>4848</v>
      </c>
      <c r="S14" s="22" t="n">
        <v>5180</v>
      </c>
      <c r="T14" s="22" t="n">
        <v>5170</v>
      </c>
      <c r="U14" s="22" t="n">
        <v>5348</v>
      </c>
      <c r="V14" s="22" t="n">
        <v>5271</v>
      </c>
      <c r="W14" s="22" t="n">
        <v>5331</v>
      </c>
      <c r="X14" s="22" t="n">
        <v>5467</v>
      </c>
      <c r="Y14" s="22" t="n">
        <v>5451</v>
      </c>
      <c r="Z14" s="22" t="n">
        <v>5706</v>
      </c>
      <c r="AA14" s="22" t="n">
        <v>5806</v>
      </c>
      <c r="AB14" s="22" t="n">
        <v>5922</v>
      </c>
      <c r="AC14" s="22" t="n">
        <v>5884</v>
      </c>
      <c r="AD14" s="22" t="n">
        <v>5555</v>
      </c>
      <c r="AE14" s="22" t="n">
        <v>5433</v>
      </c>
      <c r="AF14" s="22" t="n">
        <v>5356</v>
      </c>
      <c r="AG14" s="22" t="n">
        <v>5493</v>
      </c>
      <c r="AH14" s="22" t="n">
        <v>5655</v>
      </c>
      <c r="AI14" s="22" t="n">
        <v>6146</v>
      </c>
      <c r="AJ14" s="22" t="n">
        <v>6080</v>
      </c>
      <c r="AK14" s="22" t="n">
        <v>6010</v>
      </c>
      <c r="AL14" s="22" t="n">
        <v>5903</v>
      </c>
      <c r="AM14" s="22" t="n">
        <v>6003</v>
      </c>
      <c r="AN14" s="22" t="n">
        <v>5867</v>
      </c>
      <c r="AO14" s="22" t="n">
        <v>5956</v>
      </c>
      <c r="AP14" s="22" t="n">
        <v>5874</v>
      </c>
      <c r="AQ14" s="22" t="n">
        <v>5950</v>
      </c>
      <c r="AR14" s="22" t="n">
        <v>6040</v>
      </c>
      <c r="AS14" s="22" t="n">
        <v>5903</v>
      </c>
      <c r="AT14" s="22" t="n">
        <v>6000</v>
      </c>
      <c r="AU14" s="22" t="n">
        <v>6000</v>
      </c>
      <c r="AV14" s="22" t="n">
        <v>5946</v>
      </c>
      <c r="AW14" s="22" t="n">
        <v>6047</v>
      </c>
      <c r="AX14" s="22" t="n">
        <v>6116</v>
      </c>
      <c r="AY14" s="22" t="n">
        <v>6219</v>
      </c>
      <c r="AZ14" s="22" t="n">
        <v>5930</v>
      </c>
      <c r="BA14" s="22" t="n">
        <v>5978</v>
      </c>
      <c r="BB14" s="22" t="n">
        <v>5990</v>
      </c>
      <c r="BC14" s="22" t="n">
        <v>6093</v>
      </c>
      <c r="BD14" s="22" t="n">
        <v>5818</v>
      </c>
      <c r="BE14" s="22" t="n">
        <v>5600</v>
      </c>
      <c r="BF14" s="22" t="n">
        <v>5404</v>
      </c>
      <c r="BG14" s="22" t="n">
        <v>5631</v>
      </c>
      <c r="BH14" s="22" t="n">
        <v>5659</v>
      </c>
      <c r="BI14" s="22" t="n">
        <v>5547</v>
      </c>
      <c r="BJ14" s="22" t="n">
        <v>5319</v>
      </c>
      <c r="BK14" s="22" t="n">
        <v>5200</v>
      </c>
      <c r="BL14" s="22" t="n">
        <v>5635</v>
      </c>
    </row>
    <row r="15" ht="15.95" customHeight="1" s="574">
      <c r="A15" s="81" t="inlineStr">
        <is>
          <t>5021</t>
        </is>
      </c>
      <c r="B15" s="17" t="inlineStr">
        <is>
          <t>コスモエネルギーＨＬＤＧＳ</t>
        </is>
      </c>
      <c r="C15" s="655">
        <f>_xll.RssMarket("5021","始値")</f>
        <v/>
      </c>
      <c r="D15" s="656">
        <f>C15-E15</f>
        <v/>
      </c>
      <c r="E15" s="22" t="n">
        <v>3775</v>
      </c>
      <c r="F15" s="22" t="n">
        <v>3750</v>
      </c>
      <c r="G15" s="22" t="n">
        <v>3680</v>
      </c>
      <c r="H15" s="22" t="n">
        <v>3690</v>
      </c>
      <c r="I15" s="22" t="n">
        <v>3630</v>
      </c>
      <c r="J15" s="22" t="n">
        <v>3530</v>
      </c>
      <c r="K15" s="22" t="n">
        <v>3511</v>
      </c>
      <c r="L15" s="22" t="n">
        <v>3500</v>
      </c>
      <c r="M15" s="22" t="n">
        <v>3545</v>
      </c>
      <c r="N15" s="22" t="n">
        <v>3655</v>
      </c>
      <c r="O15" s="22" t="n">
        <v>3778</v>
      </c>
      <c r="P15" s="22" t="n">
        <v>3720</v>
      </c>
      <c r="Q15" s="22" t="n">
        <v>3666</v>
      </c>
      <c r="R15" s="22" t="n">
        <v>3700</v>
      </c>
      <c r="S15" s="22" t="n">
        <v>3676</v>
      </c>
      <c r="T15" s="22" t="n">
        <v>3640</v>
      </c>
      <c r="U15" s="22" t="n">
        <v>3728</v>
      </c>
      <c r="V15" s="22" t="n">
        <v>3698</v>
      </c>
      <c r="W15" s="22" t="n">
        <v>3740</v>
      </c>
      <c r="X15" s="22" t="n">
        <v>3774</v>
      </c>
      <c r="Y15" s="22" t="n">
        <v>3799</v>
      </c>
      <c r="Z15" s="22" t="n">
        <v>3842</v>
      </c>
      <c r="AA15" s="22" t="n">
        <v>3872</v>
      </c>
      <c r="AB15" s="22" t="n">
        <v>3763</v>
      </c>
      <c r="AC15" s="22" t="n">
        <v>3899</v>
      </c>
      <c r="AD15" s="22" t="n">
        <v>3958</v>
      </c>
      <c r="AE15" s="22" t="n">
        <v>3936</v>
      </c>
      <c r="AF15" s="22" t="n">
        <v>3909</v>
      </c>
      <c r="AG15" s="22" t="n">
        <v>3865</v>
      </c>
      <c r="AH15" s="22" t="n">
        <v>3980</v>
      </c>
      <c r="AI15" s="22" t="n">
        <v>3987</v>
      </c>
      <c r="AJ15" s="22" t="n">
        <v>3949</v>
      </c>
      <c r="AK15" s="22" t="n">
        <v>3936</v>
      </c>
      <c r="AL15" s="22" t="n">
        <v>4023</v>
      </c>
      <c r="AM15" s="22" t="n">
        <v>3932</v>
      </c>
      <c r="AN15" s="22" t="n">
        <v>4229</v>
      </c>
      <c r="AO15" s="22" t="n">
        <v>4288</v>
      </c>
      <c r="AP15" s="22" t="n">
        <v>4316</v>
      </c>
      <c r="AQ15" s="22" t="n">
        <v>4398</v>
      </c>
      <c r="AR15" s="22" t="n">
        <v>4393</v>
      </c>
      <c r="AS15" s="22" t="n">
        <v>4360</v>
      </c>
      <c r="AT15" s="22" t="n">
        <v>4352</v>
      </c>
      <c r="AU15" s="22" t="n">
        <v>4461</v>
      </c>
      <c r="AV15" s="22" t="n">
        <v>4501</v>
      </c>
      <c r="AW15" s="22" t="n">
        <v>4503</v>
      </c>
      <c r="AX15" s="22" t="n">
        <v>4541</v>
      </c>
      <c r="AY15" s="22" t="n">
        <v>4511</v>
      </c>
      <c r="AZ15" s="22" t="n">
        <v>4520</v>
      </c>
      <c r="BA15" s="22" t="n">
        <v>4461</v>
      </c>
      <c r="BB15" s="22" t="n">
        <v>4501</v>
      </c>
      <c r="BC15" s="22" t="n">
        <v>4499</v>
      </c>
      <c r="BD15" s="22" t="n">
        <v>4555</v>
      </c>
      <c r="BE15" s="22" t="n">
        <v>4400</v>
      </c>
      <c r="BF15" s="22" t="n">
        <v>4588</v>
      </c>
      <c r="BG15" s="22" t="n">
        <v>4564</v>
      </c>
      <c r="BH15" s="22" t="n">
        <v>4650</v>
      </c>
      <c r="BI15" s="22" t="n">
        <v>4522</v>
      </c>
      <c r="BJ15" s="22" t="n">
        <v>4401</v>
      </c>
      <c r="BK15" s="22" t="n">
        <v>4563</v>
      </c>
      <c r="BL15" s="22" t="n">
        <v>4600</v>
      </c>
    </row>
    <row r="16" ht="15.95" customHeight="1" s="574">
      <c r="A16" s="81" t="inlineStr">
        <is>
          <t>8058</t>
        </is>
      </c>
      <c r="B16" s="17" t="inlineStr">
        <is>
          <t>三菱商事</t>
        </is>
      </c>
      <c r="C16" s="655">
        <f>_xll.RssMarket("8058","始値")</f>
        <v/>
      </c>
      <c r="D16" s="656">
        <f>C16-E16</f>
        <v/>
      </c>
      <c r="E16" s="22" t="n">
        <v>4540</v>
      </c>
      <c r="F16" s="22" t="n">
        <v>4510</v>
      </c>
      <c r="G16" s="22" t="n">
        <v>4651</v>
      </c>
      <c r="H16" s="22" t="n">
        <v>4628</v>
      </c>
      <c r="I16" s="22" t="n">
        <v>4731</v>
      </c>
      <c r="J16" s="22" t="n">
        <v>4765</v>
      </c>
      <c r="K16" s="22" t="n">
        <v>4627</v>
      </c>
      <c r="L16" s="22" t="n">
        <v>4583</v>
      </c>
      <c r="M16" s="22" t="n">
        <v>4750</v>
      </c>
      <c r="N16" s="22" t="n">
        <v>4824</v>
      </c>
      <c r="O16" s="22" t="n">
        <v>4919</v>
      </c>
      <c r="P16" s="22" t="n">
        <v>4984</v>
      </c>
      <c r="Q16" s="22" t="n">
        <v>4974</v>
      </c>
      <c r="R16" s="22" t="n">
        <v>4865</v>
      </c>
      <c r="S16" s="22" t="n">
        <v>5000</v>
      </c>
      <c r="T16" s="22" t="n">
        <v>5067</v>
      </c>
      <c r="U16" s="22" t="n">
        <v>5182</v>
      </c>
      <c r="V16" s="22" t="n">
        <v>5400</v>
      </c>
      <c r="W16" s="22" t="n">
        <v>5411</v>
      </c>
      <c r="X16" s="22" t="n">
        <v>5501</v>
      </c>
      <c r="Y16" s="22" t="n">
        <v>5527</v>
      </c>
      <c r="Z16" s="22" t="n">
        <v>5508</v>
      </c>
      <c r="AA16" s="22" t="n">
        <v>5799</v>
      </c>
      <c r="AB16" s="22" t="n">
        <v>5879</v>
      </c>
      <c r="AC16" s="22" t="n">
        <v>5935</v>
      </c>
      <c r="AD16" s="22" t="n">
        <v>5684</v>
      </c>
      <c r="AE16" s="22" t="n">
        <v>5320</v>
      </c>
      <c r="AF16" s="22" t="n">
        <v>5293</v>
      </c>
      <c r="AG16" s="22" t="n">
        <v>5348</v>
      </c>
      <c r="AH16" s="22" t="n">
        <v>5119</v>
      </c>
      <c r="AI16" s="22" t="n">
        <v>4991</v>
      </c>
      <c r="AJ16" s="22" t="n">
        <v>4916</v>
      </c>
      <c r="AK16" s="22" t="n">
        <v>4850</v>
      </c>
      <c r="AL16" s="22" t="n">
        <v>4802</v>
      </c>
      <c r="AM16" s="22" t="n">
        <v>4893</v>
      </c>
      <c r="AN16" s="22" t="n">
        <v>4760</v>
      </c>
      <c r="AO16" s="22" t="n">
        <v>4820</v>
      </c>
      <c r="AP16" s="22" t="n">
        <v>4902</v>
      </c>
      <c r="AQ16" s="22" t="n">
        <v>5002</v>
      </c>
      <c r="AR16" s="22" t="n">
        <v>5079</v>
      </c>
      <c r="AS16" s="22" t="n">
        <v>5015</v>
      </c>
      <c r="AT16" s="22" t="n">
        <v>5238</v>
      </c>
      <c r="AU16" s="22" t="n">
        <v>5330</v>
      </c>
      <c r="AV16" s="22" t="n">
        <v>5360</v>
      </c>
      <c r="AW16" s="22" t="n">
        <v>5438</v>
      </c>
      <c r="AX16" s="22" t="n">
        <v>5450</v>
      </c>
      <c r="AY16" s="22" t="n">
        <v>5650</v>
      </c>
      <c r="AZ16" s="22" t="n">
        <v>5441</v>
      </c>
      <c r="BA16" s="22" t="n">
        <v>5440</v>
      </c>
      <c r="BB16" s="22" t="n">
        <v>5449</v>
      </c>
      <c r="BC16" s="22" t="n">
        <v>5555</v>
      </c>
      <c r="BD16" s="22" t="n">
        <v>5450</v>
      </c>
      <c r="BE16" s="22" t="n">
        <v>5580</v>
      </c>
      <c r="BF16" s="22" t="n">
        <v>5507</v>
      </c>
      <c r="BG16" s="22" t="n">
        <v>5672</v>
      </c>
      <c r="BH16" s="22" t="n">
        <v>5613</v>
      </c>
      <c r="BI16" s="22" t="n">
        <v>5596</v>
      </c>
      <c r="BJ16" s="22" t="n">
        <v>5430</v>
      </c>
      <c r="BK16" s="22" t="n">
        <v>5198</v>
      </c>
      <c r="BL16" s="22" t="n">
        <v>5512</v>
      </c>
    </row>
    <row r="17" ht="15.95" customHeight="1" s="574">
      <c r="A17" s="81" t="inlineStr">
        <is>
          <t>5333</t>
        </is>
      </c>
      <c r="B17" s="17" t="inlineStr">
        <is>
          <t>ＮＧＫ</t>
        </is>
      </c>
      <c r="C17" s="655">
        <f>_xll.RssMarket("5333","始値")</f>
        <v/>
      </c>
      <c r="D17" s="656">
        <f>C17-E17</f>
        <v/>
      </c>
      <c r="E17" s="22" t="n">
        <v>7467</v>
      </c>
      <c r="F17" s="22" t="n">
        <v>7507</v>
      </c>
      <c r="G17" s="22" t="n">
        <v>7026</v>
      </c>
      <c r="H17" s="22" t="n">
        <v>6735</v>
      </c>
      <c r="I17" s="22" t="n">
        <v>6669</v>
      </c>
      <c r="J17" s="22" t="n">
        <v>6517</v>
      </c>
      <c r="K17" s="22" t="n">
        <v>6215</v>
      </c>
      <c r="L17" s="22" t="n">
        <v>5563</v>
      </c>
      <c r="M17" s="22" t="n">
        <v>6028</v>
      </c>
      <c r="N17" s="22" t="n">
        <v>6075</v>
      </c>
      <c r="O17" s="22" t="n">
        <v>6556</v>
      </c>
      <c r="P17" s="22" t="n">
        <v>6383</v>
      </c>
      <c r="Q17" s="22" t="n">
        <v>6270</v>
      </c>
      <c r="R17" s="22" t="n">
        <v>6322</v>
      </c>
      <c r="S17" s="22" t="n">
        <v>6137</v>
      </c>
      <c r="T17" s="22" t="n">
        <v>6032</v>
      </c>
      <c r="U17" s="22" t="n">
        <v>6444</v>
      </c>
      <c r="V17" s="22" t="n">
        <v>5959</v>
      </c>
      <c r="W17" s="22" t="n">
        <v>5765</v>
      </c>
      <c r="X17" s="22" t="n">
        <v>5568</v>
      </c>
      <c r="Y17" s="22" t="n">
        <v>5421</v>
      </c>
      <c r="Z17" s="22" t="n">
        <v>5651</v>
      </c>
      <c r="AA17" s="22" t="n">
        <v>5739</v>
      </c>
      <c r="AB17" s="22" t="n">
        <v>5800</v>
      </c>
      <c r="AC17" s="22" t="n">
        <v>5750</v>
      </c>
      <c r="AD17" s="22" t="n">
        <v>5537</v>
      </c>
      <c r="AE17" s="22" t="n">
        <v>5600</v>
      </c>
      <c r="AF17" s="22" t="n">
        <v>5550</v>
      </c>
      <c r="AG17" s="22" t="n">
        <v>5300</v>
      </c>
      <c r="AH17" s="22" t="n">
        <v>5377</v>
      </c>
      <c r="AI17" s="22" t="n">
        <v>4953</v>
      </c>
      <c r="AJ17" s="22" t="n">
        <v>4621</v>
      </c>
      <c r="AK17" s="22" t="n">
        <v>4670</v>
      </c>
      <c r="AL17" s="22" t="n">
        <v>4429</v>
      </c>
      <c r="AM17" s="22" t="n">
        <v>4445</v>
      </c>
      <c r="AN17" s="22" t="n">
        <v>4450</v>
      </c>
      <c r="AO17" s="22" t="n">
        <v>4520</v>
      </c>
      <c r="AP17" s="22" t="n">
        <v>4538</v>
      </c>
      <c r="AQ17" s="22" t="n">
        <v>4543</v>
      </c>
      <c r="AR17" s="22" t="n">
        <v>4528</v>
      </c>
      <c r="AS17" s="22" t="n">
        <v>4430</v>
      </c>
      <c r="AT17" s="22" t="n">
        <v>4477</v>
      </c>
      <c r="AU17" s="22" t="n">
        <v>4450</v>
      </c>
      <c r="AV17" s="22" t="n">
        <v>4401</v>
      </c>
      <c r="AW17" s="22" t="n">
        <v>4434</v>
      </c>
      <c r="AX17" s="22" t="n">
        <v>4439</v>
      </c>
      <c r="AY17" s="22" t="n">
        <v>4355</v>
      </c>
      <c r="AZ17" s="22" t="n">
        <v>4126</v>
      </c>
      <c r="BA17" s="22" t="n">
        <v>4135</v>
      </c>
      <c r="BB17" s="22" t="n">
        <v>4097</v>
      </c>
      <c r="BC17" s="22" t="n">
        <v>4229</v>
      </c>
      <c r="BD17" s="22" t="n">
        <v>4126</v>
      </c>
      <c r="BE17" s="22" t="n">
        <v>3911</v>
      </c>
      <c r="BF17" s="22" t="n">
        <v>3892</v>
      </c>
      <c r="BG17" s="22" t="n">
        <v>4105</v>
      </c>
      <c r="BH17" s="22" t="n">
        <v>4160</v>
      </c>
      <c r="BI17" s="22" t="n">
        <v>4041</v>
      </c>
      <c r="BJ17" s="22" t="n">
        <v>3904</v>
      </c>
      <c r="BK17" s="22" t="n">
        <v>3766</v>
      </c>
      <c r="BL17" s="22" t="n">
        <v>4019</v>
      </c>
    </row>
    <row r="18" ht="15.95" customHeight="1" s="574">
      <c r="A18" s="81" t="inlineStr">
        <is>
          <t>1662</t>
        </is>
      </c>
      <c r="B18" s="17" t="inlineStr">
        <is>
          <t>石油資源開発</t>
        </is>
      </c>
      <c r="C18" s="655">
        <f>_xll.RssMarket("1662","始値")</f>
        <v/>
      </c>
      <c r="D18" s="656">
        <f>C18-E18</f>
        <v/>
      </c>
      <c r="E18" s="22" t="n">
        <v>1635</v>
      </c>
      <c r="F18" s="22" t="n">
        <v>1630</v>
      </c>
      <c r="G18" s="22" t="n">
        <v>1651</v>
      </c>
      <c r="H18" s="22" t="n">
        <v>1636</v>
      </c>
      <c r="I18" s="22" t="n">
        <v>1650</v>
      </c>
      <c r="J18" s="22" t="n">
        <v>1658</v>
      </c>
      <c r="K18" s="22" t="n">
        <v>1640</v>
      </c>
      <c r="L18" s="22" t="n">
        <v>1679</v>
      </c>
      <c r="M18" s="22" t="n">
        <v>1729</v>
      </c>
      <c r="N18" s="22" t="n">
        <v>1708</v>
      </c>
      <c r="O18" s="22" t="n">
        <v>1755</v>
      </c>
      <c r="P18" s="22" t="n">
        <v>1730</v>
      </c>
      <c r="Q18" s="22" t="n">
        <v>1780</v>
      </c>
      <c r="R18" s="22" t="n">
        <v>1760</v>
      </c>
      <c r="S18" s="22" t="n">
        <v>1837</v>
      </c>
      <c r="T18" s="22" t="n">
        <v>1875</v>
      </c>
      <c r="U18" s="22" t="n">
        <v>1842</v>
      </c>
      <c r="V18" s="22" t="n">
        <v>1886</v>
      </c>
      <c r="W18" s="22" t="n">
        <v>1896</v>
      </c>
      <c r="X18" s="22" t="n">
        <v>1910</v>
      </c>
      <c r="Y18" s="22" t="n">
        <v>1995</v>
      </c>
      <c r="Z18" s="22" t="n">
        <v>1970</v>
      </c>
      <c r="AA18" s="22" t="n">
        <v>1965</v>
      </c>
      <c r="AB18" s="22" t="n">
        <v>2001</v>
      </c>
      <c r="AC18" s="22" t="n">
        <v>2158</v>
      </c>
      <c r="AD18" s="22" t="n">
        <v>2180</v>
      </c>
      <c r="AE18" s="22" t="n">
        <v>2130</v>
      </c>
      <c r="AF18" s="22" t="n">
        <v>2135</v>
      </c>
      <c r="AG18" s="22" t="n">
        <v>2058</v>
      </c>
      <c r="AH18" s="22" t="n">
        <v>2247</v>
      </c>
      <c r="AI18" s="22" t="n">
        <v>2314</v>
      </c>
      <c r="AJ18" s="22" t="n">
        <v>2192</v>
      </c>
      <c r="AK18" s="22" t="n">
        <v>2230</v>
      </c>
      <c r="AL18" s="22" t="n">
        <v>2265</v>
      </c>
      <c r="AM18" s="22" t="n">
        <v>2182</v>
      </c>
      <c r="AN18" s="22" t="n">
        <v>2197</v>
      </c>
      <c r="AO18" s="22" t="n">
        <v>2146</v>
      </c>
      <c r="AP18" s="22" t="n">
        <v>2248</v>
      </c>
      <c r="AQ18" s="22" t="n">
        <v>2421</v>
      </c>
      <c r="AR18" s="22" t="n">
        <v>2386</v>
      </c>
      <c r="AS18" s="22" t="n">
        <v>2441</v>
      </c>
      <c r="AT18" s="22" t="n">
        <v>2435</v>
      </c>
      <c r="AU18" s="22" t="n">
        <v>2487</v>
      </c>
      <c r="AV18" s="22" t="n">
        <v>2461</v>
      </c>
      <c r="AW18" s="22" t="n">
        <v>2460</v>
      </c>
      <c r="AX18" s="22" t="n">
        <v>2500</v>
      </c>
      <c r="AY18" s="22" t="n">
        <v>2585</v>
      </c>
      <c r="AZ18" s="22" t="n">
        <v>2558</v>
      </c>
      <c r="BA18" s="22" t="n">
        <v>2499</v>
      </c>
      <c r="BB18" s="22" t="n">
        <v>2490</v>
      </c>
      <c r="BC18" s="22" t="n">
        <v>2489</v>
      </c>
      <c r="BD18" s="22" t="n">
        <v>2696</v>
      </c>
      <c r="BE18" s="22" t="n">
        <v>2615</v>
      </c>
      <c r="BF18" s="22" t="n">
        <v>2601</v>
      </c>
      <c r="BG18" s="22" t="n">
        <v>2479</v>
      </c>
      <c r="BH18" s="22" t="n">
        <v>2590</v>
      </c>
      <c r="BI18" s="22" t="n">
        <v>2485</v>
      </c>
      <c r="BJ18" s="22" t="n">
        <v>2591</v>
      </c>
      <c r="BK18" s="22" t="n">
        <v>2754</v>
      </c>
      <c r="BL18" s="22" t="n">
        <v>2674</v>
      </c>
    </row>
    <row r="19" ht="15.95" customHeight="1" s="574">
      <c r="A19" s="81" t="inlineStr">
        <is>
          <t>8411</t>
        </is>
      </c>
      <c r="B19" s="17" t="inlineStr">
        <is>
          <t>みずほフィナンシャルＧ</t>
        </is>
      </c>
      <c r="C19" s="655">
        <f>_xll.RssMarket("8411","始値")</f>
        <v/>
      </c>
      <c r="D19" s="656">
        <f>C19-E19</f>
        <v/>
      </c>
      <c r="E19" s="22" t="n">
        <v>7823</v>
      </c>
      <c r="F19" s="22" t="n">
        <v>8252</v>
      </c>
      <c r="G19" s="22" t="n">
        <v>8100</v>
      </c>
      <c r="H19" s="22" t="n">
        <v>7907</v>
      </c>
      <c r="I19" s="22" t="n">
        <v>7820</v>
      </c>
      <c r="J19" s="22" t="n">
        <v>7750</v>
      </c>
      <c r="K19" s="22" t="n">
        <v>7605</v>
      </c>
      <c r="L19" s="22" t="n">
        <v>7411</v>
      </c>
      <c r="M19" s="22" t="n">
        <v>7760</v>
      </c>
      <c r="N19" s="22" t="n">
        <v>7620</v>
      </c>
      <c r="O19" s="22" t="n">
        <v>7822</v>
      </c>
      <c r="P19" s="22" t="n">
        <v>7621</v>
      </c>
      <c r="Q19" s="22" t="n">
        <v>7500</v>
      </c>
      <c r="R19" s="22" t="n">
        <v>7253</v>
      </c>
      <c r="S19" s="22" t="n">
        <v>7065</v>
      </c>
      <c r="T19" s="22" t="n">
        <v>7130</v>
      </c>
      <c r="U19" s="22" t="n">
        <v>7283</v>
      </c>
      <c r="V19" s="22" t="n">
        <v>7308</v>
      </c>
      <c r="W19" s="22" t="n">
        <v>7378</v>
      </c>
      <c r="X19" s="22" t="n">
        <v>7150</v>
      </c>
      <c r="Y19" s="22" t="n">
        <v>7090</v>
      </c>
      <c r="Z19" s="22" t="n">
        <v>6690</v>
      </c>
      <c r="AA19" s="22" t="n">
        <v>6512</v>
      </c>
      <c r="AB19" s="22" t="n">
        <v>7021</v>
      </c>
      <c r="AC19" s="22" t="n">
        <v>7100</v>
      </c>
      <c r="AD19" s="22" t="n">
        <v>6954</v>
      </c>
      <c r="AE19" s="22" t="n">
        <v>6941</v>
      </c>
      <c r="AF19" s="22" t="n">
        <v>6871</v>
      </c>
      <c r="AG19" s="22" t="n">
        <v>6790</v>
      </c>
      <c r="AH19" s="22" t="n">
        <v>6904</v>
      </c>
      <c r="AI19" s="22" t="n">
        <v>6677</v>
      </c>
      <c r="AJ19" s="22" t="n">
        <v>6918</v>
      </c>
      <c r="AK19" s="22" t="n">
        <v>6659</v>
      </c>
      <c r="AL19" s="22" t="n">
        <v>6430</v>
      </c>
      <c r="AM19" s="22" t="n">
        <v>6556</v>
      </c>
      <c r="AN19" s="22" t="n">
        <v>6593</v>
      </c>
      <c r="AO19" s="22" t="n">
        <v>6601</v>
      </c>
      <c r="AP19" s="22" t="n">
        <v>6752</v>
      </c>
      <c r="AQ19" s="22" t="n">
        <v>6868</v>
      </c>
      <c r="AR19" s="22" t="n">
        <v>6853</v>
      </c>
      <c r="AS19" s="22" t="n">
        <v>6980</v>
      </c>
      <c r="AT19" s="22" t="n">
        <v>6990</v>
      </c>
      <c r="AU19" s="22" t="n">
        <v>6835</v>
      </c>
      <c r="AV19" s="22" t="n">
        <v>6770</v>
      </c>
      <c r="AW19" s="22" t="n">
        <v>6791</v>
      </c>
      <c r="AX19" s="22" t="n">
        <v>6922</v>
      </c>
      <c r="AY19" s="22" t="n">
        <v>6839</v>
      </c>
      <c r="AZ19" s="22" t="n">
        <v>6524</v>
      </c>
      <c r="BA19" s="22" t="n">
        <v>6484</v>
      </c>
      <c r="BB19" s="22" t="n">
        <v>6520</v>
      </c>
      <c r="BC19" s="22" t="n">
        <v>6709</v>
      </c>
      <c r="BD19" s="22" t="n">
        <v>6387</v>
      </c>
      <c r="BE19" s="22" t="n">
        <v>6035</v>
      </c>
      <c r="BF19" s="22" t="n">
        <v>6007</v>
      </c>
      <c r="BG19" s="22" t="n">
        <v>6330</v>
      </c>
      <c r="BH19" s="22" t="n">
        <v>6469</v>
      </c>
      <c r="BI19" s="22" t="n">
        <v>6388</v>
      </c>
      <c r="BJ19" s="22" t="n">
        <v>6150</v>
      </c>
      <c r="BK19" s="22" t="n">
        <v>5890</v>
      </c>
      <c r="BL19" s="22" t="n">
        <v>6120</v>
      </c>
    </row>
    <row r="20" ht="15.95" customHeight="1" s="574">
      <c r="A20" s="81" t="inlineStr">
        <is>
          <t>5541</t>
        </is>
      </c>
      <c r="B20" s="17" t="inlineStr">
        <is>
          <t>大平洋金属</t>
        </is>
      </c>
      <c r="C20" s="655">
        <f>_xll.RssMarket("5541","始値")</f>
        <v/>
      </c>
      <c r="D20" s="656">
        <f>C20-E20</f>
        <v/>
      </c>
      <c r="E20" s="22" t="n">
        <v>2251</v>
      </c>
      <c r="F20" s="22" t="n">
        <v>2275</v>
      </c>
      <c r="G20" s="22" t="n">
        <v>2300</v>
      </c>
      <c r="H20" s="22" t="n">
        <v>2260</v>
      </c>
      <c r="I20" s="22" t="n">
        <v>2325</v>
      </c>
      <c r="J20" s="22" t="n">
        <v>2250</v>
      </c>
      <c r="K20" s="22" t="n">
        <v>2150</v>
      </c>
      <c r="L20" s="22" t="n">
        <v>2097</v>
      </c>
      <c r="M20" s="22" t="n">
        <v>2147</v>
      </c>
      <c r="N20" s="22" t="n">
        <v>2189</v>
      </c>
      <c r="O20" s="22" t="n">
        <v>2254</v>
      </c>
      <c r="P20" s="22" t="n">
        <v>2302</v>
      </c>
      <c r="Q20" s="22" t="n">
        <v>2250</v>
      </c>
      <c r="R20" s="22" t="n">
        <v>2210</v>
      </c>
      <c r="S20" s="22" t="n">
        <v>2298</v>
      </c>
      <c r="T20" s="22" t="n">
        <v>2264</v>
      </c>
      <c r="U20" s="22" t="n">
        <v>2320</v>
      </c>
      <c r="V20" s="22" t="n">
        <v>2227</v>
      </c>
      <c r="W20" s="22" t="n">
        <v>2176</v>
      </c>
      <c r="X20" s="22" t="n">
        <v>2142</v>
      </c>
      <c r="Y20" s="22" t="n">
        <v>2199</v>
      </c>
      <c r="Z20" s="22" t="n">
        <v>2254</v>
      </c>
      <c r="AA20" s="22" t="n">
        <v>2392</v>
      </c>
      <c r="AB20" s="22" t="n">
        <v>2400</v>
      </c>
      <c r="AC20" s="22" t="n">
        <v>2422</v>
      </c>
      <c r="AD20" s="22" t="n">
        <v>2443</v>
      </c>
      <c r="AE20" s="22" t="n">
        <v>2665</v>
      </c>
      <c r="AF20" s="22" t="n">
        <v>2675</v>
      </c>
      <c r="AG20" s="22" t="n">
        <v>2612</v>
      </c>
      <c r="AH20" s="22" t="n">
        <v>2650</v>
      </c>
      <c r="AI20" s="22" t="n">
        <v>2540</v>
      </c>
      <c r="AJ20" s="22" t="n">
        <v>2549</v>
      </c>
      <c r="AK20" s="22" t="n">
        <v>2434</v>
      </c>
      <c r="AL20" s="22" t="n">
        <v>2409</v>
      </c>
      <c r="AM20" s="22" t="n">
        <v>2482</v>
      </c>
      <c r="AN20" s="22" t="n">
        <v>2501</v>
      </c>
      <c r="AO20" s="22" t="n">
        <v>2519</v>
      </c>
      <c r="AP20" s="22" t="n">
        <v>2564</v>
      </c>
      <c r="AQ20" s="22" t="n">
        <v>2590</v>
      </c>
      <c r="AR20" s="22" t="n">
        <v>2650</v>
      </c>
      <c r="AS20" s="22" t="n">
        <v>2687</v>
      </c>
      <c r="AT20" s="22" t="n">
        <v>2699</v>
      </c>
      <c r="AU20" s="22" t="n">
        <v>2646</v>
      </c>
      <c r="AV20" s="22" t="n">
        <v>2641</v>
      </c>
      <c r="AW20" s="22" t="n">
        <v>2711</v>
      </c>
      <c r="AX20" s="22" t="n">
        <v>2806</v>
      </c>
      <c r="AY20" s="22" t="n">
        <v>2749</v>
      </c>
      <c r="AZ20" s="22" t="n">
        <v>2679</v>
      </c>
      <c r="BA20" s="22" t="n">
        <v>2715</v>
      </c>
      <c r="BB20" s="22" t="n">
        <v>2667</v>
      </c>
      <c r="BC20" s="22" t="n">
        <v>2755</v>
      </c>
      <c r="BD20" s="22" t="n">
        <v>2754</v>
      </c>
      <c r="BE20" s="22" t="n">
        <v>2650</v>
      </c>
      <c r="BF20" s="22" t="n">
        <v>2655</v>
      </c>
      <c r="BG20" s="22" t="n">
        <v>2750</v>
      </c>
      <c r="BH20" s="22" t="n">
        <v>2817</v>
      </c>
      <c r="BI20" s="22" t="n">
        <v>2871</v>
      </c>
      <c r="BJ20" s="22" t="n">
        <v>2799</v>
      </c>
      <c r="BK20" s="22" t="n">
        <v>2759</v>
      </c>
      <c r="BL20" s="22" t="n">
        <v>3100</v>
      </c>
    </row>
    <row r="21" ht="15.95" customHeight="1" s="574">
      <c r="A21" s="81" t="inlineStr">
        <is>
          <t>5332</t>
        </is>
      </c>
      <c r="B21" s="17" t="inlineStr">
        <is>
          <t>ＴＯＴＯ</t>
        </is>
      </c>
      <c r="C21" s="655">
        <f>_xll.RssMarket("5332","始値")</f>
        <v/>
      </c>
      <c r="D21" s="656">
        <f>C21-E21</f>
        <v/>
      </c>
      <c r="E21" s="22" t="n">
        <v>8700</v>
      </c>
      <c r="F21" s="22" t="n">
        <v>8550</v>
      </c>
      <c r="G21" s="22" t="n">
        <v>8268</v>
      </c>
      <c r="H21" s="22" t="n">
        <v>8102</v>
      </c>
      <c r="I21" s="22" t="n">
        <v>8280</v>
      </c>
      <c r="J21" s="22" t="n">
        <v>7981</v>
      </c>
      <c r="K21" s="22" t="n">
        <v>7730</v>
      </c>
      <c r="L21" s="22" t="n">
        <v>7210</v>
      </c>
      <c r="M21" s="22" t="n">
        <v>7400</v>
      </c>
      <c r="N21" s="22" t="n">
        <v>7570</v>
      </c>
      <c r="O21" s="22" t="n">
        <v>8050</v>
      </c>
      <c r="P21" s="22" t="n">
        <v>8076</v>
      </c>
      <c r="Q21" s="22" t="n">
        <v>7457</v>
      </c>
      <c r="R21" s="22" t="n">
        <v>7427</v>
      </c>
      <c r="S21" s="22" t="n">
        <v>7443</v>
      </c>
      <c r="T21" s="22" t="n">
        <v>7264</v>
      </c>
      <c r="U21" s="22" t="n">
        <v>7200</v>
      </c>
      <c r="V21" s="22" t="n">
        <v>6899</v>
      </c>
      <c r="W21" s="22" t="n">
        <v>6654</v>
      </c>
      <c r="X21" s="22" t="n">
        <v>6539</v>
      </c>
      <c r="Y21" s="22" t="n">
        <v>6589</v>
      </c>
      <c r="Z21" s="22" t="n">
        <v>6892</v>
      </c>
      <c r="AA21" s="22" t="n">
        <v>7171</v>
      </c>
      <c r="AB21" s="22" t="n">
        <v>7233</v>
      </c>
      <c r="AC21" s="22" t="n">
        <v>7000</v>
      </c>
      <c r="AD21" s="22" t="n">
        <v>6888</v>
      </c>
      <c r="AE21" s="22" t="n">
        <v>7200</v>
      </c>
      <c r="AF21" s="22" t="n">
        <v>7240</v>
      </c>
      <c r="AG21" s="22" t="n">
        <v>6752</v>
      </c>
      <c r="AH21" s="22" t="n">
        <v>6713</v>
      </c>
      <c r="AI21" s="22" t="n">
        <v>6025</v>
      </c>
      <c r="AJ21" s="22" t="n">
        <v>5470</v>
      </c>
      <c r="AK21" s="22" t="n">
        <v>5400</v>
      </c>
      <c r="AL21" s="22" t="n">
        <v>5373</v>
      </c>
      <c r="AM21" s="22" t="n">
        <v>5294</v>
      </c>
      <c r="AN21" s="22" t="n">
        <v>5185</v>
      </c>
      <c r="AO21" s="22" t="n">
        <v>5327</v>
      </c>
      <c r="AP21" s="22" t="n">
        <v>5522</v>
      </c>
      <c r="AQ21" s="22" t="n">
        <v>5622</v>
      </c>
      <c r="AR21" s="22" t="n">
        <v>5580</v>
      </c>
      <c r="AS21" s="22" t="n">
        <v>5448</v>
      </c>
      <c r="AT21" s="22" t="n">
        <v>5516</v>
      </c>
      <c r="AU21" s="22" t="n">
        <v>5481</v>
      </c>
      <c r="AV21" s="22" t="n">
        <v>5685</v>
      </c>
      <c r="AW21" s="22" t="n">
        <v>5760</v>
      </c>
      <c r="AX21" s="22" t="n">
        <v>5748</v>
      </c>
      <c r="AY21" s="22" t="n">
        <v>5600</v>
      </c>
      <c r="AZ21" s="22" t="n">
        <v>5368</v>
      </c>
      <c r="BA21" s="22" t="n">
        <v>5210</v>
      </c>
      <c r="BB21" s="22" t="n">
        <v>5181</v>
      </c>
      <c r="BC21" s="22" t="n">
        <v>5313</v>
      </c>
      <c r="BD21" s="22" t="n">
        <v>5290</v>
      </c>
      <c r="BE21" s="22" t="n">
        <v>5084</v>
      </c>
      <c r="BF21" s="22" t="n">
        <v>5187</v>
      </c>
      <c r="BG21" s="22" t="n">
        <v>5473</v>
      </c>
      <c r="BH21" s="22" t="n">
        <v>5944</v>
      </c>
      <c r="BI21" s="22" t="n">
        <v>5899</v>
      </c>
      <c r="BJ21" s="22" t="n">
        <v>5654</v>
      </c>
      <c r="BK21" s="22" t="n">
        <v>5521</v>
      </c>
      <c r="BL21" s="22" t="n">
        <v>5748</v>
      </c>
    </row>
    <row r="22" ht="15.95" customHeight="1" s="574">
      <c r="A22" s="81" t="inlineStr">
        <is>
          <t>8725</t>
        </is>
      </c>
      <c r="B22" s="17" t="inlineStr">
        <is>
          <t>ＭＳ＆ＡＤ</t>
        </is>
      </c>
      <c r="C22" s="655">
        <f>_xll.RssMarket("8725","始値")</f>
        <v/>
      </c>
      <c r="D22" s="656">
        <f>C22-E22</f>
        <v/>
      </c>
      <c r="E22" s="22" t="n">
        <v>4521</v>
      </c>
      <c r="F22" s="22" t="n">
        <v>4577</v>
      </c>
      <c r="G22" s="22" t="n">
        <v>4656</v>
      </c>
      <c r="H22" s="22" t="n">
        <v>4603</v>
      </c>
      <c r="I22" s="22" t="n">
        <v>4616</v>
      </c>
      <c r="J22" s="22" t="n">
        <v>4622</v>
      </c>
      <c r="K22" s="22" t="n">
        <v>4578</v>
      </c>
      <c r="L22" s="22" t="n">
        <v>4657</v>
      </c>
      <c r="M22" s="22" t="n">
        <v>4370</v>
      </c>
      <c r="N22" s="22" t="n">
        <v>4350</v>
      </c>
      <c r="O22" s="22" t="n">
        <v>4273</v>
      </c>
      <c r="P22" s="22" t="n">
        <v>4311</v>
      </c>
      <c r="Q22" s="22" t="n">
        <v>4228</v>
      </c>
      <c r="R22" s="22" t="n">
        <v>4212</v>
      </c>
      <c r="S22" s="22" t="n">
        <v>4222</v>
      </c>
      <c r="T22" s="22" t="n">
        <v>4210</v>
      </c>
      <c r="U22" s="22" t="n">
        <v>4245</v>
      </c>
      <c r="V22" s="22" t="n">
        <v>4299</v>
      </c>
      <c r="W22" s="22" t="n">
        <v>4350</v>
      </c>
      <c r="X22" s="22" t="n">
        <v>4507</v>
      </c>
      <c r="Y22" s="22" t="n">
        <v>4439</v>
      </c>
      <c r="Z22" s="22" t="n">
        <v>4449</v>
      </c>
      <c r="AA22" s="22" t="n">
        <v>4410</v>
      </c>
      <c r="AB22" s="22" t="n">
        <v>4375</v>
      </c>
      <c r="AC22" s="22" t="n">
        <v>4300</v>
      </c>
      <c r="AD22" s="22" t="n">
        <v>4159</v>
      </c>
      <c r="AE22" s="22" t="n">
        <v>3970</v>
      </c>
      <c r="AF22" s="22" t="n">
        <v>4009</v>
      </c>
      <c r="AG22" s="22" t="n">
        <v>4039</v>
      </c>
      <c r="AH22" s="22" t="n">
        <v>3985</v>
      </c>
      <c r="AI22" s="22" t="n">
        <v>4019</v>
      </c>
      <c r="AJ22" s="22" t="n">
        <v>3970</v>
      </c>
      <c r="AK22" s="22" t="n">
        <v>3910</v>
      </c>
      <c r="AL22" s="22" t="n">
        <v>3997</v>
      </c>
      <c r="AM22" s="22" t="n">
        <v>3950</v>
      </c>
      <c r="AN22" s="22" t="n">
        <v>4029</v>
      </c>
      <c r="AO22" s="22" t="n">
        <v>4057</v>
      </c>
      <c r="AP22" s="22" t="n">
        <v>4088</v>
      </c>
      <c r="AQ22" s="22" t="n">
        <v>4130</v>
      </c>
      <c r="AR22" s="22" t="n">
        <v>4090</v>
      </c>
      <c r="AS22" s="22" t="n">
        <v>4074</v>
      </c>
      <c r="AT22" s="22" t="n">
        <v>4112</v>
      </c>
      <c r="AU22" s="22" t="n">
        <v>4040</v>
      </c>
      <c r="AV22" s="22" t="n">
        <v>4112</v>
      </c>
      <c r="AW22" s="22" t="n">
        <v>4152</v>
      </c>
      <c r="AX22" s="22" t="n">
        <v>4244</v>
      </c>
      <c r="AY22" s="22" t="n">
        <v>4138</v>
      </c>
      <c r="AZ22" s="22" t="n">
        <v>4130</v>
      </c>
      <c r="BA22" s="22" t="n">
        <v>4109</v>
      </c>
      <c r="BB22" s="22" t="n">
        <v>4203</v>
      </c>
      <c r="BC22" s="22" t="n">
        <v>4166</v>
      </c>
      <c r="BD22" s="22" t="n">
        <v>4059</v>
      </c>
      <c r="BE22" s="22" t="n">
        <v>4011</v>
      </c>
      <c r="BF22" s="22" t="n">
        <v>4189</v>
      </c>
      <c r="BG22" s="22" t="n">
        <v>4178</v>
      </c>
      <c r="BH22" s="22" t="n">
        <v>4162</v>
      </c>
      <c r="BI22" s="22" t="n">
        <v>4085</v>
      </c>
      <c r="BJ22" s="22" t="n">
        <v>3950</v>
      </c>
      <c r="BK22" s="22" t="n">
        <v>4045</v>
      </c>
      <c r="BL22" s="22" t="n">
        <v>4094</v>
      </c>
    </row>
    <row r="23" ht="15.95" customHeight="1" s="574">
      <c r="A23" s="81" t="inlineStr">
        <is>
          <t>8795</t>
        </is>
      </c>
      <c r="B23" s="17" t="inlineStr">
        <is>
          <t>Ｔ＆Ｄホールディングス</t>
        </is>
      </c>
      <c r="C23" s="655">
        <f>_xll.RssMarket("8795","始値")</f>
        <v/>
      </c>
      <c r="D23" s="656">
        <f>C23-E23</f>
        <v/>
      </c>
      <c r="E23" s="22" t="n">
        <v>4849</v>
      </c>
      <c r="F23" s="22" t="n">
        <v>4910</v>
      </c>
      <c r="G23" s="22" t="n">
        <v>4816</v>
      </c>
      <c r="H23" s="22" t="n">
        <v>4945</v>
      </c>
      <c r="I23" s="22" t="n">
        <v>4782</v>
      </c>
      <c r="J23" s="22" t="n">
        <v>4846</v>
      </c>
      <c r="K23" s="22" t="n">
        <v>4703</v>
      </c>
      <c r="L23" s="22" t="n">
        <v>4731</v>
      </c>
      <c r="M23" s="22" t="n">
        <v>4705</v>
      </c>
      <c r="N23" s="22" t="n">
        <v>4435</v>
      </c>
      <c r="O23" s="22" t="n">
        <v>4380</v>
      </c>
      <c r="P23" s="22" t="n">
        <v>4217</v>
      </c>
      <c r="Q23" s="22" t="n">
        <v>4211</v>
      </c>
      <c r="R23" s="22" t="n">
        <v>4170</v>
      </c>
      <c r="S23" s="22" t="n">
        <v>4025</v>
      </c>
      <c r="T23" s="22" t="n">
        <v>4111</v>
      </c>
      <c r="U23" s="22" t="n">
        <v>4125</v>
      </c>
      <c r="V23" s="22" t="n">
        <v>4137</v>
      </c>
      <c r="W23" s="22" t="n">
        <v>4113</v>
      </c>
      <c r="X23" s="22" t="n">
        <v>4100</v>
      </c>
      <c r="Y23" s="22" t="n">
        <v>4208</v>
      </c>
      <c r="Z23" s="22" t="n">
        <v>4116</v>
      </c>
      <c r="AA23" s="22" t="n">
        <v>3940</v>
      </c>
      <c r="AB23" s="22" t="n">
        <v>4004</v>
      </c>
      <c r="AC23" s="22" t="n">
        <v>3982</v>
      </c>
      <c r="AD23" s="22" t="n">
        <v>3943</v>
      </c>
      <c r="AE23" s="22" t="n">
        <v>4024</v>
      </c>
      <c r="AF23" s="22" t="n">
        <v>3878</v>
      </c>
      <c r="AG23" s="22" t="n">
        <v>3930</v>
      </c>
      <c r="AH23" s="22" t="n">
        <v>3850</v>
      </c>
      <c r="AI23" s="22" t="n">
        <v>3738</v>
      </c>
      <c r="AJ23" s="22" t="n">
        <v>3759</v>
      </c>
      <c r="AK23" s="22" t="n">
        <v>3709</v>
      </c>
      <c r="AL23" s="22" t="n">
        <v>3650</v>
      </c>
      <c r="AM23" s="22" t="n">
        <v>3727</v>
      </c>
      <c r="AN23" s="22" t="n">
        <v>3706</v>
      </c>
      <c r="AO23" s="22" t="n">
        <v>3805</v>
      </c>
      <c r="AP23" s="22" t="n">
        <v>3922</v>
      </c>
      <c r="AQ23" s="22" t="n">
        <v>4034</v>
      </c>
      <c r="AR23" s="22" t="n">
        <v>4078</v>
      </c>
      <c r="AS23" s="22" t="n">
        <v>4070</v>
      </c>
      <c r="AT23" s="22" t="n">
        <v>4113</v>
      </c>
      <c r="AU23" s="22" t="n">
        <v>4075</v>
      </c>
      <c r="AV23" s="22" t="n">
        <v>4000</v>
      </c>
      <c r="AW23" s="22" t="n">
        <v>4026</v>
      </c>
      <c r="AX23" s="22" t="n">
        <v>4147</v>
      </c>
      <c r="AY23" s="22" t="n">
        <v>4170</v>
      </c>
      <c r="AZ23" s="22" t="n">
        <v>3919</v>
      </c>
      <c r="BA23" s="22" t="n">
        <v>4097</v>
      </c>
      <c r="BB23" s="22" t="n">
        <v>4131</v>
      </c>
      <c r="BC23" s="22" t="n">
        <v>4239</v>
      </c>
      <c r="BD23" s="22" t="n">
        <v>4096</v>
      </c>
      <c r="BE23" s="22" t="n">
        <v>3904</v>
      </c>
      <c r="BF23" s="22" t="n">
        <v>3822</v>
      </c>
      <c r="BG23" s="22" t="n">
        <v>3951</v>
      </c>
      <c r="BH23" s="22" t="n">
        <v>3967</v>
      </c>
      <c r="BI23" s="22" t="n">
        <v>3854</v>
      </c>
      <c r="BJ23" s="22" t="n">
        <v>3766</v>
      </c>
      <c r="BK23" s="22" t="n">
        <v>3596</v>
      </c>
      <c r="BL23" s="22" t="n">
        <v>3746</v>
      </c>
    </row>
    <row r="24" ht="15.95" customHeight="1" s="574">
      <c r="A24" s="81" t="inlineStr">
        <is>
          <t>5019</t>
        </is>
      </c>
      <c r="B24" s="17" t="inlineStr">
        <is>
          <t>出光興産</t>
        </is>
      </c>
      <c r="C24" s="655">
        <f>_xll.RssMarket("5019","始値")</f>
        <v/>
      </c>
      <c r="D24" s="656">
        <f>C24-E24</f>
        <v/>
      </c>
      <c r="E24" s="22" t="n">
        <v>1256</v>
      </c>
      <c r="F24" s="22" t="n">
        <v>1237</v>
      </c>
      <c r="G24" s="22" t="n">
        <v>1294</v>
      </c>
      <c r="H24" s="22" t="n">
        <v>1284.5</v>
      </c>
      <c r="I24" s="22" t="n">
        <v>1308.5</v>
      </c>
      <c r="J24" s="22" t="n">
        <v>1329</v>
      </c>
      <c r="K24" s="22" t="n">
        <v>1359</v>
      </c>
      <c r="L24" s="22" t="n">
        <v>1346</v>
      </c>
      <c r="M24" s="22" t="n">
        <v>1327.5</v>
      </c>
      <c r="N24" s="22" t="n">
        <v>1364.5</v>
      </c>
      <c r="O24" s="22" t="n">
        <v>1407</v>
      </c>
      <c r="P24" s="22" t="n">
        <v>1407.5</v>
      </c>
      <c r="Q24" s="22" t="n">
        <v>1382</v>
      </c>
      <c r="R24" s="22" t="n">
        <v>1330</v>
      </c>
      <c r="S24" s="22" t="n">
        <v>1298</v>
      </c>
      <c r="T24" s="22" t="n">
        <v>1300.5</v>
      </c>
      <c r="U24" s="22" t="n">
        <v>1306</v>
      </c>
      <c r="V24" s="22" t="n">
        <v>1332</v>
      </c>
      <c r="W24" s="22" t="n">
        <v>1330.5</v>
      </c>
      <c r="X24" s="22" t="n">
        <v>1356.5</v>
      </c>
      <c r="Y24" s="22" t="n">
        <v>1376.5</v>
      </c>
      <c r="Z24" s="22" t="n">
        <v>1388</v>
      </c>
      <c r="AA24" s="22" t="n">
        <v>1434</v>
      </c>
      <c r="AB24" s="22" t="n">
        <v>1417.5</v>
      </c>
      <c r="AC24" s="22" t="n">
        <v>1387.5</v>
      </c>
      <c r="AD24" s="22" t="n">
        <v>1320</v>
      </c>
      <c r="AE24" s="22" t="n">
        <v>1372</v>
      </c>
      <c r="AF24" s="22" t="n">
        <v>1328.5</v>
      </c>
      <c r="AG24" s="22" t="n">
        <v>1370</v>
      </c>
      <c r="AH24" s="22" t="n">
        <v>1349</v>
      </c>
      <c r="AI24" s="22" t="n">
        <v>1348.5</v>
      </c>
      <c r="AJ24" s="22" t="n">
        <v>1374</v>
      </c>
      <c r="AK24" s="22" t="n">
        <v>1332.5</v>
      </c>
      <c r="AL24" s="22" t="n">
        <v>1322</v>
      </c>
      <c r="AM24" s="22" t="n">
        <v>1348</v>
      </c>
      <c r="AN24" s="22" t="n">
        <v>1325</v>
      </c>
      <c r="AO24" s="22" t="n">
        <v>1415</v>
      </c>
      <c r="AP24" s="22" t="n">
        <v>1447</v>
      </c>
      <c r="AQ24" s="22" t="n">
        <v>1487</v>
      </c>
      <c r="AR24" s="22" t="n">
        <v>1511</v>
      </c>
      <c r="AS24" s="22" t="n">
        <v>1509</v>
      </c>
      <c r="AT24" s="22" t="n">
        <v>1524</v>
      </c>
      <c r="AU24" s="22" t="n">
        <v>1525</v>
      </c>
      <c r="AV24" s="22" t="n">
        <v>1562</v>
      </c>
      <c r="AW24" s="22" t="n">
        <v>1558.5</v>
      </c>
      <c r="AX24" s="22" t="n">
        <v>1571</v>
      </c>
      <c r="AY24" s="22" t="n">
        <v>1659</v>
      </c>
      <c r="AZ24" s="22" t="n">
        <v>1633.5</v>
      </c>
      <c r="BA24" s="22" t="n">
        <v>1595</v>
      </c>
      <c r="BB24" s="22" t="n">
        <v>1567.5</v>
      </c>
      <c r="BC24" s="22" t="n">
        <v>1588.5</v>
      </c>
      <c r="BD24" s="22" t="n">
        <v>1551</v>
      </c>
      <c r="BE24" s="22" t="n">
        <v>1565.5</v>
      </c>
      <c r="BF24" s="22" t="n">
        <v>1500</v>
      </c>
      <c r="BG24" s="22" t="n">
        <v>1535</v>
      </c>
      <c r="BH24" s="22" t="n">
        <v>1509</v>
      </c>
      <c r="BI24" s="22" t="n">
        <v>1513</v>
      </c>
      <c r="BJ24" s="22" t="n">
        <v>1449.5</v>
      </c>
      <c r="BK24" s="22" t="n">
        <v>1412</v>
      </c>
      <c r="BL24" s="22" t="n">
        <v>1510</v>
      </c>
    </row>
    <row r="25" ht="15.95" customHeight="1" s="574">
      <c r="A25" s="81" t="inlineStr">
        <is>
          <t>8053</t>
        </is>
      </c>
      <c r="B25" s="17" t="inlineStr">
        <is>
          <t>住友商事</t>
        </is>
      </c>
      <c r="C25" s="655">
        <f>_xll.RssMarket("8053","始値")</f>
        <v/>
      </c>
      <c r="D25" s="656">
        <f>C25-E25</f>
        <v/>
      </c>
      <c r="E25" s="22" t="n">
        <v>6400</v>
      </c>
      <c r="F25" s="22" t="n">
        <v>6502</v>
      </c>
      <c r="G25" s="22" t="n">
        <v>6506</v>
      </c>
      <c r="H25" s="22" t="n">
        <v>6601</v>
      </c>
      <c r="I25" s="22" t="n">
        <v>6530</v>
      </c>
      <c r="J25" s="22" t="n">
        <v>6400</v>
      </c>
      <c r="K25" s="22" t="n">
        <v>6286</v>
      </c>
      <c r="L25" s="22" t="n">
        <v>6238</v>
      </c>
      <c r="M25" s="22" t="n">
        <v>6545</v>
      </c>
      <c r="N25" s="22" t="n">
        <v>6742</v>
      </c>
      <c r="O25" s="22" t="n">
        <v>6776</v>
      </c>
      <c r="P25" s="22" t="n">
        <v>6782</v>
      </c>
      <c r="Q25" s="22" t="n">
        <v>6920</v>
      </c>
      <c r="R25" s="22" t="n">
        <v>6821</v>
      </c>
      <c r="S25" s="22" t="n">
        <v>7104</v>
      </c>
      <c r="T25" s="22" t="n">
        <v>7045</v>
      </c>
      <c r="U25" s="22" t="n">
        <v>7330</v>
      </c>
      <c r="V25" s="22" t="n">
        <v>7131</v>
      </c>
      <c r="W25" s="22" t="n">
        <v>7071</v>
      </c>
      <c r="X25" s="22" t="n">
        <v>7142</v>
      </c>
      <c r="Y25" s="22" t="n">
        <v>7217</v>
      </c>
      <c r="Z25" s="22" t="n">
        <v>7295</v>
      </c>
      <c r="AA25" s="22" t="n">
        <v>7510</v>
      </c>
      <c r="AB25" s="22" t="n">
        <v>7595</v>
      </c>
      <c r="AC25" s="22" t="n">
        <v>7671</v>
      </c>
      <c r="AD25" s="22" t="n">
        <v>7500</v>
      </c>
      <c r="AE25" s="22" t="n">
        <v>7270</v>
      </c>
      <c r="AF25" s="22" t="n">
        <v>7180</v>
      </c>
      <c r="AG25" s="22" t="n">
        <v>7389</v>
      </c>
      <c r="AH25" s="22" t="n">
        <v>6840</v>
      </c>
      <c r="AI25" s="22" t="n">
        <v>5830</v>
      </c>
      <c r="AJ25" s="22" t="n">
        <v>5702</v>
      </c>
      <c r="AK25" s="22" t="n">
        <v>5784</v>
      </c>
      <c r="AL25" s="22" t="n">
        <v>5701</v>
      </c>
      <c r="AM25" s="22" t="n">
        <v>5854</v>
      </c>
      <c r="AN25" s="22" t="n">
        <v>5780</v>
      </c>
      <c r="AO25" s="22" t="n">
        <v>5921</v>
      </c>
      <c r="AP25" s="22" t="n">
        <v>5986</v>
      </c>
      <c r="AQ25" s="22" t="n">
        <v>6079</v>
      </c>
      <c r="AR25" s="22" t="n">
        <v>6082</v>
      </c>
      <c r="AS25" s="22" t="n">
        <v>6129</v>
      </c>
      <c r="AT25" s="22" t="n">
        <v>6125</v>
      </c>
      <c r="AU25" s="22" t="n">
        <v>6120</v>
      </c>
      <c r="AV25" s="22" t="n">
        <v>6077</v>
      </c>
      <c r="AW25" s="22" t="n">
        <v>6264</v>
      </c>
      <c r="AX25" s="22" t="n">
        <v>6290</v>
      </c>
      <c r="AY25" s="22" t="n">
        <v>6345</v>
      </c>
      <c r="AZ25" s="22" t="n">
        <v>6006</v>
      </c>
      <c r="BA25" s="22" t="n">
        <v>6001</v>
      </c>
      <c r="BB25" s="22" t="n">
        <v>6094</v>
      </c>
      <c r="BC25" s="22" t="n">
        <v>6282</v>
      </c>
      <c r="BD25" s="22" t="n">
        <v>5994</v>
      </c>
      <c r="BE25" s="22" t="n">
        <v>5723</v>
      </c>
      <c r="BF25" s="22" t="n">
        <v>5635</v>
      </c>
      <c r="BG25" s="22" t="n">
        <v>5859</v>
      </c>
      <c r="BH25" s="22" t="n">
        <v>5899</v>
      </c>
      <c r="BI25" s="22" t="n">
        <v>5877</v>
      </c>
      <c r="BJ25" s="22" t="n">
        <v>5605</v>
      </c>
      <c r="BK25" s="22" t="n">
        <v>5500</v>
      </c>
      <c r="BL25" s="22" t="n">
        <v>5792</v>
      </c>
    </row>
    <row r="26" ht="15.95" customHeight="1" s="574">
      <c r="A26" s="81" t="inlineStr">
        <is>
          <t>8591</t>
        </is>
      </c>
      <c r="B26" s="17" t="inlineStr">
        <is>
          <t>オリックス</t>
        </is>
      </c>
      <c r="C26" s="655">
        <f>_xll.RssMarket("8591","始値")</f>
        <v/>
      </c>
      <c r="D26" s="656">
        <f>C26-E26</f>
        <v/>
      </c>
      <c r="E26" s="22" t="n">
        <v>6341</v>
      </c>
      <c r="F26" s="22" t="n">
        <v>6420</v>
      </c>
      <c r="G26" s="22" t="n">
        <v>6412</v>
      </c>
      <c r="H26" s="22" t="n">
        <v>6403</v>
      </c>
      <c r="I26" s="22" t="n">
        <v>6204</v>
      </c>
      <c r="J26" s="22" t="n">
        <v>6236</v>
      </c>
      <c r="K26" s="22" t="n">
        <v>6150</v>
      </c>
      <c r="L26" s="22" t="n">
        <v>5971</v>
      </c>
      <c r="M26" s="22" t="n">
        <v>6300</v>
      </c>
      <c r="N26" s="22" t="n">
        <v>6032</v>
      </c>
      <c r="O26" s="22" t="n">
        <v>6282</v>
      </c>
      <c r="P26" s="22" t="n">
        <v>6290</v>
      </c>
      <c r="Q26" s="22" t="n">
        <v>6242</v>
      </c>
      <c r="R26" s="22" t="n">
        <v>6110</v>
      </c>
      <c r="S26" s="22" t="n">
        <v>6088</v>
      </c>
      <c r="T26" s="22" t="n">
        <v>6140</v>
      </c>
      <c r="U26" s="22" t="n">
        <v>6335</v>
      </c>
      <c r="V26" s="22" t="n">
        <v>6220</v>
      </c>
      <c r="W26" s="22" t="n">
        <v>6227</v>
      </c>
      <c r="X26" s="22" t="n">
        <v>6220</v>
      </c>
      <c r="Y26" s="22" t="n">
        <v>6010</v>
      </c>
      <c r="Z26" s="22" t="n">
        <v>5818</v>
      </c>
      <c r="AA26" s="22" t="n">
        <v>5831</v>
      </c>
      <c r="AB26" s="22" t="n">
        <v>5750</v>
      </c>
      <c r="AC26" s="22" t="n">
        <v>5951</v>
      </c>
      <c r="AD26" s="22" t="n">
        <v>5886</v>
      </c>
      <c r="AE26" s="22" t="n">
        <v>5927</v>
      </c>
      <c r="AF26" s="22" t="n">
        <v>5350</v>
      </c>
      <c r="AG26" s="22" t="n">
        <v>5275</v>
      </c>
      <c r="AH26" s="22" t="n">
        <v>5252</v>
      </c>
      <c r="AI26" s="22" t="n">
        <v>5205</v>
      </c>
      <c r="AJ26" s="22" t="n">
        <v>5190</v>
      </c>
      <c r="AK26" s="22" t="n">
        <v>5358</v>
      </c>
      <c r="AL26" s="22" t="n">
        <v>4810</v>
      </c>
      <c r="AM26" s="22" t="n">
        <v>4878</v>
      </c>
      <c r="AN26" s="22" t="n">
        <v>4881</v>
      </c>
      <c r="AO26" s="22" t="n">
        <v>4969</v>
      </c>
      <c r="AP26" s="22" t="n">
        <v>5048</v>
      </c>
      <c r="AQ26" s="22" t="n">
        <v>5022</v>
      </c>
      <c r="AR26" s="22" t="n">
        <v>5040</v>
      </c>
      <c r="AS26" s="22" t="n">
        <v>5090</v>
      </c>
      <c r="AT26" s="22" t="n">
        <v>5046</v>
      </c>
      <c r="AU26" s="22" t="n">
        <v>4919</v>
      </c>
      <c r="AV26" s="22" t="n">
        <v>4844</v>
      </c>
      <c r="AW26" s="22" t="n">
        <v>4899</v>
      </c>
      <c r="AX26" s="22" t="n">
        <v>4934</v>
      </c>
      <c r="AY26" s="22" t="n">
        <v>4925</v>
      </c>
      <c r="AZ26" s="22" t="n">
        <v>4743</v>
      </c>
      <c r="BA26" s="22" t="n">
        <v>4687</v>
      </c>
      <c r="BB26" s="22" t="n">
        <v>4719</v>
      </c>
      <c r="BC26" s="22" t="n">
        <v>4824</v>
      </c>
      <c r="BD26" s="22" t="n">
        <v>4764</v>
      </c>
      <c r="BE26" s="22" t="n">
        <v>4578</v>
      </c>
      <c r="BF26" s="22" t="n">
        <v>4572</v>
      </c>
      <c r="BG26" s="22" t="n">
        <v>4751</v>
      </c>
      <c r="BH26" s="22" t="n">
        <v>4808</v>
      </c>
      <c r="BI26" s="22" t="n">
        <v>4804</v>
      </c>
      <c r="BJ26" s="22" t="n">
        <v>4697</v>
      </c>
      <c r="BK26" s="22" t="n">
        <v>4650</v>
      </c>
      <c r="BL26" s="22" t="n">
        <v>4767</v>
      </c>
    </row>
    <row r="27" ht="15.95" customHeight="1" s="574">
      <c r="A27" s="81" t="inlineStr">
        <is>
          <t>3401</t>
        </is>
      </c>
      <c r="B27" s="17" t="inlineStr">
        <is>
          <t>帝人</t>
        </is>
      </c>
      <c r="C27" s="655">
        <f>_xll.RssMarket("3401","始値")</f>
        <v/>
      </c>
      <c r="D27" s="656">
        <f>C27-E27</f>
        <v/>
      </c>
      <c r="E27" s="22" t="n">
        <v>1597.5</v>
      </c>
      <c r="F27" s="22" t="n">
        <v>1643.5</v>
      </c>
      <c r="G27" s="22" t="n">
        <v>1622</v>
      </c>
      <c r="H27" s="22" t="n">
        <v>1648.5</v>
      </c>
      <c r="I27" s="22" t="n">
        <v>1635</v>
      </c>
      <c r="J27" s="22" t="n">
        <v>1681.5</v>
      </c>
      <c r="K27" s="22" t="n">
        <v>1647.5</v>
      </c>
      <c r="L27" s="22" t="n">
        <v>1614</v>
      </c>
      <c r="M27" s="22" t="n">
        <v>1630</v>
      </c>
      <c r="N27" s="22" t="n">
        <v>1583</v>
      </c>
      <c r="O27" s="22" t="n">
        <v>1624.5</v>
      </c>
      <c r="P27" s="22" t="n">
        <v>1635</v>
      </c>
      <c r="Q27" s="22" t="n">
        <v>1630</v>
      </c>
      <c r="R27" s="22" t="n">
        <v>1598</v>
      </c>
      <c r="S27" s="22" t="n">
        <v>1612</v>
      </c>
      <c r="T27" s="22" t="n">
        <v>1613</v>
      </c>
      <c r="U27" s="22" t="n">
        <v>1635</v>
      </c>
      <c r="V27" s="22" t="n">
        <v>1608</v>
      </c>
      <c r="W27" s="22" t="n">
        <v>1605</v>
      </c>
      <c r="X27" s="22" t="n">
        <v>1629</v>
      </c>
      <c r="Y27" s="22" t="n">
        <v>1632</v>
      </c>
      <c r="Z27" s="22" t="n">
        <v>1635</v>
      </c>
      <c r="AA27" s="22" t="n">
        <v>1677.5</v>
      </c>
      <c r="AB27" s="22" t="n">
        <v>1705.5</v>
      </c>
      <c r="AC27" s="22" t="n">
        <v>1747</v>
      </c>
      <c r="AD27" s="22" t="n">
        <v>1671.5</v>
      </c>
      <c r="AE27" s="22" t="n">
        <v>1620</v>
      </c>
      <c r="AF27" s="22" t="n">
        <v>1587.5</v>
      </c>
      <c r="AG27" s="22" t="n">
        <v>1608</v>
      </c>
      <c r="AH27" s="22" t="n">
        <v>1592</v>
      </c>
      <c r="AI27" s="22" t="n">
        <v>1566.5</v>
      </c>
      <c r="AJ27" s="22" t="n">
        <v>4870</v>
      </c>
      <c r="AK27" s="22" t="n">
        <v>1589</v>
      </c>
      <c r="AL27" s="22" t="n">
        <v>4832</v>
      </c>
      <c r="AM27" s="22" t="n">
        <v>1581</v>
      </c>
      <c r="AN27" s="22" t="n">
        <v>4795</v>
      </c>
      <c r="AO27" s="22" t="n">
        <v>1550.5</v>
      </c>
      <c r="AP27" s="22" t="n">
        <v>4700</v>
      </c>
      <c r="AQ27" s="22" t="n">
        <v>1550</v>
      </c>
      <c r="AR27" s="22" t="n">
        <v>4890</v>
      </c>
      <c r="AS27" s="22" t="n">
        <v>1580.5</v>
      </c>
      <c r="AT27" s="22" t="n">
        <v>5019</v>
      </c>
      <c r="AU27" s="22" t="n">
        <v>1597</v>
      </c>
      <c r="AV27" s="22" t="n">
        <v>4995</v>
      </c>
      <c r="AW27" s="22" t="n">
        <v>1573</v>
      </c>
      <c r="AX27" s="22" t="n">
        <v>4780</v>
      </c>
      <c r="AY27" s="22" t="n">
        <v>1547</v>
      </c>
      <c r="AZ27" s="22" t="n">
        <v>4899</v>
      </c>
      <c r="BA27" s="22" t="n">
        <v>1627</v>
      </c>
      <c r="BB27" s="22" t="n">
        <v>5125</v>
      </c>
      <c r="BC27" s="22" t="n">
        <v>1700</v>
      </c>
      <c r="BD27" s="22" t="n">
        <v>4955</v>
      </c>
      <c r="BE27" s="22" t="n">
        <v>1629</v>
      </c>
      <c r="BF27" s="22" t="n">
        <v>5330</v>
      </c>
      <c r="BG27" s="22" t="n">
        <v>1713.5</v>
      </c>
      <c r="BH27" s="22" t="n">
        <v>5443</v>
      </c>
      <c r="BI27" s="22" t="n">
        <v>1700</v>
      </c>
      <c r="BJ27" s="22" t="n">
        <v>5518</v>
      </c>
      <c r="BK27" s="22" t="n">
        <v>1691</v>
      </c>
      <c r="BL27" s="22" t="n">
        <v>5551</v>
      </c>
    </row>
    <row r="28" ht="15.95" customHeight="1" s="574">
      <c r="A28" s="81" t="inlineStr">
        <is>
          <t>3436</t>
        </is>
      </c>
      <c r="B28" s="17" t="inlineStr">
        <is>
          <t>ＳＵＭＣＯ</t>
        </is>
      </c>
      <c r="C28" s="655">
        <f>_xll.RssMarket("3436","始値")</f>
        <v/>
      </c>
      <c r="D28" s="656">
        <f>C28-E28</f>
        <v/>
      </c>
      <c r="E28" s="22" t="n">
        <v>4295</v>
      </c>
      <c r="F28" s="22" t="n">
        <v>4470</v>
      </c>
      <c r="G28" s="22" t="n">
        <v>4106</v>
      </c>
      <c r="H28" s="22" t="n">
        <v>4015</v>
      </c>
      <c r="I28" s="22" t="n">
        <v>4315</v>
      </c>
      <c r="J28" s="22" t="n">
        <v>3863</v>
      </c>
      <c r="K28" s="22" t="n">
        <v>3600</v>
      </c>
      <c r="L28" s="22" t="n">
        <v>2993.5</v>
      </c>
      <c r="M28" s="22" t="n">
        <v>3221</v>
      </c>
      <c r="N28" s="22" t="n">
        <v>3675</v>
      </c>
      <c r="O28" s="22" t="n">
        <v>3946</v>
      </c>
      <c r="P28" s="22" t="n">
        <v>4361</v>
      </c>
      <c r="Q28" s="22" t="n">
        <v>4411</v>
      </c>
      <c r="R28" s="22" t="n">
        <v>4350</v>
      </c>
      <c r="S28" s="22" t="n">
        <v>3720</v>
      </c>
      <c r="T28" s="22" t="n">
        <v>3200</v>
      </c>
      <c r="U28" s="22" t="n">
        <v>3405</v>
      </c>
      <c r="V28" s="22" t="n">
        <v>3333</v>
      </c>
      <c r="W28" s="22" t="n">
        <v>3218</v>
      </c>
      <c r="X28" s="22" t="n">
        <v>3101</v>
      </c>
      <c r="Y28" s="22" t="n">
        <v>3010</v>
      </c>
      <c r="Z28" s="22" t="n">
        <v>2942</v>
      </c>
      <c r="AA28" s="22" t="n">
        <v>3140</v>
      </c>
      <c r="AB28" s="22" t="n">
        <v>3287</v>
      </c>
      <c r="AC28" s="22" t="n">
        <v>3506</v>
      </c>
      <c r="AD28" s="22" t="n">
        <v>3130</v>
      </c>
      <c r="AE28" s="22" t="n">
        <v>3543</v>
      </c>
      <c r="AF28" s="22" t="n">
        <v>3468</v>
      </c>
      <c r="AG28" s="22" t="n">
        <v>3050</v>
      </c>
      <c r="AH28" s="22" t="n">
        <v>3033</v>
      </c>
      <c r="AI28" s="22" t="n">
        <v>2431.5</v>
      </c>
      <c r="AJ28" s="22" t="n">
        <v>2620</v>
      </c>
      <c r="AK28" s="22" t="n">
        <v>2329.5</v>
      </c>
      <c r="AL28" s="22" t="n">
        <v>2323</v>
      </c>
      <c r="AM28" s="22" t="n">
        <v>2163</v>
      </c>
      <c r="AN28" s="22" t="n">
        <v>2221</v>
      </c>
      <c r="AO28" s="22" t="n">
        <v>2248</v>
      </c>
      <c r="AP28" s="22" t="n">
        <v>2135</v>
      </c>
      <c r="AQ28" s="22" t="n">
        <v>2100</v>
      </c>
      <c r="AR28" s="22" t="n">
        <v>2300</v>
      </c>
      <c r="AS28" s="22" t="n">
        <v>2275</v>
      </c>
      <c r="AT28" s="22" t="n">
        <v>2196.5</v>
      </c>
      <c r="AU28" s="22" t="n">
        <v>2200</v>
      </c>
      <c r="AV28" s="22" t="n">
        <v>1999.5</v>
      </c>
      <c r="AW28" s="22" t="n">
        <v>2010</v>
      </c>
      <c r="AX28" s="22" t="n">
        <v>1934.5</v>
      </c>
      <c r="AY28" s="22" t="n">
        <v>1881.5</v>
      </c>
      <c r="AZ28" s="22" t="n">
        <v>1765</v>
      </c>
      <c r="BA28" s="22" t="n">
        <v>1713.5</v>
      </c>
      <c r="BB28" s="22" t="n">
        <v>1784</v>
      </c>
      <c r="BC28" s="22" t="n">
        <v>1770</v>
      </c>
      <c r="BD28" s="22" t="n">
        <v>1739.5</v>
      </c>
      <c r="BE28" s="22" t="n">
        <v>1680</v>
      </c>
      <c r="BF28" s="22" t="n">
        <v>1770.5</v>
      </c>
      <c r="BG28" s="22" t="n">
        <v>1838</v>
      </c>
      <c r="BH28" s="22" t="n">
        <v>1763</v>
      </c>
      <c r="BI28" s="22" t="n">
        <v>1743.5</v>
      </c>
      <c r="BJ28" s="22" t="n">
        <v>1700</v>
      </c>
      <c r="BK28" s="22" t="n">
        <v>1642.5</v>
      </c>
      <c r="BL28" s="22" t="n">
        <v>1688.5</v>
      </c>
    </row>
    <row r="29" ht="15.95" customHeight="1" s="574">
      <c r="A29" s="81" t="inlineStr">
        <is>
          <t>5020</t>
        </is>
      </c>
      <c r="B29" s="17" t="inlineStr">
        <is>
          <t>ＥＮＥＯＳホールディングス</t>
        </is>
      </c>
      <c r="C29" s="655">
        <f>_xll.RssMarket("5020","始値")</f>
        <v/>
      </c>
      <c r="D29" s="656">
        <f>C29-E29</f>
        <v/>
      </c>
      <c r="E29" s="22" t="n">
        <v>1253</v>
      </c>
      <c r="F29" s="22" t="n">
        <v>1204</v>
      </c>
      <c r="G29" s="22" t="n">
        <v>1246.5</v>
      </c>
      <c r="H29" s="22" t="n">
        <v>1240</v>
      </c>
      <c r="I29" s="22" t="n">
        <v>1225</v>
      </c>
      <c r="J29" s="22" t="n">
        <v>1244</v>
      </c>
      <c r="K29" s="22" t="n">
        <v>1229.5</v>
      </c>
      <c r="L29" s="22" t="n">
        <v>1208.5</v>
      </c>
      <c r="M29" s="22" t="n">
        <v>1214.5</v>
      </c>
      <c r="N29" s="22" t="n">
        <v>1254.5</v>
      </c>
      <c r="O29" s="22" t="n">
        <v>1299</v>
      </c>
      <c r="P29" s="22" t="n">
        <v>1314.5</v>
      </c>
      <c r="Q29" s="22" t="n">
        <v>1315</v>
      </c>
      <c r="R29" s="22" t="n">
        <v>1252</v>
      </c>
      <c r="S29" s="22" t="n">
        <v>1288.5</v>
      </c>
      <c r="T29" s="22" t="n">
        <v>1281</v>
      </c>
      <c r="U29" s="22" t="n">
        <v>1292</v>
      </c>
      <c r="V29" s="22" t="n">
        <v>1296.5</v>
      </c>
      <c r="W29" s="22" t="n">
        <v>1303</v>
      </c>
      <c r="X29" s="22" t="n">
        <v>1313</v>
      </c>
      <c r="Y29" s="22" t="n">
        <v>1361</v>
      </c>
      <c r="Z29" s="22" t="n">
        <v>1370</v>
      </c>
      <c r="AA29" s="22" t="n">
        <v>1381</v>
      </c>
      <c r="AB29" s="22" t="n">
        <v>1369</v>
      </c>
      <c r="AC29" s="22" t="n">
        <v>1341</v>
      </c>
      <c r="AD29" s="22" t="n">
        <v>1343</v>
      </c>
      <c r="AE29" s="22" t="n">
        <v>1357</v>
      </c>
      <c r="AF29" s="22" t="n">
        <v>1281</v>
      </c>
      <c r="AG29" s="22" t="n">
        <v>1293.5</v>
      </c>
      <c r="AH29" s="22" t="n">
        <v>1333</v>
      </c>
      <c r="AI29" s="22" t="n">
        <v>1306.5</v>
      </c>
      <c r="AJ29" s="22" t="n">
        <v>1320</v>
      </c>
      <c r="AK29" s="22" t="n">
        <v>1302</v>
      </c>
      <c r="AL29" s="22" t="n">
        <v>1286</v>
      </c>
      <c r="AM29" s="22" t="n">
        <v>1317</v>
      </c>
      <c r="AN29" s="22" t="n">
        <v>1310</v>
      </c>
      <c r="AO29" s="22" t="n">
        <v>1320</v>
      </c>
      <c r="AP29" s="22" t="n">
        <v>1344</v>
      </c>
      <c r="AQ29" s="22" t="n">
        <v>1372</v>
      </c>
      <c r="AR29" s="22" t="n">
        <v>1410.5</v>
      </c>
      <c r="AS29" s="22" t="n">
        <v>1414</v>
      </c>
      <c r="AT29" s="22" t="n">
        <v>1429.5</v>
      </c>
      <c r="AU29" s="22" t="n">
        <v>1419.5</v>
      </c>
      <c r="AV29" s="22" t="n">
        <v>1430.5</v>
      </c>
      <c r="AW29" s="22" t="n">
        <v>1450</v>
      </c>
      <c r="AX29" s="22" t="n">
        <v>1466.5</v>
      </c>
      <c r="AY29" s="22" t="n">
        <v>1519</v>
      </c>
      <c r="AZ29" s="22" t="n">
        <v>1472</v>
      </c>
      <c r="BA29" s="22" t="n">
        <v>1456</v>
      </c>
      <c r="BB29" s="22" t="n">
        <v>1440</v>
      </c>
      <c r="BC29" s="22" t="n">
        <v>1503</v>
      </c>
      <c r="BD29" s="22" t="n">
        <v>1449.5</v>
      </c>
      <c r="BE29" s="22" t="n">
        <v>1435</v>
      </c>
      <c r="BF29" s="22" t="n">
        <v>1390.5</v>
      </c>
      <c r="BG29" s="22" t="n">
        <v>1409</v>
      </c>
      <c r="BH29" s="22" t="n">
        <v>1403</v>
      </c>
      <c r="BI29" s="22" t="n">
        <v>1400</v>
      </c>
      <c r="BJ29" s="22" t="n">
        <v>1350</v>
      </c>
      <c r="BK29" s="22" t="n">
        <v>1277.5</v>
      </c>
      <c r="BL29" s="22" t="n">
        <v>1407.5</v>
      </c>
    </row>
    <row r="30" ht="15.95" customHeight="1" s="574">
      <c r="A30" s="81" t="inlineStr">
        <is>
          <t>6254</t>
        </is>
      </c>
      <c r="B30" s="17" t="inlineStr">
        <is>
          <t>野村マイクロ・サイエンス</t>
        </is>
      </c>
      <c r="C30" s="655">
        <f>_xll.RssMarket("6254","始値")</f>
        <v/>
      </c>
      <c r="D30" s="656">
        <f>C30-E30</f>
        <v/>
      </c>
      <c r="E30" s="22" t="n">
        <v>4840</v>
      </c>
      <c r="F30" s="22" t="n">
        <v>5200</v>
      </c>
      <c r="G30" s="22" t="n">
        <v>4970</v>
      </c>
      <c r="H30" s="22" t="n">
        <v>4500</v>
      </c>
      <c r="I30" s="22" t="n">
        <v>4615</v>
      </c>
      <c r="J30" s="22" t="n">
        <v>4590</v>
      </c>
      <c r="K30" s="22" t="n">
        <v>4090</v>
      </c>
      <c r="L30" s="22" t="n">
        <v>3800</v>
      </c>
      <c r="M30" s="22" t="n">
        <v>4065</v>
      </c>
      <c r="N30" s="22" t="n">
        <v>3980</v>
      </c>
      <c r="O30" s="22" t="n">
        <v>4385</v>
      </c>
      <c r="P30" s="22" t="n">
        <v>4315</v>
      </c>
      <c r="Q30" s="22" t="n">
        <v>4400</v>
      </c>
      <c r="R30" s="22" t="n">
        <v>4545</v>
      </c>
      <c r="S30" s="22" t="n">
        <v>4850</v>
      </c>
      <c r="T30" s="22" t="n">
        <v>4585</v>
      </c>
      <c r="U30" s="22" t="n">
        <v>5150</v>
      </c>
      <c r="V30" s="22" t="n">
        <v>5200</v>
      </c>
      <c r="W30" s="22" t="n">
        <v>4725</v>
      </c>
      <c r="X30" s="22" t="n">
        <v>4600</v>
      </c>
      <c r="Y30" s="22" t="n">
        <v>4605</v>
      </c>
      <c r="Z30" s="22" t="n">
        <v>4845</v>
      </c>
      <c r="AA30" s="22" t="n">
        <v>5110</v>
      </c>
      <c r="AB30" s="22" t="n">
        <v>4845</v>
      </c>
      <c r="AC30" s="22" t="n">
        <v>4400</v>
      </c>
      <c r="AD30" s="22" t="n">
        <v>4420</v>
      </c>
      <c r="AE30" s="22" t="n">
        <v>4650</v>
      </c>
      <c r="AF30" s="22" t="n">
        <v>4550</v>
      </c>
      <c r="AG30" s="22" t="n">
        <v>4010</v>
      </c>
      <c r="AH30" s="22" t="n">
        <v>3900</v>
      </c>
      <c r="AI30" s="22" t="n">
        <v>3665</v>
      </c>
      <c r="AJ30" s="22" t="n">
        <v>3715</v>
      </c>
      <c r="AK30" s="22" t="n">
        <v>3705</v>
      </c>
      <c r="AL30" s="22" t="n">
        <v>3660</v>
      </c>
      <c r="AM30" s="22" t="n">
        <v>3720</v>
      </c>
      <c r="AN30" s="22" t="n">
        <v>3750</v>
      </c>
      <c r="AO30" s="22" t="n">
        <v>3820</v>
      </c>
      <c r="AP30" s="22" t="n">
        <v>3810</v>
      </c>
      <c r="AQ30" s="22" t="n">
        <v>3785</v>
      </c>
      <c r="AR30" s="22" t="n">
        <v>3735</v>
      </c>
      <c r="AS30" s="22" t="n">
        <v>3660</v>
      </c>
      <c r="AT30" s="22" t="n">
        <v>3670</v>
      </c>
      <c r="AU30" s="22" t="n">
        <v>3630</v>
      </c>
      <c r="AV30" s="22" t="n">
        <v>3565</v>
      </c>
      <c r="AW30" s="22" t="n">
        <v>3465</v>
      </c>
      <c r="AX30" s="22" t="n">
        <v>3380</v>
      </c>
      <c r="AY30" s="22" t="n">
        <v>3345</v>
      </c>
      <c r="AZ30" s="22" t="n">
        <v>3200</v>
      </c>
      <c r="BA30" s="22" t="n">
        <v>3185</v>
      </c>
      <c r="BB30" s="22" t="n">
        <v>3250</v>
      </c>
      <c r="BC30" s="22" t="n">
        <v>3345</v>
      </c>
      <c r="BD30" s="22" t="n">
        <v>3175</v>
      </c>
      <c r="BE30" s="22" t="n">
        <v>3060</v>
      </c>
      <c r="BF30" s="22" t="n">
        <v>3090</v>
      </c>
      <c r="BG30" s="22" t="n">
        <v>3150</v>
      </c>
      <c r="BH30" s="22" t="n">
        <v>3115</v>
      </c>
      <c r="BI30" s="22" t="n">
        <v>2798</v>
      </c>
      <c r="BJ30" s="22" t="n">
        <v>2761</v>
      </c>
      <c r="BK30" s="22" t="n">
        <v>2688</v>
      </c>
      <c r="BL30" s="22" t="n">
        <v>2979</v>
      </c>
    </row>
    <row r="31" ht="15.95" customHeight="1" s="574">
      <c r="A31" s="81" t="inlineStr">
        <is>
          <t>8309</t>
        </is>
      </c>
      <c r="B31" s="17" t="inlineStr">
        <is>
          <t>三井住友トラストグルー</t>
        </is>
      </c>
      <c r="C31" s="655">
        <f>_xll.RssMarket("8309","始値")</f>
        <v/>
      </c>
      <c r="D31" s="656">
        <f>C31-E31</f>
        <v/>
      </c>
      <c r="E31" s="22" t="n">
        <v>5992</v>
      </c>
      <c r="F31" s="22" t="n">
        <v>6133</v>
      </c>
      <c r="G31" s="22" t="n">
        <v>6087</v>
      </c>
      <c r="H31" s="22" t="n">
        <v>6039</v>
      </c>
      <c r="I31" s="22" t="n">
        <v>5971</v>
      </c>
      <c r="J31" s="22" t="n">
        <v>6061</v>
      </c>
      <c r="K31" s="22" t="n">
        <v>5984</v>
      </c>
      <c r="L31" s="22" t="n">
        <v>5897</v>
      </c>
      <c r="M31" s="22" t="n">
        <v>5947</v>
      </c>
      <c r="N31" s="22" t="n">
        <v>5735</v>
      </c>
      <c r="O31" s="22" t="n">
        <v>5893</v>
      </c>
      <c r="P31" s="22" t="n">
        <v>5719</v>
      </c>
      <c r="Q31" s="22" t="n">
        <v>5579</v>
      </c>
      <c r="R31" s="22" t="n">
        <v>5414</v>
      </c>
      <c r="S31" s="22" t="n">
        <v>5562</v>
      </c>
      <c r="T31" s="22" t="n">
        <v>5585</v>
      </c>
      <c r="U31" s="22" t="n">
        <v>5620</v>
      </c>
      <c r="V31" s="22" t="n">
        <v>5607</v>
      </c>
      <c r="W31" s="22" t="n">
        <v>5691</v>
      </c>
      <c r="X31" s="22" t="n">
        <v>5740</v>
      </c>
      <c r="Y31" s="22" t="n">
        <v>5800</v>
      </c>
      <c r="Z31" s="22" t="n">
        <v>5564</v>
      </c>
      <c r="AA31" s="22" t="n">
        <v>5614</v>
      </c>
      <c r="AB31" s="22" t="n">
        <v>5605</v>
      </c>
      <c r="AC31" s="22" t="n">
        <v>5650</v>
      </c>
      <c r="AD31" s="22" t="n">
        <v>5561</v>
      </c>
      <c r="AE31" s="22" t="n">
        <v>5540</v>
      </c>
      <c r="AF31" s="22" t="n">
        <v>5410</v>
      </c>
      <c r="AG31" s="22" t="n">
        <v>5480</v>
      </c>
      <c r="AH31" s="22" t="n">
        <v>5401</v>
      </c>
      <c r="AI31" s="22" t="n">
        <v>5278</v>
      </c>
      <c r="AJ31" s="22" t="n">
        <v>5240</v>
      </c>
      <c r="AK31" s="22" t="n">
        <v>5164</v>
      </c>
      <c r="AL31" s="22" t="n">
        <v>5036</v>
      </c>
      <c r="AM31" s="22" t="n">
        <v>5147</v>
      </c>
      <c r="AN31" s="22" t="n">
        <v>5117</v>
      </c>
      <c r="AO31" s="22" t="n">
        <v>5180</v>
      </c>
      <c r="AP31" s="22" t="n">
        <v>5285</v>
      </c>
      <c r="AQ31" s="22" t="n">
        <v>5416</v>
      </c>
      <c r="AR31" s="22" t="n">
        <v>5465</v>
      </c>
      <c r="AS31" s="22" t="n">
        <v>5500</v>
      </c>
      <c r="AT31" s="22" t="n">
        <v>5440</v>
      </c>
      <c r="AU31" s="22" t="n">
        <v>5407</v>
      </c>
      <c r="AV31" s="22" t="n">
        <v>5322</v>
      </c>
      <c r="AW31" s="22" t="n">
        <v>5327</v>
      </c>
      <c r="AX31" s="22" t="n">
        <v>5428</v>
      </c>
      <c r="AY31" s="22" t="n">
        <v>5376</v>
      </c>
      <c r="AZ31" s="22" t="n">
        <v>5178</v>
      </c>
      <c r="BA31" s="22" t="n">
        <v>5140</v>
      </c>
      <c r="BB31" s="22" t="n">
        <v>5141</v>
      </c>
      <c r="BC31" s="22" t="n">
        <v>5269</v>
      </c>
      <c r="BD31" s="22" t="n">
        <v>5140</v>
      </c>
      <c r="BE31" s="22" t="n">
        <v>4915</v>
      </c>
      <c r="BF31" s="22" t="n">
        <v>4853</v>
      </c>
      <c r="BG31" s="22" t="n">
        <v>5047</v>
      </c>
      <c r="BH31" s="22" t="n">
        <v>5160</v>
      </c>
      <c r="BI31" s="22" t="n">
        <v>5128</v>
      </c>
      <c r="BJ31" s="22" t="n">
        <v>4986</v>
      </c>
      <c r="BK31" s="22" t="n">
        <v>4850</v>
      </c>
      <c r="BL31" s="22" t="n">
        <v>5050</v>
      </c>
    </row>
    <row r="32" ht="15.95" customHeight="1" s="574">
      <c r="A32" s="81" t="inlineStr">
        <is>
          <t>3863</t>
        </is>
      </c>
      <c r="B32" s="17" t="inlineStr">
        <is>
          <t>日本製紙</t>
        </is>
      </c>
      <c r="C32" s="655">
        <f>_xll.RssMarket("3863","始値")</f>
        <v/>
      </c>
      <c r="D32" s="656">
        <f>C32-E32</f>
        <v/>
      </c>
      <c r="E32" s="22" t="n">
        <v>1193</v>
      </c>
      <c r="F32" s="22" t="n">
        <v>1175</v>
      </c>
      <c r="G32" s="22" t="n">
        <v>1225</v>
      </c>
      <c r="H32" s="22" t="n">
        <v>1245</v>
      </c>
      <c r="I32" s="22" t="n">
        <v>1246</v>
      </c>
      <c r="J32" s="22" t="n">
        <v>1230</v>
      </c>
      <c r="K32" s="22" t="n">
        <v>1214</v>
      </c>
      <c r="L32" s="22" t="n">
        <v>1200</v>
      </c>
      <c r="M32" s="22" t="n">
        <v>1230</v>
      </c>
      <c r="N32" s="22" t="n">
        <v>1214</v>
      </c>
      <c r="O32" s="22" t="n">
        <v>1176</v>
      </c>
      <c r="P32" s="22" t="n">
        <v>1198</v>
      </c>
      <c r="Q32" s="22" t="n">
        <v>1200</v>
      </c>
      <c r="R32" s="22" t="n">
        <v>1219</v>
      </c>
      <c r="S32" s="22" t="n">
        <v>1360</v>
      </c>
      <c r="T32" s="22" t="n">
        <v>1351</v>
      </c>
      <c r="U32" s="22" t="n">
        <v>1325</v>
      </c>
      <c r="V32" s="22" t="n">
        <v>1379</v>
      </c>
      <c r="W32" s="22" t="n">
        <v>1375</v>
      </c>
      <c r="X32" s="22" t="n">
        <v>1407</v>
      </c>
      <c r="Y32" s="22" t="n">
        <v>1420</v>
      </c>
      <c r="Z32" s="22" t="n">
        <v>1498</v>
      </c>
      <c r="AA32" s="22" t="n">
        <v>1442</v>
      </c>
      <c r="AB32" s="22" t="n">
        <v>1497</v>
      </c>
      <c r="AC32" s="22" t="n">
        <v>1466</v>
      </c>
      <c r="AD32" s="22" t="n">
        <v>1567</v>
      </c>
      <c r="AE32" s="22" t="n">
        <v>1448</v>
      </c>
      <c r="AF32" s="22" t="n">
        <v>1460</v>
      </c>
      <c r="AG32" s="22" t="n">
        <v>1424</v>
      </c>
      <c r="AH32" s="22" t="n">
        <v>1374</v>
      </c>
      <c r="AI32" s="22" t="n">
        <v>1302</v>
      </c>
      <c r="AJ32" s="22" t="n">
        <v>1255</v>
      </c>
      <c r="AK32" s="22" t="n">
        <v>1301</v>
      </c>
      <c r="AL32" s="22" t="n">
        <v>1432</v>
      </c>
      <c r="AM32" s="22" t="n">
        <v>1419</v>
      </c>
      <c r="AN32" s="22" t="n">
        <v>1455</v>
      </c>
      <c r="AO32" s="22" t="n">
        <v>1495</v>
      </c>
      <c r="AP32" s="22" t="n">
        <v>1468</v>
      </c>
      <c r="AQ32" s="22" t="n">
        <v>1440</v>
      </c>
      <c r="AR32" s="22" t="n">
        <v>1416</v>
      </c>
      <c r="AS32" s="22" t="n">
        <v>1374</v>
      </c>
      <c r="AT32" s="22" t="n">
        <v>1332</v>
      </c>
      <c r="AU32" s="22" t="n">
        <v>1317</v>
      </c>
      <c r="AV32" s="22" t="n">
        <v>1323</v>
      </c>
      <c r="AW32" s="22" t="n">
        <v>1308</v>
      </c>
      <c r="AX32" s="22" t="n">
        <v>1337</v>
      </c>
      <c r="AY32" s="22" t="n">
        <v>1305</v>
      </c>
      <c r="AZ32" s="22" t="n">
        <v>1290</v>
      </c>
      <c r="BA32" s="22" t="n">
        <v>1292</v>
      </c>
      <c r="BB32" s="22" t="n">
        <v>1289</v>
      </c>
      <c r="BC32" s="22" t="n">
        <v>1276</v>
      </c>
      <c r="BD32" s="22" t="n">
        <v>1294</v>
      </c>
      <c r="BE32" s="22" t="n">
        <v>1264</v>
      </c>
      <c r="BF32" s="22" t="n">
        <v>1233</v>
      </c>
      <c r="BG32" s="22" t="n">
        <v>1247</v>
      </c>
      <c r="BH32" s="22" t="n">
        <v>1217</v>
      </c>
      <c r="BI32" s="22" t="n">
        <v>1218</v>
      </c>
      <c r="BJ32" s="22" t="n">
        <v>1200</v>
      </c>
      <c r="BK32" s="22" t="n">
        <v>1180</v>
      </c>
      <c r="BL32" s="22" t="n">
        <v>1260</v>
      </c>
    </row>
    <row r="33" ht="15.95" customHeight="1" s="574">
      <c r="A33" s="81" t="inlineStr">
        <is>
          <t>8601</t>
        </is>
      </c>
      <c r="B33" s="17" t="inlineStr">
        <is>
          <t>大和証券Ｇ本社</t>
        </is>
      </c>
      <c r="C33" s="655">
        <f>_xll.RssMarket("8601","始値")</f>
        <v/>
      </c>
      <c r="D33" s="656">
        <f>C33-E33</f>
        <v/>
      </c>
      <c r="E33" s="22" t="n">
        <v>1586</v>
      </c>
      <c r="F33" s="22" t="n">
        <v>1616</v>
      </c>
      <c r="G33" s="22" t="n">
        <v>1620</v>
      </c>
      <c r="H33" s="22" t="n">
        <v>1614</v>
      </c>
      <c r="I33" s="22" t="n">
        <v>1587.5</v>
      </c>
      <c r="J33" s="22" t="n">
        <v>1603.5</v>
      </c>
      <c r="K33" s="22" t="n">
        <v>1565</v>
      </c>
      <c r="L33" s="22" t="n">
        <v>1546</v>
      </c>
      <c r="M33" s="22" t="n">
        <v>1588</v>
      </c>
      <c r="N33" s="22" t="n">
        <v>1540</v>
      </c>
      <c r="O33" s="22" t="n">
        <v>1545</v>
      </c>
      <c r="P33" s="22" t="n">
        <v>1560</v>
      </c>
      <c r="Q33" s="22" t="n">
        <v>1496</v>
      </c>
      <c r="R33" s="22" t="n">
        <v>1485</v>
      </c>
      <c r="S33" s="22" t="n">
        <v>1456</v>
      </c>
      <c r="T33" s="22" t="n">
        <v>1462</v>
      </c>
      <c r="U33" s="22" t="n">
        <v>1488.5</v>
      </c>
      <c r="V33" s="22" t="n">
        <v>1511</v>
      </c>
      <c r="W33" s="22" t="n">
        <v>1499.5</v>
      </c>
      <c r="X33" s="22" t="n">
        <v>1504</v>
      </c>
      <c r="Y33" s="22" t="n">
        <v>1484.5</v>
      </c>
      <c r="Z33" s="22" t="n">
        <v>1478.5</v>
      </c>
      <c r="AA33" s="22" t="n">
        <v>1474</v>
      </c>
      <c r="AB33" s="22" t="n">
        <v>1500</v>
      </c>
      <c r="AC33" s="22" t="n">
        <v>1468.5</v>
      </c>
      <c r="AD33" s="22" t="n">
        <v>1468</v>
      </c>
      <c r="AE33" s="22" t="n">
        <v>1441.5</v>
      </c>
      <c r="AF33" s="22" t="n">
        <v>1479.5</v>
      </c>
      <c r="AG33" s="22" t="n">
        <v>1491</v>
      </c>
      <c r="AH33" s="22" t="n">
        <v>1455</v>
      </c>
      <c r="AI33" s="22" t="n">
        <v>1450</v>
      </c>
      <c r="AJ33" s="22" t="n">
        <v>1416.5</v>
      </c>
      <c r="AK33" s="22" t="n">
        <v>1485</v>
      </c>
      <c r="AL33" s="22" t="n">
        <v>1512</v>
      </c>
      <c r="AM33" s="22" t="n">
        <v>1509</v>
      </c>
      <c r="AN33" s="22" t="n">
        <v>1524</v>
      </c>
      <c r="AO33" s="22" t="n">
        <v>1532</v>
      </c>
      <c r="AP33" s="22" t="n">
        <v>1536</v>
      </c>
      <c r="AQ33" s="22" t="n">
        <v>1548</v>
      </c>
      <c r="AR33" s="22" t="n">
        <v>1589</v>
      </c>
      <c r="AS33" s="22" t="n">
        <v>1573</v>
      </c>
      <c r="AT33" s="22" t="n">
        <v>1565</v>
      </c>
      <c r="AU33" s="22" t="n">
        <v>1531</v>
      </c>
      <c r="AV33" s="22" t="n">
        <v>1546.5</v>
      </c>
      <c r="AW33" s="22" t="n">
        <v>1578</v>
      </c>
      <c r="AX33" s="22" t="n">
        <v>1584.5</v>
      </c>
      <c r="AY33" s="22" t="n">
        <v>1512</v>
      </c>
      <c r="AZ33" s="22" t="n">
        <v>1513.5</v>
      </c>
      <c r="BA33" s="22" t="n">
        <v>1530</v>
      </c>
      <c r="BB33" s="22" t="n">
        <v>1539.5</v>
      </c>
      <c r="BC33" s="22" t="n">
        <v>1517.5</v>
      </c>
      <c r="BD33" s="22" t="n">
        <v>1497.5</v>
      </c>
      <c r="BE33" s="22" t="n">
        <v>1499</v>
      </c>
      <c r="BF33" s="22" t="n">
        <v>1558</v>
      </c>
      <c r="BG33" s="22" t="n">
        <v>1575.5</v>
      </c>
      <c r="BH33" s="22" t="n">
        <v>1540</v>
      </c>
      <c r="BI33" s="22" t="n">
        <v>1504</v>
      </c>
      <c r="BJ33" s="22" t="n">
        <v>1454</v>
      </c>
      <c r="BK33" s="22" t="n">
        <v>1480</v>
      </c>
      <c r="BL33" s="22" t="n">
        <v>1493.5</v>
      </c>
    </row>
    <row r="34" ht="15.95" customHeight="1" s="574">
      <c r="A34" s="81" t="inlineStr">
        <is>
          <t>5233</t>
        </is>
      </c>
      <c r="B34" s="17" t="inlineStr">
        <is>
          <t>太平洋セメント</t>
        </is>
      </c>
      <c r="C34" s="655">
        <f>_xll.RssMarket("5233","始値")</f>
        <v/>
      </c>
      <c r="D34" s="656">
        <f>C34-E34</f>
        <v/>
      </c>
      <c r="E34" s="22" t="n">
        <v>4251</v>
      </c>
      <c r="F34" s="22" t="n">
        <v>4400</v>
      </c>
      <c r="G34" s="22" t="n">
        <v>4403</v>
      </c>
      <c r="H34" s="22" t="n">
        <v>4367</v>
      </c>
      <c r="I34" s="22" t="n">
        <v>4383</v>
      </c>
      <c r="J34" s="22" t="n">
        <v>4303</v>
      </c>
      <c r="K34" s="22" t="n">
        <v>4145</v>
      </c>
      <c r="L34" s="22" t="n">
        <v>4016</v>
      </c>
      <c r="M34" s="22" t="n">
        <v>4169</v>
      </c>
      <c r="N34" s="22" t="n">
        <v>4264</v>
      </c>
      <c r="O34" s="22" t="n">
        <v>4403</v>
      </c>
      <c r="P34" s="22" t="n">
        <v>4448</v>
      </c>
      <c r="Q34" s="22" t="n">
        <v>4403</v>
      </c>
      <c r="R34" s="22" t="n">
        <v>4402</v>
      </c>
      <c r="S34" s="22" t="n">
        <v>4475</v>
      </c>
      <c r="T34" s="22" t="n">
        <v>4260</v>
      </c>
      <c r="U34" s="22" t="n">
        <v>4177</v>
      </c>
      <c r="V34" s="22" t="n">
        <v>4130</v>
      </c>
      <c r="W34" s="22" t="n">
        <v>4117</v>
      </c>
      <c r="X34" s="22" t="n">
        <v>4040</v>
      </c>
      <c r="Y34" s="22" t="n">
        <v>3947</v>
      </c>
      <c r="Z34" s="22" t="n">
        <v>3929</v>
      </c>
      <c r="AA34" s="22" t="n">
        <v>3959</v>
      </c>
      <c r="AB34" s="22" t="n">
        <v>4064</v>
      </c>
      <c r="AC34" s="22" t="n">
        <v>4220</v>
      </c>
      <c r="AD34" s="22" t="n">
        <v>4201</v>
      </c>
      <c r="AE34" s="22" t="n">
        <v>3704</v>
      </c>
      <c r="AF34" s="22" t="n">
        <v>3554</v>
      </c>
      <c r="AG34" s="22" t="n">
        <v>3653</v>
      </c>
      <c r="AH34" s="22" t="n">
        <v>3624</v>
      </c>
      <c r="AI34" s="22" t="n">
        <v>3558</v>
      </c>
      <c r="AJ34" s="22" t="n">
        <v>3533</v>
      </c>
      <c r="AK34" s="22" t="n">
        <v>3658</v>
      </c>
      <c r="AL34" s="22" t="n">
        <v>3562</v>
      </c>
      <c r="AM34" s="22" t="n">
        <v>3539</v>
      </c>
      <c r="AN34" s="22" t="n">
        <v>3584</v>
      </c>
      <c r="AO34" s="22" t="n">
        <v>3672</v>
      </c>
      <c r="AP34" s="22" t="n">
        <v>3705</v>
      </c>
      <c r="AQ34" s="22" t="n">
        <v>3715</v>
      </c>
      <c r="AR34" s="22" t="n">
        <v>3707</v>
      </c>
      <c r="AS34" s="22" t="n">
        <v>3673</v>
      </c>
      <c r="AT34" s="22" t="n">
        <v>3688</v>
      </c>
      <c r="AU34" s="22" t="n">
        <v>3760</v>
      </c>
      <c r="AV34" s="22" t="n">
        <v>3694</v>
      </c>
      <c r="AW34" s="22" t="n">
        <v>3705</v>
      </c>
      <c r="AX34" s="22" t="n">
        <v>3779</v>
      </c>
      <c r="AY34" s="22" t="n">
        <v>3666</v>
      </c>
      <c r="AZ34" s="22" t="n">
        <v>3559</v>
      </c>
      <c r="BA34" s="22" t="n">
        <v>3554</v>
      </c>
      <c r="BB34" s="22" t="n">
        <v>3528</v>
      </c>
      <c r="BC34" s="22" t="n">
        <v>3639</v>
      </c>
      <c r="BD34" s="22" t="n">
        <v>3620</v>
      </c>
      <c r="BE34" s="22" t="n">
        <v>3415</v>
      </c>
      <c r="BF34" s="22" t="n">
        <v>3350</v>
      </c>
      <c r="BG34" s="22" t="n">
        <v>3539</v>
      </c>
      <c r="BH34" s="22" t="n">
        <v>3557</v>
      </c>
      <c r="BI34" s="22" t="n">
        <v>3565</v>
      </c>
      <c r="BJ34" s="22" t="n">
        <v>3402</v>
      </c>
      <c r="BK34" s="22" t="n">
        <v>3316</v>
      </c>
      <c r="BL34" s="22" t="n">
        <v>3626</v>
      </c>
    </row>
    <row r="35" ht="15.95" customHeight="1" s="574">
      <c r="A35" s="81" t="inlineStr">
        <is>
          <t>8308</t>
        </is>
      </c>
      <c r="B35" s="17" t="inlineStr">
        <is>
          <t>りそなホールディングス</t>
        </is>
      </c>
      <c r="C35" s="655">
        <f>_xll.RssMarket("8308","始値")</f>
        <v/>
      </c>
      <c r="D35" s="656">
        <f>C35-E35</f>
        <v/>
      </c>
      <c r="E35" s="22" t="n">
        <v>2150</v>
      </c>
      <c r="F35" s="22" t="n">
        <v>2255</v>
      </c>
      <c r="G35" s="22" t="n">
        <v>2230</v>
      </c>
      <c r="H35" s="22" t="n">
        <v>2222.5</v>
      </c>
      <c r="I35" s="22" t="n">
        <v>2170.5</v>
      </c>
      <c r="J35" s="22" t="n">
        <v>2210.5</v>
      </c>
      <c r="K35" s="22" t="n">
        <v>2168</v>
      </c>
      <c r="L35" s="22" t="n">
        <v>2111</v>
      </c>
      <c r="M35" s="22" t="n">
        <v>2150</v>
      </c>
      <c r="N35" s="22" t="n">
        <v>2080.5</v>
      </c>
      <c r="O35" s="22" t="n">
        <v>2123.5</v>
      </c>
      <c r="P35" s="22" t="n">
        <v>2085.5</v>
      </c>
      <c r="Q35" s="22" t="n">
        <v>2035</v>
      </c>
      <c r="R35" s="22" t="n">
        <v>1998.5</v>
      </c>
      <c r="S35" s="22" t="n">
        <v>2045</v>
      </c>
      <c r="T35" s="22" t="n">
        <v>2031.5</v>
      </c>
      <c r="U35" s="22" t="n">
        <v>2061</v>
      </c>
      <c r="V35" s="22" t="n">
        <v>2121.5</v>
      </c>
      <c r="W35" s="22" t="n">
        <v>2131.5</v>
      </c>
      <c r="X35" s="22" t="n">
        <v>2072</v>
      </c>
      <c r="Y35" s="22" t="n">
        <v>2128</v>
      </c>
      <c r="Z35" s="22" t="n">
        <v>2039.5</v>
      </c>
      <c r="AA35" s="22" t="n">
        <v>2051.5</v>
      </c>
      <c r="AB35" s="22" t="n">
        <v>2065</v>
      </c>
      <c r="AC35" s="22" t="n">
        <v>2041.5</v>
      </c>
      <c r="AD35" s="22" t="n">
        <v>2043</v>
      </c>
      <c r="AE35" s="22" t="n">
        <v>2026.5</v>
      </c>
      <c r="AF35" s="22" t="n">
        <v>1952.5</v>
      </c>
      <c r="AG35" s="22" t="n">
        <v>1962</v>
      </c>
      <c r="AH35" s="22" t="n">
        <v>2000</v>
      </c>
      <c r="AI35" s="22" t="n">
        <v>1916</v>
      </c>
      <c r="AJ35" s="22" t="n">
        <v>1900</v>
      </c>
      <c r="AK35" s="22" t="n">
        <v>1868</v>
      </c>
      <c r="AL35" s="22" t="n">
        <v>1808</v>
      </c>
      <c r="AM35" s="22" t="n">
        <v>1834.5</v>
      </c>
      <c r="AN35" s="22" t="n">
        <v>1830</v>
      </c>
      <c r="AO35" s="22" t="n">
        <v>1891</v>
      </c>
      <c r="AP35" s="22" t="n">
        <v>1950</v>
      </c>
      <c r="AQ35" s="22" t="n">
        <v>2006</v>
      </c>
      <c r="AR35" s="22" t="n">
        <v>1949.5</v>
      </c>
      <c r="AS35" s="22" t="n">
        <v>1959.5</v>
      </c>
      <c r="AT35" s="22" t="n">
        <v>1943</v>
      </c>
      <c r="AU35" s="22" t="n">
        <v>1906</v>
      </c>
      <c r="AV35" s="22" t="n">
        <v>1880</v>
      </c>
      <c r="AW35" s="22" t="n">
        <v>1897</v>
      </c>
      <c r="AX35" s="22" t="n">
        <v>1925</v>
      </c>
      <c r="AY35" s="22" t="n">
        <v>1973</v>
      </c>
      <c r="AZ35" s="22" t="n">
        <v>1864</v>
      </c>
      <c r="BA35" s="22" t="n">
        <v>1828.5</v>
      </c>
      <c r="BB35" s="22" t="n">
        <v>1838</v>
      </c>
      <c r="BC35" s="22" t="n">
        <v>1909.5</v>
      </c>
      <c r="BD35" s="22" t="n">
        <v>1818</v>
      </c>
      <c r="BE35" s="22" t="n">
        <v>1712</v>
      </c>
      <c r="BF35" s="22" t="n">
        <v>1691.5</v>
      </c>
      <c r="BG35" s="22" t="n">
        <v>1808.5</v>
      </c>
      <c r="BH35" s="22" t="n">
        <v>1850.5</v>
      </c>
      <c r="BI35" s="22" t="n">
        <v>1809.5</v>
      </c>
      <c r="BJ35" s="22" t="n">
        <v>1774</v>
      </c>
      <c r="BK35" s="22" t="n">
        <v>1663</v>
      </c>
      <c r="BL35" s="22" t="n">
        <v>1785</v>
      </c>
    </row>
    <row r="36" ht="15.95" customHeight="1" s="574">
      <c r="A36" s="81" t="inlineStr">
        <is>
          <t>5938</t>
        </is>
      </c>
      <c r="B36" s="17" t="inlineStr">
        <is>
          <t>ＬＩＸＩＬ</t>
        </is>
      </c>
      <c r="C36" s="655">
        <f>_xll.RssMarket("5938","始値")</f>
        <v/>
      </c>
      <c r="D36" s="656">
        <f>C36-E36</f>
        <v/>
      </c>
      <c r="E36" s="22" t="n">
        <v>1732</v>
      </c>
      <c r="F36" s="22" t="n">
        <v>1725</v>
      </c>
      <c r="G36" s="22" t="n">
        <v>1714</v>
      </c>
      <c r="H36" s="22" t="n">
        <v>1728</v>
      </c>
      <c r="I36" s="22" t="n">
        <v>1734</v>
      </c>
      <c r="J36" s="22" t="n">
        <v>1730</v>
      </c>
      <c r="K36" s="22" t="n">
        <v>1738</v>
      </c>
      <c r="L36" s="22" t="n">
        <v>1720</v>
      </c>
      <c r="M36" s="22" t="n">
        <v>1721.5</v>
      </c>
      <c r="N36" s="22" t="n">
        <v>1705</v>
      </c>
      <c r="O36" s="22" t="n">
        <v>1708</v>
      </c>
      <c r="P36" s="22" t="n">
        <v>1707</v>
      </c>
      <c r="Q36" s="22" t="n">
        <v>1688</v>
      </c>
      <c r="R36" s="22" t="n">
        <v>1686</v>
      </c>
      <c r="S36" s="22" t="n">
        <v>1696</v>
      </c>
      <c r="T36" s="22" t="n">
        <v>1682</v>
      </c>
      <c r="U36" s="22" t="n">
        <v>1654</v>
      </c>
      <c r="V36" s="22" t="n">
        <v>1645</v>
      </c>
      <c r="W36" s="22" t="n">
        <v>1639.5</v>
      </c>
      <c r="X36" s="22" t="n">
        <v>1645</v>
      </c>
      <c r="Y36" s="22" t="n">
        <v>1649</v>
      </c>
      <c r="Z36" s="22" t="n">
        <v>1675</v>
      </c>
      <c r="AA36" s="22" t="n">
        <v>1660</v>
      </c>
      <c r="AB36" s="22" t="n">
        <v>1670</v>
      </c>
      <c r="AC36" s="22" t="n">
        <v>1678</v>
      </c>
      <c r="AD36" s="22" t="n">
        <v>1670.5</v>
      </c>
      <c r="AE36" s="22" t="n">
        <v>1702</v>
      </c>
      <c r="AF36" s="22" t="n">
        <v>1696</v>
      </c>
      <c r="AG36" s="22" t="n">
        <v>1664</v>
      </c>
      <c r="AH36" s="22" t="n">
        <v>1621</v>
      </c>
      <c r="AI36" s="22" t="n">
        <v>1603.5</v>
      </c>
      <c r="AJ36" s="22" t="n">
        <v>1610</v>
      </c>
      <c r="AK36" s="22" t="n">
        <v>1606</v>
      </c>
      <c r="AL36" s="22" t="n">
        <v>1620.5</v>
      </c>
      <c r="AM36" s="22" t="n">
        <v>1615</v>
      </c>
      <c r="AN36" s="22" t="n">
        <v>1636</v>
      </c>
      <c r="AO36" s="22" t="n">
        <v>1654.5</v>
      </c>
      <c r="AP36" s="22" t="n">
        <v>1635.5</v>
      </c>
      <c r="AQ36" s="22" t="n">
        <v>1624.5</v>
      </c>
      <c r="AR36" s="22" t="n">
        <v>1620</v>
      </c>
      <c r="AS36" s="22" t="n">
        <v>1611</v>
      </c>
      <c r="AT36" s="22" t="n">
        <v>1614.5</v>
      </c>
      <c r="AU36" s="22" t="n">
        <v>1663</v>
      </c>
      <c r="AV36" s="22" t="n">
        <v>1661.5</v>
      </c>
      <c r="AW36" s="22" t="n">
        <v>1679</v>
      </c>
      <c r="AX36" s="22" t="n">
        <v>1669</v>
      </c>
      <c r="AY36" s="22" t="n">
        <v>1644.5</v>
      </c>
      <c r="AZ36" s="22" t="n">
        <v>1646.5</v>
      </c>
      <c r="BA36" s="22" t="n">
        <v>1630</v>
      </c>
      <c r="BB36" s="22" t="n">
        <v>1656</v>
      </c>
      <c r="BC36" s="22" t="n">
        <v>1650</v>
      </c>
      <c r="BD36" s="22" t="n">
        <v>1624</v>
      </c>
      <c r="BE36" s="22" t="n">
        <v>1611</v>
      </c>
      <c r="BF36" s="22" t="n">
        <v>1700</v>
      </c>
      <c r="BG36" s="22" t="n">
        <v>1703</v>
      </c>
      <c r="BH36" s="22" t="n">
        <v>1690</v>
      </c>
      <c r="BI36" s="22" t="n">
        <v>1664</v>
      </c>
      <c r="BJ36" s="22" t="n">
        <v>1657.5</v>
      </c>
      <c r="BK36" s="22" t="n">
        <v>1711</v>
      </c>
      <c r="BL36" s="22" t="n">
        <v>1709.5</v>
      </c>
    </row>
    <row r="37" ht="15.95" customHeight="1" s="574">
      <c r="A37" s="81" t="inlineStr">
        <is>
          <t>8570</t>
        </is>
      </c>
      <c r="B37" s="17" t="inlineStr">
        <is>
          <t>イオンフィナンシャルサービス</t>
        </is>
      </c>
      <c r="C37" s="655">
        <f>_xll.RssMarket("8570","始値")</f>
        <v/>
      </c>
      <c r="D37" s="656">
        <f>C37-E37</f>
        <v/>
      </c>
      <c r="E37" s="22" t="n">
        <v>1452.5</v>
      </c>
      <c r="F37" s="22" t="n">
        <v>1471</v>
      </c>
      <c r="G37" s="22" t="n">
        <v>1499</v>
      </c>
      <c r="H37" s="22" t="n">
        <v>1514</v>
      </c>
      <c r="I37" s="22" t="n">
        <v>1498</v>
      </c>
      <c r="J37" s="22" t="n">
        <v>1520</v>
      </c>
      <c r="K37" s="22" t="n">
        <v>1506</v>
      </c>
      <c r="L37" s="22" t="n">
        <v>1506.5</v>
      </c>
      <c r="M37" s="22" t="n">
        <v>1487</v>
      </c>
      <c r="N37" s="22" t="n">
        <v>1458</v>
      </c>
      <c r="O37" s="22" t="n">
        <v>1451.5</v>
      </c>
      <c r="P37" s="22" t="n">
        <v>1452</v>
      </c>
      <c r="Q37" s="22" t="n">
        <v>1463</v>
      </c>
      <c r="R37" s="22" t="n">
        <v>1438</v>
      </c>
      <c r="S37" s="22" t="n">
        <v>1520</v>
      </c>
      <c r="T37" s="22" t="n">
        <v>1536</v>
      </c>
      <c r="U37" s="22" t="n">
        <v>1530.5</v>
      </c>
      <c r="V37" s="22" t="n">
        <v>1550</v>
      </c>
      <c r="W37" s="22" t="n">
        <v>1592.5</v>
      </c>
      <c r="X37" s="22" t="n">
        <v>1593</v>
      </c>
      <c r="Y37" s="22" t="n">
        <v>1590</v>
      </c>
      <c r="Z37" s="22" t="n">
        <v>1584</v>
      </c>
      <c r="AA37" s="22" t="n">
        <v>1570</v>
      </c>
      <c r="AB37" s="22" t="n">
        <v>1568</v>
      </c>
      <c r="AC37" s="22" t="n">
        <v>1560</v>
      </c>
      <c r="AD37" s="22" t="n">
        <v>1548.5</v>
      </c>
      <c r="AE37" s="22" t="n">
        <v>1515</v>
      </c>
      <c r="AF37" s="22" t="n">
        <v>1531</v>
      </c>
      <c r="AG37" s="22" t="n">
        <v>1560</v>
      </c>
      <c r="AH37" s="22" t="n">
        <v>1548</v>
      </c>
      <c r="AI37" s="22" t="n">
        <v>1540</v>
      </c>
      <c r="AJ37" s="22" t="n">
        <v>1535.5</v>
      </c>
      <c r="AK37" s="22" t="n">
        <v>1561</v>
      </c>
      <c r="AL37" s="22" t="n">
        <v>1549.5</v>
      </c>
      <c r="AM37" s="22" t="n">
        <v>1544</v>
      </c>
      <c r="AN37" s="22" t="n">
        <v>1569</v>
      </c>
      <c r="AO37" s="22" t="n">
        <v>1573</v>
      </c>
      <c r="AP37" s="22" t="n">
        <v>1606</v>
      </c>
      <c r="AQ37" s="22" t="n">
        <v>1633</v>
      </c>
      <c r="AR37" s="22" t="n">
        <v>1617</v>
      </c>
      <c r="AS37" s="22" t="n">
        <v>1612</v>
      </c>
      <c r="AT37" s="22" t="n">
        <v>1520</v>
      </c>
      <c r="AU37" s="22" t="n">
        <v>1534</v>
      </c>
      <c r="AV37" s="22" t="n">
        <v>1501.5</v>
      </c>
      <c r="AW37" s="22" t="n">
        <v>1653.5</v>
      </c>
      <c r="AX37" s="22" t="n">
        <v>1621.5</v>
      </c>
      <c r="AY37" s="22" t="n">
        <v>1622</v>
      </c>
      <c r="AZ37" s="22" t="n">
        <v>1615</v>
      </c>
      <c r="BA37" s="22" t="n">
        <v>1620</v>
      </c>
      <c r="BB37" s="22" t="n">
        <v>1596.5</v>
      </c>
      <c r="BC37" s="22" t="n">
        <v>1560.5</v>
      </c>
      <c r="BD37" s="22" t="n">
        <v>1515</v>
      </c>
      <c r="BE37" s="22" t="n">
        <v>1584.5</v>
      </c>
      <c r="BF37" s="22" t="n">
        <v>1594.5</v>
      </c>
      <c r="BG37" s="22" t="n">
        <v>1596</v>
      </c>
      <c r="BH37" s="22" t="n">
        <v>1580</v>
      </c>
      <c r="BI37" s="22" t="n">
        <v>1550</v>
      </c>
      <c r="BJ37" s="22" t="n">
        <v>1588</v>
      </c>
      <c r="BK37" s="22" t="n">
        <v>1589.5</v>
      </c>
      <c r="BL37" s="22" t="n">
        <v>1587</v>
      </c>
    </row>
    <row r="38" ht="15.95" customHeight="1" s="574">
      <c r="A38" s="81" t="inlineStr">
        <is>
          <t>5406</t>
        </is>
      </c>
      <c r="B38" s="17" t="inlineStr">
        <is>
          <t>神戸製鋼所</t>
        </is>
      </c>
      <c r="C38" s="655">
        <f>_xll.RssMarket("5406","始値")</f>
        <v/>
      </c>
      <c r="D38" s="656">
        <f>C38-E38</f>
        <v/>
      </c>
      <c r="E38" s="22" t="n">
        <v>1951</v>
      </c>
      <c r="F38" s="22" t="n">
        <v>2002</v>
      </c>
      <c r="G38" s="22" t="n">
        <v>1961</v>
      </c>
      <c r="H38" s="22" t="n">
        <v>1989.5</v>
      </c>
      <c r="I38" s="22" t="n">
        <v>2000</v>
      </c>
      <c r="J38" s="22" t="n">
        <v>1970</v>
      </c>
      <c r="K38" s="22" t="n">
        <v>1930</v>
      </c>
      <c r="L38" s="22" t="n">
        <v>1900</v>
      </c>
      <c r="M38" s="22" t="n">
        <v>1922</v>
      </c>
      <c r="N38" s="22" t="n">
        <v>1909.5</v>
      </c>
      <c r="O38" s="22" t="n">
        <v>1950</v>
      </c>
      <c r="P38" s="22" t="n">
        <v>1951.5</v>
      </c>
      <c r="Q38" s="22" t="n">
        <v>1960.5</v>
      </c>
      <c r="R38" s="22" t="n">
        <v>1941.5</v>
      </c>
      <c r="S38" s="22" t="n">
        <v>1960</v>
      </c>
      <c r="T38" s="22" t="n">
        <v>1985</v>
      </c>
      <c r="U38" s="22" t="n">
        <v>1986</v>
      </c>
      <c r="V38" s="22" t="n">
        <v>1969</v>
      </c>
      <c r="W38" s="22" t="n">
        <v>1948</v>
      </c>
      <c r="X38" s="22" t="n">
        <v>1907</v>
      </c>
      <c r="Y38" s="22" t="n">
        <v>1917.5</v>
      </c>
      <c r="Z38" s="22" t="n">
        <v>1904</v>
      </c>
      <c r="AA38" s="22" t="n">
        <v>1951</v>
      </c>
      <c r="AB38" s="22" t="n">
        <v>1960</v>
      </c>
      <c r="AC38" s="22" t="n">
        <v>1967</v>
      </c>
      <c r="AD38" s="22" t="n">
        <v>1996.5</v>
      </c>
      <c r="AE38" s="22" t="n">
        <v>2002.5</v>
      </c>
      <c r="AF38" s="22" t="n">
        <v>1935</v>
      </c>
      <c r="AG38" s="22" t="n">
        <v>1967</v>
      </c>
      <c r="AH38" s="22" t="n">
        <v>1975</v>
      </c>
      <c r="AI38" s="22" t="n">
        <v>1910</v>
      </c>
      <c r="AJ38" s="22" t="n">
        <v>1878</v>
      </c>
      <c r="AK38" s="22" t="n">
        <v>1876</v>
      </c>
      <c r="AL38" s="22" t="n">
        <v>1850</v>
      </c>
      <c r="AM38" s="22" t="n">
        <v>1848</v>
      </c>
      <c r="AN38" s="22" t="n">
        <v>1866</v>
      </c>
      <c r="AO38" s="22" t="n">
        <v>1900</v>
      </c>
      <c r="AP38" s="22" t="n">
        <v>1937</v>
      </c>
      <c r="AQ38" s="22" t="n">
        <v>1944</v>
      </c>
      <c r="AR38" s="22" t="n">
        <v>1938</v>
      </c>
      <c r="AS38" s="22" t="n">
        <v>1945</v>
      </c>
      <c r="AT38" s="22" t="n">
        <v>1939</v>
      </c>
      <c r="AU38" s="22" t="n">
        <v>1969</v>
      </c>
      <c r="AV38" s="22" t="n">
        <v>1943</v>
      </c>
      <c r="AW38" s="22" t="n">
        <v>1963</v>
      </c>
      <c r="AX38" s="22" t="n">
        <v>1981</v>
      </c>
      <c r="AY38" s="22" t="n">
        <v>1977.5</v>
      </c>
      <c r="AZ38" s="22" t="n">
        <v>1938</v>
      </c>
      <c r="BA38" s="22" t="n">
        <v>1944</v>
      </c>
      <c r="BB38" s="22" t="n">
        <v>1945</v>
      </c>
      <c r="BC38" s="22" t="n">
        <v>1959.5</v>
      </c>
      <c r="BD38" s="22" t="n">
        <v>1940</v>
      </c>
      <c r="BE38" s="22" t="n">
        <v>1881.5</v>
      </c>
      <c r="BF38" s="22" t="n">
        <v>1887.5</v>
      </c>
      <c r="BG38" s="22" t="n">
        <v>1939.5</v>
      </c>
      <c r="BH38" s="22" t="n">
        <v>1970</v>
      </c>
      <c r="BI38" s="22" t="n">
        <v>1999</v>
      </c>
      <c r="BJ38" s="22" t="n">
        <v>1994</v>
      </c>
      <c r="BK38" s="22" t="n">
        <v>1985</v>
      </c>
      <c r="BL38" s="22" t="n">
        <v>2012</v>
      </c>
    </row>
    <row r="39" ht="15.95" customHeight="1" s="574">
      <c r="A39" s="81" t="inlineStr">
        <is>
          <t>8593</t>
        </is>
      </c>
      <c r="B39" s="17" t="inlineStr">
        <is>
          <t>三菱ＨＣキャピタル</t>
        </is>
      </c>
      <c r="C39" s="655">
        <f>_xll.RssMarket("8593","始値")</f>
        <v/>
      </c>
      <c r="D39" s="656">
        <f>C39-E39</f>
        <v/>
      </c>
      <c r="E39" s="22" t="n">
        <v>1301</v>
      </c>
      <c r="F39" s="22" t="n">
        <v>1305</v>
      </c>
      <c r="G39" s="22" t="n">
        <v>1324</v>
      </c>
      <c r="H39" s="22" t="n">
        <v>1330</v>
      </c>
      <c r="I39" s="22" t="n">
        <v>1332.5</v>
      </c>
      <c r="J39" s="22" t="n">
        <v>1330</v>
      </c>
      <c r="K39" s="22" t="n">
        <v>1318</v>
      </c>
      <c r="L39" s="22" t="n">
        <v>1325.5</v>
      </c>
      <c r="M39" s="22" t="n">
        <v>1321</v>
      </c>
      <c r="N39" s="22" t="n">
        <v>1272.5</v>
      </c>
      <c r="O39" s="22" t="n">
        <v>1274</v>
      </c>
      <c r="P39" s="22" t="n">
        <v>1267</v>
      </c>
      <c r="Q39" s="22" t="n">
        <v>1266</v>
      </c>
      <c r="R39" s="22" t="n">
        <v>1250.5</v>
      </c>
      <c r="S39" s="22" t="n">
        <v>1309</v>
      </c>
      <c r="T39" s="22" t="n">
        <v>1312.5</v>
      </c>
      <c r="U39" s="22" t="n">
        <v>1339</v>
      </c>
      <c r="V39" s="22" t="n">
        <v>1319</v>
      </c>
      <c r="W39" s="22" t="n">
        <v>1330</v>
      </c>
      <c r="X39" s="22" t="n">
        <v>1350</v>
      </c>
      <c r="Y39" s="22" t="n">
        <v>1354.5</v>
      </c>
      <c r="Z39" s="22" t="n">
        <v>1349</v>
      </c>
      <c r="AA39" s="22" t="n">
        <v>1379</v>
      </c>
      <c r="AB39" s="22" t="n">
        <v>1432</v>
      </c>
      <c r="AC39" s="22" t="n">
        <v>1435</v>
      </c>
      <c r="AD39" s="22" t="n">
        <v>1440</v>
      </c>
      <c r="AE39" s="22" t="n">
        <v>1430</v>
      </c>
      <c r="AF39" s="22" t="n">
        <v>1403</v>
      </c>
      <c r="AG39" s="22" t="n">
        <v>1405</v>
      </c>
      <c r="AH39" s="22" t="n">
        <v>1413.5</v>
      </c>
      <c r="AI39" s="22" t="n">
        <v>1407</v>
      </c>
      <c r="AJ39" s="22" t="n">
        <v>1434</v>
      </c>
      <c r="AK39" s="22" t="n">
        <v>1435</v>
      </c>
      <c r="AL39" s="22" t="n">
        <v>1405</v>
      </c>
      <c r="AM39" s="22" t="n">
        <v>1415.5</v>
      </c>
      <c r="AN39" s="22" t="n">
        <v>1405</v>
      </c>
      <c r="AO39" s="22" t="n">
        <v>1435.5</v>
      </c>
      <c r="AP39" s="22" t="n">
        <v>1460</v>
      </c>
      <c r="AQ39" s="22" t="n">
        <v>1461.5</v>
      </c>
      <c r="AR39" s="22" t="n">
        <v>1473.5</v>
      </c>
      <c r="AS39" s="22" t="n">
        <v>1474</v>
      </c>
      <c r="AT39" s="22" t="n">
        <v>1468</v>
      </c>
      <c r="AU39" s="22" t="n">
        <v>1477</v>
      </c>
      <c r="AV39" s="22" t="n">
        <v>1468</v>
      </c>
      <c r="AW39" s="22" t="n">
        <v>1480.5</v>
      </c>
      <c r="AX39" s="22" t="n">
        <v>1508</v>
      </c>
      <c r="AY39" s="22" t="n">
        <v>1510</v>
      </c>
      <c r="AZ39" s="22" t="n">
        <v>1481</v>
      </c>
      <c r="BA39" s="22" t="n">
        <v>1475</v>
      </c>
      <c r="BB39" s="22" t="n">
        <v>1461</v>
      </c>
      <c r="BC39" s="22" t="n">
        <v>1466</v>
      </c>
      <c r="BD39" s="22" t="n">
        <v>1431</v>
      </c>
      <c r="BE39" s="22" t="n">
        <v>1406</v>
      </c>
      <c r="BF39" s="22" t="n">
        <v>1384</v>
      </c>
      <c r="BG39" s="22" t="n">
        <v>1445</v>
      </c>
      <c r="BH39" s="22" t="n">
        <v>1460</v>
      </c>
      <c r="BI39" s="22" t="n">
        <v>1445</v>
      </c>
      <c r="BJ39" s="22" t="n">
        <v>1424.5</v>
      </c>
      <c r="BK39" s="22" t="n">
        <v>1412.5</v>
      </c>
      <c r="BL39" s="22" t="n">
        <v>1440</v>
      </c>
    </row>
    <row r="40" ht="15.95" customHeight="1" s="574">
      <c r="A40" s="81" t="inlineStr">
        <is>
          <t>8604</t>
        </is>
      </c>
      <c r="B40" s="17" t="inlineStr">
        <is>
          <t>野村ホールディングス</t>
        </is>
      </c>
      <c r="C40" s="655">
        <f>_xll.RssMarket("8604","始値")</f>
        <v/>
      </c>
      <c r="D40" s="656">
        <f>C40-E40</f>
        <v/>
      </c>
      <c r="E40" s="22" t="n">
        <v>1408</v>
      </c>
      <c r="F40" s="22" t="n">
        <v>1431</v>
      </c>
      <c r="G40" s="22" t="n">
        <v>1430</v>
      </c>
      <c r="H40" s="22" t="n">
        <v>1374.5</v>
      </c>
      <c r="I40" s="22" t="n">
        <v>1408</v>
      </c>
      <c r="J40" s="22" t="n">
        <v>1375</v>
      </c>
      <c r="K40" s="22" t="n">
        <v>1357</v>
      </c>
      <c r="L40" s="22" t="n">
        <v>1414</v>
      </c>
      <c r="M40" s="22" t="n">
        <v>1331</v>
      </c>
      <c r="N40" s="22" t="n">
        <v>1375.5</v>
      </c>
      <c r="O40" s="22" t="n">
        <v>1355.5</v>
      </c>
      <c r="P40" s="22" t="n">
        <v>1324</v>
      </c>
      <c r="Q40" s="22" t="n">
        <v>1296.5</v>
      </c>
      <c r="R40" s="22" t="n">
        <v>1265</v>
      </c>
      <c r="S40" s="22" t="n">
        <v>1250</v>
      </c>
      <c r="T40" s="22" t="n">
        <v>1251.5</v>
      </c>
      <c r="U40" s="22" t="n">
        <v>1293.5</v>
      </c>
      <c r="V40" s="22" t="n">
        <v>1309.5</v>
      </c>
      <c r="W40" s="22" t="n">
        <v>1270</v>
      </c>
      <c r="X40" s="22" t="n">
        <v>1276</v>
      </c>
      <c r="Y40" s="22" t="n">
        <v>1267</v>
      </c>
      <c r="Z40" s="22" t="n">
        <v>1265</v>
      </c>
      <c r="AA40" s="22" t="n">
        <v>1270.5</v>
      </c>
      <c r="AB40" s="22" t="n">
        <v>1287</v>
      </c>
      <c r="AC40" s="22" t="n">
        <v>1245</v>
      </c>
      <c r="AD40" s="22" t="n">
        <v>1233</v>
      </c>
      <c r="AE40" s="22" t="n">
        <v>1220</v>
      </c>
      <c r="AF40" s="22" t="n">
        <v>1243.5</v>
      </c>
      <c r="AG40" s="22" t="n">
        <v>1230</v>
      </c>
      <c r="AH40" s="22" t="n">
        <v>1244.5</v>
      </c>
      <c r="AI40" s="22" t="n">
        <v>1249</v>
      </c>
      <c r="AJ40" s="22" t="n">
        <v>1255</v>
      </c>
      <c r="AK40" s="22" t="n">
        <v>1246</v>
      </c>
      <c r="AL40" s="22" t="n">
        <v>1330</v>
      </c>
      <c r="AM40" s="22" t="n">
        <v>1332.5</v>
      </c>
      <c r="AN40" s="22" t="n">
        <v>1348</v>
      </c>
      <c r="AO40" s="22" t="n">
        <v>1345</v>
      </c>
      <c r="AP40" s="22" t="n">
        <v>1340.5</v>
      </c>
      <c r="AQ40" s="22" t="n">
        <v>1357.5</v>
      </c>
      <c r="AR40" s="22" t="n">
        <v>1431</v>
      </c>
      <c r="AS40" s="22" t="n">
        <v>1356.5</v>
      </c>
      <c r="AT40" s="22" t="n">
        <v>1330.5</v>
      </c>
      <c r="AU40" s="22" t="n">
        <v>1307</v>
      </c>
      <c r="AV40" s="22" t="n">
        <v>1322</v>
      </c>
      <c r="AW40" s="22" t="n">
        <v>1336.5</v>
      </c>
      <c r="AX40" s="22" t="n">
        <v>1333</v>
      </c>
      <c r="AY40" s="22" t="n">
        <v>1279.5</v>
      </c>
      <c r="AZ40" s="22" t="n">
        <v>1258</v>
      </c>
      <c r="BA40" s="22" t="n">
        <v>1270</v>
      </c>
      <c r="BB40" s="22" t="n">
        <v>1292</v>
      </c>
      <c r="BC40" s="22" t="n">
        <v>1255</v>
      </c>
      <c r="BD40" s="22" t="n">
        <v>1203</v>
      </c>
      <c r="BE40" s="22" t="n">
        <v>1185</v>
      </c>
      <c r="BF40" s="22" t="n">
        <v>1235.5</v>
      </c>
      <c r="BG40" s="22" t="n">
        <v>1273</v>
      </c>
      <c r="BH40" s="22" t="n">
        <v>1263.5</v>
      </c>
      <c r="BI40" s="22" t="n">
        <v>1243.5</v>
      </c>
      <c r="BJ40" s="22" t="n">
        <v>1205.5</v>
      </c>
      <c r="BK40" s="22" t="n">
        <v>1218.5</v>
      </c>
      <c r="BL40" s="22" t="n">
        <v>1222</v>
      </c>
    </row>
    <row r="41" ht="15.95" customHeight="1" s="574">
      <c r="A41" s="81" t="inlineStr">
        <is>
          <t>3861</t>
        </is>
      </c>
      <c r="B41" s="17" t="inlineStr">
        <is>
          <t>王子ホールディングス</t>
        </is>
      </c>
      <c r="C41" s="655">
        <f>_xll.RssMarket("3861","始値")</f>
        <v/>
      </c>
      <c r="D41" s="656">
        <f>C41-E41</f>
        <v/>
      </c>
      <c r="E41" s="22" t="n">
        <v>800</v>
      </c>
      <c r="F41" s="22" t="n">
        <v>792.1</v>
      </c>
      <c r="G41" s="22" t="n">
        <v>802</v>
      </c>
      <c r="H41" s="22" t="n">
        <v>800.6</v>
      </c>
      <c r="I41" s="22" t="n">
        <v>797.3</v>
      </c>
      <c r="J41" s="22" t="n">
        <v>805</v>
      </c>
      <c r="K41" s="22" t="n">
        <v>793.4</v>
      </c>
      <c r="L41" s="22" t="n">
        <v>782.7</v>
      </c>
      <c r="M41" s="22" t="n">
        <v>778</v>
      </c>
      <c r="N41" s="22" t="n">
        <v>772.8</v>
      </c>
      <c r="O41" s="22" t="n">
        <v>770.5</v>
      </c>
      <c r="P41" s="22" t="n">
        <v>779.5</v>
      </c>
      <c r="Q41" s="22" t="n">
        <v>767.9</v>
      </c>
      <c r="R41" s="22" t="n">
        <v>761.8</v>
      </c>
      <c r="S41" s="22" t="n">
        <v>789.2</v>
      </c>
      <c r="T41" s="22" t="n">
        <v>788.7</v>
      </c>
      <c r="U41" s="22" t="n">
        <v>769.3</v>
      </c>
      <c r="V41" s="22" t="n">
        <v>782</v>
      </c>
      <c r="W41" s="22" t="n">
        <v>795</v>
      </c>
      <c r="X41" s="22" t="n">
        <v>820</v>
      </c>
      <c r="Y41" s="22" t="n">
        <v>825</v>
      </c>
      <c r="Z41" s="22" t="n">
        <v>851.2</v>
      </c>
      <c r="AA41" s="22" t="n">
        <v>838.8</v>
      </c>
      <c r="AB41" s="22" t="n">
        <v>831.8</v>
      </c>
      <c r="AC41" s="22" t="n">
        <v>822</v>
      </c>
      <c r="AD41" s="22" t="n">
        <v>826.1</v>
      </c>
      <c r="AE41" s="22" t="n">
        <v>838</v>
      </c>
      <c r="AF41" s="22" t="n">
        <v>822.5</v>
      </c>
      <c r="AG41" s="22" t="n">
        <v>822.8</v>
      </c>
      <c r="AH41" s="22" t="n">
        <v>815.6</v>
      </c>
      <c r="AI41" s="22" t="n">
        <v>815.2</v>
      </c>
      <c r="AJ41" s="22" t="n">
        <v>822.2</v>
      </c>
      <c r="AK41" s="22" t="n">
        <v>825</v>
      </c>
      <c r="AL41" s="22" t="n">
        <v>826.5</v>
      </c>
      <c r="AM41" s="22" t="n">
        <v>837.3</v>
      </c>
      <c r="AN41" s="22" t="n">
        <v>839.8</v>
      </c>
      <c r="AO41" s="22" t="n">
        <v>848</v>
      </c>
      <c r="AP41" s="22" t="n">
        <v>850.6</v>
      </c>
      <c r="AQ41" s="22" t="n">
        <v>849</v>
      </c>
      <c r="AR41" s="22" t="n">
        <v>845.7</v>
      </c>
      <c r="AS41" s="22" t="n">
        <v>852.8</v>
      </c>
      <c r="AT41" s="22" t="n">
        <v>849</v>
      </c>
      <c r="AU41" s="22" t="n">
        <v>850.7</v>
      </c>
      <c r="AV41" s="22" t="n">
        <v>866.2</v>
      </c>
      <c r="AW41" s="22" t="n">
        <v>858.1</v>
      </c>
      <c r="AX41" s="22" t="n">
        <v>854.5</v>
      </c>
      <c r="AY41" s="22" t="n">
        <v>853</v>
      </c>
      <c r="AZ41" s="22" t="n">
        <v>844.6</v>
      </c>
      <c r="BA41" s="22" t="n">
        <v>859.8</v>
      </c>
      <c r="BB41" s="22" t="n">
        <v>860</v>
      </c>
      <c r="BC41" s="22" t="n">
        <v>843</v>
      </c>
      <c r="BD41" s="22" t="n">
        <v>830</v>
      </c>
      <c r="BE41" s="22" t="n">
        <v>862</v>
      </c>
      <c r="BF41" s="22" t="n">
        <v>857.7</v>
      </c>
      <c r="BG41" s="22" t="n">
        <v>886.8</v>
      </c>
      <c r="BH41" s="22" t="n">
        <v>870.3</v>
      </c>
      <c r="BI41" s="22" t="n">
        <v>864.9</v>
      </c>
      <c r="BJ41" s="22" t="n">
        <v>903.4</v>
      </c>
      <c r="BK41" s="22" t="n">
        <v>909</v>
      </c>
      <c r="BL41" s="22" t="n">
        <v>904</v>
      </c>
    </row>
    <row r="42" ht="15.95" customHeight="1" s="574">
      <c r="A42" s="81" t="inlineStr">
        <is>
          <t>5947</t>
        </is>
      </c>
      <c r="B42" s="17" t="inlineStr">
        <is>
          <t>リンナイ</t>
        </is>
      </c>
      <c r="C42" s="655">
        <f>_xll.RssMarket("5947","始値")</f>
        <v/>
      </c>
      <c r="D42" s="656">
        <f>C42-E42</f>
        <v/>
      </c>
      <c r="E42" s="22" t="n">
        <v>3427</v>
      </c>
      <c r="F42" s="22" t="n">
        <v>3477</v>
      </c>
      <c r="G42" s="22" t="n">
        <v>3463</v>
      </c>
      <c r="H42" s="22" t="n">
        <v>3428</v>
      </c>
      <c r="I42" s="22" t="n">
        <v>3435</v>
      </c>
      <c r="J42" s="22" t="n">
        <v>3526</v>
      </c>
      <c r="K42" s="22" t="n">
        <v>3529</v>
      </c>
      <c r="L42" s="22" t="n">
        <v>3537</v>
      </c>
      <c r="M42" s="22" t="n">
        <v>3587</v>
      </c>
      <c r="N42" s="22" t="n">
        <v>3472</v>
      </c>
      <c r="O42" s="22" t="n">
        <v>3455</v>
      </c>
      <c r="P42" s="22" t="n">
        <v>3387</v>
      </c>
      <c r="Q42" s="22" t="n">
        <v>3342</v>
      </c>
      <c r="R42" s="22" t="n">
        <v>3301</v>
      </c>
      <c r="S42" s="22" t="n">
        <v>3423</v>
      </c>
      <c r="T42" s="22" t="n">
        <v>3435</v>
      </c>
      <c r="U42" s="22" t="n">
        <v>3413</v>
      </c>
      <c r="V42" s="22" t="n">
        <v>3495</v>
      </c>
      <c r="W42" s="22" t="n">
        <v>3544</v>
      </c>
      <c r="X42" s="22" t="n">
        <v>3592</v>
      </c>
      <c r="Y42" s="22" t="n">
        <v>3548</v>
      </c>
      <c r="Z42" s="22" t="n">
        <v>3517</v>
      </c>
      <c r="AA42" s="22" t="n">
        <v>3460</v>
      </c>
      <c r="AB42" s="22" t="n">
        <v>3410</v>
      </c>
      <c r="AC42" s="22" t="n">
        <v>3380</v>
      </c>
      <c r="AD42" s="22" t="n">
        <v>3434</v>
      </c>
      <c r="AE42" s="22" t="n">
        <v>3526</v>
      </c>
      <c r="AF42" s="22" t="n">
        <v>3590</v>
      </c>
      <c r="AG42" s="22" t="n">
        <v>3690</v>
      </c>
      <c r="AH42" s="22" t="n">
        <v>3680</v>
      </c>
      <c r="AI42" s="22" t="n">
        <v>3567</v>
      </c>
      <c r="AJ42" s="22" t="n">
        <v>3556</v>
      </c>
      <c r="AK42" s="22" t="n">
        <v>3549</v>
      </c>
      <c r="AL42" s="22" t="n">
        <v>3502</v>
      </c>
      <c r="AM42" s="22" t="n">
        <v>3524</v>
      </c>
      <c r="AN42" s="22" t="n">
        <v>3508</v>
      </c>
      <c r="AO42" s="22" t="n">
        <v>3482</v>
      </c>
      <c r="AP42" s="22" t="n">
        <v>3516</v>
      </c>
      <c r="AQ42" s="22" t="n">
        <v>3572</v>
      </c>
      <c r="AR42" s="22" t="n">
        <v>3529</v>
      </c>
      <c r="AS42" s="22" t="n">
        <v>3602</v>
      </c>
      <c r="AT42" s="22" t="n">
        <v>3572</v>
      </c>
      <c r="AU42" s="22" t="n">
        <v>3667</v>
      </c>
      <c r="AV42" s="22" t="n">
        <v>3740</v>
      </c>
      <c r="AW42" s="22" t="n">
        <v>3732</v>
      </c>
      <c r="AX42" s="22" t="n">
        <v>3750</v>
      </c>
      <c r="AY42" s="22" t="n">
        <v>3761</v>
      </c>
      <c r="AZ42" s="22" t="n">
        <v>3690</v>
      </c>
      <c r="BA42" s="22" t="n">
        <v>3680</v>
      </c>
      <c r="BB42" s="22" t="n">
        <v>3654</v>
      </c>
      <c r="BC42" s="22" t="n">
        <v>3744</v>
      </c>
      <c r="BD42" s="22" t="n">
        <v>3739</v>
      </c>
      <c r="BE42" s="22" t="n">
        <v>3636</v>
      </c>
      <c r="BF42" s="22" t="n">
        <v>3631</v>
      </c>
      <c r="BG42" s="22" t="n">
        <v>3734</v>
      </c>
      <c r="BH42" s="22" t="n">
        <v>3738</v>
      </c>
      <c r="BI42" s="22" t="n">
        <v>3760</v>
      </c>
      <c r="BJ42" s="22" t="n">
        <v>3687</v>
      </c>
      <c r="BK42" s="22" t="n">
        <v>3631</v>
      </c>
      <c r="BL42" s="22" t="n">
        <v>3761</v>
      </c>
    </row>
    <row r="43" ht="15.95" customHeight="1" s="574">
      <c r="A43" s="81" t="inlineStr">
        <is>
          <t>8750</t>
        </is>
      </c>
      <c r="B43" s="17" t="inlineStr">
        <is>
          <t>第一ライフグループ</t>
        </is>
      </c>
      <c r="C43" s="655">
        <f>_xll.RssMarket("8750","始値")</f>
        <v/>
      </c>
      <c r="D43" s="656">
        <f>C43-E43</f>
        <v/>
      </c>
      <c r="E43" s="22" t="n">
        <v>1800</v>
      </c>
      <c r="F43" s="22" t="n">
        <v>1812.5</v>
      </c>
      <c r="G43" s="22" t="n">
        <v>1800</v>
      </c>
      <c r="H43" s="22" t="n">
        <v>1820</v>
      </c>
      <c r="I43" s="22" t="n">
        <v>1770</v>
      </c>
      <c r="J43" s="22" t="n">
        <v>1768</v>
      </c>
      <c r="K43" s="22" t="n">
        <v>1756.5</v>
      </c>
      <c r="L43" s="22" t="n">
        <v>1727.5</v>
      </c>
      <c r="M43" s="22" t="n">
        <v>1757</v>
      </c>
      <c r="N43" s="22" t="n">
        <v>1628</v>
      </c>
      <c r="O43" s="22" t="n">
        <v>1687.5</v>
      </c>
      <c r="P43" s="22" t="n">
        <v>1610</v>
      </c>
      <c r="Q43" s="22" t="n">
        <v>1628.5</v>
      </c>
      <c r="R43" s="22" t="n">
        <v>1616.5</v>
      </c>
      <c r="S43" s="22" t="n">
        <v>1615</v>
      </c>
      <c r="T43" s="22" t="n">
        <v>1650</v>
      </c>
      <c r="U43" s="22" t="n">
        <v>1659.5</v>
      </c>
      <c r="V43" s="22" t="n">
        <v>1645.5</v>
      </c>
      <c r="W43" s="22" t="n">
        <v>1669</v>
      </c>
      <c r="X43" s="22" t="n">
        <v>1656</v>
      </c>
      <c r="Y43" s="22" t="n">
        <v>1669</v>
      </c>
      <c r="Z43" s="22" t="n">
        <v>1655</v>
      </c>
      <c r="AA43" s="22" t="n">
        <v>1658</v>
      </c>
      <c r="AB43" s="22" t="n">
        <v>1500</v>
      </c>
      <c r="AC43" s="22" t="n">
        <v>1492</v>
      </c>
      <c r="AD43" s="22" t="n">
        <v>1479</v>
      </c>
      <c r="AE43" s="22" t="n">
        <v>1488</v>
      </c>
      <c r="AF43" s="22" t="n">
        <v>1421.5</v>
      </c>
      <c r="AG43" s="22" t="n">
        <v>1457</v>
      </c>
      <c r="AH43" s="22" t="n">
        <v>1438</v>
      </c>
      <c r="AI43" s="22" t="n">
        <v>1419.5</v>
      </c>
      <c r="AJ43" s="22" t="n">
        <v>1440.5</v>
      </c>
      <c r="AK43" s="22" t="n">
        <v>1409</v>
      </c>
      <c r="AL43" s="22" t="n">
        <v>1386</v>
      </c>
      <c r="AM43" s="22" t="n">
        <v>1423</v>
      </c>
      <c r="AN43" s="22" t="n">
        <v>1414</v>
      </c>
      <c r="AO43" s="22" t="n">
        <v>1437</v>
      </c>
      <c r="AP43" s="22" t="n">
        <v>1465</v>
      </c>
      <c r="AQ43" s="22" t="n">
        <v>1478.5</v>
      </c>
      <c r="AR43" s="22" t="n">
        <v>1492.5</v>
      </c>
      <c r="AS43" s="22" t="n">
        <v>1499</v>
      </c>
      <c r="AT43" s="22" t="n">
        <v>1494.5</v>
      </c>
      <c r="AU43" s="22" t="n">
        <v>1499</v>
      </c>
      <c r="AV43" s="22" t="n">
        <v>1464</v>
      </c>
      <c r="AW43" s="22" t="n">
        <v>1492</v>
      </c>
      <c r="AX43" s="22" t="n">
        <v>1523.5</v>
      </c>
      <c r="AY43" s="22" t="n">
        <v>1542</v>
      </c>
      <c r="AZ43" s="22" t="n">
        <v>1466</v>
      </c>
      <c r="BA43" s="22" t="n">
        <v>1464</v>
      </c>
      <c r="BB43" s="22" t="n">
        <v>1480</v>
      </c>
      <c r="BC43" s="22" t="n">
        <v>1500</v>
      </c>
      <c r="BD43" s="22" t="n">
        <v>1487</v>
      </c>
      <c r="BE43" s="22" t="n">
        <v>1409.5</v>
      </c>
      <c r="BF43" s="22" t="n">
        <v>1389.5</v>
      </c>
      <c r="BG43" s="22" t="n">
        <v>1450</v>
      </c>
      <c r="BH43" s="22" t="n">
        <v>1450</v>
      </c>
      <c r="BI43" s="22" t="n">
        <v>1445</v>
      </c>
      <c r="BJ43" s="22" t="n">
        <v>1427</v>
      </c>
      <c r="BK43" s="22" t="n">
        <v>1371</v>
      </c>
      <c r="BL43" s="22" t="n">
        <v>1426.5</v>
      </c>
    </row>
    <row r="44" ht="15.95" customHeight="1" s="574">
      <c r="A44" s="81" t="inlineStr">
        <is>
          <t>3402</t>
        </is>
      </c>
      <c r="B44" s="17" t="inlineStr">
        <is>
          <t>東レ</t>
        </is>
      </c>
      <c r="C44" s="655">
        <f>_xll.RssMarket("3402","始値")</f>
        <v/>
      </c>
      <c r="D44" s="656">
        <f>C44-E44</f>
        <v/>
      </c>
      <c r="E44" s="22" t="n">
        <v>1146.5</v>
      </c>
      <c r="F44" s="22" t="n">
        <v>1170</v>
      </c>
      <c r="G44" s="22" t="n">
        <v>1183</v>
      </c>
      <c r="H44" s="22" t="n">
        <v>1170.5</v>
      </c>
      <c r="I44" s="22" t="n">
        <v>1198</v>
      </c>
      <c r="J44" s="22" t="n">
        <v>1195</v>
      </c>
      <c r="K44" s="22" t="n">
        <v>1142</v>
      </c>
      <c r="L44" s="22" t="n">
        <v>1103</v>
      </c>
      <c r="M44" s="22" t="n">
        <v>1106</v>
      </c>
      <c r="N44" s="22" t="n">
        <v>1103</v>
      </c>
      <c r="O44" s="22" t="n">
        <v>1100</v>
      </c>
      <c r="P44" s="22" t="n">
        <v>1140.5</v>
      </c>
      <c r="Q44" s="22" t="n">
        <v>1177.5</v>
      </c>
      <c r="R44" s="22" t="n">
        <v>1125.5</v>
      </c>
      <c r="S44" s="22" t="n">
        <v>1141</v>
      </c>
      <c r="T44" s="22" t="n">
        <v>1150</v>
      </c>
      <c r="U44" s="22" t="n">
        <v>1152</v>
      </c>
      <c r="V44" s="22" t="n">
        <v>1103.5</v>
      </c>
      <c r="W44" s="22" t="n">
        <v>1093</v>
      </c>
      <c r="X44" s="22" t="n">
        <v>1093.5</v>
      </c>
      <c r="Y44" s="22" t="n">
        <v>1071</v>
      </c>
      <c r="Z44" s="22" t="n">
        <v>1095</v>
      </c>
      <c r="AA44" s="22" t="n">
        <v>1125</v>
      </c>
      <c r="AB44" s="22" t="n">
        <v>1165</v>
      </c>
      <c r="AC44" s="22" t="n">
        <v>1169</v>
      </c>
      <c r="AD44" s="22" t="n">
        <v>1145</v>
      </c>
      <c r="AE44" s="22" t="n">
        <v>1135</v>
      </c>
      <c r="AF44" s="22" t="n">
        <v>1122</v>
      </c>
      <c r="AG44" s="22" t="n">
        <v>1138</v>
      </c>
      <c r="AH44" s="22" t="n">
        <v>1131</v>
      </c>
      <c r="AI44" s="22" t="n">
        <v>1118.5</v>
      </c>
      <c r="AJ44" s="22" t="n">
        <v>1122</v>
      </c>
      <c r="AK44" s="22" t="n">
        <v>1130</v>
      </c>
      <c r="AL44" s="22" t="n">
        <v>1101</v>
      </c>
      <c r="AM44" s="22" t="n">
        <v>1120</v>
      </c>
      <c r="AN44" s="22" t="n">
        <v>1113.5</v>
      </c>
      <c r="AO44" s="22" t="n">
        <v>1137</v>
      </c>
      <c r="AP44" s="22" t="n">
        <v>1150</v>
      </c>
      <c r="AQ44" s="22" t="n">
        <v>1157</v>
      </c>
      <c r="AR44" s="22" t="n">
        <v>1161.5</v>
      </c>
      <c r="AS44" s="22" t="n">
        <v>1143.5</v>
      </c>
      <c r="AT44" s="22" t="n">
        <v>1152.5</v>
      </c>
      <c r="AU44" s="22" t="n">
        <v>1154.5</v>
      </c>
      <c r="AV44" s="22" t="n">
        <v>1168</v>
      </c>
      <c r="AW44" s="22" t="n">
        <v>1167.5</v>
      </c>
      <c r="AX44" s="22" t="n">
        <v>1186.5</v>
      </c>
      <c r="AY44" s="22" t="n">
        <v>1180</v>
      </c>
      <c r="AZ44" s="22" t="n">
        <v>1126.5</v>
      </c>
      <c r="BA44" s="22" t="n">
        <v>1132.5</v>
      </c>
      <c r="BB44" s="22" t="n">
        <v>1128.5</v>
      </c>
      <c r="BC44" s="22" t="n">
        <v>1167.5</v>
      </c>
      <c r="BD44" s="22" t="n">
        <v>1139</v>
      </c>
      <c r="BE44" s="22" t="n">
        <v>1088.5</v>
      </c>
      <c r="BF44" s="22" t="n">
        <v>1052</v>
      </c>
      <c r="BG44" s="22" t="n">
        <v>1113.5</v>
      </c>
      <c r="BH44" s="22" t="n">
        <v>1141</v>
      </c>
      <c r="BI44" s="22" t="n">
        <v>1121.5</v>
      </c>
      <c r="BJ44" s="22" t="n">
        <v>1084</v>
      </c>
      <c r="BK44" s="22" t="n">
        <v>1062</v>
      </c>
      <c r="BL44" s="22" t="n">
        <v>1105</v>
      </c>
    </row>
    <row r="45" ht="15.95" customHeight="1" s="574">
      <c r="A45" s="81" t="inlineStr">
        <is>
          <t>8306</t>
        </is>
      </c>
      <c r="B45" s="17" t="inlineStr">
        <is>
          <t>三菱ＵＦＪフィナンシャルＧ</t>
        </is>
      </c>
      <c r="C45" s="655">
        <f>_xll.RssMarket("8306","始値")</f>
        <v/>
      </c>
      <c r="D45" s="656">
        <f>C45-E45</f>
        <v/>
      </c>
      <c r="E45" s="22" t="n">
        <v>3242</v>
      </c>
      <c r="F45" s="22" t="n">
        <v>3370</v>
      </c>
      <c r="G45" s="22" t="n">
        <v>3324</v>
      </c>
      <c r="H45" s="22" t="n">
        <v>3266</v>
      </c>
      <c r="I45" s="22" t="n">
        <v>3225</v>
      </c>
      <c r="J45" s="22" t="n">
        <v>3231</v>
      </c>
      <c r="K45" s="22" t="n">
        <v>3141</v>
      </c>
      <c r="L45" s="22" t="n">
        <v>3113</v>
      </c>
      <c r="M45" s="22" t="n">
        <v>3230</v>
      </c>
      <c r="N45" s="22" t="n">
        <v>3200</v>
      </c>
      <c r="O45" s="22" t="n">
        <v>3210</v>
      </c>
      <c r="P45" s="22" t="n">
        <v>3137</v>
      </c>
      <c r="Q45" s="22" t="n">
        <v>3062</v>
      </c>
      <c r="R45" s="22" t="n">
        <v>3013</v>
      </c>
      <c r="S45" s="22" t="n">
        <v>2995</v>
      </c>
      <c r="T45" s="22" t="n">
        <v>3010</v>
      </c>
      <c r="U45" s="22" t="n">
        <v>3061</v>
      </c>
      <c r="V45" s="22" t="n">
        <v>3090</v>
      </c>
      <c r="W45" s="22" t="n">
        <v>3098</v>
      </c>
      <c r="X45" s="22" t="n">
        <v>3090</v>
      </c>
      <c r="Y45" s="22" t="n">
        <v>3162</v>
      </c>
      <c r="Z45" s="22" t="n">
        <v>3030</v>
      </c>
      <c r="AA45" s="22" t="n">
        <v>2979</v>
      </c>
      <c r="AB45" s="22" t="n">
        <v>2910.5</v>
      </c>
      <c r="AC45" s="22" t="n">
        <v>2920.5</v>
      </c>
      <c r="AD45" s="22" t="n">
        <v>2875.5</v>
      </c>
      <c r="AE45" s="22" t="n">
        <v>2885.5</v>
      </c>
      <c r="AF45" s="22" t="n">
        <v>2810</v>
      </c>
      <c r="AG45" s="22" t="n">
        <v>2816.5</v>
      </c>
      <c r="AH45" s="22" t="n">
        <v>2850</v>
      </c>
      <c r="AI45" s="22" t="n">
        <v>2800</v>
      </c>
      <c r="AJ45" s="22" t="n">
        <v>2868</v>
      </c>
      <c r="AK45" s="22" t="n">
        <v>2821</v>
      </c>
      <c r="AL45" s="22" t="n">
        <v>2745</v>
      </c>
      <c r="AM45" s="22" t="n">
        <v>2782.5</v>
      </c>
      <c r="AN45" s="22" t="n">
        <v>2794</v>
      </c>
      <c r="AO45" s="22" t="n">
        <v>2820</v>
      </c>
      <c r="AP45" s="22" t="n">
        <v>2879.5</v>
      </c>
      <c r="AQ45" s="22" t="n">
        <v>2885</v>
      </c>
      <c r="AR45" s="22" t="n">
        <v>2920</v>
      </c>
      <c r="AS45" s="22" t="n">
        <v>2935</v>
      </c>
      <c r="AT45" s="22" t="n">
        <v>2866</v>
      </c>
      <c r="AU45" s="22" t="n">
        <v>2889.5</v>
      </c>
      <c r="AV45" s="22" t="n">
        <v>2847.5</v>
      </c>
      <c r="AW45" s="22" t="n">
        <v>2851</v>
      </c>
      <c r="AX45" s="22" t="n">
        <v>2896</v>
      </c>
      <c r="AY45" s="22" t="n">
        <v>2930</v>
      </c>
      <c r="AZ45" s="22" t="n">
        <v>2800</v>
      </c>
      <c r="BA45" s="22" t="n">
        <v>2778.5</v>
      </c>
      <c r="BB45" s="22" t="n">
        <v>2781</v>
      </c>
      <c r="BC45" s="22" t="n">
        <v>2841</v>
      </c>
      <c r="BD45" s="22" t="n">
        <v>2710</v>
      </c>
      <c r="BE45" s="22" t="n">
        <v>2575</v>
      </c>
      <c r="BF45" s="22" t="n">
        <v>2599</v>
      </c>
      <c r="BG45" s="22" t="n">
        <v>2680.5</v>
      </c>
      <c r="BH45" s="22" t="n">
        <v>2739</v>
      </c>
      <c r="BI45" s="22" t="n">
        <v>2718</v>
      </c>
      <c r="BJ45" s="22" t="n">
        <v>2614.5</v>
      </c>
      <c r="BK45" s="22" t="n">
        <v>2551</v>
      </c>
      <c r="BL45" s="22" t="n">
        <v>2690</v>
      </c>
    </row>
    <row r="46" ht="15.95" customHeight="1" s="574">
      <c r="A46" s="81" t="inlineStr">
        <is>
          <t>5401</t>
        </is>
      </c>
      <c r="B46" s="17" t="inlineStr">
        <is>
          <t>日本製鉄</t>
        </is>
      </c>
      <c r="C46" s="655">
        <f>_xll.RssMarket("5401","始値")</f>
        <v/>
      </c>
      <c r="D46" s="656">
        <f>C46-E46</f>
        <v/>
      </c>
      <c r="E46" s="22" t="n">
        <v>566.2</v>
      </c>
      <c r="F46" s="22" t="n">
        <v>567.1</v>
      </c>
      <c r="G46" s="22" t="n">
        <v>561.6</v>
      </c>
      <c r="H46" s="22" t="n">
        <v>566</v>
      </c>
      <c r="I46" s="22" t="n">
        <v>571.9</v>
      </c>
      <c r="J46" s="22" t="n">
        <v>560</v>
      </c>
      <c r="K46" s="22" t="n">
        <v>543.3</v>
      </c>
      <c r="L46" s="22" t="n">
        <v>537.4</v>
      </c>
      <c r="M46" s="22" t="n">
        <v>543.4</v>
      </c>
      <c r="N46" s="22" t="n">
        <v>540.4</v>
      </c>
      <c r="O46" s="22" t="n">
        <v>547.5</v>
      </c>
      <c r="P46" s="22" t="n">
        <v>544.7</v>
      </c>
      <c r="Q46" s="22" t="n">
        <v>539.5</v>
      </c>
      <c r="R46" s="22" t="n">
        <v>540</v>
      </c>
      <c r="S46" s="22" t="n">
        <v>567.4</v>
      </c>
      <c r="T46" s="22" t="n">
        <v>567</v>
      </c>
      <c r="U46" s="22" t="n">
        <v>557.9</v>
      </c>
      <c r="V46" s="22" t="n">
        <v>555.8</v>
      </c>
      <c r="W46" s="22" t="n">
        <v>549</v>
      </c>
      <c r="X46" s="22" t="n">
        <v>545.8</v>
      </c>
      <c r="Y46" s="22" t="n">
        <v>550</v>
      </c>
      <c r="Z46" s="22" t="n">
        <v>553</v>
      </c>
      <c r="AA46" s="22" t="n">
        <v>560</v>
      </c>
      <c r="AB46" s="22" t="n">
        <v>552.5</v>
      </c>
      <c r="AC46" s="22" t="n">
        <v>569.2</v>
      </c>
      <c r="AD46" s="22" t="n">
        <v>560</v>
      </c>
      <c r="AE46" s="22" t="n">
        <v>568</v>
      </c>
      <c r="AF46" s="22" t="n">
        <v>579.7</v>
      </c>
      <c r="AG46" s="22" t="n">
        <v>577.8</v>
      </c>
      <c r="AH46" s="22" t="n">
        <v>569</v>
      </c>
      <c r="AI46" s="22" t="n">
        <v>573.5</v>
      </c>
      <c r="AJ46" s="22" t="n">
        <v>575.2</v>
      </c>
      <c r="AK46" s="22" t="n">
        <v>575</v>
      </c>
      <c r="AL46" s="22" t="n">
        <v>578.6</v>
      </c>
      <c r="AM46" s="22" t="n">
        <v>589</v>
      </c>
      <c r="AN46" s="22" t="n">
        <v>593.2</v>
      </c>
      <c r="AO46" s="22" t="n">
        <v>597.5</v>
      </c>
      <c r="AP46" s="22" t="n">
        <v>597.5</v>
      </c>
      <c r="AQ46" s="22" t="n">
        <v>595.3</v>
      </c>
      <c r="AR46" s="22" t="n">
        <v>597.8</v>
      </c>
      <c r="AS46" s="22" t="n">
        <v>595.9</v>
      </c>
      <c r="AT46" s="22" t="n">
        <v>599</v>
      </c>
      <c r="AU46" s="22" t="n">
        <v>599</v>
      </c>
      <c r="AV46" s="22" t="n">
        <v>603.4</v>
      </c>
      <c r="AW46" s="22" t="n">
        <v>605</v>
      </c>
      <c r="AX46" s="22" t="n">
        <v>595</v>
      </c>
      <c r="AY46" s="22" t="n">
        <v>587</v>
      </c>
      <c r="AZ46" s="22" t="n">
        <v>585</v>
      </c>
      <c r="BA46" s="22" t="n">
        <v>586.1</v>
      </c>
      <c r="BB46" s="22" t="n">
        <v>589.8</v>
      </c>
      <c r="BC46" s="22" t="n">
        <v>588</v>
      </c>
      <c r="BD46" s="22" t="n">
        <v>573</v>
      </c>
      <c r="BE46" s="22" t="n">
        <v>578</v>
      </c>
      <c r="BF46" s="22" t="n">
        <v>596.9</v>
      </c>
      <c r="BG46" s="22" t="n">
        <v>596.2</v>
      </c>
      <c r="BH46" s="22" t="n">
        <v>598.2</v>
      </c>
      <c r="BI46" s="22" t="n">
        <v>597.5</v>
      </c>
      <c r="BJ46" s="22" t="n">
        <v>588.1</v>
      </c>
      <c r="BK46" s="22" t="n">
        <v>597</v>
      </c>
      <c r="BL46" s="22" t="n">
        <v>600</v>
      </c>
    </row>
    <row r="47" ht="15.95" customHeight="1" s="574">
      <c r="A47" s="81" t="inlineStr">
        <is>
          <t>8572</t>
        </is>
      </c>
      <c r="B47" s="17" t="inlineStr">
        <is>
          <t>アコム</t>
        </is>
      </c>
      <c r="C47" s="655">
        <f>_xll.RssMarket("8572","始値")</f>
        <v/>
      </c>
      <c r="D47" s="656">
        <f>C47-E47</f>
        <v/>
      </c>
      <c r="E47" s="22" t="n">
        <v>447</v>
      </c>
      <c r="F47" s="22" t="n">
        <v>446</v>
      </c>
      <c r="G47" s="22" t="n">
        <v>450.6</v>
      </c>
      <c r="H47" s="22" t="n">
        <v>453.3</v>
      </c>
      <c r="I47" s="22" t="n">
        <v>451.1</v>
      </c>
      <c r="J47" s="22" t="n">
        <v>456</v>
      </c>
      <c r="K47" s="22" t="n">
        <v>449.5</v>
      </c>
      <c r="L47" s="22" t="n">
        <v>450</v>
      </c>
      <c r="M47" s="22" t="n">
        <v>451.9</v>
      </c>
      <c r="N47" s="22" t="n">
        <v>442.1</v>
      </c>
      <c r="O47" s="22" t="n">
        <v>445</v>
      </c>
      <c r="P47" s="22" t="n">
        <v>445.1</v>
      </c>
      <c r="Q47" s="22" t="n">
        <v>447.2</v>
      </c>
      <c r="R47" s="22" t="n">
        <v>453.3</v>
      </c>
      <c r="S47" s="22" t="n">
        <v>466.4</v>
      </c>
      <c r="T47" s="22" t="n">
        <v>468.3</v>
      </c>
      <c r="U47" s="22" t="n">
        <v>466.5</v>
      </c>
      <c r="V47" s="22" t="n">
        <v>462.4</v>
      </c>
      <c r="W47" s="22" t="n">
        <v>469</v>
      </c>
      <c r="X47" s="22" t="n">
        <v>466.7</v>
      </c>
      <c r="Y47" s="22" t="n">
        <v>464</v>
      </c>
      <c r="Z47" s="22" t="n">
        <v>462.9</v>
      </c>
      <c r="AA47" s="22" t="n">
        <v>468</v>
      </c>
      <c r="AB47" s="22" t="n">
        <v>457.1</v>
      </c>
      <c r="AC47" s="22" t="n">
        <v>459.9</v>
      </c>
      <c r="AD47" s="22" t="n">
        <v>467.1</v>
      </c>
      <c r="AE47" s="22" t="n">
        <v>491</v>
      </c>
      <c r="AF47" s="22" t="n">
        <v>492.5</v>
      </c>
      <c r="AG47" s="22" t="n">
        <v>491.6</v>
      </c>
      <c r="AH47" s="22" t="n">
        <v>499</v>
      </c>
      <c r="AI47" s="22" t="n">
        <v>497.7</v>
      </c>
      <c r="AJ47" s="22" t="n">
        <v>501</v>
      </c>
      <c r="AK47" s="22" t="n">
        <v>498.5</v>
      </c>
      <c r="AL47" s="22" t="n">
        <v>499.6</v>
      </c>
      <c r="AM47" s="22" t="n">
        <v>497.9</v>
      </c>
      <c r="AN47" s="22" t="n">
        <v>511</v>
      </c>
      <c r="AO47" s="22" t="n">
        <v>514.9</v>
      </c>
      <c r="AP47" s="22" t="n">
        <v>501.5</v>
      </c>
      <c r="AQ47" s="22" t="n">
        <v>489</v>
      </c>
      <c r="AR47" s="22" t="n">
        <v>484.7</v>
      </c>
      <c r="AS47" s="22" t="n">
        <v>481.8</v>
      </c>
      <c r="AT47" s="22" t="n">
        <v>482</v>
      </c>
      <c r="AU47" s="22" t="n">
        <v>478</v>
      </c>
      <c r="AV47" s="22" t="n">
        <v>469.1</v>
      </c>
      <c r="AW47" s="22" t="n">
        <v>471.4</v>
      </c>
      <c r="AX47" s="22" t="n">
        <v>476.4</v>
      </c>
      <c r="AY47" s="22" t="n">
        <v>485</v>
      </c>
      <c r="AZ47" s="22" t="n">
        <v>475</v>
      </c>
      <c r="BA47" s="22" t="n">
        <v>472.6</v>
      </c>
      <c r="BB47" s="22" t="n">
        <v>474</v>
      </c>
      <c r="BC47" s="22" t="n">
        <v>474.7</v>
      </c>
      <c r="BD47" s="22" t="n">
        <v>470</v>
      </c>
      <c r="BE47" s="22" t="n">
        <v>458.8</v>
      </c>
      <c r="BF47" s="22" t="n">
        <v>452</v>
      </c>
      <c r="BG47" s="22" t="n">
        <v>479.2</v>
      </c>
      <c r="BH47" s="22" t="n">
        <v>481</v>
      </c>
      <c r="BI47" s="22" t="n">
        <v>479.4</v>
      </c>
      <c r="BJ47" s="22" t="n">
        <v>477</v>
      </c>
      <c r="BK47" s="22" t="n">
        <v>465</v>
      </c>
      <c r="BL47" s="22" t="n">
        <v>482.2</v>
      </c>
    </row>
    <row r="48" ht="15.95" customHeight="1" s="574">
      <c r="A48" s="81" t="inlineStr">
        <is>
          <t>3941</t>
        </is>
      </c>
      <c r="B48" s="17" t="inlineStr">
        <is>
          <t>レンゴー</t>
        </is>
      </c>
      <c r="C48" s="655">
        <f>_xll.RssMarket("3941","始値")</f>
        <v/>
      </c>
      <c r="D48" s="656">
        <f>C48-E48</f>
        <v/>
      </c>
      <c r="E48" s="22" t="n">
        <v>1430</v>
      </c>
      <c r="F48" s="22" t="n">
        <v>1424</v>
      </c>
      <c r="G48" s="22" t="n">
        <v>1420</v>
      </c>
      <c r="H48" s="22" t="n">
        <v>1416.5</v>
      </c>
      <c r="I48" s="22" t="n">
        <v>1420.5</v>
      </c>
      <c r="J48" s="22" t="n">
        <v>1393</v>
      </c>
      <c r="K48" s="22" t="n">
        <v>1382</v>
      </c>
      <c r="L48" s="22" t="n">
        <v>1369</v>
      </c>
      <c r="M48" s="22" t="n">
        <v>1404</v>
      </c>
      <c r="N48" s="22" t="n">
        <v>1359</v>
      </c>
      <c r="O48" s="22" t="n">
        <v>1388.5</v>
      </c>
      <c r="P48" s="22" t="n">
        <v>1392.5</v>
      </c>
      <c r="Q48" s="22" t="n">
        <v>1400</v>
      </c>
      <c r="R48" s="22" t="n">
        <v>1385</v>
      </c>
      <c r="S48" s="22" t="n">
        <v>1422.5</v>
      </c>
      <c r="T48" s="22" t="n">
        <v>1418</v>
      </c>
      <c r="U48" s="22" t="n">
        <v>1399.5</v>
      </c>
      <c r="V48" s="22" t="n">
        <v>1412.5</v>
      </c>
      <c r="W48" s="22" t="n">
        <v>1403.5</v>
      </c>
      <c r="X48" s="22" t="n">
        <v>1398</v>
      </c>
      <c r="Y48" s="22" t="n">
        <v>1408.5</v>
      </c>
      <c r="Z48" s="22" t="n">
        <v>1399.5</v>
      </c>
      <c r="AA48" s="22" t="n">
        <v>1392</v>
      </c>
      <c r="AB48" s="22" t="n">
        <v>1260</v>
      </c>
      <c r="AC48" s="22" t="n">
        <v>1229.5</v>
      </c>
      <c r="AD48" s="22" t="n">
        <v>1230</v>
      </c>
      <c r="AE48" s="22" t="n">
        <v>1239</v>
      </c>
      <c r="AF48" s="22" t="n">
        <v>1233.5</v>
      </c>
      <c r="AG48" s="22" t="n">
        <v>1222.5</v>
      </c>
      <c r="AH48" s="22" t="n">
        <v>1231</v>
      </c>
      <c r="AI48" s="22" t="n">
        <v>1231</v>
      </c>
      <c r="AJ48" s="22" t="n">
        <v>1265</v>
      </c>
      <c r="AK48" s="22" t="n">
        <v>1351</v>
      </c>
      <c r="AL48" s="22" t="n">
        <v>1286</v>
      </c>
      <c r="AM48" s="22" t="n">
        <v>1290.5</v>
      </c>
      <c r="AN48" s="22" t="n">
        <v>1311.5</v>
      </c>
      <c r="AO48" s="22" t="n">
        <v>1286.5</v>
      </c>
      <c r="AP48" s="22" t="n">
        <v>1260</v>
      </c>
      <c r="AQ48" s="22" t="n">
        <v>1274</v>
      </c>
      <c r="AR48" s="22" t="n">
        <v>1257</v>
      </c>
      <c r="AS48" s="22" t="n">
        <v>1265</v>
      </c>
      <c r="AT48" s="22" t="n">
        <v>1264.5</v>
      </c>
      <c r="AU48" s="22" t="n">
        <v>1268</v>
      </c>
      <c r="AV48" s="22" t="n">
        <v>1288</v>
      </c>
      <c r="AW48" s="22" t="n">
        <v>1298</v>
      </c>
      <c r="AX48" s="22" t="n">
        <v>1280.5</v>
      </c>
      <c r="AY48" s="22" t="n">
        <v>1249</v>
      </c>
      <c r="AZ48" s="22" t="n">
        <v>1253</v>
      </c>
      <c r="BA48" s="22" t="n">
        <v>1273.5</v>
      </c>
      <c r="BB48" s="22" t="n">
        <v>1287</v>
      </c>
      <c r="BC48" s="22" t="n">
        <v>1304</v>
      </c>
      <c r="BD48" s="22" t="n">
        <v>1275.5</v>
      </c>
      <c r="BE48" s="22" t="n">
        <v>1212.5</v>
      </c>
      <c r="BF48" s="22" t="n">
        <v>1296</v>
      </c>
      <c r="BG48" s="22" t="n">
        <v>1277.5</v>
      </c>
      <c r="BH48" s="22" t="n">
        <v>1279</v>
      </c>
      <c r="BI48" s="22" t="n">
        <v>1250.5</v>
      </c>
      <c r="BJ48" s="22" t="n">
        <v>1245.5</v>
      </c>
      <c r="BK48" s="22" t="n">
        <v>1337</v>
      </c>
      <c r="BL48" s="22" t="n">
        <v>1359</v>
      </c>
    </row>
    <row r="49" ht="15.95" customHeight="1" s="574">
      <c r="A49" s="81" t="inlineStr">
        <is>
          <t>5929</t>
        </is>
      </c>
      <c r="B49" s="17" t="inlineStr">
        <is>
          <t>三和ホールディングス</t>
        </is>
      </c>
      <c r="C49" s="655">
        <f>_xll.RssMarket("5929","始値")</f>
        <v/>
      </c>
      <c r="D49" s="656">
        <f>C49-E49</f>
        <v/>
      </c>
      <c r="E49" s="22" t="n">
        <v>3672</v>
      </c>
      <c r="F49" s="22" t="n">
        <v>3703</v>
      </c>
      <c r="G49" s="22" t="n">
        <v>3733</v>
      </c>
      <c r="H49" s="22" t="n">
        <v>3750</v>
      </c>
      <c r="I49" s="22" t="n">
        <v>3747</v>
      </c>
      <c r="J49" s="22" t="n">
        <v>3673</v>
      </c>
      <c r="K49" s="22" t="n">
        <v>3642</v>
      </c>
      <c r="L49" s="22" t="n">
        <v>3644</v>
      </c>
      <c r="M49" s="22" t="n">
        <v>3615</v>
      </c>
      <c r="N49" s="22" t="n">
        <v>3709</v>
      </c>
      <c r="O49" s="22" t="n">
        <v>3549</v>
      </c>
      <c r="P49" s="22" t="n">
        <v>3437</v>
      </c>
      <c r="Q49" s="22" t="n">
        <v>3384</v>
      </c>
      <c r="R49" s="22" t="n">
        <v>3529</v>
      </c>
      <c r="S49" s="22" t="n">
        <v>3525</v>
      </c>
      <c r="T49" s="22" t="n">
        <v>3408</v>
      </c>
      <c r="U49" s="22" t="n">
        <v>3378</v>
      </c>
      <c r="V49" s="22" t="n">
        <v>3306</v>
      </c>
      <c r="W49" s="22" t="n">
        <v>3339</v>
      </c>
      <c r="X49" s="22" t="n">
        <v>3297</v>
      </c>
      <c r="Y49" s="22" t="n">
        <v>3389</v>
      </c>
      <c r="Z49" s="22" t="n">
        <v>3315</v>
      </c>
      <c r="AA49" s="22" t="n">
        <v>3562</v>
      </c>
      <c r="AB49" s="22" t="n">
        <v>3664</v>
      </c>
      <c r="AC49" s="22" t="n">
        <v>3496</v>
      </c>
      <c r="AD49" s="22" t="n">
        <v>3538</v>
      </c>
      <c r="AE49" s="22" t="n">
        <v>3612</v>
      </c>
      <c r="AF49" s="22" t="n">
        <v>3618</v>
      </c>
      <c r="AG49" s="22" t="n">
        <v>3625</v>
      </c>
      <c r="AH49" s="22" t="n">
        <v>3580</v>
      </c>
      <c r="AI49" s="22" t="n">
        <v>3609</v>
      </c>
      <c r="AJ49" s="22" t="n">
        <v>3555</v>
      </c>
      <c r="AK49" s="22" t="n">
        <v>3637</v>
      </c>
      <c r="AL49" s="22" t="n">
        <v>3580</v>
      </c>
      <c r="AM49" s="22" t="n">
        <v>3645</v>
      </c>
      <c r="AN49" s="22" t="n">
        <v>3611</v>
      </c>
      <c r="AO49" s="22" t="n">
        <v>3664</v>
      </c>
      <c r="AP49" s="22" t="n">
        <v>3626</v>
      </c>
      <c r="AQ49" s="22" t="n">
        <v>3659</v>
      </c>
      <c r="AR49" s="22" t="n">
        <v>3636</v>
      </c>
      <c r="AS49" s="22" t="n">
        <v>3724</v>
      </c>
      <c r="AT49" s="22" t="n">
        <v>3763</v>
      </c>
      <c r="AU49" s="22" t="n">
        <v>3751</v>
      </c>
      <c r="AV49" s="22" t="n">
        <v>3675</v>
      </c>
      <c r="AW49" s="22" t="n">
        <v>3740</v>
      </c>
      <c r="AX49" s="22" t="n">
        <v>3767</v>
      </c>
      <c r="AY49" s="22" t="n">
        <v>3728</v>
      </c>
      <c r="AZ49" s="22" t="n">
        <v>3570</v>
      </c>
      <c r="BA49" s="22" t="n">
        <v>3558</v>
      </c>
      <c r="BB49" s="22" t="n">
        <v>3550</v>
      </c>
      <c r="BC49" s="22" t="n">
        <v>3681</v>
      </c>
      <c r="BD49" s="22" t="n">
        <v>3637</v>
      </c>
      <c r="BE49" s="22" t="n">
        <v>3510</v>
      </c>
      <c r="BF49" s="22" t="n">
        <v>3535</v>
      </c>
      <c r="BG49" s="22" t="n">
        <v>3685</v>
      </c>
      <c r="BH49" s="22" t="n">
        <v>3690</v>
      </c>
      <c r="BI49" s="22" t="n">
        <v>3691</v>
      </c>
      <c r="BJ49" s="22" t="n">
        <v>3597</v>
      </c>
      <c r="BK49" s="22" t="n">
        <v>3520</v>
      </c>
      <c r="BL49" s="22" t="n">
        <v>3654</v>
      </c>
    </row>
    <row r="50" ht="15.95" customHeight="1" s="574">
      <c r="A50" s="81" t="inlineStr">
        <is>
          <t>8316</t>
        </is>
      </c>
      <c r="B50" s="17" t="inlineStr">
        <is>
          <t>三井住友フィナンシャルＧ</t>
        </is>
      </c>
      <c r="C50" s="655">
        <f>_xll.RssMarket("8316","始値")</f>
        <v/>
      </c>
      <c r="D50" s="656">
        <f>C50-E50</f>
        <v/>
      </c>
      <c r="E50" s="22" t="n">
        <v>6471</v>
      </c>
      <c r="F50" s="22" t="n">
        <v>6702</v>
      </c>
      <c r="G50" s="22" t="n">
        <v>6600</v>
      </c>
      <c r="H50" s="22" t="n">
        <v>6544</v>
      </c>
      <c r="I50" s="22" t="n">
        <v>6455</v>
      </c>
      <c r="J50" s="22" t="n">
        <v>6506</v>
      </c>
      <c r="K50" s="22" t="n">
        <v>6350</v>
      </c>
      <c r="L50" s="22" t="n">
        <v>6127</v>
      </c>
      <c r="M50" s="22" t="n">
        <v>6258</v>
      </c>
      <c r="N50" s="22" t="n">
        <v>6136</v>
      </c>
      <c r="O50" s="22" t="n">
        <v>6284</v>
      </c>
      <c r="P50" s="22" t="n">
        <v>6116</v>
      </c>
      <c r="Q50" s="22" t="n">
        <v>6040</v>
      </c>
      <c r="R50" s="22" t="n">
        <v>5880</v>
      </c>
      <c r="S50" s="22" t="n">
        <v>5850</v>
      </c>
      <c r="T50" s="22" t="n">
        <v>5914</v>
      </c>
      <c r="U50" s="22" t="n">
        <v>6017</v>
      </c>
      <c r="V50" s="22" t="n">
        <v>6010</v>
      </c>
      <c r="W50" s="22" t="n">
        <v>6045</v>
      </c>
      <c r="X50" s="22" t="n">
        <v>6050</v>
      </c>
      <c r="Y50" s="22" t="n">
        <v>6088</v>
      </c>
      <c r="Z50" s="22" t="n">
        <v>5895</v>
      </c>
      <c r="AA50" s="22" t="n">
        <v>5758</v>
      </c>
      <c r="AB50" s="22" t="n">
        <v>5748</v>
      </c>
      <c r="AC50" s="22" t="n">
        <v>5735</v>
      </c>
      <c r="AD50" s="22" t="n">
        <v>5835</v>
      </c>
      <c r="AE50" s="22" t="n">
        <v>5750</v>
      </c>
      <c r="AF50" s="22" t="n">
        <v>5600</v>
      </c>
      <c r="AG50" s="22" t="n">
        <v>5589</v>
      </c>
      <c r="AH50" s="22" t="n">
        <v>5650</v>
      </c>
      <c r="AI50" s="22" t="n">
        <v>5512</v>
      </c>
      <c r="AJ50" s="22" t="n">
        <v>5609</v>
      </c>
      <c r="AK50" s="22" t="n">
        <v>5470</v>
      </c>
      <c r="AL50" s="22" t="n">
        <v>5313</v>
      </c>
      <c r="AM50" s="22" t="n">
        <v>5383</v>
      </c>
      <c r="AN50" s="22" t="n">
        <v>5404</v>
      </c>
      <c r="AO50" s="22" t="n">
        <v>5468</v>
      </c>
      <c r="AP50" s="22" t="n">
        <v>5590</v>
      </c>
      <c r="AQ50" s="22" t="n">
        <v>5623</v>
      </c>
      <c r="AR50" s="22" t="n">
        <v>5660</v>
      </c>
      <c r="AS50" s="22" t="n">
        <v>5690</v>
      </c>
      <c r="AT50" s="22" t="n">
        <v>5615</v>
      </c>
      <c r="AU50" s="22" t="n">
        <v>5625</v>
      </c>
      <c r="AV50" s="22" t="n">
        <v>5550</v>
      </c>
      <c r="AW50" s="22" t="n">
        <v>5552</v>
      </c>
      <c r="AX50" s="22" t="n">
        <v>5639</v>
      </c>
      <c r="AY50" s="22" t="n">
        <v>5700</v>
      </c>
      <c r="AZ50" s="22" t="n">
        <v>5412</v>
      </c>
      <c r="BA50" s="22" t="n">
        <v>5392</v>
      </c>
      <c r="BB50" s="22" t="n">
        <v>5436</v>
      </c>
      <c r="BC50" s="22" t="n">
        <v>5555</v>
      </c>
      <c r="BD50" s="22" t="n">
        <v>5281</v>
      </c>
      <c r="BE50" s="22" t="n">
        <v>4955</v>
      </c>
      <c r="BF50" s="22" t="n">
        <v>4967</v>
      </c>
      <c r="BG50" s="22" t="n">
        <v>5189</v>
      </c>
      <c r="BH50" s="22" t="n">
        <v>5330</v>
      </c>
      <c r="BI50" s="22" t="n">
        <v>5300</v>
      </c>
      <c r="BJ50" s="22" t="n">
        <v>5122</v>
      </c>
      <c r="BK50" s="22" t="n">
        <v>5000</v>
      </c>
      <c r="BL50" s="22" t="n">
        <v>5188</v>
      </c>
    </row>
    <row r="51" ht="15.95" customHeight="1" s="574">
      <c r="A51" s="81" t="inlineStr">
        <is>
          <t>5449</t>
        </is>
      </c>
      <c r="B51" s="17" t="inlineStr">
        <is>
          <t>大阪製鐵</t>
        </is>
      </c>
      <c r="C51" s="655">
        <f>_xll.RssMarket("5449","始値")</f>
        <v/>
      </c>
      <c r="D51" s="656">
        <f>C51-E51</f>
        <v/>
      </c>
      <c r="E51" s="22" t="n">
        <v>2308</v>
      </c>
      <c r="F51" s="22" t="n">
        <v>2314</v>
      </c>
      <c r="G51" s="22" t="n">
        <v>2254</v>
      </c>
      <c r="H51" s="22" t="n">
        <v>2380</v>
      </c>
      <c r="I51" s="22" t="n">
        <v>2399</v>
      </c>
      <c r="J51" s="22" t="n">
        <v>2369</v>
      </c>
      <c r="K51" s="22" t="n">
        <v>2330</v>
      </c>
      <c r="L51" s="22" t="n">
        <v>2300</v>
      </c>
      <c r="M51" s="22" t="n">
        <v>2325</v>
      </c>
      <c r="N51" s="22" t="n">
        <v>2260</v>
      </c>
      <c r="O51" s="22" t="n">
        <v>2336</v>
      </c>
      <c r="P51" s="22" t="n">
        <v>2355</v>
      </c>
      <c r="Q51" s="22" t="n">
        <v>2321</v>
      </c>
      <c r="R51" s="22" t="n">
        <v>2334</v>
      </c>
      <c r="S51" s="22" t="n">
        <v>2585</v>
      </c>
      <c r="T51" s="22" t="n">
        <v>2643</v>
      </c>
      <c r="U51" s="22" t="n">
        <v>2579</v>
      </c>
      <c r="V51" s="22" t="n">
        <v>2381</v>
      </c>
      <c r="W51" s="22" t="n">
        <v>2352</v>
      </c>
      <c r="X51" s="22" t="n">
        <v>2322</v>
      </c>
      <c r="Y51" s="22" t="n">
        <v>2245</v>
      </c>
      <c r="Z51" s="22" t="n">
        <v>2250</v>
      </c>
      <c r="AA51" s="22" t="n">
        <v>2325</v>
      </c>
      <c r="AB51" s="22" t="n">
        <v>2393</v>
      </c>
      <c r="AC51" s="22" t="n">
        <v>2321</v>
      </c>
      <c r="AD51" s="22" t="n">
        <v>2379</v>
      </c>
      <c r="AE51" s="22" t="n">
        <v>2597</v>
      </c>
      <c r="AF51" s="22" t="n">
        <v>2521</v>
      </c>
      <c r="AG51" s="22" t="n">
        <v>2607</v>
      </c>
      <c r="AH51" s="22" t="n">
        <v>2518</v>
      </c>
      <c r="AI51" s="22" t="n">
        <v>2464</v>
      </c>
      <c r="AJ51" s="22" t="n">
        <v>2469</v>
      </c>
      <c r="AK51" s="22" t="n">
        <v>2368</v>
      </c>
      <c r="AL51" s="22" t="n">
        <v>2345</v>
      </c>
      <c r="AM51" s="22" t="n">
        <v>2300</v>
      </c>
      <c r="AN51" s="22" t="n">
        <v>2355</v>
      </c>
      <c r="AO51" s="22" t="n">
        <v>2410</v>
      </c>
      <c r="AP51" s="22" t="n">
        <v>2453</v>
      </c>
      <c r="AQ51" s="22" t="n">
        <v>2435</v>
      </c>
      <c r="AR51" s="22" t="n">
        <v>2411</v>
      </c>
      <c r="AS51" s="22" t="n">
        <v>2440</v>
      </c>
      <c r="AT51" s="22" t="n">
        <v>2474</v>
      </c>
      <c r="AU51" s="22" t="n">
        <v>2390</v>
      </c>
      <c r="AV51" s="22" t="n">
        <v>2459</v>
      </c>
      <c r="AW51" s="22" t="n">
        <v>2648</v>
      </c>
      <c r="AX51" s="22" t="n">
        <v>2715</v>
      </c>
      <c r="AY51" s="22" t="n">
        <v>2700</v>
      </c>
      <c r="AZ51" s="22" t="n">
        <v>2695</v>
      </c>
      <c r="BA51" s="22" t="n">
        <v>2695</v>
      </c>
      <c r="BB51" s="22" t="n">
        <v>2708</v>
      </c>
      <c r="BC51" s="22" t="n">
        <v>2725</v>
      </c>
      <c r="BD51" s="22" t="n">
        <v>2750</v>
      </c>
      <c r="BE51" s="22" t="n">
        <v>2705</v>
      </c>
      <c r="BF51" s="22" t="n">
        <v>2710</v>
      </c>
      <c r="BG51" s="22" t="n">
        <v>2706</v>
      </c>
      <c r="BH51" s="22" t="n">
        <v>2687</v>
      </c>
      <c r="BI51" s="22" t="n">
        <v>2744</v>
      </c>
      <c r="BJ51" s="22" t="n">
        <v>2667</v>
      </c>
      <c r="BK51" s="22" t="n">
        <v>2685</v>
      </c>
      <c r="BL51" s="22" t="n">
        <v>2690</v>
      </c>
    </row>
    <row r="52" ht="15.95" customHeight="1" s="574">
      <c r="A52" s="81" t="inlineStr">
        <is>
          <t>8766</t>
        </is>
      </c>
      <c r="B52" s="17" t="inlineStr">
        <is>
          <t>東京海上ＨＤ</t>
        </is>
      </c>
      <c r="C52" s="655">
        <f>_xll.RssMarket("8766","始値")</f>
        <v/>
      </c>
      <c r="D52" s="656">
        <f>C52-E52</f>
        <v/>
      </c>
      <c r="E52" s="22" t="n">
        <v>7140</v>
      </c>
      <c r="F52" s="22" t="n">
        <v>7234</v>
      </c>
      <c r="G52" s="22" t="n">
        <v>7320</v>
      </c>
      <c r="H52" s="22" t="n">
        <v>7408</v>
      </c>
      <c r="I52" s="22" t="n">
        <v>7217</v>
      </c>
      <c r="J52" s="22" t="n">
        <v>7256</v>
      </c>
      <c r="K52" s="22" t="n">
        <v>7348</v>
      </c>
      <c r="L52" s="22" t="n">
        <v>7450</v>
      </c>
      <c r="M52" s="22" t="n">
        <v>7493</v>
      </c>
      <c r="N52" s="22" t="n">
        <v>6955</v>
      </c>
      <c r="O52" s="22" t="n">
        <v>6996</v>
      </c>
      <c r="P52" s="22" t="n">
        <v>6961</v>
      </c>
      <c r="Q52" s="22" t="n">
        <v>7114</v>
      </c>
      <c r="R52" s="22" t="n">
        <v>7059</v>
      </c>
      <c r="S52" s="22" t="n">
        <v>7116</v>
      </c>
      <c r="T52" s="22" t="n">
        <v>7217</v>
      </c>
      <c r="U52" s="22" t="n">
        <v>7367</v>
      </c>
      <c r="V52" s="22" t="n">
        <v>7465</v>
      </c>
      <c r="W52" s="22" t="n">
        <v>7568</v>
      </c>
      <c r="X52" s="22" t="n">
        <v>7800</v>
      </c>
      <c r="Y52" s="22" t="n">
        <v>8010</v>
      </c>
      <c r="Z52" s="22" t="n">
        <v>7800</v>
      </c>
      <c r="AA52" s="22" t="n">
        <v>7706</v>
      </c>
      <c r="AB52" s="22" t="n">
        <v>7593</v>
      </c>
      <c r="AC52" s="22" t="n">
        <v>7369</v>
      </c>
      <c r="AD52" s="22" t="n">
        <v>7151</v>
      </c>
      <c r="AE52" s="22" t="n">
        <v>7200</v>
      </c>
      <c r="AF52" s="22" t="n">
        <v>6980</v>
      </c>
      <c r="AG52" s="22" t="n">
        <v>7163</v>
      </c>
      <c r="AH52" s="22" t="n">
        <v>7219</v>
      </c>
      <c r="AI52" s="22" t="n">
        <v>7123</v>
      </c>
      <c r="AJ52" s="22" t="n">
        <v>7300</v>
      </c>
      <c r="AK52" s="22" t="n">
        <v>7282</v>
      </c>
      <c r="AL52" s="22" t="n">
        <v>7180</v>
      </c>
      <c r="AM52" s="22" t="n">
        <v>7139</v>
      </c>
      <c r="AN52" s="22" t="n">
        <v>6988</v>
      </c>
      <c r="AO52" s="22" t="n">
        <v>7244</v>
      </c>
      <c r="AP52" s="22" t="n">
        <v>7264</v>
      </c>
      <c r="AQ52" s="22" t="n">
        <v>7033</v>
      </c>
      <c r="AR52" s="22" t="n">
        <v>6988</v>
      </c>
      <c r="AS52" s="22" t="n">
        <v>6901</v>
      </c>
      <c r="AT52" s="22" t="n">
        <v>6950</v>
      </c>
      <c r="AU52" s="22" t="n">
        <v>7055</v>
      </c>
      <c r="AV52" s="22" t="n">
        <v>7071</v>
      </c>
      <c r="AW52" s="22" t="n">
        <v>7200</v>
      </c>
      <c r="AX52" s="22" t="n">
        <v>7285</v>
      </c>
      <c r="AY52" s="22" t="n">
        <v>7577</v>
      </c>
      <c r="AZ52" s="22" t="n">
        <v>7377</v>
      </c>
      <c r="BA52" s="22" t="n">
        <v>7307</v>
      </c>
      <c r="BB52" s="22" t="n">
        <v>7290</v>
      </c>
      <c r="BC52" s="22" t="n">
        <v>7452</v>
      </c>
      <c r="BD52" s="22" t="n">
        <v>7453</v>
      </c>
      <c r="BE52" s="22" t="n">
        <v>7322</v>
      </c>
      <c r="BF52" s="22" t="n">
        <v>7256</v>
      </c>
      <c r="BG52" s="22" t="n">
        <v>7509</v>
      </c>
      <c r="BH52" s="22" t="n">
        <v>7642</v>
      </c>
      <c r="BI52" s="22" t="n">
        <v>7507</v>
      </c>
      <c r="BJ52" s="22" t="n">
        <v>6857</v>
      </c>
      <c r="BK52" s="22" t="n">
        <v>5880</v>
      </c>
      <c r="BL52" s="22" t="n">
        <v>5971</v>
      </c>
    </row>
    <row r="53" ht="15.95" customHeight="1" s="574">
      <c r="A53" s="81" t="inlineStr">
        <is>
          <t>5201</t>
        </is>
      </c>
      <c r="B53" s="17" t="inlineStr">
        <is>
          <t>ＡＧＣ</t>
        </is>
      </c>
      <c r="C53" s="655">
        <f>_xll.RssMarket("5201","始値")</f>
        <v/>
      </c>
      <c r="D53" s="656">
        <f>C53-E53</f>
        <v/>
      </c>
      <c r="E53" s="22" t="n">
        <v>7549</v>
      </c>
      <c r="F53" s="22" t="n">
        <v>7670</v>
      </c>
      <c r="G53" s="22" t="n">
        <v>7422</v>
      </c>
      <c r="H53" s="22" t="n">
        <v>7224</v>
      </c>
      <c r="I53" s="22" t="n">
        <v>7500</v>
      </c>
      <c r="J53" s="22" t="n">
        <v>7210</v>
      </c>
      <c r="K53" s="22" t="n">
        <v>7102</v>
      </c>
      <c r="L53" s="22" t="n">
        <v>6641</v>
      </c>
      <c r="M53" s="22" t="n">
        <v>7121</v>
      </c>
      <c r="N53" s="22" t="n">
        <v>7285</v>
      </c>
      <c r="O53" s="22" t="n">
        <v>8000</v>
      </c>
      <c r="P53" s="22" t="n">
        <v>8087</v>
      </c>
      <c r="Q53" s="22" t="n">
        <v>7720</v>
      </c>
      <c r="R53" s="22" t="n">
        <v>7098</v>
      </c>
      <c r="S53" s="22" t="n">
        <v>6893</v>
      </c>
      <c r="T53" s="22" t="n">
        <v>6968</v>
      </c>
      <c r="U53" s="22" t="n">
        <v>7218</v>
      </c>
      <c r="V53" s="22" t="n">
        <v>6504</v>
      </c>
      <c r="W53" s="22" t="n">
        <v>6227</v>
      </c>
      <c r="X53" s="22" t="n">
        <v>6149</v>
      </c>
      <c r="Y53" s="22" t="n">
        <v>6215</v>
      </c>
      <c r="Z53" s="22" t="n">
        <v>6279</v>
      </c>
      <c r="AA53" s="22" t="n">
        <v>6000</v>
      </c>
      <c r="AB53" s="22" t="n">
        <v>6061</v>
      </c>
      <c r="AC53" s="22" t="n">
        <v>5964</v>
      </c>
      <c r="AD53" s="22" t="n">
        <v>5661</v>
      </c>
      <c r="AE53" s="22" t="n">
        <v>5600</v>
      </c>
      <c r="AF53" s="22" t="n">
        <v>5652</v>
      </c>
      <c r="AG53" s="22" t="n">
        <v>5628</v>
      </c>
      <c r="AH53" s="22" t="n">
        <v>5561</v>
      </c>
      <c r="AI53" s="22" t="n">
        <v>5654</v>
      </c>
      <c r="AJ53" s="22" t="n">
        <v>5747</v>
      </c>
      <c r="AK53" s="22" t="n">
        <v>5629</v>
      </c>
      <c r="AL53" s="22" t="n">
        <v>5697</v>
      </c>
      <c r="AM53" s="22" t="n">
        <v>5632</v>
      </c>
      <c r="AN53" s="22" t="n">
        <v>5769</v>
      </c>
      <c r="AO53" s="22" t="n">
        <v>5768</v>
      </c>
      <c r="AP53" s="22" t="n">
        <v>5796</v>
      </c>
      <c r="AQ53" s="22" t="n">
        <v>5703</v>
      </c>
      <c r="AR53" s="22" t="n">
        <v>5676</v>
      </c>
      <c r="AS53" s="22" t="n">
        <v>5645</v>
      </c>
      <c r="AT53" s="22" t="n">
        <v>5782</v>
      </c>
      <c r="AU53" s="22" t="n">
        <v>5750</v>
      </c>
      <c r="AV53" s="22" t="n">
        <v>5872</v>
      </c>
      <c r="AW53" s="22" t="n">
        <v>5975</v>
      </c>
      <c r="AX53" s="22" t="n">
        <v>5853</v>
      </c>
      <c r="AY53" s="22" t="n">
        <v>5605</v>
      </c>
      <c r="AZ53" s="22" t="n">
        <v>5601</v>
      </c>
      <c r="BA53" s="22" t="n">
        <v>5644</v>
      </c>
      <c r="BB53" s="22" t="n">
        <v>5800</v>
      </c>
      <c r="BC53" s="22" t="n">
        <v>5659</v>
      </c>
      <c r="BD53" s="22" t="n">
        <v>5371</v>
      </c>
      <c r="BE53" s="22" t="n">
        <v>5300</v>
      </c>
      <c r="BF53" s="22" t="n">
        <v>5540</v>
      </c>
      <c r="BG53" s="22" t="n">
        <v>5690</v>
      </c>
      <c r="BH53" s="22" t="n">
        <v>5594</v>
      </c>
      <c r="BI53" s="22" t="n">
        <v>5480</v>
      </c>
      <c r="BJ53" s="22" t="n">
        <v>5443</v>
      </c>
      <c r="BK53" s="22" t="n">
        <v>5652</v>
      </c>
      <c r="BL53" s="22" t="n">
        <v>5664</v>
      </c>
    </row>
    <row r="54" ht="15.95" customHeight="1" s="574">
      <c r="A54" s="81" t="inlineStr">
        <is>
          <t>8630</t>
        </is>
      </c>
      <c r="B54" s="17" t="inlineStr">
        <is>
          <t>ＳＯＭＰＯホールディングス</t>
        </is>
      </c>
      <c r="C54" s="655">
        <f>_xll.RssMarket("8630","始値")</f>
        <v/>
      </c>
      <c r="D54" s="656">
        <f>C54-E54</f>
        <v/>
      </c>
      <c r="E54" s="22" t="n">
        <v>6242</v>
      </c>
      <c r="F54" s="22" t="n">
        <v>6329</v>
      </c>
      <c r="G54" s="22" t="n">
        <v>6270</v>
      </c>
      <c r="H54" s="22" t="n">
        <v>6330</v>
      </c>
      <c r="I54" s="22" t="n">
        <v>6268</v>
      </c>
      <c r="J54" s="22" t="n">
        <v>6172</v>
      </c>
      <c r="K54" s="22" t="n">
        <v>6074</v>
      </c>
      <c r="L54" s="22" t="n">
        <v>6183</v>
      </c>
      <c r="M54" s="22" t="n">
        <v>6300</v>
      </c>
      <c r="N54" s="22" t="n">
        <v>5925</v>
      </c>
      <c r="O54" s="22" t="n">
        <v>5874</v>
      </c>
      <c r="P54" s="22" t="n">
        <v>5829</v>
      </c>
      <c r="Q54" s="22" t="n">
        <v>5870</v>
      </c>
      <c r="R54" s="22" t="n">
        <v>5959</v>
      </c>
      <c r="S54" s="22" t="n">
        <v>5810</v>
      </c>
      <c r="T54" s="22" t="n">
        <v>5930</v>
      </c>
      <c r="U54" s="22" t="n">
        <v>5893</v>
      </c>
      <c r="V54" s="22" t="n">
        <v>5600</v>
      </c>
      <c r="W54" s="22" t="n">
        <v>5569</v>
      </c>
      <c r="X54" s="22" t="n">
        <v>5838</v>
      </c>
      <c r="Y54" s="22" t="n">
        <v>6400</v>
      </c>
      <c r="Z54" s="22" t="n">
        <v>6298</v>
      </c>
      <c r="AA54" s="22" t="n">
        <v>6146</v>
      </c>
      <c r="AB54" s="22" t="n">
        <v>6073</v>
      </c>
      <c r="AC54" s="22" t="n">
        <v>6041</v>
      </c>
      <c r="AD54" s="22" t="n">
        <v>5982</v>
      </c>
      <c r="AE54" s="22" t="n">
        <v>5854</v>
      </c>
      <c r="AF54" s="22" t="n">
        <v>5706</v>
      </c>
      <c r="AG54" s="22" t="n">
        <v>5882</v>
      </c>
      <c r="AH54" s="22" t="n">
        <v>5905</v>
      </c>
      <c r="AI54" s="22" t="n">
        <v>5710</v>
      </c>
      <c r="AJ54" s="22" t="n">
        <v>5791</v>
      </c>
      <c r="AK54" s="22" t="n">
        <v>5772</v>
      </c>
      <c r="AL54" s="22" t="n">
        <v>5737</v>
      </c>
      <c r="AM54" s="22" t="n">
        <v>5890</v>
      </c>
      <c r="AN54" s="22" t="n">
        <v>5792</v>
      </c>
      <c r="AO54" s="22" t="n">
        <v>5909</v>
      </c>
      <c r="AP54" s="22" t="n">
        <v>5936</v>
      </c>
      <c r="AQ54" s="22" t="n">
        <v>5937</v>
      </c>
      <c r="AR54" s="22" t="n">
        <v>5981</v>
      </c>
      <c r="AS54" s="22" t="n">
        <v>5969</v>
      </c>
      <c r="AT54" s="22" t="n">
        <v>5988</v>
      </c>
      <c r="AU54" s="22" t="n">
        <v>6015</v>
      </c>
      <c r="AV54" s="22" t="n">
        <v>5922</v>
      </c>
      <c r="AW54" s="22" t="n">
        <v>6037</v>
      </c>
      <c r="AX54" s="22" t="n">
        <v>6080</v>
      </c>
      <c r="AY54" s="22" t="n">
        <v>6296</v>
      </c>
      <c r="AZ54" s="22" t="n">
        <v>6070</v>
      </c>
      <c r="BA54" s="22" t="n">
        <v>6047</v>
      </c>
      <c r="BB54" s="22" t="n">
        <v>6070</v>
      </c>
      <c r="BC54" s="22" t="n">
        <v>6203</v>
      </c>
      <c r="BD54" s="22" t="n">
        <v>6192</v>
      </c>
      <c r="BE54" s="22" t="n">
        <v>6058</v>
      </c>
      <c r="BF54" s="22" t="n">
        <v>5868</v>
      </c>
      <c r="BG54" s="22" t="n">
        <v>6099</v>
      </c>
      <c r="BH54" s="22" t="n">
        <v>6055</v>
      </c>
      <c r="BI54" s="22" t="n">
        <v>5955</v>
      </c>
      <c r="BJ54" s="22" t="n">
        <v>5874</v>
      </c>
      <c r="BK54" s="22" t="n">
        <v>5676</v>
      </c>
      <c r="BL54" s="22" t="n">
        <v>5799</v>
      </c>
    </row>
    <row r="55" ht="15.95" customHeight="1" s="574">
      <c r="A55" s="81" t="inlineStr">
        <is>
          <t>5901</t>
        </is>
      </c>
      <c r="B55" s="17" t="inlineStr">
        <is>
          <t>東洋製罐グループＨＤ</t>
        </is>
      </c>
      <c r="C55" s="655">
        <f>_xll.RssMarket("5901","始値")</f>
        <v/>
      </c>
      <c r="D55" s="656">
        <f>C55-E55</f>
        <v/>
      </c>
      <c r="E55" s="22" t="n">
        <v>4090</v>
      </c>
      <c r="F55" s="22" t="n">
        <v>4000</v>
      </c>
      <c r="G55" s="22" t="n">
        <v>4076</v>
      </c>
      <c r="H55" s="22" t="n">
        <v>4004</v>
      </c>
      <c r="I55" s="22" t="n">
        <v>3979</v>
      </c>
      <c r="J55" s="22" t="n">
        <v>3990</v>
      </c>
      <c r="K55" s="22" t="n">
        <v>3883</v>
      </c>
      <c r="L55" s="22" t="n">
        <v>3815</v>
      </c>
      <c r="M55" s="22" t="n">
        <v>3820</v>
      </c>
      <c r="N55" s="22" t="n">
        <v>3912</v>
      </c>
      <c r="O55" s="22" t="n">
        <v>3777</v>
      </c>
      <c r="P55" s="22" t="n">
        <v>3850</v>
      </c>
      <c r="Q55" s="22" t="n">
        <v>3778</v>
      </c>
      <c r="R55" s="22" t="n">
        <v>3867</v>
      </c>
      <c r="S55" s="22" t="n">
        <v>3910</v>
      </c>
      <c r="T55" s="22" t="n">
        <v>3938</v>
      </c>
      <c r="U55" s="22" t="n">
        <v>3931</v>
      </c>
      <c r="V55" s="22" t="n">
        <v>4001</v>
      </c>
      <c r="W55" s="22" t="n">
        <v>4369</v>
      </c>
      <c r="X55" s="22" t="n">
        <v>4128</v>
      </c>
      <c r="Y55" s="22" t="n">
        <v>4073</v>
      </c>
      <c r="Z55" s="22" t="n">
        <v>3889</v>
      </c>
      <c r="AA55" s="22" t="n">
        <v>3776</v>
      </c>
      <c r="AB55" s="22" t="n">
        <v>3542</v>
      </c>
      <c r="AC55" s="22" t="n">
        <v>3448</v>
      </c>
      <c r="AD55" s="22" t="n">
        <v>3371</v>
      </c>
      <c r="AE55" s="22" t="n">
        <v>3418</v>
      </c>
      <c r="AF55" s="22" t="n">
        <v>3531</v>
      </c>
      <c r="AG55" s="22" t="n">
        <v>3563</v>
      </c>
      <c r="AH55" s="22" t="n">
        <v>3438</v>
      </c>
      <c r="AI55" s="22" t="n">
        <v>3335</v>
      </c>
      <c r="AJ55" s="22" t="n">
        <v>3137</v>
      </c>
      <c r="AK55" s="22" t="n">
        <v>3186</v>
      </c>
      <c r="AL55" s="22" t="n">
        <v>3196</v>
      </c>
      <c r="AM55" s="22" t="n">
        <v>3230</v>
      </c>
      <c r="AN55" s="22" t="n">
        <v>3244</v>
      </c>
      <c r="AO55" s="22" t="n">
        <v>3373</v>
      </c>
      <c r="AP55" s="22" t="n">
        <v>3372</v>
      </c>
      <c r="AQ55" s="22" t="n">
        <v>3386</v>
      </c>
      <c r="AR55" s="22" t="n">
        <v>3380</v>
      </c>
      <c r="AS55" s="22" t="n">
        <v>3426</v>
      </c>
      <c r="AT55" s="22" t="n">
        <v>3370</v>
      </c>
      <c r="AU55" s="22" t="n">
        <v>3431</v>
      </c>
      <c r="AV55" s="22" t="n">
        <v>3446</v>
      </c>
      <c r="AW55" s="22" t="n">
        <v>3474</v>
      </c>
      <c r="AX55" s="22" t="n">
        <v>3588</v>
      </c>
      <c r="AY55" s="22" t="n">
        <v>3528</v>
      </c>
      <c r="AZ55" s="22" t="n">
        <v>3442</v>
      </c>
      <c r="BA55" s="22" t="n">
        <v>3474</v>
      </c>
      <c r="BB55" s="22" t="n">
        <v>3523</v>
      </c>
      <c r="BC55" s="22" t="n">
        <v>3658</v>
      </c>
      <c r="BD55" s="22" t="n">
        <v>3607</v>
      </c>
      <c r="BE55" s="22" t="n">
        <v>3500</v>
      </c>
      <c r="BF55" s="22" t="n">
        <v>3459</v>
      </c>
      <c r="BG55" s="22" t="n">
        <v>3655</v>
      </c>
      <c r="BH55" s="22" t="n">
        <v>3727</v>
      </c>
      <c r="BI55" s="22" t="n">
        <v>3709</v>
      </c>
      <c r="BJ55" s="22" t="n">
        <v>3638</v>
      </c>
      <c r="BK55" s="22" t="n">
        <v>3600</v>
      </c>
      <c r="BL55" s="22" t="n">
        <v>3812</v>
      </c>
    </row>
    <row r="56" ht="15.95" customHeight="1" s="574">
      <c r="A56" s="81" t="inlineStr">
        <is>
          <t>9412</t>
        </is>
      </c>
      <c r="B56" s="17" t="inlineStr">
        <is>
          <t>スカパーＪＳＡＴ</t>
        </is>
      </c>
      <c r="C56" s="655">
        <f>_xll.RssMarket("9412","始値")</f>
        <v/>
      </c>
      <c r="D56" s="656">
        <f>C56-E56</f>
        <v/>
      </c>
      <c r="E56" s="22" t="n">
        <v>3130</v>
      </c>
      <c r="F56" s="22" t="n">
        <v>3215</v>
      </c>
      <c r="G56" s="22" t="n">
        <v>3350</v>
      </c>
      <c r="H56" s="22" t="n">
        <v>3300</v>
      </c>
      <c r="I56" s="22" t="n">
        <v>3315</v>
      </c>
      <c r="J56" s="22" t="n">
        <v>3415</v>
      </c>
      <c r="K56" s="22" t="n">
        <v>3450</v>
      </c>
      <c r="L56" s="22" t="n">
        <v>3100</v>
      </c>
      <c r="M56" s="22" t="n">
        <v>3200</v>
      </c>
      <c r="N56" s="22" t="n">
        <v>3350</v>
      </c>
      <c r="O56" s="22" t="n">
        <v>3555</v>
      </c>
      <c r="P56" s="22" t="n">
        <v>3350</v>
      </c>
      <c r="Q56" s="22" t="n">
        <v>3710</v>
      </c>
      <c r="R56" s="22" t="n">
        <v>3890</v>
      </c>
      <c r="S56" s="22" t="n">
        <v>4600</v>
      </c>
      <c r="T56" s="22" t="n">
        <v>4285</v>
      </c>
      <c r="U56" s="22" t="n">
        <v>4625</v>
      </c>
      <c r="V56" s="22" t="n">
        <v>4400</v>
      </c>
      <c r="W56" s="22" t="n">
        <v>4100</v>
      </c>
      <c r="X56" s="22" t="n">
        <v>4235</v>
      </c>
      <c r="Y56" s="22" t="n">
        <v>3975</v>
      </c>
      <c r="Z56" s="22" t="n">
        <v>4100</v>
      </c>
      <c r="AA56" s="22" t="n">
        <v>4230</v>
      </c>
      <c r="AB56" s="22" t="n">
        <v>4305</v>
      </c>
      <c r="AC56" s="22" t="n">
        <v>4205</v>
      </c>
      <c r="AD56" s="22" t="n">
        <v>3895</v>
      </c>
      <c r="AE56" s="22" t="n">
        <v>3805</v>
      </c>
      <c r="AF56" s="22" t="n">
        <v>3800</v>
      </c>
      <c r="AG56" s="22" t="n">
        <v>3530</v>
      </c>
      <c r="AH56" s="22" t="n">
        <v>3605</v>
      </c>
      <c r="AI56" s="22" t="n">
        <v>3500</v>
      </c>
      <c r="AJ56" s="22" t="n">
        <v>3420</v>
      </c>
      <c r="AK56" s="22" t="n">
        <v>3160</v>
      </c>
      <c r="AL56" s="22" t="n">
        <v>3215</v>
      </c>
      <c r="AM56" s="22" t="n">
        <v>3170</v>
      </c>
      <c r="AN56" s="22" t="n">
        <v>3125</v>
      </c>
      <c r="AO56" s="22" t="n">
        <v>3335</v>
      </c>
      <c r="AP56" s="22" t="n">
        <v>3350</v>
      </c>
      <c r="AQ56" s="22" t="n">
        <v>3300</v>
      </c>
      <c r="AR56" s="22" t="n">
        <v>3250</v>
      </c>
      <c r="AS56" s="22" t="n">
        <v>3190</v>
      </c>
      <c r="AT56" s="22" t="n">
        <v>3205</v>
      </c>
      <c r="AU56" s="22" t="n">
        <v>3055</v>
      </c>
      <c r="AV56" s="22" t="n">
        <v>2990</v>
      </c>
      <c r="AW56" s="22" t="n">
        <v>3150</v>
      </c>
      <c r="AX56" s="22" t="n">
        <v>3160</v>
      </c>
      <c r="AY56" s="22" t="n">
        <v>3160</v>
      </c>
      <c r="AZ56" s="22" t="n">
        <v>3095</v>
      </c>
      <c r="BA56" s="22" t="n">
        <v>3015</v>
      </c>
      <c r="BB56" s="22" t="n">
        <v>3080</v>
      </c>
      <c r="BC56" s="22" t="n">
        <v>3020</v>
      </c>
      <c r="BD56" s="22" t="n">
        <v>3045</v>
      </c>
      <c r="BE56" s="22" t="n">
        <v>2870</v>
      </c>
      <c r="BF56" s="22" t="n">
        <v>2890</v>
      </c>
      <c r="BG56" s="22" t="n">
        <v>3000</v>
      </c>
      <c r="BH56" s="22" t="n">
        <v>3070</v>
      </c>
      <c r="BI56" s="22" t="n">
        <v>2950</v>
      </c>
      <c r="BJ56" s="22" t="n">
        <v>2928</v>
      </c>
      <c r="BK56" s="22" t="n">
        <v>2730</v>
      </c>
      <c r="BL56" s="22" t="n">
        <v>2794</v>
      </c>
    </row>
    <row r="57" ht="15.95" customHeight="1" s="574">
      <c r="A57" s="81" t="inlineStr">
        <is>
          <t>6203</t>
        </is>
      </c>
      <c r="B57" s="17" t="inlineStr">
        <is>
          <t>豊和工業</t>
        </is>
      </c>
      <c r="C57" s="655">
        <f>_xll.RssMarket("6203","始値")</f>
        <v/>
      </c>
      <c r="D57" s="656">
        <f>C57-E57</f>
        <v/>
      </c>
      <c r="E57" s="22" t="n">
        <v>1615</v>
      </c>
      <c r="F57" s="22" t="n">
        <v>1700</v>
      </c>
      <c r="G57" s="22" t="n">
        <v>1641</v>
      </c>
      <c r="H57" s="22" t="n">
        <v>1573</v>
      </c>
      <c r="I57" s="22" t="n">
        <v>1586</v>
      </c>
      <c r="J57" s="22" t="n">
        <v>1612</v>
      </c>
      <c r="K57" s="22" t="n">
        <v>1645</v>
      </c>
      <c r="L57" s="22" t="n">
        <v>1642</v>
      </c>
      <c r="M57" s="22" t="n">
        <v>1793</v>
      </c>
      <c r="N57" s="22" t="n">
        <v>1700</v>
      </c>
      <c r="O57" s="22" t="n">
        <v>1710</v>
      </c>
      <c r="P57" s="22" t="n">
        <v>1728</v>
      </c>
      <c r="Q57" s="22" t="n">
        <v>1887</v>
      </c>
      <c r="R57" s="22" t="n">
        <v>1916</v>
      </c>
      <c r="S57" s="22" t="n">
        <v>1950</v>
      </c>
      <c r="T57" s="22" t="n">
        <v>1490</v>
      </c>
      <c r="U57" s="22" t="n">
        <v>1386</v>
      </c>
      <c r="V57" s="22" t="n">
        <v>1367</v>
      </c>
      <c r="W57" s="22" t="n">
        <v>1327</v>
      </c>
      <c r="X57" s="22" t="n">
        <v>1306</v>
      </c>
      <c r="Y57" s="22" t="n">
        <v>1299</v>
      </c>
      <c r="Z57" s="22" t="n">
        <v>1331</v>
      </c>
      <c r="AA57" s="22" t="n">
        <v>1392</v>
      </c>
      <c r="AB57" s="22" t="n">
        <v>1378</v>
      </c>
      <c r="AC57" s="22" t="n">
        <v>1431</v>
      </c>
      <c r="AD57" s="22" t="n">
        <v>1428</v>
      </c>
      <c r="AE57" s="22" t="n">
        <v>1539</v>
      </c>
      <c r="AF57" s="22" t="n">
        <v>1510</v>
      </c>
      <c r="AG57" s="22" t="n">
        <v>1503</v>
      </c>
      <c r="AH57" s="22" t="n">
        <v>1559</v>
      </c>
      <c r="AI57" s="22" t="n">
        <v>1524</v>
      </c>
      <c r="AJ57" s="22" t="n">
        <v>1560</v>
      </c>
      <c r="AK57" s="22" t="n">
        <v>1500</v>
      </c>
      <c r="AL57" s="22" t="n">
        <v>1483</v>
      </c>
      <c r="AM57" s="22" t="n">
        <v>1505</v>
      </c>
      <c r="AN57" s="22" t="n">
        <v>1575</v>
      </c>
      <c r="AO57" s="22" t="n">
        <v>1444</v>
      </c>
      <c r="AP57" s="22" t="n">
        <v>1382</v>
      </c>
      <c r="AQ57" s="22" t="n">
        <v>1374</v>
      </c>
      <c r="AR57" s="22" t="n">
        <v>1376</v>
      </c>
      <c r="AS57" s="22" t="n">
        <v>1380</v>
      </c>
      <c r="AT57" s="22" t="n">
        <v>1451</v>
      </c>
      <c r="AU57" s="22" t="n">
        <v>1482</v>
      </c>
      <c r="AV57" s="22" t="n">
        <v>1460</v>
      </c>
      <c r="AW57" s="22" t="n">
        <v>1499</v>
      </c>
      <c r="AX57" s="22" t="n">
        <v>1590</v>
      </c>
      <c r="AY57" s="22" t="n">
        <v>1568</v>
      </c>
      <c r="AZ57" s="22" t="n">
        <v>1487</v>
      </c>
      <c r="BA57" s="22" t="n">
        <v>1541</v>
      </c>
      <c r="BB57" s="22" t="n">
        <v>1512</v>
      </c>
      <c r="BC57" s="22" t="n">
        <v>1515</v>
      </c>
      <c r="BD57" s="22" t="n">
        <v>1450</v>
      </c>
      <c r="BE57" s="22" t="n">
        <v>1436</v>
      </c>
      <c r="BF57" s="22" t="n">
        <v>1475</v>
      </c>
      <c r="BG57" s="22" t="n">
        <v>1534</v>
      </c>
      <c r="BH57" s="22" t="n">
        <v>1581</v>
      </c>
      <c r="BI57" s="22" t="n">
        <v>1557</v>
      </c>
      <c r="BJ57" s="22" t="n">
        <v>1541</v>
      </c>
      <c r="BK57" s="22" t="n">
        <v>1512</v>
      </c>
      <c r="BL57" s="22" t="n">
        <v>1630</v>
      </c>
    </row>
    <row r="58" ht="15.95" customHeight="1" s="574">
      <c r="A58" s="81" t="inlineStr">
        <is>
          <t>4676</t>
        </is>
      </c>
      <c r="B58" s="17" t="inlineStr">
        <is>
          <t>フジ・メディア・ＨＤ</t>
        </is>
      </c>
      <c r="C58" s="655">
        <f>_xll.RssMarket("4676","始値")</f>
        <v/>
      </c>
      <c r="D58" s="656">
        <f>C58-E58</f>
        <v/>
      </c>
      <c r="E58" s="22" t="n">
        <v>3996</v>
      </c>
      <c r="F58" s="22" t="n">
        <v>4014</v>
      </c>
      <c r="G58" s="22" t="n">
        <v>4020</v>
      </c>
      <c r="H58" s="22" t="n">
        <v>4050</v>
      </c>
      <c r="I58" s="22" t="n">
        <v>4056</v>
      </c>
      <c r="J58" s="22" t="n">
        <v>4054</v>
      </c>
      <c r="K58" s="22" t="n">
        <v>4072</v>
      </c>
      <c r="L58" s="22" t="n">
        <v>4100</v>
      </c>
      <c r="M58" s="22" t="n">
        <v>4150</v>
      </c>
      <c r="N58" s="22" t="n">
        <v>4106</v>
      </c>
      <c r="O58" s="22" t="n">
        <v>4033</v>
      </c>
      <c r="P58" s="22" t="n">
        <v>3801</v>
      </c>
      <c r="Q58" s="22" t="n">
        <v>3844</v>
      </c>
      <c r="R58" s="22" t="n">
        <v>3725</v>
      </c>
      <c r="S58" s="22" t="n">
        <v>3777</v>
      </c>
      <c r="T58" s="22" t="n">
        <v>3678</v>
      </c>
      <c r="U58" s="22" t="n">
        <v>3771</v>
      </c>
      <c r="V58" s="22" t="n">
        <v>3805</v>
      </c>
      <c r="W58" s="22" t="n">
        <v>3828</v>
      </c>
      <c r="X58" s="22" t="n">
        <v>3774</v>
      </c>
      <c r="Y58" s="22" t="n">
        <v>3745</v>
      </c>
      <c r="Z58" s="22" t="n">
        <v>3805</v>
      </c>
      <c r="AA58" s="22" t="n">
        <v>3789</v>
      </c>
      <c r="AB58" s="22" t="n">
        <v>3852</v>
      </c>
      <c r="AC58" s="22" t="n">
        <v>3791</v>
      </c>
      <c r="AD58" s="22" t="n">
        <v>3983</v>
      </c>
      <c r="AE58" s="22" t="n">
        <v>3901</v>
      </c>
      <c r="AF58" s="22" t="n">
        <v>3963</v>
      </c>
      <c r="AG58" s="22" t="n">
        <v>3851</v>
      </c>
      <c r="AH58" s="22" t="n">
        <v>3828</v>
      </c>
      <c r="AI58" s="22" t="n">
        <v>3830</v>
      </c>
      <c r="AJ58" s="22" t="n">
        <v>3895</v>
      </c>
      <c r="AK58" s="22" t="n">
        <v>3966</v>
      </c>
      <c r="AL58" s="22" t="n">
        <v>3951</v>
      </c>
      <c r="AM58" s="22" t="n">
        <v>4012</v>
      </c>
      <c r="AN58" s="22" t="n">
        <v>3900</v>
      </c>
      <c r="AO58" s="22" t="n">
        <v>4065</v>
      </c>
      <c r="AP58" s="22" t="n">
        <v>3835</v>
      </c>
      <c r="AQ58" s="22" t="n">
        <v>3949</v>
      </c>
      <c r="AR58" s="22" t="n">
        <v>4214</v>
      </c>
      <c r="AS58" s="22" t="n">
        <v>4250</v>
      </c>
      <c r="AT58" s="22" t="n">
        <v>4225</v>
      </c>
      <c r="AU58" s="22" t="n">
        <v>4210</v>
      </c>
      <c r="AV58" s="22" t="n">
        <v>4260</v>
      </c>
      <c r="AW58" s="22" t="n">
        <v>4296</v>
      </c>
      <c r="AX58" s="22" t="n">
        <v>4444</v>
      </c>
      <c r="AY58" s="22" t="n">
        <v>4300</v>
      </c>
      <c r="AZ58" s="22" t="n">
        <v>4264</v>
      </c>
      <c r="BA58" s="22" t="n">
        <v>4101</v>
      </c>
      <c r="BB58" s="22" t="n">
        <v>4140</v>
      </c>
      <c r="BC58" s="22" t="n">
        <v>4020</v>
      </c>
      <c r="BD58" s="22" t="n">
        <v>4065</v>
      </c>
      <c r="BE58" s="22" t="n">
        <v>4011</v>
      </c>
      <c r="BF58" s="22" t="n">
        <v>4091</v>
      </c>
      <c r="BG58" s="22" t="n">
        <v>4006</v>
      </c>
      <c r="BH58" s="22" t="n">
        <v>3986</v>
      </c>
      <c r="BI58" s="22" t="n">
        <v>3930</v>
      </c>
      <c r="BJ58" s="22" t="n">
        <v>3929</v>
      </c>
      <c r="BK58" s="22" t="n">
        <v>3829</v>
      </c>
      <c r="BL58" s="22" t="n">
        <v>3795</v>
      </c>
    </row>
    <row r="59" ht="15.95" customHeight="1" s="574">
      <c r="A59" s="81" t="inlineStr">
        <is>
          <t>1961</t>
        </is>
      </c>
      <c r="B59" s="17" t="inlineStr">
        <is>
          <t>三機工業</t>
        </is>
      </c>
      <c r="C59" s="655">
        <f>_xll.RssMarket("1961","始値")</f>
        <v/>
      </c>
      <c r="D59" s="656">
        <f>C59-E59</f>
        <v/>
      </c>
      <c r="E59" s="22" t="n">
        <v>3065</v>
      </c>
      <c r="F59" s="22" t="n">
        <v>3075</v>
      </c>
      <c r="G59" s="22" t="n">
        <v>2720</v>
      </c>
      <c r="H59" s="22" t="n">
        <v>2650</v>
      </c>
      <c r="I59" s="22" t="n">
        <v>2606</v>
      </c>
      <c r="J59" s="22" t="n">
        <v>2607</v>
      </c>
      <c r="K59" s="22" t="n">
        <v>2503</v>
      </c>
      <c r="L59" s="22" t="n">
        <v>2433</v>
      </c>
      <c r="M59" s="22" t="n">
        <v>2456</v>
      </c>
      <c r="N59" s="22" t="n">
        <v>2317</v>
      </c>
      <c r="O59" s="22" t="n">
        <v>2300</v>
      </c>
      <c r="P59" s="22" t="n">
        <v>2180</v>
      </c>
      <c r="Q59" s="22" t="n">
        <v>2160</v>
      </c>
      <c r="R59" s="22" t="n">
        <v>2161</v>
      </c>
      <c r="S59" s="22" t="n">
        <v>2253</v>
      </c>
      <c r="T59" s="22" t="n">
        <v>2228</v>
      </c>
      <c r="U59" s="22" t="n">
        <v>2311</v>
      </c>
      <c r="V59" s="22" t="n">
        <v>2210</v>
      </c>
      <c r="W59" s="22" t="n">
        <v>2200</v>
      </c>
      <c r="X59" s="22" t="n">
        <v>2217</v>
      </c>
      <c r="Y59" s="22" t="n">
        <v>2365</v>
      </c>
      <c r="Z59" s="22" t="n">
        <v>2414</v>
      </c>
      <c r="AA59" s="22" t="n">
        <v>2539</v>
      </c>
      <c r="AB59" s="22" t="n">
        <v>2689</v>
      </c>
      <c r="AC59" s="22" t="n">
        <v>2604</v>
      </c>
      <c r="AD59" s="22" t="n">
        <v>2646</v>
      </c>
      <c r="AE59" s="22" t="n">
        <v>2658</v>
      </c>
      <c r="AF59" s="22" t="n">
        <v>2580</v>
      </c>
      <c r="AG59" s="22" t="n">
        <v>2513</v>
      </c>
      <c r="AH59" s="22" t="n">
        <v>2498</v>
      </c>
      <c r="AI59" s="22" t="n">
        <v>2393</v>
      </c>
      <c r="AJ59" s="22" t="n">
        <v>2375</v>
      </c>
      <c r="AK59" s="22" t="n">
        <v>2272</v>
      </c>
      <c r="AL59" s="22" t="n">
        <v>2329</v>
      </c>
      <c r="AM59" s="22" t="n">
        <v>2269</v>
      </c>
      <c r="AN59" s="22" t="n">
        <v>2279</v>
      </c>
      <c r="AO59" s="22" t="n">
        <v>2359</v>
      </c>
      <c r="AP59" s="22" t="n">
        <v>2366</v>
      </c>
      <c r="AQ59" s="22" t="n">
        <v>2419</v>
      </c>
      <c r="AR59" s="22" t="n">
        <v>2426</v>
      </c>
      <c r="AS59" s="22" t="n">
        <v>2449</v>
      </c>
      <c r="AT59" s="22" t="n">
        <v>2666</v>
      </c>
      <c r="AU59" s="22" t="n">
        <v>2756</v>
      </c>
      <c r="AV59" s="22" t="n">
        <v>2723</v>
      </c>
      <c r="AW59" s="22" t="n">
        <v>2683</v>
      </c>
      <c r="AX59" s="22" t="n">
        <v>2589</v>
      </c>
      <c r="AY59" s="22" t="n">
        <v>2566</v>
      </c>
      <c r="AZ59" s="22" t="n">
        <v>2463</v>
      </c>
      <c r="BA59" s="22" t="n">
        <v>2426</v>
      </c>
      <c r="BB59" s="22" t="n">
        <v>2413</v>
      </c>
      <c r="BC59" s="22" t="n">
        <v>2419</v>
      </c>
      <c r="BD59" s="22" t="n">
        <v>2333</v>
      </c>
      <c r="BE59" s="22" t="n">
        <v>2199</v>
      </c>
      <c r="BF59" s="22" t="n">
        <v>2196</v>
      </c>
      <c r="BG59" s="22" t="n">
        <v>2289</v>
      </c>
      <c r="BH59" s="22" t="n">
        <v>2333</v>
      </c>
      <c r="BI59" s="22" t="n">
        <v>2299</v>
      </c>
      <c r="BJ59" s="22" t="n">
        <v>2223</v>
      </c>
      <c r="BK59" s="22" t="n">
        <v>2196</v>
      </c>
      <c r="BL59" s="22" t="n">
        <v>2263</v>
      </c>
    </row>
    <row r="60" ht="15.95" customHeight="1" s="574">
      <c r="A60" s="81" t="inlineStr">
        <is>
          <t>3107</t>
        </is>
      </c>
      <c r="B60" s="17" t="inlineStr">
        <is>
          <t>ダイワボウＨＤ</t>
        </is>
      </c>
      <c r="C60" s="655">
        <f>_xll.RssMarket("3107","始値")</f>
        <v/>
      </c>
      <c r="D60" s="656">
        <f>C60-E60</f>
        <v/>
      </c>
      <c r="E60" s="22" t="n">
        <v>3332</v>
      </c>
      <c r="F60" s="22" t="n">
        <v>3334</v>
      </c>
      <c r="G60" s="22" t="n">
        <v>3330</v>
      </c>
      <c r="H60" s="22" t="n">
        <v>3419</v>
      </c>
      <c r="I60" s="22" t="n">
        <v>3449</v>
      </c>
      <c r="J60" s="22" t="n">
        <v>3438</v>
      </c>
      <c r="K60" s="22" t="n">
        <v>3471</v>
      </c>
      <c r="L60" s="22" t="n">
        <v>3449</v>
      </c>
      <c r="M60" s="22" t="n">
        <v>3442</v>
      </c>
      <c r="N60" s="22" t="n">
        <v>3500</v>
      </c>
      <c r="O60" s="22" t="n">
        <v>3510</v>
      </c>
      <c r="P60" s="22" t="n">
        <v>3562</v>
      </c>
      <c r="Q60" s="22" t="n">
        <v>3536</v>
      </c>
      <c r="R60" s="22" t="n">
        <v>3500</v>
      </c>
      <c r="S60" s="22" t="n">
        <v>3400</v>
      </c>
      <c r="T60" s="22" t="n">
        <v>3346</v>
      </c>
      <c r="U60" s="22" t="n">
        <v>3367</v>
      </c>
      <c r="V60" s="22" t="n">
        <v>3500</v>
      </c>
      <c r="W60" s="22" t="n">
        <v>3535</v>
      </c>
      <c r="X60" s="22" t="n">
        <v>3543</v>
      </c>
      <c r="Y60" s="22" t="n">
        <v>3580</v>
      </c>
      <c r="Z60" s="22" t="n">
        <v>3514</v>
      </c>
      <c r="AA60" s="22" t="n">
        <v>3461</v>
      </c>
      <c r="AB60" s="22" t="n">
        <v>3437</v>
      </c>
      <c r="AC60" s="22" t="n">
        <v>3485</v>
      </c>
      <c r="AD60" s="22" t="n">
        <v>3417</v>
      </c>
      <c r="AE60" s="22" t="n">
        <v>3424</v>
      </c>
      <c r="AF60" s="22" t="n">
        <v>3419</v>
      </c>
      <c r="AG60" s="22" t="n">
        <v>3345</v>
      </c>
      <c r="AH60" s="22" t="n">
        <v>3217</v>
      </c>
      <c r="AI60" s="22" t="n">
        <v>3200</v>
      </c>
      <c r="AJ60" s="22" t="n">
        <v>3190</v>
      </c>
      <c r="AK60" s="22" t="n">
        <v>3212</v>
      </c>
      <c r="AL60" s="22" t="n">
        <v>3127</v>
      </c>
      <c r="AM60" s="22" t="n">
        <v>3097</v>
      </c>
      <c r="AN60" s="22" t="n">
        <v>3084</v>
      </c>
      <c r="AO60" s="22" t="n">
        <v>3100</v>
      </c>
      <c r="AP60" s="22" t="n">
        <v>3113</v>
      </c>
      <c r="AQ60" s="22" t="n">
        <v>3155</v>
      </c>
      <c r="AR60" s="22" t="n">
        <v>3165</v>
      </c>
      <c r="AS60" s="22" t="n">
        <v>3183</v>
      </c>
      <c r="AT60" s="22" t="n">
        <v>3150</v>
      </c>
      <c r="AU60" s="22" t="n">
        <v>3145</v>
      </c>
      <c r="AV60" s="22" t="n">
        <v>3085</v>
      </c>
      <c r="AW60" s="22" t="n">
        <v>3201</v>
      </c>
      <c r="AX60" s="22" t="n">
        <v>3250</v>
      </c>
      <c r="AY60" s="22" t="n">
        <v>3325</v>
      </c>
      <c r="AZ60" s="22" t="n">
        <v>3207</v>
      </c>
      <c r="BA60" s="22" t="n">
        <v>3188</v>
      </c>
      <c r="BB60" s="22" t="n">
        <v>3145</v>
      </c>
      <c r="BC60" s="22" t="n">
        <v>3200</v>
      </c>
      <c r="BD60" s="22" t="n">
        <v>3146</v>
      </c>
      <c r="BE60" s="22" t="n">
        <v>3017</v>
      </c>
      <c r="BF60" s="22" t="n">
        <v>2899.5</v>
      </c>
      <c r="BG60" s="22" t="n">
        <v>3045</v>
      </c>
      <c r="BH60" s="22" t="n">
        <v>3013</v>
      </c>
      <c r="BI60" s="22" t="n">
        <v>2990</v>
      </c>
      <c r="BJ60" s="22" t="n">
        <v>2938.5</v>
      </c>
      <c r="BK60" s="22" t="n">
        <v>2918.5</v>
      </c>
      <c r="BL60" s="22" t="n">
        <v>2973</v>
      </c>
    </row>
    <row r="61" ht="15.95" customHeight="1" s="574">
      <c r="A61" s="81" t="inlineStr">
        <is>
          <t>4045</t>
        </is>
      </c>
      <c r="B61" s="17" t="inlineStr">
        <is>
          <t>東亞合成</t>
        </is>
      </c>
      <c r="C61" s="655">
        <f>_xll.RssMarket("4045","始値")</f>
        <v/>
      </c>
      <c r="D61" s="656">
        <f>C61-E61</f>
        <v/>
      </c>
      <c r="E61" s="22" t="n">
        <v>1761</v>
      </c>
      <c r="F61" s="22" t="n">
        <v>1775</v>
      </c>
      <c r="G61" s="22" t="n">
        <v>1765</v>
      </c>
      <c r="H61" s="22" t="n">
        <v>1758.5</v>
      </c>
      <c r="I61" s="22" t="n">
        <v>1762</v>
      </c>
      <c r="J61" s="22" t="n">
        <v>1755.5</v>
      </c>
      <c r="K61" s="22" t="n">
        <v>1725</v>
      </c>
      <c r="L61" s="22" t="n">
        <v>1699</v>
      </c>
      <c r="M61" s="22" t="n">
        <v>1705</v>
      </c>
      <c r="N61" s="22" t="n">
        <v>1700</v>
      </c>
      <c r="O61" s="22" t="n">
        <v>1742</v>
      </c>
      <c r="P61" s="22" t="n">
        <v>1744</v>
      </c>
      <c r="Q61" s="22" t="n">
        <v>1750</v>
      </c>
      <c r="R61" s="22" t="n">
        <v>1731</v>
      </c>
      <c r="S61" s="22" t="n">
        <v>1751</v>
      </c>
      <c r="T61" s="22" t="n">
        <v>1734.5</v>
      </c>
      <c r="U61" s="22" t="n">
        <v>1737.5</v>
      </c>
      <c r="V61" s="22" t="n">
        <v>1725.5</v>
      </c>
      <c r="W61" s="22" t="n">
        <v>1710.5</v>
      </c>
      <c r="X61" s="22" t="n">
        <v>1703.5</v>
      </c>
      <c r="Y61" s="22" t="n">
        <v>1710</v>
      </c>
      <c r="Z61" s="22" t="n">
        <v>1758.5</v>
      </c>
      <c r="AA61" s="22" t="n">
        <v>1747</v>
      </c>
      <c r="AB61" s="22" t="n">
        <v>1759.5</v>
      </c>
      <c r="AC61" s="22" t="n">
        <v>1750</v>
      </c>
      <c r="AD61" s="22" t="n">
        <v>1724</v>
      </c>
      <c r="AE61" s="22" t="n">
        <v>1736.5</v>
      </c>
      <c r="AF61" s="22" t="n">
        <v>1715</v>
      </c>
      <c r="AG61" s="22" t="n">
        <v>1734.5</v>
      </c>
      <c r="AH61" s="22" t="n">
        <v>1737</v>
      </c>
      <c r="AI61" s="22" t="n">
        <v>1698</v>
      </c>
      <c r="AJ61" s="22" t="n">
        <v>1693.5</v>
      </c>
      <c r="AK61" s="22" t="n">
        <v>1729.5</v>
      </c>
      <c r="AL61" s="22" t="n">
        <v>1730</v>
      </c>
      <c r="AM61" s="22" t="n">
        <v>1798.5</v>
      </c>
      <c r="AN61" s="22" t="n">
        <v>1800</v>
      </c>
      <c r="AO61" s="22" t="n">
        <v>1798.5</v>
      </c>
      <c r="AP61" s="22" t="n">
        <v>1795</v>
      </c>
      <c r="AQ61" s="22" t="n">
        <v>1804</v>
      </c>
      <c r="AR61" s="22" t="n">
        <v>1803</v>
      </c>
      <c r="AS61" s="22" t="n">
        <v>1785</v>
      </c>
      <c r="AT61" s="22" t="n">
        <v>1784.5</v>
      </c>
      <c r="AU61" s="22" t="n">
        <v>1784</v>
      </c>
      <c r="AV61" s="22" t="n">
        <v>1788</v>
      </c>
      <c r="AW61" s="22" t="n">
        <v>1782.5</v>
      </c>
      <c r="AX61" s="22" t="n">
        <v>1797.5</v>
      </c>
      <c r="AY61" s="22" t="n">
        <v>1802.5</v>
      </c>
      <c r="AZ61" s="22" t="n">
        <v>1747</v>
      </c>
      <c r="BA61" s="22" t="n">
        <v>1742.5</v>
      </c>
      <c r="BB61" s="22" t="n">
        <v>1740</v>
      </c>
      <c r="BC61" s="22" t="n">
        <v>1763</v>
      </c>
      <c r="BD61" s="22" t="n">
        <v>1736.5</v>
      </c>
      <c r="BE61" s="22" t="n">
        <v>1704</v>
      </c>
      <c r="BF61" s="22" t="n">
        <v>1691</v>
      </c>
      <c r="BG61" s="22" t="n">
        <v>1725.5</v>
      </c>
      <c r="BH61" s="22" t="n">
        <v>1734</v>
      </c>
      <c r="BI61" s="22" t="n">
        <v>1742</v>
      </c>
      <c r="BJ61" s="22" t="n">
        <v>1697.5</v>
      </c>
      <c r="BK61" s="22" t="n">
        <v>1670</v>
      </c>
      <c r="BL61" s="22" t="n">
        <v>1745</v>
      </c>
    </row>
    <row r="62" ht="15.95" customHeight="1" s="574">
      <c r="A62" s="81" t="inlineStr">
        <is>
          <t>5857</t>
        </is>
      </c>
      <c r="B62" s="17" t="inlineStr">
        <is>
          <t>ＡＲＥホールディングス</t>
        </is>
      </c>
      <c r="C62" s="655">
        <f>_xll.RssMarket("5857","始値")</f>
        <v/>
      </c>
      <c r="D62" s="656">
        <f>C62-E62</f>
        <v/>
      </c>
      <c r="E62" s="22" t="n">
        <v>3205</v>
      </c>
      <c r="F62" s="22" t="n">
        <v>3160</v>
      </c>
      <c r="G62" s="22" t="n">
        <v>3240</v>
      </c>
      <c r="H62" s="22" t="n">
        <v>3205</v>
      </c>
      <c r="I62" s="22" t="n">
        <v>3220</v>
      </c>
      <c r="J62" s="22" t="n">
        <v>3150</v>
      </c>
      <c r="K62" s="22" t="n">
        <v>2972</v>
      </c>
      <c r="L62" s="22" t="n">
        <v>2940</v>
      </c>
      <c r="M62" s="22" t="n">
        <v>3015</v>
      </c>
      <c r="N62" s="22" t="n">
        <v>3055</v>
      </c>
      <c r="O62" s="22" t="n">
        <v>3160</v>
      </c>
      <c r="P62" s="22" t="n">
        <v>3210</v>
      </c>
      <c r="Q62" s="22" t="n">
        <v>3255</v>
      </c>
      <c r="R62" s="22" t="n">
        <v>3190</v>
      </c>
      <c r="S62" s="22" t="n">
        <v>3270</v>
      </c>
      <c r="T62" s="22" t="n">
        <v>3300</v>
      </c>
      <c r="U62" s="22" t="n">
        <v>3450</v>
      </c>
      <c r="V62" s="22" t="n">
        <v>3600</v>
      </c>
      <c r="W62" s="22" t="n">
        <v>3480</v>
      </c>
      <c r="X62" s="22" t="n">
        <v>3485</v>
      </c>
      <c r="Y62" s="22" t="n">
        <v>3575</v>
      </c>
      <c r="Z62" s="22" t="n">
        <v>3760</v>
      </c>
      <c r="AA62" s="22" t="n">
        <v>3855</v>
      </c>
      <c r="AB62" s="22" t="n">
        <v>4045</v>
      </c>
      <c r="AC62" s="22" t="n">
        <v>4060</v>
      </c>
      <c r="AD62" s="22" t="n">
        <v>3880</v>
      </c>
      <c r="AE62" s="22" t="n">
        <v>3910</v>
      </c>
      <c r="AF62" s="22" t="n">
        <v>4115</v>
      </c>
      <c r="AG62" s="22" t="n">
        <v>3980</v>
      </c>
      <c r="AH62" s="22" t="n">
        <v>3855</v>
      </c>
      <c r="AI62" s="22" t="n">
        <v>3575</v>
      </c>
      <c r="AJ62" s="22" t="n">
        <v>3580</v>
      </c>
      <c r="AK62" s="22" t="n">
        <v>3675</v>
      </c>
      <c r="AL62" s="22" t="n">
        <v>3615</v>
      </c>
      <c r="AM62" s="22" t="n">
        <v>3670</v>
      </c>
      <c r="AN62" s="22" t="n">
        <v>3780</v>
      </c>
      <c r="AO62" s="22" t="n">
        <v>3925</v>
      </c>
      <c r="AP62" s="22" t="n">
        <v>3930</v>
      </c>
      <c r="AQ62" s="22" t="n">
        <v>3835</v>
      </c>
      <c r="AR62" s="22" t="n">
        <v>3845</v>
      </c>
      <c r="AS62" s="22" t="n">
        <v>3775</v>
      </c>
      <c r="AT62" s="22" t="n">
        <v>3850</v>
      </c>
      <c r="AU62" s="22" t="n">
        <v>3750</v>
      </c>
      <c r="AV62" s="22" t="n">
        <v>3655</v>
      </c>
      <c r="AW62" s="22" t="n">
        <v>3795</v>
      </c>
      <c r="AX62" s="22" t="n">
        <v>3760</v>
      </c>
      <c r="AY62" s="22" t="n">
        <v>3735</v>
      </c>
      <c r="AZ62" s="22" t="n">
        <v>3580</v>
      </c>
      <c r="BA62" s="22" t="n">
        <v>3590</v>
      </c>
      <c r="BB62" s="22" t="n">
        <v>3550</v>
      </c>
      <c r="BC62" s="22" t="n">
        <v>3605</v>
      </c>
      <c r="BD62" s="22" t="n">
        <v>3500</v>
      </c>
      <c r="BE62" s="22" t="n">
        <v>3325</v>
      </c>
      <c r="BF62" s="22" t="n">
        <v>3315</v>
      </c>
      <c r="BG62" s="22" t="n">
        <v>3490</v>
      </c>
      <c r="BH62" s="22" t="n">
        <v>3600</v>
      </c>
      <c r="BI62" s="22" t="n">
        <v>3600</v>
      </c>
      <c r="BJ62" s="22" t="n">
        <v>3485</v>
      </c>
      <c r="BK62" s="22" t="n">
        <v>3405</v>
      </c>
      <c r="BL62" s="22" t="n">
        <v>3690</v>
      </c>
    </row>
    <row r="63" ht="15.95" customHeight="1" s="574">
      <c r="A63" s="81" t="inlineStr">
        <is>
          <t>8281</t>
        </is>
      </c>
      <c r="B63" s="17" t="inlineStr">
        <is>
          <t>ゼビオホールディングス</t>
        </is>
      </c>
      <c r="C63" s="655">
        <f>_xll.RssMarket("8281","始値")</f>
        <v/>
      </c>
      <c r="D63" s="656">
        <f>C63-E63</f>
        <v/>
      </c>
      <c r="E63" s="22" t="n">
        <v>1040</v>
      </c>
      <c r="F63" s="22" t="n">
        <v>1046</v>
      </c>
      <c r="G63" s="22" t="n">
        <v>1056</v>
      </c>
      <c r="H63" s="22" t="n">
        <v>1063</v>
      </c>
      <c r="I63" s="22" t="n">
        <v>1070</v>
      </c>
      <c r="J63" s="22" t="n">
        <v>1055</v>
      </c>
      <c r="K63" s="22" t="n">
        <v>1068</v>
      </c>
      <c r="L63" s="22" t="n">
        <v>1036</v>
      </c>
      <c r="M63" s="22" t="n">
        <v>1021</v>
      </c>
      <c r="N63" s="22" t="n">
        <v>1018</v>
      </c>
      <c r="O63" s="22" t="n">
        <v>1015</v>
      </c>
      <c r="P63" s="22" t="n">
        <v>1032</v>
      </c>
      <c r="Q63" s="22" t="n">
        <v>1029</v>
      </c>
      <c r="R63" s="22" t="n">
        <v>1059</v>
      </c>
      <c r="S63" s="22" t="n">
        <v>1048</v>
      </c>
      <c r="T63" s="22" t="n">
        <v>1040</v>
      </c>
      <c r="U63" s="22" t="n">
        <v>1055</v>
      </c>
      <c r="V63" s="22" t="n">
        <v>1053</v>
      </c>
      <c r="W63" s="22" t="n">
        <v>1044</v>
      </c>
      <c r="X63" s="22" t="n">
        <v>1043</v>
      </c>
      <c r="Y63" s="22" t="n">
        <v>1025</v>
      </c>
      <c r="Z63" s="22" t="n">
        <v>1000</v>
      </c>
      <c r="AA63" s="22" t="n">
        <v>966</v>
      </c>
      <c r="AB63" s="22" t="n">
        <v>961</v>
      </c>
      <c r="AC63" s="22" t="n">
        <v>970</v>
      </c>
      <c r="AD63" s="22" t="n">
        <v>971</v>
      </c>
      <c r="AE63" s="22" t="n">
        <v>988</v>
      </c>
      <c r="AF63" s="22" t="n">
        <v>996</v>
      </c>
      <c r="AG63" s="22" t="n">
        <v>995</v>
      </c>
      <c r="AH63" s="22" t="n">
        <v>991</v>
      </c>
      <c r="AI63" s="22" t="n">
        <v>991</v>
      </c>
      <c r="AJ63" s="22" t="n">
        <v>999</v>
      </c>
      <c r="AK63" s="22" t="n">
        <v>1005</v>
      </c>
      <c r="AL63" s="22" t="n">
        <v>1022</v>
      </c>
      <c r="AM63" s="22" t="n">
        <v>1034</v>
      </c>
      <c r="AN63" s="22" t="n">
        <v>1025</v>
      </c>
      <c r="AO63" s="22" t="n">
        <v>1015</v>
      </c>
      <c r="AP63" s="22" t="n">
        <v>1026</v>
      </c>
      <c r="AQ63" s="22" t="n">
        <v>1015</v>
      </c>
      <c r="AR63" s="22" t="n">
        <v>1009</v>
      </c>
      <c r="AS63" s="22" t="n">
        <v>1009</v>
      </c>
      <c r="AT63" s="22" t="n">
        <v>1022</v>
      </c>
      <c r="AU63" s="22" t="n">
        <v>1045</v>
      </c>
      <c r="AV63" s="22" t="n">
        <v>1033</v>
      </c>
      <c r="AW63" s="22" t="n">
        <v>1023</v>
      </c>
      <c r="AX63" s="22" t="n">
        <v>1015</v>
      </c>
      <c r="AY63" s="22" t="n">
        <v>1015</v>
      </c>
      <c r="AZ63" s="22" t="n">
        <v>1011</v>
      </c>
      <c r="BA63" s="22" t="n">
        <v>1001</v>
      </c>
      <c r="BB63" s="22" t="n">
        <v>990</v>
      </c>
      <c r="BC63" s="22" t="n">
        <v>979</v>
      </c>
      <c r="BD63" s="22" t="n">
        <v>1015</v>
      </c>
      <c r="BE63" s="22" t="n">
        <v>1016</v>
      </c>
      <c r="BF63" s="22" t="n">
        <v>1012</v>
      </c>
      <c r="BG63" s="22" t="n">
        <v>1006</v>
      </c>
      <c r="BH63" s="22" t="n">
        <v>1000</v>
      </c>
      <c r="BI63" s="22" t="n">
        <v>1042</v>
      </c>
      <c r="BJ63" s="22" t="n">
        <v>1046</v>
      </c>
      <c r="BK63" s="22" t="n">
        <v>1040</v>
      </c>
      <c r="BL63" s="22" t="n">
        <v>1035</v>
      </c>
    </row>
    <row r="64" ht="15.95" customHeight="1" s="574">
      <c r="A64" s="81" t="inlineStr">
        <is>
          <t>4540</t>
        </is>
      </c>
      <c r="B64" s="17" t="inlineStr">
        <is>
          <t>ツムラ</t>
        </is>
      </c>
      <c r="C64" s="655">
        <f>_xll.RssMarket("4540","始値")</f>
        <v/>
      </c>
      <c r="D64" s="656">
        <f>C64-E64</f>
        <v/>
      </c>
      <c r="E64" s="22" t="n">
        <v>3747</v>
      </c>
      <c r="F64" s="22" t="n">
        <v>3722</v>
      </c>
      <c r="G64" s="22" t="n">
        <v>3743</v>
      </c>
      <c r="H64" s="22" t="n">
        <v>3776</v>
      </c>
      <c r="I64" s="22" t="n">
        <v>3720</v>
      </c>
      <c r="J64" s="22" t="n">
        <v>3730</v>
      </c>
      <c r="K64" s="22" t="n">
        <v>3744</v>
      </c>
      <c r="L64" s="22" t="n">
        <v>3770</v>
      </c>
      <c r="M64" s="22" t="n">
        <v>3718</v>
      </c>
      <c r="N64" s="22" t="n">
        <v>3688</v>
      </c>
      <c r="O64" s="22" t="n">
        <v>3755</v>
      </c>
      <c r="P64" s="22" t="n">
        <v>3750</v>
      </c>
      <c r="Q64" s="22" t="n">
        <v>3698</v>
      </c>
      <c r="R64" s="22" t="n">
        <v>3715</v>
      </c>
      <c r="S64" s="22" t="n">
        <v>3798</v>
      </c>
      <c r="T64" s="22" t="n">
        <v>3860</v>
      </c>
      <c r="U64" s="22" t="n">
        <v>3735</v>
      </c>
      <c r="V64" s="22" t="n">
        <v>3780</v>
      </c>
      <c r="W64" s="22" t="n">
        <v>3888</v>
      </c>
      <c r="X64" s="22" t="n">
        <v>3967</v>
      </c>
      <c r="Y64" s="22" t="n">
        <v>3950</v>
      </c>
      <c r="Z64" s="22" t="n">
        <v>3825</v>
      </c>
      <c r="AA64" s="22" t="n">
        <v>3799</v>
      </c>
      <c r="AB64" s="22" t="n">
        <v>3776</v>
      </c>
      <c r="AC64" s="22" t="n">
        <v>3702</v>
      </c>
      <c r="AD64" s="22" t="n">
        <v>3559</v>
      </c>
      <c r="AE64" s="22" t="n">
        <v>3555</v>
      </c>
      <c r="AF64" s="22" t="n">
        <v>3568</v>
      </c>
      <c r="AG64" s="22" t="n">
        <v>3631</v>
      </c>
      <c r="AH64" s="22" t="n">
        <v>3621</v>
      </c>
      <c r="AI64" s="22" t="n">
        <v>3651</v>
      </c>
      <c r="AJ64" s="22" t="n">
        <v>3670</v>
      </c>
      <c r="AK64" s="22" t="n">
        <v>3722</v>
      </c>
      <c r="AL64" s="22" t="n">
        <v>3685</v>
      </c>
      <c r="AM64" s="22" t="n">
        <v>3688</v>
      </c>
      <c r="AN64" s="22" t="n">
        <v>3680</v>
      </c>
      <c r="AO64" s="22" t="n">
        <v>3712</v>
      </c>
      <c r="AP64" s="22" t="n">
        <v>3746</v>
      </c>
      <c r="AQ64" s="22" t="n">
        <v>3791</v>
      </c>
      <c r="AR64" s="22" t="n">
        <v>3753</v>
      </c>
      <c r="AS64" s="22" t="n">
        <v>3800</v>
      </c>
      <c r="AT64" s="22" t="n">
        <v>3750</v>
      </c>
      <c r="AU64" s="22" t="n">
        <v>3765</v>
      </c>
      <c r="AV64" s="22" t="n">
        <v>3778</v>
      </c>
      <c r="AW64" s="22" t="n">
        <v>3830</v>
      </c>
      <c r="AX64" s="22" t="n">
        <v>3854</v>
      </c>
      <c r="AY64" s="22" t="n">
        <v>3898</v>
      </c>
      <c r="AZ64" s="22" t="n">
        <v>3844</v>
      </c>
      <c r="BA64" s="22" t="n">
        <v>3844</v>
      </c>
      <c r="BB64" s="22" t="n">
        <v>3852</v>
      </c>
      <c r="BC64" s="22" t="n">
        <v>3854</v>
      </c>
      <c r="BD64" s="22" t="n">
        <v>3830</v>
      </c>
      <c r="BE64" s="22" t="n">
        <v>3739</v>
      </c>
      <c r="BF64" s="22" t="n">
        <v>3679</v>
      </c>
      <c r="BG64" s="22" t="n">
        <v>3860</v>
      </c>
      <c r="BH64" s="22" t="n">
        <v>3842</v>
      </c>
      <c r="BI64" s="22" t="n">
        <v>3822</v>
      </c>
      <c r="BJ64" s="22" t="n">
        <v>3765</v>
      </c>
      <c r="BK64" s="22" t="n">
        <v>3763</v>
      </c>
      <c r="BL64" s="22" t="n">
        <v>3826</v>
      </c>
    </row>
    <row r="65" ht="15.95" customHeight="1" s="574">
      <c r="A65" s="81" t="inlineStr">
        <is>
          <t>9984</t>
        </is>
      </c>
      <c r="B65" s="17" t="inlineStr">
        <is>
          <t>ソフトバンクグループ</t>
        </is>
      </c>
      <c r="C65" s="655">
        <f>_xll.RssMarket("9984","始値")</f>
        <v/>
      </c>
      <c r="D65" s="656">
        <f>C65-E65</f>
        <v/>
      </c>
      <c r="E65" s="22" t="n">
        <v>7300</v>
      </c>
      <c r="F65" s="22" t="n">
        <v>7339</v>
      </c>
      <c r="G65" s="22" t="n">
        <v>7128</v>
      </c>
      <c r="H65" s="22" t="n">
        <v>6920</v>
      </c>
      <c r="I65" s="22" t="n">
        <v>7150</v>
      </c>
      <c r="J65" s="22" t="n">
        <v>7108</v>
      </c>
      <c r="K65" s="22" t="n">
        <v>6650</v>
      </c>
      <c r="L65" s="22" t="n">
        <v>6066</v>
      </c>
      <c r="M65" s="22" t="n">
        <v>6714</v>
      </c>
      <c r="N65" s="22" t="n">
        <v>6676</v>
      </c>
      <c r="O65" s="22" t="n">
        <v>7140</v>
      </c>
      <c r="P65" s="22" t="n">
        <v>8001</v>
      </c>
      <c r="Q65" s="22" t="n">
        <v>8800</v>
      </c>
      <c r="R65" s="22" t="n">
        <v>9000</v>
      </c>
      <c r="S65" s="22" t="n">
        <v>7548</v>
      </c>
      <c r="T65" s="22" t="n">
        <v>7100</v>
      </c>
      <c r="U65" s="22" t="n">
        <v>8020</v>
      </c>
      <c r="V65" s="22" t="n">
        <v>6750</v>
      </c>
      <c r="W65" s="22" t="n">
        <v>6700</v>
      </c>
      <c r="X65" s="22" t="n">
        <v>5810</v>
      </c>
      <c r="Y65" s="22" t="n">
        <v>5313</v>
      </c>
      <c r="Z65" s="22" t="n">
        <v>5660</v>
      </c>
      <c r="AA65" s="22" t="n">
        <v>5445</v>
      </c>
      <c r="AB65" s="22" t="n">
        <v>5801</v>
      </c>
      <c r="AC65" s="22" t="n">
        <v>6100</v>
      </c>
      <c r="AD65" s="22" t="n">
        <v>5943</v>
      </c>
      <c r="AE65" s="22" t="n">
        <v>5935</v>
      </c>
      <c r="AF65" s="22" t="n">
        <v>6219</v>
      </c>
      <c r="AG65" s="22" t="n">
        <v>6124</v>
      </c>
      <c r="AH65" s="22" t="n">
        <v>6100</v>
      </c>
      <c r="AI65" s="22" t="n">
        <v>5278</v>
      </c>
      <c r="AJ65" s="22" t="n">
        <v>4968</v>
      </c>
      <c r="AK65" s="22" t="n">
        <v>5660</v>
      </c>
      <c r="AL65" s="22" t="n">
        <v>6016</v>
      </c>
      <c r="AM65" s="22" t="n">
        <v>6000</v>
      </c>
      <c r="AN65" s="22" t="n">
        <v>6097</v>
      </c>
      <c r="AO65" s="22" t="n">
        <v>5130</v>
      </c>
      <c r="AP65" s="22" t="n">
        <v>4945</v>
      </c>
      <c r="AQ65" s="22" t="n">
        <v>4575</v>
      </c>
      <c r="AR65" s="22" t="n">
        <v>4640</v>
      </c>
      <c r="AS65" s="22" t="n">
        <v>4542</v>
      </c>
      <c r="AT65" s="22" t="n">
        <v>4405</v>
      </c>
      <c r="AU65" s="22" t="n">
        <v>3904</v>
      </c>
      <c r="AV65" s="22" t="n">
        <v>3700</v>
      </c>
      <c r="AW65" s="22" t="n">
        <v>3779</v>
      </c>
      <c r="AX65" s="22" t="n">
        <v>3822</v>
      </c>
      <c r="AY65" s="22" t="n">
        <v>3775</v>
      </c>
      <c r="AZ65" s="22" t="n">
        <v>3663</v>
      </c>
      <c r="BA65" s="22" t="n">
        <v>3620</v>
      </c>
      <c r="BB65" s="22" t="n">
        <v>3666</v>
      </c>
      <c r="BC65" s="22" t="n">
        <v>3790</v>
      </c>
      <c r="BD65" s="22" t="n">
        <v>3835</v>
      </c>
      <c r="BE65" s="22" t="n">
        <v>3500</v>
      </c>
      <c r="BF65" s="22" t="n">
        <v>3700</v>
      </c>
      <c r="BG65" s="22" t="n">
        <v>3802</v>
      </c>
      <c r="BH65" s="22" t="n">
        <v>4000</v>
      </c>
      <c r="BI65" s="22" t="n">
        <v>3636</v>
      </c>
      <c r="BJ65" s="22" t="n">
        <v>3597</v>
      </c>
      <c r="BK65" s="22" t="n">
        <v>3433</v>
      </c>
      <c r="BL65" s="22" t="n">
        <v>3623</v>
      </c>
    </row>
    <row r="66" ht="15.95" customHeight="1" s="574">
      <c r="A66" s="81" t="inlineStr">
        <is>
          <t>4063</t>
        </is>
      </c>
      <c r="B66" s="17" t="inlineStr">
        <is>
          <t>信越化学</t>
        </is>
      </c>
      <c r="C66" s="657">
        <f>_xll.RssMarket("4063","始値")</f>
        <v/>
      </c>
      <c r="D66" s="656">
        <f>C66-E66</f>
        <v/>
      </c>
      <c r="E66" s="22" t="n">
        <v>7160</v>
      </c>
      <c r="F66" s="22" t="n">
        <v>7500</v>
      </c>
      <c r="G66" s="22" t="n">
        <v>7665</v>
      </c>
      <c r="H66" s="22" t="n">
        <v>7447</v>
      </c>
      <c r="I66" s="22" t="n">
        <v>7510</v>
      </c>
      <c r="J66" s="22" t="n">
        <v>7484</v>
      </c>
      <c r="K66" s="22" t="n">
        <v>7056</v>
      </c>
      <c r="L66" s="22" t="n">
        <v>6500</v>
      </c>
      <c r="M66" s="22" t="n">
        <v>6790</v>
      </c>
      <c r="N66" s="22" t="n">
        <v>6980</v>
      </c>
      <c r="O66" s="22" t="n">
        <v>7491</v>
      </c>
      <c r="P66" s="22" t="n">
        <v>7542</v>
      </c>
      <c r="Q66" s="22" t="n">
        <v>7623</v>
      </c>
      <c r="R66" s="22" t="n">
        <v>7600</v>
      </c>
      <c r="S66" s="22" t="n">
        <v>7494</v>
      </c>
      <c r="T66" s="22" t="n">
        <v>7385</v>
      </c>
      <c r="U66" s="22" t="n">
        <v>7250</v>
      </c>
      <c r="V66" s="22" t="n">
        <v>7034</v>
      </c>
      <c r="W66" s="22" t="n">
        <v>6900</v>
      </c>
      <c r="X66" s="22" t="n">
        <v>6988</v>
      </c>
      <c r="Y66" s="22" t="n">
        <v>6942</v>
      </c>
      <c r="Z66" s="22" t="n">
        <v>7045</v>
      </c>
      <c r="AA66" s="22" t="n">
        <v>7074</v>
      </c>
      <c r="AB66" s="22" t="n">
        <v>7385</v>
      </c>
      <c r="AC66" s="22" t="n">
        <v>7382</v>
      </c>
      <c r="AD66" s="22" t="n">
        <v>7418</v>
      </c>
      <c r="AE66" s="22" t="n">
        <v>7584</v>
      </c>
      <c r="AF66" s="22" t="n">
        <v>7557</v>
      </c>
      <c r="AG66" s="22" t="n">
        <v>7651</v>
      </c>
      <c r="AH66" s="22" t="n">
        <v>7601</v>
      </c>
      <c r="AI66" s="22" t="n">
        <v>7115</v>
      </c>
      <c r="AJ66" s="22" t="n">
        <v>7251</v>
      </c>
      <c r="AK66" s="22" t="n">
        <v>7049</v>
      </c>
      <c r="AL66" s="22" t="n">
        <v>6850</v>
      </c>
      <c r="AM66" s="22" t="n">
        <v>6804</v>
      </c>
      <c r="AN66" s="22" t="n">
        <v>6650</v>
      </c>
      <c r="AO66" s="22" t="n">
        <v>6710</v>
      </c>
      <c r="AP66" s="22" t="n">
        <v>6783</v>
      </c>
      <c r="AQ66" s="22" t="n">
        <v>6847</v>
      </c>
      <c r="AR66" s="22" t="n">
        <v>6830</v>
      </c>
      <c r="AS66" s="22" t="n">
        <v>6750</v>
      </c>
      <c r="AT66" s="22" t="n">
        <v>6750</v>
      </c>
      <c r="AU66" s="22" t="n">
        <v>6696</v>
      </c>
      <c r="AV66" s="22" t="n">
        <v>6600</v>
      </c>
      <c r="AW66" s="22" t="n">
        <v>6558</v>
      </c>
      <c r="AX66" s="22" t="n">
        <v>6485</v>
      </c>
      <c r="AY66" s="22" t="n">
        <v>6674</v>
      </c>
      <c r="AZ66" s="22" t="n">
        <v>6571</v>
      </c>
      <c r="BA66" s="22" t="n">
        <v>6466</v>
      </c>
      <c r="BB66" s="22" t="n">
        <v>6437</v>
      </c>
      <c r="BC66" s="22" t="n">
        <v>6508</v>
      </c>
      <c r="BD66" s="22" t="n">
        <v>6459</v>
      </c>
      <c r="BE66" s="22" t="n">
        <v>6176</v>
      </c>
      <c r="BF66" s="22" t="n">
        <v>5934</v>
      </c>
      <c r="BG66" s="22" t="n">
        <v>6200</v>
      </c>
      <c r="BH66" s="22" t="n">
        <v>6340</v>
      </c>
      <c r="BI66" s="22" t="n">
        <v>6347</v>
      </c>
      <c r="BJ66" s="22" t="n">
        <v>6273</v>
      </c>
      <c r="BK66" s="22" t="n">
        <v>5991</v>
      </c>
      <c r="BL66" s="22" t="n">
        <v>6563</v>
      </c>
    </row>
    <row r="67" ht="15.95" customHeight="1" s="574">
      <c r="A67" s="81" t="inlineStr">
        <is>
          <t>4536</t>
        </is>
      </c>
      <c r="B67" s="17" t="inlineStr">
        <is>
          <t>参天製薬</t>
        </is>
      </c>
      <c r="C67" s="655">
        <f>_xll.RssMarket("4536","始値")</f>
        <v/>
      </c>
      <c r="D67" s="656">
        <f>C67-E67</f>
        <v/>
      </c>
      <c r="E67" s="22" t="n">
        <v>1857.5</v>
      </c>
      <c r="F67" s="22" t="n">
        <v>1851</v>
      </c>
      <c r="G67" s="22" t="n">
        <v>1893</v>
      </c>
      <c r="H67" s="22" t="n">
        <v>1935.5</v>
      </c>
      <c r="I67" s="22" t="n">
        <v>1899.5</v>
      </c>
      <c r="J67" s="22" t="n">
        <v>1949</v>
      </c>
      <c r="K67" s="22" t="n">
        <v>1937.5</v>
      </c>
      <c r="L67" s="22" t="n">
        <v>1920</v>
      </c>
      <c r="M67" s="22" t="n">
        <v>1962.5</v>
      </c>
      <c r="N67" s="22" t="n">
        <v>2007</v>
      </c>
      <c r="O67" s="22" t="n">
        <v>1925</v>
      </c>
      <c r="P67" s="22" t="n">
        <v>1856</v>
      </c>
      <c r="Q67" s="22" t="n">
        <v>1870</v>
      </c>
      <c r="R67" s="22" t="n">
        <v>1851</v>
      </c>
      <c r="S67" s="22" t="n">
        <v>1928.5</v>
      </c>
      <c r="T67" s="22" t="n">
        <v>1897</v>
      </c>
      <c r="U67" s="22" t="n">
        <v>1921</v>
      </c>
      <c r="V67" s="22" t="n">
        <v>1949.5</v>
      </c>
      <c r="W67" s="22" t="n">
        <v>1880</v>
      </c>
      <c r="X67" s="22" t="n">
        <v>1929.5</v>
      </c>
      <c r="Y67" s="22" t="n">
        <v>1925</v>
      </c>
      <c r="Z67" s="22" t="n">
        <v>1850.5</v>
      </c>
      <c r="AA67" s="22" t="n">
        <v>1854</v>
      </c>
      <c r="AB67" s="22" t="n">
        <v>1876</v>
      </c>
      <c r="AC67" s="22" t="n">
        <v>1818</v>
      </c>
      <c r="AD67" s="22" t="n">
        <v>1679.5</v>
      </c>
      <c r="AE67" s="22" t="n">
        <v>1612</v>
      </c>
      <c r="AF67" s="22" t="n">
        <v>1602.5</v>
      </c>
      <c r="AG67" s="22" t="n">
        <v>1625</v>
      </c>
      <c r="AH67" s="22" t="n">
        <v>1627</v>
      </c>
      <c r="AI67" s="22" t="n">
        <v>1634</v>
      </c>
      <c r="AJ67" s="22" t="n">
        <v>1651</v>
      </c>
      <c r="AK67" s="22" t="n">
        <v>1659</v>
      </c>
      <c r="AL67" s="22" t="n">
        <v>1674.5</v>
      </c>
      <c r="AM67" s="22" t="n">
        <v>1666.5</v>
      </c>
      <c r="AN67" s="22" t="n">
        <v>1717.5</v>
      </c>
      <c r="AO67" s="22" t="n">
        <v>1731.5</v>
      </c>
      <c r="AP67" s="22" t="n">
        <v>1797</v>
      </c>
      <c r="AQ67" s="22" t="n">
        <v>1786.5</v>
      </c>
      <c r="AR67" s="22" t="n">
        <v>1807.5</v>
      </c>
      <c r="AS67" s="22" t="n">
        <v>1794.5</v>
      </c>
      <c r="AT67" s="22" t="n">
        <v>1799</v>
      </c>
      <c r="AU67" s="22" t="n">
        <v>1814.5</v>
      </c>
      <c r="AV67" s="22" t="n">
        <v>1882</v>
      </c>
      <c r="AW67" s="22" t="n">
        <v>1912</v>
      </c>
      <c r="AX67" s="22" t="n">
        <v>1935.5</v>
      </c>
      <c r="AY67" s="22" t="n">
        <v>1870</v>
      </c>
      <c r="AZ67" s="22" t="n">
        <v>1849.5</v>
      </c>
      <c r="BA67" s="22" t="n">
        <v>1820</v>
      </c>
      <c r="BB67" s="22" t="n">
        <v>1854</v>
      </c>
      <c r="BC67" s="22" t="n">
        <v>1800.5</v>
      </c>
      <c r="BD67" s="22" t="n">
        <v>1775</v>
      </c>
      <c r="BE67" s="22" t="n">
        <v>1728</v>
      </c>
      <c r="BF67" s="22" t="n">
        <v>1769.5</v>
      </c>
      <c r="BG67" s="22" t="n">
        <v>1749.5</v>
      </c>
      <c r="BH67" s="22" t="n">
        <v>1740</v>
      </c>
      <c r="BI67" s="22" t="n">
        <v>1675.5</v>
      </c>
      <c r="BJ67" s="22" t="n">
        <v>1654</v>
      </c>
      <c r="BK67" s="22" t="n">
        <v>1686</v>
      </c>
      <c r="BL67" s="22" t="n">
        <v>1670</v>
      </c>
    </row>
    <row r="68" ht="15.95" customHeight="1" s="574">
      <c r="A68" s="81" t="inlineStr">
        <is>
          <t>6503</t>
        </is>
      </c>
      <c r="B68" s="17" t="inlineStr">
        <is>
          <t>三菱電機</t>
        </is>
      </c>
      <c r="C68" s="655">
        <f>_xll.RssMarket("6503","始値")</f>
        <v/>
      </c>
      <c r="D68" s="656">
        <f>C68-E68</f>
        <v/>
      </c>
      <c r="E68" s="22" t="n">
        <v>6121</v>
      </c>
      <c r="F68" s="22" t="n">
        <v>6148</v>
      </c>
      <c r="G68" s="22" t="n">
        <v>6163</v>
      </c>
      <c r="H68" s="22" t="n">
        <v>5853</v>
      </c>
      <c r="I68" s="22" t="n">
        <v>5958</v>
      </c>
      <c r="J68" s="22" t="n">
        <v>5700</v>
      </c>
      <c r="K68" s="22" t="n">
        <v>5621</v>
      </c>
      <c r="L68" s="22" t="n">
        <v>5372</v>
      </c>
      <c r="M68" s="22" t="n">
        <v>5750</v>
      </c>
      <c r="N68" s="22" t="n">
        <v>5514</v>
      </c>
      <c r="O68" s="22" t="n">
        <v>5899</v>
      </c>
      <c r="P68" s="22" t="n">
        <v>6051</v>
      </c>
      <c r="Q68" s="22" t="n">
        <v>6101</v>
      </c>
      <c r="R68" s="22" t="n">
        <v>6060</v>
      </c>
      <c r="S68" s="22" t="n">
        <v>6500</v>
      </c>
      <c r="T68" s="22" t="n">
        <v>6321</v>
      </c>
      <c r="U68" s="22" t="n">
        <v>6650</v>
      </c>
      <c r="V68" s="22" t="n">
        <v>6414</v>
      </c>
      <c r="W68" s="22" t="n">
        <v>6080</v>
      </c>
      <c r="X68" s="22" t="n">
        <v>6008</v>
      </c>
      <c r="Y68" s="22" t="n">
        <v>5823</v>
      </c>
      <c r="Z68" s="22" t="n">
        <v>6312</v>
      </c>
      <c r="AA68" s="22" t="n">
        <v>6380</v>
      </c>
      <c r="AB68" s="22" t="n">
        <v>6500</v>
      </c>
      <c r="AC68" s="22" t="n">
        <v>6463</v>
      </c>
      <c r="AD68" s="22" t="n">
        <v>6333</v>
      </c>
      <c r="AE68" s="22" t="n">
        <v>6623</v>
      </c>
      <c r="AF68" s="22" t="n">
        <v>6467</v>
      </c>
      <c r="AG68" s="22" t="n">
        <v>6448</v>
      </c>
      <c r="AH68" s="22" t="n">
        <v>6377</v>
      </c>
      <c r="AI68" s="22" t="n">
        <v>6269</v>
      </c>
      <c r="AJ68" s="22" t="n">
        <v>6398</v>
      </c>
      <c r="AK68" s="22" t="n">
        <v>6048</v>
      </c>
      <c r="AL68" s="22" t="n">
        <v>6039</v>
      </c>
      <c r="AM68" s="22" t="n">
        <v>5959</v>
      </c>
      <c r="AN68" s="22" t="n">
        <v>5869</v>
      </c>
      <c r="AO68" s="22" t="n">
        <v>5901</v>
      </c>
      <c r="AP68" s="22" t="n">
        <v>6100</v>
      </c>
      <c r="AQ68" s="22" t="n">
        <v>5883</v>
      </c>
      <c r="AR68" s="22" t="n">
        <v>5904</v>
      </c>
      <c r="AS68" s="22" t="n">
        <v>5878</v>
      </c>
      <c r="AT68" s="22" t="n">
        <v>5990</v>
      </c>
      <c r="AU68" s="22" t="n">
        <v>5914</v>
      </c>
      <c r="AV68" s="22" t="n">
        <v>5742</v>
      </c>
      <c r="AW68" s="22" t="n">
        <v>5700</v>
      </c>
      <c r="AX68" s="22" t="n">
        <v>5670</v>
      </c>
      <c r="AY68" s="22" t="n">
        <v>5595</v>
      </c>
      <c r="AZ68" s="22" t="n">
        <v>5349</v>
      </c>
      <c r="BA68" s="22" t="n">
        <v>5300</v>
      </c>
      <c r="BB68" s="22" t="n">
        <v>5344</v>
      </c>
      <c r="BC68" s="22" t="n">
        <v>5426</v>
      </c>
      <c r="BD68" s="22" t="n">
        <v>5237</v>
      </c>
      <c r="BE68" s="22" t="n">
        <v>4945</v>
      </c>
      <c r="BF68" s="22" t="n">
        <v>5008</v>
      </c>
      <c r="BG68" s="22" t="n">
        <v>5380</v>
      </c>
      <c r="BH68" s="22" t="n">
        <v>5578</v>
      </c>
      <c r="BI68" s="22" t="n">
        <v>5432</v>
      </c>
      <c r="BJ68" s="22" t="n">
        <v>5319</v>
      </c>
      <c r="BK68" s="22" t="n">
        <v>5183</v>
      </c>
      <c r="BL68" s="22" t="n">
        <v>5539</v>
      </c>
    </row>
    <row r="69" ht="15.95" customHeight="1" s="574">
      <c r="A69" s="81" t="inlineStr">
        <is>
          <t>4980</t>
        </is>
      </c>
      <c r="B69" s="17" t="inlineStr">
        <is>
          <t>デクセリアルズ</t>
        </is>
      </c>
      <c r="C69" s="655">
        <f>_xll.RssMarket("4980","始値")</f>
        <v/>
      </c>
      <c r="D69" s="656">
        <f>C69-E69</f>
        <v/>
      </c>
      <c r="E69" s="22" t="n">
        <v>4905</v>
      </c>
      <c r="F69" s="22" t="n">
        <v>4838</v>
      </c>
      <c r="G69" s="22" t="n">
        <v>4610</v>
      </c>
      <c r="H69" s="22" t="n">
        <v>4428</v>
      </c>
      <c r="I69" s="22" t="n">
        <v>4310</v>
      </c>
      <c r="J69" s="22" t="n">
        <v>4200</v>
      </c>
      <c r="K69" s="22" t="n">
        <v>3974</v>
      </c>
      <c r="L69" s="22" t="n">
        <v>3568</v>
      </c>
      <c r="M69" s="22" t="n">
        <v>3850</v>
      </c>
      <c r="N69" s="22" t="n">
        <v>3949</v>
      </c>
      <c r="O69" s="22" t="n">
        <v>4245</v>
      </c>
      <c r="P69" s="22" t="n">
        <v>4495</v>
      </c>
      <c r="Q69" s="22" t="n">
        <v>4758</v>
      </c>
      <c r="R69" s="22" t="n">
        <v>4472</v>
      </c>
      <c r="S69" s="22" t="n">
        <v>4116</v>
      </c>
      <c r="T69" s="22" t="n">
        <v>4000</v>
      </c>
      <c r="U69" s="22" t="n">
        <v>4288</v>
      </c>
      <c r="V69" s="22" t="n">
        <v>4233</v>
      </c>
      <c r="W69" s="22" t="n">
        <v>4282</v>
      </c>
      <c r="X69" s="22" t="n">
        <v>3948</v>
      </c>
      <c r="Y69" s="22" t="n">
        <v>3750</v>
      </c>
      <c r="Z69" s="22" t="n">
        <v>4195</v>
      </c>
      <c r="AA69" s="22" t="n">
        <v>4100</v>
      </c>
      <c r="AB69" s="22" t="n">
        <v>3849</v>
      </c>
      <c r="AC69" s="22" t="n">
        <v>3149</v>
      </c>
      <c r="AD69" s="22" t="n">
        <v>2649.5</v>
      </c>
      <c r="AE69" s="22" t="n">
        <v>2739</v>
      </c>
      <c r="AF69" s="22" t="n">
        <v>2800</v>
      </c>
      <c r="AG69" s="22" t="n">
        <v>2639</v>
      </c>
      <c r="AH69" s="22" t="n">
        <v>2573.5</v>
      </c>
      <c r="AI69" s="22" t="n">
        <v>2441</v>
      </c>
      <c r="AJ69" s="22" t="n">
        <v>2448.5</v>
      </c>
      <c r="AK69" s="22" t="n">
        <v>2510</v>
      </c>
      <c r="AL69" s="22" t="n">
        <v>2487</v>
      </c>
      <c r="AM69" s="22" t="n">
        <v>2421.5</v>
      </c>
      <c r="AN69" s="22" t="n">
        <v>2469</v>
      </c>
      <c r="AO69" s="22" t="n">
        <v>2468</v>
      </c>
      <c r="AP69" s="22" t="n">
        <v>2457.5</v>
      </c>
      <c r="AQ69" s="22" t="n">
        <v>2466</v>
      </c>
      <c r="AR69" s="22" t="n">
        <v>2400</v>
      </c>
      <c r="AS69" s="22" t="n">
        <v>2385</v>
      </c>
      <c r="AT69" s="22" t="n">
        <v>2437</v>
      </c>
      <c r="AU69" s="22" t="n">
        <v>2400</v>
      </c>
      <c r="AV69" s="22" t="n">
        <v>2350</v>
      </c>
      <c r="AW69" s="22" t="n">
        <v>2356</v>
      </c>
      <c r="AX69" s="22" t="n">
        <v>2318.5</v>
      </c>
      <c r="AY69" s="22" t="n">
        <v>2315</v>
      </c>
      <c r="AZ69" s="22" t="n">
        <v>2202.5</v>
      </c>
      <c r="BA69" s="22" t="n">
        <v>2175</v>
      </c>
      <c r="BB69" s="22" t="n">
        <v>2190</v>
      </c>
      <c r="BC69" s="22" t="n">
        <v>2246</v>
      </c>
      <c r="BD69" s="22" t="n">
        <v>2226.5</v>
      </c>
      <c r="BE69" s="22" t="n">
        <v>2094</v>
      </c>
      <c r="BF69" s="22" t="n">
        <v>2116</v>
      </c>
      <c r="BG69" s="22" t="n">
        <v>2220</v>
      </c>
      <c r="BH69" s="22" t="n">
        <v>2262</v>
      </c>
      <c r="BI69" s="22" t="n">
        <v>2240.5</v>
      </c>
      <c r="BJ69" s="22" t="n">
        <v>2229</v>
      </c>
      <c r="BK69" s="22" t="n">
        <v>2181</v>
      </c>
      <c r="BL69" s="22" t="n">
        <v>2337</v>
      </c>
    </row>
    <row r="70" ht="15.95" customHeight="1" s="574">
      <c r="A70" s="81" t="inlineStr">
        <is>
          <t>9424</t>
        </is>
      </c>
      <c r="B70" s="17" t="inlineStr">
        <is>
          <t>日本通信</t>
        </is>
      </c>
      <c r="C70" s="655">
        <f>_xll.RssMarket("9424","始値")</f>
        <v/>
      </c>
      <c r="D70" s="656">
        <f>C70-E70</f>
        <v/>
      </c>
      <c r="E70" s="22" t="n">
        <v>113</v>
      </c>
      <c r="F70" s="22" t="n">
        <v>115</v>
      </c>
      <c r="G70" s="22" t="n">
        <v>113</v>
      </c>
      <c r="H70" s="22" t="n">
        <v>115</v>
      </c>
      <c r="I70" s="22" t="n">
        <v>114</v>
      </c>
      <c r="J70" s="22" t="n">
        <v>115</v>
      </c>
      <c r="K70" s="22" t="n">
        <v>114</v>
      </c>
      <c r="L70" s="22" t="n">
        <v>113</v>
      </c>
      <c r="M70" s="22" t="n">
        <v>114</v>
      </c>
      <c r="N70" s="22" t="n">
        <v>113</v>
      </c>
      <c r="O70" s="22" t="n">
        <v>116</v>
      </c>
      <c r="P70" s="22" t="n">
        <v>115</v>
      </c>
      <c r="Q70" s="22" t="n">
        <v>116</v>
      </c>
      <c r="R70" s="22" t="n">
        <v>124</v>
      </c>
      <c r="S70" s="22" t="n">
        <v>122</v>
      </c>
      <c r="T70" s="22" t="n">
        <v>124</v>
      </c>
      <c r="U70" s="22" t="n">
        <v>125</v>
      </c>
      <c r="V70" s="22" t="n">
        <v>124</v>
      </c>
      <c r="W70" s="22" t="n">
        <v>126</v>
      </c>
      <c r="X70" s="22" t="n">
        <v>125</v>
      </c>
      <c r="Y70" s="22" t="n">
        <v>126</v>
      </c>
      <c r="Z70" s="22" t="n">
        <v>127</v>
      </c>
      <c r="AA70" s="22" t="n">
        <v>129</v>
      </c>
      <c r="AB70" s="22" t="n">
        <v>130</v>
      </c>
      <c r="AC70" s="22" t="n">
        <v>127</v>
      </c>
      <c r="AD70" s="22" t="n">
        <v>125</v>
      </c>
      <c r="AE70" s="22" t="n">
        <v>124</v>
      </c>
      <c r="AF70" s="22" t="n">
        <v>124</v>
      </c>
      <c r="AG70" s="22" t="n">
        <v>125</v>
      </c>
      <c r="AH70" s="22" t="n">
        <v>125</v>
      </c>
      <c r="AI70" s="22" t="n">
        <v>128</v>
      </c>
      <c r="AJ70" s="22" t="n">
        <v>129</v>
      </c>
      <c r="AK70" s="22" t="n">
        <v>131</v>
      </c>
      <c r="AL70" s="22" t="n">
        <v>131</v>
      </c>
      <c r="AM70" s="22" t="n">
        <v>132</v>
      </c>
      <c r="AN70" s="22" t="n">
        <v>131</v>
      </c>
      <c r="AO70" s="22" t="n">
        <v>126</v>
      </c>
      <c r="AP70" s="22" t="n">
        <v>125</v>
      </c>
      <c r="AQ70" s="22" t="n">
        <v>126</v>
      </c>
      <c r="AR70" s="22" t="n">
        <v>129</v>
      </c>
      <c r="AS70" s="22" t="n">
        <v>131</v>
      </c>
      <c r="AT70" s="22" t="n">
        <v>129</v>
      </c>
      <c r="AU70" s="22" t="n">
        <v>129</v>
      </c>
      <c r="AV70" s="22" t="n">
        <v>130</v>
      </c>
      <c r="AW70" s="22" t="n">
        <v>130</v>
      </c>
      <c r="AX70" s="22" t="n">
        <v>131</v>
      </c>
      <c r="AY70" s="22" t="n">
        <v>129</v>
      </c>
      <c r="AZ70" s="22" t="n">
        <v>130</v>
      </c>
      <c r="BA70" s="22" t="n">
        <v>129</v>
      </c>
      <c r="BB70" s="22" t="n">
        <v>131</v>
      </c>
      <c r="BC70" s="22" t="n">
        <v>132</v>
      </c>
      <c r="BD70" s="22" t="n">
        <v>131</v>
      </c>
      <c r="BE70" s="22" t="n">
        <v>129</v>
      </c>
      <c r="BF70" s="22" t="n">
        <v>127</v>
      </c>
      <c r="BG70" s="22" t="n">
        <v>132</v>
      </c>
      <c r="BH70" s="22" t="n">
        <v>132</v>
      </c>
      <c r="BI70" s="22" t="n">
        <v>131</v>
      </c>
      <c r="BJ70" s="22" t="n">
        <v>129</v>
      </c>
      <c r="BK70" s="22" t="n">
        <v>128</v>
      </c>
      <c r="BL70" s="22" t="n">
        <v>133</v>
      </c>
    </row>
    <row r="71" ht="15.95" customHeight="1" s="574">
      <c r="A71" s="81" t="inlineStr">
        <is>
          <t>3854</t>
        </is>
      </c>
      <c r="B71" s="17" t="inlineStr">
        <is>
          <t>アイル</t>
        </is>
      </c>
      <c r="C71" s="655">
        <f>_xll.RssMarket("3854","始値")</f>
        <v/>
      </c>
      <c r="D71" s="656">
        <f>C71-E71</f>
        <v/>
      </c>
      <c r="E71" s="22" t="n">
        <v>2175</v>
      </c>
      <c r="F71" s="22" t="n">
        <v>2195</v>
      </c>
      <c r="G71" s="22" t="n">
        <v>2172</v>
      </c>
      <c r="H71" s="22" t="n">
        <v>2170</v>
      </c>
      <c r="I71" s="22" t="n">
        <v>2200</v>
      </c>
      <c r="J71" s="22" t="n">
        <v>2225</v>
      </c>
      <c r="K71" s="22" t="n">
        <v>2302</v>
      </c>
      <c r="L71" s="22" t="n">
        <v>2387</v>
      </c>
      <c r="M71" s="22" t="n">
        <v>2398</v>
      </c>
      <c r="N71" s="22" t="n">
        <v>2425</v>
      </c>
      <c r="O71" s="22" t="n">
        <v>2521</v>
      </c>
      <c r="P71" s="22" t="n">
        <v>2588</v>
      </c>
      <c r="Q71" s="22" t="n">
        <v>2606</v>
      </c>
      <c r="R71" s="22" t="n">
        <v>2600</v>
      </c>
      <c r="S71" s="22" t="n">
        <v>2589</v>
      </c>
      <c r="T71" s="22" t="n">
        <v>2521</v>
      </c>
      <c r="U71" s="22" t="n">
        <v>2496</v>
      </c>
      <c r="V71" s="22" t="n">
        <v>2606</v>
      </c>
      <c r="W71" s="22" t="n">
        <v>2479</v>
      </c>
      <c r="X71" s="22" t="n">
        <v>2471</v>
      </c>
      <c r="Y71" s="22" t="n">
        <v>2447</v>
      </c>
      <c r="Z71" s="22" t="n">
        <v>2438</v>
      </c>
      <c r="AA71" s="22" t="n">
        <v>2394</v>
      </c>
      <c r="AB71" s="22" t="n">
        <v>2353</v>
      </c>
      <c r="AC71" s="22" t="n">
        <v>2376</v>
      </c>
      <c r="AD71" s="22" t="n">
        <v>2369</v>
      </c>
      <c r="AE71" s="22" t="n">
        <v>2381</v>
      </c>
      <c r="AF71" s="22" t="n">
        <v>2420</v>
      </c>
      <c r="AG71" s="22" t="n">
        <v>2373</v>
      </c>
      <c r="AH71" s="22" t="n">
        <v>2360</v>
      </c>
      <c r="AI71" s="22" t="n">
        <v>2365</v>
      </c>
      <c r="AJ71" s="22" t="n">
        <v>2396</v>
      </c>
      <c r="AK71" s="22" t="n">
        <v>2397</v>
      </c>
      <c r="AL71" s="22" t="n">
        <v>2390</v>
      </c>
      <c r="AM71" s="22" t="n">
        <v>2412</v>
      </c>
      <c r="AN71" s="22" t="n">
        <v>2463</v>
      </c>
      <c r="AO71" s="22" t="n">
        <v>2465</v>
      </c>
      <c r="AP71" s="22" t="n">
        <v>2480</v>
      </c>
      <c r="AQ71" s="22" t="n">
        <v>2460</v>
      </c>
      <c r="AR71" s="22" t="n">
        <v>2405</v>
      </c>
      <c r="AS71" s="22" t="n">
        <v>2450</v>
      </c>
      <c r="AT71" s="22" t="n">
        <v>2410</v>
      </c>
      <c r="AU71" s="22" t="n">
        <v>2395</v>
      </c>
      <c r="AV71" s="22" t="n">
        <v>2321</v>
      </c>
      <c r="AW71" s="22" t="n">
        <v>2407</v>
      </c>
      <c r="AX71" s="22" t="n">
        <v>2426</v>
      </c>
      <c r="AY71" s="22" t="n">
        <v>2459</v>
      </c>
      <c r="AZ71" s="22" t="n">
        <v>2435</v>
      </c>
      <c r="BA71" s="22" t="n">
        <v>2408</v>
      </c>
      <c r="BB71" s="22" t="n">
        <v>2380</v>
      </c>
      <c r="BC71" s="22" t="n">
        <v>2403</v>
      </c>
      <c r="BD71" s="22" t="n">
        <v>2401</v>
      </c>
      <c r="BE71" s="22" t="n">
        <v>2390</v>
      </c>
      <c r="BF71" s="22" t="n">
        <v>2397</v>
      </c>
      <c r="BG71" s="22" t="n">
        <v>2378</v>
      </c>
      <c r="BH71" s="22" t="n">
        <v>2400</v>
      </c>
      <c r="BI71" s="22" t="n">
        <v>2436</v>
      </c>
      <c r="BJ71" s="22" t="n">
        <v>2375</v>
      </c>
      <c r="BK71" s="22" t="n">
        <v>2313</v>
      </c>
      <c r="BL71" s="22" t="n">
        <v>2385</v>
      </c>
    </row>
    <row r="72" ht="15.95" customHeight="1" s="574">
      <c r="A72" s="81" t="inlineStr">
        <is>
          <t>6027</t>
        </is>
      </c>
      <c r="B72" s="17" t="inlineStr">
        <is>
          <t>弁護士ドットコム</t>
        </is>
      </c>
      <c r="C72" s="655">
        <f>_xll.RssMarket("6027","始値")</f>
        <v/>
      </c>
      <c r="D72" s="656">
        <f>C72-E72</f>
        <v/>
      </c>
      <c r="E72" s="22" t="n">
        <v>2200</v>
      </c>
      <c r="F72" s="22" t="n">
        <v>2130</v>
      </c>
      <c r="G72" s="22" t="n">
        <v>2125</v>
      </c>
      <c r="H72" s="22" t="n">
        <v>2110</v>
      </c>
      <c r="I72" s="22" t="n">
        <v>2083</v>
      </c>
      <c r="J72" s="22" t="n">
        <v>2139</v>
      </c>
      <c r="K72" s="22" t="n">
        <v>2192</v>
      </c>
      <c r="L72" s="22" t="n">
        <v>2145</v>
      </c>
      <c r="M72" s="22" t="n">
        <v>2190</v>
      </c>
      <c r="N72" s="22" t="n">
        <v>2224</v>
      </c>
      <c r="O72" s="22" t="n">
        <v>2276</v>
      </c>
      <c r="P72" s="22" t="n">
        <v>2250</v>
      </c>
      <c r="Q72" s="22" t="n">
        <v>2285</v>
      </c>
      <c r="R72" s="22" t="n">
        <v>2352</v>
      </c>
      <c r="S72" s="22" t="n">
        <v>2436</v>
      </c>
      <c r="T72" s="22" t="n">
        <v>2460</v>
      </c>
      <c r="U72" s="22" t="n">
        <v>2497</v>
      </c>
      <c r="V72" s="22" t="n">
        <v>2550</v>
      </c>
      <c r="W72" s="22" t="n">
        <v>2555</v>
      </c>
      <c r="X72" s="22" t="n">
        <v>2580</v>
      </c>
      <c r="Y72" s="22" t="n">
        <v>2766</v>
      </c>
      <c r="Z72" s="22" t="n">
        <v>2769</v>
      </c>
      <c r="AA72" s="22" t="n">
        <v>2715</v>
      </c>
      <c r="AB72" s="22" t="n">
        <v>2745</v>
      </c>
      <c r="AC72" s="22" t="n">
        <v>2700</v>
      </c>
      <c r="AD72" s="22" t="n">
        <v>2643</v>
      </c>
      <c r="AE72" s="22" t="n">
        <v>2726</v>
      </c>
      <c r="AF72" s="22" t="n">
        <v>2762</v>
      </c>
      <c r="AG72" s="22" t="n">
        <v>2676</v>
      </c>
      <c r="AH72" s="22" t="n">
        <v>2550</v>
      </c>
      <c r="AI72" s="22" t="n">
        <v>2494</v>
      </c>
      <c r="AJ72" s="22" t="n">
        <v>2500</v>
      </c>
      <c r="AK72" s="22" t="n">
        <v>2420</v>
      </c>
      <c r="AL72" s="22" t="n">
        <v>2493</v>
      </c>
      <c r="AM72" s="22" t="n">
        <v>2541</v>
      </c>
      <c r="AN72" s="22" t="n">
        <v>2611</v>
      </c>
      <c r="AO72" s="22" t="n">
        <v>2595</v>
      </c>
      <c r="AP72" s="22" t="n">
        <v>2609</v>
      </c>
      <c r="AQ72" s="22" t="n">
        <v>2570</v>
      </c>
      <c r="AR72" s="22" t="n">
        <v>2610</v>
      </c>
      <c r="AS72" s="22" t="n">
        <v>2745</v>
      </c>
      <c r="AT72" s="22" t="n">
        <v>2609</v>
      </c>
      <c r="AU72" s="22" t="n">
        <v>2599</v>
      </c>
      <c r="AV72" s="22" t="n">
        <v>2495</v>
      </c>
      <c r="AW72" s="22" t="n">
        <v>2777</v>
      </c>
      <c r="AX72" s="22" t="n">
        <v>2789</v>
      </c>
      <c r="AY72" s="22" t="n">
        <v>2920</v>
      </c>
      <c r="AZ72" s="22" t="n">
        <v>2858</v>
      </c>
      <c r="BA72" s="22" t="n">
        <v>2845</v>
      </c>
      <c r="BB72" s="22" t="n">
        <v>2866</v>
      </c>
      <c r="BC72" s="22" t="n">
        <v>2895</v>
      </c>
      <c r="BD72" s="22" t="n">
        <v>2950</v>
      </c>
      <c r="BE72" s="22" t="n">
        <v>2834</v>
      </c>
      <c r="BF72" s="22" t="n">
        <v>2794</v>
      </c>
      <c r="BG72" s="22" t="n">
        <v>2930</v>
      </c>
      <c r="BH72" s="22" t="n">
        <v>2870</v>
      </c>
      <c r="BI72" s="22" t="n">
        <v>2836</v>
      </c>
      <c r="BJ72" s="22" t="n">
        <v>2834</v>
      </c>
      <c r="BK72" s="22" t="n">
        <v>2750</v>
      </c>
      <c r="BL72" s="22" t="n">
        <v>2769</v>
      </c>
    </row>
    <row r="73" ht="15.95" customHeight="1" s="574">
      <c r="A73" s="81" t="inlineStr">
        <is>
          <t>7806</t>
        </is>
      </c>
      <c r="B73" s="17" t="inlineStr">
        <is>
          <t>ＭＴＧ</t>
        </is>
      </c>
      <c r="C73" s="655">
        <f>_xll.RssMarket("7806","始値")</f>
        <v/>
      </c>
      <c r="D73" s="656">
        <f>C73-E73</f>
        <v/>
      </c>
      <c r="E73" s="22" t="n">
        <v>7650</v>
      </c>
      <c r="F73" s="22" t="n">
        <v>7680</v>
      </c>
      <c r="G73" s="22" t="n">
        <v>7400</v>
      </c>
      <c r="H73" s="22" t="n">
        <v>7260</v>
      </c>
      <c r="I73" s="22" t="n">
        <v>7110</v>
      </c>
      <c r="J73" s="22" t="n">
        <v>7020</v>
      </c>
      <c r="K73" s="22" t="n">
        <v>7250</v>
      </c>
      <c r="L73" s="22" t="n">
        <v>6870</v>
      </c>
      <c r="M73" s="22" t="n">
        <v>7070</v>
      </c>
      <c r="N73" s="22" t="n">
        <v>6760</v>
      </c>
      <c r="O73" s="22" t="n">
        <v>6850</v>
      </c>
      <c r="P73" s="22" t="n">
        <v>7080</v>
      </c>
      <c r="Q73" s="22" t="n">
        <v>7110</v>
      </c>
      <c r="R73" s="22" t="n">
        <v>7500</v>
      </c>
      <c r="S73" s="22" t="n">
        <v>7430</v>
      </c>
      <c r="T73" s="22" t="n">
        <v>7000</v>
      </c>
      <c r="U73" s="22" t="n">
        <v>7050</v>
      </c>
      <c r="V73" s="22" t="n">
        <v>6320</v>
      </c>
      <c r="W73" s="22" t="n">
        <v>6390</v>
      </c>
      <c r="X73" s="22" t="n">
        <v>6560</v>
      </c>
      <c r="Y73" s="22" t="n">
        <v>6630</v>
      </c>
      <c r="Z73" s="22" t="n">
        <v>6390</v>
      </c>
      <c r="AA73" s="22" t="n">
        <v>6710</v>
      </c>
      <c r="AB73" s="22" t="n">
        <v>7050</v>
      </c>
      <c r="AC73" s="22" t="n">
        <v>6780</v>
      </c>
      <c r="AD73" s="22" t="n">
        <v>6600</v>
      </c>
      <c r="AE73" s="22" t="n">
        <v>6490</v>
      </c>
      <c r="AF73" s="22" t="n">
        <v>6390</v>
      </c>
      <c r="AG73" s="22" t="n">
        <v>6250</v>
      </c>
      <c r="AH73" s="22" t="n">
        <v>5810</v>
      </c>
      <c r="AI73" s="22" t="n">
        <v>5890</v>
      </c>
      <c r="AJ73" s="22" t="n">
        <v>5940</v>
      </c>
      <c r="AK73" s="22" t="n">
        <v>6210</v>
      </c>
      <c r="AL73" s="22" t="n">
        <v>6380</v>
      </c>
      <c r="AM73" s="22" t="n">
        <v>6550</v>
      </c>
      <c r="AN73" s="22" t="n">
        <v>6550</v>
      </c>
      <c r="AO73" s="22" t="n">
        <v>6630</v>
      </c>
      <c r="AP73" s="22" t="n">
        <v>6670</v>
      </c>
      <c r="AQ73" s="22" t="n">
        <v>6490</v>
      </c>
      <c r="AR73" s="22" t="n">
        <v>6450</v>
      </c>
      <c r="AS73" s="22" t="n">
        <v>6400</v>
      </c>
      <c r="AT73" s="22" t="n">
        <v>6190</v>
      </c>
      <c r="AU73" s="22" t="n">
        <v>5970</v>
      </c>
      <c r="AV73" s="22" t="n">
        <v>6060</v>
      </c>
      <c r="AW73" s="22" t="n">
        <v>6200</v>
      </c>
      <c r="AX73" s="22" t="n">
        <v>6230</v>
      </c>
      <c r="AY73" s="22" t="n">
        <v>6150</v>
      </c>
      <c r="AZ73" s="22" t="n">
        <v>6280</v>
      </c>
      <c r="BA73" s="22" t="n">
        <v>6400</v>
      </c>
      <c r="BB73" s="22" t="n">
        <v>6310</v>
      </c>
      <c r="BC73" s="22" t="n">
        <v>6190</v>
      </c>
      <c r="BD73" s="22" t="n">
        <v>6280</v>
      </c>
      <c r="BE73" s="22" t="n">
        <v>6200</v>
      </c>
      <c r="BF73" s="22" t="n">
        <v>6400</v>
      </c>
      <c r="BG73" s="22" t="n">
        <v>6120</v>
      </c>
      <c r="BH73" s="22" t="n">
        <v>5940</v>
      </c>
      <c r="BI73" s="22" t="n">
        <v>5960</v>
      </c>
      <c r="BJ73" s="22" t="n">
        <v>6030</v>
      </c>
      <c r="BK73" s="22" t="n">
        <v>6320</v>
      </c>
      <c r="BL73" s="22" t="n">
        <v>6160</v>
      </c>
    </row>
    <row r="74" ht="15.95" customHeight="1" s="574">
      <c r="A74" s="81" t="inlineStr">
        <is>
          <t>9202</t>
        </is>
      </c>
      <c r="B74" s="17" t="inlineStr">
        <is>
          <t>ＡＮＡホールディングス</t>
        </is>
      </c>
      <c r="C74" s="655">
        <f>_xll.RssMarket("9202","始値")</f>
        <v/>
      </c>
      <c r="D74" s="656">
        <f>C74-E74</f>
        <v/>
      </c>
      <c r="E74" s="22" t="n">
        <v>2941</v>
      </c>
      <c r="F74" s="22" t="n">
        <v>2980</v>
      </c>
      <c r="G74" s="22" t="n">
        <v>3022</v>
      </c>
      <c r="H74" s="22" t="n">
        <v>3050</v>
      </c>
      <c r="I74" s="22" t="n">
        <v>3019</v>
      </c>
      <c r="J74" s="22" t="n">
        <v>2931.5</v>
      </c>
      <c r="K74" s="22" t="n">
        <v>2826.5</v>
      </c>
      <c r="L74" s="22" t="n">
        <v>2782</v>
      </c>
      <c r="M74" s="22" t="n">
        <v>2799</v>
      </c>
      <c r="N74" s="22" t="n">
        <v>2839</v>
      </c>
      <c r="O74" s="22" t="n">
        <v>2824.5</v>
      </c>
      <c r="P74" s="22" t="n">
        <v>2796.5</v>
      </c>
      <c r="Q74" s="22" t="n">
        <v>2801</v>
      </c>
      <c r="R74" s="22" t="n">
        <v>2881.5</v>
      </c>
      <c r="S74" s="22" t="n">
        <v>2930</v>
      </c>
      <c r="T74" s="22" t="n">
        <v>2919.5</v>
      </c>
      <c r="U74" s="22" t="n">
        <v>2880.5</v>
      </c>
      <c r="V74" s="22" t="n">
        <v>2831</v>
      </c>
      <c r="W74" s="22" t="n">
        <v>2785</v>
      </c>
      <c r="X74" s="22" t="n">
        <v>2783.5</v>
      </c>
      <c r="Y74" s="22" t="n">
        <v>2746</v>
      </c>
      <c r="Z74" s="22" t="n">
        <v>2732.5</v>
      </c>
      <c r="AA74" s="22" t="n">
        <v>2770</v>
      </c>
      <c r="AB74" s="22" t="n">
        <v>2768</v>
      </c>
      <c r="AC74" s="22" t="n">
        <v>2785</v>
      </c>
      <c r="AD74" s="22" t="n">
        <v>2791</v>
      </c>
      <c r="AE74" s="22" t="n">
        <v>2793.5</v>
      </c>
      <c r="AF74" s="22" t="n">
        <v>2810</v>
      </c>
      <c r="AG74" s="22" t="n">
        <v>2860.5</v>
      </c>
      <c r="AH74" s="22" t="n">
        <v>2759.5</v>
      </c>
      <c r="AI74" s="22" t="n">
        <v>2639.5</v>
      </c>
      <c r="AJ74" s="22" t="n">
        <v>2629</v>
      </c>
      <c r="AK74" s="22" t="n">
        <v>2646.5</v>
      </c>
      <c r="AL74" s="22" t="n">
        <v>2680</v>
      </c>
      <c r="AM74" s="22" t="n">
        <v>2725</v>
      </c>
      <c r="AN74" s="22" t="n">
        <v>2800</v>
      </c>
      <c r="AO74" s="22" t="n">
        <v>2821</v>
      </c>
      <c r="AP74" s="22" t="n">
        <v>2880</v>
      </c>
      <c r="AQ74" s="22" t="n">
        <v>2850</v>
      </c>
      <c r="AR74" s="22" t="n">
        <v>2829.5</v>
      </c>
      <c r="AS74" s="22" t="n">
        <v>2870</v>
      </c>
      <c r="AT74" s="22" t="n">
        <v>2856</v>
      </c>
      <c r="AU74" s="22" t="n">
        <v>2880</v>
      </c>
      <c r="AV74" s="22" t="n">
        <v>2890</v>
      </c>
      <c r="AW74" s="22" t="n">
        <v>2890</v>
      </c>
      <c r="AX74" s="22" t="n">
        <v>2930</v>
      </c>
      <c r="AY74" s="22" t="n">
        <v>2960</v>
      </c>
      <c r="AZ74" s="22" t="n">
        <v>2927.5</v>
      </c>
      <c r="BA74" s="22" t="n">
        <v>2947.5</v>
      </c>
      <c r="BB74" s="22" t="n">
        <v>2910</v>
      </c>
      <c r="BC74" s="22" t="n">
        <v>2932</v>
      </c>
      <c r="BD74" s="22" t="n">
        <v>2879</v>
      </c>
      <c r="BE74" s="22" t="n">
        <v>2857.5</v>
      </c>
      <c r="BF74" s="22" t="n">
        <v>2841</v>
      </c>
      <c r="BG74" s="22" t="n">
        <v>2998</v>
      </c>
      <c r="BH74" s="22" t="n">
        <v>2990</v>
      </c>
      <c r="BI74" s="22" t="n">
        <v>2975</v>
      </c>
      <c r="BJ74" s="22" t="n">
        <v>2950.5</v>
      </c>
      <c r="BK74" s="22" t="n">
        <v>2877</v>
      </c>
      <c r="BL74" s="22" t="n">
        <v>2984.5</v>
      </c>
    </row>
    <row r="75" ht="15.95" customHeight="1" s="574">
      <c r="A75" s="81" t="inlineStr">
        <is>
          <t>7846</t>
        </is>
      </c>
      <c r="B75" s="17" t="inlineStr">
        <is>
          <t>パイロットコーポレーション</t>
        </is>
      </c>
      <c r="C75" s="655">
        <f>_xll.RssMarket("7846","始値")</f>
        <v/>
      </c>
      <c r="D75" s="656">
        <f>C75-E75</f>
        <v/>
      </c>
      <c r="E75" s="22" t="n">
        <v>4936</v>
      </c>
      <c r="F75" s="22" t="n">
        <v>4946</v>
      </c>
      <c r="G75" s="22" t="n">
        <v>4965</v>
      </c>
      <c r="H75" s="22" t="n">
        <v>4981</v>
      </c>
      <c r="I75" s="22" t="n">
        <v>4930</v>
      </c>
      <c r="J75" s="22" t="n">
        <v>4955</v>
      </c>
      <c r="K75" s="22" t="n">
        <v>4908</v>
      </c>
      <c r="L75" s="22" t="n">
        <v>4869</v>
      </c>
      <c r="M75" s="22" t="n">
        <v>4883</v>
      </c>
      <c r="N75" s="22" t="n">
        <v>4878</v>
      </c>
      <c r="O75" s="22" t="n">
        <v>4845</v>
      </c>
      <c r="P75" s="22" t="n">
        <v>4836</v>
      </c>
      <c r="Q75" s="22" t="n">
        <v>4854</v>
      </c>
      <c r="R75" s="22" t="n">
        <v>4841</v>
      </c>
      <c r="S75" s="22" t="n">
        <v>4882</v>
      </c>
      <c r="T75" s="22" t="n">
        <v>4939</v>
      </c>
      <c r="U75" s="22" t="n">
        <v>4909</v>
      </c>
      <c r="V75" s="22" t="n">
        <v>4948</v>
      </c>
      <c r="W75" s="22" t="n">
        <v>4901</v>
      </c>
      <c r="X75" s="22" t="n">
        <v>4939</v>
      </c>
      <c r="Y75" s="22" t="n">
        <v>4789</v>
      </c>
      <c r="Z75" s="22" t="n">
        <v>4690</v>
      </c>
      <c r="AA75" s="22" t="n">
        <v>4617</v>
      </c>
      <c r="AB75" s="22" t="n">
        <v>4581</v>
      </c>
      <c r="AC75" s="22" t="n">
        <v>4586</v>
      </c>
      <c r="AD75" s="22" t="n">
        <v>4565</v>
      </c>
      <c r="AE75" s="22" t="n">
        <v>4668</v>
      </c>
      <c r="AF75" s="22" t="n">
        <v>4750</v>
      </c>
      <c r="AG75" s="22" t="n">
        <v>4823</v>
      </c>
      <c r="AH75" s="22" t="n">
        <v>4818</v>
      </c>
      <c r="AI75" s="22" t="n">
        <v>4742</v>
      </c>
      <c r="AJ75" s="22" t="n">
        <v>4800</v>
      </c>
      <c r="AK75" s="22" t="n">
        <v>4792</v>
      </c>
      <c r="AL75" s="22" t="n">
        <v>4773</v>
      </c>
      <c r="AM75" s="22" t="n">
        <v>4843</v>
      </c>
      <c r="AN75" s="22" t="n">
        <v>4791</v>
      </c>
      <c r="AO75" s="22" t="n">
        <v>4830</v>
      </c>
      <c r="AP75" s="22" t="n">
        <v>4811</v>
      </c>
      <c r="AQ75" s="22" t="n">
        <v>4870</v>
      </c>
      <c r="AR75" s="22" t="n">
        <v>4845</v>
      </c>
      <c r="AS75" s="22" t="n">
        <v>4869</v>
      </c>
      <c r="AT75" s="22" t="n">
        <v>4834</v>
      </c>
      <c r="AU75" s="22" t="n">
        <v>4860</v>
      </c>
      <c r="AV75" s="22" t="n">
        <v>4874</v>
      </c>
      <c r="AW75" s="22" t="n">
        <v>4972</v>
      </c>
      <c r="AX75" s="22" t="n">
        <v>4968</v>
      </c>
      <c r="AY75" s="22" t="n">
        <v>4980</v>
      </c>
      <c r="AZ75" s="22" t="n">
        <v>4923</v>
      </c>
      <c r="BA75" s="22" t="n">
        <v>4846</v>
      </c>
      <c r="BB75" s="22" t="n">
        <v>4841</v>
      </c>
      <c r="BC75" s="22" t="n">
        <v>4880</v>
      </c>
      <c r="BD75" s="22" t="n">
        <v>4791</v>
      </c>
      <c r="BE75" s="22" t="n">
        <v>4624</v>
      </c>
      <c r="BF75" s="22" t="n">
        <v>4670</v>
      </c>
      <c r="BG75" s="22" t="n">
        <v>4799</v>
      </c>
      <c r="BH75" s="22" t="n">
        <v>4817</v>
      </c>
      <c r="BI75" s="22" t="n">
        <v>4750</v>
      </c>
      <c r="BJ75" s="22" t="n">
        <v>4666</v>
      </c>
      <c r="BK75" s="22" t="n">
        <v>4517</v>
      </c>
      <c r="BL75" s="22" t="n">
        <v>4570</v>
      </c>
    </row>
    <row r="76" ht="15.95" customHeight="1" s="574">
      <c r="A76" s="81" t="inlineStr">
        <is>
          <t>2802</t>
        </is>
      </c>
      <c r="B76" s="17" t="inlineStr">
        <is>
          <t>味の素</t>
        </is>
      </c>
      <c r="C76" s="655">
        <f>_xll.RssMarket("2802","始値")</f>
        <v/>
      </c>
      <c r="D76" s="656">
        <f>C76-E76</f>
        <v/>
      </c>
      <c r="E76" s="22" t="n">
        <v>5747</v>
      </c>
      <c r="F76" s="22" t="n">
        <v>5840</v>
      </c>
      <c r="G76" s="22" t="n">
        <v>5385</v>
      </c>
      <c r="H76" s="22" t="n">
        <v>5187</v>
      </c>
      <c r="I76" s="22" t="n">
        <v>4996</v>
      </c>
      <c r="J76" s="22" t="n">
        <v>5500</v>
      </c>
      <c r="K76" s="22" t="n">
        <v>5200</v>
      </c>
      <c r="L76" s="22" t="n">
        <v>4848</v>
      </c>
      <c r="M76" s="22" t="n">
        <v>4772</v>
      </c>
      <c r="N76" s="22" t="n">
        <v>4802</v>
      </c>
      <c r="O76" s="22" t="n">
        <v>5050</v>
      </c>
      <c r="P76" s="22" t="n">
        <v>5130</v>
      </c>
      <c r="Q76" s="22" t="n">
        <v>5269</v>
      </c>
      <c r="R76" s="22" t="n">
        <v>5302</v>
      </c>
      <c r="S76" s="22" t="n">
        <v>5140</v>
      </c>
      <c r="T76" s="22" t="n">
        <v>5189</v>
      </c>
      <c r="U76" s="22" t="n">
        <v>5345</v>
      </c>
      <c r="V76" s="22" t="n">
        <v>5270</v>
      </c>
      <c r="W76" s="22" t="n">
        <v>5243</v>
      </c>
      <c r="X76" s="22" t="n">
        <v>5099</v>
      </c>
      <c r="Y76" s="22" t="n">
        <v>5278</v>
      </c>
      <c r="Z76" s="22" t="n">
        <v>5200</v>
      </c>
      <c r="AA76" s="22" t="n">
        <v>5280</v>
      </c>
      <c r="AB76" s="22" t="n">
        <v>5542</v>
      </c>
      <c r="AC76" s="22" t="n">
        <v>5587</v>
      </c>
      <c r="AD76" s="22" t="n">
        <v>5371</v>
      </c>
      <c r="AE76" s="22" t="n">
        <v>5502</v>
      </c>
      <c r="AF76" s="22" t="n">
        <v>5179</v>
      </c>
      <c r="AG76" s="22" t="n">
        <v>4818</v>
      </c>
      <c r="AH76" s="22" t="n">
        <v>4952</v>
      </c>
      <c r="AI76" s="22" t="n">
        <v>4904</v>
      </c>
      <c r="AJ76" s="22" t="n">
        <v>4913</v>
      </c>
      <c r="AK76" s="22" t="n">
        <v>4794</v>
      </c>
      <c r="AL76" s="22" t="n">
        <v>4755</v>
      </c>
      <c r="AM76" s="22" t="n">
        <v>4727</v>
      </c>
      <c r="AN76" s="22" t="n">
        <v>4607</v>
      </c>
      <c r="AO76" s="22" t="n">
        <v>4652</v>
      </c>
      <c r="AP76" s="22" t="n">
        <v>4607</v>
      </c>
      <c r="AQ76" s="22" t="n">
        <v>4599</v>
      </c>
      <c r="AR76" s="22" t="n">
        <v>4651</v>
      </c>
      <c r="AS76" s="22" t="n">
        <v>4637</v>
      </c>
      <c r="AT76" s="22" t="n">
        <v>4651</v>
      </c>
      <c r="AU76" s="22" t="n">
        <v>4600</v>
      </c>
      <c r="AV76" s="22" t="n">
        <v>4601</v>
      </c>
      <c r="AW76" s="22" t="n">
        <v>4722</v>
      </c>
      <c r="AX76" s="22" t="n">
        <v>4770</v>
      </c>
      <c r="AY76" s="22" t="n">
        <v>4800</v>
      </c>
      <c r="AZ76" s="22" t="n">
        <v>4646</v>
      </c>
      <c r="BA76" s="22" t="n">
        <v>4615</v>
      </c>
      <c r="BB76" s="22" t="n">
        <v>4700</v>
      </c>
      <c r="BC76" s="22" t="n">
        <v>4662</v>
      </c>
      <c r="BD76" s="22" t="n">
        <v>4590</v>
      </c>
      <c r="BE76" s="22" t="n">
        <v>4348</v>
      </c>
      <c r="BF76" s="22" t="n">
        <v>4296</v>
      </c>
      <c r="BG76" s="22" t="n">
        <v>4513</v>
      </c>
      <c r="BH76" s="22" t="n">
        <v>4511</v>
      </c>
      <c r="BI76" s="22" t="n">
        <v>4430</v>
      </c>
      <c r="BJ76" s="22" t="n">
        <v>4299</v>
      </c>
      <c r="BK76" s="22" t="n">
        <v>4195</v>
      </c>
      <c r="BL76" s="22" t="n">
        <v>4437</v>
      </c>
    </row>
    <row r="77" ht="15.95" customHeight="1" s="574">
      <c r="A77" s="81" t="inlineStr">
        <is>
          <t>7203</t>
        </is>
      </c>
      <c r="B77" s="17" t="inlineStr">
        <is>
          <t>トヨタ自動車</t>
        </is>
      </c>
      <c r="C77" s="655">
        <f>_xll.RssMarket("7203","始値")</f>
        <v/>
      </c>
      <c r="D77" s="656">
        <f>C77-E77</f>
        <v/>
      </c>
      <c r="E77" s="22" t="n">
        <v>2770</v>
      </c>
      <c r="F77" s="22" t="n">
        <v>2785</v>
      </c>
      <c r="G77" s="22" t="n">
        <v>2800</v>
      </c>
      <c r="H77" s="22" t="n">
        <v>2862.5</v>
      </c>
      <c r="I77" s="22" t="n">
        <v>2867</v>
      </c>
      <c r="J77" s="22" t="n">
        <v>2836.5</v>
      </c>
      <c r="K77" s="22" t="n">
        <v>2792</v>
      </c>
      <c r="L77" s="22" t="n">
        <v>2768</v>
      </c>
      <c r="M77" s="22" t="n">
        <v>2837</v>
      </c>
      <c r="N77" s="22" t="n">
        <v>2817</v>
      </c>
      <c r="O77" s="22" t="n">
        <v>2872</v>
      </c>
      <c r="P77" s="22" t="n">
        <v>2875</v>
      </c>
      <c r="Q77" s="22" t="n">
        <v>2840</v>
      </c>
      <c r="R77" s="22" t="n">
        <v>2849.5</v>
      </c>
      <c r="S77" s="22" t="n">
        <v>3022</v>
      </c>
      <c r="T77" s="22" t="n">
        <v>3039</v>
      </c>
      <c r="U77" s="22" t="n">
        <v>3016</v>
      </c>
      <c r="V77" s="22" t="n">
        <v>3051</v>
      </c>
      <c r="W77" s="22" t="n">
        <v>3020</v>
      </c>
      <c r="X77" s="22" t="n">
        <v>2964.5</v>
      </c>
      <c r="Y77" s="22" t="n">
        <v>3003</v>
      </c>
      <c r="Z77" s="22" t="n">
        <v>2955</v>
      </c>
      <c r="AA77" s="22" t="n">
        <v>2990</v>
      </c>
      <c r="AB77" s="22" t="n">
        <v>3017</v>
      </c>
      <c r="AC77" s="22" t="n">
        <v>2944</v>
      </c>
      <c r="AD77" s="22" t="n">
        <v>2884.5</v>
      </c>
      <c r="AE77" s="22" t="n">
        <v>2831</v>
      </c>
      <c r="AF77" s="22" t="n">
        <v>2800</v>
      </c>
      <c r="AG77" s="22" t="n">
        <v>3020</v>
      </c>
      <c r="AH77" s="22" t="n">
        <v>3017</v>
      </c>
      <c r="AI77" s="22" t="n">
        <v>3000</v>
      </c>
      <c r="AJ77" s="22" t="n">
        <v>3062</v>
      </c>
      <c r="AK77" s="22" t="n">
        <v>3131</v>
      </c>
      <c r="AL77" s="22" t="n">
        <v>3122</v>
      </c>
      <c r="AM77" s="22" t="n">
        <v>3191</v>
      </c>
      <c r="AN77" s="22" t="n">
        <v>3220</v>
      </c>
      <c r="AO77" s="22" t="n">
        <v>3345</v>
      </c>
      <c r="AP77" s="22" t="n">
        <v>3413</v>
      </c>
      <c r="AQ77" s="22" t="n">
        <v>3400</v>
      </c>
      <c r="AR77" s="22" t="n">
        <v>3416</v>
      </c>
      <c r="AS77" s="22" t="n">
        <v>3355</v>
      </c>
      <c r="AT77" s="22" t="n">
        <v>3355</v>
      </c>
      <c r="AU77" s="22" t="n">
        <v>3295</v>
      </c>
      <c r="AV77" s="22" t="n">
        <v>3345</v>
      </c>
      <c r="AW77" s="22" t="n">
        <v>3398</v>
      </c>
      <c r="AX77" s="22" t="n">
        <v>3392</v>
      </c>
      <c r="AY77" s="22" t="n">
        <v>3235</v>
      </c>
      <c r="AZ77" s="22" t="n">
        <v>3255</v>
      </c>
      <c r="BA77" s="22" t="n">
        <v>3277</v>
      </c>
      <c r="BB77" s="22" t="n">
        <v>3365</v>
      </c>
      <c r="BC77" s="22" t="n">
        <v>3280</v>
      </c>
      <c r="BD77" s="22" t="n">
        <v>3200</v>
      </c>
      <c r="BE77" s="22" t="n">
        <v>3204</v>
      </c>
      <c r="BF77" s="22" t="n">
        <v>3355</v>
      </c>
      <c r="BG77" s="22" t="n">
        <v>3383</v>
      </c>
      <c r="BH77" s="22" t="n">
        <v>3389</v>
      </c>
      <c r="BI77" s="22" t="n">
        <v>3321</v>
      </c>
      <c r="BJ77" s="22" t="n">
        <v>3278</v>
      </c>
      <c r="BK77" s="22" t="n">
        <v>3360</v>
      </c>
      <c r="BL77" s="22" t="n">
        <v>3359</v>
      </c>
    </row>
    <row r="78" ht="15.95" customHeight="1" s="574">
      <c r="A78" s="81" t="inlineStr">
        <is>
          <t>6954</t>
        </is>
      </c>
      <c r="B78" s="17" t="inlineStr">
        <is>
          <t>ファナック</t>
        </is>
      </c>
      <c r="C78" s="655">
        <f>_xll.RssMarket("6954","始値")</f>
        <v/>
      </c>
      <c r="D78" s="656">
        <f>C78-E78</f>
        <v/>
      </c>
      <c r="E78" s="22" t="n">
        <v>7720</v>
      </c>
      <c r="F78" s="22" t="n">
        <v>7599</v>
      </c>
      <c r="G78" s="22" t="n">
        <v>7615</v>
      </c>
      <c r="H78" s="22" t="n">
        <v>7270</v>
      </c>
      <c r="I78" s="22" t="n">
        <v>7487</v>
      </c>
      <c r="J78" s="22" t="n">
        <v>7200</v>
      </c>
      <c r="K78" s="22" t="n">
        <v>7035</v>
      </c>
      <c r="L78" s="22" t="n">
        <v>6385</v>
      </c>
      <c r="M78" s="22" t="n">
        <v>6877</v>
      </c>
      <c r="N78" s="22" t="n">
        <v>7000</v>
      </c>
      <c r="O78" s="22" t="n">
        <v>7608</v>
      </c>
      <c r="P78" s="22" t="n">
        <v>7872</v>
      </c>
      <c r="Q78" s="22" t="n">
        <v>7708</v>
      </c>
      <c r="R78" s="22" t="n">
        <v>8000</v>
      </c>
      <c r="S78" s="22" t="n">
        <v>8100</v>
      </c>
      <c r="T78" s="22" t="n">
        <v>8096</v>
      </c>
      <c r="U78" s="22" t="n">
        <v>8695</v>
      </c>
      <c r="V78" s="22" t="n">
        <v>8348</v>
      </c>
      <c r="W78" s="22" t="n">
        <v>8145</v>
      </c>
      <c r="X78" s="22" t="n">
        <v>7547</v>
      </c>
      <c r="Y78" s="22" t="n">
        <v>7524</v>
      </c>
      <c r="Z78" s="22" t="n">
        <v>7980</v>
      </c>
      <c r="AA78" s="22" t="n">
        <v>8439</v>
      </c>
      <c r="AB78" s="22" t="n">
        <v>8255</v>
      </c>
      <c r="AC78" s="22" t="n">
        <v>8540</v>
      </c>
      <c r="AD78" s="22" t="n">
        <v>7570</v>
      </c>
      <c r="AE78" s="22" t="n">
        <v>7632</v>
      </c>
      <c r="AF78" s="22" t="n">
        <v>7555</v>
      </c>
      <c r="AG78" s="22" t="n">
        <v>7114</v>
      </c>
      <c r="AH78" s="22" t="n">
        <v>7198</v>
      </c>
      <c r="AI78" s="22" t="n">
        <v>6775</v>
      </c>
      <c r="AJ78" s="22" t="n">
        <v>6761</v>
      </c>
      <c r="AK78" s="22" t="n">
        <v>7256</v>
      </c>
      <c r="AL78" s="22" t="n">
        <v>6750</v>
      </c>
      <c r="AM78" s="22" t="n">
        <v>6323</v>
      </c>
      <c r="AN78" s="22" t="n">
        <v>6433</v>
      </c>
      <c r="AO78" s="22" t="n">
        <v>6450</v>
      </c>
      <c r="AP78" s="22" t="n">
        <v>6500</v>
      </c>
      <c r="AQ78" s="22" t="n">
        <v>6250</v>
      </c>
      <c r="AR78" s="22" t="n">
        <v>6272</v>
      </c>
      <c r="AS78" s="22" t="n">
        <v>6143</v>
      </c>
      <c r="AT78" s="22" t="n">
        <v>6280</v>
      </c>
      <c r="AU78" s="22" t="n">
        <v>6282</v>
      </c>
      <c r="AV78" s="22" t="n">
        <v>6250</v>
      </c>
      <c r="AW78" s="22" t="n">
        <v>5993</v>
      </c>
      <c r="AX78" s="22" t="n">
        <v>6024</v>
      </c>
      <c r="AY78" s="22" t="n">
        <v>5804</v>
      </c>
      <c r="AZ78" s="22" t="n">
        <v>5490</v>
      </c>
      <c r="BA78" s="22" t="n">
        <v>5537</v>
      </c>
      <c r="BB78" s="22" t="n">
        <v>5538</v>
      </c>
      <c r="BC78" s="22" t="n">
        <v>5797</v>
      </c>
      <c r="BD78" s="22" t="n">
        <v>5698</v>
      </c>
      <c r="BE78" s="22" t="n">
        <v>5333</v>
      </c>
      <c r="BF78" s="22" t="n">
        <v>5378</v>
      </c>
      <c r="BG78" s="22" t="n">
        <v>5740</v>
      </c>
      <c r="BH78" s="22" t="n">
        <v>5936</v>
      </c>
      <c r="BI78" s="22" t="n">
        <v>5989</v>
      </c>
      <c r="BJ78" s="22" t="n">
        <v>5830</v>
      </c>
      <c r="BK78" s="22" t="n">
        <v>5650</v>
      </c>
      <c r="BL78" s="22" t="n">
        <v>5939</v>
      </c>
    </row>
    <row r="79" ht="15.95" customHeight="1" s="574">
      <c r="A79" s="81" t="inlineStr">
        <is>
          <t>6479</t>
        </is>
      </c>
      <c r="B79" s="17" t="inlineStr">
        <is>
          <t>ミネベアミツミ</t>
        </is>
      </c>
      <c r="C79" s="655">
        <f>_xll.RssMarket("6479","始値")</f>
        <v/>
      </c>
      <c r="D79" s="656">
        <f>C79-E79</f>
        <v/>
      </c>
      <c r="E79" s="22" t="n">
        <v>4757</v>
      </c>
      <c r="F79" s="22" t="n">
        <v>4680</v>
      </c>
      <c r="G79" s="22" t="n">
        <v>4648</v>
      </c>
      <c r="H79" s="22" t="n">
        <v>4618</v>
      </c>
      <c r="I79" s="22" t="n">
        <v>4570</v>
      </c>
      <c r="J79" s="22" t="n">
        <v>4443</v>
      </c>
      <c r="K79" s="22" t="n">
        <v>4408</v>
      </c>
      <c r="L79" s="22" t="n">
        <v>4162</v>
      </c>
      <c r="M79" s="22" t="n">
        <v>4511</v>
      </c>
      <c r="N79" s="22" t="n">
        <v>4714</v>
      </c>
      <c r="O79" s="22" t="n">
        <v>4828</v>
      </c>
      <c r="P79" s="22" t="n">
        <v>4849</v>
      </c>
      <c r="Q79" s="22" t="n">
        <v>4809</v>
      </c>
      <c r="R79" s="22" t="n">
        <v>4651</v>
      </c>
      <c r="S79" s="22" t="n">
        <v>4433</v>
      </c>
      <c r="T79" s="22" t="n">
        <v>4166</v>
      </c>
      <c r="U79" s="22" t="n">
        <v>4247</v>
      </c>
      <c r="V79" s="22" t="n">
        <v>4060</v>
      </c>
      <c r="W79" s="22" t="n">
        <v>3940</v>
      </c>
      <c r="X79" s="22" t="n">
        <v>3799</v>
      </c>
      <c r="Y79" s="22" t="n">
        <v>3869</v>
      </c>
      <c r="Z79" s="22" t="n">
        <v>3800</v>
      </c>
      <c r="AA79" s="22" t="n">
        <v>3955</v>
      </c>
      <c r="AB79" s="22" t="n">
        <v>4005</v>
      </c>
      <c r="AC79" s="22" t="n">
        <v>3950</v>
      </c>
      <c r="AD79" s="22" t="n">
        <v>3636</v>
      </c>
      <c r="AE79" s="22" t="n">
        <v>3527</v>
      </c>
      <c r="AF79" s="22" t="n">
        <v>3436</v>
      </c>
      <c r="AG79" s="22" t="n">
        <v>3300</v>
      </c>
      <c r="AH79" s="22" t="n">
        <v>3178</v>
      </c>
      <c r="AI79" s="22" t="n">
        <v>3138</v>
      </c>
      <c r="AJ79" s="22" t="n">
        <v>3079</v>
      </c>
      <c r="AK79" s="22" t="n">
        <v>3123</v>
      </c>
      <c r="AL79" s="22" t="n">
        <v>3120</v>
      </c>
      <c r="AM79" s="22" t="n">
        <v>3060</v>
      </c>
      <c r="AN79" s="22" t="n">
        <v>3110</v>
      </c>
      <c r="AO79" s="22" t="n">
        <v>3106</v>
      </c>
      <c r="AP79" s="22" t="n">
        <v>3112</v>
      </c>
      <c r="AQ79" s="22" t="n">
        <v>3034</v>
      </c>
      <c r="AR79" s="22" t="n">
        <v>3000</v>
      </c>
      <c r="AS79" s="22" t="n">
        <v>2908</v>
      </c>
      <c r="AT79" s="22" t="n">
        <v>2878.5</v>
      </c>
      <c r="AU79" s="22" t="n">
        <v>2910</v>
      </c>
      <c r="AV79" s="22" t="n">
        <v>2830.5</v>
      </c>
      <c r="AW79" s="22" t="n">
        <v>2735</v>
      </c>
      <c r="AX79" s="22" t="n">
        <v>2782</v>
      </c>
      <c r="AY79" s="22" t="n">
        <v>2794.5</v>
      </c>
      <c r="AZ79" s="22" t="n">
        <v>2625</v>
      </c>
      <c r="BA79" s="22" t="n">
        <v>2596.5</v>
      </c>
      <c r="BB79" s="22" t="n">
        <v>2589.5</v>
      </c>
      <c r="BC79" s="22" t="n">
        <v>2700</v>
      </c>
      <c r="BD79" s="22" t="n">
        <v>2685</v>
      </c>
      <c r="BE79" s="22" t="n">
        <v>2547</v>
      </c>
      <c r="BF79" s="22" t="n">
        <v>2577</v>
      </c>
      <c r="BG79" s="22" t="n">
        <v>2686.5</v>
      </c>
      <c r="BH79" s="22" t="n">
        <v>2760</v>
      </c>
      <c r="BI79" s="22" t="n">
        <v>2689.5</v>
      </c>
      <c r="BJ79" s="22" t="n">
        <v>2650</v>
      </c>
      <c r="BK79" s="22" t="n">
        <v>2560</v>
      </c>
      <c r="BL79" s="22" t="n">
        <v>2724.5</v>
      </c>
    </row>
    <row r="80" ht="15.95" customHeight="1" s="574">
      <c r="A80" s="81" t="inlineStr">
        <is>
          <t>1833</t>
        </is>
      </c>
      <c r="B80" s="17" t="inlineStr">
        <is>
          <t>奥村組</t>
        </is>
      </c>
      <c r="C80" s="655">
        <f>_xll.RssMarket("1833","始値")</f>
        <v/>
      </c>
      <c r="D80" s="656">
        <f>C80-E80</f>
        <v/>
      </c>
      <c r="E80" s="22" t="n">
        <v>5640</v>
      </c>
      <c r="F80" s="22" t="n">
        <v>5800</v>
      </c>
      <c r="G80" s="22" t="n">
        <v>5740</v>
      </c>
      <c r="H80" s="22" t="n">
        <v>5760</v>
      </c>
      <c r="I80" s="22" t="n">
        <v>5790</v>
      </c>
      <c r="J80" s="22" t="n">
        <v>5730</v>
      </c>
      <c r="K80" s="22" t="n">
        <v>5610</v>
      </c>
      <c r="L80" s="22" t="n">
        <v>5540</v>
      </c>
      <c r="M80" s="22" t="n">
        <v>5520</v>
      </c>
      <c r="N80" s="22" t="n">
        <v>5540</v>
      </c>
      <c r="O80" s="22" t="n">
        <v>5550</v>
      </c>
      <c r="P80" s="22" t="n">
        <v>5540</v>
      </c>
      <c r="Q80" s="22" t="n">
        <v>5550</v>
      </c>
      <c r="R80" s="22" t="n">
        <v>5600</v>
      </c>
      <c r="S80" s="22" t="n">
        <v>5520</v>
      </c>
      <c r="T80" s="22" t="n">
        <v>5630</v>
      </c>
      <c r="U80" s="22" t="n">
        <v>5520</v>
      </c>
      <c r="V80" s="22" t="n">
        <v>5610</v>
      </c>
      <c r="W80" s="22" t="n">
        <v>5700</v>
      </c>
      <c r="X80" s="22" t="n">
        <v>5730</v>
      </c>
      <c r="Y80" s="22" t="n">
        <v>5680</v>
      </c>
      <c r="Z80" s="22" t="n">
        <v>5790</v>
      </c>
      <c r="AA80" s="22" t="n">
        <v>5980</v>
      </c>
      <c r="AB80" s="22" t="n">
        <v>6160</v>
      </c>
      <c r="AC80" s="22" t="n">
        <v>6320</v>
      </c>
      <c r="AD80" s="22" t="n">
        <v>6210</v>
      </c>
      <c r="AE80" s="22" t="n">
        <v>6050</v>
      </c>
      <c r="AF80" s="22" t="n">
        <v>6130</v>
      </c>
      <c r="AG80" s="22" t="n">
        <v>6250</v>
      </c>
      <c r="AH80" s="22" t="n">
        <v>6150</v>
      </c>
      <c r="AI80" s="22" t="n">
        <v>6080</v>
      </c>
      <c r="AJ80" s="22" t="n">
        <v>6000</v>
      </c>
      <c r="AK80" s="22" t="n">
        <v>5950</v>
      </c>
      <c r="AL80" s="22" t="n">
        <v>6150</v>
      </c>
      <c r="AM80" s="22" t="n">
        <v>5980</v>
      </c>
      <c r="AN80" s="22" t="n">
        <v>6080</v>
      </c>
      <c r="AO80" s="22" t="n">
        <v>6120</v>
      </c>
      <c r="AP80" s="22" t="n">
        <v>6150</v>
      </c>
      <c r="AQ80" s="22" t="n">
        <v>6200</v>
      </c>
      <c r="AR80" s="22" t="n">
        <v>6230</v>
      </c>
      <c r="AS80" s="22" t="n">
        <v>6280</v>
      </c>
      <c r="AT80" s="22" t="n">
        <v>6250</v>
      </c>
      <c r="AU80" s="22" t="n">
        <v>6270</v>
      </c>
      <c r="AV80" s="22" t="n">
        <v>6430</v>
      </c>
      <c r="AW80" s="22" t="n">
        <v>6540</v>
      </c>
      <c r="AX80" s="22" t="n">
        <v>6510</v>
      </c>
      <c r="AY80" s="22" t="n">
        <v>6380</v>
      </c>
      <c r="AZ80" s="22" t="n">
        <v>6430</v>
      </c>
      <c r="BA80" s="22" t="n">
        <v>6510</v>
      </c>
      <c r="BB80" s="22" t="n">
        <v>6570</v>
      </c>
      <c r="BC80" s="22" t="n">
        <v>6500</v>
      </c>
      <c r="BD80" s="22" t="n">
        <v>6260</v>
      </c>
      <c r="BE80" s="22" t="n">
        <v>6150</v>
      </c>
      <c r="BF80" s="22" t="n">
        <v>6510</v>
      </c>
      <c r="BG80" s="22" t="n">
        <v>6660</v>
      </c>
      <c r="BH80" s="22" t="n">
        <v>6660</v>
      </c>
      <c r="BI80" s="22" t="n">
        <v>6460</v>
      </c>
      <c r="BJ80" s="22" t="n">
        <v>6410</v>
      </c>
      <c r="BK80" s="22" t="n">
        <v>6660</v>
      </c>
      <c r="BL80" s="22" t="n">
        <v>6620</v>
      </c>
    </row>
    <row r="81" ht="15.95" customHeight="1" s="574">
      <c r="A81" s="81" t="inlineStr">
        <is>
          <t>6841</t>
        </is>
      </c>
      <c r="B81" s="17" t="inlineStr">
        <is>
          <t>横河電機</t>
        </is>
      </c>
      <c r="C81" s="655">
        <f>_xll.RssMarket("6841","始値")</f>
        <v/>
      </c>
      <c r="D81" s="656">
        <f>C81-E81</f>
        <v/>
      </c>
      <c r="E81" s="22" t="n">
        <v>5432</v>
      </c>
      <c r="F81" s="22" t="n">
        <v>5425</v>
      </c>
      <c r="G81" s="22" t="n">
        <v>5398</v>
      </c>
      <c r="H81" s="22" t="n">
        <v>5151</v>
      </c>
      <c r="I81" s="22" t="n">
        <v>5214</v>
      </c>
      <c r="J81" s="22" t="n">
        <v>5110</v>
      </c>
      <c r="K81" s="22" t="n">
        <v>5046</v>
      </c>
      <c r="L81" s="22" t="n">
        <v>4707</v>
      </c>
      <c r="M81" s="22" t="n">
        <v>4893</v>
      </c>
      <c r="N81" s="22" t="n">
        <v>5057</v>
      </c>
      <c r="O81" s="22" t="n">
        <v>5339</v>
      </c>
      <c r="P81" s="22" t="n">
        <v>5380</v>
      </c>
      <c r="Q81" s="22" t="n">
        <v>5220</v>
      </c>
      <c r="R81" s="22" t="n">
        <v>5097</v>
      </c>
      <c r="S81" s="22" t="n">
        <v>4877</v>
      </c>
      <c r="T81" s="22" t="n">
        <v>4920</v>
      </c>
      <c r="U81" s="22" t="n">
        <v>4928</v>
      </c>
      <c r="V81" s="22" t="n">
        <v>4913</v>
      </c>
      <c r="W81" s="22" t="n">
        <v>4841</v>
      </c>
      <c r="X81" s="22" t="n">
        <v>4750</v>
      </c>
      <c r="Y81" s="22" t="n">
        <v>4704</v>
      </c>
      <c r="Z81" s="22" t="n">
        <v>4905</v>
      </c>
      <c r="AA81" s="22" t="n">
        <v>4970</v>
      </c>
      <c r="AB81" s="22" t="n">
        <v>5141</v>
      </c>
      <c r="AC81" s="22" t="n">
        <v>5318</v>
      </c>
      <c r="AD81" s="22" t="n">
        <v>5180</v>
      </c>
      <c r="AE81" s="22" t="n">
        <v>5312</v>
      </c>
      <c r="AF81" s="22" t="n">
        <v>5250</v>
      </c>
      <c r="AG81" s="22" t="n">
        <v>5434</v>
      </c>
      <c r="AH81" s="22" t="n">
        <v>5554</v>
      </c>
      <c r="AI81" s="22" t="n">
        <v>5432</v>
      </c>
      <c r="AJ81" s="22" t="n">
        <v>5419</v>
      </c>
      <c r="AK81" s="22" t="n">
        <v>5390</v>
      </c>
      <c r="AL81" s="22" t="n">
        <v>5294</v>
      </c>
      <c r="AM81" s="22" t="n">
        <v>5269</v>
      </c>
      <c r="AN81" s="22" t="n">
        <v>5412</v>
      </c>
      <c r="AO81" s="22" t="n">
        <v>5578</v>
      </c>
      <c r="AP81" s="22" t="n">
        <v>5516</v>
      </c>
      <c r="AQ81" s="22" t="n">
        <v>5474</v>
      </c>
      <c r="AR81" s="22" t="n">
        <v>5463</v>
      </c>
      <c r="AS81" s="22" t="n">
        <v>5416</v>
      </c>
      <c r="AT81" s="22" t="n">
        <v>5612</v>
      </c>
      <c r="AU81" s="22" t="n">
        <v>5702</v>
      </c>
      <c r="AV81" s="22" t="n">
        <v>5553</v>
      </c>
      <c r="AW81" s="22" t="n">
        <v>5660</v>
      </c>
      <c r="AX81" s="22" t="n">
        <v>5476</v>
      </c>
      <c r="AY81" s="22" t="n">
        <v>5255</v>
      </c>
      <c r="AZ81" s="22" t="n">
        <v>4966</v>
      </c>
      <c r="BA81" s="22" t="n">
        <v>4928</v>
      </c>
      <c r="BB81" s="22" t="n">
        <v>4973</v>
      </c>
      <c r="BC81" s="22" t="n">
        <v>5136</v>
      </c>
      <c r="BD81" s="22" t="n">
        <v>4995</v>
      </c>
      <c r="BE81" s="22" t="n">
        <v>4724</v>
      </c>
      <c r="BF81" s="22" t="n">
        <v>4711</v>
      </c>
      <c r="BG81" s="22" t="n">
        <v>5064</v>
      </c>
      <c r="BH81" s="22" t="n">
        <v>5174</v>
      </c>
      <c r="BI81" s="22" t="n">
        <v>5151</v>
      </c>
      <c r="BJ81" s="22" t="n">
        <v>5010</v>
      </c>
      <c r="BK81" s="22" t="n">
        <v>4935</v>
      </c>
      <c r="BL81" s="22" t="n">
        <v>5366</v>
      </c>
    </row>
    <row r="82" ht="15.95" customHeight="1" s="574">
      <c r="A82" s="81" t="inlineStr">
        <is>
          <t>7167</t>
        </is>
      </c>
      <c r="B82" s="17" t="inlineStr">
        <is>
          <t>めぶきフィナンシャルＧ</t>
        </is>
      </c>
      <c r="C82" s="655">
        <f>_xll.RssMarket("7167","始値")</f>
        <v/>
      </c>
      <c r="D82" s="656">
        <f>C82-E82</f>
        <v/>
      </c>
      <c r="E82" s="22" t="n">
        <v>1392.5</v>
      </c>
      <c r="F82" s="22" t="n">
        <v>1439</v>
      </c>
      <c r="G82" s="22" t="n">
        <v>1418.5</v>
      </c>
      <c r="H82" s="22" t="n">
        <v>1429</v>
      </c>
      <c r="I82" s="22" t="n">
        <v>1410</v>
      </c>
      <c r="J82" s="22" t="n">
        <v>1432</v>
      </c>
      <c r="K82" s="22" t="n">
        <v>1399.5</v>
      </c>
      <c r="L82" s="22" t="n">
        <v>1362</v>
      </c>
      <c r="M82" s="22" t="n">
        <v>1400</v>
      </c>
      <c r="N82" s="22" t="n">
        <v>1327.5</v>
      </c>
      <c r="O82" s="22" t="n">
        <v>1361</v>
      </c>
      <c r="P82" s="22" t="n">
        <v>1293.5</v>
      </c>
      <c r="Q82" s="22" t="n">
        <v>1325</v>
      </c>
      <c r="R82" s="22" t="n">
        <v>1277.5</v>
      </c>
      <c r="S82" s="22" t="n">
        <v>1350</v>
      </c>
      <c r="T82" s="22" t="n">
        <v>1371.5</v>
      </c>
      <c r="U82" s="22" t="n">
        <v>1377.5</v>
      </c>
      <c r="V82" s="22" t="n">
        <v>1396</v>
      </c>
      <c r="W82" s="22" t="n">
        <v>1422</v>
      </c>
      <c r="X82" s="22" t="n">
        <v>1407</v>
      </c>
      <c r="Y82" s="22" t="n">
        <v>1395.5</v>
      </c>
      <c r="Z82" s="22" t="n">
        <v>1387</v>
      </c>
      <c r="AA82" s="22" t="n">
        <v>1378.5</v>
      </c>
      <c r="AB82" s="22" t="n">
        <v>1385</v>
      </c>
      <c r="AC82" s="22" t="n">
        <v>1364.5</v>
      </c>
      <c r="AD82" s="22" t="n">
        <v>1363</v>
      </c>
      <c r="AE82" s="22" t="n">
        <v>1350</v>
      </c>
      <c r="AF82" s="22" t="n">
        <v>1303</v>
      </c>
      <c r="AG82" s="22" t="n">
        <v>1316</v>
      </c>
      <c r="AH82" s="22" t="n">
        <v>1345</v>
      </c>
      <c r="AI82" s="22" t="n">
        <v>1295.5</v>
      </c>
      <c r="AJ82" s="22" t="n">
        <v>1296</v>
      </c>
      <c r="AK82" s="22" t="n">
        <v>1249.5</v>
      </c>
      <c r="AL82" s="22" t="n">
        <v>1206</v>
      </c>
      <c r="AM82" s="22" t="n">
        <v>1235.5</v>
      </c>
      <c r="AN82" s="22" t="n">
        <v>1232</v>
      </c>
      <c r="AO82" s="22" t="n">
        <v>1281.5</v>
      </c>
      <c r="AP82" s="22" t="n">
        <v>1317.5</v>
      </c>
      <c r="AQ82" s="22" t="n">
        <v>1353</v>
      </c>
      <c r="AR82" s="22" t="n">
        <v>1354</v>
      </c>
      <c r="AS82" s="22" t="n">
        <v>1363.5</v>
      </c>
      <c r="AT82" s="22" t="n">
        <v>1360</v>
      </c>
      <c r="AU82" s="22" t="n">
        <v>1349</v>
      </c>
      <c r="AV82" s="22" t="n">
        <v>1345</v>
      </c>
      <c r="AW82" s="22" t="n">
        <v>1356</v>
      </c>
      <c r="AX82" s="22" t="n">
        <v>1351.5</v>
      </c>
      <c r="AY82" s="22" t="n">
        <v>1390</v>
      </c>
      <c r="AZ82" s="22" t="n">
        <v>1306.5</v>
      </c>
      <c r="BA82" s="22" t="n">
        <v>1286</v>
      </c>
      <c r="BB82" s="22" t="n">
        <v>1292</v>
      </c>
      <c r="BC82" s="22" t="n">
        <v>1337</v>
      </c>
      <c r="BD82" s="22" t="n">
        <v>1290</v>
      </c>
      <c r="BE82" s="22" t="n">
        <v>1194.5</v>
      </c>
      <c r="BF82" s="22" t="n">
        <v>1178.5</v>
      </c>
      <c r="BG82" s="22" t="n">
        <v>1232.5</v>
      </c>
      <c r="BH82" s="22" t="n">
        <v>1253.5</v>
      </c>
      <c r="BI82" s="22" t="n">
        <v>1240</v>
      </c>
      <c r="BJ82" s="22" t="n">
        <v>1225</v>
      </c>
      <c r="BK82" s="22" t="n">
        <v>1154</v>
      </c>
      <c r="BL82" s="22" t="n">
        <v>1201</v>
      </c>
    </row>
    <row r="83" ht="15.95" customHeight="1" s="574">
      <c r="A83" s="81" t="inlineStr">
        <is>
          <t>1925</t>
        </is>
      </c>
      <c r="B83" s="17" t="inlineStr">
        <is>
          <t>大和ハウス</t>
        </is>
      </c>
      <c r="C83" s="655">
        <f>_xll.RssMarket("1925","始値")</f>
        <v/>
      </c>
      <c r="D83" s="656">
        <f>C83-E83</f>
        <v/>
      </c>
      <c r="E83" s="22" t="n">
        <v>4257</v>
      </c>
      <c r="F83" s="22" t="n">
        <v>4320</v>
      </c>
      <c r="G83" s="22" t="n">
        <v>4366</v>
      </c>
      <c r="H83" s="22" t="n">
        <v>4400</v>
      </c>
      <c r="I83" s="22" t="n">
        <v>4336</v>
      </c>
      <c r="J83" s="22" t="n">
        <v>4351</v>
      </c>
      <c r="K83" s="22" t="n">
        <v>4324</v>
      </c>
      <c r="L83" s="22" t="n">
        <v>4349</v>
      </c>
      <c r="M83" s="22" t="n">
        <v>4317</v>
      </c>
      <c r="N83" s="22" t="n">
        <v>4188</v>
      </c>
      <c r="O83" s="22" t="n">
        <v>4241</v>
      </c>
      <c r="P83" s="22" t="n">
        <v>4218</v>
      </c>
      <c r="Q83" s="22" t="n">
        <v>4179</v>
      </c>
      <c r="R83" s="22" t="n">
        <v>4168</v>
      </c>
      <c r="S83" s="22" t="n">
        <v>4402</v>
      </c>
      <c r="T83" s="22" t="n">
        <v>4396</v>
      </c>
      <c r="U83" s="22" t="n">
        <v>4400</v>
      </c>
      <c r="V83" s="22" t="n">
        <v>4445</v>
      </c>
      <c r="W83" s="22" t="n">
        <v>4463</v>
      </c>
      <c r="X83" s="22" t="n">
        <v>4504</v>
      </c>
      <c r="Y83" s="22" t="n">
        <v>4544</v>
      </c>
      <c r="Z83" s="22" t="n">
        <v>4510</v>
      </c>
      <c r="AA83" s="22" t="n">
        <v>4543</v>
      </c>
      <c r="AB83" s="22" t="n">
        <v>4532</v>
      </c>
      <c r="AC83" s="22" t="n">
        <v>4649</v>
      </c>
      <c r="AD83" s="22" t="n">
        <v>4770</v>
      </c>
      <c r="AE83" s="22" t="n">
        <v>4760</v>
      </c>
      <c r="AF83" s="22" t="n">
        <v>4746</v>
      </c>
      <c r="AG83" s="22" t="n">
        <v>4834</v>
      </c>
      <c r="AH83" s="22" t="n">
        <v>4750</v>
      </c>
      <c r="AI83" s="22" t="n">
        <v>4766</v>
      </c>
      <c r="AJ83" s="22" t="n">
        <v>4813</v>
      </c>
      <c r="AK83" s="22" t="n">
        <v>4821</v>
      </c>
      <c r="AL83" s="22" t="n">
        <v>4765</v>
      </c>
      <c r="AM83" s="22" t="n">
        <v>4810</v>
      </c>
      <c r="AN83" s="22" t="n">
        <v>4849</v>
      </c>
      <c r="AO83" s="22" t="n">
        <v>4890</v>
      </c>
      <c r="AP83" s="22" t="n">
        <v>4912</v>
      </c>
      <c r="AQ83" s="22" t="n">
        <v>4901</v>
      </c>
      <c r="AR83" s="22" t="n">
        <v>4900</v>
      </c>
      <c r="AS83" s="22" t="n">
        <v>4925</v>
      </c>
      <c r="AT83" s="22" t="n">
        <v>4880</v>
      </c>
      <c r="AU83" s="22" t="n">
        <v>4919</v>
      </c>
      <c r="AV83" s="22" t="n">
        <v>4949</v>
      </c>
      <c r="AW83" s="22" t="n">
        <v>4988</v>
      </c>
      <c r="AX83" s="22" t="n">
        <v>5074</v>
      </c>
      <c r="AY83" s="22" t="n">
        <v>5070</v>
      </c>
      <c r="AZ83" s="22" t="n">
        <v>4991</v>
      </c>
      <c r="BA83" s="22" t="n">
        <v>5028</v>
      </c>
      <c r="BB83" s="22" t="n">
        <v>4966</v>
      </c>
      <c r="BC83" s="22" t="n">
        <v>5025</v>
      </c>
      <c r="BD83" s="22" t="n">
        <v>4988</v>
      </c>
      <c r="BE83" s="22" t="n">
        <v>4945</v>
      </c>
      <c r="BF83" s="22" t="n">
        <v>4870</v>
      </c>
      <c r="BG83" s="22" t="n">
        <v>5057</v>
      </c>
      <c r="BH83" s="22" t="n">
        <v>5060</v>
      </c>
      <c r="BI83" s="22" t="n">
        <v>5185</v>
      </c>
      <c r="BJ83" s="22" t="n">
        <v>5083</v>
      </c>
      <c r="BK83" s="22" t="n">
        <v>5133</v>
      </c>
      <c r="BL83" s="22" t="n">
        <v>5200</v>
      </c>
    </row>
    <row r="84" ht="15.95" customHeight="1" s="574">
      <c r="A84" s="81" t="inlineStr">
        <is>
          <t>5411</t>
        </is>
      </c>
      <c r="B84" s="17" t="inlineStr">
        <is>
          <t>ＪＦＥホールディングス</t>
        </is>
      </c>
      <c r="C84" s="655">
        <f>_xll.RssMarket("5411","始値")</f>
        <v/>
      </c>
      <c r="D84" s="656">
        <f>C84-E84</f>
        <v/>
      </c>
      <c r="E84" s="22" t="n">
        <v>1610</v>
      </c>
      <c r="F84" s="22" t="n">
        <v>1635</v>
      </c>
      <c r="G84" s="22" t="n">
        <v>1631.5</v>
      </c>
      <c r="H84" s="22" t="n">
        <v>1652</v>
      </c>
      <c r="I84" s="22" t="n">
        <v>1656.5</v>
      </c>
      <c r="J84" s="22" t="n">
        <v>1633</v>
      </c>
      <c r="K84" s="22" t="n">
        <v>1600</v>
      </c>
      <c r="L84" s="22" t="n">
        <v>1577</v>
      </c>
      <c r="M84" s="22" t="n">
        <v>1570</v>
      </c>
      <c r="N84" s="22" t="n">
        <v>1603.5</v>
      </c>
      <c r="O84" s="22" t="n">
        <v>1611</v>
      </c>
      <c r="P84" s="22" t="n">
        <v>1594.5</v>
      </c>
      <c r="Q84" s="22" t="n">
        <v>1608</v>
      </c>
      <c r="R84" s="22" t="n">
        <v>1613</v>
      </c>
      <c r="S84" s="22" t="n">
        <v>1694</v>
      </c>
      <c r="T84" s="22" t="n">
        <v>1685</v>
      </c>
      <c r="U84" s="22" t="n">
        <v>1650.5</v>
      </c>
      <c r="V84" s="22" t="n">
        <v>1651</v>
      </c>
      <c r="W84" s="22" t="n">
        <v>1657</v>
      </c>
      <c r="X84" s="22" t="n">
        <v>1668.5</v>
      </c>
      <c r="Y84" s="22" t="n">
        <v>1663</v>
      </c>
      <c r="Z84" s="22" t="n">
        <v>1670</v>
      </c>
      <c r="AA84" s="22" t="n">
        <v>1683</v>
      </c>
      <c r="AB84" s="22" t="n">
        <v>1724</v>
      </c>
      <c r="AC84" s="22" t="n">
        <v>1700</v>
      </c>
      <c r="AD84" s="22" t="n">
        <v>1675.5</v>
      </c>
      <c r="AE84" s="22" t="n">
        <v>1747</v>
      </c>
      <c r="AF84" s="22" t="n">
        <v>1723.5</v>
      </c>
      <c r="AG84" s="22" t="n">
        <v>1740.5</v>
      </c>
      <c r="AH84" s="22" t="n">
        <v>1714</v>
      </c>
      <c r="AI84" s="22" t="n">
        <v>1690</v>
      </c>
      <c r="AJ84" s="22" t="n">
        <v>1681</v>
      </c>
      <c r="AK84" s="22" t="n">
        <v>1690</v>
      </c>
      <c r="AL84" s="22" t="n">
        <v>1703.5</v>
      </c>
      <c r="AM84" s="22" t="n">
        <v>1724</v>
      </c>
      <c r="AN84" s="22" t="n">
        <v>1745</v>
      </c>
      <c r="AO84" s="22" t="n">
        <v>1765</v>
      </c>
      <c r="AP84" s="22" t="n">
        <v>1803.5</v>
      </c>
      <c r="AQ84" s="22" t="n">
        <v>1820</v>
      </c>
      <c r="AR84" s="22" t="n">
        <v>1821</v>
      </c>
      <c r="AS84" s="22" t="n">
        <v>1825</v>
      </c>
      <c r="AT84" s="22" t="n">
        <v>1859.5</v>
      </c>
      <c r="AU84" s="22" t="n">
        <v>1854.5</v>
      </c>
      <c r="AV84" s="22" t="n">
        <v>1866.5</v>
      </c>
      <c r="AW84" s="22" t="n">
        <v>1882.5</v>
      </c>
      <c r="AX84" s="22" t="n">
        <v>1851</v>
      </c>
      <c r="AY84" s="22" t="n">
        <v>1832</v>
      </c>
      <c r="AZ84" s="22" t="n">
        <v>1844</v>
      </c>
      <c r="BA84" s="22" t="n">
        <v>1850</v>
      </c>
      <c r="BB84" s="22" t="n">
        <v>1870</v>
      </c>
      <c r="BC84" s="22" t="n">
        <v>1872.5</v>
      </c>
      <c r="BD84" s="22" t="n">
        <v>1819</v>
      </c>
      <c r="BE84" s="22" t="n">
        <v>1800</v>
      </c>
      <c r="BF84" s="22" t="n">
        <v>1885</v>
      </c>
      <c r="BG84" s="22" t="n">
        <v>1904</v>
      </c>
      <c r="BH84" s="22" t="n">
        <v>1935.5</v>
      </c>
      <c r="BI84" s="22" t="n">
        <v>1911</v>
      </c>
      <c r="BJ84" s="22" t="n">
        <v>1879</v>
      </c>
      <c r="BK84" s="22" t="n">
        <v>1908.5</v>
      </c>
      <c r="BL84" s="22" t="n">
        <v>1910</v>
      </c>
    </row>
    <row r="85" ht="15.95" customHeight="1" s="574">
      <c r="A85" s="81" t="inlineStr">
        <is>
          <t>7182</t>
        </is>
      </c>
      <c r="B85" s="17" t="inlineStr">
        <is>
          <t>ゆうちょ銀行</t>
        </is>
      </c>
      <c r="C85" s="655">
        <f>_xll.RssMarket("7182","始値")</f>
        <v/>
      </c>
      <c r="D85" s="656">
        <f>C85-E85</f>
        <v/>
      </c>
      <c r="E85" s="22" t="n">
        <v>3194</v>
      </c>
      <c r="F85" s="22" t="n">
        <v>3263</v>
      </c>
      <c r="G85" s="22" t="n">
        <v>3234</v>
      </c>
      <c r="H85" s="22" t="n">
        <v>3188</v>
      </c>
      <c r="I85" s="22" t="n">
        <v>3165</v>
      </c>
      <c r="J85" s="22" t="n">
        <v>3250</v>
      </c>
      <c r="K85" s="22" t="n">
        <v>3164</v>
      </c>
      <c r="L85" s="22" t="n">
        <v>3085</v>
      </c>
      <c r="M85" s="22" t="n">
        <v>3188</v>
      </c>
      <c r="N85" s="22" t="n">
        <v>3106</v>
      </c>
      <c r="O85" s="22" t="n">
        <v>3238</v>
      </c>
      <c r="P85" s="22" t="n">
        <v>3180</v>
      </c>
      <c r="Q85" s="22" t="n">
        <v>3136</v>
      </c>
      <c r="R85" s="22" t="n">
        <v>2985</v>
      </c>
      <c r="S85" s="22" t="n">
        <v>3000</v>
      </c>
      <c r="T85" s="22" t="n">
        <v>2951</v>
      </c>
      <c r="U85" s="22" t="n">
        <v>3020</v>
      </c>
      <c r="V85" s="22" t="n">
        <v>3087</v>
      </c>
      <c r="W85" s="22" t="n">
        <v>3200</v>
      </c>
      <c r="X85" s="22" t="n">
        <v>3150</v>
      </c>
      <c r="Y85" s="22" t="n">
        <v>3165</v>
      </c>
      <c r="Z85" s="22" t="n">
        <v>2995</v>
      </c>
      <c r="AA85" s="22" t="n">
        <v>2860</v>
      </c>
      <c r="AB85" s="22" t="n">
        <v>2823.5</v>
      </c>
      <c r="AC85" s="22" t="n">
        <v>2849.5</v>
      </c>
      <c r="AD85" s="22" t="n">
        <v>2821.5</v>
      </c>
      <c r="AE85" s="22" t="n">
        <v>2846.5</v>
      </c>
      <c r="AF85" s="22" t="n">
        <v>2739.5</v>
      </c>
      <c r="AG85" s="22" t="n">
        <v>2767</v>
      </c>
      <c r="AH85" s="22" t="n">
        <v>2760</v>
      </c>
      <c r="AI85" s="22" t="n">
        <v>2700</v>
      </c>
      <c r="AJ85" s="22" t="n">
        <v>2697.5</v>
      </c>
      <c r="AK85" s="22" t="n">
        <v>2562.5</v>
      </c>
      <c r="AL85" s="22" t="n">
        <v>2475</v>
      </c>
      <c r="AM85" s="22" t="n">
        <v>2529.5</v>
      </c>
      <c r="AN85" s="22" t="n">
        <v>2530</v>
      </c>
      <c r="AO85" s="22" t="n">
        <v>2600</v>
      </c>
      <c r="AP85" s="22" t="n">
        <v>2709</v>
      </c>
      <c r="AQ85" s="22" t="n">
        <v>2752.5</v>
      </c>
      <c r="AR85" s="22" t="n">
        <v>2795</v>
      </c>
      <c r="AS85" s="22" t="n">
        <v>2788</v>
      </c>
      <c r="AT85" s="22" t="n">
        <v>2774.5</v>
      </c>
      <c r="AU85" s="22" t="n">
        <v>2745</v>
      </c>
      <c r="AV85" s="22" t="n">
        <v>2695</v>
      </c>
      <c r="AW85" s="22" t="n">
        <v>2719</v>
      </c>
      <c r="AX85" s="22" t="n">
        <v>2808</v>
      </c>
      <c r="AY85" s="22" t="n">
        <v>2791.5</v>
      </c>
      <c r="AZ85" s="22" t="n">
        <v>2665</v>
      </c>
      <c r="BA85" s="22" t="n">
        <v>2643</v>
      </c>
      <c r="BB85" s="22" t="n">
        <v>2635</v>
      </c>
      <c r="BC85" s="22" t="n">
        <v>2749.5</v>
      </c>
      <c r="BD85" s="22" t="n">
        <v>2655</v>
      </c>
      <c r="BE85" s="22" t="n">
        <v>2461</v>
      </c>
      <c r="BF85" s="22" t="n">
        <v>2455</v>
      </c>
      <c r="BG85" s="22" t="n">
        <v>2606.5</v>
      </c>
      <c r="BH85" s="22" t="n">
        <v>2678</v>
      </c>
      <c r="BI85" s="22" t="n">
        <v>2678</v>
      </c>
      <c r="BJ85" s="22" t="n">
        <v>2585</v>
      </c>
      <c r="BK85" s="22" t="n">
        <v>2500</v>
      </c>
      <c r="BL85" s="22" t="n">
        <v>2620.5</v>
      </c>
    </row>
    <row r="86" ht="15.95" customHeight="1" s="574">
      <c r="A86" s="81" t="inlineStr">
        <is>
          <t>1963</t>
        </is>
      </c>
      <c r="B86" s="17" t="inlineStr">
        <is>
          <t>日揮ホールディングス</t>
        </is>
      </c>
      <c r="C86" s="655">
        <f>_xll.RssMarket("1963","始値")</f>
        <v/>
      </c>
      <c r="D86" s="656">
        <f>C86-E86</f>
        <v/>
      </c>
      <c r="E86" s="22" t="n">
        <v>2608</v>
      </c>
      <c r="F86" s="22" t="n">
        <v>2780</v>
      </c>
      <c r="G86" s="22" t="n">
        <v>2783.5</v>
      </c>
      <c r="H86" s="22" t="n">
        <v>2680</v>
      </c>
      <c r="I86" s="22" t="n">
        <v>2698</v>
      </c>
      <c r="J86" s="22" t="n">
        <v>2700</v>
      </c>
      <c r="K86" s="22" t="n">
        <v>2555.5</v>
      </c>
      <c r="L86" s="22" t="n">
        <v>2470</v>
      </c>
      <c r="M86" s="22" t="n">
        <v>2539.5</v>
      </c>
      <c r="N86" s="22" t="n">
        <v>2595.5</v>
      </c>
      <c r="O86" s="22" t="n">
        <v>2605.5</v>
      </c>
      <c r="P86" s="22" t="n">
        <v>2641.5</v>
      </c>
      <c r="Q86" s="22" t="n">
        <v>2627</v>
      </c>
      <c r="R86" s="22" t="n">
        <v>2635.5</v>
      </c>
      <c r="S86" s="22" t="n">
        <v>2669.5</v>
      </c>
      <c r="T86" s="22" t="n">
        <v>2853</v>
      </c>
      <c r="U86" s="22" t="n">
        <v>2843.5</v>
      </c>
      <c r="V86" s="22" t="n">
        <v>2781.5</v>
      </c>
      <c r="W86" s="22" t="n">
        <v>2683</v>
      </c>
      <c r="X86" s="22" t="n">
        <v>2685</v>
      </c>
      <c r="Y86" s="22" t="n">
        <v>2646</v>
      </c>
      <c r="Z86" s="22" t="n">
        <v>2600</v>
      </c>
      <c r="AA86" s="22" t="n">
        <v>2699</v>
      </c>
      <c r="AB86" s="22" t="n">
        <v>2680</v>
      </c>
      <c r="AC86" s="22" t="n">
        <v>2451.5</v>
      </c>
      <c r="AD86" s="22" t="n">
        <v>2409.5</v>
      </c>
      <c r="AE86" s="22" t="n">
        <v>2418</v>
      </c>
      <c r="AF86" s="22" t="n">
        <v>2521</v>
      </c>
      <c r="AG86" s="22" t="n">
        <v>2508.5</v>
      </c>
      <c r="AH86" s="22" t="n">
        <v>2409.5</v>
      </c>
      <c r="AI86" s="22" t="n">
        <v>2398</v>
      </c>
      <c r="AJ86" s="22" t="n">
        <v>2412</v>
      </c>
      <c r="AK86" s="22" t="n">
        <v>2389</v>
      </c>
      <c r="AL86" s="22" t="n">
        <v>2325</v>
      </c>
      <c r="AM86" s="22" t="n">
        <v>2396.5</v>
      </c>
      <c r="AN86" s="22" t="n">
        <v>2300.5</v>
      </c>
      <c r="AO86" s="22" t="n">
        <v>2355.5</v>
      </c>
      <c r="AP86" s="22" t="n">
        <v>2430</v>
      </c>
      <c r="AQ86" s="22" t="n">
        <v>2527</v>
      </c>
      <c r="AR86" s="22" t="n">
        <v>2544.5</v>
      </c>
      <c r="AS86" s="22" t="n">
        <v>2538</v>
      </c>
      <c r="AT86" s="22" t="n">
        <v>2680</v>
      </c>
      <c r="AU86" s="22" t="n">
        <v>2709</v>
      </c>
      <c r="AV86" s="22" t="n">
        <v>2746.5</v>
      </c>
      <c r="AW86" s="22" t="n">
        <v>2840</v>
      </c>
      <c r="AX86" s="22" t="n">
        <v>2704.5</v>
      </c>
      <c r="AY86" s="22" t="n">
        <v>2650</v>
      </c>
      <c r="AZ86" s="22" t="n">
        <v>2542</v>
      </c>
      <c r="BA86" s="22" t="n">
        <v>2463</v>
      </c>
      <c r="BB86" s="22" t="n">
        <v>2573</v>
      </c>
      <c r="BC86" s="22" t="n">
        <v>2580</v>
      </c>
      <c r="BD86" s="22" t="n">
        <v>2372</v>
      </c>
      <c r="BE86" s="22" t="n">
        <v>2290</v>
      </c>
      <c r="BF86" s="22" t="n">
        <v>2055</v>
      </c>
      <c r="BG86" s="22" t="n">
        <v>2146.5</v>
      </c>
      <c r="BH86" s="22" t="n">
        <v>2233</v>
      </c>
      <c r="BI86" s="22" t="n">
        <v>2185.5</v>
      </c>
      <c r="BJ86" s="22" t="n">
        <v>2124.5</v>
      </c>
      <c r="BK86" s="22" t="n">
        <v>2050</v>
      </c>
      <c r="BL86" s="22" t="n">
        <v>2181.5</v>
      </c>
    </row>
    <row r="87" ht="15.95" customHeight="1" s="574">
      <c r="A87" s="81" t="inlineStr">
        <is>
          <t>2914</t>
        </is>
      </c>
      <c r="B87" s="17" t="inlineStr">
        <is>
          <t>日本たばこ産業</t>
        </is>
      </c>
      <c r="C87" s="655">
        <f>_xll.RssMarket("2914","始値")</f>
        <v/>
      </c>
      <c r="D87" s="656">
        <f>C87-E87</f>
        <v/>
      </c>
      <c r="E87" s="22" t="n">
        <v>6028</v>
      </c>
      <c r="F87" s="22" t="n">
        <v>6066</v>
      </c>
      <c r="G87" s="22" t="n">
        <v>6064</v>
      </c>
      <c r="H87" s="22" t="n">
        <v>6133</v>
      </c>
      <c r="I87" s="22" t="n">
        <v>6074</v>
      </c>
      <c r="J87" s="22" t="n">
        <v>6200</v>
      </c>
      <c r="K87" s="22" t="n">
        <v>6350</v>
      </c>
      <c r="L87" s="22" t="n">
        <v>6230</v>
      </c>
      <c r="M87" s="22" t="n">
        <v>6128</v>
      </c>
      <c r="N87" s="22" t="n">
        <v>6032</v>
      </c>
      <c r="O87" s="22" t="n">
        <v>6025</v>
      </c>
      <c r="P87" s="22" t="n">
        <v>6103</v>
      </c>
      <c r="Q87" s="22" t="n">
        <v>6100</v>
      </c>
      <c r="R87" s="22" t="n">
        <v>6048</v>
      </c>
      <c r="S87" s="22" t="n">
        <v>6100</v>
      </c>
      <c r="T87" s="22" t="n">
        <v>6144</v>
      </c>
      <c r="U87" s="22" t="n">
        <v>6080</v>
      </c>
      <c r="V87" s="22" t="n">
        <v>6100</v>
      </c>
      <c r="W87" s="22" t="n">
        <v>6218</v>
      </c>
      <c r="X87" s="22" t="n">
        <v>6320</v>
      </c>
      <c r="Y87" s="22" t="n">
        <v>6420</v>
      </c>
      <c r="Z87" s="22" t="n">
        <v>6343</v>
      </c>
      <c r="AA87" s="22" t="n">
        <v>6330</v>
      </c>
      <c r="AB87" s="22" t="n">
        <v>6250</v>
      </c>
      <c r="AC87" s="22" t="n">
        <v>6204</v>
      </c>
      <c r="AD87" s="22" t="n">
        <v>6090</v>
      </c>
      <c r="AE87" s="22" t="n">
        <v>6120</v>
      </c>
      <c r="AF87" s="22" t="n">
        <v>6000</v>
      </c>
      <c r="AG87" s="22" t="n">
        <v>5852</v>
      </c>
      <c r="AH87" s="22" t="n">
        <v>5896</v>
      </c>
      <c r="AI87" s="22" t="n">
        <v>5818</v>
      </c>
      <c r="AJ87" s="22" t="n">
        <v>5780</v>
      </c>
      <c r="AK87" s="22" t="n">
        <v>5750</v>
      </c>
      <c r="AL87" s="22" t="n">
        <v>5760</v>
      </c>
      <c r="AM87" s="22" t="n">
        <v>5885</v>
      </c>
      <c r="AN87" s="22" t="n">
        <v>5728</v>
      </c>
      <c r="AO87" s="22" t="n">
        <v>5707</v>
      </c>
      <c r="AP87" s="22" t="n">
        <v>5800</v>
      </c>
      <c r="AQ87" s="22" t="n">
        <v>5830</v>
      </c>
      <c r="AR87" s="22" t="n">
        <v>5847</v>
      </c>
      <c r="AS87" s="22" t="n">
        <v>5870</v>
      </c>
      <c r="AT87" s="22" t="n">
        <v>5912</v>
      </c>
      <c r="AU87" s="22" t="n">
        <v>5950</v>
      </c>
      <c r="AV87" s="22" t="n">
        <v>5993</v>
      </c>
      <c r="AW87" s="22" t="n">
        <v>6034</v>
      </c>
      <c r="AX87" s="22" t="n">
        <v>6065</v>
      </c>
      <c r="AY87" s="22" t="n">
        <v>6175</v>
      </c>
      <c r="AZ87" s="22" t="n">
        <v>6135</v>
      </c>
      <c r="BA87" s="22" t="n">
        <v>6100</v>
      </c>
      <c r="BB87" s="22" t="n">
        <v>6050</v>
      </c>
      <c r="BC87" s="22" t="n">
        <v>6062</v>
      </c>
      <c r="BD87" s="22" t="n">
        <v>6067</v>
      </c>
      <c r="BE87" s="22" t="n">
        <v>6030</v>
      </c>
      <c r="BF87" s="22" t="n">
        <v>5914</v>
      </c>
      <c r="BG87" s="22" t="n">
        <v>5982</v>
      </c>
      <c r="BH87" s="22" t="n">
        <v>5935</v>
      </c>
      <c r="BI87" s="22" t="n">
        <v>5936</v>
      </c>
      <c r="BJ87" s="22" t="n">
        <v>5829</v>
      </c>
      <c r="BK87" s="22" t="n">
        <v>5780</v>
      </c>
      <c r="BL87" s="22" t="n">
        <v>5865</v>
      </c>
    </row>
    <row r="88" ht="15.95" customHeight="1" s="574">
      <c r="A88" s="81" t="inlineStr">
        <is>
          <t>3003</t>
        </is>
      </c>
      <c r="B88" s="17" t="inlineStr">
        <is>
          <t>ヒューリック</t>
        </is>
      </c>
      <c r="C88" s="655">
        <f>_xll.RssMarket("3003","始値")</f>
        <v/>
      </c>
      <c r="D88" s="656">
        <f>C88-E88</f>
        <v/>
      </c>
      <c r="E88" s="22" t="n">
        <v>1689</v>
      </c>
      <c r="F88" s="22" t="n">
        <v>1693</v>
      </c>
      <c r="G88" s="22" t="n">
        <v>1707</v>
      </c>
      <c r="H88" s="22" t="n">
        <v>1733</v>
      </c>
      <c r="I88" s="22" t="n">
        <v>1725</v>
      </c>
      <c r="J88" s="22" t="n">
        <v>1748</v>
      </c>
      <c r="K88" s="22" t="n">
        <v>1725.5</v>
      </c>
      <c r="L88" s="22" t="n">
        <v>1740</v>
      </c>
      <c r="M88" s="22" t="n">
        <v>1716</v>
      </c>
      <c r="N88" s="22" t="n">
        <v>1656</v>
      </c>
      <c r="O88" s="22" t="n">
        <v>1650</v>
      </c>
      <c r="P88" s="22" t="n">
        <v>1645</v>
      </c>
      <c r="Q88" s="22" t="n">
        <v>1661.5</v>
      </c>
      <c r="R88" s="22" t="n">
        <v>1640</v>
      </c>
      <c r="S88" s="22" t="n">
        <v>1677.5</v>
      </c>
      <c r="T88" s="22" t="n">
        <v>1660</v>
      </c>
      <c r="U88" s="22" t="n">
        <v>1675</v>
      </c>
      <c r="V88" s="22" t="n">
        <v>1669.5</v>
      </c>
      <c r="W88" s="22" t="n">
        <v>1660</v>
      </c>
      <c r="X88" s="22" t="n">
        <v>1740</v>
      </c>
      <c r="Y88" s="22" t="n">
        <v>1741.5</v>
      </c>
      <c r="Z88" s="22" t="n">
        <v>1730</v>
      </c>
      <c r="AA88" s="22" t="n">
        <v>1763</v>
      </c>
      <c r="AB88" s="22" t="n">
        <v>1743</v>
      </c>
      <c r="AC88" s="22" t="n">
        <v>1789.5</v>
      </c>
      <c r="AD88" s="22" t="n">
        <v>1797</v>
      </c>
      <c r="AE88" s="22" t="n">
        <v>1792</v>
      </c>
      <c r="AF88" s="22" t="n">
        <v>1801</v>
      </c>
      <c r="AG88" s="22" t="n">
        <v>1811.5</v>
      </c>
      <c r="AH88" s="22" t="n">
        <v>1789</v>
      </c>
      <c r="AI88" s="22" t="n">
        <v>1765.5</v>
      </c>
      <c r="AJ88" s="22" t="n">
        <v>1782</v>
      </c>
      <c r="AK88" s="22" t="n">
        <v>1783.5</v>
      </c>
      <c r="AL88" s="22" t="n">
        <v>1830</v>
      </c>
      <c r="AM88" s="22" t="n">
        <v>1819</v>
      </c>
      <c r="AN88" s="22" t="n">
        <v>1820</v>
      </c>
      <c r="AO88" s="22" t="n">
        <v>1850</v>
      </c>
      <c r="AP88" s="22" t="n">
        <v>1893</v>
      </c>
      <c r="AQ88" s="22" t="n">
        <v>1900</v>
      </c>
      <c r="AR88" s="22" t="n">
        <v>1898</v>
      </c>
      <c r="AS88" s="22" t="n">
        <v>1900</v>
      </c>
      <c r="AT88" s="22" t="n">
        <v>1906.5</v>
      </c>
      <c r="AU88" s="22" t="n">
        <v>1890</v>
      </c>
      <c r="AV88" s="22" t="n">
        <v>1875</v>
      </c>
      <c r="AW88" s="22" t="n">
        <v>1881</v>
      </c>
      <c r="AX88" s="22" t="n">
        <v>1931</v>
      </c>
      <c r="AY88" s="22" t="n">
        <v>1947</v>
      </c>
      <c r="AZ88" s="22" t="n">
        <v>1886.5</v>
      </c>
      <c r="BA88" s="22" t="n">
        <v>1878.5</v>
      </c>
      <c r="BB88" s="22" t="n">
        <v>1870.5</v>
      </c>
      <c r="BC88" s="22" t="n">
        <v>1900</v>
      </c>
      <c r="BD88" s="22" t="n">
        <v>1869.5</v>
      </c>
      <c r="BE88" s="22" t="n">
        <v>1859.5</v>
      </c>
      <c r="BF88" s="22" t="n">
        <v>1820</v>
      </c>
      <c r="BG88" s="22" t="n">
        <v>1860</v>
      </c>
      <c r="BH88" s="22" t="n">
        <v>1860.5</v>
      </c>
      <c r="BI88" s="22" t="n">
        <v>1879</v>
      </c>
      <c r="BJ88" s="22" t="n">
        <v>1846.5</v>
      </c>
      <c r="BK88" s="22" t="n">
        <v>1824</v>
      </c>
      <c r="BL88" s="22" t="n">
        <v>1881</v>
      </c>
    </row>
    <row r="89" ht="15.95" customHeight="1" s="574">
      <c r="A89" s="81" t="inlineStr">
        <is>
          <t>5892</t>
        </is>
      </c>
      <c r="B89" s="17" t="inlineStr">
        <is>
          <t>ＹＵＴＯＲＩ</t>
        </is>
      </c>
      <c r="C89" s="655">
        <f>_xll.RssMarket("5892","始値")</f>
        <v/>
      </c>
      <c r="D89" s="656">
        <f>C89-E89</f>
        <v/>
      </c>
      <c r="E89" s="22" t="n">
        <v>2031</v>
      </c>
      <c r="F89" s="22" t="n">
        <v>2122</v>
      </c>
      <c r="G89" s="22" t="n">
        <v>2142</v>
      </c>
      <c r="H89" s="22" t="n">
        <v>2046</v>
      </c>
      <c r="I89" s="22" t="n">
        <v>1977</v>
      </c>
      <c r="J89" s="22" t="n">
        <v>2003</v>
      </c>
      <c r="K89" s="22" t="n">
        <v>2121</v>
      </c>
      <c r="L89" s="22" t="n">
        <v>2160</v>
      </c>
      <c r="M89" s="22" t="n">
        <v>2166</v>
      </c>
      <c r="N89" s="22" t="n">
        <v>2320</v>
      </c>
      <c r="O89" s="22" t="n">
        <v>2231</v>
      </c>
      <c r="P89" s="22" t="n">
        <v>2106</v>
      </c>
      <c r="Q89" s="22" t="n">
        <v>2108</v>
      </c>
      <c r="R89" s="22" t="n">
        <v>2152</v>
      </c>
      <c r="S89" s="22" t="n">
        <v>2268</v>
      </c>
      <c r="T89" s="22" t="n">
        <v>2340</v>
      </c>
      <c r="U89" s="22" t="n">
        <v>2506</v>
      </c>
      <c r="V89" s="22" t="n">
        <v>2476</v>
      </c>
      <c r="W89" s="22" t="n">
        <v>2467</v>
      </c>
      <c r="X89" s="22" t="n">
        <v>2530</v>
      </c>
      <c r="Y89" s="22" t="n">
        <v>2649</v>
      </c>
      <c r="Z89" s="22" t="n">
        <v>2590</v>
      </c>
      <c r="AA89" s="22" t="n">
        <v>2599</v>
      </c>
      <c r="AB89" s="22" t="n">
        <v>2384</v>
      </c>
      <c r="AC89" s="22" t="n">
        <v>2060</v>
      </c>
      <c r="AD89" s="22" t="n">
        <v>1936</v>
      </c>
      <c r="AE89" s="22" t="n">
        <v>1948</v>
      </c>
      <c r="AF89" s="22" t="n">
        <v>1970</v>
      </c>
      <c r="AG89" s="22" t="n">
        <v>1973</v>
      </c>
      <c r="AH89" s="22" t="n">
        <v>1982</v>
      </c>
      <c r="AI89" s="22" t="n">
        <v>1950</v>
      </c>
      <c r="AJ89" s="22" t="n">
        <v>1989</v>
      </c>
      <c r="AK89" s="22" t="n">
        <v>2036</v>
      </c>
      <c r="AL89" s="22" t="n">
        <v>2056</v>
      </c>
      <c r="AM89" s="22" t="n">
        <v>2100</v>
      </c>
      <c r="AN89" s="22" t="n">
        <v>2187</v>
      </c>
      <c r="AO89" s="22" t="n">
        <v>2175</v>
      </c>
      <c r="AP89" s="22" t="n">
        <v>2225</v>
      </c>
      <c r="AQ89" s="22" t="n">
        <v>2200</v>
      </c>
      <c r="AR89" s="22" t="n">
        <v>2188</v>
      </c>
      <c r="AS89" s="22" t="n">
        <v>2235</v>
      </c>
      <c r="AT89" s="22" t="n">
        <v>2348</v>
      </c>
      <c r="AU89" s="22" t="n">
        <v>2382</v>
      </c>
      <c r="AV89" s="22" t="n">
        <v>2176</v>
      </c>
      <c r="AW89" s="22" t="n">
        <v>2183</v>
      </c>
      <c r="AX89" s="22" t="n">
        <v>2180</v>
      </c>
      <c r="AY89" s="22" t="n">
        <v>2080</v>
      </c>
      <c r="AZ89" s="22" t="n">
        <v>2026</v>
      </c>
      <c r="BA89" s="22" t="n">
        <v>2008</v>
      </c>
      <c r="BB89" s="22" t="n">
        <v>2065</v>
      </c>
      <c r="BC89" s="22" t="n">
        <v>2031</v>
      </c>
      <c r="BD89" s="22" t="n">
        <v>2090</v>
      </c>
      <c r="BE89" s="22" t="n">
        <v>1985</v>
      </c>
      <c r="BF89" s="22" t="n">
        <v>1951</v>
      </c>
      <c r="BG89" s="22" t="n">
        <v>2040</v>
      </c>
      <c r="BH89" s="22" t="n">
        <v>2085</v>
      </c>
      <c r="BI89" s="22" t="n">
        <v>2063</v>
      </c>
      <c r="BJ89" s="22" t="n">
        <v>2025</v>
      </c>
      <c r="BK89" s="22" t="n">
        <v>1988</v>
      </c>
      <c r="BL89" s="22" t="n">
        <v>2171</v>
      </c>
    </row>
    <row r="90" ht="15.95" customHeight="1" s="574">
      <c r="A90" s="81" t="inlineStr">
        <is>
          <t>6323</t>
        </is>
      </c>
      <c r="B90" s="17" t="inlineStr">
        <is>
          <t>ローツェ</t>
        </is>
      </c>
      <c r="C90" s="655">
        <f>_xll.RssMarket("6323","始値")</f>
        <v/>
      </c>
      <c r="D90" s="656">
        <f>C90-E90</f>
        <v/>
      </c>
      <c r="E90" s="22" t="n">
        <v>4900</v>
      </c>
      <c r="F90" s="22" t="n">
        <v>5030</v>
      </c>
      <c r="G90" s="22" t="n">
        <v>4540</v>
      </c>
      <c r="H90" s="22" t="n">
        <v>4309</v>
      </c>
      <c r="I90" s="22" t="n">
        <v>4482</v>
      </c>
      <c r="J90" s="22" t="n">
        <v>4340</v>
      </c>
      <c r="K90" s="22" t="n">
        <v>4066</v>
      </c>
      <c r="L90" s="22" t="n">
        <v>3727</v>
      </c>
      <c r="M90" s="22" t="n">
        <v>3812</v>
      </c>
      <c r="N90" s="22" t="n">
        <v>3809</v>
      </c>
      <c r="O90" s="22" t="n">
        <v>4114</v>
      </c>
      <c r="P90" s="22" t="n">
        <v>4216</v>
      </c>
      <c r="Q90" s="22" t="n">
        <v>4039</v>
      </c>
      <c r="R90" s="22" t="n">
        <v>3780</v>
      </c>
      <c r="S90" s="22" t="n">
        <v>4050</v>
      </c>
      <c r="T90" s="22" t="n">
        <v>3840</v>
      </c>
      <c r="U90" s="22" t="n">
        <v>4033</v>
      </c>
      <c r="V90" s="22" t="n">
        <v>4020</v>
      </c>
      <c r="W90" s="22" t="n">
        <v>3822</v>
      </c>
      <c r="X90" s="22" t="n">
        <v>3634</v>
      </c>
      <c r="Y90" s="22" t="n">
        <v>3606</v>
      </c>
      <c r="Z90" s="22" t="n">
        <v>3668</v>
      </c>
      <c r="AA90" s="22" t="n">
        <v>3800</v>
      </c>
      <c r="AB90" s="22" t="n">
        <v>4031</v>
      </c>
      <c r="AC90" s="22" t="n">
        <v>4080</v>
      </c>
      <c r="AD90" s="22" t="n">
        <v>3926</v>
      </c>
      <c r="AE90" s="22" t="n">
        <v>4180</v>
      </c>
      <c r="AF90" s="22" t="n">
        <v>3968</v>
      </c>
      <c r="AG90" s="22" t="n">
        <v>3860</v>
      </c>
      <c r="AH90" s="22" t="n">
        <v>3945</v>
      </c>
      <c r="AI90" s="22" t="n">
        <v>3790</v>
      </c>
      <c r="AJ90" s="22" t="n">
        <v>3790</v>
      </c>
      <c r="AK90" s="22" t="n">
        <v>3884</v>
      </c>
      <c r="AL90" s="22" t="n">
        <v>3949</v>
      </c>
      <c r="AM90" s="22" t="n">
        <v>3592</v>
      </c>
      <c r="AN90" s="22" t="n">
        <v>3700</v>
      </c>
      <c r="AO90" s="22" t="n">
        <v>3645</v>
      </c>
      <c r="AP90" s="22" t="n">
        <v>3637</v>
      </c>
      <c r="AQ90" s="22" t="n">
        <v>3720</v>
      </c>
      <c r="AR90" s="22" t="n">
        <v>3768</v>
      </c>
      <c r="AS90" s="22" t="n">
        <v>3878</v>
      </c>
      <c r="AT90" s="22" t="n">
        <v>4005</v>
      </c>
      <c r="AU90" s="22" t="n">
        <v>4088</v>
      </c>
      <c r="AV90" s="22" t="n">
        <v>3976</v>
      </c>
      <c r="AW90" s="22" t="n">
        <v>3750</v>
      </c>
      <c r="AX90" s="22" t="n">
        <v>3153</v>
      </c>
      <c r="AY90" s="22" t="n">
        <v>3040</v>
      </c>
      <c r="AZ90" s="22" t="n">
        <v>2844</v>
      </c>
      <c r="BA90" s="22" t="n">
        <v>2749</v>
      </c>
      <c r="BB90" s="22" t="n">
        <v>2698</v>
      </c>
      <c r="BC90" s="22" t="n">
        <v>2772</v>
      </c>
      <c r="BD90" s="22" t="n">
        <v>2717</v>
      </c>
      <c r="BE90" s="22" t="n">
        <v>2473</v>
      </c>
      <c r="BF90" s="22" t="n">
        <v>2532</v>
      </c>
      <c r="BG90" s="22" t="n">
        <v>2700</v>
      </c>
      <c r="BH90" s="22" t="n">
        <v>2810</v>
      </c>
      <c r="BI90" s="22" t="n">
        <v>2831.5</v>
      </c>
      <c r="BJ90" s="22" t="n">
        <v>2735.5</v>
      </c>
      <c r="BK90" s="22" t="n">
        <v>2676.5</v>
      </c>
      <c r="BL90" s="22" t="n">
        <v>2787.5</v>
      </c>
    </row>
    <row r="91" ht="15.95" customHeight="1" s="574">
      <c r="A91" s="81" t="inlineStr">
        <is>
          <t>6501</t>
        </is>
      </c>
      <c r="B91" s="17" t="inlineStr">
        <is>
          <t>日立</t>
        </is>
      </c>
      <c r="C91" s="655">
        <f>_xll.RssMarket("6501","始値")</f>
        <v/>
      </c>
      <c r="D91" s="656">
        <f>C91-E91</f>
        <v/>
      </c>
      <c r="E91" s="22" t="n">
        <v>4702</v>
      </c>
      <c r="F91" s="22" t="n">
        <v>4805</v>
      </c>
      <c r="G91" s="22" t="n">
        <v>4680</v>
      </c>
      <c r="H91" s="22" t="n">
        <v>4692</v>
      </c>
      <c r="I91" s="22" t="n">
        <v>4741</v>
      </c>
      <c r="J91" s="22" t="n">
        <v>4704</v>
      </c>
      <c r="K91" s="22" t="n">
        <v>4682</v>
      </c>
      <c r="L91" s="22" t="n">
        <v>4641</v>
      </c>
      <c r="M91" s="22" t="n">
        <v>4906</v>
      </c>
      <c r="N91" s="22" t="n">
        <v>5095</v>
      </c>
      <c r="O91" s="22" t="n">
        <v>5146</v>
      </c>
      <c r="P91" s="22" t="n">
        <v>5180</v>
      </c>
      <c r="Q91" s="22" t="n">
        <v>5139</v>
      </c>
      <c r="R91" s="22" t="n">
        <v>5126</v>
      </c>
      <c r="S91" s="22" t="n">
        <v>5374</v>
      </c>
      <c r="T91" s="22" t="n">
        <v>4963</v>
      </c>
      <c r="U91" s="22" t="n">
        <v>5100</v>
      </c>
      <c r="V91" s="22" t="n">
        <v>5050</v>
      </c>
      <c r="W91" s="22" t="n">
        <v>5105</v>
      </c>
      <c r="X91" s="22" t="n">
        <v>4907</v>
      </c>
      <c r="Y91" s="22" t="n">
        <v>4883</v>
      </c>
      <c r="Z91" s="22" t="n">
        <v>4900</v>
      </c>
      <c r="AA91" s="22" t="n">
        <v>4755</v>
      </c>
      <c r="AB91" s="22" t="n">
        <v>4690</v>
      </c>
      <c r="AC91" s="22" t="n">
        <v>4700</v>
      </c>
      <c r="AD91" s="22" t="n">
        <v>4775</v>
      </c>
      <c r="AE91" s="22" t="n">
        <v>4892</v>
      </c>
      <c r="AF91" s="22" t="n">
        <v>4920</v>
      </c>
      <c r="AG91" s="22" t="n">
        <v>4844</v>
      </c>
      <c r="AH91" s="22" t="n">
        <v>4900</v>
      </c>
      <c r="AI91" s="22" t="n">
        <v>4800</v>
      </c>
      <c r="AJ91" s="22" t="n">
        <v>4947</v>
      </c>
      <c r="AK91" s="22" t="n">
        <v>5200</v>
      </c>
      <c r="AL91" s="22" t="n">
        <v>5333</v>
      </c>
      <c r="AM91" s="22" t="n">
        <v>5230</v>
      </c>
      <c r="AN91" s="22" t="n">
        <v>5185</v>
      </c>
      <c r="AO91" s="22" t="n">
        <v>5129</v>
      </c>
      <c r="AP91" s="22" t="n">
        <v>5110</v>
      </c>
      <c r="AQ91" s="22" t="n">
        <v>5193</v>
      </c>
      <c r="AR91" s="22" t="n">
        <v>5167</v>
      </c>
      <c r="AS91" s="22" t="n">
        <v>5210</v>
      </c>
      <c r="AT91" s="22" t="n">
        <v>5060</v>
      </c>
      <c r="AU91" s="22" t="n">
        <v>4930</v>
      </c>
      <c r="AV91" s="22" t="n">
        <v>4880</v>
      </c>
      <c r="AW91" s="22" t="n">
        <v>4830</v>
      </c>
      <c r="AX91" s="22" t="n">
        <v>4945</v>
      </c>
      <c r="AY91" s="22" t="n">
        <v>4954</v>
      </c>
      <c r="AZ91" s="22" t="n">
        <v>4718</v>
      </c>
      <c r="BA91" s="22" t="n">
        <v>4805</v>
      </c>
      <c r="BB91" s="22" t="n">
        <v>4800</v>
      </c>
      <c r="BC91" s="22" t="n">
        <v>4802</v>
      </c>
      <c r="BD91" s="22" t="n">
        <v>4720</v>
      </c>
      <c r="BE91" s="22" t="n">
        <v>4465</v>
      </c>
      <c r="BF91" s="22" t="n">
        <v>4484</v>
      </c>
      <c r="BG91" s="22" t="n">
        <v>4709</v>
      </c>
      <c r="BH91" s="22" t="n">
        <v>4853</v>
      </c>
      <c r="BI91" s="22" t="n">
        <v>4880</v>
      </c>
      <c r="BJ91" s="22" t="n">
        <v>4907</v>
      </c>
      <c r="BK91" s="22" t="n">
        <v>4730</v>
      </c>
      <c r="BL91" s="22" t="n">
        <v>4803</v>
      </c>
    </row>
    <row r="92" ht="15.95" customHeight="1" s="574">
      <c r="A92" s="81" t="inlineStr">
        <is>
          <t>6134</t>
        </is>
      </c>
      <c r="B92" s="17" t="inlineStr">
        <is>
          <t>ＦＵＪＩ</t>
        </is>
      </c>
      <c r="C92" s="655">
        <f>_xll.RssMarket("6134","始値")</f>
        <v/>
      </c>
      <c r="D92" s="656">
        <f>C92-E92</f>
        <v/>
      </c>
      <c r="E92" s="22" t="n">
        <v>8510</v>
      </c>
      <c r="F92" s="22" t="n">
        <v>8737</v>
      </c>
      <c r="G92" s="22" t="n">
        <v>8560</v>
      </c>
      <c r="H92" s="658" t="n">
        <v>8217</v>
      </c>
      <c r="I92" s="22" t="n">
        <v>8300</v>
      </c>
      <c r="J92" s="22" t="n">
        <v>7942</v>
      </c>
      <c r="K92" s="22" t="n">
        <v>7564</v>
      </c>
      <c r="L92" s="22" t="n">
        <v>6905</v>
      </c>
      <c r="M92" s="22" t="n">
        <v>7255</v>
      </c>
      <c r="N92" s="22" t="n">
        <v>6886</v>
      </c>
      <c r="O92" s="22" t="n">
        <v>7644</v>
      </c>
      <c r="P92" s="22" t="n">
        <v>7690</v>
      </c>
      <c r="Q92" s="22" t="n">
        <v>8065</v>
      </c>
      <c r="R92" s="22" t="n">
        <v>8046</v>
      </c>
      <c r="S92" s="22" t="n">
        <v>8007</v>
      </c>
      <c r="T92" s="22" t="n">
        <v>7813</v>
      </c>
      <c r="U92" s="22" t="n">
        <v>8386</v>
      </c>
      <c r="V92" s="22" t="n">
        <v>8068</v>
      </c>
      <c r="W92" s="22" t="n">
        <v>7735</v>
      </c>
      <c r="X92" s="22" t="n">
        <v>7820</v>
      </c>
      <c r="Y92" s="22" t="n">
        <v>7441</v>
      </c>
      <c r="Z92" s="22" t="n">
        <v>7808</v>
      </c>
      <c r="AA92" s="22" t="n">
        <v>8143</v>
      </c>
      <c r="AB92" s="22" t="n">
        <v>8701</v>
      </c>
      <c r="AC92" s="22" t="n">
        <v>7088</v>
      </c>
      <c r="AD92" s="22" t="n">
        <v>6800</v>
      </c>
      <c r="AE92" s="22" t="n">
        <v>6776</v>
      </c>
      <c r="AF92" s="22" t="n">
        <v>6715</v>
      </c>
      <c r="AG92" s="22" t="n">
        <v>6232</v>
      </c>
      <c r="AH92" s="22" t="n">
        <v>6200</v>
      </c>
      <c r="AI92" s="22" t="n">
        <v>6068</v>
      </c>
      <c r="AJ92" s="22" t="n">
        <v>5881</v>
      </c>
      <c r="AK92" s="22" t="n">
        <v>5986</v>
      </c>
      <c r="AL92" s="22" t="n">
        <v>5960</v>
      </c>
      <c r="AM92" s="22" t="n">
        <v>5772</v>
      </c>
      <c r="AN92" s="22" t="n">
        <v>5902</v>
      </c>
      <c r="AO92" s="22" t="n">
        <v>5961</v>
      </c>
      <c r="AP92" s="22" t="n">
        <v>5880</v>
      </c>
      <c r="AQ92" s="22" t="n">
        <v>5744</v>
      </c>
      <c r="AR92" s="22" t="n">
        <v>5802</v>
      </c>
      <c r="AS92" s="22" t="n">
        <v>5798</v>
      </c>
      <c r="AT92" s="22" t="n">
        <v>5819</v>
      </c>
      <c r="AU92" s="22" t="n">
        <v>5667</v>
      </c>
      <c r="AV92" s="22" t="n">
        <v>5463</v>
      </c>
      <c r="AW92" s="22" t="n">
        <v>5410</v>
      </c>
      <c r="AX92" s="22" t="n">
        <v>5320</v>
      </c>
      <c r="AY92" s="22" t="n">
        <v>5248</v>
      </c>
      <c r="AZ92" s="22" t="n">
        <v>4930</v>
      </c>
      <c r="BA92" s="22" t="n">
        <v>4935</v>
      </c>
      <c r="BB92" s="22" t="n">
        <v>4880</v>
      </c>
      <c r="BC92" s="22" t="n">
        <v>5058</v>
      </c>
      <c r="BD92" s="22" t="n">
        <v>4941</v>
      </c>
      <c r="BE92" s="22" t="n">
        <v>4610</v>
      </c>
      <c r="BF92" s="22" t="n">
        <v>4723</v>
      </c>
      <c r="BG92" s="22" t="n">
        <v>4985</v>
      </c>
      <c r="BH92" s="22" t="n">
        <v>5204</v>
      </c>
      <c r="BI92" s="22" t="n">
        <v>5152</v>
      </c>
      <c r="BJ92" s="22" t="n">
        <v>5007</v>
      </c>
      <c r="BK92" s="22" t="n">
        <v>4916</v>
      </c>
      <c r="BL92" s="22" t="n">
        <v>5234</v>
      </c>
    </row>
    <row r="93" ht="15.95" customHeight="1" s="574">
      <c r="A93" s="81" t="inlineStr">
        <is>
          <t>7746</t>
        </is>
      </c>
      <c r="B93" s="17" t="inlineStr">
        <is>
          <t>岡本硝子</t>
        </is>
      </c>
      <c r="C93" s="655">
        <f>_xll.RssMarket("7746","始値")</f>
        <v/>
      </c>
      <c r="D93" s="656">
        <f>C93-E93</f>
        <v/>
      </c>
      <c r="E93" s="22" t="n">
        <v>796</v>
      </c>
      <c r="F93" s="22" t="n">
        <v>815</v>
      </c>
      <c r="G93" s="22" t="n">
        <v>826</v>
      </c>
      <c r="H93" s="658" t="n">
        <v>852</v>
      </c>
      <c r="I93" s="22" t="n">
        <v>738</v>
      </c>
      <c r="J93" s="22" t="n">
        <v>737</v>
      </c>
      <c r="K93" s="22" t="n">
        <v>725</v>
      </c>
      <c r="L93" s="22" t="n">
        <v>673</v>
      </c>
      <c r="M93" s="22" t="n">
        <v>725</v>
      </c>
      <c r="N93" s="22" t="n">
        <v>754</v>
      </c>
      <c r="O93" s="22" t="n">
        <v>751</v>
      </c>
      <c r="P93" s="22" t="n">
        <v>782</v>
      </c>
      <c r="Q93" s="22" t="n">
        <v>763</v>
      </c>
      <c r="R93" s="22" t="n">
        <v>795</v>
      </c>
      <c r="S93" s="22" t="n">
        <v>843</v>
      </c>
      <c r="T93" s="22" t="n">
        <v>844</v>
      </c>
      <c r="U93" s="22" t="n">
        <v>862</v>
      </c>
      <c r="V93" s="22" t="n">
        <v>920</v>
      </c>
      <c r="W93" s="22" t="n">
        <v>884</v>
      </c>
      <c r="X93" s="22" t="n">
        <v>1034</v>
      </c>
      <c r="Y93" s="22" t="n">
        <v>1000</v>
      </c>
      <c r="Z93" s="22" t="n">
        <v>859</v>
      </c>
      <c r="AA93" s="22" t="n">
        <v>758</v>
      </c>
      <c r="AB93" s="22" t="n">
        <v>808</v>
      </c>
      <c r="AC93" s="22" t="n">
        <v>761</v>
      </c>
      <c r="AD93" s="22" t="n">
        <v>816</v>
      </c>
      <c r="AE93" s="22" t="n">
        <v>877</v>
      </c>
      <c r="AF93" s="22" t="n">
        <v>840</v>
      </c>
      <c r="AG93" s="22" t="n">
        <v>845</v>
      </c>
      <c r="AH93" s="22" t="n">
        <v>840</v>
      </c>
      <c r="AI93" s="22" t="n">
        <v>921</v>
      </c>
      <c r="AJ93" s="22" t="n">
        <v>938</v>
      </c>
      <c r="AK93" s="22" t="n">
        <v>951</v>
      </c>
      <c r="AL93" s="22" t="n">
        <v>972</v>
      </c>
      <c r="AM93" s="22" t="n">
        <v>1018</v>
      </c>
      <c r="AN93" s="22" t="n">
        <v>996</v>
      </c>
      <c r="AO93" s="22" t="n">
        <v>1038</v>
      </c>
      <c r="AP93" s="22" t="n">
        <v>955</v>
      </c>
      <c r="AQ93" s="22" t="n">
        <v>961</v>
      </c>
      <c r="AR93" s="22" t="n">
        <v>1000</v>
      </c>
      <c r="AS93" s="22" t="n">
        <v>983</v>
      </c>
      <c r="AT93" s="22" t="n">
        <v>990</v>
      </c>
      <c r="AU93" s="22" t="n">
        <v>1009</v>
      </c>
      <c r="AV93" s="22" t="n">
        <v>1033</v>
      </c>
      <c r="AW93" s="22" t="n">
        <v>1066</v>
      </c>
      <c r="AX93" s="22" t="n">
        <v>1020</v>
      </c>
      <c r="AY93" s="22" t="n">
        <v>1006</v>
      </c>
      <c r="AZ93" s="22" t="n">
        <v>1010</v>
      </c>
      <c r="BA93" s="22" t="n">
        <v>1051</v>
      </c>
      <c r="BB93" s="22" t="n">
        <v>1110</v>
      </c>
      <c r="BC93" s="22" t="n">
        <v>1126</v>
      </c>
      <c r="BD93" s="22" t="n">
        <v>947</v>
      </c>
      <c r="BE93" s="22" t="n">
        <v>910</v>
      </c>
      <c r="BF93" s="22" t="n">
        <v>940</v>
      </c>
      <c r="BG93" s="22" t="n">
        <v>1000</v>
      </c>
      <c r="BH93" s="22" t="n">
        <v>1002</v>
      </c>
      <c r="BI93" s="22" t="n">
        <v>1050</v>
      </c>
      <c r="BJ93" s="22" t="n">
        <v>1081</v>
      </c>
      <c r="BK93" s="22" t="n">
        <v>1077</v>
      </c>
      <c r="BL93" s="22" t="n">
        <v>1093</v>
      </c>
    </row>
    <row r="94" ht="15.95" customHeight="1" s="574">
      <c r="A94" s="81" t="inlineStr">
        <is>
          <t>3407</t>
        </is>
      </c>
      <c r="B94" s="17" t="inlineStr">
        <is>
          <t>旭化成</t>
        </is>
      </c>
      <c r="C94" s="655">
        <f>_xll.RssMarket("3407","始値")</f>
        <v/>
      </c>
      <c r="D94" s="656">
        <f>C94-E94</f>
        <v/>
      </c>
      <c r="E94" s="22" t="n">
        <v>1834.5</v>
      </c>
      <c r="F94" s="22" t="n">
        <v>1794</v>
      </c>
      <c r="G94" s="22" t="n">
        <v>1800</v>
      </c>
      <c r="H94" s="658" t="n">
        <v>1765</v>
      </c>
      <c r="I94" s="22" t="n">
        <v>1744</v>
      </c>
      <c r="J94" s="22" t="n">
        <v>1818</v>
      </c>
      <c r="K94" s="22" t="n">
        <v>1800</v>
      </c>
      <c r="L94" s="22" t="n">
        <v>1721</v>
      </c>
      <c r="M94" s="22" t="n">
        <v>1735</v>
      </c>
      <c r="N94" s="22" t="n">
        <v>1781</v>
      </c>
      <c r="O94" s="22" t="n">
        <v>1777</v>
      </c>
      <c r="P94" s="22" t="n">
        <v>1750</v>
      </c>
      <c r="Q94" s="22" t="n">
        <v>1757.5</v>
      </c>
      <c r="R94" s="22" t="n">
        <v>1770.5</v>
      </c>
      <c r="S94" s="22" t="n">
        <v>1767.5</v>
      </c>
      <c r="T94" s="22" t="n">
        <v>1718</v>
      </c>
      <c r="U94" s="22" t="n">
        <v>1750</v>
      </c>
      <c r="V94" s="22" t="n">
        <v>1766</v>
      </c>
      <c r="W94" s="22" t="n">
        <v>1710</v>
      </c>
      <c r="X94" s="22" t="n">
        <v>1694.5</v>
      </c>
      <c r="Y94" s="22" t="n">
        <v>1696</v>
      </c>
      <c r="Z94" s="22" t="n">
        <v>1700</v>
      </c>
      <c r="AA94" s="22" t="n">
        <v>1706</v>
      </c>
      <c r="AB94" s="22" t="n">
        <v>1732</v>
      </c>
      <c r="AC94" s="22" t="n">
        <v>1750</v>
      </c>
      <c r="AD94" s="22" t="n">
        <v>1655</v>
      </c>
      <c r="AE94" s="22" t="n">
        <v>1548</v>
      </c>
      <c r="AF94" s="22" t="n">
        <v>1522</v>
      </c>
      <c r="AG94" s="22" t="n">
        <v>1539</v>
      </c>
      <c r="AH94" s="22" t="n">
        <v>1564.5</v>
      </c>
      <c r="AI94" s="22" t="n">
        <v>1516</v>
      </c>
      <c r="AJ94" s="22" t="n">
        <v>1533.5</v>
      </c>
      <c r="AK94" s="22" t="n">
        <v>1535</v>
      </c>
      <c r="AL94" s="22" t="n">
        <v>1520</v>
      </c>
      <c r="AM94" s="22" t="n">
        <v>1535</v>
      </c>
      <c r="AN94" s="22" t="n">
        <v>1513.5</v>
      </c>
      <c r="AO94" s="22" t="n">
        <v>1551</v>
      </c>
      <c r="AP94" s="22" t="n">
        <v>1564</v>
      </c>
      <c r="AQ94" s="22" t="n">
        <v>1598</v>
      </c>
      <c r="AR94" s="22" t="n">
        <v>1611.5</v>
      </c>
      <c r="AS94" s="22" t="n">
        <v>1561</v>
      </c>
      <c r="AT94" s="22" t="n">
        <v>1607.5</v>
      </c>
      <c r="AU94" s="22" t="n">
        <v>1629</v>
      </c>
      <c r="AV94" s="22" t="n">
        <v>1629.5</v>
      </c>
      <c r="AW94" s="22" t="n">
        <v>1651.5</v>
      </c>
      <c r="AX94" s="22" t="n">
        <v>1664</v>
      </c>
      <c r="AY94" s="22" t="n">
        <v>1652.5</v>
      </c>
      <c r="AZ94" s="22" t="n">
        <v>1554.5</v>
      </c>
      <c r="BA94" s="22" t="n">
        <v>1551</v>
      </c>
      <c r="BB94" s="22" t="n">
        <v>1559.5</v>
      </c>
      <c r="BC94" s="22" t="n">
        <v>1602.5</v>
      </c>
      <c r="BD94" s="22" t="n">
        <v>1570</v>
      </c>
      <c r="BE94" s="22" t="n">
        <v>1494.5</v>
      </c>
      <c r="BF94" s="22" t="n">
        <v>1450</v>
      </c>
      <c r="BG94" s="22" t="n">
        <v>1552</v>
      </c>
      <c r="BH94" s="22" t="n">
        <v>1581.5</v>
      </c>
      <c r="BI94" s="22" t="n">
        <v>1582</v>
      </c>
      <c r="BJ94" s="22" t="n">
        <v>1519</v>
      </c>
      <c r="BK94" s="22" t="n">
        <v>1513.5</v>
      </c>
      <c r="BL94" s="22" t="n">
        <v>1566.5</v>
      </c>
    </row>
    <row r="95" ht="15.95" customHeight="1" s="574">
      <c r="A95" s="81" t="inlineStr">
        <is>
          <t>4008</t>
        </is>
      </c>
      <c r="B95" s="17" t="inlineStr">
        <is>
          <t>住友精化</t>
        </is>
      </c>
      <c r="C95" s="655">
        <f>_xll.RssMarket("4008","始値")</f>
        <v/>
      </c>
      <c r="D95" s="656">
        <f>C95-E95</f>
        <v/>
      </c>
      <c r="E95" s="22" t="n">
        <v>1327</v>
      </c>
      <c r="F95" s="22" t="n">
        <v>1335</v>
      </c>
      <c r="G95" s="22" t="n">
        <v>1318</v>
      </c>
      <c r="H95" s="658" t="n">
        <v>1322</v>
      </c>
      <c r="I95" s="22" t="n">
        <v>1321</v>
      </c>
      <c r="J95" s="22" t="n">
        <v>1305</v>
      </c>
      <c r="K95" s="22" t="n">
        <v>1284</v>
      </c>
      <c r="L95" s="22" t="n">
        <v>1250</v>
      </c>
      <c r="M95" s="22" t="n">
        <v>1279</v>
      </c>
      <c r="N95" s="22" t="n">
        <v>1249</v>
      </c>
      <c r="O95" s="22" t="n">
        <v>1282</v>
      </c>
      <c r="P95" s="22" t="n">
        <v>1300</v>
      </c>
      <c r="Q95" s="22" t="n">
        <v>1310</v>
      </c>
      <c r="R95" s="22" t="n">
        <v>1261</v>
      </c>
      <c r="S95" s="22" t="n">
        <v>1333</v>
      </c>
      <c r="T95" s="22" t="n">
        <v>1319</v>
      </c>
      <c r="U95" s="22" t="n">
        <v>1284</v>
      </c>
      <c r="V95" s="22" t="n">
        <v>1277</v>
      </c>
      <c r="W95" s="22" t="n">
        <v>1240</v>
      </c>
      <c r="X95" s="22" t="n">
        <v>1231</v>
      </c>
      <c r="Y95" s="22" t="n">
        <v>1223</v>
      </c>
      <c r="Z95" s="22" t="n">
        <v>1250</v>
      </c>
      <c r="AA95" s="22" t="n">
        <v>1268</v>
      </c>
      <c r="AB95" s="22" t="n">
        <v>1238</v>
      </c>
      <c r="AC95" s="22" t="n">
        <v>1247</v>
      </c>
      <c r="AD95" s="22" t="n">
        <v>1218</v>
      </c>
      <c r="AE95" s="22" t="n">
        <v>1195</v>
      </c>
      <c r="AF95" s="22" t="n">
        <v>1217</v>
      </c>
      <c r="AG95" s="22" t="n">
        <v>1210</v>
      </c>
      <c r="AH95" s="22" t="n">
        <v>1208</v>
      </c>
      <c r="AI95" s="22" t="n">
        <v>1190</v>
      </c>
      <c r="AJ95" s="22" t="n">
        <v>1185</v>
      </c>
      <c r="AK95" s="22" t="n">
        <v>1194</v>
      </c>
      <c r="AL95" s="22" t="n">
        <v>1191</v>
      </c>
      <c r="AM95" s="22" t="n">
        <v>1208</v>
      </c>
      <c r="AN95" s="22" t="n">
        <v>1195</v>
      </c>
      <c r="AO95" s="22" t="n">
        <v>1236</v>
      </c>
      <c r="AP95" s="22" t="n">
        <v>1267</v>
      </c>
      <c r="AQ95" s="22" t="n">
        <v>1275</v>
      </c>
      <c r="AR95" s="22" t="n">
        <v>1279</v>
      </c>
      <c r="AS95" s="22" t="n">
        <v>1280</v>
      </c>
      <c r="AT95" s="22" t="n">
        <v>1280</v>
      </c>
      <c r="AU95" s="22" t="n">
        <v>1257</v>
      </c>
      <c r="AV95" s="22" t="n">
        <v>1254</v>
      </c>
      <c r="AW95" s="22" t="n">
        <v>1254</v>
      </c>
      <c r="AX95" s="22" t="n">
        <v>1269</v>
      </c>
      <c r="AY95" s="22" t="n">
        <v>1264</v>
      </c>
      <c r="AZ95" s="22" t="n">
        <v>1235</v>
      </c>
      <c r="BA95" s="22" t="n">
        <v>1220</v>
      </c>
      <c r="BB95" s="22" t="n">
        <v>1213</v>
      </c>
      <c r="BC95" s="22" t="n">
        <v>1235</v>
      </c>
      <c r="BD95" s="22" t="n">
        <v>1225</v>
      </c>
      <c r="BE95" s="22" t="n">
        <v>1204</v>
      </c>
      <c r="BF95" s="22" t="n">
        <v>1148</v>
      </c>
      <c r="BG95" s="22" t="n">
        <v>1258</v>
      </c>
      <c r="BH95" s="22" t="n">
        <v>1276</v>
      </c>
      <c r="BI95" s="22" t="n">
        <v>1278</v>
      </c>
      <c r="BJ95" s="22" t="n">
        <v>1250</v>
      </c>
      <c r="BK95" s="22" t="n">
        <v>1230</v>
      </c>
      <c r="BL95" s="22" t="n">
        <v>1320</v>
      </c>
    </row>
    <row r="96" ht="15.95" customHeight="1" s="574">
      <c r="A96" s="81" t="inlineStr">
        <is>
          <t>4062</t>
        </is>
      </c>
      <c r="B96" s="17" t="inlineStr">
        <is>
          <t>イビデン</t>
        </is>
      </c>
      <c r="C96" s="655">
        <f>_xll.RssMarket("4062","始値")</f>
        <v/>
      </c>
      <c r="D96" s="656">
        <f>C96-E96</f>
        <v/>
      </c>
      <c r="E96" s="22" t="n">
        <v>24335</v>
      </c>
      <c r="F96" s="22" t="n">
        <v>27005</v>
      </c>
      <c r="G96" s="22" t="n">
        <v>24480</v>
      </c>
      <c r="H96" s="658" t="n">
        <v>21945</v>
      </c>
      <c r="I96" s="22" t="n">
        <v>22600</v>
      </c>
      <c r="J96" s="22" t="n">
        <v>20805</v>
      </c>
      <c r="K96" s="22" t="n">
        <v>19770</v>
      </c>
      <c r="L96" s="22" t="n">
        <v>16520</v>
      </c>
      <c r="M96" s="22" t="n">
        <v>17795</v>
      </c>
      <c r="N96" s="22" t="n">
        <v>16800</v>
      </c>
      <c r="O96" s="22" t="n">
        <v>18510</v>
      </c>
      <c r="P96" s="22" t="n">
        <v>21440</v>
      </c>
      <c r="Q96" s="22" t="n">
        <v>21450</v>
      </c>
      <c r="R96" s="22" t="n">
        <v>21795</v>
      </c>
      <c r="S96" s="22" t="n">
        <v>20000</v>
      </c>
      <c r="T96" s="22" t="n">
        <v>19925</v>
      </c>
      <c r="U96" s="22" t="n">
        <v>21255</v>
      </c>
      <c r="V96" s="22" t="n">
        <v>19650</v>
      </c>
      <c r="W96" s="22" t="n">
        <v>18005</v>
      </c>
      <c r="X96" s="22" t="n">
        <v>17200</v>
      </c>
      <c r="Y96" s="22" t="n">
        <v>15030</v>
      </c>
      <c r="Z96" s="22" t="n">
        <v>15300</v>
      </c>
      <c r="AA96" s="22" t="n">
        <v>15550</v>
      </c>
      <c r="AB96" s="22" t="n">
        <v>17280</v>
      </c>
      <c r="AC96" s="22" t="n">
        <v>16890</v>
      </c>
      <c r="AD96" s="22" t="n">
        <v>15880</v>
      </c>
      <c r="AE96" s="22" t="n">
        <v>15700</v>
      </c>
      <c r="AF96" s="22" t="n">
        <v>16000</v>
      </c>
      <c r="AG96" s="22" t="n">
        <v>15575</v>
      </c>
      <c r="AH96" s="22" t="n">
        <v>15160</v>
      </c>
      <c r="AI96" s="22" t="n">
        <v>13245</v>
      </c>
      <c r="AJ96" s="22" t="n">
        <v>13205</v>
      </c>
      <c r="AK96" s="22" t="n">
        <v>12700</v>
      </c>
      <c r="AL96" s="22" t="n">
        <v>12840</v>
      </c>
      <c r="AM96" s="22" t="n">
        <v>12335</v>
      </c>
      <c r="AN96" s="22" t="n">
        <v>11310</v>
      </c>
      <c r="AO96" s="22" t="n">
        <v>10500</v>
      </c>
      <c r="AP96" s="22" t="n">
        <v>9800</v>
      </c>
      <c r="AQ96" s="22" t="n">
        <v>9147</v>
      </c>
      <c r="AR96" s="22" t="n">
        <v>9468</v>
      </c>
      <c r="AS96" s="22" t="n">
        <v>9490</v>
      </c>
      <c r="AT96" s="22" t="n">
        <v>10080</v>
      </c>
      <c r="AU96" s="22" t="n">
        <v>9707</v>
      </c>
      <c r="AV96" s="22" t="n">
        <v>9738</v>
      </c>
      <c r="AW96" s="22" t="n">
        <v>9822</v>
      </c>
      <c r="AX96" s="22" t="n">
        <v>9687</v>
      </c>
      <c r="AY96" s="22" t="n">
        <v>9460</v>
      </c>
      <c r="AZ96" s="22" t="n">
        <v>8650</v>
      </c>
      <c r="BA96" s="22" t="n">
        <v>8273</v>
      </c>
      <c r="BB96" s="22" t="n">
        <v>8086</v>
      </c>
      <c r="BC96" s="22" t="n">
        <v>8100</v>
      </c>
      <c r="BD96" s="22" t="n">
        <v>7894</v>
      </c>
      <c r="BE96" s="22" t="n">
        <v>7300</v>
      </c>
      <c r="BF96" s="22" t="n">
        <v>7712</v>
      </c>
      <c r="BG96" s="22" t="n">
        <v>8160</v>
      </c>
      <c r="BH96" s="22" t="n">
        <v>8500</v>
      </c>
      <c r="BI96" s="22" t="n">
        <v>8146</v>
      </c>
      <c r="BJ96" s="22" t="n">
        <v>8063</v>
      </c>
      <c r="BK96" s="22" t="n">
        <v>7818</v>
      </c>
      <c r="BL96" s="22" t="n">
        <v>8212</v>
      </c>
    </row>
    <row r="97" ht="15.95" customHeight="1" s="574">
      <c r="A97" s="81" t="inlineStr">
        <is>
          <t>4182</t>
        </is>
      </c>
      <c r="B97" s="17" t="inlineStr">
        <is>
          <t>三菱瓦斯化学</t>
        </is>
      </c>
      <c r="C97" s="655">
        <f>_xll.RssMarket("4182","始値")</f>
        <v/>
      </c>
      <c r="D97" s="656">
        <f>C97-E97</f>
        <v/>
      </c>
      <c r="E97" s="22" t="n">
        <v>5420</v>
      </c>
      <c r="F97" s="22" t="n">
        <v>5450</v>
      </c>
      <c r="G97" s="22" t="n">
        <v>5300</v>
      </c>
      <c r="H97" s="658" t="n">
        <v>5000</v>
      </c>
      <c r="I97" s="22" t="n">
        <v>5020</v>
      </c>
      <c r="J97" s="22" t="n">
        <v>4973</v>
      </c>
      <c r="K97" s="22" t="n">
        <v>4750</v>
      </c>
      <c r="L97" s="22" t="n">
        <v>4216</v>
      </c>
      <c r="M97" s="22" t="n">
        <v>4580</v>
      </c>
      <c r="N97" s="22" t="n">
        <v>4700</v>
      </c>
      <c r="O97" s="22" t="n">
        <v>4999</v>
      </c>
      <c r="P97" s="22" t="n">
        <v>5282</v>
      </c>
      <c r="Q97" s="22" t="n">
        <v>5450</v>
      </c>
      <c r="R97" s="22" t="n">
        <v>5371</v>
      </c>
      <c r="S97" s="22" t="n">
        <v>5520</v>
      </c>
      <c r="T97" s="22" t="n">
        <v>5337</v>
      </c>
      <c r="U97" s="22" t="n">
        <v>5500</v>
      </c>
      <c r="V97" s="22" t="n">
        <v>5250</v>
      </c>
      <c r="W97" s="22" t="n">
        <v>4966</v>
      </c>
      <c r="X97" s="22" t="n">
        <v>4823</v>
      </c>
      <c r="Y97" s="22" t="n">
        <v>4535</v>
      </c>
      <c r="Z97" s="22" t="n">
        <v>4630</v>
      </c>
      <c r="AA97" s="22" t="n">
        <v>4571</v>
      </c>
      <c r="AB97" s="22" t="n">
        <v>4902</v>
      </c>
      <c r="AC97" s="22" t="n">
        <v>4800</v>
      </c>
      <c r="AD97" s="22" t="n">
        <v>4740</v>
      </c>
      <c r="AE97" s="22" t="n">
        <v>4877</v>
      </c>
      <c r="AF97" s="22" t="n">
        <v>4650</v>
      </c>
      <c r="AG97" s="22" t="n">
        <v>4600</v>
      </c>
      <c r="AH97" s="22" t="n">
        <v>4480</v>
      </c>
      <c r="AI97" s="22" t="n">
        <v>4335</v>
      </c>
      <c r="AJ97" s="22" t="n">
        <v>4352</v>
      </c>
      <c r="AK97" s="22" t="n">
        <v>4387</v>
      </c>
      <c r="AL97" s="22" t="n">
        <v>4364</v>
      </c>
      <c r="AM97" s="22" t="n">
        <v>4377</v>
      </c>
      <c r="AN97" s="22" t="n">
        <v>4329</v>
      </c>
      <c r="AO97" s="22" t="n">
        <v>4323</v>
      </c>
      <c r="AP97" s="22" t="n">
        <v>4303</v>
      </c>
      <c r="AQ97" s="22" t="n">
        <v>4243</v>
      </c>
      <c r="AR97" s="22" t="n">
        <v>4242</v>
      </c>
      <c r="AS97" s="22" t="n">
        <v>4184</v>
      </c>
      <c r="AT97" s="22" t="n">
        <v>4287</v>
      </c>
      <c r="AU97" s="22" t="n">
        <v>4235</v>
      </c>
      <c r="AV97" s="22" t="n">
        <v>4110</v>
      </c>
      <c r="AW97" s="22" t="n">
        <v>4200</v>
      </c>
      <c r="AX97" s="22" t="n">
        <v>4215</v>
      </c>
      <c r="AY97" s="22" t="n">
        <v>4211</v>
      </c>
      <c r="AZ97" s="22" t="n">
        <v>3922</v>
      </c>
      <c r="BA97" s="22" t="n">
        <v>3795</v>
      </c>
      <c r="BB97" s="22" t="n">
        <v>3774</v>
      </c>
      <c r="BC97" s="22" t="n">
        <v>3844</v>
      </c>
      <c r="BD97" s="22" t="n">
        <v>3749</v>
      </c>
      <c r="BE97" s="22" t="n">
        <v>3542</v>
      </c>
      <c r="BF97" s="22" t="n">
        <v>3601</v>
      </c>
      <c r="BG97" s="22" t="n">
        <v>3856</v>
      </c>
      <c r="BH97" s="22" t="n">
        <v>4100</v>
      </c>
      <c r="BI97" s="22" t="n">
        <v>4056</v>
      </c>
      <c r="BJ97" s="22" t="n">
        <v>3964</v>
      </c>
      <c r="BK97" s="22" t="n">
        <v>3845</v>
      </c>
      <c r="BL97" s="22" t="n">
        <v>4050</v>
      </c>
    </row>
    <row r="98" ht="15.95" customHeight="1" s="574">
      <c r="A98" s="81" t="inlineStr">
        <is>
          <t>4188</t>
        </is>
      </c>
      <c r="B98" s="17" t="inlineStr">
        <is>
          <t>三菱ケミカルグループ</t>
        </is>
      </c>
      <c r="C98" s="655">
        <f>_xll.RssMarket("4188","始値")</f>
        <v/>
      </c>
      <c r="D98" s="656">
        <f>C98-E98</f>
        <v/>
      </c>
      <c r="E98" s="22" t="n">
        <v>1094</v>
      </c>
      <c r="F98" s="22" t="n">
        <v>1112.5</v>
      </c>
      <c r="G98" s="22" t="n">
        <v>1158</v>
      </c>
      <c r="H98" s="658" t="n">
        <v>1098</v>
      </c>
      <c r="I98" s="22" t="n">
        <v>1112.5</v>
      </c>
      <c r="J98" s="22" t="n">
        <v>1130</v>
      </c>
      <c r="K98" s="22" t="n">
        <v>1068</v>
      </c>
      <c r="L98" s="22" t="n">
        <v>1000</v>
      </c>
      <c r="M98" s="22" t="n">
        <v>1025</v>
      </c>
      <c r="N98" s="22" t="n">
        <v>1036.5</v>
      </c>
      <c r="O98" s="22" t="n">
        <v>1058</v>
      </c>
      <c r="P98" s="22" t="n">
        <v>1110</v>
      </c>
      <c r="Q98" s="22" t="n">
        <v>1100</v>
      </c>
      <c r="R98" s="22" t="n">
        <v>1078</v>
      </c>
      <c r="S98" s="22" t="n">
        <v>1135</v>
      </c>
      <c r="T98" s="22" t="n">
        <v>1106</v>
      </c>
      <c r="U98" s="22" t="n">
        <v>1130</v>
      </c>
      <c r="V98" s="22" t="n">
        <v>1048.5</v>
      </c>
      <c r="W98" s="22" t="n">
        <v>1008</v>
      </c>
      <c r="X98" s="22" t="n">
        <v>1024</v>
      </c>
      <c r="Y98" s="22" t="n">
        <v>1017</v>
      </c>
      <c r="Z98" s="22" t="n">
        <v>1026</v>
      </c>
      <c r="AA98" s="22" t="n">
        <v>1016</v>
      </c>
      <c r="AB98" s="22" t="n">
        <v>994</v>
      </c>
      <c r="AC98" s="22" t="n">
        <v>1007</v>
      </c>
      <c r="AD98" s="22" t="n">
        <v>930.1</v>
      </c>
      <c r="AE98" s="22" t="n">
        <v>928</v>
      </c>
      <c r="AF98" s="22" t="n">
        <v>916.7</v>
      </c>
      <c r="AG98" s="22" t="n">
        <v>923.9</v>
      </c>
      <c r="AH98" s="22" t="n">
        <v>928</v>
      </c>
      <c r="AI98" s="22" t="n">
        <v>912.1</v>
      </c>
      <c r="AJ98" s="22" t="n">
        <v>912.4</v>
      </c>
      <c r="AK98" s="22" t="n">
        <v>920.4</v>
      </c>
      <c r="AL98" s="22" t="n">
        <v>911.1</v>
      </c>
      <c r="AM98" s="22" t="n">
        <v>926.8</v>
      </c>
      <c r="AN98" s="22" t="n">
        <v>930</v>
      </c>
      <c r="AO98" s="22" t="n">
        <v>960.2</v>
      </c>
      <c r="AP98" s="22" t="n">
        <v>965</v>
      </c>
      <c r="AQ98" s="22" t="n">
        <v>988.9</v>
      </c>
      <c r="AR98" s="22" t="n">
        <v>988</v>
      </c>
      <c r="AS98" s="22" t="n">
        <v>993.4</v>
      </c>
      <c r="AT98" s="22" t="n">
        <v>992.2</v>
      </c>
      <c r="AU98" s="22" t="n">
        <v>988</v>
      </c>
      <c r="AV98" s="22" t="n">
        <v>973</v>
      </c>
      <c r="AW98" s="22" t="n">
        <v>991</v>
      </c>
      <c r="AX98" s="22" t="n">
        <v>1010</v>
      </c>
      <c r="AY98" s="22" t="n">
        <v>980</v>
      </c>
      <c r="AZ98" s="22" t="n">
        <v>917.3</v>
      </c>
      <c r="BA98" s="22" t="n">
        <v>926</v>
      </c>
      <c r="BB98" s="22" t="n">
        <v>916.6</v>
      </c>
      <c r="BC98" s="22" t="n">
        <v>955</v>
      </c>
      <c r="BD98" s="22" t="n">
        <v>936.2</v>
      </c>
      <c r="BE98" s="22" t="n">
        <v>893.4</v>
      </c>
      <c r="BF98" s="22" t="n">
        <v>880</v>
      </c>
      <c r="BG98" s="22" t="n">
        <v>934</v>
      </c>
      <c r="BH98" s="22" t="n">
        <v>946.9</v>
      </c>
      <c r="BI98" s="22" t="n">
        <v>940</v>
      </c>
      <c r="BJ98" s="22" t="n">
        <v>902.8</v>
      </c>
      <c r="BK98" s="22" t="n">
        <v>868.4</v>
      </c>
      <c r="BL98" s="22" t="n">
        <v>913.6</v>
      </c>
    </row>
    <row r="99" ht="15.95" customHeight="1" s="574">
      <c r="A99" s="81" t="inlineStr">
        <is>
          <t>4523</t>
        </is>
      </c>
      <c r="B99" s="17" t="inlineStr">
        <is>
          <t>エーザイ</t>
        </is>
      </c>
      <c r="C99" s="655">
        <f>_xll.RssMarket("4523","始値")</f>
        <v/>
      </c>
      <c r="D99" s="656">
        <f>C99-E99</f>
        <v/>
      </c>
      <c r="E99" s="22" t="n">
        <v>3861</v>
      </c>
      <c r="F99" s="22" t="n">
        <v>3900</v>
      </c>
      <c r="G99" s="22" t="n">
        <v>3888</v>
      </c>
      <c r="H99" s="658" t="n">
        <v>3857</v>
      </c>
      <c r="I99" s="22" t="n">
        <v>3796</v>
      </c>
      <c r="J99" s="22" t="n">
        <v>3794</v>
      </c>
      <c r="K99" s="22" t="n">
        <v>3754</v>
      </c>
      <c r="L99" s="22" t="n">
        <v>3709</v>
      </c>
      <c r="M99" s="22" t="n">
        <v>3736</v>
      </c>
      <c r="N99" s="22" t="n">
        <v>3800</v>
      </c>
      <c r="O99" s="22" t="n">
        <v>3850</v>
      </c>
      <c r="P99" s="22" t="n">
        <v>3829</v>
      </c>
      <c r="Q99" s="22" t="n">
        <v>3800</v>
      </c>
      <c r="R99" s="22" t="n">
        <v>3793</v>
      </c>
      <c r="S99" s="22" t="n">
        <v>3901</v>
      </c>
      <c r="T99" s="22" t="n">
        <v>4032</v>
      </c>
      <c r="U99" s="22" t="n">
        <v>3980</v>
      </c>
      <c r="V99" s="22" t="n">
        <v>4158</v>
      </c>
      <c r="W99" s="22" t="n">
        <v>4220</v>
      </c>
      <c r="X99" s="22" t="n">
        <v>4298</v>
      </c>
      <c r="Y99" s="22" t="n">
        <v>4466</v>
      </c>
      <c r="Z99" s="22" t="n">
        <v>4429</v>
      </c>
      <c r="AA99" s="22" t="n">
        <v>4513</v>
      </c>
      <c r="AB99" s="22" t="n">
        <v>4710</v>
      </c>
      <c r="AC99" s="22" t="n">
        <v>4726</v>
      </c>
      <c r="AD99" s="22" t="n">
        <v>4719</v>
      </c>
      <c r="AE99" s="22" t="n">
        <v>4690</v>
      </c>
      <c r="AF99" s="22" t="n">
        <v>4607</v>
      </c>
      <c r="AG99" s="22" t="n">
        <v>4761</v>
      </c>
      <c r="AH99" s="22" t="n">
        <v>4671</v>
      </c>
      <c r="AI99" s="22" t="n">
        <v>4653</v>
      </c>
      <c r="AJ99" s="22" t="n">
        <v>4625</v>
      </c>
      <c r="AK99" s="22" t="n">
        <v>4634</v>
      </c>
      <c r="AL99" s="22" t="n">
        <v>4630</v>
      </c>
      <c r="AM99" s="22" t="n">
        <v>4733</v>
      </c>
      <c r="AN99" s="22" t="n">
        <v>4821</v>
      </c>
      <c r="AO99" s="22" t="n">
        <v>4874</v>
      </c>
      <c r="AP99" s="22" t="n">
        <v>4893</v>
      </c>
      <c r="AQ99" s="22" t="n">
        <v>4920</v>
      </c>
      <c r="AR99" s="22" t="n">
        <v>5030</v>
      </c>
      <c r="AS99" s="22" t="n">
        <v>5060</v>
      </c>
      <c r="AT99" s="22" t="n">
        <v>4909</v>
      </c>
      <c r="AU99" s="22" t="n">
        <v>4934</v>
      </c>
      <c r="AV99" s="22" t="n">
        <v>4971</v>
      </c>
      <c r="AW99" s="22" t="n">
        <v>5115</v>
      </c>
      <c r="AX99" s="22" t="n">
        <v>5197</v>
      </c>
      <c r="AY99" s="22" t="n">
        <v>5200</v>
      </c>
      <c r="AZ99" s="22" t="n">
        <v>5100</v>
      </c>
      <c r="BA99" s="22" t="n">
        <v>5045</v>
      </c>
      <c r="BB99" s="22" t="n">
        <v>5032</v>
      </c>
      <c r="BC99" s="22" t="n">
        <v>5146</v>
      </c>
      <c r="BD99" s="22" t="n">
        <v>4941</v>
      </c>
      <c r="BE99" s="22" t="n">
        <v>4871</v>
      </c>
      <c r="BF99" s="22" t="n">
        <v>4714</v>
      </c>
      <c r="BG99" s="22" t="n">
        <v>4961</v>
      </c>
      <c r="BH99" s="22" t="n">
        <v>4916</v>
      </c>
      <c r="BI99" s="22" t="n">
        <v>4879</v>
      </c>
      <c r="BJ99" s="22" t="n">
        <v>4751</v>
      </c>
      <c r="BK99" s="22" t="n">
        <v>4700</v>
      </c>
      <c r="BL99" s="22" t="n">
        <v>4832</v>
      </c>
    </row>
    <row r="100" ht="15.95" customHeight="1" s="574">
      <c r="A100" s="81" t="inlineStr">
        <is>
          <t>4528</t>
        </is>
      </c>
      <c r="B100" s="17" t="inlineStr">
        <is>
          <t>小野薬品</t>
        </is>
      </c>
      <c r="C100" s="655">
        <f>_xll.RssMarket("4528","始値")</f>
        <v/>
      </c>
      <c r="D100" s="656">
        <f>C100-E100</f>
        <v/>
      </c>
      <c r="E100" s="22" t="n">
        <v>2335</v>
      </c>
      <c r="F100" s="22" t="n">
        <v>2210</v>
      </c>
      <c r="G100" s="22" t="n">
        <v>2268.5</v>
      </c>
      <c r="H100" s="658" t="n">
        <v>2259</v>
      </c>
      <c r="I100" s="22" t="n">
        <v>2266.5</v>
      </c>
      <c r="J100" s="22" t="n">
        <v>2296.5</v>
      </c>
      <c r="K100" s="22" t="n">
        <v>2236</v>
      </c>
      <c r="L100" s="22" t="n">
        <v>2186.5</v>
      </c>
      <c r="M100" s="22" t="n">
        <v>2195.5</v>
      </c>
      <c r="N100" s="22" t="n">
        <v>2243</v>
      </c>
      <c r="O100" s="22" t="n">
        <v>2207</v>
      </c>
      <c r="P100" s="22" t="n">
        <v>2172</v>
      </c>
      <c r="Q100" s="22" t="n">
        <v>2200</v>
      </c>
      <c r="R100" s="22" t="n">
        <v>2280</v>
      </c>
      <c r="S100" s="22" t="n">
        <v>2406</v>
      </c>
      <c r="T100" s="22" t="n">
        <v>2368</v>
      </c>
      <c r="U100" s="22" t="n">
        <v>2344</v>
      </c>
      <c r="V100" s="22" t="n">
        <v>2508</v>
      </c>
      <c r="W100" s="22" t="n">
        <v>2484</v>
      </c>
      <c r="X100" s="22" t="n">
        <v>2458</v>
      </c>
      <c r="Y100" s="22" t="n">
        <v>2466.5</v>
      </c>
      <c r="Z100" s="22" t="n">
        <v>2400.5</v>
      </c>
      <c r="AA100" s="22" t="n">
        <v>2507</v>
      </c>
      <c r="AB100" s="22" t="n">
        <v>2563</v>
      </c>
      <c r="AC100" s="22" t="n">
        <v>2535</v>
      </c>
      <c r="AD100" s="22" t="n">
        <v>2500</v>
      </c>
      <c r="AE100" s="22" t="n">
        <v>2466.5</v>
      </c>
      <c r="AF100" s="22" t="n">
        <v>2480</v>
      </c>
      <c r="AG100" s="22" t="n">
        <v>2359</v>
      </c>
      <c r="AH100" s="22" t="n">
        <v>2319</v>
      </c>
      <c r="AI100" s="22" t="n">
        <v>2287</v>
      </c>
      <c r="AJ100" s="22" t="n">
        <v>2298</v>
      </c>
      <c r="AK100" s="22" t="n">
        <v>2316</v>
      </c>
      <c r="AL100" s="22" t="n">
        <v>2321</v>
      </c>
      <c r="AM100" s="22" t="n">
        <v>2321.5</v>
      </c>
      <c r="AN100" s="22" t="n">
        <v>2300</v>
      </c>
      <c r="AO100" s="22" t="n">
        <v>2342</v>
      </c>
      <c r="AP100" s="22" t="n">
        <v>2411</v>
      </c>
      <c r="AQ100" s="22" t="n">
        <v>2412.5</v>
      </c>
      <c r="AR100" s="22" t="n">
        <v>2465.5</v>
      </c>
      <c r="AS100" s="22" t="n">
        <v>2452</v>
      </c>
      <c r="AT100" s="22" t="n">
        <v>2485</v>
      </c>
      <c r="AU100" s="22" t="n">
        <v>2504.5</v>
      </c>
      <c r="AV100" s="22" t="n">
        <v>2500</v>
      </c>
      <c r="AW100" s="22" t="n">
        <v>2534</v>
      </c>
      <c r="AX100" s="22" t="n">
        <v>2582.5</v>
      </c>
      <c r="AY100" s="22" t="n">
        <v>2592</v>
      </c>
      <c r="AZ100" s="22" t="n">
        <v>2528.5</v>
      </c>
      <c r="BA100" s="22" t="n">
        <v>2549.5</v>
      </c>
      <c r="BB100" s="22" t="n">
        <v>2530</v>
      </c>
      <c r="BC100" s="22" t="n">
        <v>2585</v>
      </c>
      <c r="BD100" s="22" t="n">
        <v>2548</v>
      </c>
      <c r="BE100" s="22" t="n">
        <v>2525</v>
      </c>
      <c r="BF100" s="22" t="n">
        <v>2415</v>
      </c>
      <c r="BG100" s="22" t="n">
        <v>2531.5</v>
      </c>
      <c r="BH100" s="22" t="n">
        <v>2486.5</v>
      </c>
      <c r="BI100" s="22" t="n">
        <v>2433.5</v>
      </c>
      <c r="BJ100" s="22" t="n">
        <v>2369</v>
      </c>
      <c r="BK100" s="22" t="n">
        <v>2340</v>
      </c>
      <c r="BL100" s="22" t="n">
        <v>2351</v>
      </c>
    </row>
    <row r="101" ht="15.95" customHeight="1" s="574">
      <c r="A101" s="81" t="inlineStr">
        <is>
          <t>4661</t>
        </is>
      </c>
      <c r="B101" s="17" t="inlineStr">
        <is>
          <t>オリエンタルランド</t>
        </is>
      </c>
      <c r="C101" s="655">
        <f>_xll.RssMarket("4661","始値")</f>
        <v/>
      </c>
      <c r="D101" s="656">
        <f>C101-E101</f>
        <v/>
      </c>
      <c r="E101" s="22" t="n">
        <v>2328</v>
      </c>
      <c r="F101" s="22" t="n">
        <v>2292.5</v>
      </c>
      <c r="G101" s="22" t="n">
        <v>2275.5</v>
      </c>
      <c r="H101" s="658" t="n">
        <v>2290</v>
      </c>
      <c r="I101" s="22" t="n">
        <v>2272</v>
      </c>
      <c r="J101" s="22" t="n">
        <v>2236.5</v>
      </c>
      <c r="K101" s="22" t="n">
        <v>2278.5</v>
      </c>
      <c r="L101" s="22" t="n">
        <v>2292.5</v>
      </c>
      <c r="M101" s="22" t="n">
        <v>2244</v>
      </c>
      <c r="N101" s="22" t="n">
        <v>2222</v>
      </c>
      <c r="O101" s="22" t="n">
        <v>2205</v>
      </c>
      <c r="P101" s="22" t="n">
        <v>2215</v>
      </c>
      <c r="Q101" s="22" t="n">
        <v>2154</v>
      </c>
      <c r="R101" s="22" t="n">
        <v>2221</v>
      </c>
      <c r="S101" s="22" t="n">
        <v>2260</v>
      </c>
      <c r="T101" s="22" t="n">
        <v>2220</v>
      </c>
      <c r="U101" s="22" t="n">
        <v>2125</v>
      </c>
      <c r="V101" s="22" t="n">
        <v>2140</v>
      </c>
      <c r="W101" s="22" t="n">
        <v>2135</v>
      </c>
      <c r="X101" s="22" t="n">
        <v>2200</v>
      </c>
      <c r="Y101" s="22" t="n">
        <v>2244</v>
      </c>
      <c r="Z101" s="22" t="n">
        <v>2165</v>
      </c>
      <c r="AA101" s="22" t="n">
        <v>2186</v>
      </c>
      <c r="AB101" s="22" t="n">
        <v>2141</v>
      </c>
      <c r="AC101" s="22" t="n">
        <v>2160</v>
      </c>
      <c r="AD101" s="22" t="n">
        <v>2195</v>
      </c>
      <c r="AE101" s="22" t="n">
        <v>2180</v>
      </c>
      <c r="AF101" s="22" t="n">
        <v>2220</v>
      </c>
      <c r="AG101" s="22" t="n">
        <v>2245</v>
      </c>
      <c r="AH101" s="22" t="n">
        <v>2223</v>
      </c>
      <c r="AI101" s="22" t="n">
        <v>2230</v>
      </c>
      <c r="AJ101" s="22" t="n">
        <v>2250</v>
      </c>
      <c r="AK101" s="22" t="n">
        <v>2415</v>
      </c>
      <c r="AL101" s="22" t="n">
        <v>2397</v>
      </c>
      <c r="AM101" s="22" t="n">
        <v>2448</v>
      </c>
      <c r="AN101" s="22" t="n">
        <v>2553.5</v>
      </c>
      <c r="AO101" s="22" t="n">
        <v>2607.5</v>
      </c>
      <c r="AP101" s="22" t="n">
        <v>2644</v>
      </c>
      <c r="AQ101" s="22" t="n">
        <v>2649</v>
      </c>
      <c r="AR101" s="22" t="n">
        <v>2618</v>
      </c>
      <c r="AS101" s="22" t="n">
        <v>2666</v>
      </c>
      <c r="AT101" s="22" t="n">
        <v>2556.5</v>
      </c>
      <c r="AU101" s="22" t="n">
        <v>2601</v>
      </c>
      <c r="AV101" s="22" t="n">
        <v>2608.5</v>
      </c>
      <c r="AW101" s="22" t="n">
        <v>2600</v>
      </c>
      <c r="AX101" s="22" t="n">
        <v>2660</v>
      </c>
      <c r="AY101" s="22" t="n">
        <v>2675.5</v>
      </c>
      <c r="AZ101" s="22" t="n">
        <v>2675</v>
      </c>
      <c r="BA101" s="22" t="n">
        <v>2724</v>
      </c>
      <c r="BB101" s="22" t="n">
        <v>2735</v>
      </c>
      <c r="BC101" s="22" t="n">
        <v>2713</v>
      </c>
      <c r="BD101" s="22" t="n">
        <v>2702</v>
      </c>
      <c r="BE101" s="22" t="n">
        <v>2691</v>
      </c>
      <c r="BF101" s="22" t="n">
        <v>2661</v>
      </c>
      <c r="BG101" s="22" t="n">
        <v>2730</v>
      </c>
      <c r="BH101" s="22" t="n">
        <v>2690</v>
      </c>
      <c r="BI101" s="22" t="n">
        <v>2700</v>
      </c>
      <c r="BJ101" s="22" t="n">
        <v>2663.5</v>
      </c>
      <c r="BK101" s="22" t="n">
        <v>2740</v>
      </c>
      <c r="BL101" s="22" t="n">
        <v>2750.5</v>
      </c>
    </row>
    <row r="102" ht="15.95" customHeight="1" s="574">
      <c r="A102" s="81" t="inlineStr">
        <is>
          <t>5802</t>
        </is>
      </c>
      <c r="B102" s="17" t="inlineStr">
        <is>
          <t>住友電工</t>
        </is>
      </c>
      <c r="C102" s="655">
        <f>_xll.RssMarket("5802","始値")</f>
        <v/>
      </c>
      <c r="D102" s="656">
        <f>C102-E102</f>
        <v/>
      </c>
      <c r="E102" s="22" t="n">
        <v>13695</v>
      </c>
      <c r="F102" s="22" t="n">
        <v>14000</v>
      </c>
      <c r="G102" s="22" t="n">
        <v>12275</v>
      </c>
      <c r="H102" s="658" t="n">
        <v>12000</v>
      </c>
      <c r="I102" s="22" t="n">
        <v>11510</v>
      </c>
      <c r="J102" s="22" t="n">
        <v>11325</v>
      </c>
      <c r="K102" s="22" t="n">
        <v>10960</v>
      </c>
      <c r="L102" s="22" t="n">
        <v>9945</v>
      </c>
      <c r="M102" s="22" t="n">
        <v>11460</v>
      </c>
      <c r="N102" s="22" t="n">
        <v>11725</v>
      </c>
      <c r="O102" s="22" t="n">
        <v>12865</v>
      </c>
      <c r="P102" s="22" t="n">
        <v>13845</v>
      </c>
      <c r="Q102" s="22" t="n">
        <v>14815</v>
      </c>
      <c r="R102" s="22" t="n">
        <v>12880</v>
      </c>
      <c r="S102" s="22" t="n">
        <v>12095</v>
      </c>
      <c r="T102" s="22" t="n">
        <v>11720</v>
      </c>
      <c r="U102" s="22" t="n">
        <v>12495</v>
      </c>
      <c r="V102" s="22" t="n">
        <v>12165</v>
      </c>
      <c r="W102" s="22" t="n">
        <v>11470</v>
      </c>
      <c r="X102" s="22" t="n">
        <v>10825</v>
      </c>
      <c r="Y102" s="22" t="n">
        <v>10285</v>
      </c>
      <c r="Z102" s="22" t="n">
        <v>11310</v>
      </c>
      <c r="AA102" s="22" t="n">
        <v>11090</v>
      </c>
      <c r="AB102" s="22" t="n">
        <v>12200</v>
      </c>
      <c r="AC102" s="22" t="n">
        <v>12890</v>
      </c>
      <c r="AD102" s="22" t="n">
        <v>11350</v>
      </c>
      <c r="AE102" s="22" t="n">
        <v>12410</v>
      </c>
      <c r="AF102" s="22" t="n">
        <v>11650</v>
      </c>
      <c r="AG102" s="22" t="n">
        <v>11005</v>
      </c>
      <c r="AH102" s="22" t="n">
        <v>10710</v>
      </c>
      <c r="AI102" s="22" t="n">
        <v>10280</v>
      </c>
      <c r="AJ102" s="22" t="n">
        <v>10230</v>
      </c>
      <c r="AK102" s="22" t="n">
        <v>10000</v>
      </c>
      <c r="AL102" s="22" t="n">
        <v>9962</v>
      </c>
      <c r="AM102" s="22" t="n">
        <v>10345</v>
      </c>
      <c r="AN102" s="22" t="n">
        <v>10805</v>
      </c>
      <c r="AO102" s="22" t="n">
        <v>10290</v>
      </c>
      <c r="AP102" s="22" t="n">
        <v>10300</v>
      </c>
      <c r="AQ102" s="22" t="n">
        <v>10130</v>
      </c>
      <c r="AR102" s="22" t="n">
        <v>10050</v>
      </c>
      <c r="AS102" s="22" t="n">
        <v>9650</v>
      </c>
      <c r="AT102" s="22" t="n">
        <v>10375</v>
      </c>
      <c r="AU102" s="22" t="n">
        <v>10130</v>
      </c>
      <c r="AV102" s="22" t="n">
        <v>10485</v>
      </c>
      <c r="AW102" s="22" t="n">
        <v>10110</v>
      </c>
      <c r="AX102" s="22" t="n">
        <v>10165</v>
      </c>
      <c r="AY102" s="22" t="n">
        <v>10100</v>
      </c>
      <c r="AZ102" s="22" t="n">
        <v>9447</v>
      </c>
      <c r="BA102" s="22" t="n">
        <v>9610</v>
      </c>
      <c r="BB102" s="22" t="n">
        <v>9550</v>
      </c>
      <c r="BC102" s="22" t="n">
        <v>9419</v>
      </c>
      <c r="BD102" s="22" t="n">
        <v>8800</v>
      </c>
      <c r="BE102" s="22" t="n">
        <v>8505</v>
      </c>
      <c r="BF102" s="22" t="n">
        <v>8925</v>
      </c>
      <c r="BG102" s="22" t="n">
        <v>9401</v>
      </c>
      <c r="BH102" s="22" t="n">
        <v>10215</v>
      </c>
      <c r="BI102" s="22" t="n">
        <v>10210</v>
      </c>
      <c r="BJ102" s="22" t="n">
        <v>9964</v>
      </c>
      <c r="BK102" s="22" t="n">
        <v>9248</v>
      </c>
      <c r="BL102" s="22" t="n">
        <v>9737</v>
      </c>
    </row>
    <row r="103" ht="15.95" customHeight="1" s="574">
      <c r="A103" s="81" t="inlineStr">
        <is>
          <t>5803</t>
        </is>
      </c>
      <c r="B103" s="17" t="inlineStr">
        <is>
          <t>フジクラ</t>
        </is>
      </c>
      <c r="C103" s="655">
        <f>_xll.RssMarket("5803","始値")</f>
        <v/>
      </c>
      <c r="D103" s="656">
        <f>C103-E103</f>
        <v/>
      </c>
      <c r="E103" s="22" t="n">
        <v>6161</v>
      </c>
      <c r="F103" s="22" t="n">
        <v>5161</v>
      </c>
      <c r="G103" s="22" t="n">
        <v>4791</v>
      </c>
      <c r="H103" s="658" t="n">
        <v>4600</v>
      </c>
      <c r="I103" s="22" t="n">
        <v>4400</v>
      </c>
      <c r="J103" s="22" t="n">
        <v>4450</v>
      </c>
      <c r="K103" s="22" t="n">
        <v>4352</v>
      </c>
      <c r="L103" s="22" t="n">
        <v>4006</v>
      </c>
      <c r="M103" s="22" t="n">
        <v>4320</v>
      </c>
      <c r="N103" s="22" t="n">
        <v>4386</v>
      </c>
      <c r="O103" s="22" t="n">
        <v>4654</v>
      </c>
      <c r="P103" s="22" t="n">
        <v>4831</v>
      </c>
      <c r="Q103" s="22" t="n">
        <v>4854</v>
      </c>
      <c r="R103" s="22" t="n">
        <v>4607</v>
      </c>
      <c r="S103" s="22" t="n">
        <v>5044</v>
      </c>
      <c r="T103" s="22" t="n">
        <v>4998</v>
      </c>
      <c r="U103" s="22" t="n">
        <v>5500</v>
      </c>
      <c r="V103" s="22" t="n">
        <v>5360</v>
      </c>
      <c r="W103" s="22" t="n">
        <v>4650</v>
      </c>
      <c r="X103" s="22" t="n">
        <v>4550</v>
      </c>
      <c r="Y103" s="22" t="n">
        <v>4275</v>
      </c>
      <c r="Z103" s="22" t="n">
        <v>5600</v>
      </c>
      <c r="AA103" s="22" t="n">
        <v>5842</v>
      </c>
      <c r="AB103" s="22" t="n">
        <v>6418</v>
      </c>
      <c r="AC103" s="22" t="n">
        <v>7662</v>
      </c>
      <c r="AD103" s="22" t="n">
        <v>7324</v>
      </c>
      <c r="AE103" s="22" t="n">
        <v>7250</v>
      </c>
      <c r="AF103" s="22" t="n">
        <v>6780</v>
      </c>
      <c r="AG103" s="22" t="n">
        <v>6428</v>
      </c>
      <c r="AH103" s="22" t="n">
        <v>6300</v>
      </c>
      <c r="AI103" s="22" t="n">
        <v>5983</v>
      </c>
      <c r="AJ103" s="22" t="n">
        <v>5981</v>
      </c>
      <c r="AK103" s="22" t="n">
        <v>6231</v>
      </c>
      <c r="AL103" s="22" t="n">
        <v>6037</v>
      </c>
      <c r="AM103" s="22" t="n">
        <v>5987</v>
      </c>
      <c r="AN103" s="22" t="n">
        <v>6119</v>
      </c>
      <c r="AO103" s="22" t="n">
        <v>5833</v>
      </c>
      <c r="AP103" s="22" t="n">
        <v>5577</v>
      </c>
      <c r="AQ103" s="22" t="n">
        <v>5692</v>
      </c>
      <c r="AR103" s="22" t="n">
        <v>5903</v>
      </c>
      <c r="AS103" s="22" t="n">
        <v>5600</v>
      </c>
      <c r="AT103" s="22" t="n">
        <v>5960</v>
      </c>
      <c r="AU103" s="22" t="n">
        <v>5947</v>
      </c>
      <c r="AV103" s="22" t="n">
        <v>5914</v>
      </c>
      <c r="AW103" s="22" t="n">
        <v>5176</v>
      </c>
      <c r="AX103" s="22" t="n">
        <v>4806</v>
      </c>
      <c r="AY103" s="22" t="n">
        <v>4835</v>
      </c>
      <c r="AZ103" s="22" t="n">
        <v>4597</v>
      </c>
      <c r="BA103" s="22" t="n">
        <v>4679</v>
      </c>
      <c r="BB103" s="22" t="n">
        <v>4430</v>
      </c>
      <c r="BC103" s="22" t="n">
        <v>4535</v>
      </c>
      <c r="BD103" s="22" t="n">
        <v>4370</v>
      </c>
      <c r="BE103" s="22" t="n">
        <v>4250</v>
      </c>
      <c r="BF103" s="22" t="n">
        <v>4445</v>
      </c>
      <c r="BG103" s="22" t="n">
        <v>4583.3</v>
      </c>
      <c r="BH103" s="22" t="n">
        <v>4610.8</v>
      </c>
      <c r="BI103" s="22" t="n">
        <v>4483.3</v>
      </c>
      <c r="BJ103" s="22" t="n">
        <v>4203.3</v>
      </c>
      <c r="BK103" s="22" t="n">
        <v>4010.8</v>
      </c>
      <c r="BL103" s="22" t="n">
        <v>4215</v>
      </c>
    </row>
    <row r="104" ht="15.95" customHeight="1" s="574">
      <c r="A104" s="81" t="inlineStr">
        <is>
          <t>6178</t>
        </is>
      </c>
      <c r="B104" s="17" t="inlineStr">
        <is>
          <t>日本郵政</t>
        </is>
      </c>
      <c r="C104" s="655">
        <f>_xll.RssMarket("6178","始値")</f>
        <v/>
      </c>
      <c r="D104" s="656">
        <f>C104-E104</f>
        <v/>
      </c>
      <c r="E104" s="22" t="n">
        <v>2210.5</v>
      </c>
      <c r="F104" s="22" t="n">
        <v>2212.5</v>
      </c>
      <c r="G104" s="22" t="n">
        <v>2212</v>
      </c>
      <c r="H104" s="658" t="n">
        <v>2272</v>
      </c>
      <c r="I104" s="22" t="n">
        <v>2250</v>
      </c>
      <c r="J104" s="22" t="n">
        <v>2325</v>
      </c>
      <c r="K104" s="22" t="n">
        <v>2280.5</v>
      </c>
      <c r="L104" s="22" t="n">
        <v>2230.5</v>
      </c>
      <c r="M104" s="22" t="n">
        <v>2204</v>
      </c>
      <c r="N104" s="22" t="n">
        <v>2108.5</v>
      </c>
      <c r="O104" s="22" t="n">
        <v>2155</v>
      </c>
      <c r="P104" s="22" t="n">
        <v>2108.5</v>
      </c>
      <c r="Q104" s="22" t="n">
        <v>2090</v>
      </c>
      <c r="R104" s="22" t="n">
        <v>2005</v>
      </c>
      <c r="S104" s="22" t="n">
        <v>2052</v>
      </c>
      <c r="T104" s="22" t="n">
        <v>2024.5</v>
      </c>
      <c r="U104" s="22" t="n">
        <v>2070</v>
      </c>
      <c r="V104" s="22" t="n">
        <v>2093</v>
      </c>
      <c r="W104" s="22" t="n">
        <v>2115.5</v>
      </c>
      <c r="X104" s="22" t="n">
        <v>2110</v>
      </c>
      <c r="Y104" s="22" t="n">
        <v>2126.5</v>
      </c>
      <c r="Z104" s="22" t="n">
        <v>2065</v>
      </c>
      <c r="AA104" s="22" t="n">
        <v>1997</v>
      </c>
      <c r="AB104" s="22" t="n">
        <v>1951</v>
      </c>
      <c r="AC104" s="22" t="n">
        <v>1951.5</v>
      </c>
      <c r="AD104" s="22" t="n">
        <v>1900</v>
      </c>
      <c r="AE104" s="22" t="n">
        <v>1876.5</v>
      </c>
      <c r="AF104" s="22" t="n">
        <v>1863</v>
      </c>
      <c r="AG104" s="22" t="n">
        <v>1857</v>
      </c>
      <c r="AH104" s="22" t="n">
        <v>1845.5</v>
      </c>
      <c r="AI104" s="22" t="n">
        <v>1812.5</v>
      </c>
      <c r="AJ104" s="22" t="n">
        <v>1810</v>
      </c>
      <c r="AK104" s="22" t="n">
        <v>1775</v>
      </c>
      <c r="AL104" s="22" t="n">
        <v>1762</v>
      </c>
      <c r="AM104" s="22" t="n">
        <v>1784.5</v>
      </c>
      <c r="AN104" s="22" t="n">
        <v>1789</v>
      </c>
      <c r="AO104" s="22" t="n">
        <v>1820.5</v>
      </c>
      <c r="AP104" s="22" t="n">
        <v>1856.5</v>
      </c>
      <c r="AQ104" s="22" t="n">
        <v>1880.5</v>
      </c>
      <c r="AR104" s="22" t="n">
        <v>1887.5</v>
      </c>
      <c r="AS104" s="22" t="n">
        <v>1900</v>
      </c>
      <c r="AT104" s="22" t="n">
        <v>1858.5</v>
      </c>
      <c r="AU104" s="22" t="n">
        <v>1881.5</v>
      </c>
      <c r="AV104" s="22" t="n">
        <v>1831</v>
      </c>
      <c r="AW104" s="22" t="n">
        <v>1891.5</v>
      </c>
      <c r="AX104" s="22" t="n">
        <v>1913.5</v>
      </c>
      <c r="AY104" s="22" t="n">
        <v>1924</v>
      </c>
      <c r="AZ104" s="22" t="n">
        <v>1849</v>
      </c>
      <c r="BA104" s="22" t="n">
        <v>1829</v>
      </c>
      <c r="BB104" s="22" t="n">
        <v>1844</v>
      </c>
      <c r="BC104" s="22" t="n">
        <v>1890</v>
      </c>
      <c r="BD104" s="22" t="n">
        <v>1869</v>
      </c>
      <c r="BE104" s="22" t="n">
        <v>1789</v>
      </c>
      <c r="BF104" s="22" t="n">
        <v>1740</v>
      </c>
      <c r="BG104" s="22" t="n">
        <v>1857</v>
      </c>
      <c r="BH104" s="22" t="n">
        <v>1863.5</v>
      </c>
      <c r="BI104" s="22" t="n">
        <v>1855.5</v>
      </c>
      <c r="BJ104" s="22" t="n">
        <v>1816</v>
      </c>
      <c r="BK104" s="22" t="n">
        <v>1768.5</v>
      </c>
      <c r="BL104" s="22" t="n">
        <v>1804.5</v>
      </c>
    </row>
    <row r="105" ht="15.95" customHeight="1" s="574">
      <c r="A105" s="81" t="inlineStr">
        <is>
          <t>6925</t>
        </is>
      </c>
      <c r="B105" s="17" t="inlineStr">
        <is>
          <t>ウシオ電機</t>
        </is>
      </c>
      <c r="C105" s="655">
        <f>_xll.RssMarket("6925","始値")</f>
        <v/>
      </c>
      <c r="D105" s="656">
        <f>C105-E105</f>
        <v/>
      </c>
      <c r="E105" s="22" t="n">
        <v>4693</v>
      </c>
      <c r="F105" s="22" t="n">
        <v>4749</v>
      </c>
      <c r="G105" s="22" t="n">
        <v>4630</v>
      </c>
      <c r="H105" s="76" t="n">
        <v>4478</v>
      </c>
      <c r="I105" s="22" t="n">
        <v>4274</v>
      </c>
      <c r="J105" s="22" t="n">
        <v>4200</v>
      </c>
      <c r="K105" s="22" t="n">
        <v>4025</v>
      </c>
      <c r="L105" s="22" t="n">
        <v>3794</v>
      </c>
      <c r="M105" s="22" t="n">
        <v>4027</v>
      </c>
      <c r="N105" s="22" t="n">
        <v>3980</v>
      </c>
      <c r="O105" s="22" t="n">
        <v>4269</v>
      </c>
      <c r="P105" s="22" t="n">
        <v>4077</v>
      </c>
      <c r="Q105" s="22" t="n">
        <v>4067</v>
      </c>
      <c r="R105" s="22" t="n">
        <v>4059</v>
      </c>
      <c r="S105" s="22" t="n">
        <v>4229</v>
      </c>
      <c r="T105" s="22" t="n">
        <v>4192</v>
      </c>
      <c r="U105" s="22" t="n">
        <v>4226</v>
      </c>
      <c r="V105" s="22" t="n">
        <v>4100</v>
      </c>
      <c r="W105" s="22" t="n">
        <v>4050</v>
      </c>
      <c r="X105" s="22" t="n">
        <v>3833</v>
      </c>
      <c r="Y105" s="22" t="n">
        <v>3858</v>
      </c>
      <c r="Z105" s="22" t="n">
        <v>4138</v>
      </c>
      <c r="AA105" s="22" t="n">
        <v>4250</v>
      </c>
      <c r="AB105" s="22" t="n">
        <v>4239</v>
      </c>
      <c r="AC105" s="22" t="n">
        <v>3419</v>
      </c>
      <c r="AD105" s="22" t="n">
        <v>3439</v>
      </c>
      <c r="AE105" s="22" t="n">
        <v>3468</v>
      </c>
      <c r="AF105" s="22" t="n">
        <v>3405</v>
      </c>
      <c r="AG105" s="22" t="n">
        <v>3343</v>
      </c>
      <c r="AH105" s="22" t="n">
        <v>3235</v>
      </c>
      <c r="AI105" s="22" t="n">
        <v>3126</v>
      </c>
      <c r="AJ105" s="22" t="n">
        <v>3090</v>
      </c>
      <c r="AK105" s="22" t="n">
        <v>3135</v>
      </c>
      <c r="AL105" s="22" t="n">
        <v>3200</v>
      </c>
      <c r="AM105" s="22" t="n">
        <v>3224</v>
      </c>
      <c r="AN105" s="22" t="n">
        <v>3150</v>
      </c>
      <c r="AO105" s="22" t="n">
        <v>3180</v>
      </c>
      <c r="AP105" s="22" t="n">
        <v>3207</v>
      </c>
      <c r="AQ105" s="22" t="n">
        <v>3156</v>
      </c>
      <c r="AR105" s="22" t="n">
        <v>3320</v>
      </c>
      <c r="AS105" s="22" t="n">
        <v>3299</v>
      </c>
      <c r="AT105" s="22" t="n">
        <v>3282</v>
      </c>
      <c r="AU105" s="22" t="n">
        <v>3251</v>
      </c>
      <c r="AV105" s="22" t="n">
        <v>3231</v>
      </c>
      <c r="AW105" s="22" t="n">
        <v>3232</v>
      </c>
      <c r="AX105" s="22" t="n">
        <v>3200</v>
      </c>
      <c r="AY105" s="22" t="n">
        <v>3159</v>
      </c>
      <c r="AZ105" s="22" t="n">
        <v>3079</v>
      </c>
      <c r="BA105" s="22" t="n">
        <v>3079</v>
      </c>
      <c r="BB105" s="22" t="n">
        <v>3086</v>
      </c>
      <c r="BC105" s="22" t="n">
        <v>3082</v>
      </c>
      <c r="BD105" s="22" t="n">
        <v>2960</v>
      </c>
      <c r="BE105" s="22" t="n">
        <v>2794</v>
      </c>
      <c r="BF105" s="22" t="n">
        <v>2759</v>
      </c>
      <c r="BG105" s="22" t="n">
        <v>2904.5</v>
      </c>
      <c r="BH105" s="22" t="n">
        <v>2950</v>
      </c>
      <c r="BI105" s="22" t="n">
        <v>2978</v>
      </c>
      <c r="BJ105" s="22" t="n">
        <v>2882</v>
      </c>
      <c r="BK105" s="22" t="n">
        <v>2799</v>
      </c>
      <c r="BL105" s="22" t="n">
        <v>2840</v>
      </c>
    </row>
    <row r="106" ht="15.95" customHeight="1" s="574">
      <c r="A106" s="81" t="inlineStr">
        <is>
          <t>7021</t>
        </is>
      </c>
      <c r="B106" s="17" t="inlineStr">
        <is>
          <t>ニッチツ</t>
        </is>
      </c>
      <c r="C106" s="655">
        <f>_xll.RssMarket("7021","始値")</f>
        <v/>
      </c>
      <c r="D106" s="656">
        <f>C106-E106</f>
        <v/>
      </c>
      <c r="E106" s="22" t="n">
        <v>1787</v>
      </c>
      <c r="F106" s="22" t="n">
        <v>1753</v>
      </c>
      <c r="G106" s="22" t="n">
        <v>1793</v>
      </c>
      <c r="H106" s="76" t="n">
        <v>1809</v>
      </c>
      <c r="I106" s="22" t="n">
        <v>1780</v>
      </c>
      <c r="J106" s="22" t="n">
        <v>1826</v>
      </c>
      <c r="K106" s="22" t="n">
        <v>1804</v>
      </c>
      <c r="L106" s="22" t="n">
        <v>1812</v>
      </c>
      <c r="M106" s="22" t="n">
        <v>1800</v>
      </c>
      <c r="N106" s="22" t="n">
        <v>1770</v>
      </c>
      <c r="O106" s="22" t="n">
        <v>1759</v>
      </c>
      <c r="P106" s="22" t="n">
        <v>1749</v>
      </c>
      <c r="Q106" s="22" t="n">
        <v>1800</v>
      </c>
      <c r="R106" s="22" t="n">
        <v>1803</v>
      </c>
      <c r="S106" s="22" t="n">
        <v>1854</v>
      </c>
      <c r="T106" s="22" t="n">
        <v>1819</v>
      </c>
      <c r="U106" s="22" t="n">
        <v>1823</v>
      </c>
      <c r="V106" s="22" t="n">
        <v>1868</v>
      </c>
      <c r="W106" s="22" t="n">
        <v>1881</v>
      </c>
      <c r="X106" s="22" t="n">
        <v>1915</v>
      </c>
      <c r="Y106" s="22" t="n">
        <v>1980</v>
      </c>
      <c r="Z106" s="22" t="n">
        <v>2088</v>
      </c>
      <c r="AA106" s="22" t="n">
        <v>2189</v>
      </c>
      <c r="AB106" s="22" t="n">
        <v>2118</v>
      </c>
      <c r="AC106" s="22" t="n">
        <v>2151</v>
      </c>
      <c r="AD106" s="22" t="n">
        <v>2141</v>
      </c>
      <c r="AE106" s="22" t="n">
        <v>2170</v>
      </c>
      <c r="AF106" s="22" t="n">
        <v>2150</v>
      </c>
      <c r="AG106" s="22" t="n">
        <v>2175</v>
      </c>
      <c r="AH106" s="22" t="n">
        <v>2225</v>
      </c>
      <c r="AI106" s="22" t="n">
        <v>2176</v>
      </c>
      <c r="AJ106" s="22" t="n">
        <v>2259</v>
      </c>
      <c r="AK106" s="22" t="n">
        <v>2258</v>
      </c>
      <c r="AL106" s="22" t="n">
        <v>2295</v>
      </c>
      <c r="AM106" s="22" t="n">
        <v>2289</v>
      </c>
      <c r="AN106" s="22" t="n">
        <v>2364</v>
      </c>
      <c r="AO106" s="22" t="n">
        <v>2341</v>
      </c>
      <c r="AP106" s="22" t="n">
        <v>2337</v>
      </c>
      <c r="AQ106" s="22" t="n">
        <v>2360</v>
      </c>
      <c r="AR106" s="22" t="n">
        <v>2343</v>
      </c>
      <c r="AS106" s="22" t="n">
        <v>2339</v>
      </c>
      <c r="AT106" s="22" t="n">
        <v>2329</v>
      </c>
      <c r="AU106" s="22" t="n">
        <v>2301</v>
      </c>
      <c r="AV106" s="22" t="n">
        <v>2296</v>
      </c>
      <c r="AW106" s="22" t="n">
        <v>2295</v>
      </c>
      <c r="AX106" s="22" t="n">
        <v>2260</v>
      </c>
      <c r="AY106" s="22" t="n">
        <v>2295</v>
      </c>
      <c r="AZ106" s="22" t="n">
        <v>2250</v>
      </c>
      <c r="BA106" s="22" t="n">
        <v>2288</v>
      </c>
      <c r="BB106" s="22" t="n">
        <v>2250</v>
      </c>
      <c r="BC106" s="22" t="n">
        <v>2203</v>
      </c>
      <c r="BD106" s="22" t="n">
        <v>2182</v>
      </c>
      <c r="BE106" s="22" t="n">
        <v>2259</v>
      </c>
      <c r="BF106" s="22" t="n">
        <v>2261</v>
      </c>
      <c r="BG106" s="22" t="n">
        <v>2284</v>
      </c>
      <c r="BH106" s="22" t="n">
        <v>2278</v>
      </c>
      <c r="BI106" s="22" t="n">
        <v>2249</v>
      </c>
      <c r="BJ106" s="22" t="n">
        <v>2284</v>
      </c>
      <c r="BK106" s="22" t="n">
        <v>2251</v>
      </c>
      <c r="BL106" s="22" t="n">
        <v>2250</v>
      </c>
    </row>
    <row r="107" ht="15.95" customHeight="1" s="574">
      <c r="A107" s="81" t="inlineStr">
        <is>
          <t>7729</t>
        </is>
      </c>
      <c r="B107" s="17" t="inlineStr">
        <is>
          <t>東京精密</t>
        </is>
      </c>
      <c r="C107" s="655">
        <f>_xll.RssMarket("7729","始値")</f>
        <v/>
      </c>
      <c r="D107" s="656">
        <f>C107-E107</f>
        <v/>
      </c>
      <c r="E107" s="22" t="n">
        <v>20075</v>
      </c>
      <c r="F107" s="22" t="n">
        <v>20645</v>
      </c>
      <c r="G107" s="22" t="n">
        <v>19850</v>
      </c>
      <c r="H107" s="76" t="n">
        <v>18490</v>
      </c>
      <c r="I107" s="22" t="n">
        <v>19775</v>
      </c>
      <c r="J107" s="22" t="n">
        <v>19455</v>
      </c>
      <c r="K107" s="22" t="n">
        <v>18430</v>
      </c>
      <c r="L107" s="22" t="n">
        <v>16355</v>
      </c>
      <c r="M107" s="22" t="n">
        <v>17270</v>
      </c>
      <c r="N107" s="22" t="n">
        <v>15910</v>
      </c>
      <c r="O107" s="22" t="n">
        <v>17925</v>
      </c>
      <c r="P107" s="22" t="n">
        <v>17360</v>
      </c>
      <c r="Q107" s="22" t="n">
        <v>17250</v>
      </c>
      <c r="R107" s="22" t="n">
        <v>16975</v>
      </c>
      <c r="S107" s="22" t="n">
        <v>17970</v>
      </c>
      <c r="T107" s="22" t="n">
        <v>17420</v>
      </c>
      <c r="U107" s="22" t="n">
        <v>17795</v>
      </c>
      <c r="V107" s="22" t="n">
        <v>17770</v>
      </c>
      <c r="W107" s="22" t="n">
        <v>16650</v>
      </c>
      <c r="X107" s="22" t="n">
        <v>16390</v>
      </c>
      <c r="Y107" s="22" t="n">
        <v>15700</v>
      </c>
      <c r="Z107" s="22" t="n">
        <v>16200</v>
      </c>
      <c r="AA107" s="22" t="n">
        <v>16515</v>
      </c>
      <c r="AB107" s="22" t="n">
        <v>18155</v>
      </c>
      <c r="AC107" s="22" t="n">
        <v>19285</v>
      </c>
      <c r="AD107" s="22" t="n">
        <v>18585</v>
      </c>
      <c r="AE107" s="22" t="n">
        <v>19365</v>
      </c>
      <c r="AF107" s="22" t="n">
        <v>19400</v>
      </c>
      <c r="AG107" s="22" t="n">
        <v>18000</v>
      </c>
      <c r="AH107" s="22" t="n">
        <v>18375</v>
      </c>
      <c r="AI107" s="22" t="n">
        <v>17240</v>
      </c>
      <c r="AJ107" s="22" t="n">
        <v>17355</v>
      </c>
      <c r="AK107" s="22" t="n">
        <v>17325</v>
      </c>
      <c r="AL107" s="22" t="n">
        <v>17640</v>
      </c>
      <c r="AM107" s="22" t="n">
        <v>16950</v>
      </c>
      <c r="AN107" s="22" t="n">
        <v>17220</v>
      </c>
      <c r="AO107" s="22" t="n">
        <v>16715</v>
      </c>
      <c r="AP107" s="22" t="n">
        <v>16440</v>
      </c>
      <c r="AQ107" s="22" t="n">
        <v>16665</v>
      </c>
      <c r="AR107" s="22" t="n">
        <v>16810</v>
      </c>
      <c r="AS107" s="22" t="n">
        <v>16595</v>
      </c>
      <c r="AT107" s="22" t="n">
        <v>16435</v>
      </c>
      <c r="AU107" s="22" t="n">
        <v>16100</v>
      </c>
      <c r="AV107" s="22" t="n">
        <v>15605</v>
      </c>
      <c r="AW107" s="22" t="n">
        <v>15680</v>
      </c>
      <c r="AX107" s="22" t="n">
        <v>15345</v>
      </c>
      <c r="AY107" s="22" t="n">
        <v>15100</v>
      </c>
      <c r="AZ107" s="22" t="n">
        <v>14320</v>
      </c>
      <c r="BA107" s="22" t="n">
        <v>14050</v>
      </c>
      <c r="BB107" s="22" t="n">
        <v>14210</v>
      </c>
      <c r="BC107" s="22" t="n">
        <v>14465</v>
      </c>
      <c r="BD107" s="22" t="n">
        <v>13905</v>
      </c>
      <c r="BE107" s="22" t="n">
        <v>13000</v>
      </c>
      <c r="BF107" s="22" t="n">
        <v>13180</v>
      </c>
      <c r="BG107" s="22" t="n">
        <v>14030</v>
      </c>
      <c r="BH107" s="22" t="n">
        <v>14580</v>
      </c>
      <c r="BI107" s="22" t="n">
        <v>14650</v>
      </c>
      <c r="BJ107" s="22" t="n">
        <v>14285</v>
      </c>
      <c r="BK107" s="22" t="n">
        <v>13800</v>
      </c>
      <c r="BL107" s="22" t="n">
        <v>14500</v>
      </c>
    </row>
    <row r="108" ht="15.95" customHeight="1" s="574">
      <c r="A108" s="81" t="inlineStr">
        <is>
          <t>8424</t>
        </is>
      </c>
      <c r="B108" s="17" t="inlineStr">
        <is>
          <t>芙蓉総合リース</t>
        </is>
      </c>
      <c r="C108" s="655">
        <f>_xll.RssMarket("8424","始値")</f>
        <v/>
      </c>
      <c r="D108" s="656">
        <f>C108-E108</f>
        <v/>
      </c>
      <c r="E108" s="22" t="n">
        <v>4226</v>
      </c>
      <c r="F108" s="22" t="n">
        <v>4213</v>
      </c>
      <c r="G108" s="22" t="n">
        <v>4250</v>
      </c>
      <c r="H108" s="76" t="n">
        <v>4302</v>
      </c>
      <c r="I108" s="22" t="n">
        <v>4300</v>
      </c>
      <c r="J108" s="22" t="n">
        <v>4306</v>
      </c>
      <c r="K108" s="22" t="n">
        <v>4264</v>
      </c>
      <c r="L108" s="22" t="n">
        <v>4309</v>
      </c>
      <c r="M108" s="22" t="n">
        <v>4272</v>
      </c>
      <c r="N108" s="22" t="n">
        <v>4118</v>
      </c>
      <c r="O108" s="22" t="n">
        <v>4100</v>
      </c>
      <c r="P108" s="22" t="n">
        <v>4077</v>
      </c>
      <c r="Q108" s="22" t="n">
        <v>4054</v>
      </c>
      <c r="R108" s="22" t="n">
        <v>4075</v>
      </c>
      <c r="S108" s="22" t="n">
        <v>4170</v>
      </c>
      <c r="T108" s="22" t="n">
        <v>4185</v>
      </c>
      <c r="U108" s="22" t="n">
        <v>4190</v>
      </c>
      <c r="V108" s="22" t="n">
        <v>4280</v>
      </c>
      <c r="W108" s="22" t="n">
        <v>4371</v>
      </c>
      <c r="X108" s="22" t="n">
        <v>4403</v>
      </c>
      <c r="Y108" s="22" t="n">
        <v>4387</v>
      </c>
      <c r="Z108" s="22" t="n">
        <v>4342</v>
      </c>
      <c r="AA108" s="22" t="n">
        <v>4378</v>
      </c>
      <c r="AB108" s="22" t="n">
        <v>4396</v>
      </c>
      <c r="AC108" s="22" t="n">
        <v>4350</v>
      </c>
      <c r="AD108" s="22" t="n">
        <v>4363</v>
      </c>
      <c r="AE108" s="22" t="n">
        <v>4300</v>
      </c>
      <c r="AF108" s="22" t="n">
        <v>4290</v>
      </c>
      <c r="AG108" s="22" t="n">
        <v>4322</v>
      </c>
      <c r="AH108" s="22" t="n">
        <v>4313</v>
      </c>
      <c r="AI108" s="22" t="n">
        <v>4312</v>
      </c>
      <c r="AJ108" s="22" t="n">
        <v>4337</v>
      </c>
      <c r="AK108" s="22" t="n">
        <v>4267</v>
      </c>
      <c r="AL108" s="22" t="n">
        <v>4243</v>
      </c>
      <c r="AM108" s="22" t="n">
        <v>4260</v>
      </c>
      <c r="AN108" s="22" t="n">
        <v>4230</v>
      </c>
      <c r="AO108" s="22" t="n">
        <v>4273</v>
      </c>
      <c r="AP108" s="22" t="n">
        <v>4315</v>
      </c>
      <c r="AQ108" s="22" t="n">
        <v>4353</v>
      </c>
      <c r="AR108" s="22" t="n">
        <v>4330</v>
      </c>
      <c r="AS108" s="22" t="n">
        <v>4355</v>
      </c>
      <c r="AT108" s="22" t="n">
        <v>4328</v>
      </c>
      <c r="AU108" s="22" t="n">
        <v>4338</v>
      </c>
      <c r="AV108" s="22" t="n">
        <v>4338</v>
      </c>
      <c r="AW108" s="22" t="n">
        <v>4410</v>
      </c>
      <c r="AX108" s="22" t="n">
        <v>4448</v>
      </c>
      <c r="AY108" s="22" t="n">
        <v>4447</v>
      </c>
      <c r="AZ108" s="22" t="n">
        <v>4394</v>
      </c>
      <c r="BA108" s="22" t="n">
        <v>4356</v>
      </c>
      <c r="BB108" s="22" t="n">
        <v>4348</v>
      </c>
      <c r="BC108" s="22" t="n">
        <v>4350</v>
      </c>
      <c r="BD108" s="22" t="n">
        <v>4328</v>
      </c>
      <c r="BE108" s="22" t="n">
        <v>4267</v>
      </c>
      <c r="BF108" s="22" t="n">
        <v>4163</v>
      </c>
      <c r="BG108" s="22" t="n">
        <v>4428</v>
      </c>
      <c r="BH108" s="22" t="n">
        <v>4424</v>
      </c>
      <c r="BI108" s="22" t="n">
        <v>4414</v>
      </c>
      <c r="BJ108" s="22" t="n">
        <v>4358</v>
      </c>
      <c r="BK108" s="22" t="n">
        <v>4343</v>
      </c>
      <c r="BL108" s="22" t="n">
        <v>4400</v>
      </c>
    </row>
    <row r="109" ht="15.95" customHeight="1" s="574">
      <c r="A109" s="81" t="inlineStr">
        <is>
          <t>9020</t>
        </is>
      </c>
      <c r="B109" s="17" t="inlineStr">
        <is>
          <t>東日本旅客鉄道</t>
        </is>
      </c>
      <c r="C109" s="655">
        <f>_xll.RssMarket("9020","始値")</f>
        <v/>
      </c>
      <c r="D109" s="656">
        <f>C109-E109</f>
        <v/>
      </c>
      <c r="E109" s="22" t="n">
        <v>3347</v>
      </c>
      <c r="F109" s="22" t="n">
        <v>3368</v>
      </c>
      <c r="G109" s="22" t="n">
        <v>3363</v>
      </c>
      <c r="H109" s="76" t="n">
        <v>3445</v>
      </c>
      <c r="I109" s="22" t="n">
        <v>3385</v>
      </c>
      <c r="J109" s="22" t="n">
        <v>3410</v>
      </c>
      <c r="K109" s="22" t="n">
        <v>3450</v>
      </c>
      <c r="L109" s="22" t="n">
        <v>3500</v>
      </c>
      <c r="M109" s="22" t="n">
        <v>3413</v>
      </c>
      <c r="N109" s="22" t="n">
        <v>3400</v>
      </c>
      <c r="O109" s="22" t="n">
        <v>3292</v>
      </c>
      <c r="P109" s="22" t="n">
        <v>3317</v>
      </c>
      <c r="Q109" s="22" t="n">
        <v>3295</v>
      </c>
      <c r="R109" s="22" t="n">
        <v>3335</v>
      </c>
      <c r="S109" s="22" t="n">
        <v>3438</v>
      </c>
      <c r="T109" s="22" t="n">
        <v>3516</v>
      </c>
      <c r="U109" s="22" t="n">
        <v>3532</v>
      </c>
      <c r="V109" s="22" t="n">
        <v>3591</v>
      </c>
      <c r="W109" s="22" t="n">
        <v>3645</v>
      </c>
      <c r="X109" s="22" t="n">
        <v>3800</v>
      </c>
      <c r="Y109" s="22" t="n">
        <v>3840</v>
      </c>
      <c r="Z109" s="22" t="n">
        <v>3746</v>
      </c>
      <c r="AA109" s="22" t="n">
        <v>3792</v>
      </c>
      <c r="AB109" s="22" t="n">
        <v>3675</v>
      </c>
      <c r="AC109" s="22" t="n">
        <v>3716</v>
      </c>
      <c r="AD109" s="22" t="n">
        <v>3752</v>
      </c>
      <c r="AE109" s="22" t="n">
        <v>3641</v>
      </c>
      <c r="AF109" s="22" t="n">
        <v>3626</v>
      </c>
      <c r="AG109" s="22" t="n">
        <v>3648</v>
      </c>
      <c r="AH109" s="22" t="n">
        <v>3573</v>
      </c>
      <c r="AI109" s="22" t="n">
        <v>3668</v>
      </c>
      <c r="AJ109" s="22" t="n">
        <v>3381</v>
      </c>
      <c r="AK109" s="22" t="n">
        <v>3460</v>
      </c>
      <c r="AL109" s="22" t="n">
        <v>3402</v>
      </c>
      <c r="AM109" s="22" t="n">
        <v>3474</v>
      </c>
      <c r="AN109" s="22" t="n">
        <v>3500</v>
      </c>
      <c r="AO109" s="22" t="n">
        <v>3528</v>
      </c>
      <c r="AP109" s="22" t="n">
        <v>3517</v>
      </c>
      <c r="AQ109" s="22" t="n">
        <v>3500</v>
      </c>
      <c r="AR109" s="22" t="n">
        <v>3520</v>
      </c>
      <c r="AS109" s="22" t="n">
        <v>3559</v>
      </c>
      <c r="AT109" s="22" t="n">
        <v>3533</v>
      </c>
      <c r="AU109" s="22" t="n">
        <v>3580</v>
      </c>
      <c r="AV109" s="22" t="n">
        <v>3560</v>
      </c>
      <c r="AW109" s="22" t="n">
        <v>3607</v>
      </c>
      <c r="AX109" s="22" t="n">
        <v>3560</v>
      </c>
      <c r="AY109" s="22" t="n">
        <v>3621</v>
      </c>
      <c r="AZ109" s="22" t="n">
        <v>3592</v>
      </c>
      <c r="BA109" s="22" t="n">
        <v>3633</v>
      </c>
      <c r="BB109" s="22" t="n">
        <v>3610</v>
      </c>
      <c r="BC109" s="22" t="n">
        <v>3683</v>
      </c>
      <c r="BD109" s="22" t="n">
        <v>3666</v>
      </c>
      <c r="BE109" s="22" t="n">
        <v>3659</v>
      </c>
      <c r="BF109" s="22" t="n">
        <v>3550</v>
      </c>
      <c r="BG109" s="22" t="n">
        <v>3693</v>
      </c>
      <c r="BH109" s="22" t="n">
        <v>3652</v>
      </c>
      <c r="BI109" s="22" t="n">
        <v>3627</v>
      </c>
      <c r="BJ109" s="22" t="n">
        <v>3557</v>
      </c>
      <c r="BK109" s="22" t="n">
        <v>3608</v>
      </c>
      <c r="BL109" s="22" t="n">
        <v>3642</v>
      </c>
    </row>
    <row r="110" ht="15.95" customHeight="1" s="574">
      <c r="A110" s="81" t="inlineStr">
        <is>
          <t>9069</t>
        </is>
      </c>
      <c r="B110" s="17" t="inlineStr">
        <is>
          <t>センコーグループＨＬＤＧＳ</t>
        </is>
      </c>
      <c r="C110" s="655">
        <f>_xll.RssMarket("9069","始値")</f>
        <v/>
      </c>
      <c r="D110" s="656">
        <f>C110-E110</f>
        <v/>
      </c>
      <c r="E110" s="22" t="n">
        <v>1880</v>
      </c>
      <c r="F110" s="22" t="n">
        <v>1893.5</v>
      </c>
      <c r="G110" s="22" t="n">
        <v>1899</v>
      </c>
      <c r="H110" s="76" t="n">
        <v>1940</v>
      </c>
      <c r="I110" s="22" t="n">
        <v>1952</v>
      </c>
      <c r="J110" s="22" t="n">
        <v>1948.5</v>
      </c>
      <c r="K110" s="22" t="n">
        <v>1935</v>
      </c>
      <c r="L110" s="22" t="n">
        <v>1950</v>
      </c>
      <c r="M110" s="22" t="n">
        <v>1948</v>
      </c>
      <c r="N110" s="22" t="n">
        <v>1908</v>
      </c>
      <c r="O110" s="22" t="n">
        <v>1909</v>
      </c>
      <c r="P110" s="22" t="n">
        <v>1900</v>
      </c>
      <c r="Q110" s="22" t="n">
        <v>1886</v>
      </c>
      <c r="R110" s="22" t="n">
        <v>1873</v>
      </c>
      <c r="S110" s="22" t="n">
        <v>1908</v>
      </c>
      <c r="T110" s="22" t="n">
        <v>1932</v>
      </c>
      <c r="U110" s="22" t="n">
        <v>1964</v>
      </c>
      <c r="V110" s="22" t="n">
        <v>2022</v>
      </c>
      <c r="W110" s="22" t="n">
        <v>2029</v>
      </c>
      <c r="X110" s="22" t="n">
        <v>1988.5</v>
      </c>
      <c r="Y110" s="22" t="n">
        <v>2020</v>
      </c>
      <c r="Z110" s="22" t="n">
        <v>2022.5</v>
      </c>
      <c r="AA110" s="22" t="n">
        <v>2006</v>
      </c>
      <c r="AB110" s="22" t="n">
        <v>1949</v>
      </c>
      <c r="AC110" s="22" t="n">
        <v>1834</v>
      </c>
      <c r="AD110" s="22" t="n">
        <v>1858</v>
      </c>
      <c r="AE110" s="22" t="n">
        <v>1848</v>
      </c>
      <c r="AF110" s="22" t="n">
        <v>1854.5</v>
      </c>
      <c r="AG110" s="22" t="n">
        <v>1821</v>
      </c>
      <c r="AH110" s="22" t="n">
        <v>1839.5</v>
      </c>
      <c r="AI110" s="22" t="n">
        <v>1834</v>
      </c>
      <c r="AJ110" s="22" t="n">
        <v>1838</v>
      </c>
      <c r="AK110" s="22" t="n">
        <v>1832.5</v>
      </c>
      <c r="AL110" s="22" t="n">
        <v>1879.5</v>
      </c>
      <c r="AM110" s="22" t="n">
        <v>1871</v>
      </c>
      <c r="AN110" s="22" t="n">
        <v>1901</v>
      </c>
      <c r="AO110" s="22" t="n">
        <v>1910</v>
      </c>
      <c r="AP110" s="22" t="n">
        <v>1896.5</v>
      </c>
      <c r="AQ110" s="22" t="n">
        <v>1908.5</v>
      </c>
      <c r="AR110" s="22" t="n">
        <v>1888.5</v>
      </c>
      <c r="AS110" s="22" t="n">
        <v>1900</v>
      </c>
      <c r="AT110" s="22" t="n">
        <v>1870.5</v>
      </c>
      <c r="AU110" s="22" t="n">
        <v>1866.5</v>
      </c>
      <c r="AV110" s="22" t="n">
        <v>1918</v>
      </c>
      <c r="AW110" s="22" t="n">
        <v>1920.5</v>
      </c>
      <c r="AX110" s="22" t="n">
        <v>1900.5</v>
      </c>
      <c r="AY110" s="22" t="n">
        <v>1856</v>
      </c>
      <c r="AZ110" s="22" t="n">
        <v>1877.5</v>
      </c>
      <c r="BA110" s="22" t="n">
        <v>1885.5</v>
      </c>
      <c r="BB110" s="22" t="n">
        <v>1877</v>
      </c>
      <c r="BC110" s="22" t="n">
        <v>1869</v>
      </c>
      <c r="BD110" s="22" t="n">
        <v>1788</v>
      </c>
      <c r="BE110" s="22" t="n">
        <v>1745.5</v>
      </c>
      <c r="BF110" s="22" t="n">
        <v>1812</v>
      </c>
      <c r="BG110" s="22" t="n">
        <v>1805.5</v>
      </c>
      <c r="BH110" s="22" t="n">
        <v>1821.5</v>
      </c>
      <c r="BI110" s="22" t="n">
        <v>1778.5</v>
      </c>
      <c r="BJ110" s="22" t="n">
        <v>1754.5</v>
      </c>
      <c r="BK110" s="22" t="n">
        <v>1809.5</v>
      </c>
      <c r="BL110" s="22" t="n">
        <v>1803</v>
      </c>
    </row>
    <row r="111" ht="15.95" customHeight="1" s="574">
      <c r="A111" s="81" t="inlineStr">
        <is>
          <t>9227</t>
        </is>
      </c>
      <c r="B111" s="17" t="inlineStr">
        <is>
          <t>マイクロ波化学</t>
        </is>
      </c>
      <c r="C111" s="655">
        <f>_xll.RssMarket("9227","始値")</f>
        <v/>
      </c>
      <c r="D111" s="656">
        <f>C111-E111</f>
        <v/>
      </c>
      <c r="E111" s="22" t="n">
        <v>890</v>
      </c>
      <c r="F111" s="22" t="n">
        <v>915</v>
      </c>
      <c r="G111" s="22" t="n">
        <v>891</v>
      </c>
      <c r="H111" s="76" t="n">
        <v>877</v>
      </c>
      <c r="I111" s="22" t="n">
        <v>904</v>
      </c>
      <c r="J111" s="22" t="n">
        <v>917</v>
      </c>
      <c r="K111" s="22" t="n">
        <v>879</v>
      </c>
      <c r="L111" s="22" t="n">
        <v>854</v>
      </c>
      <c r="M111" s="22" t="n">
        <v>920</v>
      </c>
      <c r="N111" s="22" t="n">
        <v>902</v>
      </c>
      <c r="O111" s="22" t="n">
        <v>885</v>
      </c>
      <c r="P111" s="22" t="n">
        <v>894</v>
      </c>
      <c r="Q111" s="22" t="n">
        <v>924</v>
      </c>
      <c r="R111" s="22" t="n">
        <v>939</v>
      </c>
      <c r="S111" s="22" t="n">
        <v>1103</v>
      </c>
      <c r="T111" s="22" t="n">
        <v>1149</v>
      </c>
      <c r="U111" s="22" t="n">
        <v>1179</v>
      </c>
      <c r="V111" s="22" t="n">
        <v>1093</v>
      </c>
      <c r="W111" s="22" t="n">
        <v>943</v>
      </c>
      <c r="X111" s="22" t="n">
        <v>776</v>
      </c>
      <c r="Y111" s="22" t="n">
        <v>800</v>
      </c>
      <c r="Z111" s="22" t="n">
        <v>828</v>
      </c>
      <c r="AA111" s="22" t="n">
        <v>833</v>
      </c>
      <c r="AB111" s="22" t="n">
        <v>836</v>
      </c>
      <c r="AC111" s="22" t="n">
        <v>845</v>
      </c>
      <c r="AD111" s="22" t="n">
        <v>842</v>
      </c>
      <c r="AE111" s="22" t="n">
        <v>982</v>
      </c>
      <c r="AF111" s="22" t="n">
        <v>1012</v>
      </c>
      <c r="AG111" s="22" t="n">
        <v>1003</v>
      </c>
      <c r="AH111" s="22" t="n">
        <v>1042</v>
      </c>
      <c r="AI111" s="22" t="n">
        <v>1025</v>
      </c>
      <c r="AJ111" s="22" t="n">
        <v>1042</v>
      </c>
      <c r="AK111" s="22" t="n">
        <v>1094</v>
      </c>
      <c r="AL111" s="22" t="n">
        <v>1070</v>
      </c>
      <c r="AM111" s="22" t="n">
        <v>1100</v>
      </c>
      <c r="AN111" s="22" t="n">
        <v>1163</v>
      </c>
      <c r="AO111" s="22" t="n">
        <v>1138</v>
      </c>
      <c r="AP111" s="22" t="n">
        <v>1300</v>
      </c>
      <c r="AQ111" s="22" t="n">
        <v>1108</v>
      </c>
      <c r="AR111" s="22" t="n">
        <v>1033</v>
      </c>
      <c r="AS111" s="22" t="n">
        <v>1040</v>
      </c>
      <c r="AT111" s="22" t="n">
        <v>1022</v>
      </c>
      <c r="AU111" s="22" t="n">
        <v>1023</v>
      </c>
      <c r="AV111" s="22" t="n">
        <v>945</v>
      </c>
      <c r="AW111" s="22" t="n">
        <v>975</v>
      </c>
      <c r="AX111" s="22" t="n">
        <v>998</v>
      </c>
      <c r="AY111" s="22" t="n">
        <v>968</v>
      </c>
      <c r="AZ111" s="22" t="n">
        <v>953</v>
      </c>
      <c r="BA111" s="22" t="n">
        <v>956</v>
      </c>
      <c r="BB111" s="22" t="n">
        <v>976</v>
      </c>
      <c r="BC111" s="22" t="n">
        <v>1017</v>
      </c>
      <c r="BD111" s="22" t="n">
        <v>990</v>
      </c>
      <c r="BE111" s="22" t="n">
        <v>994</v>
      </c>
      <c r="BF111" s="22" t="n">
        <v>944</v>
      </c>
      <c r="BG111" s="22" t="n">
        <v>951</v>
      </c>
      <c r="BH111" s="22" t="n">
        <v>1021</v>
      </c>
      <c r="BI111" s="22" t="n">
        <v>1014</v>
      </c>
      <c r="BJ111" s="22" t="n">
        <v>1020</v>
      </c>
      <c r="BK111" s="22" t="n">
        <v>1024</v>
      </c>
      <c r="BL111" s="22" t="n">
        <v>1145</v>
      </c>
    </row>
    <row r="112" ht="15.95" customHeight="1" s="574">
      <c r="A112" s="81" t="inlineStr">
        <is>
          <t>9348</t>
        </is>
      </c>
      <c r="B112" s="17" t="inlineStr">
        <is>
          <t>ｉｓｐａｃｅ</t>
        </is>
      </c>
      <c r="C112" s="655">
        <f>_xll.RssMarket("9348","始値")</f>
        <v/>
      </c>
      <c r="D112" s="656">
        <f>C112-E112</f>
        <v/>
      </c>
      <c r="E112" s="22" t="n">
        <v>465</v>
      </c>
      <c r="F112" s="22" t="n">
        <v>468</v>
      </c>
      <c r="G112" s="22" t="n">
        <v>479</v>
      </c>
      <c r="H112" s="76" t="n">
        <v>471</v>
      </c>
      <c r="I112" s="22" t="n">
        <v>510</v>
      </c>
      <c r="J112" s="22" t="n">
        <v>550</v>
      </c>
      <c r="K112" s="22" t="n">
        <v>602</v>
      </c>
      <c r="L112" s="22" t="n">
        <v>572</v>
      </c>
      <c r="M112" s="22" t="n">
        <v>583</v>
      </c>
      <c r="N112" s="22" t="n">
        <v>588</v>
      </c>
      <c r="O112" s="22" t="n">
        <v>607</v>
      </c>
      <c r="P112" s="22" t="n">
        <v>584</v>
      </c>
      <c r="Q112" s="22" t="n">
        <v>603</v>
      </c>
      <c r="R112" s="22" t="n">
        <v>578</v>
      </c>
      <c r="S112" s="22" t="n">
        <v>709</v>
      </c>
      <c r="T112" s="22" t="n">
        <v>610</v>
      </c>
      <c r="U112" s="22" t="n">
        <v>637</v>
      </c>
      <c r="V112" s="22" t="n">
        <v>598</v>
      </c>
      <c r="W112" s="22" t="n">
        <v>510</v>
      </c>
      <c r="X112" s="22" t="n">
        <v>506</v>
      </c>
      <c r="Y112" s="22" t="n">
        <v>536</v>
      </c>
      <c r="Z112" s="22" t="n">
        <v>507</v>
      </c>
      <c r="AA112" s="22" t="n">
        <v>505</v>
      </c>
      <c r="AB112" s="22" t="n">
        <v>500</v>
      </c>
      <c r="AC112" s="22" t="n">
        <v>492</v>
      </c>
      <c r="AD112" s="22" t="n">
        <v>510</v>
      </c>
      <c r="AE112" s="22" t="n">
        <v>485</v>
      </c>
      <c r="AF112" s="22" t="n">
        <v>473</v>
      </c>
      <c r="AG112" s="22" t="n">
        <v>468</v>
      </c>
      <c r="AH112" s="22" t="n">
        <v>475</v>
      </c>
      <c r="AI112" s="22" t="n">
        <v>463</v>
      </c>
      <c r="AJ112" s="22" t="n">
        <v>480</v>
      </c>
      <c r="AK112" s="22" t="n">
        <v>482</v>
      </c>
      <c r="AL112" s="22" t="n">
        <v>491</v>
      </c>
      <c r="AM112" s="22" t="n">
        <v>489</v>
      </c>
      <c r="AN112" s="22" t="n">
        <v>496</v>
      </c>
      <c r="AO112" s="22" t="n">
        <v>496</v>
      </c>
      <c r="AP112" s="22" t="n">
        <v>505</v>
      </c>
      <c r="AQ112" s="22" t="n">
        <v>514</v>
      </c>
      <c r="AR112" s="22" t="n">
        <v>513</v>
      </c>
      <c r="AS112" s="22" t="n">
        <v>503</v>
      </c>
      <c r="AT112" s="22" t="n">
        <v>505</v>
      </c>
      <c r="AU112" s="22" t="n">
        <v>459</v>
      </c>
      <c r="AV112" s="22" t="n">
        <v>456</v>
      </c>
      <c r="AW112" s="22" t="n">
        <v>441</v>
      </c>
      <c r="AX112" s="22" t="n">
        <v>433</v>
      </c>
      <c r="AY112" s="22" t="n">
        <v>424</v>
      </c>
      <c r="AZ112" s="22" t="n">
        <v>478</v>
      </c>
      <c r="BA112" s="22" t="n">
        <v>460</v>
      </c>
      <c r="BB112" s="22" t="n">
        <v>445</v>
      </c>
      <c r="BC112" s="22" t="n">
        <v>426</v>
      </c>
      <c r="BD112" s="22" t="n">
        <v>466</v>
      </c>
      <c r="BE112" s="22" t="n">
        <v>564</v>
      </c>
      <c r="BF112" s="22" t="n">
        <v>576</v>
      </c>
      <c r="BG112" s="22" t="n">
        <v>558</v>
      </c>
      <c r="BH112" s="22" t="n">
        <v>557</v>
      </c>
      <c r="BI112" s="22" t="n">
        <v>564</v>
      </c>
      <c r="BJ112" s="22" t="n">
        <v>593</v>
      </c>
      <c r="BK112" s="22" t="n">
        <v>585</v>
      </c>
      <c r="BL112" s="22" t="n">
        <v>582</v>
      </c>
    </row>
    <row r="113" ht="15.95" customHeight="1" s="574">
      <c r="A113" s="81" t="inlineStr">
        <is>
          <t>9449</t>
        </is>
      </c>
      <c r="B113" s="17" t="inlineStr">
        <is>
          <t>ＧＭＯインターネットグループ</t>
        </is>
      </c>
      <c r="C113" s="655">
        <f>_xll.RssMarket("9449","始値")</f>
        <v/>
      </c>
      <c r="D113" s="656">
        <f>C113-E113</f>
        <v/>
      </c>
      <c r="E113" s="22" t="n">
        <v>3416</v>
      </c>
      <c r="F113" s="22" t="n">
        <v>3112</v>
      </c>
      <c r="G113" s="22" t="n">
        <v>3072</v>
      </c>
      <c r="H113" s="76" t="n">
        <v>3100</v>
      </c>
      <c r="I113" s="22" t="n">
        <v>3101</v>
      </c>
      <c r="J113" s="22" t="n">
        <v>3120</v>
      </c>
      <c r="K113" s="22" t="n">
        <v>3090</v>
      </c>
      <c r="L113" s="22" t="n">
        <v>3161</v>
      </c>
      <c r="M113" s="22" t="n">
        <v>3198</v>
      </c>
      <c r="N113" s="22" t="n">
        <v>3160</v>
      </c>
      <c r="O113" s="22" t="n">
        <v>3249</v>
      </c>
      <c r="P113" s="22" t="n">
        <v>3237</v>
      </c>
      <c r="Q113" s="22" t="n">
        <v>3243</v>
      </c>
      <c r="R113" s="22" t="n">
        <v>3358</v>
      </c>
      <c r="S113" s="22" t="n">
        <v>3330</v>
      </c>
      <c r="T113" s="22" t="n">
        <v>3300</v>
      </c>
      <c r="U113" s="22" t="n">
        <v>3400</v>
      </c>
      <c r="V113" s="22" t="n">
        <v>3425</v>
      </c>
      <c r="W113" s="22" t="n">
        <v>3307</v>
      </c>
      <c r="X113" s="22" t="n">
        <v>3300</v>
      </c>
      <c r="Y113" s="22" t="n">
        <v>3350</v>
      </c>
      <c r="Z113" s="22" t="n">
        <v>3330</v>
      </c>
      <c r="AA113" s="22" t="n">
        <v>3345</v>
      </c>
      <c r="AB113" s="22" t="n">
        <v>3129</v>
      </c>
      <c r="AC113" s="22" t="n">
        <v>3172</v>
      </c>
      <c r="AD113" s="22" t="n">
        <v>3144</v>
      </c>
      <c r="AE113" s="22" t="n">
        <v>3220</v>
      </c>
      <c r="AF113" s="22" t="n">
        <v>3195</v>
      </c>
      <c r="AG113" s="22" t="n">
        <v>3080</v>
      </c>
      <c r="AH113" s="22" t="n">
        <v>3096</v>
      </c>
      <c r="AI113" s="22" t="n">
        <v>3065</v>
      </c>
      <c r="AJ113" s="22" t="n">
        <v>3066</v>
      </c>
      <c r="AK113" s="22" t="n">
        <v>3117</v>
      </c>
      <c r="AL113" s="22" t="n">
        <v>3129</v>
      </c>
      <c r="AM113" s="22" t="n">
        <v>3116</v>
      </c>
      <c r="AN113" s="22" t="n">
        <v>3230</v>
      </c>
      <c r="AO113" s="22" t="n">
        <v>3323</v>
      </c>
      <c r="AP113" s="22" t="n">
        <v>3270</v>
      </c>
      <c r="AQ113" s="22" t="n">
        <v>3287</v>
      </c>
      <c r="AR113" s="22" t="n">
        <v>3232</v>
      </c>
      <c r="AS113" s="22" t="n">
        <v>3187</v>
      </c>
      <c r="AT113" s="22" t="n">
        <v>3049</v>
      </c>
      <c r="AU113" s="22" t="n">
        <v>3043</v>
      </c>
      <c r="AV113" s="22" t="n">
        <v>2934.5</v>
      </c>
      <c r="AW113" s="22" t="n">
        <v>3026</v>
      </c>
      <c r="AX113" s="22" t="n">
        <v>3111</v>
      </c>
      <c r="AY113" s="22" t="n">
        <v>3112</v>
      </c>
      <c r="AZ113" s="22" t="n">
        <v>3048</v>
      </c>
      <c r="BA113" s="22" t="n">
        <v>3001</v>
      </c>
      <c r="BB113" s="22" t="n">
        <v>2982.5</v>
      </c>
      <c r="BC113" s="22" t="n">
        <v>2987.5</v>
      </c>
      <c r="BD113" s="22" t="n">
        <v>2939</v>
      </c>
      <c r="BE113" s="22" t="n">
        <v>2814.5</v>
      </c>
      <c r="BF113" s="22" t="n">
        <v>2767.5</v>
      </c>
      <c r="BG113" s="22" t="n">
        <v>2834</v>
      </c>
      <c r="BH113" s="22" t="n">
        <v>2858.5</v>
      </c>
      <c r="BI113" s="22" t="n">
        <v>2825</v>
      </c>
      <c r="BJ113" s="22" t="n">
        <v>2825.5</v>
      </c>
      <c r="BK113" s="22" t="n">
        <v>2777.5</v>
      </c>
      <c r="BL113" s="22" t="n">
        <v>2851</v>
      </c>
    </row>
    <row r="114" ht="15.95" customHeight="1" s="574">
      <c r="A114" s="81" t="inlineStr">
        <is>
          <t>9501</t>
        </is>
      </c>
      <c r="B114" s="17" t="inlineStr">
        <is>
          <t>東京電力ＨＤ</t>
        </is>
      </c>
      <c r="C114" s="655">
        <f>_xll.RssMarket("9501","始値")</f>
        <v/>
      </c>
      <c r="D114" s="656">
        <f>C114-E114</f>
        <v/>
      </c>
      <c r="E114" s="22" t="n">
        <v>524</v>
      </c>
      <c r="F114" s="22" t="n">
        <v>510.3</v>
      </c>
      <c r="G114" s="22" t="n">
        <v>507.8</v>
      </c>
      <c r="H114" s="76" t="n">
        <v>523.2</v>
      </c>
      <c r="I114" s="22" t="n">
        <v>530</v>
      </c>
      <c r="J114" s="22" t="n">
        <v>529.3</v>
      </c>
      <c r="K114" s="22" t="n">
        <v>501.9</v>
      </c>
      <c r="L114" s="22" t="n">
        <v>507.8</v>
      </c>
      <c r="M114" s="22" t="n">
        <v>519.9</v>
      </c>
      <c r="N114" s="22" t="n">
        <v>518.4</v>
      </c>
      <c r="O114" s="22" t="n">
        <v>544.5</v>
      </c>
      <c r="P114" s="22" t="n">
        <v>570.1</v>
      </c>
      <c r="Q114" s="22" t="n">
        <v>567.8</v>
      </c>
      <c r="R114" s="22" t="n">
        <v>550.1</v>
      </c>
      <c r="S114" s="22" t="n">
        <v>558.9</v>
      </c>
      <c r="T114" s="22" t="n">
        <v>568</v>
      </c>
      <c r="U114" s="22" t="n">
        <v>578.4</v>
      </c>
      <c r="V114" s="22" t="n">
        <v>558.5</v>
      </c>
      <c r="W114" s="22" t="n">
        <v>565</v>
      </c>
      <c r="X114" s="22" t="n">
        <v>557.6</v>
      </c>
      <c r="Y114" s="22" t="n">
        <v>572.9</v>
      </c>
      <c r="Z114" s="22" t="n">
        <v>574.3</v>
      </c>
      <c r="AA114" s="22" t="n">
        <v>593</v>
      </c>
      <c r="AB114" s="22" t="n">
        <v>606.1</v>
      </c>
      <c r="AC114" s="22" t="n">
        <v>611</v>
      </c>
      <c r="AD114" s="22" t="n">
        <v>638</v>
      </c>
      <c r="AE114" s="22" t="n">
        <v>653.2</v>
      </c>
      <c r="AF114" s="22" t="n">
        <v>633.1</v>
      </c>
      <c r="AG114" s="22" t="n">
        <v>627</v>
      </c>
      <c r="AH114" s="22" t="n">
        <v>615</v>
      </c>
      <c r="AI114" s="22" t="n">
        <v>595</v>
      </c>
      <c r="AJ114" s="22" t="n">
        <v>597</v>
      </c>
      <c r="AK114" s="22" t="n">
        <v>584.5</v>
      </c>
      <c r="AL114" s="22" t="n">
        <v>581</v>
      </c>
      <c r="AM114" s="22" t="n">
        <v>585</v>
      </c>
      <c r="AN114" s="22" t="n">
        <v>623</v>
      </c>
      <c r="AO114" s="22" t="n">
        <v>600</v>
      </c>
      <c r="AP114" s="22" t="n">
        <v>612</v>
      </c>
      <c r="AQ114" s="22" t="n">
        <v>619.7</v>
      </c>
      <c r="AR114" s="22" t="n">
        <v>638.7</v>
      </c>
      <c r="AS114" s="22" t="n">
        <v>630.4</v>
      </c>
      <c r="AT114" s="22" t="n">
        <v>652.3</v>
      </c>
      <c r="AU114" s="22" t="n">
        <v>652.9</v>
      </c>
      <c r="AV114" s="22" t="n">
        <v>659.8</v>
      </c>
      <c r="AW114" s="22" t="n">
        <v>684.6</v>
      </c>
      <c r="AX114" s="22" t="n">
        <v>643.7</v>
      </c>
      <c r="AY114" s="22" t="n">
        <v>650</v>
      </c>
      <c r="AZ114" s="22" t="n">
        <v>635</v>
      </c>
      <c r="BA114" s="22" t="n">
        <v>651</v>
      </c>
      <c r="BB114" s="22" t="n">
        <v>655</v>
      </c>
      <c r="BC114" s="22" t="n">
        <v>662.8</v>
      </c>
      <c r="BD114" s="22" t="n">
        <v>651.6</v>
      </c>
      <c r="BE114" s="22" t="n">
        <v>638</v>
      </c>
      <c r="BF114" s="22" t="n">
        <v>615.2</v>
      </c>
      <c r="BG114" s="22" t="n">
        <v>625.2</v>
      </c>
      <c r="BH114" s="22" t="n">
        <v>636</v>
      </c>
      <c r="BI114" s="22" t="n">
        <v>646.3</v>
      </c>
      <c r="BJ114" s="22" t="n">
        <v>627.3</v>
      </c>
      <c r="BK114" s="22" t="n">
        <v>634.7</v>
      </c>
      <c r="BL114" s="22" t="n">
        <v>690.2</v>
      </c>
    </row>
    <row r="115" ht="15.95" customHeight="1" s="574">
      <c r="A115" s="81" t="inlineStr">
        <is>
          <t>9531</t>
        </is>
      </c>
      <c r="B115" s="17" t="inlineStr">
        <is>
          <t>東京瓦斯</t>
        </is>
      </c>
      <c r="C115" s="655">
        <f>_xll.RssMarket("9531","始値")</f>
        <v/>
      </c>
      <c r="D115" s="656">
        <f>C115-E115</f>
        <v/>
      </c>
      <c r="E115" s="22" t="n">
        <v>6180</v>
      </c>
      <c r="F115" s="22" t="n">
        <v>6145</v>
      </c>
      <c r="G115" s="22" t="n">
        <v>6157</v>
      </c>
      <c r="H115" s="76" t="n">
        <v>6300</v>
      </c>
      <c r="I115" s="22" t="n">
        <v>6261</v>
      </c>
      <c r="J115" s="22" t="n">
        <v>6303</v>
      </c>
      <c r="K115" s="22" t="n">
        <v>6452</v>
      </c>
      <c r="L115" s="22" t="n">
        <v>6340</v>
      </c>
      <c r="M115" s="22" t="n">
        <v>6428</v>
      </c>
      <c r="N115" s="22" t="n">
        <v>6116</v>
      </c>
      <c r="O115" s="22" t="n">
        <v>6219</v>
      </c>
      <c r="P115" s="22" t="n">
        <v>6292</v>
      </c>
      <c r="Q115" s="22" t="n">
        <v>6320</v>
      </c>
      <c r="R115" s="22" t="n">
        <v>6098</v>
      </c>
      <c r="S115" s="22" t="n">
        <v>6214</v>
      </c>
      <c r="T115" s="22" t="n">
        <v>6428</v>
      </c>
      <c r="U115" s="22" t="n">
        <v>6500</v>
      </c>
      <c r="V115" s="22" t="n">
        <v>6529</v>
      </c>
      <c r="W115" s="22" t="n">
        <v>6698</v>
      </c>
      <c r="X115" s="22" t="n">
        <v>6695</v>
      </c>
      <c r="Y115" s="22" t="n">
        <v>6799</v>
      </c>
      <c r="Z115" s="22" t="n">
        <v>6690</v>
      </c>
      <c r="AA115" s="22" t="n">
        <v>6783</v>
      </c>
      <c r="AB115" s="22" t="n">
        <v>6624</v>
      </c>
      <c r="AC115" s="22" t="n">
        <v>6581</v>
      </c>
      <c r="AD115" s="22" t="n">
        <v>6670</v>
      </c>
      <c r="AE115" s="22" t="n">
        <v>6725</v>
      </c>
      <c r="AF115" s="22" t="n">
        <v>6600</v>
      </c>
      <c r="AG115" s="22" t="n">
        <v>6786</v>
      </c>
      <c r="AH115" s="22" t="n">
        <v>6630</v>
      </c>
      <c r="AI115" s="22" t="n">
        <v>6747</v>
      </c>
      <c r="AJ115" s="22" t="n">
        <v>6637</v>
      </c>
      <c r="AK115" s="22" t="n">
        <v>6600</v>
      </c>
      <c r="AL115" s="22" t="n">
        <v>6410</v>
      </c>
      <c r="AM115" s="22" t="n">
        <v>6500</v>
      </c>
      <c r="AN115" s="22" t="n">
        <v>6441</v>
      </c>
      <c r="AO115" s="22" t="n">
        <v>6550</v>
      </c>
      <c r="AP115" s="22" t="n">
        <v>6635</v>
      </c>
      <c r="AQ115" s="22" t="n">
        <v>6884</v>
      </c>
      <c r="AR115" s="22" t="n">
        <v>7087</v>
      </c>
      <c r="AS115" s="22" t="n">
        <v>7000</v>
      </c>
      <c r="AT115" s="22" t="n">
        <v>7049</v>
      </c>
      <c r="AU115" s="22" t="n">
        <v>7055</v>
      </c>
      <c r="AV115" s="22" t="n">
        <v>7176</v>
      </c>
      <c r="AW115" s="22" t="n">
        <v>7375</v>
      </c>
      <c r="AX115" s="22" t="n">
        <v>7349</v>
      </c>
      <c r="AY115" s="22" t="n">
        <v>7519</v>
      </c>
      <c r="AZ115" s="22" t="n">
        <v>7247</v>
      </c>
      <c r="BA115" s="22" t="n">
        <v>7357</v>
      </c>
      <c r="BB115" s="22" t="n">
        <v>7302</v>
      </c>
      <c r="BC115" s="22" t="n">
        <v>7600</v>
      </c>
      <c r="BD115" s="22" t="n">
        <v>7614</v>
      </c>
      <c r="BE115" s="22" t="n">
        <v>7624</v>
      </c>
      <c r="BF115" s="22" t="n">
        <v>7585</v>
      </c>
      <c r="BG115" s="22" t="n">
        <v>7600</v>
      </c>
      <c r="BH115" s="22" t="n">
        <v>7550</v>
      </c>
      <c r="BI115" s="22" t="n">
        <v>7513</v>
      </c>
      <c r="BJ115" s="22" t="n">
        <v>7147</v>
      </c>
      <c r="BK115" s="22" t="n">
        <v>7104</v>
      </c>
      <c r="BL115" s="22" t="n">
        <v>7600</v>
      </c>
    </row>
    <row r="116" ht="15.95" customHeight="1" s="574">
      <c r="A116" s="81" t="inlineStr">
        <is>
          <t>9882</t>
        </is>
      </c>
      <c r="B116" s="17" t="inlineStr">
        <is>
          <t>イエローハット</t>
        </is>
      </c>
      <c r="C116" s="655">
        <f>_xll.RssMarket("9882","始値")</f>
        <v/>
      </c>
      <c r="D116" s="656">
        <f>C116-E116</f>
        <v/>
      </c>
      <c r="E116" s="22" t="n">
        <v>1770</v>
      </c>
      <c r="F116" s="22" t="n">
        <v>1745</v>
      </c>
      <c r="G116" s="22" t="n">
        <v>1741</v>
      </c>
      <c r="H116" s="76" t="n">
        <v>1743</v>
      </c>
      <c r="I116" s="22" t="n">
        <v>1728</v>
      </c>
      <c r="J116" s="22" t="n">
        <v>1745</v>
      </c>
      <c r="K116" s="22" t="n">
        <v>1725</v>
      </c>
      <c r="L116" s="22" t="n">
        <v>1719</v>
      </c>
      <c r="M116" s="22" t="n">
        <v>1700</v>
      </c>
      <c r="N116" s="22" t="n">
        <v>1663</v>
      </c>
      <c r="O116" s="22" t="n">
        <v>1666</v>
      </c>
      <c r="P116" s="22" t="n">
        <v>1680</v>
      </c>
      <c r="Q116" s="22" t="n">
        <v>1630</v>
      </c>
      <c r="R116" s="22" t="n">
        <v>1612</v>
      </c>
      <c r="S116" s="22" t="n">
        <v>1627</v>
      </c>
      <c r="T116" s="22" t="n">
        <v>1628</v>
      </c>
      <c r="U116" s="22" t="n">
        <v>1625</v>
      </c>
      <c r="V116" s="22" t="n">
        <v>1624</v>
      </c>
      <c r="W116" s="22" t="n">
        <v>1629</v>
      </c>
      <c r="X116" s="22" t="n">
        <v>1622</v>
      </c>
      <c r="Y116" s="22" t="n">
        <v>1637</v>
      </c>
      <c r="Z116" s="22" t="n">
        <v>1625</v>
      </c>
      <c r="AA116" s="22" t="n">
        <v>1640</v>
      </c>
      <c r="AB116" s="22" t="n">
        <v>1598</v>
      </c>
      <c r="AC116" s="22" t="n">
        <v>1620</v>
      </c>
      <c r="AD116" s="22" t="n">
        <v>1630</v>
      </c>
      <c r="AE116" s="22" t="n">
        <v>1649</v>
      </c>
      <c r="AF116" s="22" t="n">
        <v>1647</v>
      </c>
      <c r="AG116" s="22" t="n">
        <v>1510</v>
      </c>
      <c r="AH116" s="22" t="n">
        <v>1511</v>
      </c>
      <c r="AI116" s="22" t="n">
        <v>1504</v>
      </c>
      <c r="AJ116" s="22" t="n">
        <v>1511</v>
      </c>
      <c r="AK116" s="22" t="n">
        <v>1510</v>
      </c>
      <c r="AL116" s="22" t="n">
        <v>1515</v>
      </c>
      <c r="AM116" s="22" t="n">
        <v>1530</v>
      </c>
      <c r="AN116" s="22" t="n">
        <v>1565</v>
      </c>
      <c r="AO116" s="22" t="n">
        <v>1573</v>
      </c>
      <c r="AP116" s="22" t="n">
        <v>1575</v>
      </c>
      <c r="AQ116" s="22" t="n">
        <v>1554</v>
      </c>
      <c r="AR116" s="22" t="n">
        <v>1557</v>
      </c>
      <c r="AS116" s="22" t="n">
        <v>1573</v>
      </c>
      <c r="AT116" s="22" t="n">
        <v>1573</v>
      </c>
      <c r="AU116" s="22" t="n">
        <v>1577</v>
      </c>
      <c r="AV116" s="22" t="n">
        <v>1600</v>
      </c>
      <c r="AW116" s="22" t="n">
        <v>1627</v>
      </c>
      <c r="AX116" s="22" t="n">
        <v>1633</v>
      </c>
      <c r="AY116" s="22" t="n">
        <v>1585</v>
      </c>
      <c r="AZ116" s="22" t="n">
        <v>1553</v>
      </c>
      <c r="BA116" s="22" t="n">
        <v>1550</v>
      </c>
      <c r="BB116" s="22" t="n">
        <v>1562</v>
      </c>
      <c r="BC116" s="22" t="n">
        <v>1569</v>
      </c>
      <c r="BD116" s="22" t="n">
        <v>1555</v>
      </c>
      <c r="BE116" s="22" t="n">
        <v>1512</v>
      </c>
      <c r="BF116" s="22" t="n">
        <v>1587</v>
      </c>
      <c r="BG116" s="22" t="n">
        <v>1587</v>
      </c>
      <c r="BH116" s="22" t="n">
        <v>1580</v>
      </c>
      <c r="BI116" s="22" t="n">
        <v>1550</v>
      </c>
      <c r="BJ116" s="22" t="n">
        <v>1520</v>
      </c>
      <c r="BK116" s="22" t="n">
        <v>1589</v>
      </c>
      <c r="BL116" s="22" t="n">
        <v>1585</v>
      </c>
    </row>
    <row r="117" ht="15.95" customHeight="1" s="574">
      <c r="A117" s="81" t="inlineStr">
        <is>
          <t>5838</t>
        </is>
      </c>
      <c r="B117" s="17" t="inlineStr">
        <is>
          <t>楽天銀行</t>
        </is>
      </c>
      <c r="C117" s="655">
        <f>_xll.RssMarket("5838","始値")</f>
        <v/>
      </c>
      <c r="D117" s="656">
        <f>C117-E117</f>
        <v/>
      </c>
      <c r="E117" s="22" t="n">
        <v>5109</v>
      </c>
      <c r="F117" s="22" t="n">
        <v>5199</v>
      </c>
      <c r="G117" s="22" t="n">
        <v>5247</v>
      </c>
      <c r="H117" s="76" t="n">
        <v>5250</v>
      </c>
      <c r="I117" s="22" t="n">
        <v>5179</v>
      </c>
      <c r="J117" s="22" t="n">
        <v>5300</v>
      </c>
      <c r="K117" s="22" t="n">
        <v>5104</v>
      </c>
      <c r="L117" s="22" t="n">
        <v>4951</v>
      </c>
      <c r="M117" s="22" t="n">
        <v>5113</v>
      </c>
      <c r="N117" s="22" t="n">
        <v>4971</v>
      </c>
      <c r="O117" s="22" t="n">
        <v>5078</v>
      </c>
      <c r="P117" s="22" t="n">
        <v>4801</v>
      </c>
      <c r="Q117" s="22" t="n">
        <v>4501</v>
      </c>
      <c r="R117" s="22" t="n">
        <v>4508</v>
      </c>
      <c r="S117" s="22" t="n">
        <v>4840</v>
      </c>
      <c r="T117" s="22" t="n">
        <v>4845</v>
      </c>
      <c r="U117" s="22" t="n">
        <v>4926</v>
      </c>
      <c r="V117" s="22" t="n">
        <v>4848</v>
      </c>
      <c r="W117" s="22" t="n">
        <v>5280</v>
      </c>
      <c r="X117" s="22" t="n">
        <v>5636</v>
      </c>
      <c r="Y117" s="22" t="n">
        <v>6730</v>
      </c>
      <c r="Z117" s="22" t="n">
        <v>6691</v>
      </c>
      <c r="AA117" s="22" t="n">
        <v>6300</v>
      </c>
      <c r="AB117" s="22" t="n">
        <v>6034</v>
      </c>
      <c r="AC117" s="22" t="n">
        <v>6097</v>
      </c>
      <c r="AD117" s="22" t="n">
        <v>6000</v>
      </c>
      <c r="AE117" s="22" t="n">
        <v>6268</v>
      </c>
      <c r="AF117" s="22" t="n">
        <v>6323</v>
      </c>
      <c r="AG117" s="22" t="n">
        <v>6175</v>
      </c>
      <c r="AH117" s="22" t="n">
        <v>6331</v>
      </c>
      <c r="AI117" s="22" t="n">
        <v>6220</v>
      </c>
      <c r="AJ117" s="22" t="n">
        <v>6299</v>
      </c>
      <c r="AK117" s="22" t="n">
        <v>6180</v>
      </c>
      <c r="AL117" s="22" t="n">
        <v>6070</v>
      </c>
      <c r="AM117" s="22" t="n">
        <v>6206</v>
      </c>
      <c r="AN117" s="22" t="n">
        <v>6102</v>
      </c>
      <c r="AO117" s="22" t="n">
        <v>6302</v>
      </c>
      <c r="AP117" s="22" t="n">
        <v>6451</v>
      </c>
      <c r="AQ117" s="22" t="n">
        <v>6513</v>
      </c>
      <c r="AR117" s="22" t="n">
        <v>6670</v>
      </c>
      <c r="AS117" s="22" t="n">
        <v>6760</v>
      </c>
      <c r="AT117" s="22" t="n">
        <v>6800</v>
      </c>
      <c r="AU117" s="22" t="n">
        <v>6875</v>
      </c>
      <c r="AV117" s="22" t="n">
        <v>6714</v>
      </c>
      <c r="AW117" s="22" t="n">
        <v>6755</v>
      </c>
      <c r="AX117" s="22" t="n">
        <v>6545</v>
      </c>
      <c r="AY117" s="22" t="n">
        <v>6400</v>
      </c>
      <c r="AZ117" s="22" t="n">
        <v>6129</v>
      </c>
      <c r="BA117" s="22" t="n">
        <v>6074</v>
      </c>
      <c r="BB117" s="22" t="n">
        <v>6050</v>
      </c>
      <c r="BC117" s="22" t="n">
        <v>6176</v>
      </c>
      <c r="BD117" s="22" t="n">
        <v>5850</v>
      </c>
      <c r="BE117" s="22" t="n">
        <v>5709</v>
      </c>
      <c r="BF117" s="22" t="n">
        <v>5915</v>
      </c>
      <c r="BG117" s="22" t="n">
        <v>5999</v>
      </c>
      <c r="BH117" s="22" t="n">
        <v>6210</v>
      </c>
      <c r="BI117" s="22" t="n">
        <v>6280</v>
      </c>
      <c r="BJ117" s="22" t="n">
        <v>6179</v>
      </c>
      <c r="BK117" s="22" t="n">
        <v>6078</v>
      </c>
      <c r="BL117" s="22" t="n">
        <v>6180</v>
      </c>
    </row>
    <row r="118" ht="15.95" customHeight="1" s="574">
      <c r="A118" s="81" t="inlineStr">
        <is>
          <t>5844</t>
        </is>
      </c>
      <c r="B118" s="17" t="inlineStr">
        <is>
          <t>京都フィナンシャルＧ</t>
        </is>
      </c>
      <c r="C118" s="655">
        <f>_xll.RssMarket("5844","始値")</f>
        <v/>
      </c>
      <c r="D118" s="656">
        <f>C118-E118</f>
        <v/>
      </c>
      <c r="E118" s="22" t="n">
        <v>4866</v>
      </c>
      <c r="F118" s="22" t="n">
        <v>4728</v>
      </c>
      <c r="G118" s="22" t="n">
        <v>4620</v>
      </c>
      <c r="H118" s="76" t="n">
        <v>4726</v>
      </c>
      <c r="I118" s="22" t="n">
        <v>4468</v>
      </c>
      <c r="J118" s="22" t="n">
        <v>4529</v>
      </c>
      <c r="K118" s="22" t="n">
        <v>4499</v>
      </c>
      <c r="L118" s="22" t="n">
        <v>4480</v>
      </c>
      <c r="M118" s="22" t="n">
        <v>4680</v>
      </c>
      <c r="N118" s="22" t="n">
        <v>4575</v>
      </c>
      <c r="O118" s="22" t="n">
        <v>4600</v>
      </c>
      <c r="P118" s="22" t="n">
        <v>4277</v>
      </c>
      <c r="Q118" s="22" t="n">
        <v>4384</v>
      </c>
      <c r="R118" s="22" t="n">
        <v>4278</v>
      </c>
      <c r="S118" s="22" t="n">
        <v>4403</v>
      </c>
      <c r="T118" s="22" t="n">
        <v>4504</v>
      </c>
      <c r="U118" s="22" t="n">
        <v>4502</v>
      </c>
      <c r="V118" s="22" t="n">
        <v>4549</v>
      </c>
      <c r="W118" s="22" t="n">
        <v>4498</v>
      </c>
      <c r="X118" s="22" t="n">
        <v>4450</v>
      </c>
      <c r="Y118" s="22" t="n">
        <v>4465</v>
      </c>
      <c r="Z118" s="22" t="n">
        <v>4406</v>
      </c>
      <c r="AA118" s="22" t="n">
        <v>4420</v>
      </c>
      <c r="AB118" s="22" t="n">
        <v>4231</v>
      </c>
      <c r="AC118" s="22" t="n">
        <v>4483</v>
      </c>
      <c r="AD118" s="22" t="n">
        <v>4410</v>
      </c>
      <c r="AE118" s="22" t="n">
        <v>4447</v>
      </c>
      <c r="AF118" s="22" t="n">
        <v>4403</v>
      </c>
      <c r="AG118" s="22" t="n">
        <v>4391</v>
      </c>
      <c r="AH118" s="22" t="n">
        <v>4443</v>
      </c>
      <c r="AI118" s="22" t="n">
        <v>4336</v>
      </c>
      <c r="AJ118" s="22" t="n">
        <v>4319</v>
      </c>
      <c r="AK118" s="22" t="n">
        <v>4261</v>
      </c>
      <c r="AL118" s="22" t="n">
        <v>4176</v>
      </c>
      <c r="AM118" s="22" t="n">
        <v>4230</v>
      </c>
      <c r="AN118" s="22" t="n">
        <v>4188</v>
      </c>
      <c r="AO118" s="22" t="n">
        <v>4350</v>
      </c>
      <c r="AP118" s="22" t="n">
        <v>4364</v>
      </c>
      <c r="AQ118" s="22" t="n">
        <v>4450</v>
      </c>
      <c r="AR118" s="22" t="n">
        <v>4395</v>
      </c>
      <c r="AS118" s="22" t="n">
        <v>4395</v>
      </c>
      <c r="AT118" s="22" t="n">
        <v>4350</v>
      </c>
      <c r="AU118" s="22" t="n">
        <v>4395</v>
      </c>
      <c r="AV118" s="22" t="n">
        <v>4300</v>
      </c>
      <c r="AW118" s="22" t="n">
        <v>4430</v>
      </c>
      <c r="AX118" s="22" t="n">
        <v>4495</v>
      </c>
      <c r="AY118" s="22" t="n">
        <v>4550</v>
      </c>
      <c r="AZ118" s="22" t="n">
        <v>4445</v>
      </c>
      <c r="BA118" s="22" t="n">
        <v>4381</v>
      </c>
      <c r="BB118" s="22" t="n">
        <v>4318</v>
      </c>
      <c r="BC118" s="22" t="n">
        <v>4399</v>
      </c>
      <c r="BD118" s="22" t="n">
        <v>4242</v>
      </c>
      <c r="BE118" s="22" t="n">
        <v>4177</v>
      </c>
      <c r="BF118" s="22" t="n">
        <v>4184</v>
      </c>
      <c r="BG118" s="22" t="n">
        <v>4377</v>
      </c>
      <c r="BH118" s="22" t="n">
        <v>4415</v>
      </c>
      <c r="BI118" s="22" t="n">
        <v>4359</v>
      </c>
      <c r="BJ118" s="22" t="n">
        <v>4420</v>
      </c>
      <c r="BK118" s="22" t="n">
        <v>4340</v>
      </c>
      <c r="BL118" s="22" t="n">
        <v>4341</v>
      </c>
    </row>
    <row r="119" ht="15.95" customHeight="1" s="574">
      <c r="A119" s="81" t="inlineStr">
        <is>
          <t>9404</t>
        </is>
      </c>
      <c r="B119" s="17" t="inlineStr">
        <is>
          <t>日本テレビＨＬＤＳ</t>
        </is>
      </c>
      <c r="C119" s="655">
        <f>_xll.RssMarket("9404","始値")</f>
        <v/>
      </c>
      <c r="D119" s="656">
        <f>C119-E119</f>
        <v/>
      </c>
      <c r="E119" s="22" t="n">
        <v>2770</v>
      </c>
      <c r="F119" s="22" t="n">
        <v>2847.5</v>
      </c>
      <c r="G119" s="22" t="n">
        <v>2851</v>
      </c>
      <c r="H119" s="76" t="n">
        <v>2897.5</v>
      </c>
      <c r="I119" s="22" t="n">
        <v>2817.5</v>
      </c>
      <c r="J119" s="22" t="n">
        <v>2846</v>
      </c>
      <c r="K119" s="22" t="n">
        <v>2858</v>
      </c>
      <c r="L119" s="22" t="n">
        <v>2898.5</v>
      </c>
      <c r="M119" s="22" t="n">
        <v>2893</v>
      </c>
      <c r="N119" s="22" t="n">
        <v>2828.5</v>
      </c>
      <c r="O119" s="22" t="n">
        <v>2840</v>
      </c>
      <c r="P119" s="22" t="n">
        <v>2777</v>
      </c>
      <c r="Q119" s="22" t="n">
        <v>2768</v>
      </c>
      <c r="R119" s="22" t="n">
        <v>2820</v>
      </c>
      <c r="S119" s="22" t="n">
        <v>2850</v>
      </c>
      <c r="T119" s="22" t="n">
        <v>2874.5</v>
      </c>
      <c r="U119" s="22" t="n">
        <v>2847</v>
      </c>
      <c r="V119" s="22" t="n">
        <v>2904.5</v>
      </c>
      <c r="W119" s="22" t="n">
        <v>2933.5</v>
      </c>
      <c r="X119" s="22" t="n">
        <v>2920</v>
      </c>
      <c r="Y119" s="22" t="n">
        <v>2931.5</v>
      </c>
      <c r="Z119" s="22" t="n">
        <v>2902.5</v>
      </c>
      <c r="AA119" s="22" t="n">
        <v>2922</v>
      </c>
      <c r="AB119" s="22" t="n">
        <v>2790</v>
      </c>
      <c r="AC119" s="22" t="n">
        <v>2900</v>
      </c>
      <c r="AD119" s="22" t="n">
        <v>2947.5</v>
      </c>
      <c r="AE119" s="22" t="n">
        <v>2935</v>
      </c>
      <c r="AF119" s="22" t="n">
        <v>2966</v>
      </c>
      <c r="AG119" s="22" t="n">
        <v>3015</v>
      </c>
      <c r="AH119" s="22" t="n">
        <v>2986</v>
      </c>
      <c r="AI119" s="22" t="n">
        <v>2950</v>
      </c>
      <c r="AJ119" s="22" t="n">
        <v>2985.5</v>
      </c>
      <c r="AK119" s="22" t="n">
        <v>3041</v>
      </c>
      <c r="AL119" s="22" t="n">
        <v>2981</v>
      </c>
      <c r="AM119" s="22" t="n">
        <v>2960</v>
      </c>
      <c r="AN119" s="22" t="n">
        <v>3050</v>
      </c>
      <c r="AO119" s="22" t="n">
        <v>3145</v>
      </c>
      <c r="AP119" s="22" t="n">
        <v>3177</v>
      </c>
      <c r="AQ119" s="22" t="n">
        <v>3200</v>
      </c>
      <c r="AR119" s="22" t="n">
        <v>3171</v>
      </c>
      <c r="AS119" s="22" t="n">
        <v>3195</v>
      </c>
      <c r="AT119" s="22" t="n">
        <v>3169</v>
      </c>
      <c r="AU119" s="22" t="n">
        <v>3173</v>
      </c>
      <c r="AV119" s="22" t="n">
        <v>3100</v>
      </c>
      <c r="AW119" s="22" t="n">
        <v>3143</v>
      </c>
      <c r="AX119" s="22" t="n">
        <v>3164</v>
      </c>
      <c r="AY119" s="22" t="n">
        <v>3162</v>
      </c>
      <c r="AZ119" s="22" t="n">
        <v>3123</v>
      </c>
      <c r="BA119" s="22" t="n">
        <v>3095</v>
      </c>
      <c r="BB119" s="22" t="n">
        <v>3105</v>
      </c>
      <c r="BC119" s="22" t="n">
        <v>3213</v>
      </c>
      <c r="BD119" s="22" t="n">
        <v>3226</v>
      </c>
      <c r="BE119" s="22" t="n">
        <v>3204</v>
      </c>
      <c r="BF119" s="22" t="n">
        <v>3119</v>
      </c>
      <c r="BG119" s="22" t="n">
        <v>3225</v>
      </c>
      <c r="BH119" s="22" t="n">
        <v>3201</v>
      </c>
      <c r="BI119" s="22" t="n">
        <v>3204</v>
      </c>
      <c r="BJ119" s="22" t="n">
        <v>3163</v>
      </c>
      <c r="BK119" s="22" t="n">
        <v>3130</v>
      </c>
      <c r="BL119" s="22" t="n">
        <v>3145</v>
      </c>
    </row>
    <row r="120" ht="15.95" customHeight="1" s="574">
      <c r="A120" s="81" t="inlineStr">
        <is>
          <t>6744</t>
        </is>
      </c>
      <c r="B120" s="17" t="inlineStr">
        <is>
          <t>能美防災</t>
        </is>
      </c>
      <c r="C120" s="655">
        <f>_xll.RssMarket("6744","始値")</f>
        <v/>
      </c>
      <c r="D120" s="656">
        <f>C120-E120</f>
        <v/>
      </c>
      <c r="E120" s="22" t="n">
        <v>4230</v>
      </c>
      <c r="F120" s="22" t="n">
        <v>4220</v>
      </c>
      <c r="G120" s="22" t="n">
        <v>4200</v>
      </c>
      <c r="H120" s="76" t="n">
        <v>4225</v>
      </c>
      <c r="I120" s="22" t="n">
        <v>4300</v>
      </c>
      <c r="J120" s="22" t="n">
        <v>4240</v>
      </c>
      <c r="K120" s="22" t="n">
        <v>4280</v>
      </c>
      <c r="L120" s="22" t="n">
        <v>4340</v>
      </c>
      <c r="M120" s="22" t="n">
        <v>4360</v>
      </c>
      <c r="N120" s="22" t="n">
        <v>4500</v>
      </c>
      <c r="O120" s="22" t="n">
        <v>4705</v>
      </c>
      <c r="P120" s="22" t="n">
        <v>4630</v>
      </c>
      <c r="Q120" s="22" t="n">
        <v>4810</v>
      </c>
      <c r="R120" s="22" t="n">
        <v>4710</v>
      </c>
      <c r="S120" s="22" t="n">
        <v>4940</v>
      </c>
      <c r="T120" s="22" t="n">
        <v>4785</v>
      </c>
      <c r="U120" s="22" t="n">
        <v>4650</v>
      </c>
      <c r="V120" s="22" t="n">
        <v>4595</v>
      </c>
      <c r="W120" s="22" t="n">
        <v>4615</v>
      </c>
      <c r="X120" s="22" t="n">
        <v>4800</v>
      </c>
      <c r="Y120" s="22" t="n">
        <v>4660</v>
      </c>
      <c r="Z120" s="22" t="n">
        <v>4350</v>
      </c>
      <c r="AA120" s="22" t="n">
        <v>4385</v>
      </c>
      <c r="AB120" s="22" t="n">
        <v>4310</v>
      </c>
      <c r="AC120" s="22" t="n">
        <v>4460</v>
      </c>
      <c r="AD120" s="22" t="n">
        <v>4315</v>
      </c>
      <c r="AE120" s="22" t="n">
        <v>4345</v>
      </c>
      <c r="AF120" s="22" t="n">
        <v>4125</v>
      </c>
      <c r="AG120" s="22" t="n">
        <v>4035</v>
      </c>
      <c r="AH120" s="22" t="n">
        <v>3975</v>
      </c>
      <c r="AI120" s="22" t="n">
        <v>3905</v>
      </c>
      <c r="AJ120" s="22" t="n">
        <v>3965</v>
      </c>
      <c r="AK120" s="22" t="n">
        <v>4000</v>
      </c>
      <c r="AL120" s="22" t="n">
        <v>4040</v>
      </c>
      <c r="AM120" s="22" t="n">
        <v>4100</v>
      </c>
      <c r="AN120" s="22" t="n">
        <v>4135</v>
      </c>
      <c r="AO120" s="22" t="n">
        <v>4205</v>
      </c>
      <c r="AP120" s="22" t="n">
        <v>4270</v>
      </c>
      <c r="AQ120" s="22" t="n">
        <v>4435</v>
      </c>
      <c r="AR120" s="22" t="n">
        <v>4410</v>
      </c>
      <c r="AS120" s="22" t="n">
        <v>4410</v>
      </c>
      <c r="AT120" s="22" t="n">
        <v>4390</v>
      </c>
      <c r="AU120" s="22" t="n">
        <v>4440</v>
      </c>
      <c r="AV120" s="22" t="n">
        <v>4400</v>
      </c>
      <c r="AW120" s="22" t="n">
        <v>4285</v>
      </c>
      <c r="AX120" s="22" t="n">
        <v>4230</v>
      </c>
      <c r="AY120" s="22" t="n">
        <v>4155</v>
      </c>
      <c r="AZ120" s="22" t="n">
        <v>4300</v>
      </c>
      <c r="BA120" s="22" t="n">
        <v>4225</v>
      </c>
      <c r="BB120" s="22" t="n">
        <v>4100</v>
      </c>
      <c r="BC120" s="22" t="n">
        <v>4100</v>
      </c>
      <c r="BD120" s="22" t="n">
        <v>4310</v>
      </c>
      <c r="BE120" s="22" t="n">
        <v>4385</v>
      </c>
      <c r="BF120" s="22" t="n">
        <v>4380</v>
      </c>
      <c r="BG120" s="22" t="n">
        <v>4290</v>
      </c>
      <c r="BH120" s="22" t="n">
        <v>4315</v>
      </c>
      <c r="BI120" s="22" t="n">
        <v>4450</v>
      </c>
      <c r="BJ120" s="22" t="n">
        <v>4520</v>
      </c>
      <c r="BK120" s="22" t="n">
        <v>4570</v>
      </c>
      <c r="BL120" s="22" t="n">
        <v>4500</v>
      </c>
    </row>
    <row r="121" ht="15.95" customHeight="1" s="574">
      <c r="A121" s="81" t="inlineStr">
        <is>
          <t>7685</t>
        </is>
      </c>
      <c r="B121" s="17" t="inlineStr">
        <is>
          <t>ＢＵＹＳＥＬＬＴＥＣＨ</t>
        </is>
      </c>
      <c r="C121" s="655">
        <f>_xll.RssMarket("7685","始値")</f>
        <v/>
      </c>
      <c r="D121" s="656">
        <f>C121-E121</f>
        <v/>
      </c>
      <c r="E121" s="22" t="n">
        <v>3460</v>
      </c>
      <c r="F121" s="22" t="n">
        <v>3510</v>
      </c>
      <c r="G121" s="22" t="n">
        <v>3600</v>
      </c>
      <c r="H121" s="76" t="n">
        <v>3505</v>
      </c>
      <c r="I121" s="22" t="n">
        <v>3675</v>
      </c>
      <c r="J121" s="22" t="n">
        <v>3760</v>
      </c>
      <c r="K121" s="22" t="n">
        <v>3820</v>
      </c>
      <c r="L121" s="22" t="n">
        <v>3750</v>
      </c>
      <c r="M121" s="22" t="n">
        <v>3720</v>
      </c>
      <c r="N121" s="22" t="n">
        <v>3600</v>
      </c>
      <c r="O121" s="22" t="n">
        <v>3725</v>
      </c>
      <c r="P121" s="22" t="n">
        <v>3865</v>
      </c>
      <c r="Q121" s="22" t="n">
        <v>3945</v>
      </c>
      <c r="R121" s="22" t="n">
        <v>4065</v>
      </c>
      <c r="S121" s="22" t="n">
        <v>4030</v>
      </c>
      <c r="T121" s="22" t="n">
        <v>3920</v>
      </c>
      <c r="U121" s="22" t="n">
        <v>3855</v>
      </c>
      <c r="V121" s="22" t="n">
        <v>3825</v>
      </c>
      <c r="W121" s="22" t="n">
        <v>3650</v>
      </c>
      <c r="X121" s="22" t="n">
        <v>3700</v>
      </c>
      <c r="Y121" s="22" t="n">
        <v>3795</v>
      </c>
      <c r="Z121" s="22" t="n">
        <v>3340</v>
      </c>
      <c r="AA121" s="22" t="n">
        <v>3450</v>
      </c>
      <c r="AB121" s="22" t="n">
        <v>3375</v>
      </c>
      <c r="AC121" s="22" t="n">
        <v>3330</v>
      </c>
      <c r="AD121" s="22" t="n">
        <v>3000</v>
      </c>
      <c r="AE121" s="22" t="n">
        <v>3280</v>
      </c>
      <c r="AF121" s="22" t="n">
        <v>3330</v>
      </c>
      <c r="AG121" s="22" t="n">
        <v>3240</v>
      </c>
      <c r="AH121" s="22" t="n">
        <v>3090</v>
      </c>
      <c r="AI121" s="22" t="n">
        <v>3280</v>
      </c>
      <c r="AJ121" s="22" t="n">
        <v>3210</v>
      </c>
      <c r="AK121" s="22" t="n">
        <v>3100</v>
      </c>
      <c r="AL121" s="22" t="n">
        <v>3135</v>
      </c>
      <c r="AM121" s="22" t="n">
        <v>3245</v>
      </c>
      <c r="AN121" s="22" t="n">
        <v>3295</v>
      </c>
      <c r="AO121" s="22" t="n">
        <v>3420</v>
      </c>
      <c r="AP121" s="22" t="n">
        <v>3390</v>
      </c>
      <c r="AQ121" s="22" t="n">
        <v>3470</v>
      </c>
      <c r="AR121" s="22" t="n">
        <v>3625</v>
      </c>
      <c r="AS121" s="22" t="n">
        <v>3650</v>
      </c>
      <c r="AT121" s="22" t="n">
        <v>3570</v>
      </c>
      <c r="AU121" s="22" t="n">
        <v>3560</v>
      </c>
      <c r="AV121" s="22" t="n">
        <v>3410</v>
      </c>
      <c r="AW121" s="22" t="n">
        <v>3470</v>
      </c>
      <c r="AX121" s="22" t="n">
        <v>3455</v>
      </c>
      <c r="AY121" s="22" t="n">
        <v>3405</v>
      </c>
      <c r="AZ121" s="22" t="n">
        <v>3335</v>
      </c>
      <c r="BA121" s="22" t="n">
        <v>3135</v>
      </c>
      <c r="BB121" s="22" t="n">
        <v>3115</v>
      </c>
      <c r="BC121" s="22" t="n">
        <v>3265</v>
      </c>
      <c r="BD121" s="22" t="n">
        <v>3060</v>
      </c>
      <c r="BE121" s="22" t="n">
        <v>3035</v>
      </c>
      <c r="BF121" s="22" t="n">
        <v>3015</v>
      </c>
      <c r="BG121" s="22" t="n">
        <v>3100</v>
      </c>
      <c r="BH121" s="22" t="n">
        <v>3145</v>
      </c>
      <c r="BI121" s="22" t="n">
        <v>3035</v>
      </c>
      <c r="BJ121" s="22" t="n">
        <v>3125</v>
      </c>
      <c r="BK121" s="22" t="n">
        <v>3155</v>
      </c>
      <c r="BL121" s="22" t="n">
        <v>3395</v>
      </c>
    </row>
    <row r="122" ht="15.95" customHeight="1" s="574">
      <c r="A122" s="81" t="inlineStr">
        <is>
          <t>8334</t>
        </is>
      </c>
      <c r="B122" s="17" t="inlineStr">
        <is>
          <t>群馬銀行</t>
        </is>
      </c>
      <c r="C122" s="655">
        <f>_xll.RssMarket("8334","始値")</f>
        <v/>
      </c>
      <c r="D122" s="656">
        <f>C122-E122</f>
        <v/>
      </c>
      <c r="E122" s="22" t="n">
        <v>2294</v>
      </c>
      <c r="F122" s="22" t="n">
        <v>2308.5</v>
      </c>
      <c r="G122" s="22" t="n">
        <v>2340</v>
      </c>
      <c r="H122" s="76" t="n">
        <v>2360</v>
      </c>
      <c r="I122" s="22" t="n">
        <v>2326.5</v>
      </c>
      <c r="J122" s="22" t="n">
        <v>2393.5</v>
      </c>
      <c r="K122" s="22" t="n">
        <v>2352</v>
      </c>
      <c r="L122" s="22" t="n">
        <v>2317</v>
      </c>
      <c r="M122" s="22" t="n">
        <v>2377</v>
      </c>
      <c r="N122" s="22" t="n">
        <v>2246</v>
      </c>
      <c r="O122" s="22" t="n">
        <v>2300</v>
      </c>
      <c r="P122" s="22" t="n">
        <v>2178</v>
      </c>
      <c r="Q122" s="22" t="n">
        <v>2199</v>
      </c>
      <c r="R122" s="22" t="n">
        <v>2147.5</v>
      </c>
      <c r="S122" s="22" t="n">
        <v>2218.5</v>
      </c>
      <c r="T122" s="22" t="n">
        <v>2279.5</v>
      </c>
      <c r="U122" s="22" t="n">
        <v>2261</v>
      </c>
      <c r="V122" s="22" t="n">
        <v>2296</v>
      </c>
      <c r="W122" s="22" t="n">
        <v>2369.5</v>
      </c>
      <c r="X122" s="22" t="n">
        <v>2340</v>
      </c>
      <c r="Y122" s="22" t="n">
        <v>2312</v>
      </c>
      <c r="Z122" s="22" t="n">
        <v>2288</v>
      </c>
      <c r="AA122" s="22" t="n">
        <v>2259.5</v>
      </c>
      <c r="AB122" s="22" t="n">
        <v>2179</v>
      </c>
      <c r="AC122" s="22" t="n">
        <v>2182.5</v>
      </c>
      <c r="AD122" s="22" t="n">
        <v>2169</v>
      </c>
      <c r="AE122" s="22" t="n">
        <v>2224</v>
      </c>
      <c r="AF122" s="22" t="n">
        <v>2194</v>
      </c>
      <c r="AG122" s="22" t="n">
        <v>2173</v>
      </c>
      <c r="AH122" s="22" t="n">
        <v>2247</v>
      </c>
      <c r="AI122" s="22" t="n">
        <v>2132</v>
      </c>
      <c r="AJ122" s="22" t="n">
        <v>2199</v>
      </c>
      <c r="AK122" s="22" t="n">
        <v>2052</v>
      </c>
      <c r="AL122" s="22" t="n">
        <v>2002</v>
      </c>
      <c r="AM122" s="22" t="n">
        <v>2050</v>
      </c>
      <c r="AN122" s="22" t="n">
        <v>2028</v>
      </c>
      <c r="AO122" s="22" t="n">
        <v>2133.5</v>
      </c>
      <c r="AP122" s="22" t="n">
        <v>2193</v>
      </c>
      <c r="AQ122" s="22" t="n">
        <v>2255.5</v>
      </c>
      <c r="AR122" s="22" t="n">
        <v>2264.5</v>
      </c>
      <c r="AS122" s="22" t="n">
        <v>2295</v>
      </c>
      <c r="AT122" s="22" t="n">
        <v>2266</v>
      </c>
      <c r="AU122" s="22" t="n">
        <v>2289</v>
      </c>
      <c r="AV122" s="22" t="n">
        <v>2250.5</v>
      </c>
      <c r="AW122" s="22" t="n">
        <v>2299</v>
      </c>
      <c r="AX122" s="22" t="n">
        <v>2294</v>
      </c>
      <c r="AY122" s="22" t="n">
        <v>2339.5</v>
      </c>
      <c r="AZ122" s="22" t="n">
        <v>2222</v>
      </c>
      <c r="BA122" s="22" t="n">
        <v>2240</v>
      </c>
      <c r="BB122" s="22" t="n">
        <v>2228.5</v>
      </c>
      <c r="BC122" s="22" t="n">
        <v>2268.5</v>
      </c>
      <c r="BD122" s="22" t="n">
        <v>2162.5</v>
      </c>
      <c r="BE122" s="22" t="n">
        <v>2147.5</v>
      </c>
      <c r="BF122" s="22" t="n">
        <v>2168</v>
      </c>
      <c r="BG122" s="22" t="n">
        <v>2180.5</v>
      </c>
      <c r="BH122" s="22" t="n">
        <v>2188.5</v>
      </c>
      <c r="BI122" s="22" t="n">
        <v>2185</v>
      </c>
      <c r="BJ122" s="22" t="n">
        <v>2100</v>
      </c>
      <c r="BK122" s="22" t="n">
        <v>2037</v>
      </c>
      <c r="BL122" s="22" t="n">
        <v>2113.5</v>
      </c>
    </row>
    <row r="123" ht="15.95" customHeight="1" s="574">
      <c r="A123" s="81" t="inlineStr">
        <is>
          <t>8359</t>
        </is>
      </c>
      <c r="B123" s="17" t="inlineStr">
        <is>
          <t>八十二長野銀行</t>
        </is>
      </c>
      <c r="C123" s="655">
        <f>_xll.RssMarket("8359","始値")</f>
        <v/>
      </c>
      <c r="D123" s="656">
        <f>C123-E123</f>
        <v/>
      </c>
      <c r="E123" s="22" t="n">
        <v>2331</v>
      </c>
      <c r="F123" s="22" t="n">
        <v>2329</v>
      </c>
      <c r="G123" s="22" t="n">
        <v>2326</v>
      </c>
      <c r="H123" s="76" t="n">
        <v>2372</v>
      </c>
      <c r="I123" s="22" t="n">
        <v>2356.5</v>
      </c>
      <c r="J123" s="22" t="n">
        <v>2460</v>
      </c>
      <c r="K123" s="22" t="n">
        <v>2354.5</v>
      </c>
      <c r="L123" s="22" t="n">
        <v>2331</v>
      </c>
      <c r="M123" s="22" t="n">
        <v>2452</v>
      </c>
      <c r="N123" s="22" t="n">
        <v>2350</v>
      </c>
      <c r="O123" s="22" t="n">
        <v>2438</v>
      </c>
      <c r="P123" s="22" t="n">
        <v>2283.5</v>
      </c>
      <c r="Q123" s="22" t="n">
        <v>2348</v>
      </c>
      <c r="R123" s="22" t="n">
        <v>2300</v>
      </c>
      <c r="S123" s="22" t="n">
        <v>2295</v>
      </c>
      <c r="T123" s="22" t="n">
        <v>2295.5</v>
      </c>
      <c r="U123" s="22" t="n">
        <v>2300</v>
      </c>
      <c r="V123" s="22" t="n">
        <v>2363</v>
      </c>
      <c r="W123" s="22" t="n">
        <v>2370</v>
      </c>
      <c r="X123" s="22" t="n">
        <v>2341.5</v>
      </c>
      <c r="Y123" s="22" t="n">
        <v>2300</v>
      </c>
      <c r="Z123" s="22" t="n">
        <v>2230</v>
      </c>
      <c r="AA123" s="22" t="n">
        <v>2358</v>
      </c>
      <c r="AB123" s="22" t="n">
        <v>2340</v>
      </c>
      <c r="AC123" s="22" t="n">
        <v>2355</v>
      </c>
      <c r="AD123" s="22" t="n">
        <v>2327.5</v>
      </c>
      <c r="AE123" s="22" t="n">
        <v>2308.5</v>
      </c>
      <c r="AF123" s="22" t="n">
        <v>2221</v>
      </c>
      <c r="AG123" s="22" t="n">
        <v>2228</v>
      </c>
      <c r="AH123" s="22" t="n">
        <v>2167</v>
      </c>
      <c r="AI123" s="22" t="n">
        <v>2104</v>
      </c>
      <c r="AJ123" s="22" t="n">
        <v>2150.5</v>
      </c>
      <c r="AK123" s="22" t="n">
        <v>2059</v>
      </c>
      <c r="AL123" s="22" t="n">
        <v>1991</v>
      </c>
      <c r="AM123" s="22" t="n">
        <v>2032</v>
      </c>
      <c r="AN123" s="22" t="n">
        <v>1997.5</v>
      </c>
      <c r="AO123" s="22" t="n">
        <v>2037.5</v>
      </c>
      <c r="AP123" s="22" t="n">
        <v>2094.5</v>
      </c>
      <c r="AQ123" s="22" t="n">
        <v>2125</v>
      </c>
      <c r="AR123" s="22" t="n">
        <v>2111</v>
      </c>
      <c r="AS123" s="22" t="n">
        <v>2104</v>
      </c>
      <c r="AT123" s="22" t="n">
        <v>2084.5</v>
      </c>
      <c r="AU123" s="22" t="n">
        <v>2088</v>
      </c>
      <c r="AV123" s="22" t="n">
        <v>2082</v>
      </c>
      <c r="AW123" s="22" t="n">
        <v>2123</v>
      </c>
      <c r="AX123" s="22" t="n">
        <v>2128</v>
      </c>
      <c r="AY123" s="22" t="n">
        <v>2151</v>
      </c>
      <c r="AZ123" s="22" t="n">
        <v>2070</v>
      </c>
      <c r="BA123" s="22" t="n">
        <v>2033</v>
      </c>
      <c r="BB123" s="22" t="n">
        <v>2058</v>
      </c>
      <c r="BC123" s="22" t="n">
        <v>2098</v>
      </c>
      <c r="BD123" s="22" t="n">
        <v>2035</v>
      </c>
      <c r="BE123" s="22" t="n">
        <v>1946</v>
      </c>
      <c r="BF123" s="22" t="n">
        <v>1911.5</v>
      </c>
      <c r="BG123" s="22" t="n">
        <v>2035.5</v>
      </c>
      <c r="BH123" s="22" t="n">
        <v>2109.5</v>
      </c>
      <c r="BI123" s="22" t="n">
        <v>2085</v>
      </c>
      <c r="BJ123" s="22" t="n">
        <v>2033.5</v>
      </c>
      <c r="BK123" s="22" t="n">
        <v>1904</v>
      </c>
      <c r="BL123" s="22" t="n">
        <v>1974.5</v>
      </c>
    </row>
    <row r="124" ht="15.95" customHeight="1" s="574">
      <c r="A124" s="81" t="inlineStr">
        <is>
          <t>8801</t>
        </is>
      </c>
      <c r="B124" s="17" t="inlineStr">
        <is>
          <t>三井不動産</t>
        </is>
      </c>
      <c r="C124" s="655">
        <f>_xll.RssMarket("8801","始値")</f>
        <v/>
      </c>
      <c r="D124" s="656">
        <f>C124-E124</f>
        <v/>
      </c>
      <c r="E124" s="22" t="n">
        <v>1486.5</v>
      </c>
      <c r="F124" s="22" t="n">
        <v>1493.5</v>
      </c>
      <c r="G124" s="22" t="n">
        <v>1516.5</v>
      </c>
      <c r="H124" s="76" t="n">
        <v>1544.5</v>
      </c>
      <c r="I124" s="22" t="n">
        <v>1564.5</v>
      </c>
      <c r="J124" s="22" t="n">
        <v>1586</v>
      </c>
      <c r="K124" s="22" t="n">
        <v>1564</v>
      </c>
      <c r="L124" s="22" t="n">
        <v>1555</v>
      </c>
      <c r="M124" s="22" t="n">
        <v>1529.5</v>
      </c>
      <c r="N124" s="22" t="n">
        <v>1470</v>
      </c>
      <c r="O124" s="22" t="n">
        <v>1482</v>
      </c>
      <c r="P124" s="22" t="n">
        <v>1478.5</v>
      </c>
      <c r="Q124" s="22" t="n">
        <v>1515</v>
      </c>
      <c r="R124" s="22" t="n">
        <v>1477.5</v>
      </c>
      <c r="S124" s="22" t="n">
        <v>1519</v>
      </c>
      <c r="T124" s="22" t="n">
        <v>1532</v>
      </c>
      <c r="U124" s="22" t="n">
        <v>1537.5</v>
      </c>
      <c r="V124" s="22" t="n">
        <v>1510</v>
      </c>
      <c r="W124" s="22" t="n">
        <v>1501</v>
      </c>
      <c r="X124" s="22" t="n">
        <v>1539.5</v>
      </c>
      <c r="Y124" s="22" t="n">
        <v>1520</v>
      </c>
      <c r="Z124" s="22" t="n">
        <v>1539.5</v>
      </c>
      <c r="AA124" s="22" t="n">
        <v>1490.5</v>
      </c>
      <c r="AB124" s="22" t="n">
        <v>1600</v>
      </c>
      <c r="AC124" s="22" t="n">
        <v>1672</v>
      </c>
      <c r="AD124" s="22" t="n">
        <v>1676.5</v>
      </c>
      <c r="AE124" s="22" t="n">
        <v>1656.5</v>
      </c>
      <c r="AF124" s="22" t="n">
        <v>1699</v>
      </c>
      <c r="AG124" s="22" t="n">
        <v>1709.5</v>
      </c>
      <c r="AH124" s="22" t="n">
        <v>1690</v>
      </c>
      <c r="AI124" s="22" t="n">
        <v>1694.5</v>
      </c>
      <c r="AJ124" s="22" t="n">
        <v>1715</v>
      </c>
      <c r="AK124" s="22" t="n">
        <v>1697</v>
      </c>
      <c r="AL124" s="22" t="n">
        <v>1709.5</v>
      </c>
      <c r="AM124" s="22" t="n">
        <v>1753.5</v>
      </c>
      <c r="AN124" s="22" t="n">
        <v>1741</v>
      </c>
      <c r="AO124" s="22" t="n">
        <v>1744.5</v>
      </c>
      <c r="AP124" s="22" t="n">
        <v>1766</v>
      </c>
      <c r="AQ124" s="22" t="n">
        <v>1749.5</v>
      </c>
      <c r="AR124" s="22" t="n">
        <v>1777</v>
      </c>
      <c r="AS124" s="22" t="n">
        <v>1818</v>
      </c>
      <c r="AT124" s="22" t="n">
        <v>1755</v>
      </c>
      <c r="AU124" s="22" t="n">
        <v>1700.5</v>
      </c>
      <c r="AV124" s="22" t="n">
        <v>1712</v>
      </c>
      <c r="AW124" s="22" t="n">
        <v>1781.5</v>
      </c>
      <c r="AX124" s="22" t="n">
        <v>1758.5</v>
      </c>
      <c r="AY124" s="22" t="n">
        <v>1658</v>
      </c>
      <c r="AZ124" s="22" t="n">
        <v>1702</v>
      </c>
      <c r="BA124" s="22" t="n">
        <v>1706</v>
      </c>
      <c r="BB124" s="22" t="n">
        <v>1742</v>
      </c>
      <c r="BC124" s="22" t="n">
        <v>1711</v>
      </c>
      <c r="BD124" s="22" t="n">
        <v>1656.5</v>
      </c>
      <c r="BE124" s="22" t="n">
        <v>1623.5</v>
      </c>
      <c r="BF124" s="22" t="n">
        <v>1719.5</v>
      </c>
      <c r="BG124" s="22" t="n">
        <v>1755.5</v>
      </c>
      <c r="BH124" s="22" t="n">
        <v>1784.5</v>
      </c>
      <c r="BI124" s="22" t="n">
        <v>1734</v>
      </c>
      <c r="BJ124" s="22" t="n">
        <v>1744</v>
      </c>
      <c r="BK124" s="22" t="n">
        <v>1820</v>
      </c>
      <c r="BL124" s="22" t="n">
        <v>1879.5</v>
      </c>
    </row>
    <row r="125" ht="15.95" customHeight="1" s="574">
      <c r="A125" s="81" t="inlineStr">
        <is>
          <t>8934</t>
        </is>
      </c>
      <c r="B125" s="17" t="inlineStr">
        <is>
          <t>サンフロンティア不動産</t>
        </is>
      </c>
      <c r="C125" s="655">
        <f>_xll.RssMarket("8934","始値")</f>
        <v/>
      </c>
      <c r="D125" s="656">
        <f>C125-E125</f>
        <v/>
      </c>
      <c r="E125" s="22" t="n">
        <v>2350</v>
      </c>
      <c r="F125" s="22" t="n">
        <v>2388</v>
      </c>
      <c r="G125" s="22" t="n">
        <v>2380</v>
      </c>
      <c r="H125" s="76" t="n">
        <v>2405</v>
      </c>
      <c r="I125" s="22" t="n">
        <v>2350</v>
      </c>
      <c r="J125" s="22" t="n">
        <v>2381</v>
      </c>
      <c r="K125" s="22" t="n">
        <v>2375</v>
      </c>
      <c r="L125" s="22" t="n">
        <v>2307</v>
      </c>
      <c r="M125" s="22" t="n">
        <v>2297</v>
      </c>
      <c r="N125" s="22" t="n">
        <v>2268</v>
      </c>
      <c r="O125" s="22" t="n">
        <v>2277</v>
      </c>
      <c r="P125" s="22" t="n">
        <v>2230</v>
      </c>
      <c r="Q125" s="22" t="n">
        <v>2363</v>
      </c>
      <c r="R125" s="22" t="n">
        <v>2340</v>
      </c>
      <c r="S125" s="22" t="n">
        <v>2351</v>
      </c>
      <c r="T125" s="22" t="n">
        <v>2348</v>
      </c>
      <c r="U125" s="22" t="n">
        <v>2385</v>
      </c>
      <c r="V125" s="22" t="n">
        <v>2390</v>
      </c>
      <c r="W125" s="22" t="n">
        <v>2422</v>
      </c>
      <c r="X125" s="22" t="n">
        <v>2412</v>
      </c>
      <c r="Y125" s="22" t="n">
        <v>2470</v>
      </c>
      <c r="Z125" s="22" t="n">
        <v>2445</v>
      </c>
      <c r="AA125" s="22" t="n">
        <v>2443</v>
      </c>
      <c r="AB125" s="22" t="n">
        <v>2445</v>
      </c>
      <c r="AC125" s="22" t="n">
        <v>2535</v>
      </c>
      <c r="AD125" s="22" t="n">
        <v>2580</v>
      </c>
      <c r="AE125" s="22" t="n">
        <v>2624</v>
      </c>
      <c r="AF125" s="22" t="n">
        <v>2650</v>
      </c>
      <c r="AG125" s="22" t="n">
        <v>2685</v>
      </c>
      <c r="AH125" s="22" t="n">
        <v>2701</v>
      </c>
      <c r="AI125" s="22" t="n">
        <v>2679</v>
      </c>
      <c r="AJ125" s="22" t="n">
        <v>2631</v>
      </c>
      <c r="AK125" s="22" t="n">
        <v>2683</v>
      </c>
      <c r="AL125" s="22" t="n">
        <v>2702</v>
      </c>
      <c r="AM125" s="22" t="n">
        <v>2744</v>
      </c>
      <c r="AN125" s="22" t="n">
        <v>2769</v>
      </c>
      <c r="AO125" s="22" t="n">
        <v>2799</v>
      </c>
      <c r="AP125" s="22" t="n">
        <v>2791</v>
      </c>
      <c r="AQ125" s="22" t="n">
        <v>2825</v>
      </c>
      <c r="AR125" s="22" t="n">
        <v>2840</v>
      </c>
      <c r="AS125" s="22" t="n">
        <v>2841</v>
      </c>
      <c r="AT125" s="22" t="n">
        <v>2812</v>
      </c>
      <c r="AU125" s="22" t="n">
        <v>2786</v>
      </c>
      <c r="AV125" s="22" t="n">
        <v>2742</v>
      </c>
      <c r="AW125" s="22" t="n">
        <v>2749</v>
      </c>
      <c r="AX125" s="22" t="n">
        <v>2720</v>
      </c>
      <c r="AY125" s="22" t="n">
        <v>2710</v>
      </c>
      <c r="AZ125" s="22" t="n">
        <v>2681</v>
      </c>
      <c r="BA125" s="22" t="n">
        <v>2698</v>
      </c>
      <c r="BB125" s="22" t="n">
        <v>2663</v>
      </c>
      <c r="BC125" s="22" t="n">
        <v>2640</v>
      </c>
      <c r="BD125" s="22" t="n">
        <v>2633</v>
      </c>
      <c r="BE125" s="22" t="n">
        <v>2688</v>
      </c>
      <c r="BF125" s="22" t="n">
        <v>2685</v>
      </c>
      <c r="BG125" s="22" t="n">
        <v>2684</v>
      </c>
      <c r="BH125" s="22" t="n">
        <v>2680</v>
      </c>
      <c r="BI125" s="22" t="n">
        <v>2691</v>
      </c>
      <c r="BJ125" s="22" t="n">
        <v>2726</v>
      </c>
      <c r="BK125" s="22" t="n">
        <v>2710</v>
      </c>
      <c r="BL125" s="22" t="n">
        <v>2695</v>
      </c>
    </row>
    <row r="126" ht="15.95" customHeight="1" s="574">
      <c r="A126" s="81" t="inlineStr">
        <is>
          <t>9416</t>
        </is>
      </c>
      <c r="B126" s="17" t="inlineStr">
        <is>
          <t>ビジョン</t>
        </is>
      </c>
      <c r="C126" s="655">
        <f>_xll.RssMarket("9416","始値")</f>
        <v/>
      </c>
      <c r="D126" s="656">
        <f>C126-E126</f>
        <v/>
      </c>
      <c r="E126" s="22" t="n">
        <v>1020</v>
      </c>
      <c r="F126" s="22" t="n">
        <v>1029</v>
      </c>
      <c r="G126" s="22" t="n">
        <v>1020</v>
      </c>
      <c r="H126" s="76" t="n">
        <v>1017</v>
      </c>
      <c r="I126" s="22" t="n">
        <v>1022</v>
      </c>
      <c r="J126" s="22" t="n">
        <v>1009</v>
      </c>
      <c r="K126" s="22" t="n">
        <v>1012</v>
      </c>
      <c r="L126" s="22" t="n">
        <v>1011</v>
      </c>
      <c r="M126" s="22" t="n">
        <v>1021</v>
      </c>
      <c r="N126" s="22" t="n">
        <v>1011</v>
      </c>
      <c r="O126" s="22" t="n">
        <v>1009</v>
      </c>
      <c r="P126" s="22" t="n">
        <v>1021</v>
      </c>
      <c r="Q126" s="22" t="n">
        <v>1058</v>
      </c>
      <c r="R126" s="22" t="n">
        <v>1061</v>
      </c>
      <c r="S126" s="22" t="n">
        <v>1063</v>
      </c>
      <c r="T126" s="22" t="n">
        <v>1020</v>
      </c>
      <c r="U126" s="22" t="n">
        <v>1030</v>
      </c>
      <c r="V126" s="22" t="n">
        <v>1031</v>
      </c>
      <c r="W126" s="22" t="n">
        <v>1008</v>
      </c>
      <c r="X126" s="22" t="n">
        <v>1044</v>
      </c>
      <c r="Y126" s="22" t="n">
        <v>1020</v>
      </c>
      <c r="Z126" s="22" t="n">
        <v>1140</v>
      </c>
      <c r="AA126" s="22" t="n">
        <v>1105</v>
      </c>
      <c r="AB126" s="22" t="n">
        <v>1111</v>
      </c>
      <c r="AC126" s="22" t="n">
        <v>1108</v>
      </c>
      <c r="AD126" s="22" t="n">
        <v>1102</v>
      </c>
      <c r="AE126" s="22" t="n">
        <v>1091</v>
      </c>
      <c r="AF126" s="22" t="n">
        <v>1099</v>
      </c>
      <c r="AG126" s="22" t="n">
        <v>1097</v>
      </c>
      <c r="AH126" s="22" t="n">
        <v>1087</v>
      </c>
      <c r="AI126" s="22" t="n">
        <v>1106</v>
      </c>
      <c r="AJ126" s="22" t="n">
        <v>1109</v>
      </c>
      <c r="AK126" s="22" t="n">
        <v>1140</v>
      </c>
      <c r="AL126" s="22" t="n">
        <v>1170</v>
      </c>
      <c r="AM126" s="22" t="n">
        <v>1186</v>
      </c>
      <c r="AN126" s="22" t="n">
        <v>1192</v>
      </c>
      <c r="AO126" s="22" t="n">
        <v>1208</v>
      </c>
      <c r="AP126" s="22" t="n">
        <v>1202</v>
      </c>
      <c r="AQ126" s="22" t="n">
        <v>1202</v>
      </c>
      <c r="AR126" s="22" t="n">
        <v>1197</v>
      </c>
      <c r="AS126" s="22" t="n">
        <v>1197</v>
      </c>
      <c r="AT126" s="22" t="n">
        <v>1202</v>
      </c>
      <c r="AU126" s="22" t="n">
        <v>1199</v>
      </c>
      <c r="AV126" s="22" t="n">
        <v>1176</v>
      </c>
      <c r="AW126" s="22" t="n">
        <v>1168</v>
      </c>
      <c r="AX126" s="22" t="n">
        <v>1153</v>
      </c>
      <c r="AY126" s="22" t="n">
        <v>1169</v>
      </c>
      <c r="AZ126" s="22" t="n">
        <v>1154</v>
      </c>
      <c r="BA126" s="22" t="n">
        <v>1140</v>
      </c>
      <c r="BB126" s="22" t="n">
        <v>1143</v>
      </c>
      <c r="BC126" s="22" t="n">
        <v>1154</v>
      </c>
      <c r="BD126" s="22" t="n">
        <v>1162</v>
      </c>
      <c r="BE126" s="22" t="n">
        <v>1156</v>
      </c>
      <c r="BF126" s="22" t="n">
        <v>1149</v>
      </c>
      <c r="BG126" s="22" t="n">
        <v>1133</v>
      </c>
      <c r="BH126" s="22" t="n">
        <v>1170</v>
      </c>
      <c r="BI126" s="22" t="n">
        <v>1183</v>
      </c>
      <c r="BJ126" s="22" t="n">
        <v>1184</v>
      </c>
      <c r="BK126" s="22" t="n">
        <v>1186</v>
      </c>
      <c r="BL126" s="22" t="n">
        <v>1191</v>
      </c>
    </row>
    <row r="127" ht="15.95" customHeight="1" s="574">
      <c r="A127" s="81" t="inlineStr">
        <is>
          <t>9532</t>
        </is>
      </c>
      <c r="B127" s="17" t="inlineStr">
        <is>
          <t>大阪瓦斯</t>
        </is>
      </c>
      <c r="C127" s="655">
        <f>_xll.RssMarket("9532","始値")</f>
        <v/>
      </c>
      <c r="D127" s="656">
        <f>C127-E127</f>
        <v/>
      </c>
      <c r="E127" s="22" t="n">
        <v>5429</v>
      </c>
      <c r="F127" s="22" t="n">
        <v>5388</v>
      </c>
      <c r="G127" s="22" t="n">
        <v>5490</v>
      </c>
      <c r="H127" s="76" t="n">
        <v>5527</v>
      </c>
      <c r="I127" s="22" t="n">
        <v>5520</v>
      </c>
      <c r="J127" s="22" t="n">
        <v>5606</v>
      </c>
      <c r="K127" s="22" t="n">
        <v>5698</v>
      </c>
      <c r="L127" s="22" t="n">
        <v>5540</v>
      </c>
      <c r="M127" s="22" t="n">
        <v>5550</v>
      </c>
      <c r="N127" s="22" t="n">
        <v>5454</v>
      </c>
      <c r="O127" s="22" t="n">
        <v>5457</v>
      </c>
      <c r="P127" s="22" t="n">
        <v>5607</v>
      </c>
      <c r="Q127" s="22" t="n">
        <v>5499</v>
      </c>
      <c r="R127" s="22" t="n">
        <v>5260</v>
      </c>
      <c r="S127" s="22" t="n">
        <v>5350</v>
      </c>
      <c r="T127" s="22" t="n">
        <v>5442</v>
      </c>
      <c r="U127" s="22" t="n">
        <v>5553</v>
      </c>
      <c r="V127" s="22" t="n">
        <v>5644</v>
      </c>
      <c r="W127" s="22" t="n">
        <v>5768</v>
      </c>
      <c r="X127" s="22" t="n">
        <v>5779</v>
      </c>
      <c r="Y127" s="22" t="n">
        <v>5862</v>
      </c>
      <c r="Z127" s="22" t="n">
        <v>5726</v>
      </c>
      <c r="AA127" s="22" t="n">
        <v>5700</v>
      </c>
      <c r="AB127" s="22" t="n">
        <v>5717</v>
      </c>
      <c r="AC127" s="22" t="n">
        <v>5731</v>
      </c>
      <c r="AD127" s="22" t="n">
        <v>5679</v>
      </c>
      <c r="AE127" s="22" t="n">
        <v>5629</v>
      </c>
      <c r="AF127" s="22" t="n">
        <v>5567</v>
      </c>
      <c r="AG127" s="22" t="n">
        <v>5684</v>
      </c>
      <c r="AH127" s="22" t="n">
        <v>5736</v>
      </c>
      <c r="AI127" s="22" t="n">
        <v>5720</v>
      </c>
      <c r="AJ127" s="22" t="n">
        <v>5874</v>
      </c>
      <c r="AK127" s="22" t="n">
        <v>5827</v>
      </c>
      <c r="AL127" s="22" t="n">
        <v>5779</v>
      </c>
      <c r="AM127" s="22" t="n">
        <v>5956</v>
      </c>
      <c r="AN127" s="22" t="n">
        <v>5793</v>
      </c>
      <c r="AO127" s="22" t="n">
        <v>5880</v>
      </c>
      <c r="AP127" s="22" t="n">
        <v>5983</v>
      </c>
      <c r="AQ127" s="22" t="n">
        <v>6129</v>
      </c>
      <c r="AR127" s="22" t="n">
        <v>6238</v>
      </c>
      <c r="AS127" s="22" t="n">
        <v>6174</v>
      </c>
      <c r="AT127" s="22" t="n">
        <v>6249</v>
      </c>
      <c r="AU127" s="22" t="n">
        <v>6290</v>
      </c>
      <c r="AV127" s="22" t="n">
        <v>6374</v>
      </c>
      <c r="AW127" s="22" t="n">
        <v>6587</v>
      </c>
      <c r="AX127" s="22" t="n">
        <v>6550</v>
      </c>
      <c r="AY127" s="22" t="n">
        <v>6705</v>
      </c>
      <c r="AZ127" s="22" t="n">
        <v>6500</v>
      </c>
      <c r="BA127" s="22" t="n">
        <v>6473</v>
      </c>
      <c r="BB127" s="22" t="n">
        <v>6485</v>
      </c>
      <c r="BC127" s="22" t="n">
        <v>6550</v>
      </c>
      <c r="BD127" s="22" t="n">
        <v>6560</v>
      </c>
      <c r="BE127" s="22" t="n">
        <v>6478</v>
      </c>
      <c r="BF127" s="22" t="n">
        <v>6239</v>
      </c>
      <c r="BG127" s="22" t="n">
        <v>6390</v>
      </c>
      <c r="BH127" s="22" t="n">
        <v>6392</v>
      </c>
      <c r="BI127" s="22" t="n">
        <v>6505</v>
      </c>
      <c r="BJ127" s="22" t="n">
        <v>6114</v>
      </c>
      <c r="BK127" s="22" t="n">
        <v>6209</v>
      </c>
      <c r="BL127" s="22" t="n">
        <v>6505</v>
      </c>
    </row>
    <row r="128" ht="15.95" customHeight="1" s="574">
      <c r="A128" s="81" t="inlineStr">
        <is>
          <t>6330</t>
        </is>
      </c>
      <c r="B128" s="17" t="inlineStr">
        <is>
          <t>東洋エンジニア</t>
        </is>
      </c>
      <c r="C128" s="655">
        <f>_xll.RssMarket("6330","始値")</f>
        <v/>
      </c>
      <c r="D128" s="656">
        <f>C128-E128</f>
        <v/>
      </c>
      <c r="E128" s="22" t="n">
        <v>2060</v>
      </c>
      <c r="F128" s="22" t="n">
        <v>2083</v>
      </c>
      <c r="G128" s="22" t="n">
        <v>2200</v>
      </c>
      <c r="H128" s="22" t="n">
        <v>2091</v>
      </c>
      <c r="I128" s="22" t="n">
        <v>2049</v>
      </c>
      <c r="J128" s="22" t="n">
        <v>1995</v>
      </c>
      <c r="K128" s="22" t="n">
        <v>1870</v>
      </c>
      <c r="L128" s="22" t="n">
        <v>1832</v>
      </c>
      <c r="M128" s="22" t="n">
        <v>1975</v>
      </c>
      <c r="N128" s="22" t="n">
        <v>1965</v>
      </c>
      <c r="O128" s="22" t="n">
        <v>1942</v>
      </c>
      <c r="P128" s="22" t="n">
        <v>1984</v>
      </c>
      <c r="Q128" s="22" t="n">
        <v>1890</v>
      </c>
      <c r="R128" s="22" t="n">
        <v>1897</v>
      </c>
      <c r="S128" s="22" t="n">
        <v>2153</v>
      </c>
      <c r="T128" s="22" t="n">
        <v>2092</v>
      </c>
      <c r="U128" s="22" t="n">
        <v>2169</v>
      </c>
      <c r="V128" s="22" t="n">
        <v>2184</v>
      </c>
      <c r="W128" s="22" t="n">
        <v>2010</v>
      </c>
      <c r="X128" s="22" t="n">
        <v>2069</v>
      </c>
      <c r="Y128" s="22" t="n">
        <v>2082</v>
      </c>
      <c r="Z128" s="22" t="n">
        <v>2100</v>
      </c>
      <c r="AA128" s="22" t="n">
        <v>2128</v>
      </c>
      <c r="AB128" s="22" t="n">
        <v>2148</v>
      </c>
      <c r="AC128" s="22" t="n">
        <v>2160</v>
      </c>
      <c r="AD128" s="22" t="n">
        <v>2188</v>
      </c>
      <c r="AE128" s="22" t="n">
        <v>2226</v>
      </c>
      <c r="AF128" s="22" t="n">
        <v>2313</v>
      </c>
      <c r="AG128" s="22" t="n">
        <v>2295</v>
      </c>
      <c r="AH128" s="22" t="n">
        <v>2335</v>
      </c>
      <c r="AI128" s="22" t="n">
        <v>2286</v>
      </c>
      <c r="AJ128" s="22" t="n">
        <v>2340</v>
      </c>
      <c r="AK128" s="22" t="n">
        <v>2331</v>
      </c>
      <c r="AL128" s="22" t="n">
        <v>2282</v>
      </c>
      <c r="AM128" s="22" t="n">
        <v>2449</v>
      </c>
      <c r="AN128" s="22" t="n">
        <v>2478</v>
      </c>
      <c r="AO128" s="22" t="n">
        <v>2510</v>
      </c>
      <c r="AP128" s="22" t="n">
        <v>2662</v>
      </c>
      <c r="AQ128" s="22" t="n">
        <v>2640</v>
      </c>
      <c r="AR128" s="22" t="n">
        <v>2500</v>
      </c>
      <c r="AS128" s="22" t="n">
        <v>2350</v>
      </c>
      <c r="AT128" s="22" t="n">
        <v>2357</v>
      </c>
      <c r="AU128" s="22" t="n">
        <v>2331</v>
      </c>
      <c r="AV128" s="22" t="n">
        <v>2281</v>
      </c>
      <c r="AW128" s="22" t="n">
        <v>2340</v>
      </c>
      <c r="AX128" s="22" t="n">
        <v>2321</v>
      </c>
      <c r="AY128" s="22" t="n">
        <v>2268</v>
      </c>
      <c r="AZ128" s="22" t="n">
        <v>2200</v>
      </c>
      <c r="BA128" s="22" t="n">
        <v>2272</v>
      </c>
      <c r="BB128" s="22" t="n">
        <v>2605</v>
      </c>
      <c r="BC128" s="22" t="n">
        <v>2730</v>
      </c>
      <c r="BD128" s="22" t="n">
        <v>2746</v>
      </c>
      <c r="BE128" s="22" t="n">
        <v>2600</v>
      </c>
      <c r="BF128" s="22" t="n">
        <v>2597</v>
      </c>
      <c r="BG128" s="22" t="n">
        <v>2604</v>
      </c>
      <c r="BH128" s="22" t="n">
        <v>2737</v>
      </c>
      <c r="BI128" s="22" t="n">
        <v>2608</v>
      </c>
      <c r="BJ128" s="22" t="n">
        <v>2985</v>
      </c>
      <c r="BK128" s="22" t="n">
        <v>3260</v>
      </c>
      <c r="BL128" s="22" t="n">
        <v>3330</v>
      </c>
    </row>
    <row r="129" ht="15.95" customHeight="1" s="574">
      <c r="A129" s="81" t="inlineStr">
        <is>
          <t>4082</t>
        </is>
      </c>
      <c r="B129" s="17" t="inlineStr">
        <is>
          <t>第一稀元素化学工</t>
        </is>
      </c>
      <c r="C129" s="655">
        <f>_xll.RssMarket("4082","始値")</f>
        <v/>
      </c>
      <c r="D129" s="656">
        <f>C129-E129</f>
        <v/>
      </c>
      <c r="E129" s="22" t="n">
        <v>2067</v>
      </c>
      <c r="F129" s="22" t="n">
        <v>2010</v>
      </c>
      <c r="G129" s="22" t="n">
        <v>2085</v>
      </c>
      <c r="H129" s="22" t="n">
        <v>1990</v>
      </c>
      <c r="I129" s="22" t="n">
        <v>1948</v>
      </c>
      <c r="J129" s="22" t="n">
        <v>1940</v>
      </c>
      <c r="K129" s="22" t="n">
        <v>1900</v>
      </c>
      <c r="L129" s="22" t="n">
        <v>1800</v>
      </c>
      <c r="M129" s="22" t="n">
        <v>1963</v>
      </c>
      <c r="N129" s="22" t="n">
        <v>2010</v>
      </c>
      <c r="O129" s="22" t="n">
        <v>2079</v>
      </c>
      <c r="P129" s="22" t="n">
        <v>2172</v>
      </c>
      <c r="Q129" s="22" t="n">
        <v>2166</v>
      </c>
      <c r="R129" s="22" t="n">
        <v>2225</v>
      </c>
      <c r="S129" s="22" t="n">
        <v>2295</v>
      </c>
      <c r="T129" s="22" t="n">
        <v>2170</v>
      </c>
      <c r="U129" s="22" t="n">
        <v>2186</v>
      </c>
      <c r="V129" s="22" t="n">
        <v>2093</v>
      </c>
      <c r="W129" s="22" t="n">
        <v>1980</v>
      </c>
      <c r="X129" s="22" t="n">
        <v>1960</v>
      </c>
      <c r="Y129" s="22" t="n">
        <v>2099</v>
      </c>
      <c r="Z129" s="22" t="n">
        <v>2195</v>
      </c>
      <c r="AA129" s="22" t="n">
        <v>2183</v>
      </c>
      <c r="AB129" s="22" t="n">
        <v>2181</v>
      </c>
      <c r="AC129" s="22" t="n">
        <v>2651</v>
      </c>
      <c r="AD129" s="22" t="n">
        <v>2640</v>
      </c>
      <c r="AE129" s="22" t="n">
        <v>2708</v>
      </c>
      <c r="AF129" s="22" t="n">
        <v>2487</v>
      </c>
      <c r="AG129" s="22" t="n">
        <v>2388</v>
      </c>
      <c r="AH129" s="22" t="n">
        <v>2346</v>
      </c>
      <c r="AI129" s="22" t="n">
        <v>2246</v>
      </c>
      <c r="AJ129" s="22" t="n">
        <v>2307</v>
      </c>
      <c r="AK129" s="22" t="n">
        <v>2260</v>
      </c>
      <c r="AL129" s="22" t="n">
        <v>2268</v>
      </c>
      <c r="AM129" s="22" t="n">
        <v>2470</v>
      </c>
      <c r="AN129" s="22" t="n">
        <v>2303</v>
      </c>
      <c r="AO129" s="22" t="n">
        <v>2380</v>
      </c>
      <c r="AP129" s="22" t="n">
        <v>2561</v>
      </c>
      <c r="AQ129" s="22" t="n">
        <v>2329</v>
      </c>
      <c r="AR129" s="22" t="n">
        <v>2231</v>
      </c>
      <c r="AS129" s="22" t="n">
        <v>2152</v>
      </c>
      <c r="AT129" s="22" t="n">
        <v>2100</v>
      </c>
      <c r="AU129" s="22" t="n">
        <v>2050</v>
      </c>
      <c r="AV129" s="22" t="n">
        <v>2038</v>
      </c>
      <c r="AW129" s="22" t="n">
        <v>2131</v>
      </c>
      <c r="AX129" s="22" t="n">
        <v>2172</v>
      </c>
      <c r="AY129" s="22" t="n">
        <v>2129</v>
      </c>
      <c r="AZ129" s="22" t="n">
        <v>2105</v>
      </c>
      <c r="BA129" s="22" t="n">
        <v>2082</v>
      </c>
      <c r="BB129" s="22" t="n">
        <v>2229</v>
      </c>
      <c r="BC129" s="22" t="n">
        <v>2368</v>
      </c>
      <c r="BD129" s="22" t="n">
        <v>2366</v>
      </c>
      <c r="BE129" s="22" t="n">
        <v>2325</v>
      </c>
      <c r="BF129" s="22" t="n">
        <v>2303</v>
      </c>
      <c r="BG129" s="22" t="n">
        <v>2346</v>
      </c>
      <c r="BH129" s="22" t="n">
        <v>2410</v>
      </c>
      <c r="BI129" s="22" t="n">
        <v>2408</v>
      </c>
      <c r="BJ129" s="22" t="n">
        <v>2371</v>
      </c>
      <c r="BK129" s="22" t="n">
        <v>2401</v>
      </c>
      <c r="BL129" s="22" t="n">
        <v>2520</v>
      </c>
    </row>
    <row r="130" ht="15.95" customHeight="1" s="574">
      <c r="A130" s="81" t="inlineStr">
        <is>
          <t>4519</t>
        </is>
      </c>
      <c r="B130" s="17" t="inlineStr">
        <is>
          <t>中外製薬</t>
        </is>
      </c>
      <c r="C130" s="655">
        <f>_xll.RssMarket("4519","始値")</f>
        <v/>
      </c>
      <c r="D130" s="656">
        <f>C130-E130</f>
        <v/>
      </c>
      <c r="E130" s="22" t="n">
        <v>7488</v>
      </c>
      <c r="F130" s="22" t="n">
        <v>7514</v>
      </c>
      <c r="G130" s="22" t="n">
        <v>7674</v>
      </c>
      <c r="H130" s="22" t="n">
        <v>7532</v>
      </c>
      <c r="I130" s="22" t="n">
        <v>7562</v>
      </c>
      <c r="J130" s="22" t="n">
        <v>7388</v>
      </c>
      <c r="K130" s="22" t="n">
        <v>7447</v>
      </c>
      <c r="L130" s="22" t="n">
        <v>7270</v>
      </c>
      <c r="M130" s="22" t="n">
        <v>7341</v>
      </c>
      <c r="N130" s="22" t="n">
        <v>7500</v>
      </c>
      <c r="O130" s="22" t="n">
        <v>7649</v>
      </c>
      <c r="P130" s="22" t="n">
        <v>7400</v>
      </c>
      <c r="Q130" s="22" t="n">
        <v>7500</v>
      </c>
      <c r="R130" s="22" t="n">
        <v>7601</v>
      </c>
      <c r="S130" s="22" t="n">
        <v>7699</v>
      </c>
      <c r="T130" s="22" t="n">
        <v>7880</v>
      </c>
      <c r="U130" s="22" t="n">
        <v>7646</v>
      </c>
      <c r="V130" s="22" t="n">
        <v>8013</v>
      </c>
      <c r="W130" s="22" t="n">
        <v>7804</v>
      </c>
      <c r="X130" s="22" t="n">
        <v>8049</v>
      </c>
      <c r="Y130" s="22" t="n">
        <v>7873</v>
      </c>
      <c r="Z130" s="22" t="n">
        <v>7979</v>
      </c>
      <c r="AA130" s="22" t="n">
        <v>7892</v>
      </c>
      <c r="AB130" s="22" t="n">
        <v>7946</v>
      </c>
      <c r="AC130" s="22" t="n">
        <v>7850</v>
      </c>
      <c r="AD130" s="22" t="n">
        <v>7753</v>
      </c>
      <c r="AE130" s="22" t="n">
        <v>7850</v>
      </c>
      <c r="AF130" s="22" t="n">
        <v>7821</v>
      </c>
      <c r="AG130" s="22" t="n">
        <v>8245</v>
      </c>
      <c r="AH130" s="22" t="n">
        <v>7765</v>
      </c>
      <c r="AI130" s="22" t="n">
        <v>8529</v>
      </c>
      <c r="AJ130" s="22" t="n">
        <v>8000</v>
      </c>
      <c r="AK130" s="22" t="n">
        <v>7580</v>
      </c>
      <c r="AL130" s="22" t="n">
        <v>7961</v>
      </c>
      <c r="AM130" s="22" t="n">
        <v>8994</v>
      </c>
      <c r="AN130" s="22" t="n">
        <v>8760</v>
      </c>
      <c r="AO130" s="22" t="n">
        <v>8747</v>
      </c>
      <c r="AP130" s="22" t="n">
        <v>8744</v>
      </c>
      <c r="AQ130" s="22" t="n">
        <v>8599</v>
      </c>
      <c r="AR130" s="22" t="n">
        <v>8435</v>
      </c>
      <c r="AS130" s="22" t="n">
        <v>8624</v>
      </c>
      <c r="AT130" s="22" t="n">
        <v>8512</v>
      </c>
      <c r="AU130" s="22" t="n">
        <v>8639</v>
      </c>
      <c r="AV130" s="22" t="n">
        <v>8564</v>
      </c>
      <c r="AW130" s="22" t="n">
        <v>8750</v>
      </c>
      <c r="AX130" s="22" t="n">
        <v>8818</v>
      </c>
      <c r="AY130" s="22" t="n">
        <v>9039</v>
      </c>
      <c r="AZ130" s="22" t="n">
        <v>8779</v>
      </c>
      <c r="BA130" s="22" t="n">
        <v>8785</v>
      </c>
      <c r="BB130" s="22" t="n">
        <v>9219</v>
      </c>
      <c r="BC130" s="22" t="n">
        <v>9338</v>
      </c>
      <c r="BD130" s="22" t="n">
        <v>8898</v>
      </c>
      <c r="BE130" s="22" t="n">
        <v>8568</v>
      </c>
      <c r="BF130" s="22" t="n">
        <v>8258</v>
      </c>
      <c r="BG130" s="22" t="n">
        <v>8529</v>
      </c>
      <c r="BH130" s="22" t="n">
        <v>8441</v>
      </c>
      <c r="BI130" s="22" t="n">
        <v>8524</v>
      </c>
      <c r="BJ130" s="22" t="n">
        <v>8157</v>
      </c>
      <c r="BK130" s="22" t="n">
        <v>8350</v>
      </c>
      <c r="BL130" s="22" t="n">
        <v>8836</v>
      </c>
    </row>
    <row r="131" ht="15.95" customHeight="1" s="574">
      <c r="A131" s="81" t="inlineStr">
        <is>
          <t>2160</t>
        </is>
      </c>
      <c r="B131" s="17" t="inlineStr">
        <is>
          <t>ジーエヌアイグループ</t>
        </is>
      </c>
      <c r="C131" s="655">
        <f>_xll.RssMarket("2160","始値")</f>
        <v/>
      </c>
      <c r="D131" s="656">
        <f>C131-E131</f>
        <v/>
      </c>
      <c r="E131" s="22" t="n">
        <v>2501</v>
      </c>
      <c r="F131" s="22" t="n">
        <v>2630</v>
      </c>
      <c r="G131" s="22" t="n">
        <v>2565</v>
      </c>
      <c r="H131" s="22" t="n">
        <v>2500</v>
      </c>
      <c r="I131" s="22" t="n">
        <v>2544</v>
      </c>
      <c r="J131" s="22" t="n">
        <v>2529</v>
      </c>
      <c r="K131" s="22" t="n">
        <v>2735</v>
      </c>
      <c r="L131" s="22" t="n">
        <v>2650</v>
      </c>
      <c r="M131" s="22" t="n">
        <v>2784</v>
      </c>
      <c r="N131" s="22" t="n">
        <v>2920</v>
      </c>
      <c r="O131" s="22" t="n">
        <v>2800</v>
      </c>
      <c r="P131" s="22" t="n">
        <v>2600</v>
      </c>
      <c r="Q131" s="22" t="n">
        <v>2547</v>
      </c>
      <c r="R131" s="22" t="n">
        <v>2564</v>
      </c>
      <c r="S131" s="22" t="n">
        <v>2665</v>
      </c>
      <c r="T131" s="22" t="n">
        <v>2675</v>
      </c>
      <c r="U131" s="22" t="n">
        <v>2700</v>
      </c>
      <c r="V131" s="22" t="n">
        <v>2843</v>
      </c>
      <c r="W131" s="22" t="n">
        <v>2851</v>
      </c>
      <c r="X131" s="22" t="n">
        <v>2800</v>
      </c>
      <c r="Y131" s="22" t="n">
        <v>2724</v>
      </c>
      <c r="Z131" s="22" t="n">
        <v>2970</v>
      </c>
      <c r="AA131" s="22" t="n">
        <v>3035</v>
      </c>
      <c r="AB131" s="22" t="n">
        <v>3100</v>
      </c>
      <c r="AC131" s="22" t="n">
        <v>3245</v>
      </c>
      <c r="AD131" s="22" t="n">
        <v>2973</v>
      </c>
      <c r="AE131" s="22" t="n">
        <v>2998</v>
      </c>
      <c r="AF131" s="22" t="n">
        <v>2985</v>
      </c>
      <c r="AG131" s="22" t="n">
        <v>3100</v>
      </c>
      <c r="AH131" s="22" t="n">
        <v>2970</v>
      </c>
      <c r="AI131" s="22" t="n">
        <v>3050</v>
      </c>
      <c r="AJ131" s="22" t="n">
        <v>3125</v>
      </c>
      <c r="AK131" s="22" t="n">
        <v>3130</v>
      </c>
      <c r="AL131" s="22" t="n">
        <v>3115</v>
      </c>
      <c r="AM131" s="22" t="n">
        <v>3270</v>
      </c>
      <c r="AN131" s="22" t="n">
        <v>3375</v>
      </c>
      <c r="AO131" s="22" t="n">
        <v>3415</v>
      </c>
      <c r="AP131" s="22" t="n">
        <v>3355</v>
      </c>
      <c r="AQ131" s="22" t="n">
        <v>3350</v>
      </c>
      <c r="AR131" s="22" t="n">
        <v>3395</v>
      </c>
      <c r="AS131" s="22" t="n">
        <v>3220</v>
      </c>
      <c r="AT131" s="22" t="n">
        <v>3235</v>
      </c>
      <c r="AU131" s="22" t="n">
        <v>3100</v>
      </c>
      <c r="AV131" s="22" t="n">
        <v>3165</v>
      </c>
      <c r="AW131" s="22" t="n">
        <v>3175</v>
      </c>
      <c r="AX131" s="22" t="n">
        <v>3250</v>
      </c>
      <c r="AY131" s="22" t="n">
        <v>3125</v>
      </c>
      <c r="AZ131" s="22" t="n">
        <v>3135</v>
      </c>
      <c r="BA131" s="22" t="n">
        <v>3145</v>
      </c>
      <c r="BB131" s="22" t="n">
        <v>3250</v>
      </c>
      <c r="BC131" s="22" t="n">
        <v>3085</v>
      </c>
      <c r="BD131" s="22" t="n">
        <v>3040</v>
      </c>
      <c r="BE131" s="22" t="n">
        <v>3050</v>
      </c>
      <c r="BF131" s="22" t="n">
        <v>3075</v>
      </c>
      <c r="BG131" s="22" t="n">
        <v>3100</v>
      </c>
      <c r="BH131" s="22" t="n">
        <v>3020</v>
      </c>
      <c r="BI131" s="22" t="n">
        <v>2861</v>
      </c>
      <c r="BJ131" s="22" t="n">
        <v>2700</v>
      </c>
      <c r="BK131" s="22" t="n">
        <v>2942</v>
      </c>
      <c r="BL131" s="22" t="n">
        <v>3230</v>
      </c>
    </row>
    <row r="132" ht="15.95" customHeight="1" s="574">
      <c r="A132" s="81" t="inlineStr">
        <is>
          <t>6227</t>
        </is>
      </c>
      <c r="B132" s="17" t="inlineStr">
        <is>
          <t>ＡＩメカテック</t>
        </is>
      </c>
      <c r="C132" s="655">
        <f>_xll.RssMarket("6227","始値")</f>
        <v/>
      </c>
      <c r="D132" s="656">
        <f>C132-E132</f>
        <v/>
      </c>
      <c r="E132" s="22" t="n">
        <v>7150</v>
      </c>
      <c r="F132" s="22" t="n">
        <v>7600</v>
      </c>
      <c r="G132" s="22" t="n">
        <v>8280</v>
      </c>
      <c r="H132" s="22" t="n">
        <v>7930</v>
      </c>
      <c r="I132" s="22" t="n">
        <v>8390</v>
      </c>
      <c r="J132" s="22" t="n">
        <v>8600</v>
      </c>
      <c r="K132" s="22" t="n">
        <v>7100</v>
      </c>
      <c r="L132" s="22" t="n">
        <v>6650</v>
      </c>
      <c r="M132" s="22" t="n">
        <v>7440</v>
      </c>
      <c r="N132" s="22" t="n">
        <v>6590</v>
      </c>
      <c r="O132" s="22" t="n">
        <v>6410</v>
      </c>
      <c r="P132" s="22" t="n">
        <v>5970</v>
      </c>
      <c r="Q132" s="22" t="n">
        <v>6190</v>
      </c>
      <c r="R132" s="22" t="n">
        <v>5780</v>
      </c>
      <c r="S132" s="22" t="n">
        <v>5660</v>
      </c>
      <c r="T132" s="22" t="n">
        <v>5380</v>
      </c>
      <c r="U132" s="22" t="n">
        <v>6230</v>
      </c>
      <c r="V132" s="22" t="n">
        <v>6110</v>
      </c>
      <c r="W132" s="22" t="n">
        <v>6060</v>
      </c>
      <c r="X132" s="22" t="n">
        <v>6900</v>
      </c>
      <c r="Y132" s="22" t="n">
        <v>6710</v>
      </c>
      <c r="Z132" s="22" t="n">
        <v>7220</v>
      </c>
      <c r="AA132" s="22" t="n">
        <v>6910</v>
      </c>
      <c r="AB132" s="22" t="n">
        <v>6790</v>
      </c>
      <c r="AC132" s="22" t="n">
        <v>6590</v>
      </c>
      <c r="AD132" s="22" t="n">
        <v>6670</v>
      </c>
      <c r="AE132" s="22" t="n">
        <v>6520</v>
      </c>
      <c r="AF132" s="22" t="n">
        <v>6900</v>
      </c>
      <c r="AG132" s="22" t="n">
        <v>6690</v>
      </c>
      <c r="AH132" s="22" t="n">
        <v>6510</v>
      </c>
      <c r="AI132" s="22" t="n">
        <v>6280</v>
      </c>
      <c r="AJ132" s="22" t="n">
        <v>6060</v>
      </c>
      <c r="AK132" s="22" t="n">
        <v>6450</v>
      </c>
      <c r="AL132" s="22" t="n">
        <v>6680</v>
      </c>
      <c r="AM132" s="22" t="n">
        <v>6480</v>
      </c>
      <c r="AN132" s="22" t="n">
        <v>7060</v>
      </c>
      <c r="AO132" s="22" t="n">
        <v>7150</v>
      </c>
      <c r="AP132" s="22" t="n">
        <v>7450</v>
      </c>
      <c r="AQ132" s="22" t="n">
        <v>8120</v>
      </c>
      <c r="AR132" s="22" t="n">
        <v>8000</v>
      </c>
      <c r="AS132" s="22" t="n">
        <v>8420</v>
      </c>
      <c r="AT132" s="22" t="n">
        <v>8000</v>
      </c>
      <c r="AU132" s="22" t="n">
        <v>7150</v>
      </c>
      <c r="AV132" s="22" t="n">
        <v>6020</v>
      </c>
      <c r="AW132" s="22" t="n">
        <v>6100</v>
      </c>
      <c r="AX132" s="22" t="n">
        <v>5990</v>
      </c>
      <c r="AY132" s="22" t="n">
        <v>6090</v>
      </c>
      <c r="AZ132" s="22" t="n">
        <v>5940</v>
      </c>
      <c r="BA132" s="22" t="n">
        <v>5350</v>
      </c>
      <c r="BB132" s="22" t="n">
        <v>5490</v>
      </c>
      <c r="BC132" s="22" t="n">
        <v>5780</v>
      </c>
      <c r="BD132" s="22" t="n">
        <v>5700</v>
      </c>
      <c r="BE132" s="22" t="n">
        <v>5270</v>
      </c>
      <c r="BF132" s="22" t="n">
        <v>5480</v>
      </c>
      <c r="BG132" s="22" t="n">
        <v>6166.6</v>
      </c>
      <c r="BH132" s="22" t="n">
        <v>6983.3</v>
      </c>
      <c r="BI132" s="22" t="n">
        <v>6600</v>
      </c>
      <c r="BJ132" s="22" t="n">
        <v>6410</v>
      </c>
      <c r="BK132" s="22" t="n">
        <v>6436.6</v>
      </c>
      <c r="BL132" s="22" t="n">
        <v>6300</v>
      </c>
    </row>
    <row r="133" ht="15.95" customHeight="1" s="574">
      <c r="A133" s="81" t="inlineStr">
        <is>
          <t>6327</t>
        </is>
      </c>
      <c r="B133" s="17" t="inlineStr">
        <is>
          <t>北川精機</t>
        </is>
      </c>
      <c r="C133" s="655">
        <f>_xll.RssMarket("6327","始値")</f>
        <v/>
      </c>
      <c r="D133" s="656">
        <f>C133-E133</f>
        <v/>
      </c>
      <c r="E133" s="22" t="n">
        <v>5890</v>
      </c>
      <c r="F133" s="22" t="n">
        <v>6900</v>
      </c>
      <c r="G133" s="22" t="n">
        <v>5310</v>
      </c>
      <c r="H133" s="22" t="n">
        <v>4720</v>
      </c>
      <c r="I133" s="22" t="n">
        <v>3975</v>
      </c>
      <c r="J133" s="22" t="n">
        <v>3230</v>
      </c>
      <c r="K133" s="22" t="n">
        <v>3330</v>
      </c>
      <c r="L133" s="22" t="n">
        <v>2939</v>
      </c>
      <c r="M133" s="22" t="n">
        <v>3375</v>
      </c>
      <c r="N133" s="22" t="n">
        <v>3350</v>
      </c>
      <c r="O133" s="22" t="n">
        <v>3655</v>
      </c>
      <c r="P133" s="22" t="n">
        <v>4070</v>
      </c>
      <c r="Q133" s="22" t="n">
        <v>4915</v>
      </c>
      <c r="R133" s="22" t="n">
        <v>4660</v>
      </c>
      <c r="S133" s="22" t="n">
        <v>4995</v>
      </c>
      <c r="T133" s="22" t="n">
        <v>3850</v>
      </c>
      <c r="U133" s="22" t="n">
        <v>3555</v>
      </c>
      <c r="V133" s="22" t="n">
        <v>2964</v>
      </c>
      <c r="W133" s="22" t="n">
        <v>2455</v>
      </c>
      <c r="X133" s="22" t="n">
        <v>2355</v>
      </c>
      <c r="Y133" s="22" t="n">
        <v>2340</v>
      </c>
      <c r="Z133" s="22" t="n">
        <v>2602</v>
      </c>
      <c r="AA133" s="22" t="n">
        <v>2655</v>
      </c>
      <c r="AB133" s="22" t="n">
        <v>2673</v>
      </c>
      <c r="AC133" s="22" t="n">
        <v>2610</v>
      </c>
      <c r="AD133" s="22" t="n">
        <v>2790</v>
      </c>
      <c r="AE133" s="22" t="n">
        <v>3460</v>
      </c>
      <c r="AF133" s="22" t="n">
        <v>3260</v>
      </c>
      <c r="AG133" s="22" t="n">
        <v>3250</v>
      </c>
      <c r="AH133" s="22" t="n">
        <v>2947</v>
      </c>
      <c r="AI133" s="22" t="n">
        <v>2771</v>
      </c>
      <c r="AJ133" s="22" t="n">
        <v>2588</v>
      </c>
      <c r="AK133" s="22" t="n">
        <v>2198</v>
      </c>
      <c r="AL133" s="22" t="n">
        <v>2118</v>
      </c>
      <c r="AM133" s="22" t="n">
        <v>2075</v>
      </c>
      <c r="AN133" s="22" t="n">
        <v>2160</v>
      </c>
      <c r="AO133" s="22" t="n">
        <v>2150</v>
      </c>
      <c r="AP133" s="22" t="n">
        <v>2000</v>
      </c>
      <c r="AQ133" s="22" t="n">
        <v>2046</v>
      </c>
      <c r="AR133" s="22" t="n">
        <v>2070</v>
      </c>
      <c r="AS133" s="22" t="n">
        <v>2045</v>
      </c>
      <c r="AT133" s="22" t="n">
        <v>2120</v>
      </c>
      <c r="AU133" s="22" t="n">
        <v>2000</v>
      </c>
      <c r="AV133" s="22" t="n">
        <v>1928</v>
      </c>
      <c r="AW133" s="22" t="n">
        <v>1850</v>
      </c>
      <c r="AX133" s="22" t="n">
        <v>1885</v>
      </c>
      <c r="AY133" s="22" t="n">
        <v>1731</v>
      </c>
      <c r="AZ133" s="22" t="n">
        <v>1675</v>
      </c>
      <c r="BA133" s="22" t="n">
        <v>1580</v>
      </c>
      <c r="BB133" s="22" t="n">
        <v>1510</v>
      </c>
      <c r="BC133" s="22" t="n">
        <v>1516</v>
      </c>
      <c r="BD133" s="22" t="n">
        <v>1485</v>
      </c>
      <c r="BE133" s="22" t="n">
        <v>1440</v>
      </c>
      <c r="BF133" s="22" t="n">
        <v>1509</v>
      </c>
      <c r="BG133" s="22" t="n">
        <v>1600</v>
      </c>
      <c r="BH133" s="22" t="n">
        <v>1670</v>
      </c>
      <c r="BI133" s="22" t="n">
        <v>1600</v>
      </c>
      <c r="BJ133" s="22" t="n">
        <v>1595</v>
      </c>
      <c r="BK133" s="22" t="n">
        <v>1551</v>
      </c>
      <c r="BL133" s="22" t="n">
        <v>1730</v>
      </c>
    </row>
    <row r="134" ht="15.95" customHeight="1" s="574">
      <c r="A134" s="81" t="inlineStr">
        <is>
          <t>3110</t>
        </is>
      </c>
      <c r="B134" s="17" t="inlineStr">
        <is>
          <t>日東紡績</t>
        </is>
      </c>
      <c r="C134" s="655">
        <f>_xll.RssMarket("3110","始値")</f>
        <v/>
      </c>
      <c r="D134" s="656">
        <f>C134-E134</f>
        <v/>
      </c>
      <c r="E134" s="22" t="n">
        <v>20270</v>
      </c>
      <c r="F134" s="22" t="n">
        <v>19500</v>
      </c>
      <c r="G134" s="22" t="n">
        <v>21250</v>
      </c>
      <c r="H134" s="22" t="n">
        <v>20690</v>
      </c>
      <c r="I134" s="22" t="n">
        <v>20260</v>
      </c>
      <c r="J134" s="22" t="n">
        <v>19580</v>
      </c>
      <c r="K134" s="22" t="n">
        <v>18100</v>
      </c>
      <c r="L134" s="22" t="n">
        <v>16670</v>
      </c>
      <c r="M134" s="22" t="n">
        <v>18000</v>
      </c>
      <c r="N134" s="22" t="n">
        <v>18230</v>
      </c>
      <c r="O134" s="22" t="n">
        <v>20270</v>
      </c>
      <c r="P134" s="22" t="n">
        <v>21000</v>
      </c>
      <c r="Q134" s="22" t="n">
        <v>22400</v>
      </c>
      <c r="R134" s="22" t="n">
        <v>22510</v>
      </c>
      <c r="S134" s="22" t="n">
        <v>22940</v>
      </c>
      <c r="T134" s="22" t="n">
        <v>25740</v>
      </c>
      <c r="U134" s="22" t="n">
        <v>25660</v>
      </c>
      <c r="V134" s="22" t="n">
        <v>22840</v>
      </c>
      <c r="W134" s="22" t="n">
        <v>21740</v>
      </c>
      <c r="X134" s="22" t="n">
        <v>21410</v>
      </c>
      <c r="Y134" s="22" t="n">
        <v>21960</v>
      </c>
      <c r="Z134" s="22" t="n">
        <v>24070</v>
      </c>
      <c r="AA134" s="22" t="n">
        <v>26150</v>
      </c>
      <c r="AB134" s="22" t="n">
        <v>26030</v>
      </c>
      <c r="AC134" s="22" t="n">
        <v>26700</v>
      </c>
      <c r="AD134" s="22" t="n">
        <v>29990</v>
      </c>
      <c r="AE134" s="22" t="n">
        <v>30000</v>
      </c>
      <c r="AF134" s="22" t="n">
        <v>30700</v>
      </c>
      <c r="AG134" s="22" t="n">
        <v>30000</v>
      </c>
      <c r="AH134" s="22" t="n">
        <v>28540</v>
      </c>
      <c r="AI134" s="22" t="n">
        <v>28100</v>
      </c>
      <c r="AJ134" s="22" t="n">
        <v>27110</v>
      </c>
      <c r="AK134" s="22" t="n">
        <v>27400</v>
      </c>
      <c r="AL134" s="22" t="n">
        <v>26470</v>
      </c>
      <c r="AM134" s="22" t="n">
        <v>27930</v>
      </c>
      <c r="AN134" s="22" t="n">
        <v>26440</v>
      </c>
      <c r="AO134" s="22" t="n">
        <v>26850</v>
      </c>
      <c r="AP134" s="22" t="n">
        <v>27300</v>
      </c>
      <c r="AQ134" s="22" t="n">
        <v>26820</v>
      </c>
      <c r="AR134" s="22" t="n">
        <v>26850</v>
      </c>
      <c r="AS134" s="22" t="n">
        <v>30100</v>
      </c>
      <c r="AT134" s="22" t="n">
        <v>29960</v>
      </c>
      <c r="AU134" s="22" t="n">
        <v>27570</v>
      </c>
      <c r="AV134" s="22" t="n">
        <v>26500</v>
      </c>
      <c r="AW134" s="22" t="n">
        <v>24400</v>
      </c>
      <c r="AX134" s="22" t="n">
        <v>23500</v>
      </c>
      <c r="AY134" s="22" t="n">
        <v>21020</v>
      </c>
      <c r="AZ134" s="22" t="n">
        <v>20500</v>
      </c>
      <c r="BA134" s="22" t="n">
        <v>20200</v>
      </c>
      <c r="BB134" s="22" t="n">
        <v>20970</v>
      </c>
      <c r="BC134" s="22" t="n">
        <v>20340</v>
      </c>
      <c r="BD134" s="22" t="n">
        <v>18560</v>
      </c>
      <c r="BE134" s="22" t="n">
        <v>20080</v>
      </c>
      <c r="BF134" s="22" t="n">
        <v>20940</v>
      </c>
      <c r="BG134" s="22" t="n">
        <v>22160</v>
      </c>
      <c r="BH134" s="22" t="n">
        <v>21500</v>
      </c>
      <c r="BI134" s="22" t="n">
        <v>20920</v>
      </c>
      <c r="BJ134" s="22" t="n">
        <v>20780</v>
      </c>
      <c r="BK134" s="22" t="n">
        <v>21940</v>
      </c>
      <c r="BL134" s="22" t="n">
        <v>21070</v>
      </c>
    </row>
    <row r="135" ht="15.95" customHeight="1" s="574">
      <c r="A135" s="81" t="inlineStr">
        <is>
          <t>6232</t>
        </is>
      </c>
      <c r="B135" s="17" t="inlineStr">
        <is>
          <t>ＡＣＳＬ</t>
        </is>
      </c>
      <c r="C135" s="655">
        <f>_xll.RssMarket("6232","始値")</f>
        <v/>
      </c>
      <c r="D135" s="656">
        <f>C135-E135</f>
        <v/>
      </c>
      <c r="E135" s="22" t="n">
        <v>1847</v>
      </c>
      <c r="F135" s="22" t="n">
        <v>1770</v>
      </c>
      <c r="G135" s="22" t="n">
        <v>1865</v>
      </c>
      <c r="H135" s="22" t="n">
        <v>1834</v>
      </c>
      <c r="I135" s="22" t="n">
        <v>1772</v>
      </c>
      <c r="J135" s="22" t="n">
        <v>1851</v>
      </c>
      <c r="K135" s="22" t="n">
        <v>1852</v>
      </c>
      <c r="L135" s="22" t="n">
        <v>2050</v>
      </c>
      <c r="M135" s="22" t="n">
        <v>2008</v>
      </c>
      <c r="N135" s="22" t="n">
        <v>2010</v>
      </c>
      <c r="O135" s="22" t="n">
        <v>1985</v>
      </c>
      <c r="P135" s="22" t="n">
        <v>2028</v>
      </c>
      <c r="Q135" s="22" t="n">
        <v>2100</v>
      </c>
      <c r="R135" s="22" t="n">
        <v>2537</v>
      </c>
      <c r="S135" s="22" t="n">
        <v>2284</v>
      </c>
      <c r="T135" s="22" t="n">
        <v>2449</v>
      </c>
      <c r="U135" s="22" t="n">
        <v>2891</v>
      </c>
      <c r="V135" s="22" t="n">
        <v>2650</v>
      </c>
      <c r="W135" s="22" t="n">
        <v>2912</v>
      </c>
      <c r="X135" s="22" t="n">
        <v>3220</v>
      </c>
      <c r="Y135" s="22" t="n">
        <v>3170</v>
      </c>
      <c r="Z135" s="22" t="n">
        <v>3325</v>
      </c>
      <c r="AA135" s="22" t="n">
        <v>3070</v>
      </c>
      <c r="AB135" s="22" t="n">
        <v>3110</v>
      </c>
      <c r="AC135" s="22" t="n">
        <v>2930</v>
      </c>
      <c r="AD135" s="22" t="n">
        <v>4130</v>
      </c>
      <c r="AE135" s="22" t="n">
        <v>3400</v>
      </c>
      <c r="AF135" s="22" t="n">
        <v>2382</v>
      </c>
      <c r="AG135" s="22" t="n">
        <v>2597</v>
      </c>
      <c r="AH135" s="22" t="n">
        <v>2389</v>
      </c>
      <c r="AI135" s="22" t="n">
        <v>2302</v>
      </c>
      <c r="AJ135" s="22" t="n">
        <v>2262</v>
      </c>
      <c r="AK135" s="22" t="n">
        <v>2588</v>
      </c>
      <c r="AL135" s="22" t="n">
        <v>2311</v>
      </c>
      <c r="AM135" s="22" t="n">
        <v>2322</v>
      </c>
      <c r="AN135" s="22" t="n">
        <v>1859</v>
      </c>
      <c r="AO135" s="22" t="n">
        <v>1774</v>
      </c>
      <c r="AP135" s="22" t="n">
        <v>1701</v>
      </c>
      <c r="AQ135" s="22" t="n">
        <v>1782</v>
      </c>
      <c r="AR135" s="22" t="n">
        <v>1825</v>
      </c>
      <c r="AS135" s="22" t="n">
        <v>1868</v>
      </c>
      <c r="AT135" s="22" t="n">
        <v>1861</v>
      </c>
      <c r="AU135" s="22" t="n">
        <v>1610</v>
      </c>
      <c r="AV135" s="22" t="n">
        <v>1581</v>
      </c>
      <c r="AW135" s="22" t="n">
        <v>1630</v>
      </c>
      <c r="AX135" s="22" t="n">
        <v>1615</v>
      </c>
      <c r="AY135" s="22" t="n">
        <v>1462</v>
      </c>
      <c r="AZ135" s="22" t="n">
        <v>1465</v>
      </c>
      <c r="BA135" s="22" t="n">
        <v>1540</v>
      </c>
      <c r="BB135" s="22" t="n">
        <v>1531</v>
      </c>
      <c r="BC135" s="22" t="n">
        <v>1475</v>
      </c>
      <c r="BD135" s="22" t="n">
        <v>1434</v>
      </c>
      <c r="BE135" s="22" t="n">
        <v>1498</v>
      </c>
      <c r="BF135" s="22" t="n">
        <v>1495</v>
      </c>
      <c r="BG135" s="22" t="n">
        <v>1551</v>
      </c>
      <c r="BH135" s="22" t="n">
        <v>1462</v>
      </c>
      <c r="BI135" s="22" t="n">
        <v>1556</v>
      </c>
      <c r="BJ135" s="22" t="n">
        <v>1500</v>
      </c>
      <c r="BK135" s="22" t="n">
        <v>1602</v>
      </c>
      <c r="BL135" s="22" t="n">
        <v>1640</v>
      </c>
    </row>
    <row r="136" ht="15.95" customHeight="1" s="574">
      <c r="A136" s="81" t="inlineStr">
        <is>
          <t>7794</t>
        </is>
      </c>
      <c r="B136" s="17" t="inlineStr">
        <is>
          <t>イーディーピー</t>
        </is>
      </c>
      <c r="C136" s="655">
        <f>_xll.RssMarket("7794","始値")</f>
        <v/>
      </c>
      <c r="D136" s="656">
        <f>C136-E136</f>
        <v/>
      </c>
      <c r="E136" s="22" t="n">
        <v>1119</v>
      </c>
      <c r="F136" s="22" t="n">
        <v>1121</v>
      </c>
      <c r="G136" s="22" t="n">
        <v>1091</v>
      </c>
      <c r="H136" s="22" t="n">
        <v>1074</v>
      </c>
      <c r="I136" s="22" t="n">
        <v>1095</v>
      </c>
      <c r="J136" s="22" t="n">
        <v>1121</v>
      </c>
      <c r="K136" s="22" t="n">
        <v>1100</v>
      </c>
      <c r="L136" s="22" t="n">
        <v>1081</v>
      </c>
      <c r="M136" s="22" t="n">
        <v>1110</v>
      </c>
      <c r="N136" s="22" t="n">
        <v>1080</v>
      </c>
      <c r="O136" s="22" t="n">
        <v>1005</v>
      </c>
      <c r="P136" s="22" t="n">
        <v>1070</v>
      </c>
      <c r="Q136" s="22" t="n">
        <v>1102</v>
      </c>
      <c r="R136" s="22" t="n">
        <v>1160</v>
      </c>
      <c r="S136" s="22" t="n">
        <v>1225</v>
      </c>
      <c r="T136" s="22" t="n">
        <v>1326</v>
      </c>
      <c r="U136" s="22" t="n">
        <v>1125</v>
      </c>
      <c r="V136" s="22" t="n">
        <v>1148</v>
      </c>
      <c r="W136" s="22" t="n">
        <v>1081</v>
      </c>
      <c r="X136" s="22" t="n">
        <v>1103</v>
      </c>
      <c r="Y136" s="22" t="n">
        <v>1122</v>
      </c>
      <c r="Z136" s="22" t="n">
        <v>1124</v>
      </c>
      <c r="AA136" s="22" t="n">
        <v>1160</v>
      </c>
      <c r="AB136" s="22" t="n">
        <v>1120</v>
      </c>
      <c r="AC136" s="22" t="n">
        <v>1213</v>
      </c>
      <c r="AD136" s="22" t="n">
        <v>1310</v>
      </c>
      <c r="AE136" s="22" t="n">
        <v>1398</v>
      </c>
      <c r="AF136" s="22" t="n">
        <v>1421</v>
      </c>
      <c r="AG136" s="22" t="n">
        <v>1305</v>
      </c>
      <c r="AH136" s="22" t="n">
        <v>1320</v>
      </c>
      <c r="AI136" s="22" t="n">
        <v>1333</v>
      </c>
      <c r="AJ136" s="22" t="n">
        <v>1315</v>
      </c>
      <c r="AK136" s="22" t="n">
        <v>1342</v>
      </c>
      <c r="AL136" s="22" t="n">
        <v>1414</v>
      </c>
      <c r="AM136" s="22" t="n">
        <v>1450</v>
      </c>
      <c r="AN136" s="22" t="n">
        <v>1484</v>
      </c>
      <c r="AO136" s="22" t="n">
        <v>1540</v>
      </c>
      <c r="AP136" s="22" t="n">
        <v>1620</v>
      </c>
      <c r="AQ136" s="22" t="n">
        <v>1580</v>
      </c>
      <c r="AR136" s="22" t="n">
        <v>1238</v>
      </c>
      <c r="AS136" s="22" t="n">
        <v>1189</v>
      </c>
      <c r="AT136" s="22" t="n">
        <v>1198</v>
      </c>
      <c r="AU136" s="22" t="n">
        <v>1218</v>
      </c>
      <c r="AV136" s="22" t="n">
        <v>1169</v>
      </c>
      <c r="AW136" s="22" t="n">
        <v>1216</v>
      </c>
      <c r="AX136" s="22" t="n">
        <v>1201</v>
      </c>
      <c r="AY136" s="22" t="n">
        <v>1197</v>
      </c>
      <c r="AZ136" s="22" t="n">
        <v>1184</v>
      </c>
      <c r="BA136" s="22" t="n">
        <v>1200</v>
      </c>
      <c r="BB136" s="22" t="n">
        <v>1240</v>
      </c>
      <c r="BC136" s="22" t="n">
        <v>1285</v>
      </c>
      <c r="BD136" s="22" t="n">
        <v>1330</v>
      </c>
      <c r="BE136" s="22" t="n">
        <v>1291</v>
      </c>
      <c r="BF136" s="22" t="n">
        <v>1249</v>
      </c>
      <c r="BG136" s="22" t="n">
        <v>1314</v>
      </c>
      <c r="BH136" s="22" t="n">
        <v>1101</v>
      </c>
      <c r="BI136" s="22" t="n">
        <v>1101</v>
      </c>
      <c r="BJ136" s="22" t="n">
        <v>1168</v>
      </c>
      <c r="BK136" s="22" t="n">
        <v>1169</v>
      </c>
      <c r="BL136" s="22" t="n">
        <v>1300</v>
      </c>
    </row>
    <row r="137" ht="15.95" customHeight="1" s="574">
      <c r="A137" s="81" t="inlineStr">
        <is>
          <t>6085</t>
        </is>
      </c>
      <c r="B137" s="17" t="inlineStr">
        <is>
          <t>アーキテクツＳＪ</t>
        </is>
      </c>
      <c r="C137" s="655">
        <f>_xll.RssMarket("6085","始値")</f>
        <v/>
      </c>
      <c r="D137" s="656">
        <f>C137-E137</f>
        <v/>
      </c>
      <c r="E137" s="22" t="n">
        <v>330</v>
      </c>
      <c r="F137" s="22" t="n">
        <v>331</v>
      </c>
      <c r="G137" s="22" t="n">
        <v>330</v>
      </c>
      <c r="H137" s="22" t="n">
        <v>321</v>
      </c>
      <c r="I137" s="22" t="n">
        <v>310</v>
      </c>
      <c r="J137" s="22" t="n">
        <v>360</v>
      </c>
      <c r="K137" s="22" t="n">
        <v>400</v>
      </c>
      <c r="L137" s="22" t="n">
        <v>405</v>
      </c>
      <c r="M137" s="22" t="n">
        <v>394</v>
      </c>
      <c r="N137" s="22" t="n">
        <v>314</v>
      </c>
      <c r="O137" s="22" t="n">
        <v>266</v>
      </c>
      <c r="P137" s="22" t="n">
        <v>250</v>
      </c>
      <c r="Q137" s="22" t="n">
        <v>274</v>
      </c>
      <c r="R137" s="22" t="n">
        <v>369</v>
      </c>
      <c r="S137" s="22" t="n">
        <v>335</v>
      </c>
      <c r="T137" s="22" t="n">
        <v>423</v>
      </c>
      <c r="U137" s="22" t="n">
        <v>514</v>
      </c>
      <c r="V137" s="22" t="n">
        <v>520</v>
      </c>
      <c r="W137" s="22" t="n">
        <v>460</v>
      </c>
      <c r="X137" s="22" t="n">
        <v>440</v>
      </c>
      <c r="Y137" s="22" t="n">
        <v>463</v>
      </c>
      <c r="Z137" s="22" t="n">
        <v>579</v>
      </c>
      <c r="AA137" s="22" t="n">
        <v>520</v>
      </c>
      <c r="AB137" s="22" t="n">
        <v>527</v>
      </c>
      <c r="AC137" s="22" t="n">
        <v>498</v>
      </c>
      <c r="AD137" s="22" t="n">
        <v>540</v>
      </c>
      <c r="AE137" s="22" t="n">
        <v>580</v>
      </c>
      <c r="AF137" s="22" t="n">
        <v>600</v>
      </c>
      <c r="AG137" s="22" t="n">
        <v>645</v>
      </c>
      <c r="AH137" s="22" t="n">
        <v>540</v>
      </c>
      <c r="AI137" s="22" t="n">
        <v>645</v>
      </c>
      <c r="AJ137" s="22" t="n">
        <v>680</v>
      </c>
      <c r="AK137" s="22" t="n">
        <v>564</v>
      </c>
      <c r="AL137" s="22" t="n">
        <v>589</v>
      </c>
      <c r="AM137" s="22" t="n">
        <v>465</v>
      </c>
      <c r="AN137" s="22" t="n">
        <v>451</v>
      </c>
      <c r="AO137" s="22" t="n">
        <v>396</v>
      </c>
      <c r="AP137" s="22" t="n">
        <v>399</v>
      </c>
      <c r="AQ137" s="22" t="n">
        <v>364</v>
      </c>
      <c r="AR137" s="22" t="n">
        <v>349.5</v>
      </c>
      <c r="AS137" s="22" t="n">
        <v>297.9</v>
      </c>
      <c r="AT137" s="22" t="n">
        <v>299.9</v>
      </c>
      <c r="AU137" s="22" t="n">
        <v>315</v>
      </c>
      <c r="AV137" s="22" t="n">
        <v>271</v>
      </c>
      <c r="AW137" s="22" t="n">
        <v>259</v>
      </c>
      <c r="AX137" s="22" t="n">
        <v>250</v>
      </c>
      <c r="AY137" s="22" t="n">
        <v>245</v>
      </c>
      <c r="AZ137" s="22" t="n">
        <v>257.3</v>
      </c>
      <c r="BA137" s="22" t="n">
        <v>282.2</v>
      </c>
      <c r="BB137" s="22" t="n">
        <v>290.2</v>
      </c>
      <c r="BC137" s="22" t="n">
        <v>299.7</v>
      </c>
      <c r="BD137" s="22" t="n">
        <v>308</v>
      </c>
      <c r="BE137" s="22" t="n">
        <v>314</v>
      </c>
      <c r="BF137" s="22" t="n">
        <v>283.8</v>
      </c>
      <c r="BG137" s="22" t="n">
        <v>353</v>
      </c>
      <c r="BH137" s="22" t="n">
        <v>298.4</v>
      </c>
      <c r="BI137" s="22" t="n">
        <v>247.9</v>
      </c>
      <c r="BJ137" s="22" t="n">
        <v>296.5</v>
      </c>
      <c r="BK137" s="22" t="n">
        <v>210</v>
      </c>
      <c r="BL137" s="22" t="n">
        <v>260</v>
      </c>
    </row>
    <row r="138" ht="15.95" customHeight="1" s="574">
      <c r="A138" s="81" t="inlineStr">
        <is>
          <t>3103</t>
        </is>
      </c>
      <c r="B138" s="17" t="inlineStr">
        <is>
          <t>ユニチカ</t>
        </is>
      </c>
      <c r="C138" s="655">
        <f>_xll.RssMarket("3103","始値")</f>
        <v/>
      </c>
      <c r="D138" s="656">
        <f>C138-E138</f>
        <v/>
      </c>
      <c r="E138" s="22" t="n">
        <v>1152</v>
      </c>
      <c r="F138" s="22" t="n">
        <v>1145</v>
      </c>
      <c r="G138" s="22" t="n">
        <v>1282</v>
      </c>
      <c r="H138" s="22" t="n">
        <v>1125</v>
      </c>
      <c r="I138" s="22" t="n">
        <v>1115</v>
      </c>
      <c r="J138" s="22" t="n">
        <v>1165</v>
      </c>
      <c r="K138" s="22" t="n">
        <v>1154</v>
      </c>
      <c r="L138" s="22" t="n">
        <v>1182</v>
      </c>
      <c r="M138" s="22" t="n">
        <v>1241</v>
      </c>
      <c r="N138" s="22" t="n">
        <v>1150</v>
      </c>
      <c r="O138" s="22" t="n">
        <v>1189</v>
      </c>
      <c r="P138" s="22" t="n">
        <v>1256</v>
      </c>
      <c r="Q138" s="22" t="n">
        <v>1220</v>
      </c>
      <c r="R138" s="22" t="n">
        <v>1310</v>
      </c>
      <c r="S138" s="22" t="n">
        <v>1391</v>
      </c>
      <c r="T138" s="22" t="n">
        <v>1420</v>
      </c>
      <c r="U138" s="22" t="n">
        <v>1578</v>
      </c>
      <c r="V138" s="22" t="n">
        <v>1850</v>
      </c>
      <c r="W138" s="22" t="n">
        <v>1268</v>
      </c>
      <c r="X138" s="22" t="n">
        <v>1330</v>
      </c>
      <c r="Y138" s="22" t="n">
        <v>1418</v>
      </c>
      <c r="Z138" s="22" t="n">
        <v>1370</v>
      </c>
      <c r="AA138" s="22" t="n">
        <v>1325</v>
      </c>
      <c r="AB138" s="22" t="n">
        <v>1415</v>
      </c>
      <c r="AC138" s="22" t="n">
        <v>2304</v>
      </c>
      <c r="AD138" s="22" t="n">
        <v>2200</v>
      </c>
      <c r="AE138" s="22" t="n">
        <v>2326</v>
      </c>
      <c r="AF138" s="22" t="n">
        <v>2570</v>
      </c>
      <c r="AG138" s="22" t="n">
        <v>2410</v>
      </c>
      <c r="AH138" s="22" t="n">
        <v>2500</v>
      </c>
      <c r="AI138" s="22" t="n">
        <v>2534</v>
      </c>
      <c r="AJ138" s="22" t="n">
        <v>2234</v>
      </c>
      <c r="AK138" s="22" t="n">
        <v>2564</v>
      </c>
      <c r="AL138" s="22" t="n">
        <v>2629</v>
      </c>
      <c r="AM138" s="22" t="n">
        <v>2901</v>
      </c>
      <c r="AN138" s="22" t="n">
        <v>2968</v>
      </c>
      <c r="AO138" s="22" t="n">
        <v>2725</v>
      </c>
      <c r="AP138" s="22" t="n">
        <v>4025</v>
      </c>
      <c r="AQ138" s="22" t="n">
        <v>3155</v>
      </c>
      <c r="AR138" s="22" t="n">
        <v>2731</v>
      </c>
      <c r="AS138" s="22" t="n">
        <v>2111</v>
      </c>
      <c r="AT138" s="22" t="n">
        <v>2115</v>
      </c>
      <c r="AU138" s="22" t="n">
        <v>1963</v>
      </c>
      <c r="AV138" s="22" t="n">
        <v>1424</v>
      </c>
      <c r="AW138" s="22" t="n">
        <v>1187</v>
      </c>
      <c r="AX138" s="22" t="n">
        <v>1140</v>
      </c>
      <c r="AY138" s="22" t="n">
        <v>1106</v>
      </c>
      <c r="AZ138" s="22" t="n">
        <v>1083</v>
      </c>
      <c r="BA138" s="22" t="n">
        <v>1092</v>
      </c>
      <c r="BB138" s="22" t="n">
        <v>1205</v>
      </c>
      <c r="BC138" s="22" t="n">
        <v>1240</v>
      </c>
      <c r="BD138" s="22" t="n">
        <v>1218</v>
      </c>
      <c r="BE138" s="22" t="n">
        <v>1185</v>
      </c>
      <c r="BF138" s="22" t="n">
        <v>1129</v>
      </c>
      <c r="BG138" s="22" t="n">
        <v>1115</v>
      </c>
      <c r="BH138" s="22" t="n">
        <v>1307</v>
      </c>
      <c r="BI138" s="22" t="n">
        <v>1347</v>
      </c>
      <c r="BJ138" s="22" t="n">
        <v>1428</v>
      </c>
      <c r="BK138" s="22" t="n">
        <v>1430</v>
      </c>
      <c r="BL138" s="22" t="n">
        <v>1469</v>
      </c>
    </row>
    <row r="139" ht="15.95" customHeight="1" s="574">
      <c r="A139" s="81" t="inlineStr">
        <is>
          <t>4422</t>
        </is>
      </c>
      <c r="B139" s="17" t="inlineStr">
        <is>
          <t>ＶＡＬＵＥＮＥＸ</t>
        </is>
      </c>
      <c r="C139" s="655">
        <f>_xll.RssMarket("4422","始値")</f>
        <v/>
      </c>
      <c r="D139" s="656">
        <f>C139-E139</f>
        <v/>
      </c>
      <c r="E139" s="22" t="n">
        <v>592</v>
      </c>
      <c r="F139" s="22" t="n">
        <v>629</v>
      </c>
      <c r="G139" s="22" t="n">
        <v>630</v>
      </c>
      <c r="H139" s="22" t="n">
        <v>665</v>
      </c>
      <c r="I139" s="22" t="n">
        <v>627</v>
      </c>
      <c r="J139" s="22" t="n">
        <v>634</v>
      </c>
      <c r="K139" s="22" t="n">
        <v>703</v>
      </c>
      <c r="L139" s="22" t="n">
        <v>762</v>
      </c>
      <c r="M139" s="22" t="n">
        <v>770</v>
      </c>
      <c r="N139" s="22" t="n">
        <v>690</v>
      </c>
      <c r="O139" s="22" t="n">
        <v>665</v>
      </c>
      <c r="P139" s="22" t="n">
        <v>679</v>
      </c>
      <c r="Q139" s="22" t="n">
        <v>695</v>
      </c>
      <c r="R139" s="22" t="n">
        <v>728</v>
      </c>
      <c r="S139" s="22" t="n">
        <v>734</v>
      </c>
      <c r="T139" s="22" t="n">
        <v>778</v>
      </c>
      <c r="U139" s="22" t="n">
        <v>830</v>
      </c>
      <c r="V139" s="22" t="n">
        <v>771</v>
      </c>
      <c r="W139" s="22" t="n">
        <v>780</v>
      </c>
      <c r="X139" s="22" t="n">
        <v>806</v>
      </c>
      <c r="Y139" s="22" t="n">
        <v>840</v>
      </c>
      <c r="Z139" s="22" t="n">
        <v>861</v>
      </c>
      <c r="AA139" s="22" t="n">
        <v>871</v>
      </c>
      <c r="AB139" s="22" t="n">
        <v>952</v>
      </c>
      <c r="AC139" s="22" t="n">
        <v>1040</v>
      </c>
      <c r="AD139" s="22" t="n">
        <v>990</v>
      </c>
      <c r="AE139" s="22" t="n">
        <v>1023</v>
      </c>
      <c r="AF139" s="22" t="n">
        <v>1016</v>
      </c>
      <c r="AG139" s="22" t="n">
        <v>1044</v>
      </c>
      <c r="AH139" s="22" t="n">
        <v>1026</v>
      </c>
      <c r="AI139" s="22" t="n">
        <v>1156</v>
      </c>
      <c r="AJ139" s="22" t="n">
        <v>1199</v>
      </c>
      <c r="AK139" s="22" t="n">
        <v>1258</v>
      </c>
      <c r="AL139" s="22" t="n">
        <v>1512</v>
      </c>
      <c r="AM139" s="22" t="n">
        <v>1157</v>
      </c>
      <c r="AN139" s="22" t="n">
        <v>1268</v>
      </c>
      <c r="AO139" s="22" t="n">
        <v>1400</v>
      </c>
      <c r="AP139" s="22" t="n">
        <v>1517</v>
      </c>
      <c r="AQ139" s="22" t="n">
        <v>1217</v>
      </c>
      <c r="AR139" s="22" t="n">
        <v>962</v>
      </c>
      <c r="AS139" s="22" t="n">
        <v>1020</v>
      </c>
      <c r="AT139" s="22" t="n">
        <v>1170</v>
      </c>
      <c r="AU139" s="22" t="n">
        <v>1050</v>
      </c>
      <c r="AV139" s="22" t="n">
        <v>826</v>
      </c>
      <c r="AW139" s="22" t="n">
        <v>1041</v>
      </c>
      <c r="AX139" s="22" t="n">
        <v>891</v>
      </c>
      <c r="AY139" s="22" t="n">
        <v>741</v>
      </c>
      <c r="AZ139" s="22" t="n">
        <v>641</v>
      </c>
      <c r="BA139" s="22" t="n">
        <v>493</v>
      </c>
      <c r="BB139" s="22" t="n">
        <v>478</v>
      </c>
      <c r="BC139" s="22" t="n">
        <v>473</v>
      </c>
      <c r="BD139" s="22" t="n">
        <v>464</v>
      </c>
      <c r="BE139" s="22" t="n">
        <v>502</v>
      </c>
      <c r="BF139" s="22" t="n">
        <v>491</v>
      </c>
      <c r="BG139" s="22" t="n">
        <v>548</v>
      </c>
      <c r="BH139" s="22" t="n">
        <v>592</v>
      </c>
      <c r="BI139" s="22" t="n">
        <v>490</v>
      </c>
      <c r="BJ139" s="22" t="n">
        <v>435</v>
      </c>
      <c r="BK139" s="22" t="n">
        <v>555</v>
      </c>
      <c r="BL139" s="22" t="n">
        <v>467</v>
      </c>
    </row>
    <row r="140" ht="15.95" customHeight="1" s="574">
      <c r="A140" s="81" t="inlineStr">
        <is>
          <t>6740</t>
        </is>
      </c>
      <c r="B140" s="17" t="inlineStr">
        <is>
          <t>ジャパンディスプレイ</t>
        </is>
      </c>
      <c r="C140" s="655">
        <f>_xll.RssMarket("6740","始値")</f>
        <v/>
      </c>
      <c r="D140" s="656">
        <f>C140-E140</f>
        <v/>
      </c>
      <c r="E140" s="22" t="n">
        <v>56</v>
      </c>
      <c r="F140" s="22" t="n">
        <v>50</v>
      </c>
      <c r="G140" s="22" t="n">
        <v>51</v>
      </c>
      <c r="H140" s="22" t="n">
        <v>45</v>
      </c>
      <c r="I140" s="22" t="n">
        <v>47</v>
      </c>
      <c r="J140" s="22" t="n">
        <v>52</v>
      </c>
      <c r="K140" s="22" t="n">
        <v>54</v>
      </c>
      <c r="L140" s="22" t="n">
        <v>53</v>
      </c>
      <c r="M140" s="22" t="n">
        <v>58</v>
      </c>
      <c r="N140" s="22" t="n">
        <v>54</v>
      </c>
      <c r="O140" s="22" t="n">
        <v>53</v>
      </c>
      <c r="P140" s="22" t="n">
        <v>52</v>
      </c>
      <c r="Q140" s="22" t="n">
        <v>55</v>
      </c>
      <c r="R140" s="22" t="n">
        <v>56</v>
      </c>
      <c r="S140" s="22" t="n">
        <v>51</v>
      </c>
      <c r="T140" s="22" t="n">
        <v>58</v>
      </c>
      <c r="U140" s="22" t="n">
        <v>68</v>
      </c>
      <c r="V140" s="22" t="n">
        <v>62</v>
      </c>
      <c r="W140" s="22" t="n">
        <v>61</v>
      </c>
      <c r="X140" s="22" t="n">
        <v>67</v>
      </c>
      <c r="Y140" s="22" t="n">
        <v>69</v>
      </c>
      <c r="Z140" s="22" t="n">
        <v>68</v>
      </c>
      <c r="AA140" s="22" t="n">
        <v>80</v>
      </c>
      <c r="AB140" s="22" t="n">
        <v>72</v>
      </c>
      <c r="AC140" s="22" t="n">
        <v>73</v>
      </c>
      <c r="AD140" s="22" t="n">
        <v>79</v>
      </c>
      <c r="AE140" s="22" t="n">
        <v>81</v>
      </c>
      <c r="AF140" s="22" t="n">
        <v>85</v>
      </c>
      <c r="AG140" s="22" t="n">
        <v>90</v>
      </c>
      <c r="AH140" s="22" t="n">
        <v>100</v>
      </c>
      <c r="AI140" s="22" t="n">
        <v>112</v>
      </c>
      <c r="AJ140" s="22" t="n">
        <v>93</v>
      </c>
      <c r="AK140" s="22" t="n">
        <v>100</v>
      </c>
      <c r="AL140" s="22" t="n">
        <v>95</v>
      </c>
      <c r="AM140" s="22" t="n">
        <v>101</v>
      </c>
      <c r="AN140" s="22" t="n">
        <v>107</v>
      </c>
      <c r="AO140" s="22" t="n">
        <v>123</v>
      </c>
      <c r="AP140" s="22" t="n">
        <v>114</v>
      </c>
      <c r="AQ140" s="22" t="n">
        <v>107</v>
      </c>
      <c r="AR140" s="22" t="n">
        <v>96</v>
      </c>
      <c r="AS140" s="22" t="n">
        <v>94</v>
      </c>
      <c r="AT140" s="22" t="n">
        <v>83</v>
      </c>
      <c r="AU140" s="22" t="n">
        <v>84</v>
      </c>
      <c r="AV140" s="22" t="n">
        <v>88</v>
      </c>
      <c r="AW140" s="22" t="n">
        <v>89</v>
      </c>
      <c r="AX140" s="22" t="n">
        <v>86</v>
      </c>
      <c r="AY140" s="22" t="n">
        <v>81</v>
      </c>
      <c r="AZ140" s="22" t="n">
        <v>95</v>
      </c>
      <c r="BA140" s="22" t="n">
        <v>98</v>
      </c>
      <c r="BB140" s="22" t="n">
        <v>97</v>
      </c>
      <c r="BC140" s="22" t="n">
        <v>75</v>
      </c>
      <c r="BD140" s="22" t="n">
        <v>78</v>
      </c>
      <c r="BE140" s="22" t="n">
        <v>70</v>
      </c>
      <c r="BF140" s="22" t="n">
        <v>77</v>
      </c>
      <c r="BG140" s="22" t="n">
        <v>93</v>
      </c>
      <c r="BH140" s="22" t="n">
        <v>65</v>
      </c>
      <c r="BI140" s="22" t="n">
        <v>60</v>
      </c>
      <c r="BJ140" s="22" t="n">
        <v>65</v>
      </c>
      <c r="BK140" s="22" t="n">
        <v>106</v>
      </c>
      <c r="BL140" s="22" t="n">
        <v>137</v>
      </c>
    </row>
    <row r="141" ht="15.95" customHeight="1" s="574">
      <c r="A141" s="81" t="inlineStr">
        <is>
          <t>6613</t>
        </is>
      </c>
      <c r="B141" s="17" t="inlineStr">
        <is>
          <t>ＱＤレーザ</t>
        </is>
      </c>
      <c r="C141" s="655">
        <f>_xll.RssMarket("6613","始値")</f>
        <v/>
      </c>
      <c r="D141" s="656">
        <f>C141-E141</f>
        <v/>
      </c>
      <c r="E141" s="22" t="n">
        <v>2920</v>
      </c>
      <c r="F141" s="22" t="n">
        <v>2547</v>
      </c>
      <c r="G141" s="22" t="n">
        <v>2450</v>
      </c>
      <c r="H141" s="22" t="n">
        <v>2520</v>
      </c>
      <c r="I141" s="22" t="n">
        <v>2798</v>
      </c>
      <c r="J141" s="22" t="n">
        <v>2761</v>
      </c>
      <c r="K141" s="22" t="n">
        <v>2490</v>
      </c>
      <c r="L141" s="22" t="n">
        <v>2252</v>
      </c>
      <c r="M141" s="22" t="n">
        <v>2528</v>
      </c>
      <c r="N141" s="22" t="n">
        <v>2370</v>
      </c>
      <c r="O141" s="22" t="n">
        <v>2400</v>
      </c>
      <c r="P141" s="22" t="n">
        <v>2500</v>
      </c>
      <c r="Q141" s="22" t="n">
        <v>2820</v>
      </c>
      <c r="R141" s="22" t="n">
        <v>2923</v>
      </c>
      <c r="S141" s="22" t="n">
        <v>2769</v>
      </c>
      <c r="T141" s="22" t="n">
        <v>2420</v>
      </c>
      <c r="U141" s="22" t="n">
        <v>3160</v>
      </c>
      <c r="V141" s="22" t="n">
        <v>3500</v>
      </c>
      <c r="W141" s="22" t="n">
        <v>2580</v>
      </c>
      <c r="X141" s="22" t="n">
        <v>2830</v>
      </c>
      <c r="Y141" s="22" t="n">
        <v>2426</v>
      </c>
      <c r="Z141" s="22" t="n">
        <v>2100</v>
      </c>
      <c r="AA141" s="22" t="n">
        <v>1896</v>
      </c>
      <c r="AB141" s="22" t="n">
        <v>1779</v>
      </c>
      <c r="AC141" s="22" t="n">
        <v>1613</v>
      </c>
      <c r="AD141" s="22" t="n">
        <v>1613</v>
      </c>
      <c r="AE141" s="22" t="n">
        <v>1749</v>
      </c>
      <c r="AF141" s="22" t="n">
        <v>1966</v>
      </c>
      <c r="AG141" s="22" t="n">
        <v>1500</v>
      </c>
      <c r="AH141" s="22" t="n">
        <v>1520</v>
      </c>
      <c r="AI141" s="22" t="n">
        <v>1465</v>
      </c>
      <c r="AJ141" s="22" t="n">
        <v>1449</v>
      </c>
      <c r="AK141" s="22" t="n">
        <v>1505</v>
      </c>
      <c r="AL141" s="22" t="n">
        <v>1444</v>
      </c>
      <c r="AM141" s="22" t="n">
        <v>1521</v>
      </c>
      <c r="AN141" s="22" t="n">
        <v>1531</v>
      </c>
      <c r="AO141" s="22" t="n">
        <v>1570</v>
      </c>
      <c r="AP141" s="22" t="n">
        <v>1675</v>
      </c>
      <c r="AQ141" s="22" t="n">
        <v>1290</v>
      </c>
      <c r="AR141" s="22" t="n">
        <v>1355</v>
      </c>
      <c r="AS141" s="22" t="n">
        <v>1329</v>
      </c>
      <c r="AT141" s="22" t="n">
        <v>1485</v>
      </c>
      <c r="AU141" s="22" t="n">
        <v>1299</v>
      </c>
      <c r="AV141" s="22" t="n">
        <v>1082</v>
      </c>
      <c r="AW141" s="22" t="n">
        <v>1045</v>
      </c>
      <c r="AX141" s="22" t="n">
        <v>1103</v>
      </c>
      <c r="AY141" s="22" t="n">
        <v>1095</v>
      </c>
      <c r="AZ141" s="22" t="n">
        <v>1072</v>
      </c>
      <c r="BA141" s="22" t="n">
        <v>1037</v>
      </c>
      <c r="BB141" s="22" t="n">
        <v>1111</v>
      </c>
      <c r="BC141" s="22" t="n">
        <v>1220</v>
      </c>
      <c r="BD141" s="22" t="n">
        <v>1315</v>
      </c>
      <c r="BE141" s="22" t="n">
        <v>1265</v>
      </c>
      <c r="BF141" s="22" t="n">
        <v>1080</v>
      </c>
      <c r="BG141" s="22" t="n">
        <v>1096</v>
      </c>
      <c r="BH141" s="22" t="n">
        <v>1352</v>
      </c>
      <c r="BI141" s="22" t="n">
        <v>1480</v>
      </c>
      <c r="BJ141" s="22" t="n">
        <v>1480</v>
      </c>
      <c r="BK141" s="22" t="n">
        <v>1429</v>
      </c>
      <c r="BL141" s="22" t="n">
        <v>1641</v>
      </c>
    </row>
    <row r="142" ht="15.95" customHeight="1" s="574">
      <c r="A142" s="81" t="inlineStr">
        <is>
          <t>4568</t>
        </is>
      </c>
      <c r="B142" s="17">
        <f>銘柄管理!C142</f>
        <v/>
      </c>
      <c r="C142" s="655">
        <f>_xll.RssMarket("4568","始値")</f>
        <v/>
      </c>
      <c r="D142" s="656" t="n"/>
      <c r="E142" s="22" t="n">
        <v>2525</v>
      </c>
      <c r="F142" s="22" t="n">
        <v>2610</v>
      </c>
      <c r="G142" s="22" t="n">
        <v>2653</v>
      </c>
      <c r="H142" s="659" t="n">
        <v>2550</v>
      </c>
      <c r="I142" s="22" t="n">
        <v>2546</v>
      </c>
      <c r="J142" s="22" t="n">
        <v>2541</v>
      </c>
      <c r="K142" s="22" t="n">
        <v>2507.5</v>
      </c>
      <c r="L142" s="22" t="n">
        <v>2474.5</v>
      </c>
      <c r="M142" s="22" t="n">
        <v>2490</v>
      </c>
      <c r="N142" s="22" t="n">
        <v>2529.5</v>
      </c>
      <c r="O142" s="22" t="n">
        <v>2390</v>
      </c>
      <c r="P142" s="22" t="n">
        <v>2421</v>
      </c>
      <c r="Q142" s="22" t="n">
        <v>2518.5</v>
      </c>
      <c r="R142" s="22" t="n">
        <v>2580.5</v>
      </c>
      <c r="S142" s="22" t="n">
        <v>2720</v>
      </c>
      <c r="T142" s="22" t="n">
        <v>2682</v>
      </c>
      <c r="U142" s="22" t="n">
        <v>2777.5</v>
      </c>
      <c r="V142" s="22" t="n">
        <v>2688</v>
      </c>
      <c r="W142" s="22" t="n">
        <v>2660.5</v>
      </c>
      <c r="X142" s="22" t="n">
        <v>2634</v>
      </c>
      <c r="Y142" s="22" t="n">
        <v>2614.5</v>
      </c>
      <c r="Z142" s="22" t="n">
        <v>2628</v>
      </c>
      <c r="AA142" s="22" t="n">
        <v>2586</v>
      </c>
      <c r="AB142" s="22" t="n">
        <v>2549</v>
      </c>
      <c r="AC142" s="22" t="n">
        <v>2656</v>
      </c>
      <c r="AD142" s="22" t="n">
        <v>2735.5</v>
      </c>
      <c r="AE142" s="22" t="n">
        <v>2728</v>
      </c>
      <c r="AF142" s="22" t="n">
        <v>2600</v>
      </c>
      <c r="AG142" s="22" t="n">
        <v>2650</v>
      </c>
      <c r="AH142" s="22" t="n">
        <v>2537</v>
      </c>
      <c r="AI142" s="22" t="n">
        <v>2597</v>
      </c>
      <c r="AJ142" s="22" t="n">
        <v>2689</v>
      </c>
      <c r="AK142" s="22" t="n">
        <v>2606</v>
      </c>
      <c r="AL142" s="22" t="n">
        <v>2499.5</v>
      </c>
      <c r="AM142" s="22" t="n">
        <v>2600</v>
      </c>
      <c r="AN142" s="22" t="n">
        <v>2809</v>
      </c>
      <c r="AO142" s="22" t="n">
        <v>2883</v>
      </c>
      <c r="AP142" s="22" t="n">
        <v>2965</v>
      </c>
      <c r="AQ142" s="22" t="n">
        <v>2967</v>
      </c>
      <c r="AR142" s="22" t="n">
        <v>2900</v>
      </c>
      <c r="AS142" s="22" t="n">
        <v>2897.5</v>
      </c>
      <c r="AT142" s="22" t="n">
        <v>2739.5</v>
      </c>
      <c r="AU142" s="22" t="n">
        <v>2755</v>
      </c>
      <c r="AV142" s="22" t="n">
        <v>2750</v>
      </c>
      <c r="AW142" s="22" t="n">
        <v>2776</v>
      </c>
      <c r="AX142" s="22" t="n">
        <v>2795</v>
      </c>
      <c r="AY142" s="22" t="n">
        <v>2940.5</v>
      </c>
      <c r="AZ142" s="22" t="n">
        <v>2863</v>
      </c>
      <c r="BA142" s="22" t="n">
        <v>2870</v>
      </c>
      <c r="BB142" s="22" t="n">
        <v>2890</v>
      </c>
      <c r="BC142" s="22" t="n">
        <v>2920</v>
      </c>
      <c r="BD142" s="22" t="n">
        <v>2816</v>
      </c>
      <c r="BE142" s="22" t="n">
        <v>2805.5</v>
      </c>
      <c r="BF142" s="22" t="n">
        <v>2781</v>
      </c>
      <c r="BG142" s="22" t="n">
        <v>2894.5</v>
      </c>
      <c r="BH142" s="22" t="n">
        <v>2903</v>
      </c>
      <c r="BI142" s="22" t="n">
        <v>3038</v>
      </c>
      <c r="BJ142" s="22" t="n">
        <v>2976.5</v>
      </c>
      <c r="BK142" s="22" t="n">
        <v>2903</v>
      </c>
      <c r="BL142" s="22" t="n">
        <v>2912</v>
      </c>
    </row>
    <row r="143" ht="15.95" customHeight="1" s="574">
      <c r="A143" s="81" t="inlineStr">
        <is>
          <t>6522</t>
        </is>
      </c>
      <c r="B143" s="17" t="inlineStr">
        <is>
          <t>アスタリスク</t>
        </is>
      </c>
      <c r="C143" s="655">
        <f>_xll.RssMarket("6522","始値")</f>
        <v/>
      </c>
      <c r="D143" s="656">
        <f>C143-E143</f>
        <v/>
      </c>
      <c r="E143" s="22" t="n">
        <v>954</v>
      </c>
      <c r="F143" s="22" t="n">
        <v>851</v>
      </c>
      <c r="G143" s="22" t="n">
        <v>727</v>
      </c>
      <c r="H143" s="22" t="n">
        <v>720</v>
      </c>
      <c r="I143" s="22" t="n">
        <v>719</v>
      </c>
      <c r="J143" s="22" t="n">
        <v>736</v>
      </c>
      <c r="K143" s="22" t="n">
        <v>745</v>
      </c>
      <c r="L143" s="22" t="n">
        <v>771</v>
      </c>
      <c r="M143" s="22" t="n">
        <v>742</v>
      </c>
      <c r="N143" s="22" t="n">
        <v>778</v>
      </c>
      <c r="O143" s="22" t="n">
        <v>782</v>
      </c>
      <c r="P143" s="22" t="n">
        <v>799</v>
      </c>
      <c r="Q143" s="22" t="n">
        <v>900</v>
      </c>
      <c r="R143" s="22" t="n">
        <v>792</v>
      </c>
      <c r="S143" s="22" t="n">
        <v>840</v>
      </c>
      <c r="T143" s="22" t="n">
        <v>910</v>
      </c>
      <c r="U143" s="22" t="n">
        <v>990</v>
      </c>
      <c r="V143" s="22" t="n">
        <v>920</v>
      </c>
      <c r="W143" s="22" t="n">
        <v>952</v>
      </c>
      <c r="X143" s="22" t="n">
        <v>996</v>
      </c>
      <c r="Y143" s="22" t="n">
        <v>1000</v>
      </c>
      <c r="Z143" s="22" t="n">
        <v>1038</v>
      </c>
      <c r="AA143" s="22" t="n">
        <v>1028</v>
      </c>
      <c r="AB143" s="22" t="n">
        <v>1037</v>
      </c>
      <c r="AC143" s="22" t="n">
        <v>1157</v>
      </c>
      <c r="AD143" s="22" t="n">
        <v>1233</v>
      </c>
      <c r="AE143" s="22" t="n">
        <v>1205</v>
      </c>
      <c r="AF143" s="22" t="n">
        <v>1194</v>
      </c>
      <c r="AG143" s="22" t="n">
        <v>1140</v>
      </c>
      <c r="AH143" s="22" t="n">
        <v>1150</v>
      </c>
      <c r="AI143" s="22" t="n">
        <v>1192</v>
      </c>
      <c r="AJ143" s="22" t="n">
        <v>1221</v>
      </c>
      <c r="AK143" s="22" t="n">
        <v>1265</v>
      </c>
      <c r="AL143" s="22" t="n">
        <v>1340</v>
      </c>
      <c r="AM143" s="22" t="n">
        <v>1516</v>
      </c>
      <c r="AN143" s="22" t="n">
        <v>1026</v>
      </c>
      <c r="AO143" s="22" t="n">
        <v>1068</v>
      </c>
      <c r="AP143" s="22" t="n">
        <v>1097</v>
      </c>
      <c r="AQ143" s="22" t="n">
        <v>964</v>
      </c>
      <c r="AR143" s="22" t="n">
        <v>1050</v>
      </c>
      <c r="AS143" s="22" t="n">
        <v>1019</v>
      </c>
      <c r="AT143" s="22" t="n">
        <v>995</v>
      </c>
      <c r="AU143" s="22" t="n">
        <v>987</v>
      </c>
      <c r="AV143" s="22" t="n">
        <v>1050</v>
      </c>
      <c r="AW143" s="22" t="n">
        <v>1148</v>
      </c>
      <c r="AX143" s="22" t="n">
        <v>1047</v>
      </c>
      <c r="AY143" s="22" t="n">
        <v>1121</v>
      </c>
      <c r="AZ143" s="22" t="n">
        <v>1120</v>
      </c>
      <c r="BA143" s="22" t="n">
        <v>1072</v>
      </c>
      <c r="BB143" s="22" t="n">
        <v>1073</v>
      </c>
      <c r="BC143" s="22" t="n">
        <v>1403</v>
      </c>
      <c r="BD143" s="22" t="n">
        <v>1480</v>
      </c>
      <c r="BE143" s="22" t="n">
        <v>1541</v>
      </c>
      <c r="BF143" s="22" t="n">
        <v>1517</v>
      </c>
      <c r="BG143" s="22" t="n">
        <v>988</v>
      </c>
      <c r="BH143" s="22" t="n">
        <v>1117</v>
      </c>
      <c r="BI143" s="22" t="n">
        <v>1004</v>
      </c>
      <c r="BJ143" s="22" t="n">
        <v>752</v>
      </c>
      <c r="BK143" s="22" t="n">
        <v>557</v>
      </c>
      <c r="BL143" s="22" t="n">
        <v>477</v>
      </c>
    </row>
    <row r="144" ht="15.95" customHeight="1" s="574">
      <c r="A144" s="81" t="inlineStr">
        <is>
          <t>6777</t>
        </is>
      </c>
      <c r="B144" s="17" t="inlineStr">
        <is>
          <t>ＳＡＮＴＥＣＨＯＬＤＩＮＧＳ</t>
        </is>
      </c>
      <c r="C144" s="655">
        <f>_xll.RssMarket("6777","始値")</f>
        <v/>
      </c>
      <c r="D144" s="656">
        <f>C144-E144</f>
        <v/>
      </c>
      <c r="E144" s="22" t="n">
        <v>29410</v>
      </c>
      <c r="F144" s="22" t="n">
        <v>28900</v>
      </c>
      <c r="G144" s="22" t="n">
        <v>27490</v>
      </c>
      <c r="H144" s="22" t="n">
        <v>26230</v>
      </c>
      <c r="I144" s="22" t="n">
        <v>26050</v>
      </c>
      <c r="J144" s="22" t="n">
        <v>25220</v>
      </c>
      <c r="K144" s="22" t="n">
        <v>23800</v>
      </c>
      <c r="L144" s="22" t="n">
        <v>22640</v>
      </c>
      <c r="M144" s="22" t="n">
        <v>25350</v>
      </c>
      <c r="N144" s="22" t="n">
        <v>22670</v>
      </c>
      <c r="O144" s="22" t="n">
        <v>25470</v>
      </c>
      <c r="P144" s="22" t="n">
        <v>25800</v>
      </c>
      <c r="Q144" s="22" t="n">
        <v>28450</v>
      </c>
      <c r="R144" s="22" t="n">
        <v>25560</v>
      </c>
      <c r="S144" s="22" t="n">
        <v>24780</v>
      </c>
      <c r="T144" s="22" t="n">
        <v>24910</v>
      </c>
      <c r="U144" s="22" t="n">
        <v>26650</v>
      </c>
      <c r="V144" s="22" t="n">
        <v>29980</v>
      </c>
      <c r="W144" s="22" t="n">
        <v>27020</v>
      </c>
      <c r="X144" s="22" t="n">
        <v>27990</v>
      </c>
      <c r="Y144" s="22" t="n">
        <v>27290</v>
      </c>
      <c r="Z144" s="22" t="n">
        <v>31600</v>
      </c>
      <c r="AA144" s="22" t="n">
        <v>32350</v>
      </c>
      <c r="AB144" s="22" t="n">
        <v>30800</v>
      </c>
      <c r="AC144" s="22" t="n">
        <v>33500</v>
      </c>
      <c r="AD144" s="22" t="n">
        <v>29810</v>
      </c>
      <c r="AE144" s="22" t="n">
        <v>29230</v>
      </c>
      <c r="AF144" s="22" t="n">
        <v>28800</v>
      </c>
      <c r="AG144" s="22" t="n">
        <v>27600</v>
      </c>
      <c r="AH144" s="22" t="n">
        <v>29550</v>
      </c>
      <c r="AI144" s="22" t="n">
        <v>27940</v>
      </c>
      <c r="AJ144" s="22" t="n">
        <v>28360</v>
      </c>
      <c r="AK144" s="22" t="n">
        <v>28620</v>
      </c>
      <c r="AL144" s="22" t="n">
        <v>29000</v>
      </c>
      <c r="AM144" s="22" t="n">
        <v>30250</v>
      </c>
      <c r="AN144" s="22" t="n">
        <v>29950</v>
      </c>
      <c r="AO144" s="22" t="n">
        <v>29550</v>
      </c>
      <c r="AP144" s="22" t="n">
        <v>30300</v>
      </c>
      <c r="AQ144" s="22" t="n">
        <v>26790</v>
      </c>
      <c r="AR144" s="22" t="n">
        <v>24470</v>
      </c>
      <c r="AS144" s="22" t="n">
        <v>24850</v>
      </c>
      <c r="AT144" s="22" t="n">
        <v>25260</v>
      </c>
      <c r="AU144" s="22" t="n">
        <v>25010</v>
      </c>
      <c r="AV144" s="22" t="n">
        <v>21700</v>
      </c>
      <c r="AW144" s="22" t="n">
        <v>20870</v>
      </c>
      <c r="AX144" s="22" t="n">
        <v>21300</v>
      </c>
      <c r="AY144" s="22" t="n">
        <v>20980</v>
      </c>
      <c r="AZ144" s="22" t="n">
        <v>19690</v>
      </c>
      <c r="BA144" s="22" t="n">
        <v>19200</v>
      </c>
      <c r="BB144" s="22" t="n">
        <v>18790</v>
      </c>
      <c r="BC144" s="22" t="n">
        <v>18380</v>
      </c>
      <c r="BD144" s="22" t="n">
        <v>18000</v>
      </c>
      <c r="BE144" s="22" t="n">
        <v>16390</v>
      </c>
      <c r="BF144" s="22" t="n">
        <v>17580</v>
      </c>
      <c r="BG144" s="22" t="n">
        <v>18310</v>
      </c>
      <c r="BH144" s="22" t="n">
        <v>19940</v>
      </c>
      <c r="BI144" s="22" t="n">
        <v>20330</v>
      </c>
      <c r="BJ144" s="22" t="n">
        <v>19500</v>
      </c>
      <c r="BK144" s="22" t="n">
        <v>18950</v>
      </c>
      <c r="BL144" s="22" t="n">
        <v>20060</v>
      </c>
    </row>
    <row r="145" ht="15.95" customHeight="1" s="574">
      <c r="A145" s="81" t="inlineStr">
        <is>
          <t>6787</t>
        </is>
      </c>
      <c r="B145" s="17" t="inlineStr">
        <is>
          <t>メイコー</t>
        </is>
      </c>
      <c r="C145" s="655">
        <f>_xll.RssMarket("6787","始値")</f>
        <v/>
      </c>
      <c r="D145" s="656">
        <f>C145-E145</f>
        <v/>
      </c>
      <c r="E145" s="22" t="n">
        <v>39750</v>
      </c>
      <c r="F145" s="22" t="n">
        <v>38400</v>
      </c>
      <c r="G145" s="22" t="n">
        <v>35300</v>
      </c>
      <c r="H145" s="22" t="n">
        <v>33850</v>
      </c>
      <c r="I145" s="22" t="n">
        <v>30600</v>
      </c>
      <c r="J145" s="22" t="n">
        <v>32400</v>
      </c>
      <c r="K145" s="22" t="n">
        <v>31300</v>
      </c>
      <c r="L145" s="22" t="n">
        <v>30000</v>
      </c>
      <c r="M145" s="22" t="n">
        <v>32200</v>
      </c>
      <c r="N145" s="22" t="n">
        <v>32800</v>
      </c>
      <c r="O145" s="22" t="n">
        <v>36150</v>
      </c>
      <c r="P145" s="22" t="n">
        <v>36400</v>
      </c>
      <c r="Q145" s="22" t="n">
        <v>39850</v>
      </c>
      <c r="R145" s="22" t="n">
        <v>39500</v>
      </c>
      <c r="S145" s="22" t="n">
        <v>38300</v>
      </c>
      <c r="T145" s="22" t="n">
        <v>37900</v>
      </c>
      <c r="U145" s="22" t="n">
        <v>40450</v>
      </c>
      <c r="V145" s="22" t="n">
        <v>44150</v>
      </c>
      <c r="W145" s="22" t="n">
        <v>40750</v>
      </c>
      <c r="X145" s="22" t="n">
        <v>37250</v>
      </c>
      <c r="Y145" s="22" t="n">
        <v>35600</v>
      </c>
      <c r="Z145" s="22" t="n">
        <v>40000</v>
      </c>
      <c r="AA145" s="22" t="n">
        <v>36900</v>
      </c>
      <c r="AB145" s="22" t="n">
        <v>40000</v>
      </c>
      <c r="AC145" s="22" t="n">
        <v>38650</v>
      </c>
      <c r="AD145" s="22" t="n">
        <v>29490</v>
      </c>
      <c r="AE145" s="22" t="n">
        <v>32200</v>
      </c>
      <c r="AF145" s="22" t="n">
        <v>33650</v>
      </c>
      <c r="AG145" s="22" t="n">
        <v>30700</v>
      </c>
      <c r="AH145" s="22" t="n">
        <v>31500</v>
      </c>
      <c r="AI145" s="22" t="n">
        <v>30500</v>
      </c>
      <c r="AJ145" s="22" t="n">
        <v>31300</v>
      </c>
      <c r="AK145" s="22" t="n">
        <v>30900</v>
      </c>
      <c r="AL145" s="22" t="n">
        <v>30400</v>
      </c>
      <c r="AM145" s="22" t="n">
        <v>28780</v>
      </c>
      <c r="AN145" s="22" t="n">
        <v>29390</v>
      </c>
      <c r="AO145" s="22" t="n">
        <v>28070</v>
      </c>
      <c r="AP145" s="22" t="n">
        <v>27340</v>
      </c>
      <c r="AQ145" s="22" t="n">
        <v>28150</v>
      </c>
      <c r="AR145" s="22" t="n">
        <v>29440</v>
      </c>
      <c r="AS145" s="22" t="n">
        <v>28370</v>
      </c>
      <c r="AT145" s="22" t="n">
        <v>29870</v>
      </c>
      <c r="AU145" s="22" t="n">
        <v>27650</v>
      </c>
      <c r="AV145" s="22" t="n">
        <v>26130</v>
      </c>
      <c r="AW145" s="22" t="n">
        <v>27510</v>
      </c>
      <c r="AX145" s="22" t="n">
        <v>25860</v>
      </c>
      <c r="AY145" s="22" t="n">
        <v>26500</v>
      </c>
      <c r="AZ145" s="22" t="n">
        <v>25200</v>
      </c>
      <c r="BA145" s="22" t="n">
        <v>26170</v>
      </c>
      <c r="BB145" s="22" t="n">
        <v>26690</v>
      </c>
      <c r="BC145" s="22" t="n">
        <v>28030</v>
      </c>
      <c r="BD145" s="22" t="n">
        <v>26590</v>
      </c>
      <c r="BE145" s="22" t="n">
        <v>26220</v>
      </c>
      <c r="BF145" s="22" t="n">
        <v>27370</v>
      </c>
      <c r="BG145" s="22" t="n">
        <v>27340</v>
      </c>
      <c r="BH145" s="22" t="n">
        <v>28780</v>
      </c>
      <c r="BI145" s="22" t="n">
        <v>26900</v>
      </c>
      <c r="BJ145" s="22" t="n">
        <v>26710</v>
      </c>
      <c r="BK145" s="22" t="n">
        <v>24710</v>
      </c>
      <c r="BL145" s="22" t="n">
        <v>25680</v>
      </c>
    </row>
    <row r="146" ht="15.95" customHeight="1" s="574">
      <c r="A146" s="81" t="inlineStr">
        <is>
          <t>4888</t>
        </is>
      </c>
      <c r="B146" s="17" t="inlineStr">
        <is>
          <t>ステラファーマ</t>
        </is>
      </c>
      <c r="C146" s="655">
        <f>_xll.RssMarket("4888","始値")</f>
        <v/>
      </c>
      <c r="D146" s="656">
        <f>C146-E146</f>
        <v/>
      </c>
      <c r="E146" s="22" t="n">
        <v>350</v>
      </c>
      <c r="F146" s="22" t="n">
        <v>390</v>
      </c>
      <c r="G146" s="22" t="n">
        <v>348</v>
      </c>
      <c r="H146" s="22" t="n">
        <v>333</v>
      </c>
      <c r="I146" s="22" t="n">
        <v>335</v>
      </c>
      <c r="J146" s="22" t="n">
        <v>333</v>
      </c>
      <c r="K146" s="22" t="n">
        <v>321</v>
      </c>
      <c r="L146" s="22" t="n">
        <v>299</v>
      </c>
      <c r="M146" s="22" t="n">
        <v>320</v>
      </c>
      <c r="N146" s="22" t="n">
        <v>288</v>
      </c>
      <c r="O146" s="22" t="n">
        <v>341</v>
      </c>
      <c r="P146" s="22" t="n">
        <v>350</v>
      </c>
      <c r="Q146" s="22" t="n">
        <v>332</v>
      </c>
      <c r="R146" s="22" t="n">
        <v>381</v>
      </c>
      <c r="S146" s="22" t="n">
        <v>388</v>
      </c>
      <c r="T146" s="22" t="n">
        <v>415</v>
      </c>
      <c r="U146" s="22" t="n">
        <v>445</v>
      </c>
      <c r="V146" s="22" t="n">
        <v>444</v>
      </c>
      <c r="W146" s="22" t="n">
        <v>419</v>
      </c>
      <c r="X146" s="22" t="n">
        <v>426</v>
      </c>
      <c r="Y146" s="22" t="n">
        <v>441</v>
      </c>
      <c r="Z146" s="22" t="n">
        <v>431</v>
      </c>
      <c r="AA146" s="22" t="n">
        <v>419</v>
      </c>
      <c r="AB146" s="22" t="n">
        <v>439</v>
      </c>
      <c r="AC146" s="22" t="n">
        <v>470</v>
      </c>
      <c r="AD146" s="22" t="n">
        <v>495</v>
      </c>
      <c r="AE146" s="22" t="n">
        <v>531</v>
      </c>
      <c r="AF146" s="22" t="n">
        <v>522</v>
      </c>
      <c r="AG146" s="22" t="n">
        <v>538</v>
      </c>
      <c r="AH146" s="22" t="n">
        <v>524</v>
      </c>
      <c r="AI146" s="22" t="n">
        <v>516</v>
      </c>
      <c r="AJ146" s="22" t="n">
        <v>535</v>
      </c>
      <c r="AK146" s="22" t="n">
        <v>553</v>
      </c>
      <c r="AL146" s="22" t="n">
        <v>558</v>
      </c>
      <c r="AM146" s="22" t="n">
        <v>571</v>
      </c>
      <c r="AN146" s="22" t="n">
        <v>616</v>
      </c>
      <c r="AO146" s="22" t="n">
        <v>716</v>
      </c>
      <c r="AP146" s="22" t="n">
        <v>713</v>
      </c>
      <c r="AQ146" s="22" t="n">
        <v>740</v>
      </c>
      <c r="AR146" s="22" t="n">
        <v>670</v>
      </c>
      <c r="AS146" s="22" t="n">
        <v>697</v>
      </c>
      <c r="AT146" s="22" t="n">
        <v>720</v>
      </c>
      <c r="AU146" s="22" t="n">
        <v>690</v>
      </c>
      <c r="AV146" s="22" t="n">
        <v>708</v>
      </c>
      <c r="AW146" s="22" t="n">
        <v>680</v>
      </c>
      <c r="AX146" s="22" t="n">
        <v>645</v>
      </c>
      <c r="AY146" s="22" t="n">
        <v>584</v>
      </c>
      <c r="AZ146" s="22" t="n">
        <v>589</v>
      </c>
      <c r="BA146" s="22" t="n">
        <v>677</v>
      </c>
      <c r="BB146" s="22" t="n">
        <v>697</v>
      </c>
      <c r="BC146" s="22" t="n">
        <v>720</v>
      </c>
      <c r="BD146" s="22" t="n">
        <v>759</v>
      </c>
      <c r="BE146" s="22" t="n">
        <v>836</v>
      </c>
      <c r="BF146" s="22" t="n">
        <v>765</v>
      </c>
      <c r="BG146" s="22" t="n">
        <v>851</v>
      </c>
      <c r="BH146" s="22" t="n">
        <v>825</v>
      </c>
      <c r="BI146" s="22" t="n">
        <v>765</v>
      </c>
      <c r="BJ146" s="22" t="n">
        <v>624</v>
      </c>
      <c r="BK146" s="22" t="n">
        <v>550</v>
      </c>
      <c r="BL146" s="22" t="n">
        <v>475</v>
      </c>
    </row>
    <row r="147" ht="15.95" customHeight="1" s="574">
      <c r="A147" s="81" t="inlineStr">
        <is>
          <t>6387</t>
        </is>
      </c>
      <c r="B147" s="17" t="inlineStr">
        <is>
          <t>サムコ</t>
        </is>
      </c>
      <c r="C147" s="655">
        <f>_xll.RssMarket("6387","始値")</f>
        <v/>
      </c>
      <c r="D147" s="656">
        <f>C147-E147</f>
        <v/>
      </c>
      <c r="E147" s="22" t="n">
        <v>14610</v>
      </c>
      <c r="F147" s="22" t="n">
        <v>15640</v>
      </c>
      <c r="G147" s="22" t="n">
        <v>16000</v>
      </c>
      <c r="H147" s="22" t="n">
        <v>15420</v>
      </c>
      <c r="I147" s="22" t="n">
        <v>15600</v>
      </c>
      <c r="J147" s="22" t="n">
        <v>14790</v>
      </c>
      <c r="K147" s="22" t="n">
        <v>12390</v>
      </c>
      <c r="L147" s="22" t="n">
        <v>11160</v>
      </c>
      <c r="M147" s="22" t="n">
        <v>12060</v>
      </c>
      <c r="N147" s="22" t="n">
        <v>11690</v>
      </c>
      <c r="O147" s="22" t="n">
        <v>12280</v>
      </c>
      <c r="P147" s="22" t="n">
        <v>12200</v>
      </c>
      <c r="Q147" s="22" t="n">
        <v>12650</v>
      </c>
      <c r="R147" s="22" t="n">
        <v>11050</v>
      </c>
      <c r="S147" s="22" t="n">
        <v>10590</v>
      </c>
      <c r="T147" s="22" t="n">
        <v>10190</v>
      </c>
      <c r="U147" s="22" t="n">
        <v>11500</v>
      </c>
      <c r="V147" s="22" t="n">
        <v>12240</v>
      </c>
      <c r="W147" s="22" t="n">
        <v>11060</v>
      </c>
      <c r="X147" s="22" t="n">
        <v>11200</v>
      </c>
      <c r="Y147" s="22" t="n">
        <v>10810</v>
      </c>
      <c r="Z147" s="22" t="n">
        <v>12120</v>
      </c>
      <c r="AA147" s="22" t="n">
        <v>12630</v>
      </c>
      <c r="AB147" s="22" t="n">
        <v>13450</v>
      </c>
      <c r="AC147" s="22" t="n">
        <v>13470</v>
      </c>
      <c r="AD147" s="22" t="n">
        <v>12340</v>
      </c>
      <c r="AE147" s="22" t="n">
        <v>13170</v>
      </c>
      <c r="AF147" s="22" t="n">
        <v>14000</v>
      </c>
      <c r="AG147" s="22" t="n">
        <v>13770</v>
      </c>
      <c r="AH147" s="22" t="n">
        <v>12670</v>
      </c>
      <c r="AI147" s="22" t="n">
        <v>11570</v>
      </c>
      <c r="AJ147" s="22" t="n">
        <v>11150</v>
      </c>
      <c r="AK147" s="22" t="n">
        <v>11000</v>
      </c>
      <c r="AL147" s="22" t="n">
        <v>10930</v>
      </c>
      <c r="AM147" s="22" t="n">
        <v>11040</v>
      </c>
      <c r="AN147" s="22" t="n">
        <v>10490</v>
      </c>
      <c r="AO147" s="22" t="n">
        <v>9370</v>
      </c>
      <c r="AP147" s="22" t="n">
        <v>9600</v>
      </c>
      <c r="AQ147" s="22" t="n">
        <v>9560</v>
      </c>
      <c r="AR147" s="22" t="n">
        <v>9880</v>
      </c>
      <c r="AS147" s="22" t="n">
        <v>9880</v>
      </c>
      <c r="AT147" s="22" t="n">
        <v>10360</v>
      </c>
      <c r="AU147" s="22" t="n">
        <v>10290</v>
      </c>
      <c r="AV147" s="22" t="n">
        <v>9110</v>
      </c>
      <c r="AW147" s="22" t="n">
        <v>9310</v>
      </c>
      <c r="AX147" s="22" t="n">
        <v>9110</v>
      </c>
      <c r="AY147" s="22" t="n">
        <v>8810</v>
      </c>
      <c r="AZ147" s="22" t="n">
        <v>8520</v>
      </c>
      <c r="BA147" s="22" t="n">
        <v>8300</v>
      </c>
      <c r="BB147" s="22" t="n">
        <v>8400</v>
      </c>
      <c r="BC147" s="22" t="n">
        <v>8870</v>
      </c>
      <c r="BD147" s="22" t="n">
        <v>8600</v>
      </c>
      <c r="BE147" s="22" t="n">
        <v>7730</v>
      </c>
      <c r="BF147" s="22" t="n">
        <v>8090</v>
      </c>
      <c r="BG147" s="22" t="n">
        <v>8650</v>
      </c>
      <c r="BH147" s="22" t="n">
        <v>8340</v>
      </c>
      <c r="BI147" s="22" t="n">
        <v>8280</v>
      </c>
      <c r="BJ147" s="22" t="n">
        <v>7800</v>
      </c>
      <c r="BK147" s="22" t="n">
        <v>7390</v>
      </c>
      <c r="BL147" s="22" t="n">
        <v>7520</v>
      </c>
    </row>
    <row r="148" ht="15.95" customHeight="1" s="574">
      <c r="A148" s="81" t="inlineStr">
        <is>
          <t>6838</t>
        </is>
      </c>
      <c r="B148" s="17" t="inlineStr">
        <is>
          <t>多摩川ホールディングス</t>
        </is>
      </c>
      <c r="C148" s="655">
        <f>_xll.RssMarket("6838","始値")</f>
        <v/>
      </c>
      <c r="D148" s="656">
        <f>C148-E148</f>
        <v/>
      </c>
      <c r="E148" s="22" t="n">
        <v>2057</v>
      </c>
      <c r="F148" s="22" t="n">
        <v>2165</v>
      </c>
      <c r="G148" s="22" t="n">
        <v>2131</v>
      </c>
      <c r="H148" s="22" t="n">
        <v>2230</v>
      </c>
      <c r="I148" s="22" t="n">
        <v>2280</v>
      </c>
      <c r="J148" s="22" t="n">
        <v>1850</v>
      </c>
      <c r="K148" s="22" t="n">
        <v>1821</v>
      </c>
      <c r="L148" s="22" t="n">
        <v>1716</v>
      </c>
      <c r="M148" s="22" t="n">
        <v>1933</v>
      </c>
      <c r="N148" s="22" t="n">
        <v>2239</v>
      </c>
      <c r="O148" s="22" t="n">
        <v>2346</v>
      </c>
      <c r="P148" s="22" t="n">
        <v>2307</v>
      </c>
      <c r="Q148" s="22" t="n">
        <v>2300</v>
      </c>
      <c r="R148" s="22" t="n">
        <v>2287</v>
      </c>
      <c r="S148" s="22" t="n">
        <v>2260</v>
      </c>
      <c r="T148" s="22" t="n">
        <v>2175</v>
      </c>
      <c r="U148" s="22" t="n">
        <v>2298</v>
      </c>
      <c r="V148" s="22" t="n">
        <v>2125</v>
      </c>
      <c r="W148" s="22" t="n">
        <v>1957</v>
      </c>
      <c r="X148" s="22" t="n">
        <v>1960</v>
      </c>
      <c r="Y148" s="22" t="n">
        <v>2010</v>
      </c>
      <c r="Z148" s="22" t="n">
        <v>2183</v>
      </c>
      <c r="AA148" s="22" t="n">
        <v>2050</v>
      </c>
      <c r="AB148" s="22" t="n">
        <v>1934</v>
      </c>
      <c r="AC148" s="22" t="n">
        <v>1953</v>
      </c>
      <c r="AD148" s="22" t="n">
        <v>1970</v>
      </c>
      <c r="AE148" s="22" t="n">
        <v>2127</v>
      </c>
      <c r="AF148" s="22" t="n">
        <v>1970</v>
      </c>
      <c r="AG148" s="22" t="n">
        <v>1750</v>
      </c>
      <c r="AH148" s="22" t="n">
        <v>1702</v>
      </c>
      <c r="AI148" s="22" t="n">
        <v>1684</v>
      </c>
      <c r="AJ148" s="22" t="n">
        <v>1602</v>
      </c>
      <c r="AK148" s="22" t="n">
        <v>1647</v>
      </c>
      <c r="AL148" s="22" t="n">
        <v>1697</v>
      </c>
      <c r="AM148" s="22" t="n">
        <v>1799</v>
      </c>
      <c r="AN148" s="22" t="n">
        <v>1866</v>
      </c>
      <c r="AO148" s="22" t="n">
        <v>1790</v>
      </c>
      <c r="AP148" s="22" t="n">
        <v>1710</v>
      </c>
      <c r="AQ148" s="22" t="n">
        <v>1615</v>
      </c>
      <c r="AR148" s="22" t="n">
        <v>1408</v>
      </c>
      <c r="AS148" s="22" t="n">
        <v>1271</v>
      </c>
      <c r="AT148" s="22" t="n">
        <v>1310</v>
      </c>
      <c r="AU148" s="22" t="n">
        <v>1317</v>
      </c>
      <c r="AV148" s="22" t="n">
        <v>1265</v>
      </c>
      <c r="AW148" s="22" t="n">
        <v>1359</v>
      </c>
      <c r="AX148" s="22" t="n">
        <v>1398</v>
      </c>
      <c r="AY148" s="22" t="n">
        <v>1400</v>
      </c>
      <c r="AZ148" s="22" t="n">
        <v>1361</v>
      </c>
      <c r="BA148" s="22" t="n">
        <v>1391</v>
      </c>
      <c r="BB148" s="22" t="n">
        <v>1238</v>
      </c>
      <c r="BC148" s="22" t="n">
        <v>1289</v>
      </c>
      <c r="BD148" s="22" t="n">
        <v>1252</v>
      </c>
      <c r="BE148" s="22" t="n">
        <v>1251</v>
      </c>
      <c r="BF148" s="22" t="n">
        <v>1236</v>
      </c>
      <c r="BG148" s="22" t="n">
        <v>1284</v>
      </c>
      <c r="BH148" s="22" t="n">
        <v>1360</v>
      </c>
      <c r="BI148" s="22" t="n">
        <v>1332</v>
      </c>
      <c r="BJ148" s="22" t="n">
        <v>1373</v>
      </c>
      <c r="BK148" s="22" t="n">
        <v>1371</v>
      </c>
      <c r="BL148" s="22" t="n">
        <v>1618</v>
      </c>
    </row>
    <row r="149" ht="15.95" customHeight="1" s="574">
      <c r="A149" s="81" t="inlineStr">
        <is>
          <t>7375</t>
        </is>
      </c>
      <c r="B149" s="17" t="inlineStr">
        <is>
          <t>リファインバースグループ</t>
        </is>
      </c>
      <c r="C149" s="655">
        <f>_xll.RssMarket("7375","始値")</f>
        <v/>
      </c>
      <c r="D149" s="656">
        <f>C149-E149</f>
        <v/>
      </c>
      <c r="E149" s="22" t="n">
        <v>1380</v>
      </c>
      <c r="F149" s="22" t="n">
        <v>1355</v>
      </c>
      <c r="G149" s="22" t="n">
        <v>1321</v>
      </c>
      <c r="H149" s="22" t="n">
        <v>1312</v>
      </c>
      <c r="I149" s="22" t="n">
        <v>1267</v>
      </c>
      <c r="J149" s="22" t="n">
        <v>1269</v>
      </c>
      <c r="K149" s="22" t="n">
        <v>1360</v>
      </c>
      <c r="L149" s="22" t="n">
        <v>1370</v>
      </c>
      <c r="M149" s="22" t="n">
        <v>1406</v>
      </c>
      <c r="N149" s="22" t="n">
        <v>1378</v>
      </c>
      <c r="O149" s="22" t="n">
        <v>1447</v>
      </c>
      <c r="P149" s="22" t="n">
        <v>1431</v>
      </c>
      <c r="Q149" s="22" t="n">
        <v>1463</v>
      </c>
      <c r="R149" s="22" t="n">
        <v>1548</v>
      </c>
      <c r="S149" s="22" t="n">
        <v>1602</v>
      </c>
      <c r="T149" s="22" t="n">
        <v>1675</v>
      </c>
      <c r="U149" s="22" t="n">
        <v>2000</v>
      </c>
      <c r="V149" s="22" t="n">
        <v>1755</v>
      </c>
      <c r="W149" s="22" t="n">
        <v>1860</v>
      </c>
      <c r="X149" s="22" t="n">
        <v>1918</v>
      </c>
      <c r="Y149" s="22" t="n">
        <v>1980</v>
      </c>
      <c r="Z149" s="22" t="n">
        <v>1820</v>
      </c>
      <c r="AA149" s="22" t="n">
        <v>1507</v>
      </c>
      <c r="AB149" s="22" t="n">
        <v>1592</v>
      </c>
      <c r="AC149" s="22" t="n">
        <v>1698</v>
      </c>
      <c r="AD149" s="22" t="n">
        <v>1680</v>
      </c>
      <c r="AE149" s="22" t="n">
        <v>1719</v>
      </c>
      <c r="AF149" s="22" t="n">
        <v>1841</v>
      </c>
      <c r="AG149" s="22" t="n">
        <v>1785</v>
      </c>
      <c r="AH149" s="22" t="n">
        <v>1965</v>
      </c>
      <c r="AI149" s="22" t="n">
        <v>2222</v>
      </c>
      <c r="AJ149" s="22" t="n">
        <v>2011</v>
      </c>
      <c r="AK149" s="22" t="n">
        <v>2005</v>
      </c>
      <c r="AL149" s="22" t="n">
        <v>2164</v>
      </c>
      <c r="AM149" s="22" t="n">
        <v>2215</v>
      </c>
      <c r="AN149" s="22" t="n">
        <v>2450</v>
      </c>
      <c r="AO149" s="22" t="n">
        <v>2172</v>
      </c>
      <c r="AP149" s="22" t="n">
        <v>2056</v>
      </c>
      <c r="AQ149" s="22" t="n">
        <v>2063</v>
      </c>
      <c r="AR149" s="22" t="n">
        <v>2077</v>
      </c>
      <c r="AS149" s="22" t="n">
        <v>2020</v>
      </c>
      <c r="AT149" s="22" t="n">
        <v>1724</v>
      </c>
      <c r="AU149" s="22" t="n">
        <v>1464</v>
      </c>
      <c r="AV149" s="22" t="n">
        <v>1480</v>
      </c>
      <c r="AW149" s="22" t="n">
        <v>1573</v>
      </c>
      <c r="AX149" s="22" t="n">
        <v>1533</v>
      </c>
      <c r="AY149" s="22" t="n">
        <v>1940</v>
      </c>
      <c r="AZ149" s="22" t="n">
        <v>1610</v>
      </c>
      <c r="BA149" s="22" t="n">
        <v>1628</v>
      </c>
      <c r="BB149" s="22" t="n">
        <v>1332</v>
      </c>
      <c r="BC149" s="22" t="n">
        <v>1110</v>
      </c>
      <c r="BD149" s="22" t="n">
        <v>1383</v>
      </c>
      <c r="BE149" s="22" t="n">
        <v>1339</v>
      </c>
      <c r="BF149" s="22" t="n">
        <v>1417</v>
      </c>
      <c r="BG149" s="22" t="n">
        <v>1090</v>
      </c>
      <c r="BH149" s="22" t="n">
        <v>1066</v>
      </c>
      <c r="BI149" s="22" t="n">
        <v>1101</v>
      </c>
      <c r="BJ149" s="22" t="n">
        <v>1181</v>
      </c>
      <c r="BK149" s="22" t="n">
        <v>1053</v>
      </c>
      <c r="BL149" s="22" t="n">
        <v>1061</v>
      </c>
    </row>
    <row r="150" ht="15.95" customHeight="1" s="574">
      <c r="A150" s="81" t="inlineStr">
        <is>
          <t>4307</t>
        </is>
      </c>
      <c r="B150" s="17" t="inlineStr">
        <is>
          <t>野村総合研究所</t>
        </is>
      </c>
      <c r="C150" s="655">
        <f>_xll.RssMarket("4307","始値")</f>
        <v/>
      </c>
      <c r="D150" s="656">
        <f>C150-E150</f>
        <v/>
      </c>
      <c r="E150" s="22" t="n">
        <v>4311</v>
      </c>
      <c r="F150" s="22" t="n">
        <v>4521</v>
      </c>
      <c r="G150" s="22" t="n">
        <v>4593</v>
      </c>
      <c r="H150" s="22" t="n">
        <v>4550</v>
      </c>
      <c r="I150" s="22" t="n">
        <v>4500</v>
      </c>
      <c r="J150" s="22" t="n">
        <v>4619</v>
      </c>
      <c r="K150" s="22" t="n">
        <v>4595</v>
      </c>
      <c r="L150" s="22" t="n">
        <v>4625</v>
      </c>
      <c r="M150" s="22" t="n">
        <v>4622</v>
      </c>
      <c r="N150" s="22" t="n">
        <v>4812</v>
      </c>
      <c r="O150" s="22" t="n">
        <v>4799</v>
      </c>
      <c r="P150" s="22" t="n">
        <v>4696</v>
      </c>
      <c r="Q150" s="22" t="n">
        <v>4947</v>
      </c>
      <c r="R150" s="22" t="n">
        <v>5324</v>
      </c>
      <c r="S150" s="22" t="n">
        <v>5000</v>
      </c>
      <c r="T150" s="22" t="n">
        <v>4745</v>
      </c>
      <c r="U150" s="22" t="n">
        <v>4570</v>
      </c>
      <c r="V150" s="22" t="n">
        <v>4685</v>
      </c>
      <c r="W150" s="22" t="n">
        <v>4640</v>
      </c>
      <c r="X150" s="22" t="n">
        <v>4735</v>
      </c>
      <c r="Y150" s="22" t="n">
        <v>4838</v>
      </c>
      <c r="Z150" s="22" t="n">
        <v>4684</v>
      </c>
      <c r="AA150" s="22" t="n">
        <v>4432</v>
      </c>
      <c r="AB150" s="22" t="n">
        <v>4215</v>
      </c>
      <c r="AC150" s="22" t="n">
        <v>4270</v>
      </c>
      <c r="AD150" s="22" t="n">
        <v>4230</v>
      </c>
      <c r="AE150" s="22" t="n">
        <v>4215</v>
      </c>
      <c r="AF150" s="22" t="n">
        <v>4281</v>
      </c>
      <c r="AG150" s="22" t="n">
        <v>4347</v>
      </c>
      <c r="AH150" s="22" t="n">
        <v>4113</v>
      </c>
      <c r="AI150" s="22" t="n">
        <v>4142</v>
      </c>
      <c r="AJ150" s="22" t="n">
        <v>4215</v>
      </c>
      <c r="AK150" s="22" t="n">
        <v>4479</v>
      </c>
      <c r="AL150" s="22" t="n">
        <v>4583</v>
      </c>
      <c r="AM150" s="22" t="n">
        <v>5000</v>
      </c>
      <c r="AN150" s="22" t="n">
        <v>5123</v>
      </c>
      <c r="AO150" s="22" t="n">
        <v>5098</v>
      </c>
      <c r="AP150" s="22" t="n">
        <v>5008</v>
      </c>
      <c r="AQ150" s="22" t="n">
        <v>4997</v>
      </c>
      <c r="AR150" s="22" t="n">
        <v>4989</v>
      </c>
      <c r="AS150" s="22" t="n">
        <v>4994</v>
      </c>
      <c r="AT150" s="22" t="n">
        <v>4765</v>
      </c>
      <c r="AU150" s="22" t="n">
        <v>4632</v>
      </c>
      <c r="AV150" s="22" t="n">
        <v>4390</v>
      </c>
      <c r="AW150" s="22" t="n">
        <v>4445</v>
      </c>
      <c r="AX150" s="22" t="n">
        <v>4505</v>
      </c>
      <c r="AY150" s="22" t="n">
        <v>4560</v>
      </c>
      <c r="AZ150" s="22" t="n">
        <v>4460</v>
      </c>
      <c r="BA150" s="22" t="n">
        <v>4472</v>
      </c>
      <c r="BB150" s="22" t="n">
        <v>4416</v>
      </c>
      <c r="BC150" s="22" t="n">
        <v>4609</v>
      </c>
      <c r="BD150" s="22" t="n">
        <v>4450</v>
      </c>
      <c r="BE150" s="22" t="n">
        <v>4349</v>
      </c>
      <c r="BF150" s="22" t="n">
        <v>4078</v>
      </c>
      <c r="BG150" s="22" t="n">
        <v>4260</v>
      </c>
      <c r="BH150" s="22" t="n">
        <v>4241</v>
      </c>
      <c r="BI150" s="22" t="n">
        <v>4153</v>
      </c>
      <c r="BJ150" s="22" t="n">
        <v>4320</v>
      </c>
      <c r="BK150" s="22" t="n">
        <v>4206</v>
      </c>
      <c r="BL150" s="22" t="n">
        <v>4366</v>
      </c>
    </row>
    <row r="151" ht="15.95" customHeight="1" s="574">
      <c r="A151" s="81" t="inlineStr">
        <is>
          <t>6516</t>
        </is>
      </c>
      <c r="B151" s="17" t="inlineStr">
        <is>
          <t>山洋電気</t>
        </is>
      </c>
      <c r="C151" s="655">
        <f>_xll.RssMarket("6516","始値")</f>
        <v/>
      </c>
      <c r="D151" s="656">
        <f>C151-E151</f>
        <v/>
      </c>
      <c r="E151" s="22" t="n">
        <v>6870</v>
      </c>
      <c r="F151" s="22" t="n">
        <v>6860</v>
      </c>
      <c r="G151" s="22" t="n">
        <v>6810</v>
      </c>
      <c r="H151" s="22" t="n">
        <v>6450</v>
      </c>
      <c r="I151" s="22" t="n">
        <v>6600</v>
      </c>
      <c r="J151" s="22" t="n">
        <v>6580</v>
      </c>
      <c r="K151" s="22" t="n">
        <v>6350</v>
      </c>
      <c r="L151" s="22" t="n">
        <v>6080</v>
      </c>
      <c r="M151" s="22" t="n">
        <v>6460</v>
      </c>
      <c r="N151" s="22" t="n">
        <v>6340</v>
      </c>
      <c r="O151" s="22" t="n">
        <v>6620</v>
      </c>
      <c r="P151" s="22" t="n">
        <v>6600</v>
      </c>
      <c r="Q151" s="22" t="n">
        <v>6640</v>
      </c>
      <c r="R151" s="22" t="n">
        <v>6400</v>
      </c>
      <c r="S151" s="22" t="n">
        <v>6830</v>
      </c>
      <c r="T151" s="22" t="n">
        <v>6710</v>
      </c>
      <c r="U151" s="22" t="n">
        <v>7040</v>
      </c>
      <c r="V151" s="22" t="n">
        <v>7150</v>
      </c>
      <c r="W151" s="22" t="n">
        <v>7100</v>
      </c>
      <c r="X151" s="22" t="n">
        <v>6900</v>
      </c>
      <c r="Y151" s="22" t="n">
        <v>7300</v>
      </c>
      <c r="Z151" s="22" t="n">
        <v>7410</v>
      </c>
      <c r="AA151" s="22" t="n">
        <v>7570</v>
      </c>
      <c r="AB151" s="22" t="n">
        <v>7700</v>
      </c>
      <c r="AC151" s="22" t="n">
        <v>7410</v>
      </c>
      <c r="AD151" s="22" t="n">
        <v>7770</v>
      </c>
      <c r="AE151" s="22" t="n">
        <v>7590</v>
      </c>
      <c r="AF151" s="22" t="n">
        <v>7190</v>
      </c>
      <c r="AG151" s="22" t="n">
        <v>7050</v>
      </c>
      <c r="AH151" s="22" t="n">
        <v>6820</v>
      </c>
      <c r="AI151" s="22" t="n">
        <v>7020</v>
      </c>
      <c r="AJ151" s="22" t="n">
        <v>7230</v>
      </c>
      <c r="AK151" s="22" t="n">
        <v>5690</v>
      </c>
      <c r="AL151" s="22" t="n">
        <v>5190</v>
      </c>
      <c r="AM151" s="22" t="n">
        <v>5270</v>
      </c>
      <c r="AN151" s="22" t="n">
        <v>5220</v>
      </c>
      <c r="AO151" s="22" t="n">
        <v>5240</v>
      </c>
      <c r="AP151" s="22" t="n">
        <v>5190</v>
      </c>
      <c r="AQ151" s="22" t="n">
        <v>5200</v>
      </c>
      <c r="AR151" s="22" t="n">
        <v>5240</v>
      </c>
      <c r="AS151" s="22" t="n">
        <v>5400</v>
      </c>
      <c r="AT151" s="22" t="n">
        <v>5080</v>
      </c>
      <c r="AU151" s="22" t="n">
        <v>5040</v>
      </c>
      <c r="AV151" s="22" t="n">
        <v>4940</v>
      </c>
      <c r="AW151" s="22" t="n">
        <v>4870</v>
      </c>
      <c r="AX151" s="22" t="n">
        <v>4830</v>
      </c>
      <c r="AY151" s="22" t="n">
        <v>4570</v>
      </c>
      <c r="AZ151" s="22" t="n">
        <v>4590</v>
      </c>
      <c r="BA151" s="22" t="n">
        <v>4490</v>
      </c>
      <c r="BB151" s="22" t="n">
        <v>4665</v>
      </c>
      <c r="BC151" s="22" t="n">
        <v>4545</v>
      </c>
      <c r="BD151" s="22" t="n">
        <v>4310</v>
      </c>
      <c r="BE151" s="22" t="n">
        <v>4230</v>
      </c>
      <c r="BF151" s="22" t="n">
        <v>4470</v>
      </c>
      <c r="BG151" s="22" t="n">
        <v>4555</v>
      </c>
      <c r="BH151" s="22" t="n">
        <v>4555</v>
      </c>
      <c r="BI151" s="22" t="n">
        <v>4445</v>
      </c>
      <c r="BJ151" s="22" t="n">
        <v>4415</v>
      </c>
      <c r="BK151" s="22" t="n">
        <v>4670</v>
      </c>
      <c r="BL151" s="22" t="n">
        <v>4730</v>
      </c>
    </row>
    <row r="152" ht="15.95" customHeight="1" s="574">
      <c r="A152" s="81" t="inlineStr">
        <is>
          <t>7381</t>
        </is>
      </c>
      <c r="B152" s="17" t="inlineStr">
        <is>
          <t>ＣＣＩグループ</t>
        </is>
      </c>
      <c r="C152" s="655">
        <f>_xll.RssMarket("7381","始値")</f>
        <v/>
      </c>
      <c r="D152" s="656">
        <f>C152-E152</f>
        <v/>
      </c>
      <c r="E152" s="22" t="n">
        <v>955</v>
      </c>
      <c r="F152" s="22" t="n">
        <v>983</v>
      </c>
      <c r="G152" s="22" t="n">
        <v>985</v>
      </c>
      <c r="H152" s="22" t="n">
        <v>1004</v>
      </c>
      <c r="I152" s="22" t="n">
        <v>997</v>
      </c>
      <c r="J152" s="22" t="n">
        <v>1014</v>
      </c>
      <c r="K152" s="22" t="n">
        <v>987</v>
      </c>
      <c r="L152" s="22" t="n">
        <v>990</v>
      </c>
      <c r="M152" s="22" t="n">
        <v>996</v>
      </c>
      <c r="N152" s="22" t="n">
        <v>1004</v>
      </c>
      <c r="O152" s="22" t="n">
        <v>1043</v>
      </c>
      <c r="P152" s="22" t="n">
        <v>1010</v>
      </c>
      <c r="Q152" s="22" t="n">
        <v>1029</v>
      </c>
      <c r="R152" s="22" t="n">
        <v>998</v>
      </c>
      <c r="S152" s="22" t="n">
        <v>1050</v>
      </c>
      <c r="T152" s="22" t="n">
        <v>1047</v>
      </c>
      <c r="U152" s="22" t="n">
        <v>1051</v>
      </c>
      <c r="V152" s="22" t="n">
        <v>1050</v>
      </c>
      <c r="W152" s="22" t="n">
        <v>1089</v>
      </c>
      <c r="X152" s="22" t="n">
        <v>1051</v>
      </c>
      <c r="Y152" s="22" t="n">
        <v>1028</v>
      </c>
      <c r="Z152" s="22" t="n">
        <v>1045</v>
      </c>
      <c r="AA152" s="22" t="n">
        <v>1043</v>
      </c>
      <c r="AB152" s="22" t="n">
        <v>1045</v>
      </c>
      <c r="AC152" s="22" t="n">
        <v>1027</v>
      </c>
      <c r="AD152" s="22" t="n">
        <v>1011</v>
      </c>
      <c r="AE152" s="22" t="n">
        <v>1013</v>
      </c>
      <c r="AF152" s="22" t="n">
        <v>1000</v>
      </c>
      <c r="AG152" s="22" t="n">
        <v>995</v>
      </c>
      <c r="AH152" s="22" t="n">
        <v>982</v>
      </c>
      <c r="AI152" s="22" t="n">
        <v>941</v>
      </c>
      <c r="AJ152" s="22" t="n">
        <v>939</v>
      </c>
      <c r="AK152" s="22" t="n">
        <v>916</v>
      </c>
      <c r="AL152" s="22" t="n">
        <v>920</v>
      </c>
      <c r="AM152" s="22" t="n">
        <v>920</v>
      </c>
      <c r="AN152" s="22" t="n">
        <v>920</v>
      </c>
      <c r="AO152" s="22" t="n">
        <v>970</v>
      </c>
      <c r="AP152" s="22" t="n">
        <v>1001</v>
      </c>
      <c r="AQ152" s="22" t="n">
        <v>1020</v>
      </c>
      <c r="AR152" s="22" t="n">
        <v>1030</v>
      </c>
      <c r="AS152" s="22" t="n">
        <v>1045</v>
      </c>
      <c r="AT152" s="22" t="n">
        <v>1031</v>
      </c>
      <c r="AU152" s="22" t="n">
        <v>1027</v>
      </c>
      <c r="AV152" s="22" t="n">
        <v>1020</v>
      </c>
      <c r="AW152" s="22" t="n">
        <v>1034</v>
      </c>
      <c r="AX152" s="22" t="n">
        <v>1044</v>
      </c>
      <c r="AY152" s="22" t="n">
        <v>1050</v>
      </c>
      <c r="AZ152" s="22" t="n">
        <v>1015</v>
      </c>
      <c r="BA152" s="22" t="n">
        <v>993</v>
      </c>
      <c r="BB152" s="22" t="n">
        <v>989</v>
      </c>
      <c r="BC152" s="22" t="n">
        <v>1005</v>
      </c>
      <c r="BD152" s="22" t="n">
        <v>975</v>
      </c>
      <c r="BE152" s="22" t="n">
        <v>930</v>
      </c>
      <c r="BF152" s="22" t="n">
        <v>928</v>
      </c>
      <c r="BG152" s="22" t="n">
        <v>967</v>
      </c>
      <c r="BH152" s="22" t="n">
        <v>974</v>
      </c>
      <c r="BI152" s="22" t="n">
        <v>976</v>
      </c>
      <c r="BJ152" s="22" t="n">
        <v>949</v>
      </c>
      <c r="BK152" s="22" t="n">
        <v>928</v>
      </c>
      <c r="BL152" s="22" t="n">
        <v>982</v>
      </c>
    </row>
    <row r="153" ht="15.95" customHeight="1" s="574">
      <c r="A153" s="81" t="inlineStr">
        <is>
          <t>4417</t>
        </is>
      </c>
      <c r="B153" s="17" t="inlineStr">
        <is>
          <t>グローバルセキュ</t>
        </is>
      </c>
      <c r="C153" s="655">
        <f>_xll.RssMarket("4417","始値")</f>
        <v/>
      </c>
      <c r="D153" s="656">
        <f>C153-E153</f>
        <v/>
      </c>
      <c r="E153" s="22" t="n">
        <v>3285</v>
      </c>
      <c r="F153" s="22" t="n">
        <v>3280</v>
      </c>
      <c r="G153" s="22" t="n">
        <v>3240</v>
      </c>
      <c r="H153" s="22" t="n">
        <v>3070</v>
      </c>
      <c r="I153" s="22" t="n">
        <v>3110</v>
      </c>
      <c r="J153" s="22" t="n">
        <v>3070</v>
      </c>
      <c r="K153" s="22" t="n">
        <v>3100</v>
      </c>
      <c r="L153" s="22" t="n">
        <v>3090</v>
      </c>
      <c r="M153" s="22" t="n">
        <v>3200</v>
      </c>
      <c r="N153" s="22" t="n">
        <v>3030</v>
      </c>
      <c r="O153" s="22" t="n">
        <v>3160</v>
      </c>
      <c r="P153" s="22" t="n">
        <v>3050</v>
      </c>
      <c r="Q153" s="22" t="n">
        <v>3300</v>
      </c>
      <c r="R153" s="22" t="n">
        <v>3375</v>
      </c>
      <c r="S153" s="22" t="n">
        <v>3310</v>
      </c>
      <c r="T153" s="22" t="n">
        <v>3245</v>
      </c>
      <c r="U153" s="22" t="n">
        <v>3300</v>
      </c>
      <c r="V153" s="22" t="n">
        <v>3350</v>
      </c>
      <c r="W153" s="22" t="n">
        <v>3115</v>
      </c>
      <c r="X153" s="22" t="n">
        <v>3000</v>
      </c>
      <c r="Y153" s="22" t="n">
        <v>2940</v>
      </c>
      <c r="Z153" s="22" t="n">
        <v>2839</v>
      </c>
      <c r="AA153" s="22" t="n">
        <v>2808</v>
      </c>
      <c r="AB153" s="22" t="n">
        <v>2721</v>
      </c>
      <c r="AC153" s="22" t="n">
        <v>2945</v>
      </c>
      <c r="AD153" s="22" t="n">
        <v>2942</v>
      </c>
      <c r="AE153" s="22" t="n">
        <v>2925</v>
      </c>
      <c r="AF153" s="22" t="n">
        <v>2910</v>
      </c>
      <c r="AG153" s="22" t="n">
        <v>2779</v>
      </c>
      <c r="AH153" s="22" t="n">
        <v>2732</v>
      </c>
      <c r="AI153" s="22" t="n">
        <v>2780</v>
      </c>
      <c r="AJ153" s="22" t="n">
        <v>2480</v>
      </c>
      <c r="AK153" s="22" t="n">
        <v>2511</v>
      </c>
      <c r="AL153" s="22" t="n">
        <v>2529</v>
      </c>
      <c r="AM153" s="22" t="n">
        <v>2450</v>
      </c>
      <c r="AN153" s="22" t="n">
        <v>2501</v>
      </c>
      <c r="AO153" s="22" t="n">
        <v>2449</v>
      </c>
      <c r="AP153" s="22" t="n">
        <v>2470</v>
      </c>
      <c r="AQ153" s="22" t="n">
        <v>2502</v>
      </c>
      <c r="AR153" s="22" t="n">
        <v>2490</v>
      </c>
      <c r="AS153" s="22" t="n">
        <v>2456</v>
      </c>
      <c r="AT153" s="22" t="n">
        <v>2285</v>
      </c>
      <c r="AU153" s="22" t="n">
        <v>2321</v>
      </c>
      <c r="AV153" s="22" t="n">
        <v>2395</v>
      </c>
      <c r="AW153" s="22" t="n">
        <v>2519</v>
      </c>
      <c r="AX153" s="22" t="n">
        <v>2571</v>
      </c>
      <c r="AY153" s="22" t="n">
        <v>2565</v>
      </c>
      <c r="AZ153" s="22" t="n">
        <v>2538</v>
      </c>
      <c r="BA153" s="22" t="n">
        <v>2505</v>
      </c>
      <c r="BB153" s="22" t="n">
        <v>2493</v>
      </c>
      <c r="BC153" s="22" t="n">
        <v>2510</v>
      </c>
      <c r="BD153" s="22" t="n">
        <v>2438</v>
      </c>
      <c r="BE153" s="22" t="n">
        <v>2311</v>
      </c>
      <c r="BF153" s="22" t="n">
        <v>2229</v>
      </c>
      <c r="BG153" s="22" t="n">
        <v>2333</v>
      </c>
      <c r="BH153" s="22" t="n">
        <v>2451</v>
      </c>
      <c r="BI153" s="22" t="n">
        <v>2416</v>
      </c>
      <c r="BJ153" s="22" t="n">
        <v>2378</v>
      </c>
      <c r="BK153" s="22" t="n">
        <v>2309</v>
      </c>
      <c r="BL153" s="22" t="n">
        <v>2450</v>
      </c>
    </row>
    <row r="154" ht="15.95" customHeight="1" s="574">
      <c r="A154" s="81" t="inlineStr">
        <is>
          <t>6981</t>
        </is>
      </c>
      <c r="B154" s="17" t="inlineStr">
        <is>
          <t>村田製作所</t>
        </is>
      </c>
      <c r="C154" s="655">
        <f>_xll.RssMarket("6981","始値")</f>
        <v/>
      </c>
      <c r="D154" s="656">
        <f>C154-E154</f>
        <v/>
      </c>
      <c r="E154" s="22" t="n">
        <v>12570</v>
      </c>
      <c r="F154" s="22" t="n">
        <v>12345</v>
      </c>
      <c r="G154" s="22" t="n">
        <v>12100</v>
      </c>
      <c r="H154" s="22" t="n">
        <v>10230</v>
      </c>
      <c r="I154" s="22" t="n">
        <v>10560</v>
      </c>
      <c r="J154" s="22" t="n">
        <v>9456</v>
      </c>
      <c r="K154" s="22" t="n">
        <v>9567</v>
      </c>
      <c r="L154" s="22" t="n">
        <v>8218</v>
      </c>
      <c r="M154" s="22" t="n">
        <v>9392</v>
      </c>
      <c r="N154" s="22" t="n">
        <v>8795</v>
      </c>
      <c r="O154" s="22" t="n">
        <v>9500</v>
      </c>
      <c r="P154" s="22" t="n">
        <v>10120</v>
      </c>
      <c r="Q154" s="22" t="n">
        <v>10300</v>
      </c>
      <c r="R154" s="22" t="n">
        <v>10410</v>
      </c>
      <c r="S154" s="22" t="n">
        <v>9128</v>
      </c>
      <c r="T154" s="22" t="n">
        <v>7700</v>
      </c>
      <c r="U154" s="22" t="n">
        <v>8227</v>
      </c>
      <c r="V154" s="22" t="n">
        <v>7338</v>
      </c>
      <c r="W154" s="22" t="n">
        <v>6715</v>
      </c>
      <c r="X154" s="22" t="n">
        <v>6352</v>
      </c>
      <c r="Y154" s="22" t="n">
        <v>5990</v>
      </c>
      <c r="Z154" s="22" t="n">
        <v>6234</v>
      </c>
      <c r="AA154" s="22" t="n">
        <v>6051</v>
      </c>
      <c r="AB154" s="22" t="n">
        <v>6429</v>
      </c>
      <c r="AC154" s="22" t="n">
        <v>6146</v>
      </c>
      <c r="AD154" s="22" t="n">
        <v>5947</v>
      </c>
      <c r="AE154" s="22" t="n">
        <v>6078</v>
      </c>
      <c r="AF154" s="22" t="n">
        <v>5993</v>
      </c>
      <c r="AG154" s="22" t="n">
        <v>5590</v>
      </c>
      <c r="AH154" s="22" t="n">
        <v>5400</v>
      </c>
      <c r="AI154" s="22" t="n">
        <v>5000</v>
      </c>
      <c r="AJ154" s="22" t="n">
        <v>4848</v>
      </c>
      <c r="AK154" s="22" t="n">
        <v>4933</v>
      </c>
      <c r="AL154" s="22" t="n">
        <v>5001</v>
      </c>
      <c r="AM154" s="22" t="n">
        <v>4950</v>
      </c>
      <c r="AN154" s="22" t="n">
        <v>4841</v>
      </c>
      <c r="AO154" s="22" t="n">
        <v>4827</v>
      </c>
      <c r="AP154" s="22" t="n">
        <v>4740</v>
      </c>
      <c r="AQ154" s="22" t="n">
        <v>4662</v>
      </c>
      <c r="AR154" s="22" t="n">
        <v>4722</v>
      </c>
      <c r="AS154" s="22" t="n">
        <v>4570</v>
      </c>
      <c r="AT154" s="22" t="n">
        <v>4485</v>
      </c>
      <c r="AU154" s="22" t="n">
        <v>4208</v>
      </c>
      <c r="AV154" s="22" t="n">
        <v>4077</v>
      </c>
      <c r="AW154" s="22" t="n">
        <v>3988</v>
      </c>
      <c r="AX154" s="22" t="n">
        <v>3930</v>
      </c>
      <c r="AY154" s="22" t="n">
        <v>3996</v>
      </c>
      <c r="AZ154" s="22" t="n">
        <v>3822</v>
      </c>
      <c r="BA154" s="22" t="n">
        <v>3780</v>
      </c>
      <c r="BB154" s="22" t="n">
        <v>3707</v>
      </c>
      <c r="BC154" s="22" t="n">
        <v>3704</v>
      </c>
      <c r="BD154" s="22" t="n">
        <v>3619</v>
      </c>
      <c r="BE154" s="22" t="n">
        <v>3451</v>
      </c>
      <c r="BF154" s="22" t="n">
        <v>3486</v>
      </c>
      <c r="BG154" s="22" t="n">
        <v>3672</v>
      </c>
      <c r="BH154" s="22" t="n">
        <v>3673</v>
      </c>
      <c r="BI154" s="22" t="n">
        <v>3666</v>
      </c>
      <c r="BJ154" s="22" t="n">
        <v>3637</v>
      </c>
      <c r="BK154" s="22" t="n">
        <v>3500</v>
      </c>
      <c r="BL154" s="22" t="n">
        <v>3710</v>
      </c>
    </row>
    <row r="155" ht="15.95" customHeight="1" s="574">
      <c r="A155" s="81" t="inlineStr">
        <is>
          <t>6754</t>
        </is>
      </c>
      <c r="B155" s="17" t="inlineStr">
        <is>
          <t>アンリツ</t>
        </is>
      </c>
      <c r="C155" s="655">
        <f>_xll.RssMarket("6754","始値")</f>
        <v/>
      </c>
      <c r="D155" s="656">
        <f>C155-E155</f>
        <v/>
      </c>
      <c r="E155" s="22" t="n">
        <v>4273</v>
      </c>
      <c r="F155" s="22" t="n">
        <v>4300</v>
      </c>
      <c r="G155" s="22" t="n">
        <v>4079</v>
      </c>
      <c r="H155" s="22" t="n">
        <v>4001</v>
      </c>
      <c r="I155" s="22" t="n">
        <v>3947</v>
      </c>
      <c r="J155" s="22" t="n">
        <v>4022</v>
      </c>
      <c r="K155" s="22" t="n">
        <v>3975</v>
      </c>
      <c r="L155" s="22" t="n">
        <v>3694</v>
      </c>
      <c r="M155" s="22" t="n">
        <v>4120</v>
      </c>
      <c r="N155" s="22" t="n">
        <v>4199</v>
      </c>
      <c r="O155" s="22" t="n">
        <v>4515</v>
      </c>
      <c r="P155" s="22" t="n">
        <v>4698</v>
      </c>
      <c r="Q155" s="22" t="n">
        <v>4654</v>
      </c>
      <c r="R155" s="22" t="n">
        <v>4700</v>
      </c>
      <c r="S155" s="22" t="n">
        <v>4535</v>
      </c>
      <c r="T155" s="22" t="n">
        <v>4544</v>
      </c>
      <c r="U155" s="22" t="n">
        <v>4680</v>
      </c>
      <c r="V155" s="22" t="n">
        <v>4650</v>
      </c>
      <c r="W155" s="22" t="n">
        <v>4595</v>
      </c>
      <c r="X155" s="22" t="n">
        <v>4428</v>
      </c>
      <c r="Y155" s="22" t="n">
        <v>4284</v>
      </c>
      <c r="Z155" s="22" t="n">
        <v>4195</v>
      </c>
      <c r="AA155" s="22" t="n">
        <v>4236</v>
      </c>
      <c r="AB155" s="22" t="n">
        <v>4322</v>
      </c>
      <c r="AC155" s="22" t="n">
        <v>4164</v>
      </c>
      <c r="AD155" s="22" t="n">
        <v>3985</v>
      </c>
      <c r="AE155" s="22" t="n">
        <v>4151</v>
      </c>
      <c r="AF155" s="22" t="n">
        <v>4300</v>
      </c>
      <c r="AG155" s="22" t="n">
        <v>4062</v>
      </c>
      <c r="AH155" s="22" t="n">
        <v>3946</v>
      </c>
      <c r="AI155" s="22" t="n">
        <v>3899</v>
      </c>
      <c r="AJ155" s="22" t="n">
        <v>3936</v>
      </c>
      <c r="AK155" s="22" t="n">
        <v>3875</v>
      </c>
      <c r="AL155" s="22" t="n">
        <v>3694</v>
      </c>
      <c r="AM155" s="22" t="n">
        <v>3592</v>
      </c>
      <c r="AN155" s="22" t="n">
        <v>3588</v>
      </c>
      <c r="AO155" s="22" t="n">
        <v>3616</v>
      </c>
      <c r="AP155" s="22" t="n">
        <v>3590</v>
      </c>
      <c r="AQ155" s="22" t="n">
        <v>3392</v>
      </c>
      <c r="AR155" s="22" t="n">
        <v>3444</v>
      </c>
      <c r="AS155" s="22" t="n">
        <v>3419</v>
      </c>
      <c r="AT155" s="22" t="n">
        <v>3478</v>
      </c>
      <c r="AU155" s="22" t="n">
        <v>3434</v>
      </c>
      <c r="AV155" s="22" t="n">
        <v>3400</v>
      </c>
      <c r="AW155" s="22" t="n">
        <v>3280</v>
      </c>
      <c r="AX155" s="22" t="n">
        <v>3274</v>
      </c>
      <c r="AY155" s="22" t="n">
        <v>3132</v>
      </c>
      <c r="AZ155" s="22" t="n">
        <v>3048</v>
      </c>
      <c r="BA155" s="22" t="n">
        <v>3047</v>
      </c>
      <c r="BB155" s="22" t="n">
        <v>2978</v>
      </c>
      <c r="BC155" s="22" t="n">
        <v>3000</v>
      </c>
      <c r="BD155" s="22" t="n">
        <v>2938</v>
      </c>
      <c r="BE155" s="22" t="n">
        <v>2750</v>
      </c>
      <c r="BF155" s="22" t="n">
        <v>2670</v>
      </c>
      <c r="BG155" s="22" t="n">
        <v>2838.5</v>
      </c>
      <c r="BH155" s="22" t="n">
        <v>2980</v>
      </c>
      <c r="BI155" s="22" t="n">
        <v>2924</v>
      </c>
      <c r="BJ155" s="22" t="n">
        <v>2807.5</v>
      </c>
      <c r="BK155" s="22" t="n">
        <v>2657.5</v>
      </c>
      <c r="BL155" s="22" t="n">
        <v>2844.5</v>
      </c>
    </row>
    <row r="156" ht="15.95" customHeight="1" s="574">
      <c r="A156" s="81" t="inlineStr">
        <is>
          <t>4088</t>
        </is>
      </c>
      <c r="B156" s="17" t="inlineStr">
        <is>
          <t>エア・ウォーター</t>
        </is>
      </c>
      <c r="C156" s="655">
        <f>_xll.RssMarket("4088","始値")</f>
        <v/>
      </c>
      <c r="D156" s="656">
        <f>C156-E156</f>
        <v/>
      </c>
      <c r="E156" s="22" t="n">
        <v>2451</v>
      </c>
      <c r="F156" s="22" t="n">
        <v>2520</v>
      </c>
      <c r="G156" s="22" t="n">
        <v>2500</v>
      </c>
      <c r="H156" s="22" t="n">
        <v>2552</v>
      </c>
      <c r="I156" s="22" t="n">
        <v>2441</v>
      </c>
      <c r="J156" s="22" t="n">
        <v>2435</v>
      </c>
      <c r="K156" s="22" t="n">
        <v>2460</v>
      </c>
      <c r="L156" s="22" t="n">
        <v>2444</v>
      </c>
      <c r="M156" s="22" t="n">
        <v>2423</v>
      </c>
      <c r="N156" s="22" t="n">
        <v>2440</v>
      </c>
      <c r="O156" s="22" t="n">
        <v>2518</v>
      </c>
      <c r="P156" s="22" t="n">
        <v>2470</v>
      </c>
      <c r="Q156" s="22" t="n">
        <v>2488</v>
      </c>
      <c r="R156" s="22" t="n">
        <v>2576</v>
      </c>
      <c r="S156" s="22" t="n">
        <v>2599</v>
      </c>
      <c r="T156" s="22" t="n">
        <v>2578</v>
      </c>
      <c r="U156" s="22" t="n">
        <v>2616</v>
      </c>
      <c r="V156" s="22" t="n">
        <v>2580</v>
      </c>
      <c r="W156" s="22" t="n">
        <v>2500</v>
      </c>
      <c r="X156" s="22" t="n">
        <v>2451</v>
      </c>
      <c r="Y156" s="22" t="n">
        <v>2290</v>
      </c>
      <c r="Z156" s="22" t="n">
        <v>2167</v>
      </c>
      <c r="AA156" s="22" t="n">
        <v>2115</v>
      </c>
      <c r="AB156" s="22" t="n">
        <v>2052</v>
      </c>
      <c r="AC156" s="22" t="n">
        <v>2005</v>
      </c>
      <c r="AD156" s="22" t="n">
        <v>1964.5</v>
      </c>
      <c r="AE156" s="22" t="n">
        <v>1915</v>
      </c>
      <c r="AF156" s="22" t="n">
        <v>1890</v>
      </c>
      <c r="AG156" s="22" t="n">
        <v>2039</v>
      </c>
      <c r="AH156" s="22" t="n">
        <v>2239</v>
      </c>
      <c r="AI156" s="22" t="n">
        <v>2254</v>
      </c>
      <c r="AJ156" s="22" t="n">
        <v>2232.5</v>
      </c>
      <c r="AK156" s="22" t="n">
        <v>2223.5</v>
      </c>
      <c r="AL156" s="22" t="n">
        <v>2200</v>
      </c>
      <c r="AM156" s="22" t="n">
        <v>2255.5</v>
      </c>
      <c r="AN156" s="22" t="n">
        <v>2275</v>
      </c>
      <c r="AO156" s="22" t="n">
        <v>2287.5</v>
      </c>
      <c r="AP156" s="22" t="n">
        <v>2302</v>
      </c>
      <c r="AQ156" s="22" t="n">
        <v>2293.5</v>
      </c>
      <c r="AR156" s="22" t="n">
        <v>2283</v>
      </c>
      <c r="AS156" s="22" t="n">
        <v>2250</v>
      </c>
      <c r="AT156" s="22" t="n">
        <v>2227</v>
      </c>
      <c r="AU156" s="22" t="n">
        <v>2245.5</v>
      </c>
      <c r="AV156" s="22" t="n">
        <v>2295</v>
      </c>
      <c r="AW156" s="22" t="n">
        <v>2315.5</v>
      </c>
      <c r="AX156" s="22" t="n">
        <v>2238.5</v>
      </c>
      <c r="AY156" s="22" t="n">
        <v>2198</v>
      </c>
      <c r="AZ156" s="22" t="n">
        <v>2162.5</v>
      </c>
      <c r="BA156" s="22" t="n">
        <v>2206</v>
      </c>
      <c r="BB156" s="22" t="n">
        <v>2174.5</v>
      </c>
      <c r="BC156" s="22" t="n">
        <v>2127</v>
      </c>
      <c r="BD156" s="22" t="n">
        <v>2108.5</v>
      </c>
      <c r="BE156" s="22" t="n">
        <v>2153</v>
      </c>
      <c r="BF156" s="22" t="n">
        <v>2160</v>
      </c>
      <c r="BG156" s="22" t="n">
        <v>2148</v>
      </c>
      <c r="BH156" s="22" t="n">
        <v>2074.5</v>
      </c>
      <c r="BI156" s="22" t="n">
        <v>2062.5</v>
      </c>
      <c r="BJ156" s="22" t="n">
        <v>2132</v>
      </c>
      <c r="BK156" s="22" t="n">
        <v>2157.5</v>
      </c>
      <c r="BL156" s="22" t="n">
        <v>2156</v>
      </c>
    </row>
    <row r="157" ht="15.95" customHeight="1" s="574">
      <c r="A157" s="81" t="inlineStr">
        <is>
          <t>4091</t>
        </is>
      </c>
      <c r="B157" s="17" t="inlineStr">
        <is>
          <t>日本酸素ＨＬＤＧＳ</t>
        </is>
      </c>
      <c r="C157" s="655">
        <f>_xll.RssMarket("4091","始値")</f>
        <v/>
      </c>
      <c r="D157" s="656">
        <f>C157-E157</f>
        <v/>
      </c>
      <c r="E157" s="22" t="n">
        <v>5490</v>
      </c>
      <c r="F157" s="22" t="n">
        <v>5552</v>
      </c>
      <c r="G157" s="22" t="n">
        <v>5584</v>
      </c>
      <c r="H157" s="22" t="n">
        <v>5561</v>
      </c>
      <c r="I157" s="22" t="n">
        <v>5574</v>
      </c>
      <c r="J157" s="22" t="n">
        <v>5487</v>
      </c>
      <c r="K157" s="22" t="n">
        <v>5320</v>
      </c>
      <c r="L157" s="22" t="n">
        <v>5175</v>
      </c>
      <c r="M157" s="22" t="n">
        <v>5331</v>
      </c>
      <c r="N157" s="22" t="n">
        <v>5527</v>
      </c>
      <c r="O157" s="22" t="n">
        <v>5570</v>
      </c>
      <c r="P157" s="22" t="n">
        <v>5662</v>
      </c>
      <c r="Q157" s="22" t="n">
        <v>5700</v>
      </c>
      <c r="R157" s="22" t="n">
        <v>5772</v>
      </c>
      <c r="S157" s="22" t="n">
        <v>6350</v>
      </c>
      <c r="T157" s="22" t="n">
        <v>6298</v>
      </c>
      <c r="U157" s="22" t="n">
        <v>6419</v>
      </c>
      <c r="V157" s="22" t="n">
        <v>6227</v>
      </c>
      <c r="W157" s="22" t="n">
        <v>6144</v>
      </c>
      <c r="X157" s="22" t="n">
        <v>5917</v>
      </c>
      <c r="Y157" s="22" t="n">
        <v>5828</v>
      </c>
      <c r="Z157" s="22" t="n">
        <v>6021</v>
      </c>
      <c r="AA157" s="22" t="n">
        <v>6061</v>
      </c>
      <c r="AB157" s="22" t="n">
        <v>6114</v>
      </c>
      <c r="AC157" s="22" t="n">
        <v>6000</v>
      </c>
      <c r="AD157" s="22" t="n">
        <v>5739</v>
      </c>
      <c r="AE157" s="22" t="n">
        <v>6162</v>
      </c>
      <c r="AF157" s="22" t="n">
        <v>5736</v>
      </c>
      <c r="AG157" s="22" t="n">
        <v>5722</v>
      </c>
      <c r="AH157" s="22" t="n">
        <v>5468</v>
      </c>
      <c r="AI157" s="22" t="n">
        <v>5550</v>
      </c>
      <c r="AJ157" s="22" t="n">
        <v>5652</v>
      </c>
      <c r="AK157" s="22" t="n">
        <v>5651</v>
      </c>
      <c r="AL157" s="22" t="n">
        <v>5661</v>
      </c>
      <c r="AM157" s="22" t="n">
        <v>5602</v>
      </c>
      <c r="AN157" s="22" t="n">
        <v>5634</v>
      </c>
      <c r="AO157" s="22" t="n">
        <v>5710</v>
      </c>
      <c r="AP157" s="22" t="n">
        <v>5872</v>
      </c>
      <c r="AQ157" s="22" t="n">
        <v>5815</v>
      </c>
      <c r="AR157" s="22" t="n">
        <v>6040</v>
      </c>
      <c r="AS157" s="22" t="n">
        <v>5861</v>
      </c>
      <c r="AT157" s="22" t="n">
        <v>5857</v>
      </c>
      <c r="AU157" s="22" t="n">
        <v>5971</v>
      </c>
      <c r="AV157" s="22" t="n">
        <v>5821</v>
      </c>
      <c r="AW157" s="22" t="n">
        <v>5930</v>
      </c>
      <c r="AX157" s="22" t="n">
        <v>5895</v>
      </c>
      <c r="AY157" s="22" t="n">
        <v>5970</v>
      </c>
      <c r="AZ157" s="22" t="n">
        <v>5808</v>
      </c>
      <c r="BA157" s="22" t="n">
        <v>5800</v>
      </c>
      <c r="BB157" s="22" t="n">
        <v>5829</v>
      </c>
      <c r="BC157" s="22" t="n">
        <v>5820</v>
      </c>
      <c r="BD157" s="22" t="n">
        <v>5733</v>
      </c>
      <c r="BE157" s="22" t="n">
        <v>5782</v>
      </c>
      <c r="BF157" s="22" t="n">
        <v>5653</v>
      </c>
      <c r="BG157" s="22" t="n">
        <v>5869</v>
      </c>
      <c r="BH157" s="22" t="n">
        <v>6009</v>
      </c>
      <c r="BI157" s="22" t="n">
        <v>6040</v>
      </c>
      <c r="BJ157" s="22" t="n">
        <v>5861</v>
      </c>
      <c r="BK157" s="22" t="n">
        <v>5823</v>
      </c>
      <c r="BL157" s="22" t="n">
        <v>6228</v>
      </c>
    </row>
    <row r="158" ht="15.95" customHeight="1" s="574">
      <c r="A158" s="81" t="inlineStr">
        <is>
          <t>6857</t>
        </is>
      </c>
      <c r="B158" s="17" t="inlineStr">
        <is>
          <t>アドバンテスト</t>
        </is>
      </c>
      <c r="C158" s="655">
        <f>_xll.RssMarket("6857","始値")</f>
        <v/>
      </c>
      <c r="D158" s="656">
        <f>C158-E158</f>
        <v/>
      </c>
      <c r="E158" s="22" t="n">
        <v>31460</v>
      </c>
      <c r="F158" s="22" t="n">
        <v>31210</v>
      </c>
      <c r="G158" s="22" t="n">
        <v>29855</v>
      </c>
      <c r="H158" s="22" t="n">
        <v>29640</v>
      </c>
      <c r="I158" s="22" t="n">
        <v>29600</v>
      </c>
      <c r="J158" s="22" t="n">
        <v>28800</v>
      </c>
      <c r="K158" s="22" t="n">
        <v>27205</v>
      </c>
      <c r="L158" s="22" t="n">
        <v>24450</v>
      </c>
      <c r="M158" s="22" t="n">
        <v>25490</v>
      </c>
      <c r="N158" s="22" t="n">
        <v>25100</v>
      </c>
      <c r="O158" s="22" t="n">
        <v>27560</v>
      </c>
      <c r="P158" s="22" t="n">
        <v>27380</v>
      </c>
      <c r="Q158" s="22" t="n">
        <v>27320</v>
      </c>
      <c r="R158" s="22" t="n">
        <v>25810</v>
      </c>
      <c r="S158" s="22" t="n">
        <v>26380</v>
      </c>
      <c r="T158" s="22" t="n">
        <v>26760</v>
      </c>
      <c r="U158" s="22" t="n">
        <v>27200</v>
      </c>
      <c r="V158" s="22" t="n">
        <v>27245</v>
      </c>
      <c r="W158" s="22" t="n">
        <v>26975</v>
      </c>
      <c r="X158" s="22" t="n">
        <v>26625</v>
      </c>
      <c r="Y158" s="22" t="n">
        <v>25790</v>
      </c>
      <c r="Z158" s="22" t="n">
        <v>26150</v>
      </c>
      <c r="AA158" s="22" t="n">
        <v>26485</v>
      </c>
      <c r="AB158" s="22" t="n">
        <v>29015</v>
      </c>
      <c r="AC158" s="22" t="n">
        <v>28510</v>
      </c>
      <c r="AD158" s="22" t="n">
        <v>28080</v>
      </c>
      <c r="AE158" s="22" t="n">
        <v>29280</v>
      </c>
      <c r="AF158" s="22" t="n">
        <v>30410</v>
      </c>
      <c r="AG158" s="22" t="n">
        <v>29800</v>
      </c>
      <c r="AH158" s="22" t="n">
        <v>30100</v>
      </c>
      <c r="AI158" s="22" t="n">
        <v>28990</v>
      </c>
      <c r="AJ158" s="22" t="n">
        <v>28880</v>
      </c>
      <c r="AK158" s="22" t="n">
        <v>30120</v>
      </c>
      <c r="AL158" s="22" t="n">
        <v>30500</v>
      </c>
      <c r="AM158" s="22" t="n">
        <v>28315</v>
      </c>
      <c r="AN158" s="22" t="n">
        <v>28500</v>
      </c>
      <c r="AO158" s="22" t="n">
        <v>27255</v>
      </c>
      <c r="AP158" s="22" t="n">
        <v>27430</v>
      </c>
      <c r="AQ158" s="22" t="n">
        <v>27885</v>
      </c>
      <c r="AR158" s="22" t="n">
        <v>28900</v>
      </c>
      <c r="AS158" s="22" t="n">
        <v>28085</v>
      </c>
      <c r="AT158" s="22" t="n">
        <v>28000</v>
      </c>
      <c r="AU158" s="22" t="n">
        <v>25900</v>
      </c>
      <c r="AV158" s="22" t="n">
        <v>24650</v>
      </c>
      <c r="AW158" s="22" t="n">
        <v>25300</v>
      </c>
      <c r="AX158" s="22" t="n">
        <v>25000</v>
      </c>
      <c r="AY158" s="22" t="n">
        <v>24200</v>
      </c>
      <c r="AZ158" s="22" t="n">
        <v>21900</v>
      </c>
      <c r="BA158" s="22" t="n">
        <v>21690</v>
      </c>
      <c r="BB158" s="22" t="n">
        <v>21600</v>
      </c>
      <c r="BC158" s="22" t="n">
        <v>22365</v>
      </c>
      <c r="BD158" s="22" t="n">
        <v>21495</v>
      </c>
      <c r="BE158" s="22" t="n">
        <v>20110</v>
      </c>
      <c r="BF158" s="22" t="n">
        <v>20465</v>
      </c>
      <c r="BG158" s="22" t="n">
        <v>22120</v>
      </c>
      <c r="BH158" s="22" t="n">
        <v>23285</v>
      </c>
      <c r="BI158" s="22" t="n">
        <v>23000</v>
      </c>
      <c r="BJ158" s="22" t="n">
        <v>23230</v>
      </c>
      <c r="BK158" s="22" t="n">
        <v>22480</v>
      </c>
      <c r="BL158" s="22" t="n">
        <v>24040</v>
      </c>
    </row>
    <row r="159" ht="15.95" customHeight="1" s="574">
      <c r="A159" s="81" t="inlineStr">
        <is>
          <t>3891</t>
        </is>
      </c>
      <c r="B159" s="17" t="inlineStr">
        <is>
          <t>ニッポン高度紙工業</t>
        </is>
      </c>
      <c r="C159" s="655">
        <f>_xll.RssMarket("3891","始値")</f>
        <v/>
      </c>
      <c r="D159" s="656">
        <f>C159-E159</f>
        <v/>
      </c>
      <c r="E159" s="22" t="n">
        <v>10750</v>
      </c>
      <c r="F159" s="22" t="n">
        <v>10880</v>
      </c>
      <c r="G159" s="22" t="n">
        <v>10000</v>
      </c>
      <c r="H159" s="22" t="n">
        <v>8830</v>
      </c>
      <c r="I159" s="22" t="n">
        <v>8770</v>
      </c>
      <c r="J159" s="22" t="n">
        <v>8760</v>
      </c>
      <c r="K159" s="22" t="n">
        <v>9320</v>
      </c>
      <c r="L159" s="22" t="n">
        <v>8190</v>
      </c>
      <c r="M159" s="22" t="n">
        <v>9750</v>
      </c>
      <c r="N159" s="22" t="n">
        <v>8260</v>
      </c>
      <c r="O159" s="22" t="n">
        <v>8220</v>
      </c>
      <c r="P159" s="22" t="n">
        <v>8330</v>
      </c>
      <c r="Q159" s="22" t="n">
        <v>8060</v>
      </c>
      <c r="R159" s="22" t="n">
        <v>8180</v>
      </c>
      <c r="S159" s="22" t="n">
        <v>7390</v>
      </c>
      <c r="T159" s="22" t="n">
        <v>6870</v>
      </c>
      <c r="U159" s="22" t="n">
        <v>7590</v>
      </c>
      <c r="V159" s="22" t="n">
        <v>7750</v>
      </c>
      <c r="W159" s="22" t="n">
        <v>7020</v>
      </c>
      <c r="X159" s="22" t="n">
        <v>6930</v>
      </c>
      <c r="Y159" s="22" t="n">
        <v>6450</v>
      </c>
      <c r="Z159" s="22" t="n">
        <v>6500</v>
      </c>
      <c r="AA159" s="22" t="n">
        <v>6200</v>
      </c>
      <c r="AB159" s="22" t="n">
        <v>6310</v>
      </c>
      <c r="AC159" s="22" t="n">
        <v>6500</v>
      </c>
      <c r="AD159" s="22" t="n">
        <v>6300</v>
      </c>
      <c r="AE159" s="22" t="n">
        <v>6480</v>
      </c>
      <c r="AF159" s="22" t="n">
        <v>6680</v>
      </c>
      <c r="AG159" s="22" t="n">
        <v>6520</v>
      </c>
      <c r="AH159" s="22" t="n">
        <v>6270</v>
      </c>
      <c r="AI159" s="22" t="n">
        <v>6460</v>
      </c>
      <c r="AJ159" s="22" t="n">
        <v>6340</v>
      </c>
      <c r="AK159" s="22" t="n">
        <v>6250</v>
      </c>
      <c r="AL159" s="22" t="n">
        <v>6000</v>
      </c>
      <c r="AM159" s="22" t="n">
        <v>4420</v>
      </c>
      <c r="AN159" s="22" t="n">
        <v>4515</v>
      </c>
      <c r="AO159" s="22" t="n">
        <v>4585</v>
      </c>
      <c r="AP159" s="22" t="n">
        <v>4455</v>
      </c>
      <c r="AQ159" s="22" t="n">
        <v>4280</v>
      </c>
      <c r="AR159" s="22" t="n">
        <v>4490</v>
      </c>
      <c r="AS159" s="22" t="n">
        <v>4530</v>
      </c>
      <c r="AT159" s="22" t="n">
        <v>4505</v>
      </c>
      <c r="AU159" s="22" t="n">
        <v>4250</v>
      </c>
      <c r="AV159" s="22" t="n">
        <v>4045</v>
      </c>
      <c r="AW159" s="22" t="n">
        <v>4125</v>
      </c>
      <c r="AX159" s="22" t="n">
        <v>4070</v>
      </c>
      <c r="AY159" s="22" t="n">
        <v>3935</v>
      </c>
      <c r="AZ159" s="22" t="n">
        <v>3830</v>
      </c>
      <c r="BA159" s="22" t="n">
        <v>3730</v>
      </c>
      <c r="BB159" s="22" t="n">
        <v>3680</v>
      </c>
      <c r="BC159" s="22" t="n">
        <v>3760</v>
      </c>
      <c r="BD159" s="22" t="n">
        <v>3650</v>
      </c>
      <c r="BE159" s="22" t="n">
        <v>3445</v>
      </c>
      <c r="BF159" s="22" t="n">
        <v>3400</v>
      </c>
      <c r="BG159" s="22" t="n">
        <v>3630</v>
      </c>
      <c r="BH159" s="22" t="n">
        <v>3855</v>
      </c>
      <c r="BI159" s="22" t="n">
        <v>3735</v>
      </c>
      <c r="BJ159" s="22" t="n">
        <v>3635</v>
      </c>
      <c r="BK159" s="22" t="n">
        <v>3525</v>
      </c>
      <c r="BL159" s="22" t="n">
        <v>3965</v>
      </c>
    </row>
    <row r="160" ht="15.95" customHeight="1" s="574">
      <c r="A160" s="81" t="inlineStr">
        <is>
          <t>4373</t>
        </is>
      </c>
      <c r="B160" s="17" t="inlineStr">
        <is>
          <t>シンプレクスＨＤ</t>
        </is>
      </c>
      <c r="C160" s="655">
        <f>_xll.RssMarket("4373","始値")</f>
        <v/>
      </c>
      <c r="D160" s="656">
        <f>C160-E160</f>
        <v/>
      </c>
      <c r="E160" s="22" t="n">
        <v>930</v>
      </c>
      <c r="F160" s="22" t="n">
        <v>927</v>
      </c>
      <c r="G160" s="22" t="n">
        <v>935</v>
      </c>
      <c r="H160" s="22" t="n">
        <v>966</v>
      </c>
      <c r="I160" s="22" t="n">
        <v>940</v>
      </c>
      <c r="J160" s="22" t="n">
        <v>983</v>
      </c>
      <c r="K160" s="22" t="n">
        <v>991</v>
      </c>
      <c r="L160" s="22" t="n">
        <v>1036</v>
      </c>
      <c r="M160" s="22" t="n">
        <v>1060</v>
      </c>
      <c r="N160" s="22" t="n">
        <v>1074</v>
      </c>
      <c r="O160" s="22" t="n">
        <v>1084</v>
      </c>
      <c r="P160" s="22" t="n">
        <v>1106</v>
      </c>
      <c r="Q160" s="22" t="n">
        <v>1116</v>
      </c>
      <c r="R160" s="22" t="n">
        <v>1158</v>
      </c>
      <c r="S160" s="22" t="n">
        <v>1045</v>
      </c>
      <c r="T160" s="22" t="n">
        <v>1040</v>
      </c>
      <c r="U160" s="22" t="n">
        <v>999</v>
      </c>
      <c r="V160" s="22" t="n">
        <v>1043</v>
      </c>
      <c r="W160" s="22" t="n">
        <v>1035</v>
      </c>
      <c r="X160" s="22" t="n">
        <v>1005</v>
      </c>
      <c r="Y160" s="22" t="n">
        <v>1024</v>
      </c>
      <c r="Z160" s="22" t="n">
        <v>1008</v>
      </c>
      <c r="AA160" s="22" t="n">
        <v>950</v>
      </c>
      <c r="AB160" s="22" t="n">
        <v>945</v>
      </c>
      <c r="AC160" s="22" t="n">
        <v>956</v>
      </c>
      <c r="AD160" s="22" t="n">
        <v>968</v>
      </c>
      <c r="AE160" s="22" t="n">
        <v>960</v>
      </c>
      <c r="AF160" s="22" t="n">
        <v>936</v>
      </c>
      <c r="AG160" s="22" t="n">
        <v>925</v>
      </c>
      <c r="AH160" s="22" t="n">
        <v>891</v>
      </c>
      <c r="AI160" s="22" t="n">
        <v>917</v>
      </c>
      <c r="AJ160" s="22" t="n">
        <v>881</v>
      </c>
      <c r="AK160" s="22" t="n">
        <v>888</v>
      </c>
      <c r="AL160" s="22" t="n">
        <v>921</v>
      </c>
      <c r="AM160" s="22" t="n">
        <v>905</v>
      </c>
      <c r="AN160" s="22" t="n">
        <v>948</v>
      </c>
      <c r="AO160" s="22" t="n">
        <v>945</v>
      </c>
      <c r="AP160" s="22" t="n">
        <v>959</v>
      </c>
      <c r="AQ160" s="22" t="n">
        <v>945</v>
      </c>
      <c r="AR160" s="22" t="n">
        <v>899</v>
      </c>
      <c r="AS160" s="22" t="n">
        <v>933</v>
      </c>
      <c r="AT160" s="22" t="n">
        <v>862</v>
      </c>
      <c r="AU160" s="22" t="n">
        <v>849</v>
      </c>
      <c r="AV160" s="22" t="n">
        <v>803</v>
      </c>
      <c r="AW160" s="22" t="n">
        <v>823</v>
      </c>
      <c r="AX160" s="22" t="n">
        <v>841</v>
      </c>
      <c r="AY160" s="22" t="n">
        <v>855</v>
      </c>
      <c r="AZ160" s="22" t="n">
        <v>835</v>
      </c>
      <c r="BA160" s="22" t="n">
        <v>836</v>
      </c>
      <c r="BB160" s="22" t="n">
        <v>823</v>
      </c>
      <c r="BC160" s="22" t="n">
        <v>816</v>
      </c>
      <c r="BD160" s="22" t="n">
        <v>822</v>
      </c>
      <c r="BE160" s="22" t="n">
        <v>792</v>
      </c>
      <c r="BF160" s="22" t="n">
        <v>769</v>
      </c>
      <c r="BG160" s="22" t="n">
        <v>813</v>
      </c>
      <c r="BH160" s="22" t="n">
        <v>810</v>
      </c>
      <c r="BI160" s="22" t="n">
        <v>811</v>
      </c>
      <c r="BJ160" s="22" t="n">
        <v>818</v>
      </c>
      <c r="BK160" s="22" t="n">
        <v>810</v>
      </c>
      <c r="BL160" s="22" t="n">
        <v>831</v>
      </c>
    </row>
    <row r="161" ht="15.95" customHeight="1" s="574">
      <c r="A161" s="81" t="inlineStr">
        <is>
          <t>8892</t>
        </is>
      </c>
      <c r="B161" s="17" t="inlineStr">
        <is>
          <t>エスコン</t>
        </is>
      </c>
      <c r="C161" s="655">
        <f>_xll.RssMarket("8892","始値")</f>
        <v/>
      </c>
      <c r="D161" s="656">
        <f>C161-E161</f>
        <v/>
      </c>
      <c r="E161" s="22" t="n">
        <v>1062</v>
      </c>
      <c r="F161" s="22" t="n">
        <v>1071</v>
      </c>
      <c r="G161" s="22" t="n">
        <v>1076</v>
      </c>
      <c r="H161" s="22" t="n">
        <v>1105</v>
      </c>
      <c r="I161" s="22" t="n">
        <v>1115</v>
      </c>
      <c r="J161" s="22" t="n">
        <v>1091</v>
      </c>
      <c r="K161" s="22" t="n">
        <v>1109</v>
      </c>
      <c r="L161" s="22" t="n">
        <v>1095</v>
      </c>
      <c r="M161" s="22" t="n">
        <v>1085</v>
      </c>
      <c r="N161" s="22" t="n">
        <v>1069</v>
      </c>
      <c r="O161" s="22" t="n">
        <v>1071</v>
      </c>
      <c r="P161" s="22" t="n">
        <v>1067</v>
      </c>
      <c r="Q161" s="22" t="n">
        <v>1103</v>
      </c>
      <c r="R161" s="22" t="n">
        <v>1109</v>
      </c>
      <c r="S161" s="22" t="n">
        <v>1111</v>
      </c>
      <c r="T161" s="22" t="n">
        <v>1138</v>
      </c>
      <c r="U161" s="22" t="n">
        <v>1133</v>
      </c>
      <c r="V161" s="22" t="n">
        <v>1145</v>
      </c>
      <c r="W161" s="22" t="n">
        <v>1130</v>
      </c>
      <c r="X161" s="22" t="n">
        <v>1118</v>
      </c>
      <c r="Y161" s="22" t="n">
        <v>1152</v>
      </c>
      <c r="Z161" s="22" t="n">
        <v>1160</v>
      </c>
      <c r="AA161" s="22" t="n">
        <v>1171</v>
      </c>
      <c r="AB161" s="22" t="n">
        <v>1174</v>
      </c>
      <c r="AC161" s="22" t="n">
        <v>1162</v>
      </c>
      <c r="AD161" s="22" t="n">
        <v>1171</v>
      </c>
      <c r="AE161" s="22" t="n">
        <v>1152</v>
      </c>
      <c r="AF161" s="22" t="n">
        <v>1171</v>
      </c>
      <c r="AG161" s="22" t="n">
        <v>1175</v>
      </c>
      <c r="AH161" s="22" t="n">
        <v>1200</v>
      </c>
      <c r="AI161" s="22" t="n">
        <v>1170</v>
      </c>
      <c r="AJ161" s="22" t="n">
        <v>1137</v>
      </c>
      <c r="AK161" s="22" t="n">
        <v>1124</v>
      </c>
      <c r="AL161" s="22" t="n">
        <v>1136</v>
      </c>
      <c r="AM161" s="22" t="n">
        <v>1146</v>
      </c>
      <c r="AN161" s="22" t="n">
        <v>1143</v>
      </c>
      <c r="AO161" s="22" t="n">
        <v>1138</v>
      </c>
      <c r="AP161" s="22" t="n">
        <v>1142</v>
      </c>
      <c r="AQ161" s="22" t="n">
        <v>1140</v>
      </c>
      <c r="AR161" s="22" t="n">
        <v>1136</v>
      </c>
      <c r="AS161" s="22" t="n">
        <v>1126</v>
      </c>
      <c r="AT161" s="22" t="n">
        <v>1128</v>
      </c>
      <c r="AU161" s="22" t="n">
        <v>1136</v>
      </c>
      <c r="AV161" s="22" t="n">
        <v>1130</v>
      </c>
      <c r="AW161" s="22" t="n">
        <v>1118</v>
      </c>
      <c r="AX161" s="22" t="n">
        <v>1105</v>
      </c>
      <c r="AY161" s="22" t="n">
        <v>1120</v>
      </c>
      <c r="AZ161" s="22" t="n">
        <v>1128</v>
      </c>
      <c r="BA161" s="22" t="n">
        <v>1095</v>
      </c>
      <c r="BB161" s="22" t="n">
        <v>1084</v>
      </c>
      <c r="BC161" s="22" t="n">
        <v>1060</v>
      </c>
      <c r="BD161" s="22" t="n">
        <v>1141</v>
      </c>
      <c r="BE161" s="22" t="n">
        <v>1146</v>
      </c>
      <c r="BF161" s="22" t="n">
        <v>1132</v>
      </c>
      <c r="BG161" s="22" t="n">
        <v>1125</v>
      </c>
      <c r="BH161" s="22" t="n">
        <v>1119</v>
      </c>
      <c r="BI161" s="22" t="n">
        <v>1139</v>
      </c>
      <c r="BJ161" s="22" t="n">
        <v>1123</v>
      </c>
      <c r="BK161" s="22" t="n">
        <v>1115</v>
      </c>
      <c r="BL161" s="22" t="n">
        <v>1102</v>
      </c>
    </row>
    <row r="162" ht="15.95" customHeight="1" s="574">
      <c r="A162" s="81" t="inlineStr">
        <is>
          <t>9687</t>
        </is>
      </c>
      <c r="B162" s="17" t="inlineStr">
        <is>
          <t>ＫＳＫ</t>
        </is>
      </c>
      <c r="C162" s="655">
        <f>_xll.RssMarket("9687","始値")</f>
        <v/>
      </c>
      <c r="D162" s="656">
        <f>C162-E162</f>
        <v/>
      </c>
      <c r="E162" s="22" t="n">
        <v>4335</v>
      </c>
      <c r="F162" s="22" t="n">
        <v>4245</v>
      </c>
      <c r="G162" s="22" t="n">
        <v>4350</v>
      </c>
      <c r="H162" s="22" t="n">
        <v>4325</v>
      </c>
      <c r="I162" s="22" t="n">
        <v>4335</v>
      </c>
      <c r="J162" s="22" t="n">
        <v>4300</v>
      </c>
      <c r="K162" s="22" t="n">
        <v>4260</v>
      </c>
      <c r="L162" s="22" t="n">
        <v>4300</v>
      </c>
      <c r="M162" s="22" t="n">
        <v>4310</v>
      </c>
      <c r="N162" s="22" t="n">
        <v>4335</v>
      </c>
      <c r="O162" s="22" t="n">
        <v>4325</v>
      </c>
      <c r="P162" s="22" t="n">
        <v>4350</v>
      </c>
      <c r="Q162" s="22" t="n">
        <v>4355</v>
      </c>
      <c r="R162" s="22" t="n">
        <v>4375</v>
      </c>
      <c r="S162" s="22" t="n">
        <v>4380</v>
      </c>
      <c r="T162" s="22" t="n">
        <v>4360</v>
      </c>
      <c r="U162" s="22" t="n">
        <v>4365</v>
      </c>
      <c r="V162" s="22" t="n">
        <v>4330</v>
      </c>
      <c r="W162" s="22" t="n">
        <v>4345</v>
      </c>
      <c r="X162" s="22" t="n">
        <v>4335</v>
      </c>
      <c r="Y162" s="22" t="n">
        <v>4350</v>
      </c>
      <c r="Z162" s="22" t="n">
        <v>4365</v>
      </c>
      <c r="AA162" s="22" t="n">
        <v>4400</v>
      </c>
      <c r="AB162" s="22" t="n">
        <v>4390</v>
      </c>
      <c r="AC162" s="22" t="n">
        <v>4400</v>
      </c>
      <c r="AD162" s="22" t="n">
        <v>4440</v>
      </c>
      <c r="AE162" s="22" t="n">
        <v>4395</v>
      </c>
      <c r="AF162" s="22" t="n">
        <v>4385</v>
      </c>
      <c r="AG162" s="22" t="n">
        <v>4385</v>
      </c>
      <c r="AH162" s="22" t="n">
        <v>4345</v>
      </c>
      <c r="AI162" s="22" t="n">
        <v>4375</v>
      </c>
      <c r="AJ162" s="22" t="n">
        <v>4370</v>
      </c>
      <c r="AK162" s="22" t="n">
        <v>4355</v>
      </c>
      <c r="AL162" s="22" t="n">
        <v>4385</v>
      </c>
      <c r="AM162" s="22" t="n">
        <v>4445</v>
      </c>
      <c r="AN162" s="22" t="n">
        <v>4320</v>
      </c>
      <c r="AO162" s="22" t="n">
        <v>4320</v>
      </c>
      <c r="AP162" s="22" t="n">
        <v>4340</v>
      </c>
      <c r="AQ162" s="22" t="n">
        <v>4350</v>
      </c>
      <c r="AR162" s="22" t="n">
        <v>4435</v>
      </c>
      <c r="AS162" s="22" t="n">
        <v>4455</v>
      </c>
      <c r="AT162" s="22" t="n">
        <v>4395</v>
      </c>
      <c r="AU162" s="22" t="n">
        <v>4355</v>
      </c>
      <c r="AV162" s="22" t="n">
        <v>4370</v>
      </c>
      <c r="AW162" s="22" t="n">
        <v>4405</v>
      </c>
      <c r="AX162" s="22" t="n">
        <v>4365</v>
      </c>
      <c r="AY162" s="22" t="n">
        <v>4365</v>
      </c>
      <c r="AZ162" s="22" t="n">
        <v>4410</v>
      </c>
      <c r="BA162" s="22" t="n">
        <v>4240</v>
      </c>
      <c r="BB162" s="22" t="n">
        <v>4440</v>
      </c>
      <c r="BC162" s="22" t="n">
        <v>4515</v>
      </c>
      <c r="BD162" s="22" t="n">
        <v>4490</v>
      </c>
      <c r="BE162" s="22" t="n">
        <v>4465</v>
      </c>
      <c r="BF162" s="22" t="n">
        <v>4350</v>
      </c>
      <c r="BG162" s="22" t="n">
        <v>4450</v>
      </c>
      <c r="BH162" s="22" t="n">
        <v>4495</v>
      </c>
      <c r="BI162" s="22" t="n">
        <v>4410</v>
      </c>
      <c r="BJ162" s="22" t="n">
        <v>4400</v>
      </c>
      <c r="BK162" s="22" t="n">
        <v>4360</v>
      </c>
      <c r="BL162" s="22" t="n">
        <v>4440</v>
      </c>
    </row>
    <row r="163" ht="15.95" customHeight="1" s="574">
      <c r="A163" s="81" t="inlineStr">
        <is>
          <t>1930</t>
        </is>
      </c>
      <c r="B163" s="17" t="inlineStr">
        <is>
          <t>北陸電気工事</t>
        </is>
      </c>
      <c r="C163" s="655">
        <f>_xll.RssMarket("1930","始値")</f>
        <v/>
      </c>
      <c r="D163" s="656">
        <f>C163-E163</f>
        <v/>
      </c>
      <c r="E163" s="22" t="n">
        <v>1702</v>
      </c>
      <c r="F163" s="22" t="n">
        <v>1752</v>
      </c>
      <c r="G163" s="22" t="n">
        <v>1700</v>
      </c>
      <c r="H163" s="22" t="n">
        <v>1664</v>
      </c>
      <c r="I163" s="22" t="n">
        <v>1715</v>
      </c>
      <c r="J163" s="22" t="n">
        <v>1655</v>
      </c>
      <c r="K163" s="22" t="n">
        <v>1612</v>
      </c>
      <c r="L163" s="22" t="n">
        <v>1586</v>
      </c>
      <c r="M163" s="22" t="n">
        <v>1588</v>
      </c>
      <c r="N163" s="22" t="n">
        <v>1589</v>
      </c>
      <c r="O163" s="22" t="n">
        <v>1567</v>
      </c>
      <c r="P163" s="22" t="n">
        <v>1573</v>
      </c>
      <c r="Q163" s="22" t="n">
        <v>1582</v>
      </c>
      <c r="R163" s="22" t="n">
        <v>1619</v>
      </c>
      <c r="S163" s="22" t="n">
        <v>1711</v>
      </c>
      <c r="T163" s="22" t="n">
        <v>1664</v>
      </c>
      <c r="U163" s="22" t="n">
        <v>1739</v>
      </c>
      <c r="V163" s="22" t="n">
        <v>1645</v>
      </c>
      <c r="W163" s="22" t="n">
        <v>1595</v>
      </c>
      <c r="X163" s="22" t="n">
        <v>1612</v>
      </c>
      <c r="Y163" s="22" t="n">
        <v>1636</v>
      </c>
      <c r="Z163" s="22" t="n">
        <v>1602</v>
      </c>
      <c r="AA163" s="22" t="n">
        <v>1647</v>
      </c>
      <c r="AB163" s="22" t="n">
        <v>1684</v>
      </c>
      <c r="AC163" s="22" t="n">
        <v>1750</v>
      </c>
      <c r="AD163" s="22" t="n">
        <v>1766</v>
      </c>
      <c r="AE163" s="22" t="n">
        <v>1721</v>
      </c>
      <c r="AF163" s="22" t="n">
        <v>1700</v>
      </c>
      <c r="AG163" s="22" t="n">
        <v>1642</v>
      </c>
      <c r="AH163" s="22" t="n">
        <v>1740</v>
      </c>
      <c r="AI163" s="22" t="n">
        <v>1690</v>
      </c>
      <c r="AJ163" s="22" t="n">
        <v>1647</v>
      </c>
      <c r="AK163" s="22" t="n">
        <v>1472</v>
      </c>
      <c r="AL163" s="22" t="n">
        <v>1459</v>
      </c>
      <c r="AM163" s="22" t="n">
        <v>1447</v>
      </c>
      <c r="AN163" s="22" t="n">
        <v>1445</v>
      </c>
      <c r="AO163" s="22" t="n">
        <v>1472</v>
      </c>
      <c r="AP163" s="22" t="n">
        <v>1475</v>
      </c>
      <c r="AQ163" s="22" t="n">
        <v>1477</v>
      </c>
      <c r="AR163" s="22" t="n">
        <v>1469</v>
      </c>
      <c r="AS163" s="22" t="n">
        <v>1453</v>
      </c>
      <c r="AT163" s="22" t="n">
        <v>1464</v>
      </c>
      <c r="AU163" s="22" t="n">
        <v>1444</v>
      </c>
      <c r="AV163" s="22" t="n">
        <v>1458</v>
      </c>
      <c r="AW163" s="22" t="n">
        <v>1496</v>
      </c>
      <c r="AX163" s="22" t="n">
        <v>1520</v>
      </c>
      <c r="AY163" s="22" t="n">
        <v>1522</v>
      </c>
      <c r="AZ163" s="22" t="n">
        <v>1467</v>
      </c>
      <c r="BA163" s="22" t="n">
        <v>1455</v>
      </c>
      <c r="BB163" s="22" t="n">
        <v>1463</v>
      </c>
      <c r="BC163" s="22" t="n">
        <v>1474</v>
      </c>
      <c r="BD163" s="22" t="n">
        <v>1458</v>
      </c>
      <c r="BE163" s="22" t="n">
        <v>1416</v>
      </c>
      <c r="BF163" s="22" t="n">
        <v>1423</v>
      </c>
      <c r="BG163" s="22" t="n">
        <v>1500</v>
      </c>
      <c r="BH163" s="22" t="n">
        <v>1527</v>
      </c>
      <c r="BI163" s="22" t="n">
        <v>1513</v>
      </c>
      <c r="BJ163" s="22" t="n">
        <v>1506</v>
      </c>
      <c r="BK163" s="22" t="n">
        <v>1493</v>
      </c>
      <c r="BL163" s="22" t="n">
        <v>1588</v>
      </c>
    </row>
    <row r="164" ht="15.95" customHeight="1" s="574">
      <c r="A164" s="81" t="inlineStr">
        <is>
          <t>8704</t>
        </is>
      </c>
      <c r="B164" s="17" t="inlineStr">
        <is>
          <t>トレイダーズＨＬＤＧＳ</t>
        </is>
      </c>
      <c r="C164" s="655">
        <f>_xll.RssMarket("8704","始値")</f>
        <v/>
      </c>
      <c r="D164" s="656">
        <f>C164-E164</f>
        <v/>
      </c>
      <c r="E164" s="22" t="n">
        <v>1164</v>
      </c>
      <c r="F164" s="22" t="n">
        <v>1165</v>
      </c>
      <c r="G164" s="22" t="n">
        <v>1170</v>
      </c>
      <c r="H164" s="22" t="n">
        <v>1146</v>
      </c>
      <c r="I164" s="22" t="n">
        <v>1166</v>
      </c>
      <c r="J164" s="22" t="n">
        <v>1158</v>
      </c>
      <c r="K164" s="22" t="n">
        <v>1123</v>
      </c>
      <c r="L164" s="22" t="n">
        <v>1084</v>
      </c>
      <c r="M164" s="22" t="n">
        <v>1140</v>
      </c>
      <c r="N164" s="22" t="n">
        <v>1110</v>
      </c>
      <c r="O164" s="22" t="n">
        <v>1113</v>
      </c>
      <c r="P164" s="22" t="n">
        <v>1162</v>
      </c>
      <c r="Q164" s="22" t="n">
        <v>1195</v>
      </c>
      <c r="R164" s="22" t="n">
        <v>1200</v>
      </c>
      <c r="S164" s="22" t="n">
        <v>1153</v>
      </c>
      <c r="T164" s="22" t="n">
        <v>1142</v>
      </c>
      <c r="U164" s="22" t="n">
        <v>1161</v>
      </c>
      <c r="V164" s="22" t="n">
        <v>1135</v>
      </c>
      <c r="W164" s="22" t="n">
        <v>1134</v>
      </c>
      <c r="X164" s="22" t="n">
        <v>1125</v>
      </c>
      <c r="Y164" s="22" t="n">
        <v>1126</v>
      </c>
      <c r="Z164" s="22" t="n">
        <v>1152</v>
      </c>
      <c r="AA164" s="22" t="n">
        <v>1170</v>
      </c>
      <c r="AB164" s="22" t="n">
        <v>1172</v>
      </c>
      <c r="AC164" s="22" t="n">
        <v>1210</v>
      </c>
      <c r="AD164" s="22" t="n">
        <v>1198</v>
      </c>
      <c r="AE164" s="22" t="n">
        <v>1231</v>
      </c>
      <c r="AF164" s="22" t="n">
        <v>1215</v>
      </c>
      <c r="AG164" s="22" t="n">
        <v>1180</v>
      </c>
      <c r="AH164" s="22" t="n">
        <v>1148</v>
      </c>
      <c r="AI164" s="22" t="n">
        <v>1151</v>
      </c>
      <c r="AJ164" s="22" t="n">
        <v>1078</v>
      </c>
      <c r="AK164" s="22" t="n">
        <v>1029</v>
      </c>
      <c r="AL164" s="22" t="n">
        <v>1029</v>
      </c>
      <c r="AM164" s="22" t="n">
        <v>1036</v>
      </c>
      <c r="AN164" s="22" t="n">
        <v>1042</v>
      </c>
      <c r="AO164" s="22" t="n">
        <v>1061</v>
      </c>
      <c r="AP164" s="22" t="n">
        <v>1059</v>
      </c>
      <c r="AQ164" s="22" t="n">
        <v>1050</v>
      </c>
      <c r="AR164" s="22" t="n">
        <v>1062</v>
      </c>
      <c r="AS164" s="22" t="n">
        <v>1055</v>
      </c>
      <c r="AT164" s="22" t="n">
        <v>1049</v>
      </c>
      <c r="AU164" s="22" t="n">
        <v>1040</v>
      </c>
      <c r="AV164" s="22" t="n">
        <v>1047</v>
      </c>
      <c r="AW164" s="22" t="n">
        <v>1058</v>
      </c>
      <c r="AX164" s="22" t="n">
        <v>1075</v>
      </c>
      <c r="AY164" s="22" t="n">
        <v>1062</v>
      </c>
      <c r="AZ164" s="22" t="n">
        <v>1040</v>
      </c>
      <c r="BA164" s="22" t="n">
        <v>1040</v>
      </c>
      <c r="BB164" s="22" t="n">
        <v>1038</v>
      </c>
      <c r="BC164" s="22" t="n">
        <v>1052</v>
      </c>
      <c r="BD164" s="22" t="n">
        <v>1022</v>
      </c>
      <c r="BE164" s="22" t="n">
        <v>1017</v>
      </c>
      <c r="BF164" s="22" t="n">
        <v>1000</v>
      </c>
      <c r="BG164" s="22" t="n">
        <v>1041</v>
      </c>
      <c r="BH164" s="22" t="n">
        <v>1072</v>
      </c>
      <c r="BI164" s="22" t="n">
        <v>1038</v>
      </c>
      <c r="BJ164" s="22" t="n">
        <v>1020</v>
      </c>
      <c r="BK164" s="22" t="n">
        <v>1001</v>
      </c>
      <c r="BL164" s="22" t="n">
        <v>1046</v>
      </c>
    </row>
    <row r="165" ht="15.95" customHeight="1" s="574">
      <c r="A165" s="81" t="inlineStr">
        <is>
          <t>4733</t>
        </is>
      </c>
      <c r="B165" s="17" t="inlineStr">
        <is>
          <t>オービックビジネスＣ</t>
        </is>
      </c>
      <c r="C165" s="655">
        <f>_xll.RssMarket("4733","始値")</f>
        <v/>
      </c>
      <c r="D165" s="656">
        <f>C165-E165</f>
        <v/>
      </c>
      <c r="E165" s="22" t="n">
        <v>5674</v>
      </c>
      <c r="F165" s="22" t="n">
        <v>5842</v>
      </c>
      <c r="G165" s="22" t="n">
        <v>5890</v>
      </c>
      <c r="H165" s="22" t="n">
        <v>5844</v>
      </c>
      <c r="I165" s="22" t="n">
        <v>5830</v>
      </c>
      <c r="J165" s="22" t="n">
        <v>5890</v>
      </c>
      <c r="K165" s="22" t="n">
        <v>5880</v>
      </c>
      <c r="L165" s="22" t="n">
        <v>5914</v>
      </c>
      <c r="M165" s="22" t="n">
        <v>5935</v>
      </c>
      <c r="N165" s="22" t="n">
        <v>6068</v>
      </c>
      <c r="O165" s="22" t="n">
        <v>6070</v>
      </c>
      <c r="P165" s="22" t="n">
        <v>6063</v>
      </c>
      <c r="Q165" s="22" t="n">
        <v>6224</v>
      </c>
      <c r="R165" s="22" t="n">
        <v>6500</v>
      </c>
      <c r="S165" s="22" t="n">
        <v>6088</v>
      </c>
      <c r="T165" s="22" t="n">
        <v>6113</v>
      </c>
      <c r="U165" s="22" t="n">
        <v>5970</v>
      </c>
      <c r="V165" s="22" t="n">
        <v>6091</v>
      </c>
      <c r="W165" s="22" t="n">
        <v>6050</v>
      </c>
      <c r="X165" s="22" t="n">
        <v>6100</v>
      </c>
      <c r="Y165" s="22" t="n">
        <v>6227</v>
      </c>
      <c r="Z165" s="22" t="n">
        <v>6210</v>
      </c>
      <c r="AA165" s="22" t="n">
        <v>6113</v>
      </c>
      <c r="AB165" s="22" t="n">
        <v>6052</v>
      </c>
      <c r="AC165" s="22" t="n">
        <v>6142</v>
      </c>
      <c r="AD165" s="22" t="n">
        <v>6131</v>
      </c>
      <c r="AE165" s="22" t="n">
        <v>6070</v>
      </c>
      <c r="AF165" s="22" t="n">
        <v>6287</v>
      </c>
      <c r="AG165" s="22" t="n">
        <v>6222</v>
      </c>
      <c r="AH165" s="22" t="n">
        <v>6075</v>
      </c>
      <c r="AI165" s="22" t="n">
        <v>6107</v>
      </c>
      <c r="AJ165" s="22" t="n">
        <v>6159</v>
      </c>
      <c r="AK165" s="22" t="n">
        <v>6156</v>
      </c>
      <c r="AL165" s="22" t="n">
        <v>6296</v>
      </c>
      <c r="AM165" s="22" t="n">
        <v>6170</v>
      </c>
      <c r="AN165" s="22" t="n">
        <v>6630</v>
      </c>
      <c r="AO165" s="22" t="n">
        <v>6781</v>
      </c>
      <c r="AP165" s="22" t="n">
        <v>6745</v>
      </c>
      <c r="AQ165" s="22" t="n">
        <v>6741</v>
      </c>
      <c r="AR165" s="22" t="n">
        <v>6683</v>
      </c>
      <c r="AS165" s="22" t="n">
        <v>6913</v>
      </c>
      <c r="AT165" s="22" t="n">
        <v>6603</v>
      </c>
      <c r="AU165" s="22" t="n">
        <v>6664</v>
      </c>
      <c r="AV165" s="22" t="n">
        <v>6087</v>
      </c>
      <c r="AW165" s="22" t="n">
        <v>6261</v>
      </c>
      <c r="AX165" s="22" t="n">
        <v>6397</v>
      </c>
      <c r="AY165" s="22" t="n">
        <v>6500</v>
      </c>
      <c r="AZ165" s="22" t="n">
        <v>6334</v>
      </c>
      <c r="BA165" s="22" t="n">
        <v>6340</v>
      </c>
      <c r="BB165" s="22" t="n">
        <v>6351</v>
      </c>
      <c r="BC165" s="22" t="n">
        <v>6337</v>
      </c>
      <c r="BD165" s="22" t="n">
        <v>6341</v>
      </c>
      <c r="BE165" s="22" t="n">
        <v>6264</v>
      </c>
      <c r="BF165" s="22" t="n">
        <v>6014</v>
      </c>
      <c r="BG165" s="22" t="n">
        <v>6250</v>
      </c>
      <c r="BH165" s="22" t="n">
        <v>6114</v>
      </c>
      <c r="BI165" s="22" t="n">
        <v>6140</v>
      </c>
      <c r="BJ165" s="22" t="n">
        <v>6215</v>
      </c>
      <c r="BK165" s="22" t="n">
        <v>6076</v>
      </c>
      <c r="BL165" s="22" t="n">
        <v>6240</v>
      </c>
    </row>
    <row r="166" ht="15.95" customHeight="1" s="574">
      <c r="A166" s="81" t="inlineStr">
        <is>
          <t>9733</t>
        </is>
      </c>
      <c r="B166" s="17" t="inlineStr">
        <is>
          <t>ナガセ</t>
        </is>
      </c>
      <c r="C166" s="655">
        <f>_xll.RssMarket("9733","始値")</f>
        <v/>
      </c>
      <c r="D166" s="656">
        <f>C166-E166</f>
        <v/>
      </c>
      <c r="E166" s="22" t="n">
        <v>2212</v>
      </c>
      <c r="F166" s="22" t="n">
        <v>2200</v>
      </c>
      <c r="G166" s="22" t="n">
        <v>2201</v>
      </c>
      <c r="H166" s="22" t="n">
        <v>2234</v>
      </c>
      <c r="I166" s="22" t="n">
        <v>2235</v>
      </c>
      <c r="J166" s="22" t="n">
        <v>2250</v>
      </c>
      <c r="K166" s="22" t="n">
        <v>2230</v>
      </c>
      <c r="L166" s="22" t="n">
        <v>2246</v>
      </c>
      <c r="M166" s="22" t="n">
        <v>2251</v>
      </c>
      <c r="N166" s="22" t="n">
        <v>2190</v>
      </c>
      <c r="O166" s="22" t="n">
        <v>2187</v>
      </c>
      <c r="P166" s="22" t="n">
        <v>2201</v>
      </c>
      <c r="Q166" s="22" t="n">
        <v>2232</v>
      </c>
      <c r="R166" s="22" t="n">
        <v>2266</v>
      </c>
      <c r="S166" s="22" t="n">
        <v>2241</v>
      </c>
      <c r="T166" s="22" t="n">
        <v>2255</v>
      </c>
      <c r="U166" s="22" t="n">
        <v>2301</v>
      </c>
      <c r="V166" s="22" t="n">
        <v>2313</v>
      </c>
      <c r="W166" s="22" t="n">
        <v>2315</v>
      </c>
      <c r="X166" s="22" t="n">
        <v>2320</v>
      </c>
      <c r="Y166" s="22" t="n">
        <v>2275</v>
      </c>
      <c r="Z166" s="22" t="n">
        <v>2280</v>
      </c>
      <c r="AA166" s="22" t="n">
        <v>2270</v>
      </c>
      <c r="AB166" s="22" t="n">
        <v>2272</v>
      </c>
      <c r="AC166" s="22" t="n">
        <v>2260</v>
      </c>
      <c r="AD166" s="22" t="n">
        <v>2285</v>
      </c>
      <c r="AE166" s="22" t="n">
        <v>2280</v>
      </c>
      <c r="AF166" s="22" t="n">
        <v>2279</v>
      </c>
      <c r="AG166" s="22" t="n">
        <v>2340</v>
      </c>
      <c r="AH166" s="22" t="n">
        <v>2300</v>
      </c>
      <c r="AI166" s="22" t="n">
        <v>2335</v>
      </c>
      <c r="AJ166" s="22" t="n">
        <v>2300</v>
      </c>
      <c r="AK166" s="22" t="n">
        <v>2301</v>
      </c>
      <c r="AL166" s="22" t="n">
        <v>2345</v>
      </c>
      <c r="AM166" s="22" t="n">
        <v>2370</v>
      </c>
      <c r="AN166" s="22" t="n">
        <v>2352</v>
      </c>
      <c r="AO166" s="22" t="n">
        <v>2401</v>
      </c>
      <c r="AP166" s="22" t="n">
        <v>2460</v>
      </c>
      <c r="AQ166" s="22" t="n">
        <v>2479</v>
      </c>
      <c r="AR166" s="22" t="n">
        <v>2448</v>
      </c>
      <c r="AS166" s="22" t="n">
        <v>2481</v>
      </c>
      <c r="AT166" s="22" t="n">
        <v>2510</v>
      </c>
      <c r="AU166" s="22" t="n">
        <v>2528</v>
      </c>
      <c r="AV166" s="22" t="n">
        <v>2535</v>
      </c>
      <c r="AW166" s="22" t="n">
        <v>2578</v>
      </c>
      <c r="AX166" s="22" t="n">
        <v>2535</v>
      </c>
      <c r="AY166" s="22" t="n">
        <v>2500</v>
      </c>
      <c r="AZ166" s="22" t="n">
        <v>2473</v>
      </c>
      <c r="BA166" s="22" t="n">
        <v>2474</v>
      </c>
      <c r="BB166" s="22" t="n">
        <v>2435</v>
      </c>
      <c r="BC166" s="22" t="n">
        <v>2401</v>
      </c>
      <c r="BD166" s="22" t="n">
        <v>2551</v>
      </c>
      <c r="BE166" s="22" t="n">
        <v>2443</v>
      </c>
      <c r="BF166" s="22" t="n">
        <v>2800</v>
      </c>
      <c r="BG166" s="22" t="n">
        <v>2825</v>
      </c>
      <c r="BH166" s="22" t="n">
        <v>2752</v>
      </c>
      <c r="BI166" s="22" t="n">
        <v>2734</v>
      </c>
      <c r="BJ166" s="22" t="n">
        <v>2750</v>
      </c>
      <c r="BK166" s="22" t="n">
        <v>2800</v>
      </c>
      <c r="BL166" s="22" t="n">
        <v>2789</v>
      </c>
    </row>
    <row r="167" ht="15.95" customHeight="1" s="574">
      <c r="A167" s="81" t="inlineStr">
        <is>
          <t>9551</t>
        </is>
      </c>
      <c r="B167" s="17" t="inlineStr">
        <is>
          <t>メタウォーター</t>
        </is>
      </c>
      <c r="C167" s="655">
        <f>_xll.RssMarket("9551","始値")</f>
        <v/>
      </c>
      <c r="D167" s="656">
        <f>C167-E167</f>
        <v/>
      </c>
      <c r="E167" s="22" t="n">
        <v>3475</v>
      </c>
      <c r="F167" s="22" t="n">
        <v>3490</v>
      </c>
      <c r="G167" s="22" t="n">
        <v>3435</v>
      </c>
      <c r="H167" s="22" t="n">
        <v>3365</v>
      </c>
      <c r="I167" s="22" t="n">
        <v>3375</v>
      </c>
      <c r="J167" s="22" t="n">
        <v>3205</v>
      </c>
      <c r="K167" s="22" t="n">
        <v>3145</v>
      </c>
      <c r="L167" s="22" t="n">
        <v>3110</v>
      </c>
      <c r="M167" s="22" t="n">
        <v>3205</v>
      </c>
      <c r="N167" s="22" t="n">
        <v>3200</v>
      </c>
      <c r="O167" s="22" t="n">
        <v>3290</v>
      </c>
      <c r="P167" s="22" t="n">
        <v>3280</v>
      </c>
      <c r="Q167" s="22" t="n">
        <v>3275</v>
      </c>
      <c r="R167" s="22" t="n">
        <v>3320</v>
      </c>
      <c r="S167" s="22" t="n">
        <v>3525</v>
      </c>
      <c r="T167" s="22" t="n">
        <v>3245</v>
      </c>
      <c r="U167" s="22" t="n">
        <v>3320</v>
      </c>
      <c r="V167" s="22" t="n">
        <v>3305</v>
      </c>
      <c r="W167" s="22" t="n">
        <v>3295</v>
      </c>
      <c r="X167" s="22" t="n">
        <v>3300</v>
      </c>
      <c r="Y167" s="22" t="n">
        <v>3265</v>
      </c>
      <c r="Z167" s="22" t="n">
        <v>3380</v>
      </c>
      <c r="AA167" s="22" t="n">
        <v>3490</v>
      </c>
      <c r="AB167" s="22" t="n">
        <v>3465</v>
      </c>
      <c r="AC167" s="22" t="n">
        <v>3440</v>
      </c>
      <c r="AD167" s="22" t="n">
        <v>3395</v>
      </c>
      <c r="AE167" s="22" t="n">
        <v>3385</v>
      </c>
      <c r="AF167" s="22" t="n">
        <v>3440</v>
      </c>
      <c r="AG167" s="22" t="n">
        <v>3430</v>
      </c>
      <c r="AH167" s="22" t="n">
        <v>3435</v>
      </c>
      <c r="AI167" s="22" t="n">
        <v>3410</v>
      </c>
      <c r="AJ167" s="22" t="n">
        <v>3360</v>
      </c>
      <c r="AK167" s="22" t="n">
        <v>3325</v>
      </c>
      <c r="AL167" s="22" t="n">
        <v>3410</v>
      </c>
      <c r="AM167" s="22" t="n">
        <v>3665</v>
      </c>
      <c r="AN167" s="22" t="n">
        <v>3625</v>
      </c>
      <c r="AO167" s="22" t="n">
        <v>3690</v>
      </c>
      <c r="AP167" s="22" t="n">
        <v>3685</v>
      </c>
      <c r="AQ167" s="22" t="n">
        <v>3735</v>
      </c>
      <c r="AR167" s="22" t="n">
        <v>3720</v>
      </c>
      <c r="AS167" s="22" t="n">
        <v>3665</v>
      </c>
      <c r="AT167" s="22" t="n">
        <v>3720</v>
      </c>
      <c r="AU167" s="22" t="n">
        <v>3700</v>
      </c>
      <c r="AV167" s="22" t="n">
        <v>3660</v>
      </c>
      <c r="AW167" s="22" t="n">
        <v>3750</v>
      </c>
      <c r="AX167" s="22" t="n">
        <v>3720</v>
      </c>
      <c r="AY167" s="22" t="n">
        <v>3740</v>
      </c>
      <c r="AZ167" s="22" t="n">
        <v>3580</v>
      </c>
      <c r="BA167" s="22" t="n">
        <v>3555</v>
      </c>
      <c r="BB167" s="22" t="n">
        <v>3530</v>
      </c>
      <c r="BC167" s="22" t="n">
        <v>3600</v>
      </c>
      <c r="BD167" s="22" t="n">
        <v>3515</v>
      </c>
      <c r="BE167" s="22" t="n">
        <v>3355</v>
      </c>
      <c r="BF167" s="22" t="n">
        <v>3345</v>
      </c>
      <c r="BG167" s="22" t="n">
        <v>3460</v>
      </c>
      <c r="BH167" s="22" t="n">
        <v>3570</v>
      </c>
      <c r="BI167" s="22" t="n">
        <v>3550</v>
      </c>
      <c r="BJ167" s="22" t="n">
        <v>3470</v>
      </c>
      <c r="BK167" s="22" t="n">
        <v>3430</v>
      </c>
      <c r="BL167" s="22" t="n">
        <v>3650</v>
      </c>
    </row>
    <row r="168" ht="15.95" customHeight="1" s="574">
      <c r="A168" s="81" t="inlineStr">
        <is>
          <t>2359</t>
        </is>
      </c>
      <c r="B168" s="17" t="inlineStr">
        <is>
          <t>コア</t>
        </is>
      </c>
      <c r="C168" s="655">
        <f>_xll.RssMarket("2359","始値")</f>
        <v/>
      </c>
      <c r="D168" s="656">
        <f>C168-E168</f>
        <v/>
      </c>
      <c r="E168" s="22" t="n">
        <v>2038</v>
      </c>
      <c r="F168" s="22" t="n">
        <v>2028</v>
      </c>
      <c r="G168" s="22" t="n">
        <v>2020</v>
      </c>
      <c r="H168" s="22" t="n">
        <v>2010</v>
      </c>
      <c r="I168" s="22" t="n">
        <v>2007</v>
      </c>
      <c r="J168" s="22" t="n">
        <v>2019</v>
      </c>
      <c r="K168" s="22" t="n">
        <v>2006</v>
      </c>
      <c r="L168" s="22" t="n">
        <v>2027</v>
      </c>
      <c r="M168" s="22" t="n">
        <v>2017</v>
      </c>
      <c r="N168" s="22" t="n">
        <v>2033</v>
      </c>
      <c r="O168" s="22" t="n">
        <v>2061</v>
      </c>
      <c r="P168" s="22" t="n">
        <v>2021</v>
      </c>
      <c r="Q168" s="22" t="n">
        <v>2043</v>
      </c>
      <c r="R168" s="22" t="n">
        <v>2034</v>
      </c>
      <c r="S168" s="22" t="n">
        <v>2072</v>
      </c>
      <c r="T168" s="22" t="n">
        <v>2037</v>
      </c>
      <c r="U168" s="22" t="n">
        <v>2095</v>
      </c>
      <c r="V168" s="22" t="n">
        <v>2149</v>
      </c>
      <c r="W168" s="22" t="n">
        <v>2125</v>
      </c>
      <c r="X168" s="22" t="n">
        <v>2118</v>
      </c>
      <c r="Y168" s="22" t="n">
        <v>2086</v>
      </c>
      <c r="Z168" s="22" t="n">
        <v>2050</v>
      </c>
      <c r="AA168" s="22" t="n">
        <v>2064</v>
      </c>
      <c r="AB168" s="22" t="n">
        <v>2051</v>
      </c>
      <c r="AC168" s="22" t="n">
        <v>2023</v>
      </c>
      <c r="AD168" s="22" t="n">
        <v>2010</v>
      </c>
      <c r="AE168" s="22" t="n">
        <v>2027</v>
      </c>
      <c r="AF168" s="22" t="n">
        <v>1993</v>
      </c>
      <c r="AG168" s="22" t="n">
        <v>2035</v>
      </c>
      <c r="AH168" s="22" t="n">
        <v>2050</v>
      </c>
      <c r="AI168" s="22" t="n">
        <v>2055</v>
      </c>
      <c r="AJ168" s="22" t="n">
        <v>2230</v>
      </c>
      <c r="AK168" s="22" t="n">
        <v>2147</v>
      </c>
      <c r="AL168" s="22" t="n">
        <v>2167</v>
      </c>
      <c r="AM168" s="22" t="n">
        <v>2200</v>
      </c>
      <c r="AN168" s="22" t="n">
        <v>2248</v>
      </c>
      <c r="AO168" s="22" t="n">
        <v>2249</v>
      </c>
      <c r="AP168" s="22" t="n">
        <v>2251</v>
      </c>
      <c r="AQ168" s="22" t="n">
        <v>2248</v>
      </c>
      <c r="AR168" s="22" t="n">
        <v>2243</v>
      </c>
      <c r="AS168" s="22" t="n">
        <v>2250</v>
      </c>
      <c r="AT168" s="22" t="n">
        <v>2240</v>
      </c>
      <c r="AU168" s="22" t="n">
        <v>2241</v>
      </c>
      <c r="AV168" s="22" t="n">
        <v>2274</v>
      </c>
      <c r="AW168" s="22" t="n">
        <v>2301</v>
      </c>
      <c r="AX168" s="22" t="n">
        <v>2290</v>
      </c>
      <c r="AY168" s="22" t="n">
        <v>2251</v>
      </c>
      <c r="AZ168" s="22" t="n">
        <v>2274</v>
      </c>
      <c r="BA168" s="22" t="n">
        <v>2283</v>
      </c>
      <c r="BB168" s="22" t="n">
        <v>2280</v>
      </c>
      <c r="BC168" s="22" t="n">
        <v>2280</v>
      </c>
      <c r="BD168" s="22" t="n">
        <v>2223</v>
      </c>
      <c r="BE168" s="22" t="n">
        <v>2184</v>
      </c>
      <c r="BF168" s="22" t="n">
        <v>2315</v>
      </c>
      <c r="BG168" s="22" t="n">
        <v>2294</v>
      </c>
      <c r="BH168" s="22" t="n">
        <v>2212</v>
      </c>
      <c r="BI168" s="22" t="n">
        <v>2182</v>
      </c>
      <c r="BJ168" s="22" t="n">
        <v>2170</v>
      </c>
      <c r="BK168" s="22" t="n">
        <v>2208</v>
      </c>
      <c r="BL168" s="22" t="n">
        <v>2190</v>
      </c>
    </row>
    <row r="169" ht="15.95" customHeight="1" s="574">
      <c r="A169" s="81" t="inlineStr">
        <is>
          <t>8103</t>
        </is>
      </c>
      <c r="B169" s="17" t="inlineStr">
        <is>
          <t>明和産業</t>
        </is>
      </c>
      <c r="C169" s="655">
        <f>_xll.RssMarket("8103","始値")</f>
        <v/>
      </c>
      <c r="D169" s="656">
        <f>C169-E169</f>
        <v/>
      </c>
      <c r="E169" s="22" t="n">
        <v>869</v>
      </c>
      <c r="F169" s="22" t="n">
        <v>868</v>
      </c>
      <c r="G169" s="22" t="n">
        <v>875</v>
      </c>
      <c r="H169" s="22" t="n">
        <v>876</v>
      </c>
      <c r="I169" s="22" t="n">
        <v>880</v>
      </c>
      <c r="J169" s="22" t="n">
        <v>872</v>
      </c>
      <c r="K169" s="22" t="n">
        <v>862</v>
      </c>
      <c r="L169" s="22" t="n">
        <v>867</v>
      </c>
      <c r="M169" s="22" t="n">
        <v>880</v>
      </c>
      <c r="N169" s="22" t="n">
        <v>864</v>
      </c>
      <c r="O169" s="22" t="n">
        <v>885</v>
      </c>
      <c r="P169" s="22" t="n">
        <v>884</v>
      </c>
      <c r="Q169" s="22" t="n">
        <v>880</v>
      </c>
      <c r="R169" s="22" t="n">
        <v>892</v>
      </c>
      <c r="S169" s="22" t="n">
        <v>885</v>
      </c>
      <c r="T169" s="22" t="n">
        <v>899</v>
      </c>
      <c r="U169" s="22" t="n">
        <v>903</v>
      </c>
      <c r="V169" s="22" t="n">
        <v>894</v>
      </c>
      <c r="W169" s="22" t="n">
        <v>898</v>
      </c>
      <c r="X169" s="22" t="n">
        <v>908</v>
      </c>
      <c r="Y169" s="22" t="n">
        <v>912</v>
      </c>
      <c r="Z169" s="22" t="n">
        <v>900</v>
      </c>
      <c r="AA169" s="22" t="n">
        <v>907</v>
      </c>
      <c r="AB169" s="22" t="n">
        <v>900</v>
      </c>
      <c r="AC169" s="22" t="n">
        <v>881</v>
      </c>
      <c r="AD169" s="22" t="n">
        <v>888</v>
      </c>
      <c r="AE169" s="22" t="n">
        <v>895</v>
      </c>
      <c r="AF169" s="22" t="n">
        <v>901</v>
      </c>
      <c r="AG169" s="22" t="n">
        <v>860</v>
      </c>
      <c r="AH169" s="22" t="n">
        <v>837</v>
      </c>
      <c r="AI169" s="22" t="n">
        <v>771</v>
      </c>
      <c r="AJ169" s="22" t="n">
        <v>767</v>
      </c>
      <c r="AK169" s="22" t="n">
        <v>770</v>
      </c>
      <c r="AL169" s="22" t="n">
        <v>767</v>
      </c>
      <c r="AM169" s="22" t="n">
        <v>770</v>
      </c>
      <c r="AN169" s="22" t="n">
        <v>773</v>
      </c>
      <c r="AO169" s="22" t="n">
        <v>782</v>
      </c>
      <c r="AP169" s="22" t="n">
        <v>783</v>
      </c>
      <c r="AQ169" s="22" t="n">
        <v>780</v>
      </c>
      <c r="AR169" s="22" t="n">
        <v>773</v>
      </c>
      <c r="AS169" s="22" t="n">
        <v>782</v>
      </c>
      <c r="AT169" s="22" t="n">
        <v>790</v>
      </c>
      <c r="AU169" s="22" t="n">
        <v>796</v>
      </c>
      <c r="AV169" s="22" t="n">
        <v>803</v>
      </c>
      <c r="AW169" s="22" t="n">
        <v>804</v>
      </c>
      <c r="AX169" s="22" t="n">
        <v>803</v>
      </c>
      <c r="AY169" s="22" t="n">
        <v>792</v>
      </c>
      <c r="AZ169" s="22" t="n">
        <v>792</v>
      </c>
      <c r="BA169" s="22" t="n">
        <v>795</v>
      </c>
      <c r="BB169" s="22" t="n">
        <v>806</v>
      </c>
      <c r="BC169" s="22" t="n">
        <v>799</v>
      </c>
      <c r="BD169" s="22" t="n">
        <v>786</v>
      </c>
      <c r="BE169" s="22" t="n">
        <v>764</v>
      </c>
      <c r="BF169" s="22" t="n">
        <v>822</v>
      </c>
      <c r="BG169" s="22" t="n">
        <v>830</v>
      </c>
      <c r="BH169" s="22" t="n">
        <v>826</v>
      </c>
      <c r="BI169" s="22" t="n">
        <v>816</v>
      </c>
      <c r="BJ169" s="22" t="n">
        <v>806</v>
      </c>
      <c r="BK169" s="22" t="n">
        <v>827</v>
      </c>
      <c r="BL169" s="22" t="n">
        <v>823</v>
      </c>
    </row>
    <row r="170" ht="15.95" customHeight="1" s="574">
      <c r="A170" s="81" t="inlineStr">
        <is>
          <t>4709</t>
        </is>
      </c>
      <c r="B170" s="17" t="inlineStr">
        <is>
          <t>ＩＤホールディングス</t>
        </is>
      </c>
      <c r="C170" s="655">
        <f>_xll.RssMarket("4709","始値")</f>
        <v/>
      </c>
      <c r="D170" s="656">
        <f>C170-E170</f>
        <v/>
      </c>
      <c r="E170" s="22" t="n">
        <v>1054</v>
      </c>
      <c r="F170" s="22" t="n">
        <v>1071</v>
      </c>
      <c r="G170" s="22" t="n">
        <v>1090</v>
      </c>
      <c r="H170" s="22" t="n">
        <v>1112</v>
      </c>
      <c r="I170" s="22" t="n">
        <v>1080</v>
      </c>
      <c r="J170" s="22" t="n">
        <v>1062</v>
      </c>
      <c r="K170" s="22" t="n">
        <v>1045</v>
      </c>
      <c r="L170" s="22" t="n">
        <v>1097</v>
      </c>
      <c r="M170" s="22" t="n">
        <v>1042</v>
      </c>
      <c r="N170" s="22" t="n">
        <v>995</v>
      </c>
      <c r="O170" s="22" t="n">
        <v>998</v>
      </c>
      <c r="P170" s="22" t="n">
        <v>992</v>
      </c>
      <c r="Q170" s="22" t="n">
        <v>1024</v>
      </c>
      <c r="R170" s="22" t="n">
        <v>1028</v>
      </c>
      <c r="S170" s="22" t="n">
        <v>1032</v>
      </c>
      <c r="T170" s="22" t="n">
        <v>1008</v>
      </c>
      <c r="U170" s="22" t="n">
        <v>1015</v>
      </c>
      <c r="V170" s="22" t="n">
        <v>1049</v>
      </c>
      <c r="W170" s="22" t="n">
        <v>1043</v>
      </c>
      <c r="X170" s="22" t="n">
        <v>1046</v>
      </c>
      <c r="Y170" s="22" t="n">
        <v>1047</v>
      </c>
      <c r="Z170" s="22" t="n">
        <v>1017</v>
      </c>
      <c r="AA170" s="22" t="n">
        <v>1036</v>
      </c>
      <c r="AB170" s="22" t="n">
        <v>1018</v>
      </c>
      <c r="AC170" s="22" t="n">
        <v>1065</v>
      </c>
      <c r="AD170" s="22" t="n">
        <v>1075</v>
      </c>
      <c r="AE170" s="22" t="n">
        <v>1074</v>
      </c>
      <c r="AF170" s="22" t="n">
        <v>1058</v>
      </c>
      <c r="AG170" s="22" t="n">
        <v>1035</v>
      </c>
      <c r="AH170" s="22" t="n">
        <v>1040</v>
      </c>
      <c r="AI170" s="22" t="n">
        <v>1024</v>
      </c>
      <c r="AJ170" s="22" t="n">
        <v>896</v>
      </c>
      <c r="AK170" s="22" t="n">
        <v>899</v>
      </c>
      <c r="AL170" s="22" t="n">
        <v>890</v>
      </c>
      <c r="AM170" s="22" t="n">
        <v>896</v>
      </c>
      <c r="AN170" s="22" t="n">
        <v>905</v>
      </c>
      <c r="AO170" s="22" t="n">
        <v>918</v>
      </c>
      <c r="AP170" s="22" t="n">
        <v>922</v>
      </c>
      <c r="AQ170" s="22" t="n">
        <v>946</v>
      </c>
      <c r="AR170" s="22" t="n">
        <v>932</v>
      </c>
      <c r="AS170" s="22" t="n">
        <v>941</v>
      </c>
      <c r="AT170" s="22" t="n">
        <v>918</v>
      </c>
      <c r="AU170" s="22" t="n">
        <v>930</v>
      </c>
      <c r="AV170" s="22" t="n">
        <v>922</v>
      </c>
      <c r="AW170" s="22" t="n">
        <v>938</v>
      </c>
      <c r="AX170" s="22" t="n">
        <v>956</v>
      </c>
      <c r="AY170" s="22" t="n">
        <v>967</v>
      </c>
      <c r="AZ170" s="22" t="n">
        <v>951</v>
      </c>
      <c r="BA170" s="22" t="n">
        <v>944</v>
      </c>
      <c r="BB170" s="22" t="n">
        <v>940</v>
      </c>
      <c r="BC170" s="22" t="n">
        <v>953</v>
      </c>
      <c r="BD170" s="22" t="n">
        <v>950</v>
      </c>
      <c r="BE170" s="22" t="n">
        <v>922</v>
      </c>
      <c r="BF170" s="22" t="n">
        <v>930</v>
      </c>
      <c r="BG170" s="22" t="n">
        <v>944.5</v>
      </c>
      <c r="BH170" s="22" t="n">
        <v>952.5</v>
      </c>
      <c r="BI170" s="22" t="n">
        <v>946</v>
      </c>
      <c r="BJ170" s="22" t="n">
        <v>925</v>
      </c>
      <c r="BK170" s="22" t="n">
        <v>925.5</v>
      </c>
      <c r="BL170" s="22" t="n">
        <v>959</v>
      </c>
    </row>
    <row r="171" ht="15.95" customHeight="1" s="574">
      <c r="A171" s="81" t="inlineStr">
        <is>
          <t>7981</t>
        </is>
      </c>
      <c r="B171" s="17" t="inlineStr">
        <is>
          <t>タカラスタンダ－ド</t>
        </is>
      </c>
      <c r="C171" s="655">
        <f>_xll.RssMarket("7981","始値")</f>
        <v/>
      </c>
      <c r="D171" s="656">
        <f>C171-E171</f>
        <v/>
      </c>
      <c r="E171" s="22" t="n">
        <v>3005</v>
      </c>
      <c r="F171" s="22" t="n">
        <v>3060</v>
      </c>
      <c r="G171" s="22" t="n">
        <v>3025</v>
      </c>
      <c r="H171" s="22" t="n">
        <v>3010</v>
      </c>
      <c r="I171" s="22" t="n">
        <v>3015</v>
      </c>
      <c r="J171" s="22" t="n">
        <v>3010</v>
      </c>
      <c r="K171" s="22" t="n">
        <v>2999</v>
      </c>
      <c r="L171" s="22" t="n">
        <v>2951</v>
      </c>
      <c r="M171" s="22" t="n">
        <v>2962</v>
      </c>
      <c r="N171" s="22" t="n">
        <v>2917</v>
      </c>
      <c r="O171" s="22" t="n">
        <v>2944</v>
      </c>
      <c r="P171" s="22" t="n">
        <v>2924</v>
      </c>
      <c r="Q171" s="22" t="n">
        <v>2923</v>
      </c>
      <c r="R171" s="22" t="n">
        <v>2932</v>
      </c>
      <c r="S171" s="22" t="n">
        <v>2935</v>
      </c>
      <c r="T171" s="22" t="n">
        <v>2975</v>
      </c>
      <c r="U171" s="22" t="n">
        <v>2946</v>
      </c>
      <c r="V171" s="22" t="n">
        <v>2973</v>
      </c>
      <c r="W171" s="22" t="n">
        <v>2900</v>
      </c>
      <c r="X171" s="22" t="n">
        <v>2945</v>
      </c>
      <c r="Y171" s="22" t="n">
        <v>2925</v>
      </c>
      <c r="Z171" s="22" t="n">
        <v>2990</v>
      </c>
      <c r="AA171" s="22" t="n">
        <v>3005</v>
      </c>
      <c r="AB171" s="22" t="n">
        <v>2988</v>
      </c>
      <c r="AC171" s="22" t="n">
        <v>3025</v>
      </c>
      <c r="AD171" s="22" t="n">
        <v>3095</v>
      </c>
      <c r="AE171" s="22" t="n">
        <v>3050</v>
      </c>
      <c r="AF171" s="22" t="n">
        <v>3200</v>
      </c>
      <c r="AG171" s="22" t="n">
        <v>3045</v>
      </c>
      <c r="AH171" s="22" t="n">
        <v>2992</v>
      </c>
      <c r="AI171" s="22" t="n">
        <v>2811</v>
      </c>
      <c r="AJ171" s="22" t="n">
        <v>2750</v>
      </c>
      <c r="AK171" s="22" t="n">
        <v>2675</v>
      </c>
      <c r="AL171" s="22" t="n">
        <v>2668</v>
      </c>
      <c r="AM171" s="22" t="n">
        <v>2660</v>
      </c>
      <c r="AN171" s="22" t="n">
        <v>2675</v>
      </c>
      <c r="AO171" s="22" t="n">
        <v>2714</v>
      </c>
      <c r="AP171" s="22" t="n">
        <v>2749</v>
      </c>
      <c r="AQ171" s="22" t="n">
        <v>2771</v>
      </c>
      <c r="AR171" s="22" t="n">
        <v>2755</v>
      </c>
      <c r="AS171" s="22" t="n">
        <v>2698</v>
      </c>
      <c r="AT171" s="22" t="n">
        <v>2763</v>
      </c>
      <c r="AU171" s="22" t="n">
        <v>2906</v>
      </c>
      <c r="AV171" s="22" t="n">
        <v>2980</v>
      </c>
      <c r="AW171" s="22" t="n">
        <v>2928</v>
      </c>
      <c r="AX171" s="22" t="n">
        <v>2905</v>
      </c>
      <c r="AY171" s="22" t="n">
        <v>2819</v>
      </c>
      <c r="AZ171" s="22" t="n">
        <v>2798</v>
      </c>
      <c r="BA171" s="22" t="n">
        <v>2778</v>
      </c>
      <c r="BB171" s="22" t="n">
        <v>2815</v>
      </c>
      <c r="BC171" s="22" t="n">
        <v>2820</v>
      </c>
      <c r="BD171" s="22" t="n">
        <v>2732</v>
      </c>
      <c r="BE171" s="22" t="n">
        <v>2688</v>
      </c>
      <c r="BF171" s="22" t="n">
        <v>2866</v>
      </c>
      <c r="BG171" s="22" t="n">
        <v>2863</v>
      </c>
      <c r="BH171" s="22" t="n">
        <v>2834</v>
      </c>
      <c r="BI171" s="22" t="n">
        <v>2777</v>
      </c>
      <c r="BJ171" s="22" t="n">
        <v>2776</v>
      </c>
      <c r="BK171" s="22" t="n">
        <v>2857</v>
      </c>
      <c r="BL171" s="22" t="n">
        <v>2878</v>
      </c>
    </row>
    <row r="172" ht="15.95" customHeight="1" s="574">
      <c r="A172" s="81" t="inlineStr">
        <is>
          <t>8303</t>
        </is>
      </c>
      <c r="B172" s="17" t="inlineStr">
        <is>
          <t>ＳＢＩ新生銀行</t>
        </is>
      </c>
      <c r="C172" s="655">
        <f>_xll.RssMarket("8303","始値")</f>
        <v/>
      </c>
      <c r="D172" s="656">
        <f>C172-E172</f>
        <v/>
      </c>
      <c r="E172" s="22" t="n">
        <v>1440</v>
      </c>
      <c r="F172" s="22" t="n">
        <v>1492.5</v>
      </c>
      <c r="G172" s="22" t="n">
        <v>1453</v>
      </c>
      <c r="H172" s="22" t="n">
        <v>1470</v>
      </c>
      <c r="I172" s="22" t="n">
        <v>1493</v>
      </c>
      <c r="J172" s="22" t="n">
        <v>1476</v>
      </c>
      <c r="K172" s="22" t="n">
        <v>1420</v>
      </c>
      <c r="L172" s="22" t="n">
        <v>1460</v>
      </c>
      <c r="M172" s="22" t="n">
        <v>1491</v>
      </c>
      <c r="N172" s="22" t="n">
        <v>1366</v>
      </c>
      <c r="O172" s="22" t="n">
        <v>1448</v>
      </c>
      <c r="P172" s="22" t="n">
        <v>1401.5</v>
      </c>
      <c r="Q172" s="22" t="n">
        <v>1364</v>
      </c>
      <c r="R172" s="22" t="n">
        <v>1351</v>
      </c>
      <c r="S172" s="22" t="n">
        <v>1369</v>
      </c>
      <c r="T172" s="22" t="n">
        <v>1392</v>
      </c>
      <c r="U172" s="22" t="n">
        <v>1412.5</v>
      </c>
      <c r="V172" s="22" t="n">
        <v>1480</v>
      </c>
      <c r="W172" s="22" t="n">
        <v>1501</v>
      </c>
      <c r="X172" s="22" t="n">
        <v>1571</v>
      </c>
      <c r="Y172" s="22" t="n">
        <v>1595.5</v>
      </c>
      <c r="Z172" s="22" t="n">
        <v>1640</v>
      </c>
      <c r="AA172" s="22" t="n">
        <v>1647</v>
      </c>
      <c r="AB172" s="22" t="n">
        <v>1618</v>
      </c>
      <c r="AC172" s="22" t="n">
        <v>1651</v>
      </c>
      <c r="AD172" s="22" t="n">
        <v>1650</v>
      </c>
      <c r="AE172" s="22" t="n">
        <v>1640</v>
      </c>
      <c r="AF172" s="22" t="n">
        <v>1669</v>
      </c>
      <c r="AG172" s="22" t="n">
        <v>1679</v>
      </c>
      <c r="AH172" s="22" t="n">
        <v>1718.5</v>
      </c>
      <c r="AI172" s="22" t="n">
        <v>1828.5</v>
      </c>
      <c r="AJ172" s="22" t="n">
        <v>1826</v>
      </c>
      <c r="AK172" s="22" t="n">
        <v>1760</v>
      </c>
      <c r="AL172" s="22" t="n">
        <v>1683</v>
      </c>
      <c r="AM172" s="22" t="n">
        <v>1690</v>
      </c>
      <c r="AN172" s="22" t="n">
        <v>1620</v>
      </c>
      <c r="AO172" s="22" t="n">
        <v>1658.5</v>
      </c>
      <c r="AP172" s="22" t="n">
        <v>1677</v>
      </c>
      <c r="AQ172" s="22" t="n">
        <v>1690</v>
      </c>
      <c r="AR172" s="22" t="n">
        <v>1717</v>
      </c>
      <c r="AS172" s="22" t="n">
        <v>1703</v>
      </c>
      <c r="AT172" s="22" t="n">
        <v>1685</v>
      </c>
      <c r="AU172" s="22" t="n">
        <v>1697</v>
      </c>
      <c r="AV172" s="22" t="n">
        <v>1698</v>
      </c>
      <c r="AW172" s="22" t="n">
        <v>1731</v>
      </c>
      <c r="AX172" s="22" t="n">
        <v>1757</v>
      </c>
      <c r="AY172" s="22" t="n">
        <v>1812.5</v>
      </c>
      <c r="AZ172" s="22" t="n">
        <v>1775</v>
      </c>
      <c r="BA172" s="22" t="n">
        <v>1739.5</v>
      </c>
      <c r="BB172" s="22" t="n">
        <v>1731.5</v>
      </c>
      <c r="BC172" s="22" t="n">
        <v>1769.5</v>
      </c>
      <c r="BD172" s="22" t="n">
        <v>1711</v>
      </c>
      <c r="BE172" s="22" t="n">
        <v>1683</v>
      </c>
      <c r="BF172" s="22" t="n">
        <v>1643</v>
      </c>
      <c r="BG172" s="22" t="n">
        <v>1677</v>
      </c>
      <c r="BH172" s="22" t="n">
        <v>1709.5</v>
      </c>
      <c r="BI172" s="22" t="n">
        <v>1716</v>
      </c>
      <c r="BJ172" s="22" t="n">
        <v>1685.5</v>
      </c>
      <c r="BK172" s="22" t="n">
        <v>1650</v>
      </c>
      <c r="BL172" s="22" t="n">
        <v>1680</v>
      </c>
    </row>
    <row r="173" ht="15.95" customHeight="1" s="574">
      <c r="A173" s="81" t="inlineStr">
        <is>
          <t>4382</t>
        </is>
      </c>
      <c r="B173" s="17" t="inlineStr">
        <is>
          <t>ＨＥＲＯＺ</t>
        </is>
      </c>
      <c r="C173" s="655">
        <f>_xll.RssMarket("4382","始値")</f>
        <v/>
      </c>
      <c r="D173" s="656">
        <f>C173-E173</f>
        <v/>
      </c>
      <c r="E173" s="22" t="n">
        <v>730</v>
      </c>
      <c r="F173" s="22" t="n">
        <v>770</v>
      </c>
      <c r="G173" s="22" t="n">
        <v>795</v>
      </c>
      <c r="H173" s="22" t="n">
        <v>792</v>
      </c>
      <c r="I173" s="22" t="n">
        <v>788</v>
      </c>
      <c r="J173" s="22" t="n">
        <v>849</v>
      </c>
      <c r="K173" s="22" t="n">
        <v>782</v>
      </c>
      <c r="L173" s="22" t="n">
        <v>751</v>
      </c>
      <c r="M173" s="22" t="n">
        <v>810</v>
      </c>
      <c r="N173" s="22" t="n">
        <v>698</v>
      </c>
      <c r="O173" s="22" t="n">
        <v>696</v>
      </c>
      <c r="P173" s="22" t="n">
        <v>698</v>
      </c>
      <c r="Q173" s="22" t="n">
        <v>701</v>
      </c>
      <c r="R173" s="22" t="n">
        <v>703</v>
      </c>
      <c r="S173" s="22" t="n">
        <v>720</v>
      </c>
      <c r="T173" s="22" t="n">
        <v>747</v>
      </c>
      <c r="U173" s="22" t="n">
        <v>751</v>
      </c>
      <c r="V173" s="22" t="n">
        <v>771</v>
      </c>
      <c r="W173" s="22" t="n">
        <v>766</v>
      </c>
      <c r="X173" s="22" t="n">
        <v>765</v>
      </c>
      <c r="Y173" s="22" t="n">
        <v>774</v>
      </c>
      <c r="Z173" s="22" t="n">
        <v>762</v>
      </c>
      <c r="AA173" s="22" t="n">
        <v>775</v>
      </c>
      <c r="AB173" s="22" t="n">
        <v>781</v>
      </c>
      <c r="AC173" s="22" t="n">
        <v>786</v>
      </c>
      <c r="AD173" s="22" t="n">
        <v>787</v>
      </c>
      <c r="AE173" s="22" t="n">
        <v>804</v>
      </c>
      <c r="AF173" s="22" t="n">
        <v>805</v>
      </c>
      <c r="AG173" s="22" t="n">
        <v>821</v>
      </c>
      <c r="AH173" s="22" t="n">
        <v>812</v>
      </c>
      <c r="AI173" s="22" t="n">
        <v>810</v>
      </c>
      <c r="AJ173" s="22" t="n">
        <v>812</v>
      </c>
      <c r="AK173" s="22" t="n">
        <v>831</v>
      </c>
      <c r="AL173" s="22" t="n">
        <v>843</v>
      </c>
      <c r="AM173" s="22" t="n">
        <v>851</v>
      </c>
      <c r="AN173" s="22" t="n">
        <v>860</v>
      </c>
      <c r="AO173" s="22" t="n">
        <v>860</v>
      </c>
      <c r="AP173" s="22" t="n">
        <v>881</v>
      </c>
      <c r="AQ173" s="22" t="n">
        <v>900</v>
      </c>
      <c r="AR173" s="22" t="n">
        <v>879</v>
      </c>
      <c r="AS173" s="22" t="n">
        <v>872</v>
      </c>
      <c r="AT173" s="22" t="n">
        <v>869</v>
      </c>
      <c r="AU173" s="22" t="n">
        <v>850</v>
      </c>
      <c r="AV173" s="22" t="n">
        <v>868</v>
      </c>
      <c r="AW173" s="22" t="n">
        <v>881</v>
      </c>
      <c r="AX173" s="22" t="n">
        <v>887</v>
      </c>
      <c r="AY173" s="22" t="n">
        <v>875</v>
      </c>
      <c r="AZ173" s="22" t="n">
        <v>865</v>
      </c>
      <c r="BA173" s="22" t="n">
        <v>851</v>
      </c>
      <c r="BB173" s="22" t="n">
        <v>867</v>
      </c>
      <c r="BC173" s="22" t="n">
        <v>853</v>
      </c>
      <c r="BD173" s="22" t="n">
        <v>821</v>
      </c>
      <c r="BE173" s="22" t="n">
        <v>811</v>
      </c>
      <c r="BF173" s="22" t="n">
        <v>802</v>
      </c>
      <c r="BG173" s="22" t="n">
        <v>823</v>
      </c>
      <c r="BH173" s="22" t="n">
        <v>820</v>
      </c>
      <c r="BI173" s="22" t="n">
        <v>801</v>
      </c>
      <c r="BJ173" s="22" t="n">
        <v>822</v>
      </c>
      <c r="BK173" s="22" t="n">
        <v>861</v>
      </c>
      <c r="BL173" s="22" t="n">
        <v>863</v>
      </c>
    </row>
    <row r="174" ht="15.95" customHeight="1" s="574">
      <c r="A174" s="81" t="inlineStr">
        <is>
          <t>2327</t>
        </is>
      </c>
      <c r="B174" s="17" t="inlineStr">
        <is>
          <t>日鉄ソリューションズ</t>
        </is>
      </c>
      <c r="C174" s="655">
        <f>_xll.RssMarket("2327","始値")</f>
        <v/>
      </c>
      <c r="D174" s="656">
        <f>C174-E174</f>
        <v/>
      </c>
      <c r="E174" s="22" t="n">
        <v>3206</v>
      </c>
      <c r="F174" s="22" t="n">
        <v>3243</v>
      </c>
      <c r="G174" s="22" t="n">
        <v>3116</v>
      </c>
      <c r="H174" s="22" t="n">
        <v>3133</v>
      </c>
      <c r="I174" s="22" t="n">
        <v>3220</v>
      </c>
      <c r="J174" s="22" t="n">
        <v>3250</v>
      </c>
      <c r="K174" s="22" t="n">
        <v>3234</v>
      </c>
      <c r="L174" s="22" t="n">
        <v>3243</v>
      </c>
      <c r="M174" s="22" t="n">
        <v>3285</v>
      </c>
      <c r="N174" s="22" t="n">
        <v>3351</v>
      </c>
      <c r="O174" s="22" t="n">
        <v>3480</v>
      </c>
      <c r="P174" s="22" t="n">
        <v>3362</v>
      </c>
      <c r="Q174" s="22" t="n">
        <v>3512</v>
      </c>
      <c r="R174" s="22" t="n">
        <v>3570</v>
      </c>
      <c r="S174" s="22" t="n">
        <v>3499</v>
      </c>
      <c r="T174" s="22" t="n">
        <v>3568</v>
      </c>
      <c r="U174" s="22" t="n">
        <v>3607</v>
      </c>
      <c r="V174" s="22" t="n">
        <v>3598</v>
      </c>
      <c r="W174" s="22" t="n">
        <v>3516</v>
      </c>
      <c r="X174" s="22" t="n">
        <v>3542</v>
      </c>
      <c r="Y174" s="22" t="n">
        <v>3600</v>
      </c>
      <c r="Z174" s="22" t="n">
        <v>3548</v>
      </c>
      <c r="AA174" s="22" t="n">
        <v>3510</v>
      </c>
      <c r="AB174" s="22" t="n">
        <v>3500</v>
      </c>
      <c r="AC174" s="22" t="n">
        <v>3515</v>
      </c>
      <c r="AD174" s="22" t="n">
        <v>3639</v>
      </c>
      <c r="AE174" s="22" t="n">
        <v>3630</v>
      </c>
      <c r="AF174" s="22" t="n">
        <v>3638</v>
      </c>
      <c r="AG174" s="22" t="n">
        <v>3643</v>
      </c>
      <c r="AH174" s="22" t="n">
        <v>3586</v>
      </c>
      <c r="AI174" s="22" t="n">
        <v>3536</v>
      </c>
      <c r="AJ174" s="22" t="n">
        <v>3641</v>
      </c>
      <c r="AK174" s="22" t="n">
        <v>3524</v>
      </c>
      <c r="AL174" s="22" t="n">
        <v>3680</v>
      </c>
      <c r="AM174" s="22" t="n">
        <v>3638</v>
      </c>
      <c r="AN174" s="22" t="n">
        <v>3833</v>
      </c>
      <c r="AO174" s="22" t="n">
        <v>3881</v>
      </c>
      <c r="AP174" s="22" t="n">
        <v>3879</v>
      </c>
      <c r="AQ174" s="22" t="n">
        <v>3897</v>
      </c>
      <c r="AR174" s="22" t="n">
        <v>3903</v>
      </c>
      <c r="AS174" s="22" t="n">
        <v>3933</v>
      </c>
      <c r="AT174" s="22" t="n">
        <v>3820</v>
      </c>
      <c r="AU174" s="22" t="n">
        <v>3790</v>
      </c>
      <c r="AV174" s="22" t="n">
        <v>3754</v>
      </c>
      <c r="AW174" s="22" t="n">
        <v>3771</v>
      </c>
      <c r="AX174" s="22" t="n">
        <v>3845</v>
      </c>
      <c r="AY174" s="22" t="n">
        <v>3942</v>
      </c>
      <c r="AZ174" s="22" t="n">
        <v>3875</v>
      </c>
      <c r="BA174" s="22" t="n">
        <v>3839</v>
      </c>
      <c r="BB174" s="22" t="n">
        <v>3740</v>
      </c>
      <c r="BC174" s="22" t="n">
        <v>3666</v>
      </c>
      <c r="BD174" s="22" t="n">
        <v>3771</v>
      </c>
      <c r="BE174" s="22" t="n">
        <v>3663</v>
      </c>
      <c r="BF174" s="22" t="n">
        <v>3599</v>
      </c>
      <c r="BG174" s="22" t="n">
        <v>3707</v>
      </c>
      <c r="BH174" s="22" t="n">
        <v>3638</v>
      </c>
      <c r="BI174" s="22" t="n">
        <v>3674</v>
      </c>
      <c r="BJ174" s="22" t="n">
        <v>3712</v>
      </c>
      <c r="BK174" s="22" t="n">
        <v>3683</v>
      </c>
      <c r="BL174" s="22" t="n">
        <v>3720</v>
      </c>
    </row>
    <row r="175" ht="15.95" customHeight="1" s="574">
      <c r="A175" s="81" t="inlineStr">
        <is>
          <t>1942</t>
        </is>
      </c>
      <c r="B175" s="17" t="inlineStr">
        <is>
          <t>関電工</t>
        </is>
      </c>
      <c r="C175" s="655">
        <f>_xll.RssMarket("1942","始値")</f>
        <v/>
      </c>
      <c r="D175" s="656">
        <f>C175-E175</f>
        <v/>
      </c>
      <c r="E175" s="22" t="n">
        <v>6720</v>
      </c>
      <c r="F175" s="22" t="n">
        <v>6660</v>
      </c>
      <c r="G175" s="22" t="n">
        <v>6499</v>
      </c>
      <c r="H175" s="22" t="n">
        <v>6400</v>
      </c>
      <c r="I175" s="22" t="n">
        <v>6320</v>
      </c>
      <c r="J175" s="22" t="n">
        <v>6163</v>
      </c>
      <c r="K175" s="22" t="n">
        <v>5944</v>
      </c>
      <c r="L175" s="22" t="n">
        <v>5862</v>
      </c>
      <c r="M175" s="22" t="n">
        <v>6033</v>
      </c>
      <c r="N175" s="22" t="n">
        <v>5814</v>
      </c>
      <c r="O175" s="22" t="n">
        <v>5823</v>
      </c>
      <c r="P175" s="22" t="n">
        <v>5820</v>
      </c>
      <c r="Q175" s="22" t="n">
        <v>6000</v>
      </c>
      <c r="R175" s="22" t="n">
        <v>6007</v>
      </c>
      <c r="S175" s="22" t="n">
        <v>6579</v>
      </c>
      <c r="T175" s="22" t="n">
        <v>6492</v>
      </c>
      <c r="U175" s="22" t="n">
        <v>6682</v>
      </c>
      <c r="V175" s="22" t="n">
        <v>6060</v>
      </c>
      <c r="W175" s="22" t="n">
        <v>6105</v>
      </c>
      <c r="X175" s="22" t="n">
        <v>6250</v>
      </c>
      <c r="Y175" s="22" t="n">
        <v>6322</v>
      </c>
      <c r="Z175" s="22" t="n">
        <v>6500</v>
      </c>
      <c r="AA175" s="22" t="n">
        <v>6800</v>
      </c>
      <c r="AB175" s="22" t="n">
        <v>6968</v>
      </c>
      <c r="AC175" s="22" t="n">
        <v>7250</v>
      </c>
      <c r="AD175" s="22" t="n">
        <v>7280</v>
      </c>
      <c r="AE175" s="22" t="n">
        <v>7270</v>
      </c>
      <c r="AF175" s="22" t="n">
        <v>7050</v>
      </c>
      <c r="AG175" s="22" t="n">
        <v>6912</v>
      </c>
      <c r="AH175" s="22" t="n">
        <v>6834</v>
      </c>
      <c r="AI175" s="22" t="n">
        <v>6900</v>
      </c>
      <c r="AJ175" s="22" t="n">
        <v>6697</v>
      </c>
      <c r="AK175" s="22" t="n">
        <v>6412</v>
      </c>
      <c r="AL175" s="22" t="n">
        <v>6004</v>
      </c>
      <c r="AM175" s="22" t="n">
        <v>6096</v>
      </c>
      <c r="AN175" s="22" t="n">
        <v>6002</v>
      </c>
      <c r="AO175" s="22" t="n">
        <v>6122</v>
      </c>
      <c r="AP175" s="22" t="n">
        <v>6167</v>
      </c>
      <c r="AQ175" s="22" t="n">
        <v>6190</v>
      </c>
      <c r="AR175" s="22" t="n">
        <v>6154</v>
      </c>
      <c r="AS175" s="22" t="n">
        <v>6091</v>
      </c>
      <c r="AT175" s="22" t="n">
        <v>6375</v>
      </c>
      <c r="AU175" s="22" t="n">
        <v>6280</v>
      </c>
      <c r="AV175" s="22" t="n">
        <v>6265</v>
      </c>
      <c r="AW175" s="22" t="n">
        <v>6399</v>
      </c>
      <c r="AX175" s="22" t="n">
        <v>6366</v>
      </c>
      <c r="AY175" s="22" t="n">
        <v>6350</v>
      </c>
      <c r="AZ175" s="22" t="n">
        <v>6080</v>
      </c>
      <c r="BA175" s="22" t="n">
        <v>6110</v>
      </c>
      <c r="BB175" s="22" t="n">
        <v>6122</v>
      </c>
      <c r="BC175" s="22" t="n">
        <v>6280</v>
      </c>
      <c r="BD175" s="22" t="n">
        <v>6098</v>
      </c>
      <c r="BE175" s="22" t="n">
        <v>5795</v>
      </c>
      <c r="BF175" s="22" t="n">
        <v>5910</v>
      </c>
      <c r="BG175" s="22" t="n">
        <v>6206</v>
      </c>
      <c r="BH175" s="22" t="n">
        <v>6375</v>
      </c>
      <c r="BI175" s="22" t="n">
        <v>6298</v>
      </c>
      <c r="BJ175" s="22" t="n">
        <v>6098</v>
      </c>
      <c r="BK175" s="22" t="n">
        <v>5995</v>
      </c>
      <c r="BL175" s="22" t="n">
        <v>6206</v>
      </c>
    </row>
    <row r="176" ht="15.95" customHeight="1" s="574">
      <c r="A176" s="81" t="inlineStr">
        <is>
          <t>1938</t>
        </is>
      </c>
      <c r="B176" s="17" t="inlineStr">
        <is>
          <t>日本リーテック</t>
        </is>
      </c>
      <c r="C176" s="655">
        <f>_xll.RssMarket("1938","始値")</f>
        <v/>
      </c>
      <c r="D176" s="656">
        <f>C176-E176</f>
        <v/>
      </c>
      <c r="E176" s="22" t="n">
        <v>2790</v>
      </c>
      <c r="F176" s="22" t="n">
        <v>2800</v>
      </c>
      <c r="G176" s="22" t="n">
        <v>2775</v>
      </c>
      <c r="H176" s="22" t="n">
        <v>2804</v>
      </c>
      <c r="I176" s="22" t="n">
        <v>2760</v>
      </c>
      <c r="J176" s="22" t="n">
        <v>2740</v>
      </c>
      <c r="K176" s="22" t="n">
        <v>2714</v>
      </c>
      <c r="L176" s="22" t="n">
        <v>2698</v>
      </c>
      <c r="M176" s="22" t="n">
        <v>2728</v>
      </c>
      <c r="N176" s="22" t="n">
        <v>2722</v>
      </c>
      <c r="O176" s="22" t="n">
        <v>2777</v>
      </c>
      <c r="P176" s="22" t="n">
        <v>2705</v>
      </c>
      <c r="Q176" s="22" t="n">
        <v>2748</v>
      </c>
      <c r="R176" s="22" t="n">
        <v>2688</v>
      </c>
      <c r="S176" s="22" t="n">
        <v>2799</v>
      </c>
      <c r="T176" s="22" t="n">
        <v>2761</v>
      </c>
      <c r="U176" s="22" t="n">
        <v>2850</v>
      </c>
      <c r="V176" s="22" t="n">
        <v>2687</v>
      </c>
      <c r="W176" s="22" t="n">
        <v>2664</v>
      </c>
      <c r="X176" s="22" t="n">
        <v>2735</v>
      </c>
      <c r="Y176" s="22" t="n">
        <v>2759</v>
      </c>
      <c r="Z176" s="22" t="n">
        <v>2849</v>
      </c>
      <c r="AA176" s="22" t="n">
        <v>2879</v>
      </c>
      <c r="AB176" s="22" t="n">
        <v>2988</v>
      </c>
      <c r="AC176" s="22" t="n">
        <v>3005</v>
      </c>
      <c r="AD176" s="22" t="n">
        <v>3150</v>
      </c>
      <c r="AE176" s="22" t="n">
        <v>2994</v>
      </c>
      <c r="AF176" s="22" t="n">
        <v>2924</v>
      </c>
      <c r="AG176" s="22" t="n">
        <v>2887</v>
      </c>
      <c r="AH176" s="22" t="n">
        <v>2879</v>
      </c>
      <c r="AI176" s="22" t="n">
        <v>2733</v>
      </c>
      <c r="AJ176" s="22" t="n">
        <v>2689</v>
      </c>
      <c r="AK176" s="22" t="n">
        <v>2585</v>
      </c>
      <c r="AL176" s="22" t="n">
        <v>2532</v>
      </c>
      <c r="AM176" s="22" t="n">
        <v>2575</v>
      </c>
      <c r="AN176" s="22" t="n">
        <v>2506</v>
      </c>
      <c r="AO176" s="22" t="n">
        <v>2570</v>
      </c>
      <c r="AP176" s="22" t="n">
        <v>2571</v>
      </c>
      <c r="AQ176" s="22" t="n">
        <v>2545</v>
      </c>
      <c r="AR176" s="22" t="n">
        <v>2585</v>
      </c>
      <c r="AS176" s="22" t="n">
        <v>2591</v>
      </c>
      <c r="AT176" s="22" t="n">
        <v>2658</v>
      </c>
      <c r="AU176" s="22" t="n">
        <v>2701</v>
      </c>
      <c r="AV176" s="22" t="n">
        <v>2604</v>
      </c>
      <c r="AW176" s="22" t="n">
        <v>2680</v>
      </c>
      <c r="AX176" s="22" t="n">
        <v>2705</v>
      </c>
      <c r="AY176" s="22" t="n">
        <v>2611</v>
      </c>
      <c r="AZ176" s="22" t="n">
        <v>2515</v>
      </c>
      <c r="BA176" s="22" t="n">
        <v>2537</v>
      </c>
      <c r="BB176" s="22" t="n">
        <v>2535</v>
      </c>
      <c r="BC176" s="22" t="n">
        <v>2592</v>
      </c>
      <c r="BD176" s="22" t="n">
        <v>2573</v>
      </c>
      <c r="BE176" s="22" t="n">
        <v>2488</v>
      </c>
      <c r="BF176" s="22" t="n">
        <v>2471</v>
      </c>
      <c r="BG176" s="22" t="n">
        <v>2598</v>
      </c>
      <c r="BH176" s="22" t="n">
        <v>2695</v>
      </c>
      <c r="BI176" s="22" t="n">
        <v>2687</v>
      </c>
      <c r="BJ176" s="22" t="n">
        <v>2575</v>
      </c>
      <c r="BK176" s="22" t="n">
        <v>2576</v>
      </c>
      <c r="BL176" s="22" t="n">
        <v>2720</v>
      </c>
    </row>
    <row r="177" ht="15.95" customHeight="1" s="574">
      <c r="A177" s="81" t="inlineStr">
        <is>
          <t>7236</t>
        </is>
      </c>
      <c r="B177" s="17" t="inlineStr">
        <is>
          <t>ティラド</t>
        </is>
      </c>
      <c r="C177" s="655">
        <f>_xll.RssMarket("7236","始値")</f>
        <v/>
      </c>
      <c r="D177" s="656">
        <f>C177-E177</f>
        <v/>
      </c>
      <c r="E177" s="22" t="n">
        <v>14500</v>
      </c>
      <c r="F177" s="22" t="n">
        <v>14280</v>
      </c>
      <c r="G177" s="22" t="n">
        <v>14220</v>
      </c>
      <c r="H177" s="22" t="n">
        <v>14430</v>
      </c>
      <c r="I177" s="22" t="n">
        <v>14370</v>
      </c>
      <c r="J177" s="22" t="n">
        <v>14290</v>
      </c>
      <c r="K177" s="22" t="n">
        <v>14200</v>
      </c>
      <c r="L177" s="22" t="n">
        <v>14310</v>
      </c>
      <c r="M177" s="22" t="n">
        <v>13990</v>
      </c>
      <c r="N177" s="22" t="n">
        <v>14060</v>
      </c>
      <c r="O177" s="22" t="n">
        <v>14250</v>
      </c>
      <c r="P177" s="22" t="n">
        <v>15000</v>
      </c>
      <c r="Q177" s="22" t="n">
        <v>15180</v>
      </c>
      <c r="R177" s="22" t="n">
        <v>14850</v>
      </c>
      <c r="S177" s="22" t="n">
        <v>14700</v>
      </c>
      <c r="T177" s="22" t="n">
        <v>15210</v>
      </c>
      <c r="U177" s="22" t="n">
        <v>14960</v>
      </c>
      <c r="V177" s="22" t="n">
        <v>14440</v>
      </c>
      <c r="W177" s="22" t="n">
        <v>13900</v>
      </c>
      <c r="X177" s="22" t="n">
        <v>13800</v>
      </c>
      <c r="Y177" s="22" t="n">
        <v>13900</v>
      </c>
      <c r="Z177" s="22" t="n">
        <v>14320</v>
      </c>
      <c r="AA177" s="22" t="n">
        <v>14560</v>
      </c>
      <c r="AB177" s="22" t="n">
        <v>14660</v>
      </c>
      <c r="AC177" s="22" t="n">
        <v>14470</v>
      </c>
      <c r="AD177" s="22" t="n">
        <v>14700</v>
      </c>
      <c r="AE177" s="22" t="n">
        <v>14550</v>
      </c>
      <c r="AF177" s="22" t="n">
        <v>14810</v>
      </c>
      <c r="AG177" s="22" t="n">
        <v>14900</v>
      </c>
      <c r="AH177" s="22" t="n">
        <v>15010</v>
      </c>
      <c r="AI177" s="22" t="n">
        <v>11110</v>
      </c>
      <c r="AJ177" s="22" t="n">
        <v>9610</v>
      </c>
      <c r="AK177" s="22" t="n">
        <v>8080</v>
      </c>
      <c r="AL177" s="22" t="n">
        <v>8810</v>
      </c>
      <c r="AM177" s="22" t="n">
        <v>8670</v>
      </c>
      <c r="AN177" s="22" t="n">
        <v>9140</v>
      </c>
      <c r="AO177" s="22" t="n">
        <v>9240</v>
      </c>
      <c r="AP177" s="22" t="n">
        <v>9190</v>
      </c>
      <c r="AQ177" s="22" t="n">
        <v>9010</v>
      </c>
      <c r="AR177" s="22" t="n">
        <v>8690</v>
      </c>
      <c r="AS177" s="22" t="n">
        <v>8460</v>
      </c>
      <c r="AT177" s="22" t="n">
        <v>8250</v>
      </c>
      <c r="AU177" s="22" t="n">
        <v>8170</v>
      </c>
      <c r="AV177" s="22" t="n">
        <v>8350</v>
      </c>
      <c r="AW177" s="22" t="n">
        <v>8400</v>
      </c>
      <c r="AX177" s="22" t="n">
        <v>8390</v>
      </c>
      <c r="AY177" s="22" t="n">
        <v>8190</v>
      </c>
      <c r="AZ177" s="22" t="n">
        <v>8200</v>
      </c>
      <c r="BA177" s="22" t="n">
        <v>8100</v>
      </c>
      <c r="BB177" s="22" t="n">
        <v>8330</v>
      </c>
      <c r="BC177" s="22" t="n">
        <v>7920</v>
      </c>
      <c r="BD177" s="22" t="n">
        <v>7820</v>
      </c>
      <c r="BE177" s="22" t="n">
        <v>7980</v>
      </c>
      <c r="BF177" s="22" t="n">
        <v>8330</v>
      </c>
      <c r="BG177" s="22" t="n">
        <v>8700</v>
      </c>
      <c r="BH177" s="22" t="n">
        <v>8630</v>
      </c>
      <c r="BI177" s="22" t="n">
        <v>8600</v>
      </c>
      <c r="BJ177" s="22" t="n">
        <v>8530</v>
      </c>
      <c r="BK177" s="22" t="n">
        <v>9020</v>
      </c>
      <c r="BL177" s="22" t="n">
        <v>9100</v>
      </c>
    </row>
    <row r="178" ht="15.95" customHeight="1" s="574">
      <c r="A178" s="81" t="inlineStr">
        <is>
          <t>6436</t>
        </is>
      </c>
      <c r="B178" s="17" t="inlineStr">
        <is>
          <t>アマノ</t>
        </is>
      </c>
      <c r="C178" s="655">
        <f>_xll.RssMarket("6436","始値")</f>
        <v/>
      </c>
      <c r="D178" s="656">
        <f>C178-E178</f>
        <v/>
      </c>
      <c r="E178" s="22" t="n">
        <v>3577</v>
      </c>
      <c r="F178" s="22" t="n">
        <v>3570</v>
      </c>
      <c r="G178" s="22" t="n">
        <v>3575</v>
      </c>
      <c r="H178" s="22" t="n">
        <v>3595</v>
      </c>
      <c r="I178" s="22" t="n">
        <v>3577</v>
      </c>
      <c r="J178" s="22" t="n">
        <v>3597</v>
      </c>
      <c r="K178" s="22" t="n">
        <v>3601</v>
      </c>
      <c r="L178" s="22" t="n">
        <v>3646</v>
      </c>
      <c r="M178" s="22" t="n">
        <v>3582</v>
      </c>
      <c r="N178" s="22" t="n">
        <v>3453</v>
      </c>
      <c r="O178" s="22" t="n">
        <v>3534</v>
      </c>
      <c r="P178" s="22" t="n">
        <v>3502</v>
      </c>
      <c r="Q178" s="22" t="n">
        <v>3540</v>
      </c>
      <c r="R178" s="22" t="n">
        <v>3534</v>
      </c>
      <c r="S178" s="22" t="n">
        <v>3568</v>
      </c>
      <c r="T178" s="22" t="n">
        <v>3572</v>
      </c>
      <c r="U178" s="22" t="n">
        <v>3550</v>
      </c>
      <c r="V178" s="22" t="n">
        <v>3659</v>
      </c>
      <c r="W178" s="22" t="n">
        <v>3629</v>
      </c>
      <c r="X178" s="22" t="n">
        <v>3667</v>
      </c>
      <c r="Y178" s="22" t="n">
        <v>3690</v>
      </c>
      <c r="Z178" s="22" t="n">
        <v>3651</v>
      </c>
      <c r="AA178" s="22" t="n">
        <v>3671</v>
      </c>
      <c r="AB178" s="22" t="n">
        <v>3683</v>
      </c>
      <c r="AC178" s="22" t="n">
        <v>3668</v>
      </c>
      <c r="AD178" s="22" t="n">
        <v>3678</v>
      </c>
      <c r="AE178" s="22" t="n">
        <v>3699</v>
      </c>
      <c r="AF178" s="22" t="n">
        <v>3691</v>
      </c>
      <c r="AG178" s="22" t="n">
        <v>3614</v>
      </c>
      <c r="AH178" s="22" t="n">
        <v>3592</v>
      </c>
      <c r="AI178" s="22" t="n">
        <v>3582</v>
      </c>
      <c r="AJ178" s="22" t="n">
        <v>3706</v>
      </c>
      <c r="AK178" s="22" t="n">
        <v>3707</v>
      </c>
      <c r="AL178" s="22" t="n">
        <v>3800</v>
      </c>
      <c r="AM178" s="22" t="n">
        <v>3830</v>
      </c>
      <c r="AN178" s="22" t="n">
        <v>3830</v>
      </c>
      <c r="AO178" s="22" t="n">
        <v>3821</v>
      </c>
      <c r="AP178" s="22" t="n">
        <v>3870</v>
      </c>
      <c r="AQ178" s="22" t="n">
        <v>3957</v>
      </c>
      <c r="AR178" s="22" t="n">
        <v>3883</v>
      </c>
      <c r="AS178" s="22" t="n">
        <v>3872</v>
      </c>
      <c r="AT178" s="22" t="n">
        <v>3876</v>
      </c>
      <c r="AU178" s="22" t="n">
        <v>3897</v>
      </c>
      <c r="AV178" s="22" t="n">
        <v>3880</v>
      </c>
      <c r="AW178" s="22" t="n">
        <v>3945</v>
      </c>
      <c r="AX178" s="22" t="n">
        <v>3930</v>
      </c>
      <c r="AY178" s="22" t="n">
        <v>3934</v>
      </c>
      <c r="AZ178" s="22" t="n">
        <v>3895</v>
      </c>
      <c r="BA178" s="22" t="n">
        <v>3850</v>
      </c>
      <c r="BB178" s="22" t="n">
        <v>3819</v>
      </c>
      <c r="BC178" s="22" t="n">
        <v>3865</v>
      </c>
      <c r="BD178" s="22" t="n">
        <v>3848</v>
      </c>
      <c r="BE178" s="22" t="n">
        <v>3753</v>
      </c>
      <c r="BF178" s="22" t="n">
        <v>3650</v>
      </c>
      <c r="BG178" s="22" t="n">
        <v>3875</v>
      </c>
      <c r="BH178" s="22" t="n">
        <v>3891</v>
      </c>
      <c r="BI178" s="22" t="n">
        <v>3899</v>
      </c>
      <c r="BJ178" s="22" t="n">
        <v>3860</v>
      </c>
      <c r="BK178" s="22" t="n">
        <v>3814</v>
      </c>
      <c r="BL178" s="22" t="n">
        <v>3856</v>
      </c>
    </row>
    <row r="179" ht="15.95" customHeight="1" s="574">
      <c r="A179" s="81" t="inlineStr">
        <is>
          <t>5410</t>
        </is>
      </c>
      <c r="B179" s="17" t="inlineStr">
        <is>
          <t>合同製鐵</t>
        </is>
      </c>
      <c r="C179" s="655">
        <f>_xll.RssMarket("5410","始値")</f>
        <v/>
      </c>
      <c r="D179" s="656">
        <f>C179-E179</f>
        <v/>
      </c>
      <c r="E179" s="22" t="n">
        <v>2590</v>
      </c>
      <c r="F179" s="22" t="n">
        <v>2615</v>
      </c>
      <c r="G179" s="22" t="n">
        <v>2604</v>
      </c>
      <c r="H179" s="22" t="n">
        <v>2610</v>
      </c>
      <c r="I179" s="22" t="n">
        <v>2611</v>
      </c>
      <c r="J179" s="22" t="n">
        <v>2612</v>
      </c>
      <c r="K179" s="22" t="n">
        <v>2565</v>
      </c>
      <c r="L179" s="22" t="n">
        <v>2555</v>
      </c>
      <c r="M179" s="22" t="n">
        <v>2531</v>
      </c>
      <c r="N179" s="22" t="n">
        <v>2566</v>
      </c>
      <c r="O179" s="22" t="n">
        <v>2545</v>
      </c>
      <c r="P179" s="22" t="n">
        <v>2554</v>
      </c>
      <c r="Q179" s="22" t="n">
        <v>2600</v>
      </c>
      <c r="R179" s="22" t="n">
        <v>2594</v>
      </c>
      <c r="S179" s="22" t="n">
        <v>2715</v>
      </c>
      <c r="T179" s="22" t="n">
        <v>2697</v>
      </c>
      <c r="U179" s="22" t="n">
        <v>2637</v>
      </c>
      <c r="V179" s="22" t="n">
        <v>2682</v>
      </c>
      <c r="W179" s="22" t="n">
        <v>2714</v>
      </c>
      <c r="X179" s="22" t="n">
        <v>2710</v>
      </c>
      <c r="Y179" s="22" t="n">
        <v>2762</v>
      </c>
      <c r="Z179" s="22" t="n">
        <v>2771</v>
      </c>
      <c r="AA179" s="22" t="n">
        <v>2838</v>
      </c>
      <c r="AB179" s="22" t="n">
        <v>2867</v>
      </c>
      <c r="AC179" s="22" t="n">
        <v>2821</v>
      </c>
      <c r="AD179" s="22" t="n">
        <v>2867</v>
      </c>
      <c r="AE179" s="22" t="n">
        <v>2868</v>
      </c>
      <c r="AF179" s="22" t="n">
        <v>2880</v>
      </c>
      <c r="AG179" s="22" t="n">
        <v>2855</v>
      </c>
      <c r="AH179" s="22" t="n">
        <v>2893</v>
      </c>
      <c r="AI179" s="22" t="n">
        <v>2855</v>
      </c>
      <c r="AJ179" s="22" t="n">
        <v>2917</v>
      </c>
      <c r="AK179" s="22" t="n">
        <v>3010</v>
      </c>
      <c r="AL179" s="22" t="n">
        <v>3385</v>
      </c>
      <c r="AM179" s="22" t="n">
        <v>3455</v>
      </c>
      <c r="AN179" s="22" t="n">
        <v>3495</v>
      </c>
      <c r="AO179" s="22" t="n">
        <v>3535</v>
      </c>
      <c r="AP179" s="22" t="n">
        <v>3565</v>
      </c>
      <c r="AQ179" s="22" t="n">
        <v>3560</v>
      </c>
      <c r="AR179" s="22" t="n">
        <v>3570</v>
      </c>
      <c r="AS179" s="22" t="n">
        <v>3560</v>
      </c>
      <c r="AT179" s="22" t="n">
        <v>3590</v>
      </c>
      <c r="AU179" s="22" t="n">
        <v>3575</v>
      </c>
      <c r="AV179" s="22" t="n">
        <v>3580</v>
      </c>
      <c r="AW179" s="22" t="n">
        <v>3640</v>
      </c>
      <c r="AX179" s="22" t="n">
        <v>3720</v>
      </c>
      <c r="AY179" s="22" t="n">
        <v>3760</v>
      </c>
      <c r="AZ179" s="22" t="n">
        <v>3695</v>
      </c>
      <c r="BA179" s="22" t="n">
        <v>3705</v>
      </c>
      <c r="BB179" s="22" t="n">
        <v>3675</v>
      </c>
      <c r="BC179" s="22" t="n">
        <v>3710</v>
      </c>
      <c r="BD179" s="22" t="n">
        <v>3705</v>
      </c>
      <c r="BE179" s="22" t="n">
        <v>3640</v>
      </c>
      <c r="BF179" s="22" t="n">
        <v>3565</v>
      </c>
      <c r="BG179" s="22" t="n">
        <v>3730</v>
      </c>
      <c r="BH179" s="22" t="n">
        <v>3735</v>
      </c>
      <c r="BI179" s="22" t="n">
        <v>3760</v>
      </c>
      <c r="BJ179" s="22" t="n">
        <v>3670</v>
      </c>
      <c r="BK179" s="22" t="n">
        <v>3640</v>
      </c>
      <c r="BL179" s="22" t="n">
        <v>3755</v>
      </c>
    </row>
    <row r="180" ht="15.95" customHeight="1" s="574">
      <c r="A180" s="81" t="inlineStr">
        <is>
          <t>5440</t>
        </is>
      </c>
      <c r="B180" s="17" t="inlineStr">
        <is>
          <t>共英製鋼</t>
        </is>
      </c>
      <c r="C180" s="655">
        <f>_xll.RssMarket("5440","始値")</f>
        <v/>
      </c>
      <c r="D180" s="656">
        <f>C180-E180</f>
        <v/>
      </c>
      <c r="E180" s="22" t="n">
        <v>1746</v>
      </c>
      <c r="F180" s="22" t="n">
        <v>1745</v>
      </c>
      <c r="G180" s="22" t="n">
        <v>1751</v>
      </c>
      <c r="H180" s="22" t="n">
        <v>1744</v>
      </c>
      <c r="I180" s="22" t="n">
        <v>1752</v>
      </c>
      <c r="J180" s="22" t="n">
        <v>1779</v>
      </c>
      <c r="K180" s="22" t="n">
        <v>1740</v>
      </c>
      <c r="L180" s="22" t="n">
        <v>1717</v>
      </c>
      <c r="M180" s="22" t="n">
        <v>1722</v>
      </c>
      <c r="N180" s="22" t="n">
        <v>1739</v>
      </c>
      <c r="O180" s="22" t="n">
        <v>1740</v>
      </c>
      <c r="P180" s="22" t="n">
        <v>1744</v>
      </c>
      <c r="Q180" s="22" t="n">
        <v>1748</v>
      </c>
      <c r="R180" s="22" t="n">
        <v>1739</v>
      </c>
      <c r="S180" s="22" t="n">
        <v>1835</v>
      </c>
      <c r="T180" s="22" t="n">
        <v>1830</v>
      </c>
      <c r="U180" s="22" t="n">
        <v>1820</v>
      </c>
      <c r="V180" s="22" t="n">
        <v>1853</v>
      </c>
      <c r="W180" s="22" t="n">
        <v>1855</v>
      </c>
      <c r="X180" s="22" t="n">
        <v>1821</v>
      </c>
      <c r="Y180" s="22" t="n">
        <v>1830</v>
      </c>
      <c r="Z180" s="22" t="n">
        <v>1840</v>
      </c>
      <c r="AA180" s="22" t="n">
        <v>1856</v>
      </c>
      <c r="AB180" s="22" t="n">
        <v>1877</v>
      </c>
      <c r="AC180" s="22" t="n">
        <v>1824</v>
      </c>
      <c r="AD180" s="22" t="n">
        <v>1818</v>
      </c>
      <c r="AE180" s="22" t="n">
        <v>1827</v>
      </c>
      <c r="AF180" s="22" t="n">
        <v>1801</v>
      </c>
      <c r="AG180" s="22" t="n">
        <v>1820</v>
      </c>
      <c r="AH180" s="22" t="n">
        <v>1830</v>
      </c>
      <c r="AI180" s="22" t="n">
        <v>1907</v>
      </c>
      <c r="AJ180" s="22" t="n">
        <v>2154</v>
      </c>
      <c r="AK180" s="22" t="n">
        <v>2182</v>
      </c>
      <c r="AL180" s="22" t="n">
        <v>2236</v>
      </c>
      <c r="AM180" s="22" t="n">
        <v>2239</v>
      </c>
      <c r="AN180" s="22" t="n">
        <v>2262</v>
      </c>
      <c r="AO180" s="22" t="n">
        <v>2272</v>
      </c>
      <c r="AP180" s="22" t="n">
        <v>2333</v>
      </c>
      <c r="AQ180" s="22" t="n">
        <v>2290</v>
      </c>
      <c r="AR180" s="22" t="n">
        <v>2304</v>
      </c>
      <c r="AS180" s="22" t="n">
        <v>2341</v>
      </c>
      <c r="AT180" s="22" t="n">
        <v>2357</v>
      </c>
      <c r="AU180" s="22" t="n">
        <v>2350</v>
      </c>
      <c r="AV180" s="22" t="n">
        <v>2355</v>
      </c>
      <c r="AW180" s="22" t="n">
        <v>2400</v>
      </c>
      <c r="AX180" s="22" t="n">
        <v>2430</v>
      </c>
      <c r="AY180" s="22" t="n">
        <v>2425</v>
      </c>
      <c r="AZ180" s="22" t="n">
        <v>2377</v>
      </c>
      <c r="BA180" s="22" t="n">
        <v>2391</v>
      </c>
      <c r="BB180" s="22" t="n">
        <v>2384</v>
      </c>
      <c r="BC180" s="22" t="n">
        <v>2402</v>
      </c>
      <c r="BD180" s="22" t="n">
        <v>2414</v>
      </c>
      <c r="BE180" s="22" t="n">
        <v>2322</v>
      </c>
      <c r="BF180" s="22" t="n">
        <v>2260</v>
      </c>
      <c r="BG180" s="22" t="n">
        <v>2395</v>
      </c>
      <c r="BH180" s="22" t="n">
        <v>2403</v>
      </c>
      <c r="BI180" s="22" t="n">
        <v>2421</v>
      </c>
      <c r="BJ180" s="22" t="n">
        <v>2369</v>
      </c>
      <c r="BK180" s="22" t="n">
        <v>2308</v>
      </c>
      <c r="BL180" s="22" t="n">
        <v>2396</v>
      </c>
    </row>
    <row r="181" ht="15.95" customHeight="1" s="574">
      <c r="A181" s="81" t="inlineStr">
        <is>
          <t>9505</t>
        </is>
      </c>
      <c r="B181" s="17" t="inlineStr">
        <is>
          <t>北陸電力</t>
        </is>
      </c>
      <c r="C181" s="655">
        <f>_xll.RssMarket("9505","始値")</f>
        <v/>
      </c>
      <c r="D181" s="656">
        <f>C181-E181</f>
        <v/>
      </c>
      <c r="E181" s="22" t="n">
        <v>844.5</v>
      </c>
      <c r="F181" s="22" t="n">
        <v>842.2</v>
      </c>
      <c r="G181" s="22" t="n">
        <v>850</v>
      </c>
      <c r="H181" s="22" t="n">
        <v>849</v>
      </c>
      <c r="I181" s="22" t="n">
        <v>872.9</v>
      </c>
      <c r="J181" s="22" t="n">
        <v>876</v>
      </c>
      <c r="K181" s="22" t="n">
        <v>861.8</v>
      </c>
      <c r="L181" s="22" t="n">
        <v>865</v>
      </c>
      <c r="M181" s="22" t="n">
        <v>845</v>
      </c>
      <c r="N181" s="22" t="n">
        <v>806.7</v>
      </c>
      <c r="O181" s="22" t="n">
        <v>812</v>
      </c>
      <c r="P181" s="22" t="n">
        <v>809.3</v>
      </c>
      <c r="Q181" s="22" t="n">
        <v>815</v>
      </c>
      <c r="R181" s="22" t="n">
        <v>796</v>
      </c>
      <c r="S181" s="22" t="n">
        <v>829.1</v>
      </c>
      <c r="T181" s="22" t="n">
        <v>844</v>
      </c>
      <c r="U181" s="22" t="n">
        <v>855</v>
      </c>
      <c r="V181" s="22" t="n">
        <v>861.8</v>
      </c>
      <c r="W181" s="22" t="n">
        <v>882.5</v>
      </c>
      <c r="X181" s="22" t="n">
        <v>877.5</v>
      </c>
      <c r="Y181" s="22" t="n">
        <v>883</v>
      </c>
      <c r="Z181" s="22" t="n">
        <v>871.6</v>
      </c>
      <c r="AA181" s="22" t="n">
        <v>897</v>
      </c>
      <c r="AB181" s="22" t="n">
        <v>913.2</v>
      </c>
      <c r="AC181" s="22" t="n">
        <v>910</v>
      </c>
      <c r="AD181" s="22" t="n">
        <v>918.3</v>
      </c>
      <c r="AE181" s="22" t="n">
        <v>904.8</v>
      </c>
      <c r="AF181" s="22" t="n">
        <v>872.4</v>
      </c>
      <c r="AG181" s="22" t="n">
        <v>895.4</v>
      </c>
      <c r="AH181" s="22" t="n">
        <v>860.1</v>
      </c>
      <c r="AI181" s="22" t="n">
        <v>871.5</v>
      </c>
      <c r="AJ181" s="22" t="n">
        <v>905.6</v>
      </c>
      <c r="AK181" s="22" t="n">
        <v>985</v>
      </c>
      <c r="AL181" s="22" t="n">
        <v>986.1</v>
      </c>
      <c r="AM181" s="22" t="n">
        <v>999.1</v>
      </c>
      <c r="AN181" s="22" t="n">
        <v>995</v>
      </c>
      <c r="AO181" s="22" t="n">
        <v>1003</v>
      </c>
      <c r="AP181" s="22" t="n">
        <v>1028.5</v>
      </c>
      <c r="AQ181" s="22" t="n">
        <v>1058.5</v>
      </c>
      <c r="AR181" s="22" t="n">
        <v>1080</v>
      </c>
      <c r="AS181" s="22" t="n">
        <v>1081.5</v>
      </c>
      <c r="AT181" s="22" t="n">
        <v>1088</v>
      </c>
      <c r="AU181" s="22" t="n">
        <v>1090</v>
      </c>
      <c r="AV181" s="22" t="n">
        <v>1104</v>
      </c>
      <c r="AW181" s="22" t="n">
        <v>1128.5</v>
      </c>
      <c r="AX181" s="22" t="n">
        <v>1110.5</v>
      </c>
      <c r="AY181" s="22" t="n">
        <v>1130</v>
      </c>
      <c r="AZ181" s="22" t="n">
        <v>1099</v>
      </c>
      <c r="BA181" s="22" t="n">
        <v>1112</v>
      </c>
      <c r="BB181" s="22" t="n">
        <v>1110.5</v>
      </c>
      <c r="BC181" s="22" t="n">
        <v>1110</v>
      </c>
      <c r="BD181" s="22" t="n">
        <v>1097.5</v>
      </c>
      <c r="BE181" s="22" t="n">
        <v>1078</v>
      </c>
      <c r="BF181" s="22" t="n">
        <v>1049</v>
      </c>
      <c r="BG181" s="22" t="n">
        <v>1095</v>
      </c>
      <c r="BH181" s="22" t="n">
        <v>1087</v>
      </c>
      <c r="BI181" s="22" t="n">
        <v>1084</v>
      </c>
      <c r="BJ181" s="22" t="n">
        <v>1059</v>
      </c>
      <c r="BK181" s="22" t="n">
        <v>1058</v>
      </c>
      <c r="BL181" s="22" t="n">
        <v>1113.5</v>
      </c>
    </row>
    <row r="182" ht="15.95" customHeight="1" s="574">
      <c r="A182" s="81" t="inlineStr">
        <is>
          <t>8091</t>
        </is>
      </c>
      <c r="B182" s="17" t="inlineStr">
        <is>
          <t>ニチモウ</t>
        </is>
      </c>
      <c r="C182" s="655">
        <f>_xll.RssMarket("8091","始値")</f>
        <v/>
      </c>
      <c r="D182" s="656">
        <f>C182-E182</f>
        <v/>
      </c>
      <c r="E182" s="22" t="n">
        <v>2290</v>
      </c>
      <c r="F182" s="22" t="n">
        <v>2261</v>
      </c>
      <c r="G182" s="22" t="n">
        <v>2235</v>
      </c>
      <c r="H182" s="22" t="n">
        <v>2219</v>
      </c>
      <c r="I182" s="22" t="n">
        <v>2202</v>
      </c>
      <c r="J182" s="22" t="n">
        <v>2186</v>
      </c>
      <c r="K182" s="22" t="n">
        <v>2176</v>
      </c>
      <c r="L182" s="22" t="n">
        <v>2211</v>
      </c>
      <c r="M182" s="22" t="n">
        <v>2180</v>
      </c>
      <c r="N182" s="22" t="n">
        <v>2185</v>
      </c>
      <c r="O182" s="22" t="n">
        <v>2188</v>
      </c>
      <c r="P182" s="22" t="n">
        <v>2141</v>
      </c>
      <c r="Q182" s="22" t="n">
        <v>2131</v>
      </c>
      <c r="R182" s="22" t="n">
        <v>2134</v>
      </c>
      <c r="S182" s="22" t="n">
        <v>2173</v>
      </c>
      <c r="T182" s="22" t="n">
        <v>2133</v>
      </c>
      <c r="U182" s="22" t="n">
        <v>2140</v>
      </c>
      <c r="V182" s="22" t="n">
        <v>2146</v>
      </c>
      <c r="W182" s="22" t="n">
        <v>2169</v>
      </c>
      <c r="X182" s="22" t="n">
        <v>2168</v>
      </c>
      <c r="Y182" s="22" t="n">
        <v>2190</v>
      </c>
      <c r="Z182" s="22" t="n">
        <v>2161</v>
      </c>
      <c r="AA182" s="22" t="n">
        <v>2204</v>
      </c>
      <c r="AB182" s="22" t="n">
        <v>2280</v>
      </c>
      <c r="AC182" s="22" t="n">
        <v>2278</v>
      </c>
      <c r="AD182" s="22" t="n">
        <v>2248</v>
      </c>
      <c r="AE182" s="22" t="n">
        <v>2273</v>
      </c>
      <c r="AF182" s="22" t="n">
        <v>2256</v>
      </c>
      <c r="AG182" s="22" t="n">
        <v>2227</v>
      </c>
      <c r="AH182" s="22" t="n">
        <v>2253</v>
      </c>
      <c r="AI182" s="22" t="n">
        <v>2270</v>
      </c>
      <c r="AJ182" s="22" t="n">
        <v>2280</v>
      </c>
      <c r="AK182" s="22" t="n">
        <v>2390</v>
      </c>
      <c r="AL182" s="22" t="n">
        <v>2445</v>
      </c>
      <c r="AM182" s="22" t="n">
        <v>2458</v>
      </c>
      <c r="AN182" s="22" t="n">
        <v>2490</v>
      </c>
      <c r="AO182" s="22" t="n">
        <v>2507</v>
      </c>
      <c r="AP182" s="22" t="n">
        <v>2522</v>
      </c>
      <c r="AQ182" s="22" t="n">
        <v>2519</v>
      </c>
      <c r="AR182" s="22" t="n">
        <v>2525</v>
      </c>
      <c r="AS182" s="22" t="n">
        <v>2525</v>
      </c>
      <c r="AT182" s="22" t="n">
        <v>2540</v>
      </c>
      <c r="AU182" s="22" t="n">
        <v>2533</v>
      </c>
      <c r="AV182" s="22" t="n">
        <v>2577</v>
      </c>
      <c r="AW182" s="22" t="n">
        <v>2590</v>
      </c>
      <c r="AX182" s="22" t="n">
        <v>2574</v>
      </c>
      <c r="AY182" s="22" t="n">
        <v>2551</v>
      </c>
      <c r="AZ182" s="22" t="n">
        <v>2547</v>
      </c>
      <c r="BA182" s="22" t="n">
        <v>2562</v>
      </c>
      <c r="BB182" s="22" t="n">
        <v>2595</v>
      </c>
      <c r="BC182" s="22" t="n">
        <v>2526</v>
      </c>
      <c r="BD182" s="22" t="n">
        <v>2502</v>
      </c>
      <c r="BE182" s="22" t="n">
        <v>2450</v>
      </c>
      <c r="BF182" s="22" t="n">
        <v>2545</v>
      </c>
      <c r="BG182" s="22" t="n">
        <v>2579</v>
      </c>
      <c r="BH182" s="22" t="n">
        <v>2560</v>
      </c>
      <c r="BI182" s="22" t="n">
        <v>2542</v>
      </c>
      <c r="BJ182" s="22" t="n">
        <v>2530</v>
      </c>
      <c r="BK182" s="22" t="n">
        <v>2605</v>
      </c>
      <c r="BL182" s="22" t="n">
        <v>2593</v>
      </c>
    </row>
    <row r="183" ht="15.95" customHeight="1" s="574">
      <c r="A183" s="81" t="inlineStr">
        <is>
          <t>6507</t>
        </is>
      </c>
      <c r="B183" s="17" t="inlineStr">
        <is>
          <t>シンフォニアテクノロジー</t>
        </is>
      </c>
      <c r="C183" s="655">
        <f>_xll.RssMarket("6507","始値")</f>
        <v/>
      </c>
      <c r="D183" s="656">
        <f>C183-E183</f>
        <v/>
      </c>
      <c r="E183" s="22" t="n">
        <v>16850</v>
      </c>
      <c r="F183" s="22" t="n">
        <v>16480</v>
      </c>
      <c r="G183" s="22" t="n">
        <v>16030</v>
      </c>
      <c r="H183" s="22" t="n">
        <v>14720</v>
      </c>
      <c r="I183" s="22" t="n">
        <v>13760</v>
      </c>
      <c r="J183" s="22" t="n">
        <v>13990</v>
      </c>
      <c r="K183" s="22" t="n">
        <v>13600</v>
      </c>
      <c r="L183" s="22" t="n">
        <v>12730</v>
      </c>
      <c r="M183" s="22" t="n">
        <v>13770</v>
      </c>
      <c r="N183" s="22" t="n">
        <v>14000</v>
      </c>
      <c r="O183" s="22" t="n">
        <v>15190</v>
      </c>
      <c r="P183" s="22" t="n">
        <v>14090</v>
      </c>
      <c r="Q183" s="22" t="n">
        <v>14400</v>
      </c>
      <c r="R183" s="22" t="n">
        <v>13960</v>
      </c>
      <c r="S183" s="22" t="n">
        <v>14100</v>
      </c>
      <c r="T183" s="22" t="n">
        <v>14150</v>
      </c>
      <c r="U183" s="22" t="n">
        <v>15180</v>
      </c>
      <c r="V183" s="22" t="n">
        <v>14280</v>
      </c>
      <c r="W183" s="22" t="n">
        <v>14000</v>
      </c>
      <c r="X183" s="22" t="n">
        <v>13480</v>
      </c>
      <c r="Y183" s="22" t="n">
        <v>13200</v>
      </c>
      <c r="Z183" s="22" t="n">
        <v>15370</v>
      </c>
      <c r="AA183" s="22" t="n">
        <v>15320</v>
      </c>
      <c r="AB183" s="22" t="n">
        <v>16470</v>
      </c>
      <c r="AC183" s="22" t="n">
        <v>15240</v>
      </c>
      <c r="AD183" s="22" t="n">
        <v>14530</v>
      </c>
      <c r="AE183" s="22" t="n">
        <v>15190</v>
      </c>
      <c r="AF183" s="22" t="n">
        <v>15150</v>
      </c>
      <c r="AG183" s="22" t="n">
        <v>14660</v>
      </c>
      <c r="AH183" s="22" t="n">
        <v>15210</v>
      </c>
      <c r="AI183" s="22" t="n">
        <v>14260</v>
      </c>
      <c r="AJ183" s="22" t="n">
        <v>13660</v>
      </c>
      <c r="AK183" s="22" t="n">
        <v>13680</v>
      </c>
      <c r="AL183" s="22" t="n">
        <v>13340</v>
      </c>
      <c r="AM183" s="22" t="n">
        <v>13330</v>
      </c>
      <c r="AN183" s="22" t="n">
        <v>13570</v>
      </c>
      <c r="AO183" s="22" t="n">
        <v>13440</v>
      </c>
      <c r="AP183" s="22" t="n">
        <v>13560</v>
      </c>
      <c r="AQ183" s="22" t="n">
        <v>13490</v>
      </c>
      <c r="AR183" s="22" t="n">
        <v>13890</v>
      </c>
      <c r="AS183" s="22" t="n">
        <v>13780</v>
      </c>
      <c r="AT183" s="22" t="n">
        <v>13550</v>
      </c>
      <c r="AU183" s="22" t="n">
        <v>13680</v>
      </c>
      <c r="AV183" s="22" t="n">
        <v>13400</v>
      </c>
      <c r="AW183" s="22" t="n">
        <v>13050</v>
      </c>
      <c r="AX183" s="22" t="n">
        <v>12960</v>
      </c>
      <c r="AY183" s="22" t="n">
        <v>12800</v>
      </c>
      <c r="AZ183" s="22" t="n">
        <v>12020</v>
      </c>
      <c r="BA183" s="22" t="n">
        <v>12210</v>
      </c>
      <c r="BB183" s="22" t="n">
        <v>11800</v>
      </c>
      <c r="BC183" s="22" t="n">
        <v>11660</v>
      </c>
      <c r="BD183" s="22" t="n">
        <v>11020</v>
      </c>
      <c r="BE183" s="22" t="n">
        <v>10270</v>
      </c>
      <c r="BF183" s="22" t="n">
        <v>10700</v>
      </c>
      <c r="BG183" s="22" t="n">
        <v>11660</v>
      </c>
      <c r="BH183" s="22" t="n">
        <v>12210</v>
      </c>
      <c r="BI183" s="22" t="n">
        <v>12140</v>
      </c>
      <c r="BJ183" s="22" t="n">
        <v>12100</v>
      </c>
      <c r="BK183" s="22" t="n">
        <v>11800</v>
      </c>
      <c r="BL183" s="22" t="n">
        <v>12680</v>
      </c>
    </row>
    <row r="184" ht="15.95" customHeight="1" s="574">
      <c r="A184" s="81" t="inlineStr">
        <is>
          <t>9022</t>
        </is>
      </c>
      <c r="B184" s="17" t="inlineStr">
        <is>
          <t>東海旅客鉄道</t>
        </is>
      </c>
      <c r="C184" s="655">
        <f>_xll.RssMarket("9022","始値")</f>
        <v/>
      </c>
      <c r="D184" s="656">
        <f>C184-E184</f>
        <v/>
      </c>
      <c r="E184" s="22" t="n">
        <v>3222</v>
      </c>
      <c r="F184" s="22" t="n">
        <v>3250</v>
      </c>
      <c r="G184" s="22" t="n">
        <v>3293</v>
      </c>
      <c r="H184" s="22" t="n">
        <v>3364</v>
      </c>
      <c r="I184" s="22" t="n">
        <v>3303</v>
      </c>
      <c r="J184" s="22" t="n">
        <v>3383</v>
      </c>
      <c r="K184" s="22" t="n">
        <v>3392</v>
      </c>
      <c r="L184" s="22" t="n">
        <v>3473</v>
      </c>
      <c r="M184" s="22" t="n">
        <v>3493</v>
      </c>
      <c r="N184" s="22" t="n">
        <v>3345</v>
      </c>
      <c r="O184" s="22" t="n">
        <v>3352</v>
      </c>
      <c r="P184" s="22" t="n">
        <v>3303</v>
      </c>
      <c r="Q184" s="22" t="n">
        <v>3323</v>
      </c>
      <c r="R184" s="22" t="n">
        <v>3398</v>
      </c>
      <c r="S184" s="22" t="n">
        <v>3465</v>
      </c>
      <c r="T184" s="22" t="n">
        <v>3524</v>
      </c>
      <c r="U184" s="22" t="n">
        <v>3540</v>
      </c>
      <c r="V184" s="22" t="n">
        <v>3553</v>
      </c>
      <c r="W184" s="22" t="n">
        <v>3567</v>
      </c>
      <c r="X184" s="22" t="n">
        <v>3591</v>
      </c>
      <c r="Y184" s="22" t="n">
        <v>3608</v>
      </c>
      <c r="Z184" s="22" t="n">
        <v>3555</v>
      </c>
      <c r="AA184" s="22" t="n">
        <v>3615</v>
      </c>
      <c r="AB184" s="22" t="n">
        <v>3616</v>
      </c>
      <c r="AC184" s="22" t="n">
        <v>3595</v>
      </c>
      <c r="AD184" s="22" t="n">
        <v>3615</v>
      </c>
      <c r="AE184" s="22" t="n">
        <v>3588</v>
      </c>
      <c r="AF184" s="22" t="n">
        <v>3571</v>
      </c>
      <c r="AG184" s="22" t="n">
        <v>3700</v>
      </c>
      <c r="AH184" s="22" t="n">
        <v>3555</v>
      </c>
      <c r="AI184" s="22" t="n">
        <v>3705</v>
      </c>
      <c r="AJ184" s="22" t="n">
        <v>3723</v>
      </c>
      <c r="AK184" s="22" t="n">
        <v>4109</v>
      </c>
      <c r="AL184" s="22" t="n">
        <v>4055</v>
      </c>
      <c r="AM184" s="22" t="n">
        <v>4109</v>
      </c>
      <c r="AN184" s="22" t="n">
        <v>4092</v>
      </c>
      <c r="AO184" s="22" t="n">
        <v>4176</v>
      </c>
      <c r="AP184" s="22" t="n">
        <v>4276</v>
      </c>
      <c r="AQ184" s="22" t="n">
        <v>4188</v>
      </c>
      <c r="AR184" s="22" t="n">
        <v>4280</v>
      </c>
      <c r="AS184" s="22" t="n">
        <v>4287</v>
      </c>
      <c r="AT184" s="22" t="n">
        <v>4333</v>
      </c>
      <c r="AU184" s="22" t="n">
        <v>4240</v>
      </c>
      <c r="AV184" s="22" t="n">
        <v>4168</v>
      </c>
      <c r="AW184" s="22" t="n">
        <v>4266</v>
      </c>
      <c r="AX184" s="22" t="n">
        <v>4249</v>
      </c>
      <c r="AY184" s="22" t="n">
        <v>4189</v>
      </c>
      <c r="AZ184" s="22" t="n">
        <v>4077</v>
      </c>
      <c r="BA184" s="22" t="n">
        <v>4144</v>
      </c>
      <c r="BB184" s="22" t="n">
        <v>4158</v>
      </c>
      <c r="BC184" s="22" t="n">
        <v>4200</v>
      </c>
      <c r="BD184" s="22" t="n">
        <v>4173</v>
      </c>
      <c r="BE184" s="22" t="n">
        <v>4070</v>
      </c>
      <c r="BF184" s="22" t="n">
        <v>4076</v>
      </c>
      <c r="BG184" s="22" t="n">
        <v>4234</v>
      </c>
      <c r="BH184" s="22" t="n">
        <v>4296</v>
      </c>
      <c r="BI184" s="22" t="n">
        <v>4274</v>
      </c>
      <c r="BJ184" s="22" t="n">
        <v>4144</v>
      </c>
      <c r="BK184" s="22" t="n">
        <v>4192</v>
      </c>
      <c r="BL184" s="22" t="n">
        <v>4285</v>
      </c>
    </row>
    <row r="185" ht="15.95" customHeight="1" s="574">
      <c r="A185" s="81" t="inlineStr">
        <is>
          <t>9536</t>
        </is>
      </c>
      <c r="B185" s="17" t="inlineStr">
        <is>
          <t>西部ガスＨＬＤＧＳ</t>
        </is>
      </c>
      <c r="C185" s="655">
        <f>_xll.RssMarket("9536","始値")</f>
        <v/>
      </c>
      <c r="D185" s="656">
        <f>C185-E185</f>
        <v/>
      </c>
      <c r="E185" s="22" t="n">
        <v>2230</v>
      </c>
      <c r="F185" s="22" t="n">
        <v>2234</v>
      </c>
      <c r="G185" s="22" t="n">
        <v>2250</v>
      </c>
      <c r="H185" s="22" t="n">
        <v>2242</v>
      </c>
      <c r="I185" s="22" t="n">
        <v>2262</v>
      </c>
      <c r="J185" s="22" t="n">
        <v>2250</v>
      </c>
      <c r="K185" s="22" t="n">
        <v>2236</v>
      </c>
      <c r="L185" s="22" t="n">
        <v>2244</v>
      </c>
      <c r="M185" s="22" t="n">
        <v>2227</v>
      </c>
      <c r="N185" s="22" t="n">
        <v>2180</v>
      </c>
      <c r="O185" s="22" t="n">
        <v>2190</v>
      </c>
      <c r="P185" s="22" t="n">
        <v>2187</v>
      </c>
      <c r="Q185" s="22" t="n">
        <v>2174</v>
      </c>
      <c r="R185" s="22" t="n">
        <v>2181</v>
      </c>
      <c r="S185" s="22" t="n">
        <v>2192</v>
      </c>
      <c r="T185" s="22" t="n">
        <v>2210</v>
      </c>
      <c r="U185" s="22" t="n">
        <v>2216</v>
      </c>
      <c r="V185" s="22" t="n">
        <v>2222</v>
      </c>
      <c r="W185" s="22" t="n">
        <v>2225</v>
      </c>
      <c r="X185" s="22" t="n">
        <v>2216</v>
      </c>
      <c r="Y185" s="22" t="n">
        <v>2228</v>
      </c>
      <c r="Z185" s="22" t="n">
        <v>2219</v>
      </c>
      <c r="AA185" s="22" t="n">
        <v>2250</v>
      </c>
      <c r="AB185" s="22" t="n">
        <v>2264</v>
      </c>
      <c r="AC185" s="22" t="n">
        <v>2227</v>
      </c>
      <c r="AD185" s="22" t="n">
        <v>2225</v>
      </c>
      <c r="AE185" s="22" t="n">
        <v>2266</v>
      </c>
      <c r="AF185" s="22" t="n">
        <v>2223</v>
      </c>
      <c r="AG185" s="22" t="n">
        <v>2253</v>
      </c>
      <c r="AH185" s="22" t="n">
        <v>2218</v>
      </c>
      <c r="AI185" s="22" t="n">
        <v>2246</v>
      </c>
      <c r="AJ185" s="22" t="n">
        <v>2358</v>
      </c>
      <c r="AK185" s="22" t="n">
        <v>2430</v>
      </c>
      <c r="AL185" s="22" t="n">
        <v>2470</v>
      </c>
      <c r="AM185" s="22" t="n">
        <v>2457</v>
      </c>
      <c r="AN185" s="22" t="n">
        <v>2460</v>
      </c>
      <c r="AO185" s="22" t="n">
        <v>2510</v>
      </c>
      <c r="AP185" s="22" t="n">
        <v>2535</v>
      </c>
      <c r="AQ185" s="22" t="n">
        <v>2580</v>
      </c>
      <c r="AR185" s="22" t="n">
        <v>2615</v>
      </c>
      <c r="AS185" s="22" t="n">
        <v>2600</v>
      </c>
      <c r="AT185" s="22" t="n">
        <v>2590</v>
      </c>
      <c r="AU185" s="22" t="n">
        <v>2582</v>
      </c>
      <c r="AV185" s="22" t="n">
        <v>2553</v>
      </c>
      <c r="AW185" s="22" t="n">
        <v>2584</v>
      </c>
      <c r="AX185" s="22" t="n">
        <v>2630</v>
      </c>
      <c r="AY185" s="22" t="n">
        <v>2615</v>
      </c>
      <c r="AZ185" s="22" t="n">
        <v>2586</v>
      </c>
      <c r="BA185" s="22" t="n">
        <v>2570</v>
      </c>
      <c r="BB185" s="22" t="n">
        <v>2566</v>
      </c>
      <c r="BC185" s="22" t="n">
        <v>2584</v>
      </c>
      <c r="BD185" s="22" t="n">
        <v>2577</v>
      </c>
      <c r="BE185" s="22" t="n">
        <v>2555</v>
      </c>
      <c r="BF185" s="22" t="n">
        <v>2502</v>
      </c>
      <c r="BG185" s="22" t="n">
        <v>2597</v>
      </c>
      <c r="BH185" s="22" t="n">
        <v>2583</v>
      </c>
      <c r="BI185" s="22" t="n">
        <v>2569</v>
      </c>
      <c r="BJ185" s="22" t="n">
        <v>2511</v>
      </c>
      <c r="BK185" s="22" t="n">
        <v>2460</v>
      </c>
      <c r="BL185" s="22" t="n">
        <v>2544</v>
      </c>
    </row>
    <row r="186" ht="15.95" customHeight="1" s="574">
      <c r="A186" s="81" t="inlineStr">
        <is>
          <t>9506</t>
        </is>
      </c>
      <c r="B186" s="17" t="inlineStr">
        <is>
          <t>東北電力</t>
        </is>
      </c>
      <c r="C186" s="655">
        <f>_xll.RssMarket("9506","始値")</f>
        <v/>
      </c>
      <c r="D186" s="656">
        <f>C186-E186</f>
        <v/>
      </c>
      <c r="E186" s="22" t="n">
        <v>1048.5</v>
      </c>
      <c r="F186" s="22" t="n">
        <v>1053.5</v>
      </c>
      <c r="G186" s="22" t="n">
        <v>1047</v>
      </c>
      <c r="H186" s="22" t="n">
        <v>1043.5</v>
      </c>
      <c r="I186" s="22" t="n">
        <v>1058.5</v>
      </c>
      <c r="J186" s="22" t="n">
        <v>1033</v>
      </c>
      <c r="K186" s="22" t="n">
        <v>1030</v>
      </c>
      <c r="L186" s="22" t="n">
        <v>1027.5</v>
      </c>
      <c r="M186" s="22" t="n">
        <v>1020</v>
      </c>
      <c r="N186" s="22" t="n">
        <v>992</v>
      </c>
      <c r="O186" s="22" t="n">
        <v>997.9</v>
      </c>
      <c r="P186" s="22" t="n">
        <v>1000.5</v>
      </c>
      <c r="Q186" s="22" t="n">
        <v>992.2</v>
      </c>
      <c r="R186" s="22" t="n">
        <v>983.7</v>
      </c>
      <c r="S186" s="22" t="n">
        <v>994.3</v>
      </c>
      <c r="T186" s="22" t="n">
        <v>998.6</v>
      </c>
      <c r="U186" s="22" t="n">
        <v>1010</v>
      </c>
      <c r="V186" s="22" t="n">
        <v>1015</v>
      </c>
      <c r="W186" s="22" t="n">
        <v>1033.5</v>
      </c>
      <c r="X186" s="22" t="n">
        <v>1014</v>
      </c>
      <c r="Y186" s="22" t="n">
        <v>1021</v>
      </c>
      <c r="Z186" s="22" t="n">
        <v>1013</v>
      </c>
      <c r="AA186" s="22" t="n">
        <v>1040</v>
      </c>
      <c r="AB186" s="22" t="n">
        <v>1053</v>
      </c>
      <c r="AC186" s="22" t="n">
        <v>1061.5</v>
      </c>
      <c r="AD186" s="22" t="n">
        <v>1065.5</v>
      </c>
      <c r="AE186" s="22" t="n">
        <v>1052.5</v>
      </c>
      <c r="AF186" s="22" t="n">
        <v>1094</v>
      </c>
      <c r="AG186" s="22" t="n">
        <v>1061</v>
      </c>
      <c r="AH186" s="22" t="n">
        <v>1079</v>
      </c>
      <c r="AI186" s="22" t="n">
        <v>1139</v>
      </c>
      <c r="AJ186" s="22" t="n">
        <v>1131</v>
      </c>
      <c r="AK186" s="22" t="n">
        <v>1123</v>
      </c>
      <c r="AL186" s="22" t="n">
        <v>1132.5</v>
      </c>
      <c r="AM186" s="22" t="n">
        <v>1125</v>
      </c>
      <c r="AN186" s="22" t="n">
        <v>1146</v>
      </c>
      <c r="AO186" s="22" t="n">
        <v>1162</v>
      </c>
      <c r="AP186" s="22" t="n">
        <v>1190</v>
      </c>
      <c r="AQ186" s="22" t="n">
        <v>1182</v>
      </c>
      <c r="AR186" s="22" t="n">
        <v>1173</v>
      </c>
      <c r="AS186" s="22" t="n">
        <v>1176</v>
      </c>
      <c r="AT186" s="22" t="n">
        <v>1164</v>
      </c>
      <c r="AU186" s="22" t="n">
        <v>1159.5</v>
      </c>
      <c r="AV186" s="22" t="n">
        <v>1185</v>
      </c>
      <c r="AW186" s="22" t="n">
        <v>1183</v>
      </c>
      <c r="AX186" s="22" t="n">
        <v>1191</v>
      </c>
      <c r="AY186" s="22" t="n">
        <v>1173</v>
      </c>
      <c r="AZ186" s="22" t="n">
        <v>1190</v>
      </c>
      <c r="BA186" s="22" t="n">
        <v>1186</v>
      </c>
      <c r="BB186" s="22" t="n">
        <v>1210</v>
      </c>
      <c r="BC186" s="22" t="n">
        <v>1197</v>
      </c>
      <c r="BD186" s="22" t="n">
        <v>1186</v>
      </c>
      <c r="BE186" s="22" t="n">
        <v>1167</v>
      </c>
      <c r="BF186" s="22" t="n">
        <v>1195</v>
      </c>
      <c r="BG186" s="22" t="n">
        <v>1196</v>
      </c>
      <c r="BH186" s="22" t="n">
        <v>1165</v>
      </c>
      <c r="BI186" s="22" t="n">
        <v>1139</v>
      </c>
      <c r="BJ186" s="22" t="n">
        <v>1107</v>
      </c>
      <c r="BK186" s="22" t="n">
        <v>1181</v>
      </c>
      <c r="BL186" s="22" t="n">
        <v>1153</v>
      </c>
    </row>
    <row r="187" ht="15.95" customHeight="1" s="574">
      <c r="A187" s="81" t="inlineStr">
        <is>
          <t>2127</t>
        </is>
      </c>
      <c r="B187" s="17" t="inlineStr">
        <is>
          <t>日本Ｍ＆Ａセンターホールデ</t>
        </is>
      </c>
      <c r="C187" s="655">
        <f>_xll.RssMarket("2127","始値")</f>
        <v/>
      </c>
      <c r="D187" s="656">
        <f>C187-E187</f>
        <v/>
      </c>
      <c r="E187" s="22" t="n">
        <v>634.1</v>
      </c>
      <c r="F187" s="22" t="n">
        <v>656</v>
      </c>
      <c r="G187" s="22" t="n">
        <v>654.2</v>
      </c>
      <c r="H187" s="22" t="n">
        <v>645</v>
      </c>
      <c r="I187" s="22" t="n">
        <v>636.3</v>
      </c>
      <c r="J187" s="22" t="n">
        <v>636</v>
      </c>
      <c r="K187" s="22" t="n">
        <v>652</v>
      </c>
      <c r="L187" s="22" t="n">
        <v>639.9</v>
      </c>
      <c r="M187" s="22" t="n">
        <v>642.9</v>
      </c>
      <c r="N187" s="22" t="n">
        <v>631.7</v>
      </c>
      <c r="O187" s="22" t="n">
        <v>638.1</v>
      </c>
      <c r="P187" s="22" t="n">
        <v>626</v>
      </c>
      <c r="Q187" s="22" t="n">
        <v>639.9</v>
      </c>
      <c r="R187" s="22" t="n">
        <v>658</v>
      </c>
      <c r="S187" s="22" t="n">
        <v>655</v>
      </c>
      <c r="T187" s="22" t="n">
        <v>656.6</v>
      </c>
      <c r="U187" s="22" t="n">
        <v>665.8</v>
      </c>
      <c r="V187" s="22" t="n">
        <v>666</v>
      </c>
      <c r="W187" s="22" t="n">
        <v>657.2</v>
      </c>
      <c r="X187" s="22" t="n">
        <v>652</v>
      </c>
      <c r="Y187" s="22" t="n">
        <v>650.2</v>
      </c>
      <c r="Z187" s="22" t="n">
        <v>641</v>
      </c>
      <c r="AA187" s="22" t="n">
        <v>640.4</v>
      </c>
      <c r="AB187" s="22" t="n">
        <v>637</v>
      </c>
      <c r="AC187" s="22" t="n">
        <v>644.5</v>
      </c>
      <c r="AD187" s="22" t="n">
        <v>634.5</v>
      </c>
      <c r="AE187" s="22" t="n">
        <v>652</v>
      </c>
      <c r="AF187" s="22" t="n">
        <v>653</v>
      </c>
      <c r="AG187" s="22" t="n">
        <v>649.9</v>
      </c>
      <c r="AH187" s="22" t="n">
        <v>619.9</v>
      </c>
      <c r="AI187" s="22" t="n">
        <v>620</v>
      </c>
      <c r="AJ187" s="22" t="n">
        <v>682.3</v>
      </c>
      <c r="AK187" s="22" t="n">
        <v>695</v>
      </c>
      <c r="AL187" s="22" t="n">
        <v>674.9</v>
      </c>
      <c r="AM187" s="22" t="n">
        <v>676.1</v>
      </c>
      <c r="AN187" s="22" t="n">
        <v>688</v>
      </c>
      <c r="AO187" s="22" t="n">
        <v>691.6</v>
      </c>
      <c r="AP187" s="22" t="n">
        <v>695</v>
      </c>
      <c r="AQ187" s="22" t="n">
        <v>690.1</v>
      </c>
      <c r="AR187" s="22" t="n">
        <v>689.1</v>
      </c>
      <c r="AS187" s="22" t="n">
        <v>683</v>
      </c>
      <c r="AT187" s="22" t="n">
        <v>672</v>
      </c>
      <c r="AU187" s="22" t="n">
        <v>667.2</v>
      </c>
      <c r="AV187" s="22" t="n">
        <v>655.1</v>
      </c>
      <c r="AW187" s="22" t="n">
        <v>661.8</v>
      </c>
      <c r="AX187" s="22" t="n">
        <v>671</v>
      </c>
      <c r="AY187" s="22" t="n">
        <v>668.9</v>
      </c>
      <c r="AZ187" s="22" t="n">
        <v>656</v>
      </c>
      <c r="BA187" s="22" t="n">
        <v>651</v>
      </c>
      <c r="BB187" s="22" t="n">
        <v>647</v>
      </c>
      <c r="BC187" s="22" t="n">
        <v>652.7</v>
      </c>
      <c r="BD187" s="22" t="n">
        <v>639.4</v>
      </c>
      <c r="BE187" s="22" t="n">
        <v>627</v>
      </c>
      <c r="BF187" s="22" t="n">
        <v>613</v>
      </c>
      <c r="BG187" s="22" t="n">
        <v>654</v>
      </c>
      <c r="BH187" s="22" t="n">
        <v>650</v>
      </c>
      <c r="BI187" s="22" t="n">
        <v>644</v>
      </c>
      <c r="BJ187" s="22" t="n">
        <v>636.8</v>
      </c>
      <c r="BK187" s="22" t="n">
        <v>625</v>
      </c>
      <c r="BL187" s="22" t="n">
        <v>639.5</v>
      </c>
    </row>
    <row r="188" ht="15.95" customHeight="1" s="574">
      <c r="A188" s="81" t="inlineStr">
        <is>
          <t>6753</t>
        </is>
      </c>
      <c r="B188" s="17" t="inlineStr">
        <is>
          <t>シャープ</t>
        </is>
      </c>
      <c r="C188" s="655">
        <f>_xll.RssMarket("6753","始値")</f>
        <v/>
      </c>
      <c r="D188" s="656">
        <f>C188-E188</f>
        <v/>
      </c>
      <c r="E188" s="22" t="n">
        <v>570.1</v>
      </c>
      <c r="F188" s="22" t="n">
        <v>594</v>
      </c>
      <c r="G188" s="22" t="n">
        <v>590</v>
      </c>
      <c r="H188" s="22" t="n">
        <v>594</v>
      </c>
      <c r="I188" s="22" t="n">
        <v>610</v>
      </c>
      <c r="J188" s="22" t="n">
        <v>611.2</v>
      </c>
      <c r="K188" s="22" t="n">
        <v>630.5</v>
      </c>
      <c r="L188" s="22" t="n">
        <v>626.2</v>
      </c>
      <c r="M188" s="22" t="n">
        <v>649.8</v>
      </c>
      <c r="N188" s="22" t="n">
        <v>650</v>
      </c>
      <c r="O188" s="22" t="n">
        <v>675</v>
      </c>
      <c r="P188" s="22" t="n">
        <v>663.2</v>
      </c>
      <c r="Q188" s="22" t="n">
        <v>651.6</v>
      </c>
      <c r="R188" s="22" t="n">
        <v>624</v>
      </c>
      <c r="S188" s="22" t="n">
        <v>622</v>
      </c>
      <c r="T188" s="22" t="n">
        <v>613</v>
      </c>
      <c r="U188" s="22" t="n">
        <v>626.6</v>
      </c>
      <c r="V188" s="22" t="n">
        <v>640.9</v>
      </c>
      <c r="W188" s="22" t="n">
        <v>616.3</v>
      </c>
      <c r="X188" s="22" t="n">
        <v>604.4</v>
      </c>
      <c r="Y188" s="22" t="n">
        <v>635.4</v>
      </c>
      <c r="Z188" s="22" t="n">
        <v>615.8</v>
      </c>
      <c r="AA188" s="22" t="n">
        <v>609.9</v>
      </c>
      <c r="AB188" s="22" t="n">
        <v>574.9</v>
      </c>
      <c r="AC188" s="22" t="n">
        <v>581.1</v>
      </c>
      <c r="AD188" s="22" t="n">
        <v>550</v>
      </c>
      <c r="AE188" s="22" t="n">
        <v>555</v>
      </c>
      <c r="AF188" s="22" t="n">
        <v>554.3</v>
      </c>
      <c r="AG188" s="22" t="n">
        <v>563.8</v>
      </c>
      <c r="AH188" s="22" t="n">
        <v>590.7</v>
      </c>
      <c r="AI188" s="22" t="n">
        <v>558.2</v>
      </c>
      <c r="AJ188" s="22" t="n">
        <v>566.1</v>
      </c>
      <c r="AK188" s="22" t="n">
        <v>555</v>
      </c>
      <c r="AL188" s="22" t="n">
        <v>551</v>
      </c>
      <c r="AM188" s="22" t="n">
        <v>582</v>
      </c>
      <c r="AN188" s="22" t="n">
        <v>604.6</v>
      </c>
      <c r="AO188" s="22" t="n">
        <v>605.1</v>
      </c>
      <c r="AP188" s="22" t="n">
        <v>617</v>
      </c>
      <c r="AQ188" s="22" t="n">
        <v>617</v>
      </c>
      <c r="AR188" s="22" t="n">
        <v>604</v>
      </c>
      <c r="AS188" s="22" t="n">
        <v>600</v>
      </c>
      <c r="AT188" s="22" t="n">
        <v>596</v>
      </c>
      <c r="AU188" s="22" t="n">
        <v>595.7</v>
      </c>
      <c r="AV188" s="22" t="n">
        <v>594.4</v>
      </c>
      <c r="AW188" s="22" t="n">
        <v>608.8</v>
      </c>
      <c r="AX188" s="22" t="n">
        <v>628.2</v>
      </c>
      <c r="AY188" s="22" t="n">
        <v>643.1</v>
      </c>
      <c r="AZ188" s="22" t="n">
        <v>636.4</v>
      </c>
      <c r="BA188" s="22" t="n">
        <v>641</v>
      </c>
      <c r="BB188" s="22" t="n">
        <v>611.2</v>
      </c>
      <c r="BC188" s="22" t="n">
        <v>610.1</v>
      </c>
      <c r="BD188" s="22" t="n">
        <v>593.3</v>
      </c>
      <c r="BE188" s="22" t="n">
        <v>575</v>
      </c>
      <c r="BF188" s="22" t="n">
        <v>568.6</v>
      </c>
      <c r="BG188" s="22" t="n">
        <v>587.6</v>
      </c>
      <c r="BH188" s="22" t="n">
        <v>577.7</v>
      </c>
      <c r="BI188" s="22" t="n">
        <v>589</v>
      </c>
      <c r="BJ188" s="22" t="n">
        <v>579</v>
      </c>
      <c r="BK188" s="22" t="n">
        <v>566</v>
      </c>
      <c r="BL188" s="22" t="n">
        <v>582</v>
      </c>
    </row>
    <row r="189" ht="15.95" customHeight="1" s="574">
      <c r="A189" s="81" t="inlineStr">
        <is>
          <t>9064</t>
        </is>
      </c>
      <c r="B189" s="17">
        <f>銘柄管理!C189</f>
        <v/>
      </c>
      <c r="C189" s="655">
        <f>_xll.RssMarket("9064","始値")</f>
        <v/>
      </c>
      <c r="D189" s="656" t="n"/>
      <c r="E189" s="22" t="n">
        <v>1770.5</v>
      </c>
      <c r="F189" s="22" t="n">
        <v>1750</v>
      </c>
      <c r="G189" s="22" t="n">
        <v>1744</v>
      </c>
      <c r="H189" s="22" t="n">
        <v>1770</v>
      </c>
      <c r="I189" s="22" t="n">
        <v>1773.5</v>
      </c>
      <c r="J189" s="22" t="n">
        <v>1784</v>
      </c>
      <c r="K189" s="22" t="n">
        <v>1834.5</v>
      </c>
      <c r="L189" s="22" t="n">
        <v>1795.5</v>
      </c>
      <c r="M189" s="22" t="n">
        <v>1792.5</v>
      </c>
      <c r="N189" s="22" t="n">
        <v>1785</v>
      </c>
      <c r="O189" s="22" t="n">
        <v>1820</v>
      </c>
      <c r="P189" s="22" t="n">
        <v>1823.5</v>
      </c>
      <c r="Q189" s="22" t="n">
        <v>1814</v>
      </c>
      <c r="R189" s="22" t="n">
        <v>1794.5</v>
      </c>
      <c r="S189" s="22" t="n">
        <v>1818.5</v>
      </c>
      <c r="T189" s="22" t="n">
        <v>1779.5</v>
      </c>
      <c r="U189" s="22" t="n">
        <v>1787</v>
      </c>
      <c r="V189" s="22" t="n">
        <v>1768.5</v>
      </c>
      <c r="W189" s="22" t="n">
        <v>1775</v>
      </c>
      <c r="X189" s="22" t="n">
        <v>1770</v>
      </c>
      <c r="Y189" s="22" t="n">
        <v>1763</v>
      </c>
      <c r="Z189" s="22" t="n">
        <v>1760.5</v>
      </c>
      <c r="AA189" s="22" t="n">
        <v>1739.5</v>
      </c>
      <c r="AB189" s="22" t="n">
        <v>1740</v>
      </c>
      <c r="AC189" s="22" t="n">
        <v>1747</v>
      </c>
      <c r="AD189" s="22" t="n">
        <v>1745</v>
      </c>
      <c r="AE189" s="22" t="n">
        <v>1734.5</v>
      </c>
      <c r="AF189" s="22" t="n">
        <v>1775</v>
      </c>
      <c r="AG189" s="22" t="n">
        <v>1830</v>
      </c>
      <c r="AH189" s="22" t="n">
        <v>1748.5</v>
      </c>
      <c r="AI189" s="22" t="n">
        <v>1724.5</v>
      </c>
      <c r="AJ189" s="22" t="n">
        <v>1780.5</v>
      </c>
      <c r="AK189" s="22" t="n">
        <v>1791</v>
      </c>
      <c r="AL189" s="22" t="n">
        <v>1750</v>
      </c>
      <c r="AM189" s="22" t="n">
        <v>1764</v>
      </c>
      <c r="AN189" s="22" t="n">
        <v>1790</v>
      </c>
      <c r="AO189" s="22" t="n">
        <v>1815</v>
      </c>
      <c r="AP189" s="22" t="n">
        <v>1843.5</v>
      </c>
      <c r="AQ189" s="22" t="n">
        <v>1855</v>
      </c>
      <c r="AR189" s="22" t="n">
        <v>1860</v>
      </c>
      <c r="AS189" s="22" t="n">
        <v>1856.5</v>
      </c>
      <c r="AT189" s="22" t="n">
        <v>1866</v>
      </c>
      <c r="AU189" s="22" t="n">
        <v>1850.5</v>
      </c>
      <c r="AV189" s="22" t="n">
        <v>1834</v>
      </c>
      <c r="AW189" s="22" t="n">
        <v>1873</v>
      </c>
      <c r="AX189" s="22" t="n">
        <v>1878.5</v>
      </c>
      <c r="AY189" s="22" t="n">
        <v>1844</v>
      </c>
      <c r="AZ189" s="22" t="n">
        <v>1811</v>
      </c>
      <c r="BA189" s="22" t="n">
        <v>1790</v>
      </c>
      <c r="BB189" s="22" t="n">
        <v>1780</v>
      </c>
      <c r="BC189" s="22" t="n">
        <v>1785</v>
      </c>
      <c r="BD189" s="22" t="n">
        <v>1745</v>
      </c>
      <c r="BE189" s="22" t="n">
        <v>1757</v>
      </c>
      <c r="BF189" s="22" t="n">
        <v>1722.5</v>
      </c>
      <c r="BG189" s="22" t="n">
        <v>1776</v>
      </c>
      <c r="BH189" s="22" t="n">
        <v>1757</v>
      </c>
      <c r="BI189" s="22" t="n">
        <v>1756</v>
      </c>
      <c r="BJ189" s="22" t="n">
        <v>1731</v>
      </c>
      <c r="BK189" s="22" t="n">
        <v>1718.5</v>
      </c>
      <c r="BL189" s="22" t="n">
        <v>1764</v>
      </c>
    </row>
    <row r="190" ht="15.95" customHeight="1" s="574">
      <c r="A190" s="81" t="inlineStr">
        <is>
          <t>7181</t>
        </is>
      </c>
      <c r="B190" s="17" t="inlineStr">
        <is>
          <t>かんぽ生命保険</t>
        </is>
      </c>
      <c r="C190" s="655">
        <f>_xll.RssMarket("7181","始値")</f>
        <v/>
      </c>
      <c r="D190" s="656">
        <f>C190-E190</f>
        <v/>
      </c>
      <c r="E190" s="22" t="n">
        <v>1500</v>
      </c>
      <c r="F190" s="22" t="n">
        <v>1529</v>
      </c>
      <c r="G190" s="22" t="n">
        <v>1539</v>
      </c>
      <c r="H190" s="22" t="n">
        <v>1580</v>
      </c>
      <c r="I190" s="22" t="n">
        <v>1548.5</v>
      </c>
      <c r="J190" s="22" t="n">
        <v>1535.5</v>
      </c>
      <c r="K190" s="22" t="n">
        <v>1540</v>
      </c>
      <c r="L190" s="22" t="n">
        <v>1570</v>
      </c>
      <c r="M190" s="22" t="n">
        <v>1556.5</v>
      </c>
      <c r="N190" s="22" t="n">
        <v>1423.5</v>
      </c>
      <c r="O190" s="22" t="n">
        <v>1434.5</v>
      </c>
      <c r="P190" s="22" t="n">
        <v>1391</v>
      </c>
      <c r="Q190" s="22" t="n">
        <v>1437</v>
      </c>
      <c r="R190" s="22" t="n">
        <v>1382.5</v>
      </c>
      <c r="S190" s="22" t="n">
        <v>1400</v>
      </c>
      <c r="T190" s="22" t="n">
        <v>1462</v>
      </c>
      <c r="U190" s="22" t="n">
        <v>1470.5</v>
      </c>
      <c r="V190" s="22" t="n">
        <v>1505.5</v>
      </c>
      <c r="W190" s="22" t="n">
        <v>1551</v>
      </c>
      <c r="X190" s="22" t="n">
        <v>1530</v>
      </c>
      <c r="Y190" s="22" t="n">
        <v>1535</v>
      </c>
      <c r="Z190" s="22" t="n">
        <v>1474.5</v>
      </c>
      <c r="AA190" s="22" t="n">
        <v>1530</v>
      </c>
      <c r="AB190" s="22" t="n">
        <v>1616</v>
      </c>
      <c r="AC190" s="22" t="n">
        <v>1611</v>
      </c>
      <c r="AD190" s="22" t="n">
        <v>1568</v>
      </c>
      <c r="AE190" s="22" t="n">
        <v>1564</v>
      </c>
      <c r="AF190" s="22" t="n">
        <v>1553.5</v>
      </c>
      <c r="AG190" s="22" t="n">
        <v>1567</v>
      </c>
      <c r="AH190" s="22" t="n">
        <v>1577.5</v>
      </c>
      <c r="AI190" s="22" t="n">
        <v>1518.5</v>
      </c>
      <c r="AJ190" s="22" t="n">
        <v>1524.5</v>
      </c>
      <c r="AK190" s="22" t="n">
        <v>1511</v>
      </c>
      <c r="AL190" s="22" t="n">
        <v>1481</v>
      </c>
      <c r="AM190" s="22" t="n">
        <v>1506</v>
      </c>
      <c r="AN190" s="22" t="n">
        <v>1476</v>
      </c>
      <c r="AO190" s="22" t="n">
        <v>1542</v>
      </c>
      <c r="AP190" s="22" t="n">
        <v>1577.5</v>
      </c>
      <c r="AQ190" s="22" t="n">
        <v>1614</v>
      </c>
      <c r="AR190" s="22" t="n">
        <v>1644</v>
      </c>
      <c r="AS190" s="22" t="n">
        <v>1667</v>
      </c>
      <c r="AT190" s="22" t="n">
        <v>1649.5</v>
      </c>
      <c r="AU190" s="22" t="n">
        <v>1613</v>
      </c>
      <c r="AV190" s="22" t="n">
        <v>1583</v>
      </c>
      <c r="AW190" s="22" t="n">
        <v>1595.5</v>
      </c>
      <c r="AX190" s="22" t="n">
        <v>1630</v>
      </c>
      <c r="AY190" s="22" t="n">
        <v>1654</v>
      </c>
      <c r="AZ190" s="22" t="n">
        <v>1600</v>
      </c>
      <c r="BA190" s="22" t="n">
        <v>1619</v>
      </c>
      <c r="BB190" s="22" t="n">
        <v>1627</v>
      </c>
      <c r="BC190" s="22" t="n">
        <v>1657</v>
      </c>
      <c r="BD190" s="22" t="n">
        <v>1642</v>
      </c>
      <c r="BE190" s="22" t="n">
        <v>1577.5</v>
      </c>
      <c r="BF190" s="22" t="n">
        <v>1538</v>
      </c>
      <c r="BG190" s="22" t="n">
        <v>1623.3</v>
      </c>
      <c r="BH190" s="22" t="n">
        <v>1610.6</v>
      </c>
      <c r="BI190" s="22" t="n">
        <v>1607</v>
      </c>
      <c r="BJ190" s="22" t="n">
        <v>1581.3</v>
      </c>
      <c r="BK190" s="22" t="n">
        <v>1533.3</v>
      </c>
      <c r="BL190" s="22" t="n">
        <v>1583.3</v>
      </c>
    </row>
    <row r="191" ht="15.95" customHeight="1" s="574">
      <c r="A191" s="81" t="inlineStr">
        <is>
          <t>6485</t>
        </is>
      </c>
      <c r="B191" s="17">
        <f>銘柄管理!C191</f>
        <v/>
      </c>
      <c r="C191" s="655">
        <f>_xll.RssMarket("6485","始値")</f>
        <v/>
      </c>
      <c r="D191" s="656" t="n"/>
      <c r="E191" s="22" t="n">
        <v>1483</v>
      </c>
      <c r="F191" s="22" t="n">
        <v>1474</v>
      </c>
      <c r="G191" s="22" t="n">
        <v>1454</v>
      </c>
      <c r="H191" s="22" t="n">
        <v>1458</v>
      </c>
      <c r="I191" s="22" t="n">
        <v>1440</v>
      </c>
      <c r="J191" s="22" t="n">
        <v>1430</v>
      </c>
      <c r="K191" s="22" t="n">
        <v>1419</v>
      </c>
      <c r="L191" s="22" t="n">
        <v>1435</v>
      </c>
      <c r="M191" s="22" t="n">
        <v>1433</v>
      </c>
      <c r="N191" s="22" t="n">
        <v>1420</v>
      </c>
      <c r="O191" s="22" t="n">
        <v>1393</v>
      </c>
      <c r="P191" s="22" t="n">
        <v>1381</v>
      </c>
      <c r="Q191" s="22" t="n">
        <v>1380</v>
      </c>
      <c r="R191" s="22" t="n">
        <v>1425</v>
      </c>
      <c r="S191" s="22" t="n">
        <v>1420</v>
      </c>
      <c r="T191" s="22" t="n">
        <v>1415</v>
      </c>
      <c r="U191" s="22" t="n">
        <v>1419</v>
      </c>
      <c r="V191" s="22" t="n">
        <v>1420</v>
      </c>
      <c r="W191" s="22" t="n">
        <v>1430</v>
      </c>
      <c r="X191" s="22" t="n">
        <v>1449</v>
      </c>
      <c r="Y191" s="22" t="n">
        <v>1456</v>
      </c>
      <c r="Z191" s="22" t="n">
        <v>1475</v>
      </c>
      <c r="AA191" s="22" t="n">
        <v>1491</v>
      </c>
      <c r="AB191" s="22" t="n">
        <v>1490</v>
      </c>
      <c r="AC191" s="22" t="n">
        <v>1510</v>
      </c>
      <c r="AD191" s="22" t="n">
        <v>1515</v>
      </c>
      <c r="AE191" s="22" t="n">
        <v>1512</v>
      </c>
      <c r="AF191" s="22" t="n">
        <v>1510</v>
      </c>
      <c r="AG191" s="22" t="n">
        <v>1505</v>
      </c>
      <c r="AH191" s="22" t="n">
        <v>1515</v>
      </c>
      <c r="AI191" s="22" t="n">
        <v>1484</v>
      </c>
      <c r="AJ191" s="22" t="n">
        <v>1519</v>
      </c>
      <c r="AK191" s="22" t="n">
        <v>1504</v>
      </c>
      <c r="AL191" s="22" t="n">
        <v>1522</v>
      </c>
      <c r="AM191" s="22" t="n">
        <v>1550</v>
      </c>
      <c r="AN191" s="22" t="n">
        <v>1565</v>
      </c>
      <c r="AO191" s="22" t="n">
        <v>1562</v>
      </c>
      <c r="AP191" s="22" t="n">
        <v>1564</v>
      </c>
      <c r="AQ191" s="22" t="n">
        <v>1586</v>
      </c>
      <c r="AR191" s="22" t="n">
        <v>1591</v>
      </c>
      <c r="AS191" s="22" t="n">
        <v>1600</v>
      </c>
      <c r="AT191" s="22" t="n">
        <v>1606</v>
      </c>
      <c r="AU191" s="22" t="n">
        <v>1626</v>
      </c>
      <c r="AV191" s="22" t="n">
        <v>1629</v>
      </c>
      <c r="AW191" s="22" t="n">
        <v>1620</v>
      </c>
      <c r="AX191" s="22" t="n">
        <v>1589</v>
      </c>
      <c r="AY191" s="22" t="n">
        <v>1586</v>
      </c>
      <c r="AZ191" s="22" t="n">
        <v>1580</v>
      </c>
      <c r="BA191" s="22" t="n">
        <v>1586</v>
      </c>
      <c r="BB191" s="22" t="n">
        <v>1572</v>
      </c>
      <c r="BC191" s="22" t="n">
        <v>1550</v>
      </c>
      <c r="BD191" s="22" t="n">
        <v>1581</v>
      </c>
      <c r="BE191" s="22" t="n">
        <v>1595</v>
      </c>
      <c r="BF191" s="22" t="n">
        <v>1602</v>
      </c>
      <c r="BG191" s="22" t="n">
        <v>1610</v>
      </c>
      <c r="BH191" s="22" t="n">
        <v>1588</v>
      </c>
      <c r="BI191" s="22" t="n">
        <v>1603</v>
      </c>
      <c r="BJ191" s="22" t="n">
        <v>1654</v>
      </c>
      <c r="BK191" s="22" t="n">
        <v>1648</v>
      </c>
      <c r="BL191" s="22" t="n">
        <v>1637</v>
      </c>
    </row>
    <row r="192" ht="15.95" customHeight="1" s="574">
      <c r="A192" s="81" t="inlineStr">
        <is>
          <t>4887</t>
        </is>
      </c>
      <c r="B192" s="17" t="inlineStr">
        <is>
          <t>サワイグループＨＤ</t>
        </is>
      </c>
      <c r="C192" s="655">
        <f>_xll.RssMarket("4887","始値")</f>
        <v/>
      </c>
      <c r="D192" s="656">
        <f>C192-E192</f>
        <v/>
      </c>
      <c r="E192" s="22" t="n">
        <v>1630</v>
      </c>
      <c r="F192" s="22" t="n">
        <v>1633.5</v>
      </c>
      <c r="G192" s="22" t="n">
        <v>1669.5</v>
      </c>
      <c r="H192" s="22" t="n">
        <v>1662.5</v>
      </c>
      <c r="I192" s="22" t="n">
        <v>1664</v>
      </c>
      <c r="J192" s="22" t="n">
        <v>1683</v>
      </c>
      <c r="K192" s="22" t="n">
        <v>1692</v>
      </c>
      <c r="L192" s="22" t="n">
        <v>1710</v>
      </c>
      <c r="M192" s="22" t="n">
        <v>1718</v>
      </c>
      <c r="N192" s="22" t="n">
        <v>1691</v>
      </c>
      <c r="O192" s="22" t="n">
        <v>1733</v>
      </c>
      <c r="P192" s="22" t="n">
        <v>1725</v>
      </c>
      <c r="Q192" s="22" t="n">
        <v>1685</v>
      </c>
      <c r="R192" s="22" t="n">
        <v>1718</v>
      </c>
      <c r="S192" s="22" t="n">
        <v>1731</v>
      </c>
      <c r="T192" s="22" t="n">
        <v>1776</v>
      </c>
      <c r="U192" s="22" t="n">
        <v>1759</v>
      </c>
      <c r="V192" s="22" t="n">
        <v>1771</v>
      </c>
      <c r="W192" s="22" t="n">
        <v>1750</v>
      </c>
      <c r="X192" s="22" t="n">
        <v>1824</v>
      </c>
      <c r="Y192" s="22" t="n">
        <v>1815</v>
      </c>
      <c r="Z192" s="22" t="n">
        <v>1741</v>
      </c>
      <c r="AA192" s="22" t="n">
        <v>1782.5</v>
      </c>
      <c r="AB192" s="22" t="n">
        <v>2070</v>
      </c>
      <c r="AC192" s="22" t="n">
        <v>2090</v>
      </c>
      <c r="AD192" s="22" t="n">
        <v>2071</v>
      </c>
      <c r="AE192" s="22" t="n">
        <v>2099.5</v>
      </c>
      <c r="AF192" s="22" t="n">
        <v>2101.5</v>
      </c>
      <c r="AG192" s="22" t="n">
        <v>2131</v>
      </c>
      <c r="AH192" s="22" t="n">
        <v>2088</v>
      </c>
      <c r="AI192" s="22" t="n">
        <v>2104.5</v>
      </c>
      <c r="AJ192" s="22" t="n">
        <v>2105.5</v>
      </c>
      <c r="AK192" s="22" t="n">
        <v>2073</v>
      </c>
      <c r="AL192" s="22" t="n">
        <v>2100</v>
      </c>
      <c r="AM192" s="22" t="n">
        <v>2093.5</v>
      </c>
      <c r="AN192" s="22" t="n">
        <v>2094.5</v>
      </c>
      <c r="AO192" s="22" t="n">
        <v>2162</v>
      </c>
      <c r="AP192" s="22" t="n">
        <v>2175</v>
      </c>
      <c r="AQ192" s="22" t="n">
        <v>2225</v>
      </c>
      <c r="AR192" s="22" t="n">
        <v>2239.5</v>
      </c>
      <c r="AS192" s="22" t="n">
        <v>2240</v>
      </c>
      <c r="AT192" s="22" t="n">
        <v>2177</v>
      </c>
      <c r="AU192" s="22" t="n">
        <v>2226.5</v>
      </c>
      <c r="AV192" s="22" t="n">
        <v>2251.5</v>
      </c>
      <c r="AW192" s="22" t="n">
        <v>2252</v>
      </c>
      <c r="AX192" s="22" t="n">
        <v>2260</v>
      </c>
      <c r="AY192" s="22" t="n">
        <v>2300</v>
      </c>
      <c r="AZ192" s="22" t="n">
        <v>2281</v>
      </c>
      <c r="BA192" s="22" t="n">
        <v>2300</v>
      </c>
      <c r="BB192" s="22" t="n">
        <v>2237</v>
      </c>
      <c r="BC192" s="22" t="n">
        <v>2260.5</v>
      </c>
      <c r="BD192" s="22" t="n">
        <v>2221.5</v>
      </c>
      <c r="BE192" s="22" t="n">
        <v>2249.5</v>
      </c>
      <c r="BF192" s="22" t="n">
        <v>2247</v>
      </c>
      <c r="BG192" s="22" t="n">
        <v>2292.5</v>
      </c>
      <c r="BH192" s="22" t="n">
        <v>2260</v>
      </c>
      <c r="BI192" s="22" t="n">
        <v>2225</v>
      </c>
      <c r="BJ192" s="22" t="n">
        <v>2144</v>
      </c>
      <c r="BK192" s="22" t="n">
        <v>2107</v>
      </c>
      <c r="BL192" s="22" t="n">
        <v>2162.5</v>
      </c>
    </row>
    <row r="193" ht="15.95" customHeight="1" s="574">
      <c r="A193" s="81" t="inlineStr">
        <is>
          <t>5243</t>
        </is>
      </c>
      <c r="B193" s="17" t="inlineStr">
        <is>
          <t>ＮＯＴＥ</t>
        </is>
      </c>
      <c r="C193" s="655">
        <f>_xll.RssMarket("5243","始値")</f>
        <v/>
      </c>
      <c r="D193" s="656">
        <f>C193-E193</f>
        <v/>
      </c>
      <c r="E193" s="22" t="n">
        <v>1758</v>
      </c>
      <c r="F193" s="22" t="n">
        <v>1889</v>
      </c>
      <c r="G193" s="22" t="n">
        <v>1824</v>
      </c>
      <c r="H193" s="22" t="n">
        <v>1749</v>
      </c>
      <c r="I193" s="22" t="n">
        <v>1692</v>
      </c>
      <c r="J193" s="22" t="n">
        <v>1678</v>
      </c>
      <c r="K193" s="22" t="n">
        <v>1712</v>
      </c>
      <c r="L193" s="22" t="n">
        <v>1636</v>
      </c>
      <c r="M193" s="22" t="n">
        <v>1725</v>
      </c>
      <c r="N193" s="22" t="n">
        <v>1795</v>
      </c>
      <c r="O193" s="22" t="n">
        <v>1815</v>
      </c>
      <c r="P193" s="22" t="n">
        <v>1866</v>
      </c>
      <c r="Q193" s="22" t="n">
        <v>1900</v>
      </c>
      <c r="R193" s="22" t="n">
        <v>1975</v>
      </c>
      <c r="S193" s="22" t="n">
        <v>2090</v>
      </c>
      <c r="T193" s="22" t="n">
        <v>2092</v>
      </c>
      <c r="U193" s="22" t="n">
        <v>2200</v>
      </c>
      <c r="V193" s="22" t="n">
        <v>2250</v>
      </c>
      <c r="W193" s="22" t="n">
        <v>2197</v>
      </c>
      <c r="X193" s="22" t="n">
        <v>2150</v>
      </c>
      <c r="Y193" s="22" t="n">
        <v>2208</v>
      </c>
      <c r="Z193" s="22" t="n">
        <v>2300</v>
      </c>
      <c r="AA193" s="22" t="n">
        <v>2220</v>
      </c>
      <c r="AB193" s="22" t="n">
        <v>2299</v>
      </c>
      <c r="AC193" s="22" t="n">
        <v>2407</v>
      </c>
      <c r="AD193" s="22" t="n">
        <v>2273</v>
      </c>
      <c r="AE193" s="22" t="n">
        <v>2135</v>
      </c>
      <c r="AF193" s="22" t="n">
        <v>2160</v>
      </c>
      <c r="AG193" s="22" t="n">
        <v>2288</v>
      </c>
      <c r="AH193" s="22" t="n">
        <v>2359</v>
      </c>
      <c r="AI193" s="22" t="n">
        <v>2405</v>
      </c>
      <c r="AJ193" s="22" t="n">
        <v>2457</v>
      </c>
      <c r="AK193" s="22" t="n">
        <v>2330</v>
      </c>
      <c r="AL193" s="22" t="n">
        <v>2385</v>
      </c>
      <c r="AM193" s="22" t="n">
        <v>2476</v>
      </c>
      <c r="AN193" s="22" t="n">
        <v>2556</v>
      </c>
      <c r="AO193" s="22" t="n">
        <v>2536</v>
      </c>
      <c r="AP193" s="22" t="n">
        <v>2615</v>
      </c>
      <c r="AQ193" s="22" t="n">
        <v>2570</v>
      </c>
      <c r="AR193" s="22" t="n">
        <v>2706</v>
      </c>
      <c r="AS193" s="22" t="n">
        <v>2631</v>
      </c>
      <c r="AT193" s="22" t="n">
        <v>3400</v>
      </c>
      <c r="AU193" s="22" t="n">
        <v>2900</v>
      </c>
      <c r="AV193" s="22" t="n">
        <v>2681</v>
      </c>
      <c r="AW193" s="22" t="n">
        <v>2695</v>
      </c>
      <c r="AX193" s="22" t="n">
        <v>2694</v>
      </c>
      <c r="AY193" s="22" t="n">
        <v>2600</v>
      </c>
      <c r="AZ193" s="22" t="n">
        <v>2580</v>
      </c>
      <c r="BA193" s="22" t="n">
        <v>2534</v>
      </c>
      <c r="BB193" s="22" t="n">
        <v>2500</v>
      </c>
      <c r="BC193" s="22" t="n">
        <v>2593</v>
      </c>
      <c r="BD193" s="22" t="n">
        <v>2524</v>
      </c>
      <c r="BE193" s="22" t="n">
        <v>2412</v>
      </c>
      <c r="BF193" s="22" t="n">
        <v>2469</v>
      </c>
      <c r="BG193" s="22" t="n">
        <v>2447</v>
      </c>
      <c r="BH193" s="22" t="n">
        <v>2470</v>
      </c>
      <c r="BI193" s="22" t="n">
        <v>2401</v>
      </c>
      <c r="BJ193" s="22" t="n">
        <v>2200</v>
      </c>
      <c r="BK193" s="22" t="n">
        <v>2091</v>
      </c>
      <c r="BL193" s="22" t="n">
        <v>2251</v>
      </c>
    </row>
    <row r="194" ht="15.95" customHeight="1" s="574">
      <c r="A194" s="81" t="inlineStr">
        <is>
          <t>2702</t>
        </is>
      </c>
      <c r="B194" s="17" t="inlineStr">
        <is>
          <t>日本マクドナルドＨＬＤＧ</t>
        </is>
      </c>
      <c r="C194" s="655">
        <f>_xll.RssMarket("2702","始値")</f>
        <v/>
      </c>
      <c r="D194" s="656">
        <f>C194-E194</f>
        <v/>
      </c>
      <c r="E194" s="22" t="n">
        <v>7250</v>
      </c>
      <c r="F194" s="22" t="n">
        <v>7290</v>
      </c>
      <c r="G194" s="22" t="n">
        <v>7410</v>
      </c>
      <c r="H194" s="22" t="n">
        <v>7380</v>
      </c>
      <c r="I194" s="22" t="n">
        <v>7480</v>
      </c>
      <c r="J194" s="22" t="n">
        <v>7500</v>
      </c>
      <c r="K194" s="22" t="n">
        <v>7410</v>
      </c>
      <c r="L194" s="22" t="n">
        <v>7330</v>
      </c>
      <c r="M194" s="22" t="n">
        <v>7350</v>
      </c>
      <c r="N194" s="22" t="n">
        <v>7360</v>
      </c>
      <c r="O194" s="22" t="n">
        <v>7460</v>
      </c>
      <c r="P194" s="22" t="n">
        <v>7500</v>
      </c>
      <c r="Q194" s="22" t="n">
        <v>7520</v>
      </c>
      <c r="R194" s="22" t="n">
        <v>7640</v>
      </c>
      <c r="S194" s="22" t="n">
        <v>7830</v>
      </c>
      <c r="T194" s="22" t="n">
        <v>7820</v>
      </c>
      <c r="U194" s="22" t="n">
        <v>8050</v>
      </c>
      <c r="V194" s="22" t="n">
        <v>8180</v>
      </c>
      <c r="W194" s="22" t="n">
        <v>8040</v>
      </c>
      <c r="X194" s="22" t="n">
        <v>8180</v>
      </c>
      <c r="Y194" s="22" t="n">
        <v>8000</v>
      </c>
      <c r="Z194" s="22" t="n">
        <v>7810</v>
      </c>
      <c r="AA194" s="22" t="n">
        <v>8190</v>
      </c>
      <c r="AB194" s="22" t="n">
        <v>8300</v>
      </c>
      <c r="AC194" s="22" t="n">
        <v>8580</v>
      </c>
      <c r="AD194" s="22" t="n">
        <v>8420</v>
      </c>
      <c r="AE194" s="22" t="n">
        <v>7750</v>
      </c>
      <c r="AF194" s="22" t="n">
        <v>7810</v>
      </c>
      <c r="AG194" s="22" t="n">
        <v>7970</v>
      </c>
      <c r="AH194" s="22" t="n">
        <v>8120</v>
      </c>
      <c r="AI194" s="22" t="n">
        <v>8120</v>
      </c>
      <c r="AJ194" s="22" t="n">
        <v>8190</v>
      </c>
      <c r="AK194" s="22" t="n">
        <v>8240</v>
      </c>
      <c r="AL194" s="22" t="n">
        <v>8080</v>
      </c>
      <c r="AM194" s="22" t="n">
        <v>8140</v>
      </c>
      <c r="AN194" s="22" t="n">
        <v>8180</v>
      </c>
      <c r="AO194" s="22" t="n">
        <v>8250</v>
      </c>
      <c r="AP194" s="22" t="n">
        <v>8280</v>
      </c>
      <c r="AQ194" s="22" t="n">
        <v>8200</v>
      </c>
      <c r="AR194" s="22" t="n">
        <v>8200</v>
      </c>
      <c r="AS194" s="22" t="n">
        <v>8280</v>
      </c>
      <c r="AT194" s="22" t="n">
        <v>8050</v>
      </c>
      <c r="AU194" s="22" t="n">
        <v>8040</v>
      </c>
      <c r="AV194" s="22" t="n">
        <v>8220</v>
      </c>
      <c r="AW194" s="22" t="n">
        <v>8470</v>
      </c>
      <c r="AX194" s="22" t="n">
        <v>8600</v>
      </c>
      <c r="AY194" s="22" t="n">
        <v>8660</v>
      </c>
      <c r="AZ194" s="22" t="n">
        <v>8500</v>
      </c>
      <c r="BA194" s="22" t="n">
        <v>8380</v>
      </c>
      <c r="BB194" s="22" t="n">
        <v>8230</v>
      </c>
      <c r="BC194" s="22" t="n">
        <v>8200</v>
      </c>
      <c r="BD194" s="22" t="n">
        <v>8280</v>
      </c>
      <c r="BE194" s="22" t="n">
        <v>8430</v>
      </c>
      <c r="BF194" s="22" t="n">
        <v>8260</v>
      </c>
      <c r="BG194" s="22" t="n">
        <v>8180</v>
      </c>
      <c r="BH194" s="22" t="n">
        <v>8090</v>
      </c>
      <c r="BI194" s="22" t="n">
        <v>8110</v>
      </c>
      <c r="BJ194" s="22" t="n">
        <v>7910</v>
      </c>
      <c r="BK194" s="22" t="n">
        <v>7930</v>
      </c>
      <c r="BL194" s="22" t="n">
        <v>8000</v>
      </c>
    </row>
    <row r="195" ht="15.95" customHeight="1" s="574">
      <c r="A195" s="81" t="inlineStr">
        <is>
          <t>6890</t>
        </is>
      </c>
      <c r="B195" s="17" t="inlineStr">
        <is>
          <t>フェローテック</t>
        </is>
      </c>
      <c r="C195" s="655">
        <f>_xll.RssMarket("6890","始値")</f>
        <v/>
      </c>
      <c r="D195" s="656">
        <f>C195-E195</f>
        <v/>
      </c>
      <c r="E195" s="22" t="n">
        <v>10590</v>
      </c>
      <c r="F195" s="22" t="n">
        <v>10580</v>
      </c>
      <c r="G195" s="22" t="n">
        <v>9580</v>
      </c>
      <c r="H195" s="22" t="n">
        <v>9020</v>
      </c>
      <c r="I195" s="22" t="n">
        <v>9210</v>
      </c>
      <c r="J195" s="22" t="n">
        <v>9390</v>
      </c>
      <c r="K195" s="22" t="n">
        <v>8780</v>
      </c>
      <c r="L195" s="22" t="n">
        <v>7580</v>
      </c>
      <c r="M195" s="22" t="n">
        <v>8120</v>
      </c>
      <c r="N195" s="22" t="n">
        <v>8500</v>
      </c>
      <c r="O195" s="22" t="n">
        <v>8900</v>
      </c>
      <c r="P195" s="22" t="n">
        <v>7950</v>
      </c>
      <c r="Q195" s="22" t="n">
        <v>8210</v>
      </c>
      <c r="R195" s="22" t="n">
        <v>8000</v>
      </c>
      <c r="S195" s="22" t="n">
        <v>8570</v>
      </c>
      <c r="T195" s="22" t="n">
        <v>8470</v>
      </c>
      <c r="U195" s="22" t="n">
        <v>9200</v>
      </c>
      <c r="V195" s="22" t="n">
        <v>9000</v>
      </c>
      <c r="W195" s="22" t="n">
        <v>9200</v>
      </c>
      <c r="X195" s="22" t="n">
        <v>8780</v>
      </c>
      <c r="Y195" s="22" t="n">
        <v>9300</v>
      </c>
      <c r="Z195" s="22" t="n">
        <v>9610</v>
      </c>
      <c r="AA195" s="22" t="n">
        <v>9780</v>
      </c>
      <c r="AB195" s="22" t="n">
        <v>9650</v>
      </c>
      <c r="AC195" s="22" t="n">
        <v>9170</v>
      </c>
      <c r="AD195" s="22" t="n">
        <v>9760</v>
      </c>
      <c r="AE195" s="22" t="n">
        <v>9810</v>
      </c>
      <c r="AF195" s="22" t="n">
        <v>9090</v>
      </c>
      <c r="AG195" s="22" t="n">
        <v>8370</v>
      </c>
      <c r="AH195" s="22" t="n">
        <v>7650</v>
      </c>
      <c r="AI195" s="22" t="n">
        <v>7740</v>
      </c>
      <c r="AJ195" s="22" t="n">
        <v>7220</v>
      </c>
      <c r="AK195" s="22" t="n">
        <v>7510</v>
      </c>
      <c r="AL195" s="22" t="n">
        <v>7200</v>
      </c>
      <c r="AM195" s="22" t="n">
        <v>7100</v>
      </c>
      <c r="AN195" s="22" t="n">
        <v>6720</v>
      </c>
      <c r="AO195" s="22" t="n">
        <v>6800</v>
      </c>
      <c r="AP195" s="22" t="n">
        <v>6800</v>
      </c>
      <c r="AQ195" s="22" t="n">
        <v>6780</v>
      </c>
      <c r="AR195" s="22" t="n">
        <v>6780</v>
      </c>
      <c r="AS195" s="22" t="n">
        <v>6930</v>
      </c>
      <c r="AT195" s="22" t="n">
        <v>7130</v>
      </c>
      <c r="AU195" s="22" t="n">
        <v>7000</v>
      </c>
      <c r="AV195" s="22" t="n">
        <v>7000</v>
      </c>
      <c r="AW195" s="22" t="n">
        <v>6750</v>
      </c>
      <c r="AX195" s="22" t="n">
        <v>6740</v>
      </c>
      <c r="AY195" s="22" t="n">
        <v>6630</v>
      </c>
      <c r="AZ195" s="22" t="n">
        <v>6560</v>
      </c>
      <c r="BA195" s="22" t="n">
        <v>6420</v>
      </c>
      <c r="BB195" s="22" t="n">
        <v>6790</v>
      </c>
      <c r="BC195" s="22" t="n">
        <v>6560</v>
      </c>
      <c r="BD195" s="22" t="n">
        <v>6370</v>
      </c>
      <c r="BE195" s="22" t="n">
        <v>6230</v>
      </c>
      <c r="BF195" s="22" t="n">
        <v>6360</v>
      </c>
      <c r="BG195" s="22" t="n">
        <v>6400</v>
      </c>
      <c r="BH195" s="22" t="n">
        <v>6150</v>
      </c>
      <c r="BI195" s="22" t="n">
        <v>5890</v>
      </c>
      <c r="BJ195" s="22" t="n">
        <v>5890</v>
      </c>
      <c r="BK195" s="22" t="n">
        <v>6240</v>
      </c>
      <c r="BL195" s="22" t="n">
        <v>6080</v>
      </c>
    </row>
    <row r="196" ht="15.95" customHeight="1" s="574">
      <c r="A196" s="81" t="inlineStr">
        <is>
          <t>4966</t>
        </is>
      </c>
      <c r="B196" s="17" t="inlineStr">
        <is>
          <t>上村工業</t>
        </is>
      </c>
      <c r="C196" s="655">
        <f>_xll.RssMarket("4966","始値")</f>
        <v/>
      </c>
      <c r="D196" s="656">
        <f>C196-E196</f>
        <v/>
      </c>
      <c r="E196" s="22" t="n">
        <v>27540</v>
      </c>
      <c r="F196" s="22" t="n">
        <v>27140</v>
      </c>
      <c r="G196" s="22" t="n">
        <v>26520</v>
      </c>
      <c r="H196" s="22" t="n">
        <v>26000</v>
      </c>
      <c r="I196" s="22" t="n">
        <v>26190</v>
      </c>
      <c r="J196" s="22" t="n">
        <v>24840</v>
      </c>
      <c r="K196" s="22" t="n">
        <v>24050</v>
      </c>
      <c r="L196" s="22" t="n">
        <v>22230</v>
      </c>
      <c r="M196" s="22" t="n">
        <v>22450</v>
      </c>
      <c r="N196" s="22" t="n">
        <v>21240</v>
      </c>
      <c r="O196" s="22" t="n">
        <v>23020</v>
      </c>
      <c r="P196" s="22" t="n">
        <v>23500</v>
      </c>
      <c r="Q196" s="22" t="n">
        <v>23250</v>
      </c>
      <c r="R196" s="22" t="n">
        <v>23080</v>
      </c>
      <c r="S196" s="22" t="n">
        <v>23560</v>
      </c>
      <c r="T196" s="22" t="n">
        <v>23570</v>
      </c>
      <c r="U196" s="22" t="n">
        <v>24110</v>
      </c>
      <c r="V196" s="22" t="n">
        <v>24450</v>
      </c>
      <c r="W196" s="22" t="n">
        <v>23440</v>
      </c>
      <c r="X196" s="22" t="n">
        <v>23250</v>
      </c>
      <c r="Y196" s="22" t="n">
        <v>22310</v>
      </c>
      <c r="Z196" s="22" t="n">
        <v>24240</v>
      </c>
      <c r="AA196" s="22" t="n">
        <v>23990</v>
      </c>
      <c r="AB196" s="22" t="n">
        <v>26180</v>
      </c>
      <c r="AC196" s="22" t="n">
        <v>25010</v>
      </c>
      <c r="AD196" s="22" t="n">
        <v>24370</v>
      </c>
      <c r="AE196" s="22" t="n">
        <v>24580</v>
      </c>
      <c r="AF196" s="22" t="n">
        <v>24000</v>
      </c>
      <c r="AG196" s="22" t="n">
        <v>23300</v>
      </c>
      <c r="AH196" s="22" t="n">
        <v>23440</v>
      </c>
      <c r="AI196" s="22" t="n">
        <v>23440</v>
      </c>
      <c r="AJ196" s="22" t="n">
        <v>23500</v>
      </c>
      <c r="AK196" s="22" t="n">
        <v>23150</v>
      </c>
      <c r="AL196" s="22" t="n">
        <v>23500</v>
      </c>
      <c r="AM196" s="22" t="n">
        <v>23160</v>
      </c>
      <c r="AN196" s="22" t="n">
        <v>23700</v>
      </c>
      <c r="AO196" s="22" t="n">
        <v>23020</v>
      </c>
      <c r="AP196" s="22" t="n">
        <v>23050</v>
      </c>
      <c r="AQ196" s="22" t="n">
        <v>23000</v>
      </c>
      <c r="AR196" s="22" t="n">
        <v>24130</v>
      </c>
      <c r="AS196" s="22" t="n">
        <v>24390</v>
      </c>
      <c r="AT196" s="22" t="n">
        <v>24500</v>
      </c>
      <c r="AU196" s="22" t="n">
        <v>24200</v>
      </c>
      <c r="AV196" s="22" t="n">
        <v>22890</v>
      </c>
      <c r="AW196" s="22" t="n">
        <v>22670</v>
      </c>
      <c r="AX196" s="22" t="n">
        <v>22600</v>
      </c>
      <c r="AY196" s="22" t="n">
        <v>21620</v>
      </c>
      <c r="AZ196" s="22" t="n">
        <v>21410</v>
      </c>
      <c r="BA196" s="22" t="n">
        <v>21350</v>
      </c>
      <c r="BB196" s="22" t="n">
        <v>20540</v>
      </c>
      <c r="BC196" s="22" t="n">
        <v>20950</v>
      </c>
      <c r="BD196" s="22" t="n">
        <v>20470</v>
      </c>
      <c r="BE196" s="22" t="n">
        <v>19800</v>
      </c>
      <c r="BF196" s="22" t="n">
        <v>20600</v>
      </c>
      <c r="BG196" s="22" t="n">
        <v>22240</v>
      </c>
      <c r="BH196" s="22" t="n">
        <v>23200</v>
      </c>
      <c r="BI196" s="22" t="n">
        <v>22920</v>
      </c>
      <c r="BJ196" s="22" t="n">
        <v>22280</v>
      </c>
      <c r="BK196" s="22" t="n">
        <v>22300</v>
      </c>
      <c r="BL196" s="22" t="n">
        <v>22990</v>
      </c>
    </row>
    <row r="197" ht="15.95" customHeight="1" s="574">
      <c r="A197" s="81" t="inlineStr">
        <is>
          <t>6146</t>
        </is>
      </c>
      <c r="B197" s="17" t="inlineStr">
        <is>
          <t>ディスコ</t>
        </is>
      </c>
      <c r="C197" s="655">
        <f>_xll.RssMarket("6146","始値")</f>
        <v/>
      </c>
      <c r="D197" s="656">
        <f>C197-E197</f>
        <v/>
      </c>
      <c r="E197" s="22" t="n">
        <v>86030</v>
      </c>
      <c r="F197" s="22" t="n">
        <v>87540</v>
      </c>
      <c r="G197" s="22" t="n">
        <v>83500</v>
      </c>
      <c r="H197" s="22" t="n">
        <v>80050</v>
      </c>
      <c r="I197" s="22" t="n">
        <v>84610</v>
      </c>
      <c r="J197" s="22" t="n">
        <v>82650</v>
      </c>
      <c r="K197" s="22" t="n">
        <v>73750</v>
      </c>
      <c r="L197" s="22" t="n">
        <v>68560</v>
      </c>
      <c r="M197" s="22" t="n">
        <v>70020</v>
      </c>
      <c r="N197" s="22" t="n">
        <v>66580</v>
      </c>
      <c r="O197" s="22" t="n">
        <v>73160</v>
      </c>
      <c r="P197" s="22" t="n">
        <v>68160</v>
      </c>
      <c r="Q197" s="22" t="n">
        <v>65910</v>
      </c>
      <c r="R197" s="22" t="n">
        <v>63070</v>
      </c>
      <c r="S197" s="22" t="n">
        <v>65690</v>
      </c>
      <c r="T197" s="22" t="n">
        <v>66630</v>
      </c>
      <c r="U197" s="22" t="n">
        <v>68740</v>
      </c>
      <c r="V197" s="22" t="n">
        <v>67240</v>
      </c>
      <c r="W197" s="22" t="n">
        <v>66700</v>
      </c>
      <c r="X197" s="22" t="n">
        <v>63600</v>
      </c>
      <c r="Y197" s="22" t="n">
        <v>61200</v>
      </c>
      <c r="Z197" s="22" t="n">
        <v>63500</v>
      </c>
      <c r="AA197" s="22" t="n">
        <v>65400</v>
      </c>
      <c r="AB197" s="22" t="n">
        <v>71500</v>
      </c>
      <c r="AC197" s="22" t="n">
        <v>73500</v>
      </c>
      <c r="AD197" s="22" t="n">
        <v>71370</v>
      </c>
      <c r="AE197" s="22" t="n">
        <v>73650</v>
      </c>
      <c r="AF197" s="22" t="n">
        <v>74770</v>
      </c>
      <c r="AG197" s="22" t="n">
        <v>75840</v>
      </c>
      <c r="AH197" s="22" t="n">
        <v>76060</v>
      </c>
      <c r="AI197" s="22" t="n">
        <v>73860</v>
      </c>
      <c r="AJ197" s="22" t="n">
        <v>74540</v>
      </c>
      <c r="AK197" s="22" t="n">
        <v>75100</v>
      </c>
      <c r="AL197" s="22" t="n">
        <v>73000</v>
      </c>
      <c r="AM197" s="22" t="n">
        <v>73030</v>
      </c>
      <c r="AN197" s="22" t="n">
        <v>76330</v>
      </c>
      <c r="AO197" s="22" t="n">
        <v>74500</v>
      </c>
      <c r="AP197" s="22" t="n">
        <v>72000</v>
      </c>
      <c r="AQ197" s="22" t="n">
        <v>73400</v>
      </c>
      <c r="AR197" s="22" t="n">
        <v>72550</v>
      </c>
      <c r="AS197" s="22" t="n">
        <v>71750</v>
      </c>
      <c r="AT197" s="22" t="n">
        <v>72950</v>
      </c>
      <c r="AU197" s="22" t="n">
        <v>70540</v>
      </c>
      <c r="AV197" s="22" t="n">
        <v>66200</v>
      </c>
      <c r="AW197" s="22" t="n">
        <v>65760</v>
      </c>
      <c r="AX197" s="22" t="n">
        <v>65500</v>
      </c>
      <c r="AY197" s="22" t="n">
        <v>66000</v>
      </c>
      <c r="AZ197" s="22" t="n">
        <v>66000</v>
      </c>
      <c r="BA197" s="22" t="n">
        <v>66500</v>
      </c>
      <c r="BB197" s="22" t="n">
        <v>65150</v>
      </c>
      <c r="BC197" s="22" t="n">
        <v>65430</v>
      </c>
      <c r="BD197" s="22" t="n">
        <v>63240</v>
      </c>
      <c r="BE197" s="22" t="n">
        <v>61000</v>
      </c>
      <c r="BF197" s="22" t="n">
        <v>64490</v>
      </c>
      <c r="BG197" s="22" t="n">
        <v>66000</v>
      </c>
      <c r="BH197" s="22" t="n">
        <v>68180</v>
      </c>
      <c r="BI197" s="22" t="n">
        <v>67990</v>
      </c>
      <c r="BJ197" s="22" t="n">
        <v>68000</v>
      </c>
      <c r="BK197" s="22" t="n">
        <v>66110</v>
      </c>
      <c r="BL197" s="22" t="n">
        <v>69450</v>
      </c>
    </row>
    <row r="198" ht="15.95" customHeight="1" s="574">
      <c r="A198" s="81" t="inlineStr">
        <is>
          <t>8035</t>
        </is>
      </c>
      <c r="B198" s="17" t="inlineStr">
        <is>
          <t>東京エレクトロン</t>
        </is>
      </c>
      <c r="C198" s="655">
        <f>_xll.RssMarket("8035","始値")</f>
        <v/>
      </c>
      <c r="D198" s="656">
        <f>C198-E198</f>
        <v/>
      </c>
      <c r="E198" s="22" t="n">
        <v>73990</v>
      </c>
      <c r="F198" s="22" t="n">
        <v>77580</v>
      </c>
      <c r="G198" s="22" t="n">
        <v>73870</v>
      </c>
      <c r="H198" s="22" t="n">
        <v>69970</v>
      </c>
      <c r="I198" s="22" t="n">
        <v>71510</v>
      </c>
      <c r="J198" s="22" t="n">
        <v>74800</v>
      </c>
      <c r="K198" s="22" t="n">
        <v>68400</v>
      </c>
      <c r="L198" s="22" t="n">
        <v>61000</v>
      </c>
      <c r="M198" s="22" t="n">
        <v>61110</v>
      </c>
      <c r="N198" s="22" t="n">
        <v>55650</v>
      </c>
      <c r="O198" s="22" t="n">
        <v>62000</v>
      </c>
      <c r="P198" s="22" t="n">
        <v>59900</v>
      </c>
      <c r="Q198" s="22" t="n">
        <v>56710</v>
      </c>
      <c r="R198" s="22" t="n">
        <v>53060</v>
      </c>
      <c r="S198" s="22" t="n">
        <v>52780</v>
      </c>
      <c r="T198" s="22" t="n">
        <v>52000</v>
      </c>
      <c r="U198" s="22" t="n">
        <v>52870</v>
      </c>
      <c r="V198" s="22" t="n">
        <v>50530</v>
      </c>
      <c r="W198" s="22" t="n">
        <v>49050</v>
      </c>
      <c r="X198" s="22" t="n">
        <v>47650</v>
      </c>
      <c r="Y198" s="22" t="n">
        <v>46700</v>
      </c>
      <c r="Z198" s="22" t="n">
        <v>49960</v>
      </c>
      <c r="AA198" s="22" t="n">
        <v>50600</v>
      </c>
      <c r="AB198" s="22" t="n">
        <v>52150</v>
      </c>
      <c r="AC198" s="22" t="n">
        <v>51590</v>
      </c>
      <c r="AD198" s="22" t="n">
        <v>51510</v>
      </c>
      <c r="AE198" s="22" t="n">
        <v>53000</v>
      </c>
      <c r="AF198" s="22" t="n">
        <v>53500</v>
      </c>
      <c r="AG198" s="22" t="n">
        <v>51720</v>
      </c>
      <c r="AH198" s="22" t="n">
        <v>51180</v>
      </c>
      <c r="AI198" s="22" t="n">
        <v>47000</v>
      </c>
      <c r="AJ198" s="22" t="n">
        <v>45000</v>
      </c>
      <c r="AK198" s="22" t="n">
        <v>46880</v>
      </c>
      <c r="AL198" s="22" t="n">
        <v>46460</v>
      </c>
      <c r="AM198" s="22" t="n">
        <v>45450</v>
      </c>
      <c r="AN198" s="22" t="n">
        <v>46150</v>
      </c>
      <c r="AO198" s="22" t="n">
        <v>45170</v>
      </c>
      <c r="AP198" s="22" t="n">
        <v>44740</v>
      </c>
      <c r="AQ198" s="22" t="n">
        <v>43870</v>
      </c>
      <c r="AR198" s="22" t="n">
        <v>45120</v>
      </c>
      <c r="AS198" s="22" t="n">
        <v>44200</v>
      </c>
      <c r="AT198" s="22" t="n">
        <v>43870</v>
      </c>
      <c r="AU198" s="22" t="n">
        <v>43160</v>
      </c>
      <c r="AV198" s="22" t="n">
        <v>43370</v>
      </c>
      <c r="AW198" s="22" t="n">
        <v>42840</v>
      </c>
      <c r="AX198" s="22" t="n">
        <v>42830</v>
      </c>
      <c r="AY198" s="22" t="n">
        <v>41500</v>
      </c>
      <c r="AZ198" s="22" t="n">
        <v>38650</v>
      </c>
      <c r="BA198" s="22" t="n">
        <v>38200</v>
      </c>
      <c r="BB198" s="22" t="n">
        <v>38880</v>
      </c>
      <c r="BC198" s="22" t="n">
        <v>39700</v>
      </c>
      <c r="BD198" s="22" t="n">
        <v>38630</v>
      </c>
      <c r="BE198" s="22" t="n">
        <v>36950</v>
      </c>
      <c r="BF198" s="22" t="n">
        <v>37600</v>
      </c>
      <c r="BG198" s="22" t="n">
        <v>39130</v>
      </c>
      <c r="BH198" s="22" t="n">
        <v>39950</v>
      </c>
      <c r="BI198" s="22" t="n">
        <v>40640</v>
      </c>
      <c r="BJ198" s="22" t="n">
        <v>39350</v>
      </c>
      <c r="BK198" s="22" t="n">
        <v>37930</v>
      </c>
      <c r="BL198" s="22" t="n">
        <v>39010</v>
      </c>
    </row>
    <row r="199" ht="15.95" customHeight="1" s="574">
      <c r="A199" s="81" t="inlineStr">
        <is>
          <t>6920</t>
        </is>
      </c>
      <c r="B199" s="17" t="inlineStr">
        <is>
          <t>レーザーテック</t>
        </is>
      </c>
      <c r="C199" s="655">
        <f>_xll.RssMarket("6920","始値")</f>
        <v/>
      </c>
      <c r="D199" s="656">
        <f>C199-E199</f>
        <v/>
      </c>
      <c r="E199" s="22" t="n">
        <v>54800</v>
      </c>
      <c r="F199" s="22" t="n">
        <v>57500</v>
      </c>
      <c r="G199" s="22" t="n">
        <v>53700</v>
      </c>
      <c r="H199" s="22" t="n">
        <v>45870</v>
      </c>
      <c r="I199" s="22" t="n">
        <v>47600</v>
      </c>
      <c r="J199" s="22" t="n">
        <v>46000</v>
      </c>
      <c r="K199" s="22" t="n">
        <v>42000</v>
      </c>
      <c r="L199" s="22" t="n">
        <v>38550</v>
      </c>
      <c r="M199" s="22" t="n">
        <v>39970</v>
      </c>
      <c r="N199" s="22" t="n">
        <v>39380</v>
      </c>
      <c r="O199" s="22" t="n">
        <v>42050</v>
      </c>
      <c r="P199" s="22" t="n">
        <v>41500</v>
      </c>
      <c r="Q199" s="22" t="n">
        <v>40420</v>
      </c>
      <c r="R199" s="22" t="n">
        <v>38360</v>
      </c>
      <c r="S199" s="22" t="n">
        <v>40810</v>
      </c>
      <c r="T199" s="22" t="n">
        <v>40830</v>
      </c>
      <c r="U199" s="22" t="n">
        <v>42990</v>
      </c>
      <c r="V199" s="22" t="n">
        <v>40300</v>
      </c>
      <c r="W199" s="22" t="n">
        <v>38590</v>
      </c>
      <c r="X199" s="22" t="n">
        <v>37050</v>
      </c>
      <c r="Y199" s="22" t="n">
        <v>36200</v>
      </c>
      <c r="Z199" s="22" t="n">
        <v>38090</v>
      </c>
      <c r="AA199" s="22" t="n">
        <v>38800</v>
      </c>
      <c r="AB199" s="22" t="n">
        <v>41190</v>
      </c>
      <c r="AC199" s="22" t="n">
        <v>42910</v>
      </c>
      <c r="AD199" s="22" t="n">
        <v>42790</v>
      </c>
      <c r="AE199" s="22" t="n">
        <v>45220</v>
      </c>
      <c r="AF199" s="22" t="n">
        <v>45300</v>
      </c>
      <c r="AG199" s="22" t="n">
        <v>44220</v>
      </c>
      <c r="AH199" s="22" t="n">
        <v>46190</v>
      </c>
      <c r="AI199" s="22" t="n">
        <v>43540</v>
      </c>
      <c r="AJ199" s="22" t="n">
        <v>43370</v>
      </c>
      <c r="AK199" s="22" t="n">
        <v>45100</v>
      </c>
      <c r="AL199" s="22" t="n">
        <v>45600</v>
      </c>
      <c r="AM199" s="22" t="n">
        <v>44530</v>
      </c>
      <c r="AN199" s="22" t="n">
        <v>45490</v>
      </c>
      <c r="AO199" s="22" t="n">
        <v>44700</v>
      </c>
      <c r="AP199" s="22" t="n">
        <v>42450</v>
      </c>
      <c r="AQ199" s="22" t="n">
        <v>40640</v>
      </c>
      <c r="AR199" s="22" t="n">
        <v>41510</v>
      </c>
      <c r="AS199" s="22" t="n">
        <v>41510</v>
      </c>
      <c r="AT199" s="22" t="n">
        <v>43500</v>
      </c>
      <c r="AU199" s="22" t="n">
        <v>42000</v>
      </c>
      <c r="AV199" s="22" t="n">
        <v>41100</v>
      </c>
      <c r="AW199" s="22" t="n">
        <v>39100</v>
      </c>
      <c r="AX199" s="22" t="n">
        <v>39000</v>
      </c>
      <c r="AY199" s="22" t="n">
        <v>38100</v>
      </c>
      <c r="AZ199" s="22" t="n">
        <v>37330</v>
      </c>
      <c r="BA199" s="22" t="n">
        <v>35860</v>
      </c>
      <c r="BB199" s="22" t="n">
        <v>36100</v>
      </c>
      <c r="BC199" s="22" t="n">
        <v>35350</v>
      </c>
      <c r="BD199" s="22" t="n">
        <v>34470</v>
      </c>
      <c r="BE199" s="22" t="n">
        <v>33910</v>
      </c>
      <c r="BF199" s="22" t="n">
        <v>33570</v>
      </c>
      <c r="BG199" s="22" t="n">
        <v>34110</v>
      </c>
      <c r="BH199" s="22" t="n">
        <v>33700</v>
      </c>
      <c r="BI199" s="22" t="n">
        <v>33270</v>
      </c>
      <c r="BJ199" s="22" t="n">
        <v>32730</v>
      </c>
      <c r="BK199" s="22" t="n">
        <v>32990</v>
      </c>
      <c r="BL199" s="22" t="n">
        <v>34900</v>
      </c>
    </row>
    <row r="200" ht="15.95" customHeight="1" s="574">
      <c r="A200" s="81" t="inlineStr">
        <is>
          <t>5801</t>
        </is>
      </c>
      <c r="B200" s="17" t="inlineStr">
        <is>
          <t>古河電工</t>
        </is>
      </c>
      <c r="C200" s="655">
        <f>_xll.RssMarket("5801","始値")</f>
        <v/>
      </c>
      <c r="D200" s="656">
        <f>C200-E200</f>
        <v/>
      </c>
      <c r="E200" s="22" t="n">
        <v>54500</v>
      </c>
      <c r="F200" s="22" t="n">
        <v>53360</v>
      </c>
      <c r="G200" s="22" t="n">
        <v>48120</v>
      </c>
      <c r="H200" s="22" t="n">
        <v>44900</v>
      </c>
      <c r="I200" s="22" t="n">
        <v>45000</v>
      </c>
      <c r="J200" s="22" t="n">
        <v>44800</v>
      </c>
      <c r="K200" s="22" t="n">
        <v>43250</v>
      </c>
      <c r="L200" s="22" t="n">
        <v>38350</v>
      </c>
      <c r="M200" s="22" t="n">
        <v>44400</v>
      </c>
      <c r="N200" s="22" t="n">
        <v>44850</v>
      </c>
      <c r="O200" s="22" t="n">
        <v>49600</v>
      </c>
      <c r="P200" s="22" t="n">
        <v>52990</v>
      </c>
      <c r="Q200" s="22" t="n">
        <v>55000</v>
      </c>
      <c r="R200" s="22" t="n">
        <v>51140</v>
      </c>
      <c r="S200" s="22" t="n">
        <v>52400</v>
      </c>
      <c r="T200" s="22" t="n">
        <v>54110</v>
      </c>
      <c r="U200" s="22" t="n">
        <v>61030</v>
      </c>
      <c r="V200" s="22" t="n">
        <v>56480</v>
      </c>
      <c r="W200" s="22" t="n">
        <v>51020</v>
      </c>
      <c r="X200" s="22" t="n">
        <v>52010</v>
      </c>
      <c r="Y200" s="22" t="n">
        <v>48700</v>
      </c>
      <c r="Z200" s="22" t="n">
        <v>53200</v>
      </c>
      <c r="AA200" s="22" t="n">
        <v>55480</v>
      </c>
      <c r="AB200" s="22" t="n">
        <v>59500</v>
      </c>
      <c r="AC200" s="22" t="n">
        <v>57620</v>
      </c>
      <c r="AD200" s="22" t="n">
        <v>51180</v>
      </c>
      <c r="AE200" s="22" t="n">
        <v>45700</v>
      </c>
      <c r="AF200" s="22" t="n">
        <v>45570</v>
      </c>
      <c r="AG200" s="22" t="n">
        <v>44830</v>
      </c>
      <c r="AH200" s="22" t="n">
        <v>44690</v>
      </c>
      <c r="AI200" s="22" t="n">
        <v>42520</v>
      </c>
      <c r="AJ200" s="22" t="n">
        <v>42720</v>
      </c>
      <c r="AK200" s="22" t="n">
        <v>41500</v>
      </c>
      <c r="AL200" s="22" t="n">
        <v>42750</v>
      </c>
      <c r="AM200" s="22" t="n">
        <v>43010</v>
      </c>
      <c r="AN200" s="22" t="n">
        <v>45030</v>
      </c>
      <c r="AO200" s="22" t="n">
        <v>44360</v>
      </c>
      <c r="AP200" s="22" t="n">
        <v>43700</v>
      </c>
      <c r="AQ200" s="22" t="n">
        <v>44260</v>
      </c>
      <c r="AR200" s="22" t="n">
        <v>45910</v>
      </c>
      <c r="AS200" s="22" t="n">
        <v>43540</v>
      </c>
      <c r="AT200" s="22" t="n">
        <v>47230</v>
      </c>
      <c r="AU200" s="22" t="n">
        <v>47220</v>
      </c>
      <c r="AV200" s="22" t="n">
        <v>46000</v>
      </c>
      <c r="AW200" s="22" t="n">
        <v>45010</v>
      </c>
      <c r="AX200" s="22" t="n">
        <v>42740</v>
      </c>
      <c r="AY200" s="22" t="n">
        <v>40000</v>
      </c>
      <c r="AZ200" s="22" t="n">
        <v>36600</v>
      </c>
      <c r="BA200" s="22" t="n">
        <v>37900</v>
      </c>
      <c r="BB200" s="22" t="n">
        <v>35000</v>
      </c>
      <c r="BC200" s="22" t="n">
        <v>33190</v>
      </c>
      <c r="BD200" s="22" t="n">
        <v>30500</v>
      </c>
      <c r="BE200" s="22" t="n">
        <v>29700</v>
      </c>
      <c r="BF200" s="22" t="n">
        <v>29700</v>
      </c>
      <c r="BG200" s="22" t="n">
        <v>31510</v>
      </c>
      <c r="BH200" s="22" t="n">
        <v>31740</v>
      </c>
      <c r="BI200" s="22" t="n">
        <v>31000</v>
      </c>
      <c r="BJ200" s="22" t="n">
        <v>28180</v>
      </c>
      <c r="BK200" s="22" t="n">
        <v>27900</v>
      </c>
      <c r="BL200" s="22" t="n">
        <v>28220</v>
      </c>
    </row>
    <row r="201" ht="15.95" customHeight="1" s="574">
      <c r="A201" s="81" t="inlineStr">
        <is>
          <t>6506</t>
        </is>
      </c>
      <c r="B201" s="17" t="inlineStr">
        <is>
          <t>安川電機</t>
        </is>
      </c>
      <c r="C201" s="655">
        <f>_xll.RssMarket("6506","始値")</f>
        <v/>
      </c>
      <c r="D201" s="656">
        <f>C201-E201</f>
        <v/>
      </c>
      <c r="E201" s="22" t="n">
        <v>7335</v>
      </c>
      <c r="F201" s="22" t="n">
        <v>7304</v>
      </c>
      <c r="G201" s="22" t="n">
        <v>7150</v>
      </c>
      <c r="H201" s="22" t="n">
        <v>6745</v>
      </c>
      <c r="I201" s="22" t="n">
        <v>6770</v>
      </c>
      <c r="J201" s="22" t="n">
        <v>6594</v>
      </c>
      <c r="K201" s="22" t="n">
        <v>6321</v>
      </c>
      <c r="L201" s="22" t="n">
        <v>5688</v>
      </c>
      <c r="M201" s="22" t="n">
        <v>6195</v>
      </c>
      <c r="N201" s="22" t="n">
        <v>6262</v>
      </c>
      <c r="O201" s="22" t="n">
        <v>6742</v>
      </c>
      <c r="P201" s="22" t="n">
        <v>7002</v>
      </c>
      <c r="Q201" s="22" t="n">
        <v>6930</v>
      </c>
      <c r="R201" s="22" t="n">
        <v>7018</v>
      </c>
      <c r="S201" s="22" t="n">
        <v>7286</v>
      </c>
      <c r="T201" s="22" t="n">
        <v>6980</v>
      </c>
      <c r="U201" s="22" t="n">
        <v>7593</v>
      </c>
      <c r="V201" s="22" t="n">
        <v>7700</v>
      </c>
      <c r="W201" s="22" t="n">
        <v>6851</v>
      </c>
      <c r="X201" s="22" t="n">
        <v>6276</v>
      </c>
      <c r="Y201" s="22" t="n">
        <v>6238</v>
      </c>
      <c r="Z201" s="22" t="n">
        <v>6639</v>
      </c>
      <c r="AA201" s="22" t="n">
        <v>7009</v>
      </c>
      <c r="AB201" s="22" t="n">
        <v>7133</v>
      </c>
      <c r="AC201" s="22" t="n">
        <v>7261</v>
      </c>
      <c r="AD201" s="22" t="n">
        <v>6812</v>
      </c>
      <c r="AE201" s="22" t="n">
        <v>6854</v>
      </c>
      <c r="AF201" s="22" t="n">
        <v>6390</v>
      </c>
      <c r="AG201" s="22" t="n">
        <v>5997</v>
      </c>
      <c r="AH201" s="22" t="n">
        <v>5889</v>
      </c>
      <c r="AI201" s="22" t="n">
        <v>5527</v>
      </c>
      <c r="AJ201" s="22" t="n">
        <v>5481</v>
      </c>
      <c r="AK201" s="22" t="n">
        <v>5470</v>
      </c>
      <c r="AL201" s="22" t="n">
        <v>5250</v>
      </c>
      <c r="AM201" s="22" t="n">
        <v>5247</v>
      </c>
      <c r="AN201" s="22" t="n">
        <v>5347</v>
      </c>
      <c r="AO201" s="22" t="n">
        <v>5401</v>
      </c>
      <c r="AP201" s="22" t="n">
        <v>5469</v>
      </c>
      <c r="AQ201" s="22" t="n">
        <v>5367</v>
      </c>
      <c r="AR201" s="22" t="n">
        <v>5211</v>
      </c>
      <c r="AS201" s="22" t="n">
        <v>5230</v>
      </c>
      <c r="AT201" s="22" t="n">
        <v>5340</v>
      </c>
      <c r="AU201" s="22" t="n">
        <v>5270</v>
      </c>
      <c r="AV201" s="22" t="n">
        <v>5034</v>
      </c>
      <c r="AW201" s="22" t="n">
        <v>4828</v>
      </c>
      <c r="AX201" s="22" t="n">
        <v>4729</v>
      </c>
      <c r="AY201" s="22" t="n">
        <v>4618</v>
      </c>
      <c r="AZ201" s="22" t="n">
        <v>4330</v>
      </c>
      <c r="BA201" s="22" t="n">
        <v>4322</v>
      </c>
      <c r="BB201" s="22" t="n">
        <v>4311</v>
      </c>
      <c r="BC201" s="22" t="n">
        <v>4400</v>
      </c>
      <c r="BD201" s="22" t="n">
        <v>4277</v>
      </c>
      <c r="BE201" s="22" t="n">
        <v>4058</v>
      </c>
      <c r="BF201" s="22" t="n">
        <v>4090</v>
      </c>
      <c r="BG201" s="22" t="n">
        <v>4328</v>
      </c>
      <c r="BH201" s="22" t="n">
        <v>4550</v>
      </c>
      <c r="BI201" s="22" t="n">
        <v>4500</v>
      </c>
      <c r="BJ201" s="22" t="n">
        <v>4397</v>
      </c>
      <c r="BK201" s="22" t="n">
        <v>4188</v>
      </c>
      <c r="BL201" s="22" t="n">
        <v>4514</v>
      </c>
    </row>
    <row r="202" ht="15.95" customHeight="1" s="574">
      <c r="A202" s="81" t="inlineStr">
        <is>
          <t>2768</t>
        </is>
      </c>
      <c r="B202" s="17" t="inlineStr">
        <is>
          <t>双日</t>
        </is>
      </c>
      <c r="C202" s="655">
        <f>_xll.RssMarket("2768","始値")</f>
        <v/>
      </c>
      <c r="D202" s="656">
        <f>C202-E202</f>
        <v/>
      </c>
      <c r="E202" s="22" t="n">
        <v>5256</v>
      </c>
      <c r="F202" s="22" t="n">
        <v>5345</v>
      </c>
      <c r="G202" s="22" t="n">
        <v>5325</v>
      </c>
      <c r="H202" s="22" t="n">
        <v>5366</v>
      </c>
      <c r="I202" s="22" t="n">
        <v>5380</v>
      </c>
      <c r="J202" s="22" t="n">
        <v>5240</v>
      </c>
      <c r="K202" s="22" t="n">
        <v>5052</v>
      </c>
      <c r="L202" s="22" t="n">
        <v>5021</v>
      </c>
      <c r="M202" s="22" t="n">
        <v>5131</v>
      </c>
      <c r="N202" s="22" t="n">
        <v>5091</v>
      </c>
      <c r="O202" s="22" t="n">
        <v>5180</v>
      </c>
      <c r="P202" s="22" t="n">
        <v>5151</v>
      </c>
      <c r="Q202" s="22" t="n">
        <v>5130</v>
      </c>
      <c r="R202" s="22" t="n">
        <v>5052</v>
      </c>
      <c r="S202" s="22" t="n">
        <v>5422</v>
      </c>
      <c r="T202" s="22" t="n">
        <v>5450</v>
      </c>
      <c r="U202" s="22" t="n">
        <v>5601</v>
      </c>
      <c r="V202" s="22" t="n">
        <v>5543</v>
      </c>
      <c r="W202" s="22" t="n">
        <v>5540</v>
      </c>
      <c r="X202" s="22" t="n">
        <v>5597</v>
      </c>
      <c r="Y202" s="22" t="n">
        <v>5680</v>
      </c>
      <c r="Z202" s="22" t="n">
        <v>5740</v>
      </c>
      <c r="AA202" s="22" t="n">
        <v>5900</v>
      </c>
      <c r="AB202" s="22" t="n">
        <v>5867</v>
      </c>
      <c r="AC202" s="22" t="n">
        <v>5910</v>
      </c>
      <c r="AD202" s="22" t="n">
        <v>5850</v>
      </c>
      <c r="AE202" s="22" t="n">
        <v>5754</v>
      </c>
      <c r="AF202" s="22" t="n">
        <v>5636</v>
      </c>
      <c r="AG202" s="22" t="n">
        <v>5809</v>
      </c>
      <c r="AH202" s="22" t="n">
        <v>6200</v>
      </c>
      <c r="AI202" s="22" t="n">
        <v>5920</v>
      </c>
      <c r="AJ202" s="22" t="n">
        <v>5900</v>
      </c>
      <c r="AK202" s="22" t="n">
        <v>5885</v>
      </c>
      <c r="AL202" s="22" t="n">
        <v>5830</v>
      </c>
      <c r="AM202" s="22" t="n">
        <v>5912</v>
      </c>
      <c r="AN202" s="22" t="n">
        <v>5840</v>
      </c>
      <c r="AO202" s="22" t="n">
        <v>5998</v>
      </c>
      <c r="AP202" s="22" t="n">
        <v>6080</v>
      </c>
      <c r="AQ202" s="22" t="n">
        <v>6135</v>
      </c>
      <c r="AR202" s="22" t="n">
        <v>6221</v>
      </c>
      <c r="AS202" s="22" t="n">
        <v>6190</v>
      </c>
      <c r="AT202" s="22" t="n">
        <v>6260</v>
      </c>
      <c r="AU202" s="22" t="n">
        <v>6400</v>
      </c>
      <c r="AV202" s="22" t="n">
        <v>6383</v>
      </c>
      <c r="AW202" s="22" t="n">
        <v>6497</v>
      </c>
      <c r="AX202" s="22" t="n">
        <v>6600</v>
      </c>
      <c r="AY202" s="22" t="n">
        <v>6602</v>
      </c>
      <c r="AZ202" s="22" t="n">
        <v>6439</v>
      </c>
      <c r="BA202" s="22" t="n">
        <v>6363</v>
      </c>
      <c r="BB202" s="22" t="n">
        <v>6335</v>
      </c>
      <c r="BC202" s="22" t="n">
        <v>6510</v>
      </c>
      <c r="BD202" s="22" t="n">
        <v>6344</v>
      </c>
      <c r="BE202" s="22" t="n">
        <v>6131</v>
      </c>
      <c r="BF202" s="22" t="n">
        <v>6070</v>
      </c>
      <c r="BG202" s="22" t="n">
        <v>6366</v>
      </c>
      <c r="BH202" s="22" t="n">
        <v>6405</v>
      </c>
      <c r="BI202" s="22" t="n">
        <v>6346</v>
      </c>
      <c r="BJ202" s="22" t="n">
        <v>6162</v>
      </c>
      <c r="BK202" s="22" t="n">
        <v>5986</v>
      </c>
      <c r="BL202" s="22" t="n">
        <v>6378</v>
      </c>
    </row>
    <row r="203" ht="15.95" customHeight="1" s="574">
      <c r="A203" s="81" t="inlineStr">
        <is>
          <t>6305</t>
        </is>
      </c>
      <c r="B203" s="17" t="inlineStr">
        <is>
          <t>日立建機</t>
        </is>
      </c>
      <c r="C203" s="655">
        <f>_xll.RssMarket("6305","始値")</f>
        <v/>
      </c>
      <c r="D203" s="656">
        <f>C203-E203</f>
        <v/>
      </c>
      <c r="E203" s="22" t="n">
        <v>5308</v>
      </c>
      <c r="F203" s="22" t="n">
        <v>5461</v>
      </c>
      <c r="G203" s="22" t="n">
        <v>5423</v>
      </c>
      <c r="H203" s="22" t="n">
        <v>5350</v>
      </c>
      <c r="I203" s="22" t="n">
        <v>5574</v>
      </c>
      <c r="J203" s="22" t="n">
        <v>5430</v>
      </c>
      <c r="K203" s="22" t="n">
        <v>5317</v>
      </c>
      <c r="L203" s="22" t="n">
        <v>5108</v>
      </c>
      <c r="M203" s="22" t="n">
        <v>5250</v>
      </c>
      <c r="N203" s="22" t="n">
        <v>5315</v>
      </c>
      <c r="O203" s="22" t="n">
        <v>5431</v>
      </c>
      <c r="P203" s="22" t="n">
        <v>5343</v>
      </c>
      <c r="Q203" s="22" t="n">
        <v>5165</v>
      </c>
      <c r="R203" s="22" t="n">
        <v>4975</v>
      </c>
      <c r="S203" s="22" t="n">
        <v>5151</v>
      </c>
      <c r="T203" s="22" t="n">
        <v>5236</v>
      </c>
      <c r="U203" s="22" t="n">
        <v>5199</v>
      </c>
      <c r="V203" s="22" t="n">
        <v>5052</v>
      </c>
      <c r="W203" s="22" t="n">
        <v>4986</v>
      </c>
      <c r="X203" s="22" t="n">
        <v>4982</v>
      </c>
      <c r="Y203" s="22" t="n">
        <v>5003</v>
      </c>
      <c r="Z203" s="22" t="n">
        <v>5170</v>
      </c>
      <c r="AA203" s="22" t="n">
        <v>5247</v>
      </c>
      <c r="AB203" s="22" t="n">
        <v>5300</v>
      </c>
      <c r="AC203" s="22" t="n">
        <v>5359</v>
      </c>
      <c r="AD203" s="22" t="n">
        <v>5143</v>
      </c>
      <c r="AE203" s="22" t="n">
        <v>5674</v>
      </c>
      <c r="AF203" s="22" t="n">
        <v>5676</v>
      </c>
      <c r="AG203" s="22" t="n">
        <v>5538</v>
      </c>
      <c r="AH203" s="22" t="n">
        <v>5720</v>
      </c>
      <c r="AI203" s="22" t="n">
        <v>5450</v>
      </c>
      <c r="AJ203" s="22" t="n">
        <v>5619</v>
      </c>
      <c r="AK203" s="22" t="n">
        <v>5532</v>
      </c>
      <c r="AL203" s="22" t="n">
        <v>5243</v>
      </c>
      <c r="AM203" s="22" t="n">
        <v>5567</v>
      </c>
      <c r="AN203" s="22" t="n">
        <v>5465</v>
      </c>
      <c r="AO203" s="22" t="n">
        <v>5485</v>
      </c>
      <c r="AP203" s="22" t="n">
        <v>5484</v>
      </c>
      <c r="AQ203" s="22" t="n">
        <v>5460</v>
      </c>
      <c r="AR203" s="22" t="n">
        <v>5500</v>
      </c>
      <c r="AS203" s="22" t="n">
        <v>5627</v>
      </c>
      <c r="AT203" s="22" t="n">
        <v>5643</v>
      </c>
      <c r="AU203" s="22" t="n">
        <v>5719</v>
      </c>
      <c r="AV203" s="22" t="n">
        <v>5642</v>
      </c>
      <c r="AW203" s="22" t="n">
        <v>5740</v>
      </c>
      <c r="AX203" s="22" t="n">
        <v>5749</v>
      </c>
      <c r="AY203" s="22" t="n">
        <v>5717</v>
      </c>
      <c r="AZ203" s="22" t="n">
        <v>5384</v>
      </c>
      <c r="BA203" s="22" t="n">
        <v>5449</v>
      </c>
      <c r="BB203" s="22" t="n">
        <v>5428</v>
      </c>
      <c r="BC203" s="22" t="n">
        <v>5619</v>
      </c>
      <c r="BD203" s="22" t="n">
        <v>5553</v>
      </c>
      <c r="BE203" s="22" t="n">
        <v>5150</v>
      </c>
      <c r="BF203" s="22" t="n">
        <v>5141</v>
      </c>
      <c r="BG203" s="22" t="n">
        <v>5520</v>
      </c>
      <c r="BH203" s="22" t="n">
        <v>5590</v>
      </c>
      <c r="BI203" s="22" t="n">
        <v>5532</v>
      </c>
      <c r="BJ203" s="22" t="n">
        <v>5319</v>
      </c>
      <c r="BK203" s="22" t="n">
        <v>5132</v>
      </c>
      <c r="BL203" s="22" t="n">
        <v>5498</v>
      </c>
    </row>
    <row r="204" ht="15.95" customHeight="1" s="574">
      <c r="A204" s="81" t="inlineStr">
        <is>
          <t>8015</t>
        </is>
      </c>
      <c r="B204" s="17" t="inlineStr">
        <is>
          <t>豊田通商</t>
        </is>
      </c>
      <c r="C204" s="655">
        <f>_xll.RssMarket("8015","始値")</f>
        <v/>
      </c>
      <c r="D204" s="656">
        <f>C204-E204</f>
        <v/>
      </c>
      <c r="E204" s="22" t="n">
        <v>6110</v>
      </c>
      <c r="F204" s="22" t="n">
        <v>6053</v>
      </c>
      <c r="G204" s="22" t="n">
        <v>6378</v>
      </c>
      <c r="H204" s="22" t="n">
        <v>6426</v>
      </c>
      <c r="I204" s="22" t="n">
        <v>6490</v>
      </c>
      <c r="J204" s="22" t="n">
        <v>6438</v>
      </c>
      <c r="K204" s="22" t="n">
        <v>6169</v>
      </c>
      <c r="L204" s="22" t="n">
        <v>5910</v>
      </c>
      <c r="M204" s="22" t="n">
        <v>6081</v>
      </c>
      <c r="N204" s="22" t="n">
        <v>6439</v>
      </c>
      <c r="O204" s="22" t="n">
        <v>6430</v>
      </c>
      <c r="P204" s="22" t="n">
        <v>6486</v>
      </c>
      <c r="Q204" s="22" t="n">
        <v>6445</v>
      </c>
      <c r="R204" s="22" t="n">
        <v>6409</v>
      </c>
      <c r="S204" s="22" t="n">
        <v>6692</v>
      </c>
      <c r="T204" s="22" t="n">
        <v>6798</v>
      </c>
      <c r="U204" s="22" t="n">
        <v>7019</v>
      </c>
      <c r="V204" s="22" t="n">
        <v>6965</v>
      </c>
      <c r="W204" s="22" t="n">
        <v>6887</v>
      </c>
      <c r="X204" s="22" t="n">
        <v>6842</v>
      </c>
      <c r="Y204" s="22" t="n">
        <v>6991</v>
      </c>
      <c r="Z204" s="22" t="n">
        <v>7040</v>
      </c>
      <c r="AA204" s="22" t="n">
        <v>7237</v>
      </c>
      <c r="AB204" s="22" t="n">
        <v>7374</v>
      </c>
      <c r="AC204" s="22" t="n">
        <v>7357</v>
      </c>
      <c r="AD204" s="22" t="n">
        <v>7130</v>
      </c>
      <c r="AE204" s="22" t="n">
        <v>7091</v>
      </c>
      <c r="AF204" s="22" t="n">
        <v>6732</v>
      </c>
      <c r="AG204" s="22" t="n">
        <v>6809</v>
      </c>
      <c r="AH204" s="22" t="n">
        <v>7049</v>
      </c>
      <c r="AI204" s="22" t="n">
        <v>6359</v>
      </c>
      <c r="AJ204" s="22" t="n">
        <v>5979</v>
      </c>
      <c r="AK204" s="22" t="n">
        <v>6360</v>
      </c>
      <c r="AL204" s="22" t="n">
        <v>6053</v>
      </c>
      <c r="AM204" s="22" t="n">
        <v>6225</v>
      </c>
      <c r="AN204" s="22" t="n">
        <v>6160</v>
      </c>
      <c r="AO204" s="22" t="n">
        <v>6258</v>
      </c>
      <c r="AP204" s="22" t="n">
        <v>6292</v>
      </c>
      <c r="AQ204" s="22" t="n">
        <v>6339</v>
      </c>
      <c r="AR204" s="22" t="n">
        <v>6352</v>
      </c>
      <c r="AS204" s="22" t="n">
        <v>6288</v>
      </c>
      <c r="AT204" s="22" t="n">
        <v>6446</v>
      </c>
      <c r="AU204" s="22" t="n">
        <v>6486</v>
      </c>
      <c r="AV204" s="22" t="n">
        <v>6544</v>
      </c>
      <c r="AW204" s="22" t="n">
        <v>6699</v>
      </c>
      <c r="AX204" s="22" t="n">
        <v>6574</v>
      </c>
      <c r="AY204" s="22" t="n">
        <v>6418</v>
      </c>
      <c r="AZ204" s="22" t="n">
        <v>6044</v>
      </c>
      <c r="BA204" s="22" t="n">
        <v>6060</v>
      </c>
      <c r="BB204" s="22" t="n">
        <v>6161</v>
      </c>
      <c r="BC204" s="22" t="n">
        <v>6446</v>
      </c>
      <c r="BD204" s="22" t="n">
        <v>6279</v>
      </c>
      <c r="BE204" s="22" t="n">
        <v>5887</v>
      </c>
      <c r="BF204" s="22" t="n">
        <v>5833</v>
      </c>
      <c r="BG204" s="22" t="n">
        <v>6115</v>
      </c>
      <c r="BH204" s="22" t="n">
        <v>6300</v>
      </c>
      <c r="BI204" s="22" t="n">
        <v>6202</v>
      </c>
      <c r="BJ204" s="22" t="n">
        <v>6140</v>
      </c>
      <c r="BK204" s="22" t="n">
        <v>5970</v>
      </c>
      <c r="BL204" s="22" t="n">
        <v>6500</v>
      </c>
    </row>
    <row r="205" ht="18.75" customHeight="1" s="574">
      <c r="A205" s="81" t="inlineStr">
        <is>
          <t>6758</t>
        </is>
      </c>
      <c r="B205" s="17" t="inlineStr">
        <is>
          <t>ソニーグループ</t>
        </is>
      </c>
      <c r="C205" s="655">
        <f>_xll.RssMarket("6758","始値")</f>
        <v/>
      </c>
      <c r="D205" s="656">
        <f>C205-E205</f>
        <v/>
      </c>
      <c r="E205" s="2" t="n">
        <v>3120</v>
      </c>
      <c r="F205" s="2" t="n">
        <v>3180</v>
      </c>
      <c r="G205" s="2" t="n">
        <v>3280</v>
      </c>
      <c r="H205" s="2" t="n">
        <v>3297</v>
      </c>
      <c r="I205" s="2" t="n">
        <v>3253</v>
      </c>
      <c r="J205" s="2" t="n">
        <v>3339</v>
      </c>
      <c r="K205" s="2" t="n">
        <v>3349</v>
      </c>
      <c r="L205" s="2" t="n">
        <v>3315</v>
      </c>
      <c r="M205" s="2" t="n">
        <v>3436</v>
      </c>
      <c r="N205" s="2" t="n">
        <v>3489</v>
      </c>
      <c r="O205" s="2" t="n">
        <v>3580</v>
      </c>
      <c r="P205" s="2" t="n">
        <v>3589</v>
      </c>
      <c r="Q205" s="2" t="n">
        <v>3599</v>
      </c>
      <c r="R205" s="2" t="n">
        <v>3584</v>
      </c>
      <c r="S205" s="2" t="n">
        <v>3462</v>
      </c>
      <c r="T205" s="2" t="n">
        <v>3438</v>
      </c>
      <c r="U205" s="2" t="n">
        <v>3492</v>
      </c>
      <c r="V205" s="2" t="n">
        <v>3595</v>
      </c>
      <c r="W205" s="2" t="n">
        <v>3540</v>
      </c>
      <c r="X205" s="2" t="n">
        <v>3594</v>
      </c>
      <c r="Y205" s="2" t="n">
        <v>3676</v>
      </c>
      <c r="Z205" s="2" t="n">
        <v>3596</v>
      </c>
      <c r="AA205" s="2" t="n">
        <v>3589</v>
      </c>
      <c r="AB205" s="2" t="n">
        <v>3548</v>
      </c>
      <c r="AC205" s="2" t="n">
        <v>3528</v>
      </c>
      <c r="AD205" s="2" t="n">
        <v>3634</v>
      </c>
      <c r="AE205" s="2" t="n">
        <v>3395</v>
      </c>
      <c r="AF205" s="2" t="n">
        <v>3352</v>
      </c>
      <c r="AG205" s="2" t="n">
        <v>6809</v>
      </c>
      <c r="AH205" s="2" t="n">
        <v>7049</v>
      </c>
      <c r="AI205" s="2" t="n">
        <v>6359</v>
      </c>
      <c r="AJ205" s="2" t="n">
        <v>5979</v>
      </c>
      <c r="AK205" s="2" t="n">
        <v>6360</v>
      </c>
      <c r="AL205" s="2" t="n">
        <v>6053</v>
      </c>
      <c r="AM205" s="2" t="n">
        <v>6225</v>
      </c>
      <c r="AN205" s="2" t="n">
        <v>6160</v>
      </c>
      <c r="AO205" s="2" t="n">
        <v>6258</v>
      </c>
      <c r="AP205" s="2" t="n">
        <v>6292</v>
      </c>
      <c r="AQ205" s="2" t="n">
        <v>6339</v>
      </c>
      <c r="AR205" s="2" t="n">
        <v>6352</v>
      </c>
      <c r="AS205" s="2" t="n">
        <v>6288</v>
      </c>
      <c r="AT205" s="2" t="n">
        <v>6446</v>
      </c>
      <c r="AU205" s="2" t="n">
        <v>6486</v>
      </c>
      <c r="AV205" s="2" t="n">
        <v>6544</v>
      </c>
      <c r="AW205" s="2" t="n">
        <v>6699</v>
      </c>
      <c r="AX205" s="2" t="n">
        <v>6574</v>
      </c>
      <c r="AY205" s="2" t="n">
        <v>6418</v>
      </c>
      <c r="AZ205" s="2" t="n">
        <v>6044</v>
      </c>
      <c r="BA205" s="2" t="n">
        <v>6060</v>
      </c>
      <c r="BB205" s="2" t="n">
        <v>6161</v>
      </c>
      <c r="BC205" s="2" t="n">
        <v>6446</v>
      </c>
      <c r="BD205" s="2" t="n">
        <v>6279</v>
      </c>
      <c r="BE205" s="2" t="n">
        <v>5887</v>
      </c>
      <c r="BF205" s="2" t="n">
        <v>5833</v>
      </c>
      <c r="BG205" s="2" t="n">
        <v>6115</v>
      </c>
      <c r="BH205" s="2" t="n">
        <v>6300</v>
      </c>
      <c r="BI205" s="2" t="n">
        <v>6202</v>
      </c>
      <c r="BJ205" s="2" t="n">
        <v>6140</v>
      </c>
      <c r="BK205" s="2" t="n">
        <v>5970</v>
      </c>
      <c r="BL205" s="2" t="n">
        <v>6500</v>
      </c>
    </row>
    <row r="206" ht="18.75" customHeight="1" s="574">
      <c r="A206" s="81" t="inlineStr">
        <is>
          <t>9101</t>
        </is>
      </c>
      <c r="B206" s="17" t="inlineStr">
        <is>
          <t>日本郵船</t>
        </is>
      </c>
      <c r="C206" s="655">
        <f>_xll.RssMarket("9101","始値")</f>
        <v/>
      </c>
      <c r="D206" s="656">
        <f>C206-E206</f>
        <v/>
      </c>
      <c r="E206" s="2" t="n">
        <v>5134</v>
      </c>
      <c r="F206" s="2" t="n">
        <v>5230</v>
      </c>
      <c r="G206" s="2" t="n">
        <v>5290</v>
      </c>
      <c r="H206" s="2" t="n">
        <v>5409</v>
      </c>
      <c r="I206" s="2" t="n">
        <v>5484</v>
      </c>
      <c r="J206" s="2" t="n">
        <v>5594</v>
      </c>
      <c r="K206" s="2" t="n">
        <v>5669</v>
      </c>
      <c r="L206" s="2" t="n">
        <v>5582</v>
      </c>
      <c r="M206" s="2" t="n">
        <v>5713</v>
      </c>
      <c r="N206" s="2" t="n">
        <v>5568</v>
      </c>
      <c r="O206" s="2" t="n">
        <v>5606</v>
      </c>
      <c r="P206" s="2" t="n">
        <v>5391</v>
      </c>
      <c r="Q206" s="2" t="n">
        <v>5316</v>
      </c>
      <c r="R206" s="2" t="n">
        <v>5220</v>
      </c>
      <c r="S206" s="2" t="n">
        <v>5302</v>
      </c>
      <c r="T206" s="2" t="n">
        <v>5270</v>
      </c>
      <c r="U206" s="2" t="n">
        <v>5231</v>
      </c>
      <c r="V206" s="2" t="n">
        <v>5406</v>
      </c>
      <c r="W206" s="2" t="n">
        <v>5441</v>
      </c>
      <c r="X206" s="2" t="n">
        <v>5620</v>
      </c>
      <c r="Y206" s="2" t="n">
        <v>5605</v>
      </c>
      <c r="Z206" s="2" t="n">
        <v>5505</v>
      </c>
      <c r="AA206" s="2" t="n">
        <v>5398</v>
      </c>
      <c r="AB206" s="2" t="n">
        <v>5350</v>
      </c>
      <c r="AC206" s="2" t="n">
        <v>5286</v>
      </c>
      <c r="AD206" s="2" t="n">
        <v>5400</v>
      </c>
      <c r="AE206" s="2" t="n">
        <v>5554</v>
      </c>
      <c r="AF206" s="2" t="n">
        <v>5700</v>
      </c>
      <c r="AG206" s="2" t="n">
        <v>5529</v>
      </c>
      <c r="AH206" s="2" t="n">
        <v>5570</v>
      </c>
      <c r="AI206" s="2" t="n">
        <v>5602</v>
      </c>
      <c r="AJ206" s="2" t="n">
        <v>5611</v>
      </c>
      <c r="AK206" s="2" t="n">
        <v>5804</v>
      </c>
      <c r="AL206" s="2" t="n">
        <v>5835</v>
      </c>
      <c r="AM206" s="2" t="n">
        <v>5770</v>
      </c>
      <c r="AN206" s="2" t="n">
        <v>5884</v>
      </c>
      <c r="AO206" s="2" t="n">
        <v>5898</v>
      </c>
      <c r="AP206" s="2" t="n">
        <v>6051</v>
      </c>
      <c r="AQ206" s="2" t="n">
        <v>6130</v>
      </c>
      <c r="AR206" s="2" t="n">
        <v>6043</v>
      </c>
      <c r="AS206" s="2" t="n">
        <v>6130</v>
      </c>
      <c r="AT206" s="2" t="n">
        <v>6079</v>
      </c>
      <c r="AU206" s="2" t="n">
        <v>6240</v>
      </c>
      <c r="AV206" s="2" t="n">
        <v>6219</v>
      </c>
      <c r="AW206" s="2" t="n">
        <v>6170</v>
      </c>
      <c r="AX206" s="2" t="n">
        <v>6388</v>
      </c>
      <c r="AY206" s="2" t="n">
        <v>6320</v>
      </c>
      <c r="AZ206" s="2" t="n">
        <v>6230</v>
      </c>
      <c r="BA206" s="2" t="n">
        <v>6201</v>
      </c>
      <c r="BB206" s="2" t="n">
        <v>6200</v>
      </c>
      <c r="BC206" s="2" t="n">
        <v>5835</v>
      </c>
      <c r="BD206" s="2" t="n">
        <v>5727</v>
      </c>
      <c r="BE206" s="2" t="n">
        <v>5699</v>
      </c>
      <c r="BF206" s="2" t="n">
        <v>5815</v>
      </c>
      <c r="BG206" s="2" t="n">
        <v>5749</v>
      </c>
      <c r="BH206" s="2" t="n">
        <v>5828</v>
      </c>
      <c r="BI206" s="2" t="n">
        <v>5800</v>
      </c>
      <c r="BJ206" s="2" t="n">
        <v>6000</v>
      </c>
      <c r="BK206" s="2" t="n">
        <v>6103</v>
      </c>
      <c r="BL206" s="2" t="n">
        <v>6005</v>
      </c>
    </row>
    <row r="207" ht="17.25" customHeight="1" s="574">
      <c r="A207" s="82" t="inlineStr">
        <is>
          <t>7011</t>
        </is>
      </c>
      <c r="B207" s="570" t="inlineStr">
        <is>
          <t>三菱重工業</t>
        </is>
      </c>
      <c r="C207" s="660">
        <f>_xll.RssMarket("7011","始値")</f>
        <v/>
      </c>
      <c r="D207" s="661">
        <f>C207-E207</f>
        <v/>
      </c>
      <c r="E207" s="2" t="n">
        <v>3867</v>
      </c>
      <c r="F207" s="2" t="n">
        <v>4029</v>
      </c>
      <c r="G207" s="2" t="n">
        <v>4053</v>
      </c>
      <c r="H207" s="2" t="n">
        <v>3810</v>
      </c>
      <c r="I207" s="2" t="n">
        <v>3700</v>
      </c>
      <c r="J207" s="2" t="n">
        <v>3647</v>
      </c>
      <c r="K207" s="2" t="n">
        <v>3545</v>
      </c>
      <c r="L207" s="2" t="n">
        <v>3450</v>
      </c>
      <c r="M207" s="2" t="n">
        <v>3669</v>
      </c>
      <c r="N207" s="2" t="n">
        <v>3713</v>
      </c>
      <c r="O207" s="2" t="n">
        <v>3560</v>
      </c>
      <c r="P207" s="2" t="n">
        <v>3556</v>
      </c>
      <c r="Q207" s="2" t="n">
        <v>3496</v>
      </c>
      <c r="R207" s="2" t="n">
        <v>3768</v>
      </c>
      <c r="S207" s="2" t="n">
        <v>3950</v>
      </c>
      <c r="T207" s="2" t="n">
        <v>4025</v>
      </c>
      <c r="U207" s="2" t="n">
        <v>3931</v>
      </c>
      <c r="V207" s="2" t="n">
        <v>3998</v>
      </c>
      <c r="W207" s="2" t="n">
        <v>3985</v>
      </c>
      <c r="X207" s="2" t="n">
        <v>4083</v>
      </c>
      <c r="Y207" s="2" t="n">
        <v>4205</v>
      </c>
      <c r="Z207" s="2" t="n">
        <v>4084</v>
      </c>
      <c r="AA207" s="2" t="n">
        <v>4120</v>
      </c>
      <c r="AB207" s="2" t="n">
        <v>4405</v>
      </c>
      <c r="AC207" s="2" t="n">
        <v>4370</v>
      </c>
      <c r="AD207" s="2" t="n">
        <v>4350</v>
      </c>
      <c r="AE207" s="2" t="n">
        <v>4500</v>
      </c>
      <c r="AF207" s="2" t="n">
        <v>4488</v>
      </c>
      <c r="AG207" s="2" t="n">
        <v>4552</v>
      </c>
      <c r="AH207" s="2" t="n">
        <v>4562</v>
      </c>
      <c r="AI207" s="2" t="n">
        <v>4600</v>
      </c>
      <c r="AJ207" s="2" t="n">
        <v>4680</v>
      </c>
      <c r="AK207" s="2" t="n">
        <v>4724</v>
      </c>
      <c r="AL207" s="2" t="n">
        <v>4749</v>
      </c>
      <c r="AM207" s="2" t="n">
        <v>4589</v>
      </c>
      <c r="AN207" s="2" t="n">
        <v>4400</v>
      </c>
      <c r="AO207" s="2" t="n">
        <v>4499</v>
      </c>
      <c r="AP207" s="2" t="n">
        <v>4511</v>
      </c>
      <c r="AQ207" s="2" t="n">
        <v>4509</v>
      </c>
      <c r="AR207" s="2" t="n">
        <v>4558</v>
      </c>
      <c r="AS207" s="2" t="n">
        <v>4723</v>
      </c>
      <c r="AT207" s="2" t="n">
        <v>4815</v>
      </c>
      <c r="AU207" s="2" t="n">
        <v>4725</v>
      </c>
      <c r="AV207" s="2" t="n">
        <v>4782</v>
      </c>
      <c r="AW207" s="2" t="n">
        <v>4832</v>
      </c>
      <c r="AX207" s="2" t="n">
        <v>4924</v>
      </c>
      <c r="AY207" s="2" t="n">
        <v>4765</v>
      </c>
      <c r="AZ207" s="2" t="n">
        <v>4827</v>
      </c>
      <c r="BA207" s="2" t="n">
        <v>4848</v>
      </c>
      <c r="BB207" s="2" t="n">
        <v>4799</v>
      </c>
      <c r="BC207" s="2" t="n">
        <v>4433</v>
      </c>
      <c r="BD207" s="2" t="n">
        <v>4268</v>
      </c>
      <c r="BE207" s="2" t="n">
        <v>4400</v>
      </c>
      <c r="BF207" s="2" t="n">
        <v>4461</v>
      </c>
      <c r="BG207" s="2" t="n">
        <v>4573</v>
      </c>
      <c r="BH207" s="2" t="n">
        <v>4500</v>
      </c>
      <c r="BI207" s="2" t="n">
        <v>4600</v>
      </c>
      <c r="BJ207" s="2" t="n">
        <v>4708</v>
      </c>
      <c r="BK207" s="2" t="n">
        <v>4907</v>
      </c>
      <c r="BL207" s="2" t="n">
        <v>4928</v>
      </c>
    </row>
    <row r="208" ht="17.25" customHeight="1" s="574">
      <c r="A208" s="82" t="inlineStr">
        <is>
          <t>1812</t>
        </is>
      </c>
      <c r="B208" s="570" t="inlineStr">
        <is>
          <t>鹿島建設</t>
        </is>
      </c>
      <c r="C208" s="660">
        <f>_xll.RssMarket("1812","始値")</f>
        <v/>
      </c>
      <c r="D208" s="661">
        <f>C208-E208</f>
        <v/>
      </c>
      <c r="E208" s="2" t="n">
        <v>5925</v>
      </c>
      <c r="F208" s="2" t="n">
        <v>5904</v>
      </c>
      <c r="G208" s="2" t="n">
        <v>5910</v>
      </c>
      <c r="H208" s="2" t="n">
        <v>5968</v>
      </c>
      <c r="I208" s="2" t="n">
        <v>6128</v>
      </c>
      <c r="J208" s="2" t="n">
        <v>5778</v>
      </c>
      <c r="K208" s="2" t="n">
        <v>5575</v>
      </c>
      <c r="L208" s="2" t="n">
        <v>5476</v>
      </c>
      <c r="M208" s="2" t="n">
        <v>5550</v>
      </c>
      <c r="N208" s="2" t="n">
        <v>5520</v>
      </c>
      <c r="O208" s="2" t="n">
        <v>5440</v>
      </c>
      <c r="P208" s="2" t="n">
        <v>5489</v>
      </c>
      <c r="Q208" s="2" t="n">
        <v>5500</v>
      </c>
      <c r="R208" s="2" t="n">
        <v>5541</v>
      </c>
      <c r="S208" s="2" t="n">
        <v>5771</v>
      </c>
      <c r="T208" s="2" t="n">
        <v>5802</v>
      </c>
      <c r="U208" s="2" t="n">
        <v>6013</v>
      </c>
      <c r="V208" s="2" t="n">
        <v>5569</v>
      </c>
      <c r="W208" s="2" t="n">
        <v>5589</v>
      </c>
      <c r="X208" s="2" t="n">
        <v>5639</v>
      </c>
      <c r="Y208" s="2" t="n">
        <v>5748</v>
      </c>
      <c r="Z208" s="2" t="n">
        <v>5686</v>
      </c>
      <c r="AA208" s="2" t="n">
        <v>5818</v>
      </c>
      <c r="AB208" s="2" t="n">
        <v>6183</v>
      </c>
      <c r="AC208" s="2" t="n">
        <v>6536</v>
      </c>
      <c r="AD208" s="2" t="n">
        <v>6748</v>
      </c>
      <c r="AE208" s="2" t="n">
        <v>6257</v>
      </c>
      <c r="AF208" s="2" t="n">
        <v>6019</v>
      </c>
      <c r="AG208" s="2" t="n">
        <v>6177</v>
      </c>
      <c r="AH208" s="2" t="n">
        <v>6177</v>
      </c>
      <c r="AI208" s="2" t="n">
        <v>6193</v>
      </c>
      <c r="AJ208" s="2" t="n">
        <v>6420</v>
      </c>
      <c r="AK208" s="2" t="n">
        <v>6054</v>
      </c>
      <c r="AL208" s="2" t="n">
        <v>5850</v>
      </c>
      <c r="AM208" s="2" t="n">
        <v>5980</v>
      </c>
      <c r="AN208" s="2" t="n">
        <v>5884</v>
      </c>
      <c r="AO208" s="2" t="n">
        <v>5973</v>
      </c>
      <c r="AP208" s="2" t="n">
        <v>6072</v>
      </c>
      <c r="AQ208" s="2" t="n">
        <v>6032</v>
      </c>
      <c r="AR208" s="2" t="n">
        <v>6120</v>
      </c>
      <c r="AS208" s="2" t="n">
        <v>6094</v>
      </c>
      <c r="AT208" s="2" t="n">
        <v>6310</v>
      </c>
      <c r="AU208" s="2" t="n">
        <v>6230</v>
      </c>
      <c r="AV208" s="2" t="n">
        <v>6127</v>
      </c>
      <c r="AW208" s="2" t="n">
        <v>6310</v>
      </c>
      <c r="AX208" s="2" t="n">
        <v>6377</v>
      </c>
      <c r="AY208" s="2" t="n">
        <v>6329</v>
      </c>
      <c r="AZ208" s="2" t="n">
        <v>6027</v>
      </c>
      <c r="BA208" s="2" t="n">
        <v>6100</v>
      </c>
      <c r="BB208" s="2" t="n">
        <v>6100</v>
      </c>
      <c r="BC208" s="2" t="n">
        <v>6388</v>
      </c>
      <c r="BD208" s="2" t="n">
        <v>6172</v>
      </c>
      <c r="BE208" s="2" t="n">
        <v>5784</v>
      </c>
      <c r="BF208" s="2" t="n">
        <v>5702</v>
      </c>
      <c r="BG208" s="2" t="n">
        <v>6035</v>
      </c>
      <c r="BH208" s="2" t="n">
        <v>6188</v>
      </c>
      <c r="BI208" s="2" t="n">
        <v>6064</v>
      </c>
      <c r="BJ208" s="2" t="n">
        <v>5833</v>
      </c>
      <c r="BK208" s="2" t="n">
        <v>5935</v>
      </c>
      <c r="BL208" s="2" t="n">
        <v>6329</v>
      </c>
    </row>
    <row r="209" ht="17.25" customHeight="1" s="574">
      <c r="A209" s="82" t="inlineStr">
        <is>
          <t>6861</t>
        </is>
      </c>
      <c r="B209" s="570">
        <f>銘柄管理!C209</f>
        <v/>
      </c>
      <c r="C209" s="660">
        <f>_xll.RssMarket("6861","始値")</f>
        <v/>
      </c>
      <c r="D209" s="661" t="n"/>
      <c r="E209" s="2" t="n">
        <v>77110</v>
      </c>
      <c r="F209" s="2" t="n">
        <v>77450</v>
      </c>
      <c r="G209" s="2" t="n">
        <v>76870</v>
      </c>
      <c r="H209" s="2" t="n">
        <v>73710</v>
      </c>
      <c r="I209" s="2" t="n">
        <v>75420</v>
      </c>
      <c r="J209" s="2" t="n">
        <v>74980</v>
      </c>
      <c r="K209" s="2" t="n">
        <v>72040</v>
      </c>
      <c r="L209" s="2" t="n">
        <v>69670</v>
      </c>
      <c r="M209" s="2" t="n">
        <v>73600</v>
      </c>
      <c r="N209" s="2" t="n">
        <v>74010</v>
      </c>
      <c r="O209" s="2" t="n">
        <v>78540</v>
      </c>
      <c r="P209" s="2" t="n">
        <v>80840</v>
      </c>
      <c r="Q209" s="2" t="n">
        <v>79060</v>
      </c>
      <c r="R209" s="2" t="n">
        <v>79020</v>
      </c>
      <c r="S209" s="2" t="n">
        <v>79900</v>
      </c>
      <c r="T209" s="2" t="n">
        <v>76600</v>
      </c>
      <c r="U209" s="2" t="n">
        <v>75620</v>
      </c>
      <c r="V209" s="2" t="n">
        <v>78070</v>
      </c>
      <c r="W209" s="2" t="n">
        <v>78460</v>
      </c>
      <c r="X209" s="2" t="n">
        <v>76170</v>
      </c>
      <c r="Y209" s="2" t="n">
        <v>75000</v>
      </c>
      <c r="Z209" s="2" t="n">
        <v>75710</v>
      </c>
      <c r="AA209" s="2" t="n">
        <v>76430</v>
      </c>
      <c r="AB209" s="2" t="n">
        <v>78340</v>
      </c>
      <c r="AC209" s="2" t="n">
        <v>79200</v>
      </c>
      <c r="AD209" s="2" t="n">
        <v>78980</v>
      </c>
      <c r="AE209" s="2" t="n">
        <v>83000</v>
      </c>
      <c r="AF209" s="2" t="n">
        <v>83460</v>
      </c>
      <c r="AG209" s="2" t="n">
        <v>81330</v>
      </c>
      <c r="AH209" s="2" t="n">
        <v>80280</v>
      </c>
      <c r="AI209" s="2" t="n">
        <v>72470</v>
      </c>
      <c r="AJ209" s="2" t="n">
        <v>73920</v>
      </c>
      <c r="AK209" s="2" t="n">
        <v>73180</v>
      </c>
      <c r="AL209" s="2" t="n">
        <v>73180</v>
      </c>
      <c r="AM209" s="2" t="n">
        <v>64150</v>
      </c>
      <c r="AN209" s="2" t="n">
        <v>64330</v>
      </c>
      <c r="AO209" s="2" t="n">
        <v>63170</v>
      </c>
      <c r="AP209" s="2" t="n">
        <v>63320</v>
      </c>
      <c r="AQ209" s="2" t="n">
        <v>63060</v>
      </c>
      <c r="AR209" s="2" t="n">
        <v>63050</v>
      </c>
      <c r="AS209" s="2" t="n">
        <v>62710</v>
      </c>
      <c r="AT209" s="2" t="n">
        <v>62900</v>
      </c>
      <c r="AU209" s="2" t="n">
        <v>63650</v>
      </c>
      <c r="AV209" s="2" t="n">
        <v>62440</v>
      </c>
      <c r="AW209" s="2" t="n">
        <v>61580</v>
      </c>
      <c r="AX209" s="2" t="n">
        <v>60650</v>
      </c>
      <c r="AY209" s="2" t="n">
        <v>60020</v>
      </c>
      <c r="AZ209" s="2" t="n">
        <v>58400</v>
      </c>
      <c r="BA209" s="2" t="n">
        <v>58100</v>
      </c>
      <c r="BB209" s="2" t="n">
        <v>57730</v>
      </c>
      <c r="BC209" s="2" t="n">
        <v>58500</v>
      </c>
      <c r="BD209" s="2" t="n">
        <v>56900</v>
      </c>
      <c r="BE209" s="2" t="n">
        <v>54720</v>
      </c>
      <c r="BF209" s="2" t="n">
        <v>55690</v>
      </c>
      <c r="BG209" s="2" t="n">
        <v>56540</v>
      </c>
      <c r="BH209" s="2" t="n">
        <v>58600</v>
      </c>
      <c r="BI209" s="2" t="n">
        <v>58150</v>
      </c>
      <c r="BJ209" s="2" t="n">
        <v>57550</v>
      </c>
      <c r="BK209" s="2" t="n">
        <v>58080</v>
      </c>
      <c r="BL209" s="2" t="n">
        <v>59270</v>
      </c>
    </row>
    <row r="210" ht="17.25" customHeight="1" s="574">
      <c r="A210" s="82" t="inlineStr">
        <is>
          <t>6324</t>
        </is>
      </c>
      <c r="B210" s="570" t="inlineStr">
        <is>
          <t>ハーモニック・ドライブ・シス</t>
        </is>
      </c>
      <c r="C210" s="660">
        <f>_xll.RssMarket("6324","始値")</f>
        <v/>
      </c>
      <c r="D210" s="661">
        <f>C210-E210</f>
        <v/>
      </c>
      <c r="E210" s="2" t="n">
        <v>8220</v>
      </c>
      <c r="F210" s="2" t="n">
        <v>7920</v>
      </c>
      <c r="G210" s="2" t="n">
        <v>7950</v>
      </c>
      <c r="H210" s="2" t="n">
        <v>7280</v>
      </c>
      <c r="I210" s="2" t="n">
        <v>6970</v>
      </c>
      <c r="J210" s="2" t="n">
        <v>6920</v>
      </c>
      <c r="K210" s="2" t="n">
        <v>6580</v>
      </c>
      <c r="L210" s="2" t="n">
        <v>5960</v>
      </c>
      <c r="M210" s="2" t="n">
        <v>6710</v>
      </c>
      <c r="N210" s="2" t="n">
        <v>6540</v>
      </c>
      <c r="O210" s="2" t="n">
        <v>6790</v>
      </c>
      <c r="P210" s="2" t="n">
        <v>7300</v>
      </c>
      <c r="Q210" s="2" t="n">
        <v>7400</v>
      </c>
      <c r="R210" s="2" t="n">
        <v>7560</v>
      </c>
      <c r="S210" s="2" t="n">
        <v>7880</v>
      </c>
      <c r="T210" s="2" t="n">
        <v>7420</v>
      </c>
      <c r="U210" s="2" t="n">
        <v>8300</v>
      </c>
      <c r="V210" s="2" t="n">
        <v>7500</v>
      </c>
      <c r="W210" s="2" t="n">
        <v>6700</v>
      </c>
      <c r="X210" s="2" t="n">
        <v>6180</v>
      </c>
      <c r="Y210" s="2" t="n">
        <v>5950</v>
      </c>
      <c r="Z210" s="2" t="n">
        <v>6700</v>
      </c>
      <c r="AA210" s="2" t="n">
        <v>6980</v>
      </c>
      <c r="AB210" s="2" t="n">
        <v>6930</v>
      </c>
      <c r="AC210" s="2" t="n">
        <v>6970</v>
      </c>
      <c r="AD210" s="2" t="n">
        <v>6440</v>
      </c>
      <c r="AE210" s="2" t="n">
        <v>6540</v>
      </c>
      <c r="AF210" s="2" t="n">
        <v>6430</v>
      </c>
      <c r="AG210" s="2" t="n">
        <v>5610</v>
      </c>
      <c r="AH210" s="2" t="n">
        <v>5480</v>
      </c>
      <c r="AI210" s="2" t="n">
        <v>5120</v>
      </c>
      <c r="AJ210" s="2" t="n">
        <v>4745</v>
      </c>
      <c r="AK210" s="2" t="n">
        <v>4880</v>
      </c>
      <c r="AL210" s="2" t="n">
        <v>4475</v>
      </c>
      <c r="AM210" s="2" t="n">
        <v>4285</v>
      </c>
      <c r="AN210" s="2" t="n">
        <v>4385</v>
      </c>
      <c r="AO210" s="2" t="n">
        <v>4355</v>
      </c>
      <c r="AP210" s="2" t="n">
        <v>4685</v>
      </c>
      <c r="AQ210" s="2" t="n">
        <v>4500</v>
      </c>
      <c r="AR210" s="2" t="n">
        <v>4585</v>
      </c>
      <c r="AS210" s="2" t="n">
        <v>4540</v>
      </c>
      <c r="AT210" s="2" t="n">
        <v>4220</v>
      </c>
      <c r="AU210" s="2" t="n">
        <v>4250</v>
      </c>
      <c r="AV210" s="2" t="n">
        <v>4005</v>
      </c>
      <c r="AW210" s="2" t="n">
        <v>3990</v>
      </c>
      <c r="AX210" s="2" t="n">
        <v>4115</v>
      </c>
      <c r="AY210" s="2" t="n">
        <v>3910</v>
      </c>
      <c r="AZ210" s="2" t="n">
        <v>3850</v>
      </c>
      <c r="BA210" s="2" t="n">
        <v>3740</v>
      </c>
      <c r="BB210" s="2" t="n">
        <v>3685</v>
      </c>
      <c r="BC210" s="2" t="n">
        <v>3725</v>
      </c>
      <c r="BD210" s="2" t="n">
        <v>3655</v>
      </c>
      <c r="BE210" s="2" t="n">
        <v>3600</v>
      </c>
      <c r="BF210" s="2" t="n">
        <v>3850</v>
      </c>
      <c r="BG210" s="2" t="n">
        <v>4055</v>
      </c>
      <c r="BH210" s="2" t="n">
        <v>4160</v>
      </c>
      <c r="BI210" s="2" t="n">
        <v>4075</v>
      </c>
      <c r="BJ210" s="2" t="n">
        <v>3995</v>
      </c>
      <c r="BK210" s="2" t="n">
        <v>3885</v>
      </c>
      <c r="BL210" s="2" t="n">
        <v>4320</v>
      </c>
    </row>
    <row r="211" ht="17.25" customHeight="1" s="574">
      <c r="A211" s="82" t="inlineStr">
        <is>
          <t>6273</t>
        </is>
      </c>
      <c r="B211" s="570" t="inlineStr">
        <is>
          <t>ＳＭＣ</t>
        </is>
      </c>
      <c r="C211" s="660">
        <f>_xll.RssMarket("6273","始値")</f>
        <v/>
      </c>
      <c r="D211" s="661">
        <f>C211-E211</f>
        <v/>
      </c>
      <c r="E211" s="2" t="n">
        <v>72110</v>
      </c>
      <c r="F211" s="2" t="n">
        <v>74100</v>
      </c>
      <c r="G211" s="2" t="n">
        <v>72850</v>
      </c>
      <c r="H211" s="2" t="n">
        <v>70450</v>
      </c>
      <c r="I211" s="2" t="n">
        <v>69410</v>
      </c>
      <c r="J211" s="2" t="n">
        <v>68170</v>
      </c>
      <c r="K211" s="2" t="n">
        <v>65920</v>
      </c>
      <c r="L211" s="2" t="n">
        <v>59000</v>
      </c>
      <c r="M211" s="2" t="n">
        <v>60490</v>
      </c>
      <c r="N211" s="2" t="n">
        <v>62040</v>
      </c>
      <c r="O211" s="2" t="n">
        <v>64660</v>
      </c>
      <c r="P211" s="2" t="n">
        <v>65560</v>
      </c>
      <c r="Q211" s="2" t="n">
        <v>63890</v>
      </c>
      <c r="R211" s="2" t="n">
        <v>65830</v>
      </c>
      <c r="S211" s="2" t="n">
        <v>68880</v>
      </c>
      <c r="T211" s="2" t="n">
        <v>66650</v>
      </c>
      <c r="U211" s="2" t="n">
        <v>66430</v>
      </c>
      <c r="V211" s="2" t="n">
        <v>65620</v>
      </c>
      <c r="W211" s="2" t="n">
        <v>66140</v>
      </c>
      <c r="X211" s="2" t="n">
        <v>65120</v>
      </c>
      <c r="Y211" s="2" t="n">
        <v>67070</v>
      </c>
      <c r="Z211" s="2" t="n">
        <v>67000</v>
      </c>
      <c r="AA211" s="2" t="n">
        <v>72760</v>
      </c>
      <c r="AB211" s="2" t="n">
        <v>84730</v>
      </c>
      <c r="AC211" s="2" t="n">
        <v>82580</v>
      </c>
      <c r="AD211" s="2" t="n">
        <v>84340</v>
      </c>
      <c r="AE211" s="2" t="n">
        <v>84360</v>
      </c>
      <c r="AF211" s="2" t="n">
        <v>79580</v>
      </c>
      <c r="AG211" s="2" t="n">
        <v>78230</v>
      </c>
      <c r="AH211" s="2" t="n">
        <v>77580</v>
      </c>
      <c r="AI211" s="2" t="n">
        <v>76950</v>
      </c>
      <c r="AJ211" s="2" t="n">
        <v>76980</v>
      </c>
      <c r="AK211" s="2" t="n">
        <v>72440</v>
      </c>
      <c r="AL211" s="2" t="n">
        <v>70890</v>
      </c>
      <c r="AM211" s="2" t="n">
        <v>71620</v>
      </c>
      <c r="AN211" s="2" t="n">
        <v>71000</v>
      </c>
      <c r="AO211" s="2" t="n">
        <v>71580</v>
      </c>
      <c r="AP211" s="2" t="n">
        <v>70850</v>
      </c>
      <c r="AQ211" s="2" t="n">
        <v>71940</v>
      </c>
      <c r="AR211" s="2" t="n">
        <v>71820</v>
      </c>
      <c r="AS211" s="2" t="n">
        <v>72520</v>
      </c>
      <c r="AT211" s="2" t="n">
        <v>73150</v>
      </c>
      <c r="AU211" s="2" t="n">
        <v>70020</v>
      </c>
      <c r="AV211" s="2" t="n">
        <v>68330</v>
      </c>
      <c r="AW211" s="2" t="n">
        <v>67470</v>
      </c>
      <c r="AX211" s="2" t="n">
        <v>66130</v>
      </c>
      <c r="AY211" s="2" t="n">
        <v>62930</v>
      </c>
      <c r="AZ211" s="2" t="n">
        <v>62470</v>
      </c>
      <c r="BA211" s="2" t="n">
        <v>62030</v>
      </c>
      <c r="BB211" s="2" t="n">
        <v>64500</v>
      </c>
      <c r="BC211" s="2" t="n">
        <v>62870</v>
      </c>
      <c r="BD211" s="2" t="n">
        <v>59610</v>
      </c>
      <c r="BE211" s="2" t="n">
        <v>59220</v>
      </c>
      <c r="BF211" s="2" t="n">
        <v>62850</v>
      </c>
      <c r="BG211" s="2" t="n">
        <v>66000</v>
      </c>
      <c r="BH211" s="2" t="n">
        <v>64800</v>
      </c>
      <c r="BI211" s="2" t="n">
        <v>62330</v>
      </c>
      <c r="BJ211" s="2" t="n">
        <v>61180</v>
      </c>
      <c r="BK211" s="2" t="n">
        <v>66080</v>
      </c>
      <c r="BL211" s="2" t="n">
        <v>66900</v>
      </c>
    </row>
    <row r="212" ht="17.25" customHeight="1" s="574">
      <c r="A212" s="82" t="inlineStr">
        <is>
          <t>4502</t>
        </is>
      </c>
      <c r="B212" s="570" t="inlineStr">
        <is>
          <t>武田薬品</t>
        </is>
      </c>
      <c r="C212" s="660">
        <f>_xll.RssMarket("4502","始値")</f>
        <v/>
      </c>
      <c r="D212" s="661">
        <f>C212-E212</f>
        <v/>
      </c>
      <c r="E212" s="2" t="n">
        <v>4910</v>
      </c>
      <c r="F212" s="2" t="n">
        <v>4911</v>
      </c>
      <c r="G212" s="2" t="n">
        <v>4968</v>
      </c>
      <c r="H212" s="2" t="n">
        <v>5018</v>
      </c>
      <c r="I212" s="2" t="n">
        <v>5040</v>
      </c>
      <c r="J212" s="2" t="n">
        <v>5078</v>
      </c>
      <c r="K212" s="2" t="n">
        <v>5048</v>
      </c>
      <c r="L212" s="2" t="n">
        <v>5018</v>
      </c>
      <c r="M212" s="2" t="n">
        <v>5040</v>
      </c>
      <c r="N212" s="2" t="n">
        <v>4896</v>
      </c>
      <c r="O212" s="2" t="n">
        <v>4933</v>
      </c>
      <c r="P212" s="2" t="n">
        <v>4800</v>
      </c>
      <c r="Q212" s="2" t="n">
        <v>4837</v>
      </c>
      <c r="R212" s="2" t="n">
        <v>5079</v>
      </c>
      <c r="S212" s="2" t="n">
        <v>5128</v>
      </c>
      <c r="T212" s="2" t="n">
        <v>5090</v>
      </c>
      <c r="U212" s="2" t="n">
        <v>5141</v>
      </c>
      <c r="V212" s="2" t="n">
        <v>5190</v>
      </c>
      <c r="W212" s="2" t="n">
        <v>5300</v>
      </c>
      <c r="X212" s="2" t="n">
        <v>5323</v>
      </c>
      <c r="Y212" s="2" t="n">
        <v>5325</v>
      </c>
      <c r="Z212" s="2" t="n">
        <v>5291</v>
      </c>
      <c r="AA212" s="2" t="n">
        <v>5256</v>
      </c>
      <c r="AB212" s="2" t="n">
        <v>5124</v>
      </c>
      <c r="AC212" s="2" t="n">
        <v>5193</v>
      </c>
      <c r="AD212" s="2" t="n">
        <v>5167</v>
      </c>
      <c r="AE212" s="2" t="n">
        <v>5207</v>
      </c>
      <c r="AF212" s="2" t="n">
        <v>5339</v>
      </c>
      <c r="AG212" s="2" t="n">
        <v>5206</v>
      </c>
      <c r="AH212" s="2" t="n">
        <v>5260</v>
      </c>
      <c r="AI212" s="2" t="n">
        <v>5214</v>
      </c>
      <c r="AJ212" s="2" t="n">
        <v>5292</v>
      </c>
      <c r="AK212" s="2" t="n">
        <v>5235</v>
      </c>
      <c r="AL212" s="2" t="n">
        <v>5352</v>
      </c>
      <c r="AM212" s="2" t="n">
        <v>5318</v>
      </c>
      <c r="AN212" s="2" t="n">
        <v>5485</v>
      </c>
      <c r="AO212" s="2" t="n">
        <v>5520</v>
      </c>
      <c r="AP212" s="2" t="n">
        <v>5622</v>
      </c>
      <c r="AQ212" s="2" t="n">
        <v>5602</v>
      </c>
      <c r="AR212" s="2" t="n">
        <v>5676</v>
      </c>
      <c r="AS212" s="2" t="n">
        <v>5612</v>
      </c>
      <c r="AT212" s="2" t="n">
        <v>5669</v>
      </c>
      <c r="AU212" s="2" t="n">
        <v>5736</v>
      </c>
      <c r="AV212" s="2" t="n">
        <v>5750</v>
      </c>
      <c r="AW212" s="2" t="n">
        <v>5900</v>
      </c>
      <c r="AX212" s="2" t="n">
        <v>5914</v>
      </c>
      <c r="AY212" s="2" t="n">
        <v>5780</v>
      </c>
      <c r="AZ212" s="2" t="n">
        <v>5809</v>
      </c>
      <c r="BA212" s="2" t="n">
        <v>5850</v>
      </c>
      <c r="BB212" s="2" t="n">
        <v>6000</v>
      </c>
      <c r="BC212" s="2" t="n">
        <v>5860</v>
      </c>
      <c r="BD212" s="2" t="n">
        <v>5727</v>
      </c>
      <c r="BE212" s="2" t="n">
        <v>5521</v>
      </c>
      <c r="BF212" s="2" t="n">
        <v>5789</v>
      </c>
      <c r="BG212" s="2" t="n">
        <v>5813</v>
      </c>
      <c r="BH212" s="2" t="n">
        <v>5800</v>
      </c>
      <c r="BI212" s="2" t="n">
        <v>5645</v>
      </c>
      <c r="BJ212" s="2" t="n">
        <v>5642</v>
      </c>
      <c r="BK212" s="2" t="n">
        <v>5752</v>
      </c>
      <c r="BL212" s="2" t="n">
        <v>5797</v>
      </c>
    </row>
    <row r="213" ht="17.25" customHeight="1" s="574">
      <c r="A213" s="82" t="inlineStr">
        <is>
          <t>4004</t>
        </is>
      </c>
      <c r="B213" s="570" t="inlineStr">
        <is>
          <t>レゾナック・ホールディング</t>
        </is>
      </c>
      <c r="C213" s="660">
        <f>_xll.RssMarket("4004","始値")</f>
        <v/>
      </c>
      <c r="D213" s="661">
        <f>C213-E213</f>
        <v/>
      </c>
      <c r="E213" s="2" t="n">
        <v>18375</v>
      </c>
      <c r="F213" s="2" t="n">
        <v>19705</v>
      </c>
      <c r="G213" s="2" t="n">
        <v>18695</v>
      </c>
      <c r="H213" s="2" t="n">
        <v>17735</v>
      </c>
      <c r="I213" s="2" t="n">
        <v>18500</v>
      </c>
      <c r="J213" s="2" t="n">
        <v>18100</v>
      </c>
      <c r="K213" s="2" t="n">
        <v>17120</v>
      </c>
      <c r="L213" s="2" t="n">
        <v>14635</v>
      </c>
      <c r="M213" s="2" t="n">
        <v>16350</v>
      </c>
      <c r="N213" s="2" t="n">
        <v>15585</v>
      </c>
      <c r="O213" s="2" t="n">
        <v>17295</v>
      </c>
      <c r="P213" s="2" t="n">
        <v>18595</v>
      </c>
      <c r="Q213" s="2" t="n">
        <v>19400</v>
      </c>
      <c r="R213" s="2" t="n">
        <v>18560</v>
      </c>
      <c r="S213" s="2" t="n">
        <v>18980</v>
      </c>
      <c r="T213" s="2" t="n">
        <v>18875</v>
      </c>
      <c r="U213" s="2" t="n">
        <v>19870</v>
      </c>
      <c r="V213" s="2" t="n">
        <v>18890</v>
      </c>
      <c r="W213" s="2" t="n">
        <v>17370</v>
      </c>
      <c r="X213" s="2" t="n">
        <v>16660</v>
      </c>
      <c r="Y213" s="2" t="n">
        <v>16290</v>
      </c>
      <c r="Z213" s="2" t="n">
        <v>16540</v>
      </c>
      <c r="AA213" s="2" t="n">
        <v>17200</v>
      </c>
      <c r="AB213" s="2" t="n">
        <v>18980</v>
      </c>
      <c r="AC213" s="2" t="n">
        <v>20005</v>
      </c>
      <c r="AD213" s="2" t="n">
        <v>17110</v>
      </c>
      <c r="AE213" s="2" t="n">
        <v>17510</v>
      </c>
      <c r="AF213" s="2" t="n">
        <v>16480</v>
      </c>
      <c r="AG213" s="2" t="n">
        <v>15190</v>
      </c>
      <c r="AH213" s="2" t="n">
        <v>15035</v>
      </c>
      <c r="AI213" s="2" t="n">
        <v>14290</v>
      </c>
      <c r="AJ213" s="2" t="n">
        <v>13870</v>
      </c>
      <c r="AK213" s="2" t="n">
        <v>13700</v>
      </c>
      <c r="AL213" s="2" t="n">
        <v>13850</v>
      </c>
      <c r="AM213" s="2" t="n">
        <v>13930</v>
      </c>
      <c r="AN213" s="2" t="n">
        <v>14520</v>
      </c>
      <c r="AO213" s="2" t="n">
        <v>13860</v>
      </c>
      <c r="AP213" s="2" t="n">
        <v>12730</v>
      </c>
      <c r="AQ213" s="2" t="n">
        <v>12600</v>
      </c>
      <c r="AR213" s="2" t="n">
        <v>13000</v>
      </c>
      <c r="AS213" s="2" t="n">
        <v>13000</v>
      </c>
      <c r="AT213" s="2" t="n">
        <v>13580</v>
      </c>
      <c r="AU213" s="2" t="n">
        <v>13660</v>
      </c>
      <c r="AV213" s="2" t="n">
        <v>13000</v>
      </c>
      <c r="AW213" s="2" t="n">
        <v>13500</v>
      </c>
      <c r="AX213" s="2" t="n">
        <v>12850</v>
      </c>
      <c r="AY213" s="2" t="n">
        <v>12745</v>
      </c>
      <c r="AZ213" s="2" t="n">
        <v>11840</v>
      </c>
      <c r="BA213" s="2" t="n">
        <v>11350</v>
      </c>
      <c r="BB213" s="2" t="n">
        <v>11150</v>
      </c>
      <c r="BC213" s="2" t="n">
        <v>10690</v>
      </c>
      <c r="BD213" s="2" t="n">
        <v>10450</v>
      </c>
      <c r="BE213" s="2" t="n">
        <v>9835</v>
      </c>
      <c r="BF213" s="2" t="n">
        <v>10175</v>
      </c>
      <c r="BG213" s="2" t="n">
        <v>10710</v>
      </c>
      <c r="BH213" s="2" t="n">
        <v>10940</v>
      </c>
      <c r="BI213" s="2" t="n">
        <v>11340</v>
      </c>
      <c r="BJ213" s="2" t="n">
        <v>10915</v>
      </c>
      <c r="BK213" s="2" t="n">
        <v>10385</v>
      </c>
      <c r="BL213" s="2" t="n">
        <v>11100</v>
      </c>
    </row>
    <row r="214" ht="17.25" customHeight="1" s="574">
      <c r="A214" s="82" t="inlineStr">
        <is>
          <t>9519</t>
        </is>
      </c>
      <c r="B214" s="570" t="inlineStr">
        <is>
          <t>レノバ</t>
        </is>
      </c>
      <c r="C214" s="660">
        <f>_xll.RssMarket("9519","始値")</f>
        <v/>
      </c>
      <c r="D214" s="661">
        <f>C214-E214</f>
        <v/>
      </c>
      <c r="E214" s="2" t="n">
        <v>836</v>
      </c>
      <c r="F214" s="2" t="n">
        <v>830</v>
      </c>
      <c r="G214" s="2" t="n">
        <v>875</v>
      </c>
      <c r="H214" s="2" t="n">
        <v>881</v>
      </c>
      <c r="I214" s="2" t="n">
        <v>902</v>
      </c>
      <c r="J214" s="2" t="n">
        <v>895</v>
      </c>
      <c r="K214" s="2" t="n">
        <v>896</v>
      </c>
      <c r="L214" s="2" t="n">
        <v>927</v>
      </c>
      <c r="M214" s="2" t="n">
        <v>1001</v>
      </c>
      <c r="N214" s="2" t="n">
        <v>954</v>
      </c>
      <c r="O214" s="2" t="n">
        <v>1003</v>
      </c>
      <c r="P214" s="2" t="n">
        <v>1087</v>
      </c>
      <c r="Q214" s="2" t="n">
        <v>1173</v>
      </c>
      <c r="R214" s="2" t="n">
        <v>1323</v>
      </c>
      <c r="S214" s="2" t="n">
        <v>1288</v>
      </c>
      <c r="T214" s="2" t="n">
        <v>1270</v>
      </c>
      <c r="U214" s="2" t="n">
        <v>1370</v>
      </c>
      <c r="V214" s="2" t="n">
        <v>1335</v>
      </c>
      <c r="W214" s="2" t="n">
        <v>1292</v>
      </c>
      <c r="X214" s="2" t="n">
        <v>1361</v>
      </c>
      <c r="Y214" s="2" t="n">
        <v>1310</v>
      </c>
      <c r="Z214" s="2" t="n">
        <v>1360</v>
      </c>
      <c r="AA214" s="2" t="n">
        <v>1320</v>
      </c>
      <c r="AB214" s="2" t="n">
        <v>1268</v>
      </c>
      <c r="AC214" s="2" t="n">
        <v>1215</v>
      </c>
      <c r="AD214" s="2" t="n">
        <v>1221</v>
      </c>
      <c r="AE214" s="2" t="n">
        <v>1160</v>
      </c>
      <c r="AF214" s="2" t="n">
        <v>1138</v>
      </c>
      <c r="AG214" s="2" t="n">
        <v>1111</v>
      </c>
      <c r="AH214" s="2" t="n">
        <v>1130</v>
      </c>
      <c r="AI214" s="2" t="n">
        <v>1111</v>
      </c>
      <c r="AJ214" s="2" t="n">
        <v>1088</v>
      </c>
      <c r="AK214" s="2" t="n">
        <v>1042</v>
      </c>
      <c r="AL214" s="2" t="n">
        <v>991</v>
      </c>
      <c r="AM214" s="2" t="n">
        <v>964</v>
      </c>
      <c r="AN214" s="2" t="n">
        <v>971</v>
      </c>
      <c r="AO214" s="2" t="n">
        <v>1036</v>
      </c>
      <c r="AP214" s="2" t="n">
        <v>1041</v>
      </c>
      <c r="AQ214" s="2" t="n">
        <v>1068</v>
      </c>
      <c r="AR214" s="2" t="n">
        <v>1060</v>
      </c>
      <c r="AS214" s="2" t="n">
        <v>1020</v>
      </c>
      <c r="AT214" s="2" t="n">
        <v>996</v>
      </c>
      <c r="AU214" s="2" t="n">
        <v>960</v>
      </c>
      <c r="AV214" s="2" t="n">
        <v>998</v>
      </c>
      <c r="AW214" s="2" t="n">
        <v>932</v>
      </c>
      <c r="AX214" s="2" t="n">
        <v>929</v>
      </c>
      <c r="AY214" s="2" t="n">
        <v>907</v>
      </c>
      <c r="AZ214" s="2" t="n">
        <v>925</v>
      </c>
      <c r="BA214" s="2" t="n">
        <v>902</v>
      </c>
      <c r="BB214" s="2" t="n">
        <v>874</v>
      </c>
      <c r="BC214" s="2" t="n">
        <v>868</v>
      </c>
      <c r="BD214" s="2" t="n">
        <v>871</v>
      </c>
      <c r="BE214" s="2" t="n">
        <v>790</v>
      </c>
      <c r="BF214" s="2" t="n">
        <v>782</v>
      </c>
      <c r="BG214" s="2" t="n">
        <v>796</v>
      </c>
      <c r="BH214" s="2" t="n">
        <v>773</v>
      </c>
      <c r="BI214" s="2" t="n">
        <v>769</v>
      </c>
      <c r="BJ214" s="2" t="n">
        <v>722</v>
      </c>
      <c r="BK214" s="2" t="n">
        <v>803</v>
      </c>
      <c r="BL214" s="2" t="n">
        <v>827</v>
      </c>
    </row>
    <row r="215" ht="17.25" customHeight="1" s="574">
      <c r="A215" s="82" t="inlineStr">
        <is>
          <t>6752</t>
        </is>
      </c>
      <c r="B215" s="570" t="inlineStr">
        <is>
          <t>パナソニックホールディンク</t>
        </is>
      </c>
      <c r="C215" s="660">
        <f>_xll.RssMarket("6752","始値")</f>
        <v/>
      </c>
      <c r="D215" s="661">
        <f>C215-E215</f>
        <v/>
      </c>
      <c r="E215" s="2" t="n">
        <v>4415</v>
      </c>
      <c r="F215" s="2" t="n">
        <v>4445</v>
      </c>
      <c r="G215" s="2" t="n">
        <v>4237</v>
      </c>
      <c r="H215" s="2" t="n">
        <v>4184</v>
      </c>
      <c r="I215" s="2" t="n">
        <v>4100</v>
      </c>
      <c r="J215" s="2" t="n">
        <v>3930</v>
      </c>
      <c r="K215" s="2" t="n">
        <v>3837</v>
      </c>
      <c r="L215" s="2" t="n">
        <v>3613</v>
      </c>
      <c r="M215" s="2" t="n">
        <v>3780</v>
      </c>
      <c r="N215" s="2" t="n">
        <v>3450</v>
      </c>
      <c r="O215" s="2" t="n">
        <v>3744</v>
      </c>
      <c r="P215" s="2" t="n">
        <v>3642</v>
      </c>
      <c r="Q215" s="2" t="n">
        <v>3690</v>
      </c>
      <c r="R215" s="2" t="n">
        <v>3567</v>
      </c>
      <c r="S215" s="2" t="n">
        <v>3591</v>
      </c>
      <c r="T215" s="2" t="n">
        <v>3499</v>
      </c>
      <c r="U215" s="2" t="n">
        <v>3619</v>
      </c>
      <c r="V215" s="2" t="n">
        <v>3540</v>
      </c>
      <c r="W215" s="2" t="n">
        <v>3472</v>
      </c>
      <c r="X215" s="2" t="n">
        <v>3230</v>
      </c>
      <c r="Y215" s="2" t="n">
        <v>3283</v>
      </c>
      <c r="Z215" s="2" t="n">
        <v>3350</v>
      </c>
      <c r="AA215" s="2" t="n">
        <v>3231</v>
      </c>
      <c r="AB215" s="2" t="n">
        <v>3400</v>
      </c>
      <c r="AC215" s="2" t="n">
        <v>3322</v>
      </c>
      <c r="AD215" s="2" t="n">
        <v>3165</v>
      </c>
      <c r="AE215" s="2" t="n">
        <v>3341</v>
      </c>
      <c r="AF215" s="2" t="n">
        <v>3231</v>
      </c>
      <c r="AG215" s="2" t="n">
        <v>3224</v>
      </c>
      <c r="AH215" s="2" t="n">
        <v>3423</v>
      </c>
      <c r="AI215" s="2" t="n">
        <v>3273</v>
      </c>
      <c r="AJ215" s="2" t="n">
        <v>3091</v>
      </c>
      <c r="AK215" s="2" t="n">
        <v>3103</v>
      </c>
      <c r="AL215" s="2" t="n">
        <v>2950</v>
      </c>
      <c r="AM215" s="2" t="n">
        <v>2900</v>
      </c>
      <c r="AN215" s="2" t="n">
        <v>2914.5</v>
      </c>
      <c r="AO215" s="2" t="n">
        <v>2977</v>
      </c>
      <c r="AP215" s="2" t="n">
        <v>3000</v>
      </c>
      <c r="AQ215" s="2" t="n">
        <v>2893.5</v>
      </c>
      <c r="AR215" s="2" t="n">
        <v>2953</v>
      </c>
      <c r="AS215" s="2" t="n">
        <v>2939</v>
      </c>
      <c r="AT215" s="2" t="n">
        <v>2936.5</v>
      </c>
      <c r="AU215" s="2" t="n">
        <v>2911</v>
      </c>
      <c r="AV215" s="2" t="n">
        <v>2812</v>
      </c>
      <c r="AW215" s="2" t="n">
        <v>2923</v>
      </c>
      <c r="AX215" s="2" t="n">
        <v>2891</v>
      </c>
      <c r="AY215" s="2" t="n">
        <v>3030</v>
      </c>
      <c r="AZ215" s="2" t="n">
        <v>2800</v>
      </c>
      <c r="BA215" s="2" t="n">
        <v>2725</v>
      </c>
      <c r="BB215" s="2" t="n">
        <v>2750</v>
      </c>
      <c r="BC215" s="2" t="n">
        <v>2800</v>
      </c>
      <c r="BD215" s="2" t="n">
        <v>2735.5</v>
      </c>
      <c r="BE215" s="2" t="n">
        <v>2550</v>
      </c>
      <c r="BF215" s="2" t="n">
        <v>2577</v>
      </c>
      <c r="BG215" s="2" t="n">
        <v>2720</v>
      </c>
      <c r="BH215" s="2" t="n">
        <v>2640</v>
      </c>
      <c r="BI215" s="2" t="n">
        <v>2605.5</v>
      </c>
      <c r="BJ215" s="2" t="n">
        <v>2572</v>
      </c>
      <c r="BK215" s="2" t="n">
        <v>2456</v>
      </c>
      <c r="BL215" s="2" t="n">
        <v>2631</v>
      </c>
    </row>
    <row r="216" ht="17.25" customHeight="1" s="574">
      <c r="A216" s="82" t="inlineStr">
        <is>
          <t>6622</t>
        </is>
      </c>
      <c r="B216" s="570" t="inlineStr">
        <is>
          <t>ダイヘン</t>
        </is>
      </c>
      <c r="C216" s="660">
        <f>_xll.RssMarket("6622","始値")</f>
        <v/>
      </c>
      <c r="D216" s="661">
        <f>C216-E216</f>
        <v/>
      </c>
      <c r="E216" s="2" t="n">
        <v>17870</v>
      </c>
      <c r="F216" s="2" t="n">
        <v>18900</v>
      </c>
      <c r="G216" s="2" t="n">
        <v>17360</v>
      </c>
      <c r="H216" s="2" t="n">
        <v>16170</v>
      </c>
      <c r="I216" s="2" t="n">
        <v>16290</v>
      </c>
      <c r="J216" s="2" t="n">
        <v>16000</v>
      </c>
      <c r="K216" s="2" t="n">
        <v>15200</v>
      </c>
      <c r="L216" s="2" t="n">
        <v>14050</v>
      </c>
      <c r="M216" s="2" t="n">
        <v>15100</v>
      </c>
      <c r="N216" s="2" t="n">
        <v>14600</v>
      </c>
      <c r="O216" s="2" t="n">
        <v>15520</v>
      </c>
      <c r="P216" s="2" t="n">
        <v>15320</v>
      </c>
      <c r="Q216" s="2" t="n">
        <v>15480</v>
      </c>
      <c r="R216" s="2" t="n">
        <v>15610</v>
      </c>
      <c r="S216" s="2" t="n">
        <v>16530</v>
      </c>
      <c r="T216" s="2" t="n">
        <v>16420</v>
      </c>
      <c r="U216" s="2" t="n">
        <v>17360</v>
      </c>
      <c r="V216" s="2" t="n">
        <v>16910</v>
      </c>
      <c r="W216" s="2" t="n">
        <v>16400</v>
      </c>
      <c r="X216" s="2" t="n">
        <v>15610</v>
      </c>
      <c r="Y216" s="2" t="n">
        <v>15400</v>
      </c>
      <c r="Z216" s="2" t="n">
        <v>16620</v>
      </c>
      <c r="AA216" s="2" t="n">
        <v>17300</v>
      </c>
      <c r="AB216" s="2" t="n">
        <v>17600</v>
      </c>
      <c r="AC216" s="2" t="n">
        <v>18150</v>
      </c>
      <c r="AD216" s="2" t="n">
        <v>17500</v>
      </c>
      <c r="AE216" s="2" t="n">
        <v>19790</v>
      </c>
      <c r="AF216" s="2" t="n">
        <v>17880</v>
      </c>
      <c r="AG216" s="2" t="n">
        <v>16700</v>
      </c>
      <c r="AH216" s="2" t="n">
        <v>16830</v>
      </c>
      <c r="AI216" s="2" t="n">
        <v>15460</v>
      </c>
      <c r="AJ216" s="2" t="n">
        <v>15190</v>
      </c>
      <c r="AK216" s="2" t="n">
        <v>14700</v>
      </c>
      <c r="AL216" s="2" t="n">
        <v>14080</v>
      </c>
      <c r="AM216" s="2" t="n">
        <v>13790</v>
      </c>
      <c r="AN216" s="2" t="n">
        <v>13940</v>
      </c>
      <c r="AO216" s="2" t="n">
        <v>14080</v>
      </c>
      <c r="AP216" s="2" t="n">
        <v>14050</v>
      </c>
      <c r="AQ216" s="2" t="n">
        <v>13820</v>
      </c>
      <c r="AR216" s="2" t="n">
        <v>14320</v>
      </c>
      <c r="AS216" s="2" t="n">
        <v>14340</v>
      </c>
      <c r="AT216" s="2" t="n">
        <v>14740</v>
      </c>
      <c r="AU216" s="2" t="n">
        <v>14550</v>
      </c>
      <c r="AV216" s="2" t="n">
        <v>13880</v>
      </c>
      <c r="AW216" s="2" t="n">
        <v>13800</v>
      </c>
      <c r="AX216" s="2" t="n">
        <v>13650</v>
      </c>
      <c r="AY216" s="2" t="n">
        <v>13310</v>
      </c>
      <c r="AZ216" s="2" t="n">
        <v>12470</v>
      </c>
      <c r="BA216" s="2" t="n">
        <v>11940</v>
      </c>
      <c r="BB216" s="2" t="n">
        <v>12180</v>
      </c>
      <c r="BC216" s="2" t="n">
        <v>12540</v>
      </c>
      <c r="BD216" s="2" t="n">
        <v>12070</v>
      </c>
      <c r="BE216" s="2" t="n">
        <v>11120</v>
      </c>
      <c r="BF216" s="2" t="n">
        <v>11190</v>
      </c>
      <c r="BG216" s="2" t="n">
        <v>12080</v>
      </c>
      <c r="BH216" s="2" t="n">
        <v>12650</v>
      </c>
      <c r="BI216" s="2" t="n">
        <v>12500</v>
      </c>
      <c r="BJ216" s="2" t="n">
        <v>12070</v>
      </c>
      <c r="BK216" s="2" t="n">
        <v>11850</v>
      </c>
      <c r="BL216" s="2" t="n">
        <v>12530</v>
      </c>
    </row>
    <row r="217" ht="17.25" customHeight="1" s="574">
      <c r="A217" s="82" t="inlineStr">
        <is>
          <t>1407</t>
        </is>
      </c>
      <c r="B217" s="570" t="inlineStr">
        <is>
          <t>ウエストホールディングス</t>
        </is>
      </c>
      <c r="C217" s="660">
        <f>_xll.RssMarket("1407","始値")</f>
        <v/>
      </c>
      <c r="D217" s="661">
        <f>C217-E217</f>
        <v/>
      </c>
      <c r="E217" s="2" t="n">
        <v>2212</v>
      </c>
      <c r="F217" s="2" t="n">
        <v>2280</v>
      </c>
      <c r="G217" s="2" t="n">
        <v>2334</v>
      </c>
      <c r="H217" s="2" t="n">
        <v>2220</v>
      </c>
      <c r="I217" s="2" t="n">
        <v>2234</v>
      </c>
      <c r="J217" s="2" t="n">
        <v>2332</v>
      </c>
      <c r="K217" s="2" t="n">
        <v>2305</v>
      </c>
      <c r="L217" s="2" t="n">
        <v>2238</v>
      </c>
      <c r="M217" s="2" t="n">
        <v>2335</v>
      </c>
      <c r="N217" s="2" t="n">
        <v>2355</v>
      </c>
      <c r="O217" s="2" t="n">
        <v>2386</v>
      </c>
      <c r="P217" s="2" t="n">
        <v>2564</v>
      </c>
      <c r="Q217" s="2" t="n">
        <v>2524</v>
      </c>
      <c r="R217" s="2" t="n">
        <v>2600</v>
      </c>
      <c r="S217" s="2" t="n">
        <v>2863</v>
      </c>
      <c r="T217" s="2" t="n">
        <v>3045</v>
      </c>
      <c r="U217" s="2" t="n">
        <v>3165</v>
      </c>
      <c r="V217" s="2" t="n">
        <v>2900</v>
      </c>
      <c r="W217" s="2" t="n">
        <v>2918</v>
      </c>
      <c r="X217" s="2" t="n">
        <v>3100</v>
      </c>
      <c r="Y217" s="2" t="n">
        <v>3040</v>
      </c>
      <c r="Z217" s="2" t="n">
        <v>3015</v>
      </c>
      <c r="AA217" s="2" t="n">
        <v>3030</v>
      </c>
      <c r="AB217" s="2" t="n">
        <v>3140</v>
      </c>
      <c r="AC217" s="2" t="n">
        <v>3040</v>
      </c>
      <c r="AD217" s="2" t="n">
        <v>2850</v>
      </c>
      <c r="AE217" s="2" t="n">
        <v>3180</v>
      </c>
      <c r="AF217" s="2" t="n">
        <v>3110</v>
      </c>
      <c r="AG217" s="2" t="n">
        <v>2862</v>
      </c>
      <c r="AH217" s="2" t="n">
        <v>2880</v>
      </c>
      <c r="AI217" s="2" t="n">
        <v>2927</v>
      </c>
      <c r="AJ217" s="2" t="n">
        <v>2731</v>
      </c>
      <c r="AK217" s="2" t="n">
        <v>2683</v>
      </c>
      <c r="AL217" s="2" t="n">
        <v>2541</v>
      </c>
      <c r="AM217" s="2" t="n">
        <v>2383</v>
      </c>
      <c r="AN217" s="2" t="n">
        <v>2320</v>
      </c>
      <c r="AO217" s="2" t="n">
        <v>2288</v>
      </c>
      <c r="AP217" s="2" t="n">
        <v>2305</v>
      </c>
      <c r="AQ217" s="2" t="n">
        <v>2205</v>
      </c>
      <c r="AR217" s="2" t="n">
        <v>2320</v>
      </c>
      <c r="AS217" s="2" t="n">
        <v>2096</v>
      </c>
      <c r="AT217" s="2" t="n">
        <v>1944</v>
      </c>
      <c r="AU217" s="2" t="n">
        <v>1815</v>
      </c>
      <c r="AV217" s="2" t="n">
        <v>1843</v>
      </c>
      <c r="AW217" s="2" t="n">
        <v>1890</v>
      </c>
      <c r="AX217" s="2" t="n">
        <v>1834</v>
      </c>
      <c r="AY217" s="2" t="n">
        <v>1872</v>
      </c>
      <c r="AZ217" s="2" t="n">
        <v>1882</v>
      </c>
      <c r="BA217" s="2" t="n">
        <v>1912</v>
      </c>
      <c r="BB217" s="2" t="n">
        <v>1838</v>
      </c>
      <c r="BC217" s="2" t="n">
        <v>1831</v>
      </c>
      <c r="BD217" s="2" t="n">
        <v>1774</v>
      </c>
      <c r="BE217" s="2" t="n">
        <v>1780</v>
      </c>
      <c r="BF217" s="2" t="n">
        <v>1685</v>
      </c>
      <c r="BG217" s="2" t="n">
        <v>1723</v>
      </c>
      <c r="BH217" s="2" t="n">
        <v>1791</v>
      </c>
      <c r="BI217" s="2" t="n">
        <v>1755</v>
      </c>
      <c r="BJ217" s="2" t="n">
        <v>1710</v>
      </c>
      <c r="BK217" s="2" t="n">
        <v>1670</v>
      </c>
      <c r="BL217" s="2" t="n">
        <v>1758</v>
      </c>
    </row>
    <row r="218" ht="17.25" customHeight="1" s="574">
      <c r="A218" s="82" t="inlineStr">
        <is>
          <t>285A</t>
        </is>
      </c>
      <c r="B218" s="570" t="inlineStr">
        <is>
          <t>QPS研究所</t>
        </is>
      </c>
      <c r="C218" s="660">
        <f>_xll.RssMarket("285A","始値")</f>
        <v/>
      </c>
      <c r="D218" s="661">
        <f>C218-E218</f>
        <v/>
      </c>
      <c r="E218" s="2" t="n">
        <v>105600</v>
      </c>
      <c r="F218" s="2" t="n">
        <v>100300</v>
      </c>
      <c r="G218" s="2" t="n">
        <v>97500</v>
      </c>
      <c r="H218" s="662" t="n">
        <v>93500</v>
      </c>
      <c r="I218" s="2" t="n">
        <v>93910</v>
      </c>
      <c r="J218" s="2" t="n">
        <v>85700</v>
      </c>
      <c r="K218" s="2" t="n">
        <v>80500</v>
      </c>
      <c r="L218" s="2" t="n">
        <v>67750</v>
      </c>
      <c r="M218" s="2" t="n">
        <v>74950</v>
      </c>
      <c r="N218" s="2" t="n">
        <v>69140</v>
      </c>
      <c r="O218" s="2" t="n">
        <v>74010</v>
      </c>
      <c r="P218" s="2" t="n">
        <v>77000</v>
      </c>
      <c r="Q218" s="2" t="n">
        <v>79660</v>
      </c>
      <c r="R218" s="2" t="n">
        <v>74000</v>
      </c>
      <c r="S218" s="2" t="n">
        <v>62500</v>
      </c>
      <c r="T218" s="2" t="n">
        <v>59000</v>
      </c>
      <c r="U218" s="2" t="n">
        <v>65890</v>
      </c>
      <c r="V218" s="2" t="n">
        <v>58380</v>
      </c>
      <c r="W218" s="2" t="n">
        <v>57500</v>
      </c>
      <c r="X218" s="2" t="n">
        <v>53290</v>
      </c>
      <c r="Y218" s="2" t="n">
        <v>51000</v>
      </c>
      <c r="Z218" s="2" t="n">
        <v>52010</v>
      </c>
      <c r="AA218" s="2" t="n">
        <v>51450</v>
      </c>
      <c r="AB218" s="2" t="n">
        <v>48460</v>
      </c>
      <c r="AC218" s="2" t="n">
        <v>50070</v>
      </c>
      <c r="AD218" s="2" t="n">
        <v>44800</v>
      </c>
      <c r="AE218" s="2" t="n">
        <v>46900</v>
      </c>
      <c r="AF218" s="2" t="n">
        <v>49200</v>
      </c>
      <c r="AG218" s="2" t="n">
        <v>43350</v>
      </c>
      <c r="AH218" s="2" t="n">
        <v>43410</v>
      </c>
      <c r="AI218" s="2" t="n">
        <v>36500</v>
      </c>
      <c r="AJ218" s="2" t="n">
        <v>37460</v>
      </c>
      <c r="AK218" s="2" t="n">
        <v>36400</v>
      </c>
      <c r="AL218" s="2" t="n">
        <v>35410</v>
      </c>
      <c r="AM218" s="2" t="n">
        <v>35250</v>
      </c>
      <c r="AN218" s="2" t="n">
        <v>36500</v>
      </c>
      <c r="AO218" s="2" t="n">
        <v>33000</v>
      </c>
      <c r="AP218" s="2" t="n">
        <v>30780</v>
      </c>
      <c r="AQ218" s="2" t="n">
        <v>31180</v>
      </c>
      <c r="AR218" s="2" t="n">
        <v>33440</v>
      </c>
      <c r="AS218" s="2" t="n">
        <v>33000</v>
      </c>
      <c r="AT218" s="2" t="n">
        <v>35000</v>
      </c>
      <c r="AU218" s="2" t="n">
        <v>36170</v>
      </c>
      <c r="AV218" s="2" t="n">
        <v>29550</v>
      </c>
      <c r="AW218" s="2" t="n">
        <v>29000</v>
      </c>
      <c r="AX218" s="2" t="n">
        <v>26915</v>
      </c>
      <c r="AY218" s="2" t="n">
        <v>26270</v>
      </c>
      <c r="AZ218" s="2" t="n">
        <v>23300</v>
      </c>
      <c r="BA218" s="2" t="n">
        <v>22120</v>
      </c>
      <c r="BB218" s="2" t="n">
        <v>21830</v>
      </c>
      <c r="BC218" s="2" t="n">
        <v>22225</v>
      </c>
      <c r="BD218" s="2" t="n">
        <v>20780</v>
      </c>
      <c r="BE218" s="2" t="n">
        <v>18805</v>
      </c>
      <c r="BF218" s="2" t="n">
        <v>19370</v>
      </c>
      <c r="BG218" s="2" t="n">
        <v>19300</v>
      </c>
      <c r="BH218" s="2" t="n">
        <v>21680</v>
      </c>
      <c r="BI218" s="2" t="n">
        <v>21565</v>
      </c>
      <c r="BJ218" s="2" t="n">
        <v>21800</v>
      </c>
      <c r="BK218" s="2" t="n">
        <v>21360</v>
      </c>
      <c r="BL218" s="2" t="n">
        <v>22900</v>
      </c>
    </row>
    <row r="219" ht="17.25" customHeight="1" s="574">
      <c r="A219" s="82" t="inlineStr">
        <is>
          <t>141A</t>
        </is>
      </c>
      <c r="B219" s="570" t="inlineStr">
        <is>
          <t>トライアルホールディングス</t>
        </is>
      </c>
      <c r="C219" s="660">
        <f>_xll.RssMarket("141A","始値")</f>
        <v/>
      </c>
      <c r="D219" s="661">
        <f>C219-E219</f>
        <v/>
      </c>
      <c r="E219" s="2" t="n">
        <v>2731</v>
      </c>
      <c r="F219" s="2" t="n">
        <v>2757</v>
      </c>
      <c r="G219" s="2" t="n">
        <v>2802</v>
      </c>
      <c r="H219" s="2" t="n">
        <v>2791</v>
      </c>
      <c r="I219" s="2" t="n">
        <v>2833</v>
      </c>
      <c r="J219" s="2" t="n">
        <v>2837</v>
      </c>
      <c r="K219" s="2" t="n">
        <v>2889</v>
      </c>
      <c r="L219" s="2" t="n">
        <v>2876</v>
      </c>
      <c r="M219" s="2" t="n">
        <v>2830</v>
      </c>
      <c r="N219" s="2" t="n">
        <v>2750</v>
      </c>
      <c r="O219" s="2" t="n">
        <v>2669</v>
      </c>
      <c r="P219" s="2" t="n">
        <v>2702</v>
      </c>
      <c r="Q219" s="2" t="n">
        <v>2538</v>
      </c>
      <c r="R219" s="2" t="n">
        <v>2620</v>
      </c>
      <c r="S219" s="2" t="n">
        <v>2929</v>
      </c>
      <c r="T219" s="2" t="n">
        <v>2846</v>
      </c>
      <c r="U219" s="2" t="n">
        <v>2718</v>
      </c>
      <c r="V219" s="2" t="n">
        <v>3000</v>
      </c>
      <c r="W219" s="2" t="n">
        <v>3055</v>
      </c>
      <c r="X219" s="2" t="n">
        <v>3110</v>
      </c>
      <c r="Y219" s="2" t="n">
        <v>3180</v>
      </c>
      <c r="Z219" s="2" t="n">
        <v>2948</v>
      </c>
      <c r="AA219" s="2" t="n">
        <v>3505</v>
      </c>
      <c r="AB219" s="2" t="n">
        <v>3710</v>
      </c>
      <c r="AC219" s="2" t="n">
        <v>4440</v>
      </c>
      <c r="AD219" s="2" t="n">
        <v>4305</v>
      </c>
      <c r="AE219" s="2" t="n">
        <v>4300</v>
      </c>
      <c r="AF219" s="2" t="n">
        <v>4120</v>
      </c>
      <c r="AG219" s="2" t="n">
        <v>4215</v>
      </c>
      <c r="AH219" s="2" t="n">
        <v>3900</v>
      </c>
      <c r="AI219" s="2" t="n">
        <v>3960</v>
      </c>
      <c r="AJ219" s="2" t="n">
        <v>4000</v>
      </c>
      <c r="AK219" s="2" t="n">
        <v>3870</v>
      </c>
      <c r="AL219" s="2" t="n">
        <v>3970</v>
      </c>
      <c r="AM219" s="2" t="n">
        <v>4215</v>
      </c>
      <c r="AN219" s="2" t="n">
        <v>4400</v>
      </c>
      <c r="AO219" s="2" t="n">
        <v>4760</v>
      </c>
      <c r="AP219" s="2" t="n">
        <v>4695</v>
      </c>
      <c r="AQ219" s="2" t="n">
        <v>4455</v>
      </c>
      <c r="AR219" s="2" t="n">
        <v>4475</v>
      </c>
      <c r="AS219" s="2" t="n">
        <v>4420</v>
      </c>
      <c r="AT219" s="2" t="n">
        <v>4320</v>
      </c>
      <c r="AU219" s="2" t="n">
        <v>4190</v>
      </c>
      <c r="AV219" s="2" t="n">
        <v>4375</v>
      </c>
      <c r="AW219" s="2" t="n">
        <v>4535</v>
      </c>
      <c r="AX219" s="2" t="n">
        <v>4655</v>
      </c>
      <c r="AY219" s="2" t="n">
        <v>4815</v>
      </c>
      <c r="AZ219" s="2" t="n">
        <v>4725</v>
      </c>
      <c r="BA219" s="2" t="n">
        <v>4755</v>
      </c>
      <c r="BB219" s="2" t="n">
        <v>4655</v>
      </c>
      <c r="BC219" s="2" t="n">
        <v>4485</v>
      </c>
      <c r="BD219" s="2" t="n">
        <v>4310</v>
      </c>
      <c r="BE219" s="2" t="n">
        <v>4200</v>
      </c>
      <c r="BF219" s="2" t="n">
        <v>4080</v>
      </c>
      <c r="BG219" s="2" t="n">
        <v>4180</v>
      </c>
      <c r="BH219" s="2" t="n">
        <v>4200</v>
      </c>
      <c r="BI219" s="2" t="n">
        <v>4235</v>
      </c>
      <c r="BJ219" s="2" t="n">
        <v>4135</v>
      </c>
      <c r="BK219" s="2" t="n">
        <v>4170</v>
      </c>
      <c r="BL219" s="2" t="n">
        <v>4300</v>
      </c>
    </row>
    <row r="220" ht="17.25" customHeight="1" s="574">
      <c r="A220" s="82" t="inlineStr">
        <is>
          <t>464A</t>
        </is>
      </c>
      <c r="B220" s="570" t="inlineStr">
        <is>
          <t>QPSホールディングス</t>
        </is>
      </c>
      <c r="C220" s="660">
        <f>_xll.RssMarket("464A","始値")</f>
        <v/>
      </c>
      <c r="D220" s="661">
        <f>C220-E220</f>
        <v/>
      </c>
      <c r="E220" s="2" t="n">
        <v>2180</v>
      </c>
      <c r="F220" s="2" t="n">
        <v>2227</v>
      </c>
      <c r="G220" s="2" t="n">
        <v>2252</v>
      </c>
      <c r="H220" s="2" t="n">
        <v>2380</v>
      </c>
      <c r="I220" s="2" t="n">
        <v>2424</v>
      </c>
      <c r="J220" s="2" t="n">
        <v>2746</v>
      </c>
      <c r="K220" s="2" t="n">
        <v>2807</v>
      </c>
      <c r="L220" s="2" t="n">
        <v>2483</v>
      </c>
      <c r="M220" s="2" t="n">
        <v>2611</v>
      </c>
      <c r="N220" s="2" t="n">
        <v>2772</v>
      </c>
      <c r="O220" s="2" t="n">
        <v>2995</v>
      </c>
      <c r="P220" s="2" t="n">
        <v>2748</v>
      </c>
      <c r="Q220" s="2" t="n">
        <v>3150</v>
      </c>
      <c r="R220" s="2" t="n">
        <v>3145</v>
      </c>
      <c r="S220" s="2" t="n">
        <v>4335</v>
      </c>
      <c r="T220" s="2" t="n">
        <v>4135</v>
      </c>
      <c r="U220" s="2" t="n">
        <v>4410</v>
      </c>
      <c r="V220" s="2" t="n">
        <v>3935</v>
      </c>
      <c r="W220" s="2" t="n">
        <v>3435</v>
      </c>
      <c r="X220" s="2" t="n">
        <v>3380</v>
      </c>
      <c r="Y220" s="2" t="n">
        <v>3495</v>
      </c>
      <c r="Z220" s="2" t="n">
        <v>3370</v>
      </c>
      <c r="AA220" s="2" t="n">
        <v>3350</v>
      </c>
      <c r="AB220" s="2" t="n">
        <v>3320</v>
      </c>
      <c r="AC220" s="2" t="n">
        <v>3235</v>
      </c>
      <c r="AD220" s="2" t="n">
        <v>2907</v>
      </c>
      <c r="AE220" s="2" t="n">
        <v>3040</v>
      </c>
      <c r="AF220" s="2" t="n">
        <v>2950</v>
      </c>
      <c r="AG220" s="2" t="n">
        <v>2647</v>
      </c>
      <c r="AH220" s="2" t="n">
        <v>2650</v>
      </c>
      <c r="AI220" s="2" t="n">
        <v>2520</v>
      </c>
      <c r="AJ220" s="2" t="n">
        <v>2500</v>
      </c>
      <c r="AK220" s="2" t="n">
        <v>2440</v>
      </c>
      <c r="AL220" s="2" t="n">
        <v>2595</v>
      </c>
      <c r="AM220" s="2" t="n">
        <v>2570</v>
      </c>
      <c r="AN220" s="2" t="n">
        <v>2686</v>
      </c>
      <c r="AO220" s="2" t="n">
        <v>2783</v>
      </c>
      <c r="AP220" s="2" t="n">
        <v>2690</v>
      </c>
      <c r="AQ220" s="2" t="n">
        <v>2675</v>
      </c>
      <c r="AR220" s="2" t="n">
        <v>2677</v>
      </c>
      <c r="AS220" s="2" t="n">
        <v>2564</v>
      </c>
      <c r="AT220" s="2" t="n">
        <v>2645</v>
      </c>
      <c r="AU220" s="2" t="n">
        <v>2768</v>
      </c>
      <c r="AV220" s="2" t="n">
        <v>2782</v>
      </c>
      <c r="AW220" s="2" t="n">
        <v>2665</v>
      </c>
      <c r="AX220" s="2" t="n">
        <v>2677</v>
      </c>
      <c r="AY220" s="2" t="n">
        <v>2554</v>
      </c>
      <c r="AZ220" s="2" t="n">
        <v>2423</v>
      </c>
      <c r="BA220" s="2" t="n">
        <v>2370</v>
      </c>
      <c r="BB220" s="2" t="n">
        <v>2381</v>
      </c>
      <c r="BC220" s="2" t="n">
        <v>2303</v>
      </c>
      <c r="BD220" s="2" t="n">
        <v>2200</v>
      </c>
      <c r="BE220" s="2" t="n">
        <v>2134</v>
      </c>
      <c r="BF220" s="2" t="n">
        <v>2198</v>
      </c>
      <c r="BG220" s="2" t="n">
        <v>2347</v>
      </c>
      <c r="BH220" s="2" t="n">
        <v>2485</v>
      </c>
      <c r="BI220" s="2" t="n">
        <v>2345</v>
      </c>
      <c r="BJ220" s="2" t="n">
        <v>2402</v>
      </c>
      <c r="BK220" s="2" t="n">
        <v>2470</v>
      </c>
      <c r="BL220" s="2" t="n">
        <v>2582</v>
      </c>
    </row>
    <row r="221" ht="17.25" customHeight="1" s="574">
      <c r="A221" s="82" t="inlineStr">
        <is>
          <t>485A</t>
        </is>
      </c>
      <c r="B221" s="570" t="inlineStr">
        <is>
          <t>パワーエックス</t>
        </is>
      </c>
      <c r="C221" s="660">
        <f>_xll.RssMarket("485A","始値")</f>
        <v/>
      </c>
      <c r="D221" s="661">
        <f>C221-E221</f>
        <v/>
      </c>
      <c r="E221" s="2" t="n">
        <v>2000</v>
      </c>
      <c r="F221" s="2" t="n">
        <v>2060</v>
      </c>
      <c r="G221" s="2" t="n">
        <v>2166</v>
      </c>
      <c r="H221" s="2" t="n">
        <v>2441</v>
      </c>
      <c r="I221" s="2" t="n">
        <v>2366</v>
      </c>
      <c r="J221" s="2" t="n">
        <v>2662</v>
      </c>
      <c r="K221" s="2" t="n">
        <v>2600</v>
      </c>
      <c r="L221" s="2" t="n">
        <v>2141</v>
      </c>
      <c r="M221" s="2" t="n">
        <v>2401</v>
      </c>
      <c r="N221" s="2" t="n">
        <v>2689</v>
      </c>
      <c r="O221" s="2" t="n">
        <v>2743</v>
      </c>
      <c r="P221" s="2" t="n">
        <v>3770</v>
      </c>
      <c r="Q221" s="2" t="n">
        <v>3425</v>
      </c>
      <c r="R221" s="2" t="n">
        <v>3300</v>
      </c>
      <c r="S221" s="2" t="n">
        <v>4430</v>
      </c>
      <c r="T221" s="2" t="n">
        <v>4460</v>
      </c>
      <c r="U221" s="2" t="n">
        <v>13800</v>
      </c>
      <c r="V221" s="2" t="n">
        <v>12950</v>
      </c>
      <c r="W221" s="2" t="n">
        <v>13380</v>
      </c>
      <c r="X221" s="2" t="n">
        <v>14200</v>
      </c>
      <c r="Y221" s="2" t="n">
        <v>14300</v>
      </c>
      <c r="Z221" s="2" t="n">
        <v>14980</v>
      </c>
      <c r="AA221" s="2" t="n">
        <v>12850</v>
      </c>
      <c r="AB221" s="2" t="n">
        <v>13650</v>
      </c>
      <c r="AC221" s="2" t="n">
        <v>13000</v>
      </c>
      <c r="AD221" s="2" t="n">
        <v>11580</v>
      </c>
      <c r="AE221" s="2" t="n">
        <v>14390</v>
      </c>
      <c r="AF221" s="2" t="n">
        <v>14220</v>
      </c>
      <c r="AG221" s="2" t="n">
        <v>12400</v>
      </c>
      <c r="AH221" s="2" t="n">
        <v>10730</v>
      </c>
      <c r="AI221" s="2" t="n">
        <v>10990</v>
      </c>
      <c r="AJ221" s="2" t="n">
        <v>9820</v>
      </c>
      <c r="AK221" s="2" t="n">
        <v>9310</v>
      </c>
      <c r="AL221" s="2" t="n">
        <v>8040</v>
      </c>
      <c r="AM221" s="2" t="n">
        <v>7490</v>
      </c>
      <c r="AN221" s="2" t="n">
        <v>7770</v>
      </c>
      <c r="AO221" s="2" t="n">
        <v>7010</v>
      </c>
      <c r="AP221" s="2" t="n">
        <v>6890</v>
      </c>
      <c r="AQ221" s="2" t="n">
        <v>6700</v>
      </c>
      <c r="AR221" s="2" t="n">
        <v>7330</v>
      </c>
      <c r="AS221" s="2" t="n">
        <v>6650</v>
      </c>
      <c r="AT221" s="2" t="n">
        <v>7110</v>
      </c>
      <c r="AU221" s="2" t="n">
        <v>6900</v>
      </c>
      <c r="AV221" s="2" t="n">
        <v>7600</v>
      </c>
      <c r="AW221" s="2" t="n">
        <v>6800</v>
      </c>
      <c r="AX221" s="2" t="n">
        <v>6160</v>
      </c>
      <c r="AY221" s="2" t="n">
        <v>5950</v>
      </c>
      <c r="AZ221" s="2" t="n">
        <v>6000</v>
      </c>
      <c r="BA221" s="2" t="n">
        <v>6140</v>
      </c>
      <c r="BB221" s="2" t="n">
        <v>5500</v>
      </c>
      <c r="BC221" s="2" t="n">
        <v>5320</v>
      </c>
      <c r="BD221" s="2" t="n">
        <v>4925</v>
      </c>
      <c r="BE221" s="2" t="n">
        <v>4725</v>
      </c>
      <c r="BF221" s="2" t="n">
        <v>4180</v>
      </c>
      <c r="BG221" s="2" t="n">
        <v>4085</v>
      </c>
      <c r="BH221" s="2" t="n">
        <v>4180</v>
      </c>
      <c r="BI221" s="2" t="n">
        <v>4845</v>
      </c>
      <c r="BJ221" s="2" t="n">
        <v>5800</v>
      </c>
      <c r="BK221" s="2" t="n">
        <v>5770</v>
      </c>
      <c r="BL221" s="2" t="n">
        <v>5510</v>
      </c>
    </row>
    <row r="222" ht="17.25" customHeight="1" s="574">
      <c r="A222" s="82" t="inlineStr">
        <is>
          <t>1570</t>
        </is>
      </c>
      <c r="B222" s="570">
        <f>銘柄管理!C222</f>
        <v/>
      </c>
      <c r="C222" s="660">
        <f>_xll.RssMarket("1570","始値")</f>
        <v/>
      </c>
      <c r="D222" s="661" t="n"/>
      <c r="E222" s="2" t="n">
        <v>82380</v>
      </c>
      <c r="F222" s="2" t="n">
        <v>83700</v>
      </c>
      <c r="G222" s="2" t="n">
        <v>80760</v>
      </c>
      <c r="H222" s="2" t="n">
        <v>76910</v>
      </c>
      <c r="I222" s="2" t="n">
        <v>78320</v>
      </c>
      <c r="J222" s="2" t="n">
        <v>76320</v>
      </c>
      <c r="K222" s="2" t="n">
        <v>71830</v>
      </c>
      <c r="L222" s="2" t="n">
        <v>63960</v>
      </c>
      <c r="M222" s="2" t="n">
        <v>68160</v>
      </c>
      <c r="N222" s="2" t="n">
        <v>66640</v>
      </c>
      <c r="O222" s="2" t="n">
        <v>73450</v>
      </c>
      <c r="P222" s="2" t="n">
        <v>75220</v>
      </c>
      <c r="Q222" s="2" t="n">
        <v>75310</v>
      </c>
      <c r="R222" s="2" t="n">
        <v>73900</v>
      </c>
      <c r="S222" s="2" t="n">
        <v>70670</v>
      </c>
      <c r="T222" s="2" t="n">
        <v>68560</v>
      </c>
      <c r="U222" s="2" t="n">
        <v>72450</v>
      </c>
      <c r="V222" s="2" t="n">
        <v>66880</v>
      </c>
      <c r="W222" s="2" t="n">
        <v>63980</v>
      </c>
      <c r="X222" s="2" t="n">
        <v>61820</v>
      </c>
      <c r="Y222" s="2" t="n">
        <v>60220</v>
      </c>
      <c r="Z222" s="2" t="n">
        <v>61890</v>
      </c>
      <c r="AA222" s="2" t="n">
        <v>62680</v>
      </c>
      <c r="AB222" s="2" t="n">
        <v>65350</v>
      </c>
      <c r="AC222" s="2" t="n">
        <v>66780</v>
      </c>
      <c r="AD222" s="2" t="n">
        <v>63950</v>
      </c>
      <c r="AE222" s="2" t="n">
        <v>65150</v>
      </c>
      <c r="AF222" s="2" t="n">
        <v>66270</v>
      </c>
      <c r="AG222" s="2" t="n">
        <v>64560</v>
      </c>
      <c r="AH222" s="2" t="n">
        <v>63400</v>
      </c>
      <c r="AI222" s="2" t="n">
        <v>58940</v>
      </c>
      <c r="AJ222" s="2" t="n">
        <v>57960</v>
      </c>
      <c r="AK222" s="2" t="n">
        <v>60380</v>
      </c>
      <c r="AL222" s="2" t="n">
        <v>59790</v>
      </c>
      <c r="AM222" s="2" t="n">
        <v>58500</v>
      </c>
      <c r="AN222" s="2" t="n">
        <v>59540</v>
      </c>
      <c r="AO222" s="2" t="n">
        <v>57860</v>
      </c>
      <c r="AP222" s="2" t="n">
        <v>57830</v>
      </c>
      <c r="AQ222" s="2" t="n">
        <v>57570</v>
      </c>
      <c r="AR222" s="2" t="n">
        <v>58390</v>
      </c>
      <c r="AS222" s="2" t="n">
        <v>56940</v>
      </c>
      <c r="AT222" s="2" t="n">
        <v>57000</v>
      </c>
      <c r="AU222" s="2" t="n">
        <v>54760</v>
      </c>
      <c r="AV222" s="2" t="n">
        <v>52800</v>
      </c>
      <c r="AW222" s="2" t="n">
        <v>53070</v>
      </c>
      <c r="AX222" s="2" t="n">
        <v>52870</v>
      </c>
      <c r="AY222" s="2" t="n">
        <v>52180</v>
      </c>
      <c r="AZ222" s="2" t="n">
        <v>48060</v>
      </c>
      <c r="BA222" s="2" t="n">
        <v>47220</v>
      </c>
      <c r="BB222" s="2" t="n">
        <v>47340</v>
      </c>
      <c r="BC222" s="2" t="n">
        <v>49030</v>
      </c>
      <c r="BD222" s="2" t="n">
        <v>46750</v>
      </c>
      <c r="BE222" s="2" t="n">
        <v>43400</v>
      </c>
      <c r="BF222" s="2" t="n">
        <v>43000</v>
      </c>
      <c r="BG222" s="2" t="n">
        <v>46700</v>
      </c>
      <c r="BH222" s="2" t="n">
        <v>48110</v>
      </c>
      <c r="BI222" s="2" t="n">
        <v>47450</v>
      </c>
      <c r="BJ222" s="2" t="n">
        <v>45970</v>
      </c>
      <c r="BK222" s="2" t="n">
        <v>43760</v>
      </c>
      <c r="BL222" s="2" t="n">
        <v>48180</v>
      </c>
    </row>
    <row r="223">
      <c r="A223" s="77" t="inlineStr">
        <is>
          <t>6135</t>
        </is>
      </c>
      <c r="B223" s="570">
        <f>銘柄管理!C223</f>
        <v/>
      </c>
      <c r="C223" s="660">
        <f>_xll.RssMarket("6135","始値")</f>
        <v/>
      </c>
      <c r="D223" s="661" t="n"/>
      <c r="E223" s="2" t="n">
        <v>14680</v>
      </c>
      <c r="F223" s="570" t="n">
        <v>14500</v>
      </c>
      <c r="G223" s="570" t="n">
        <v>14350</v>
      </c>
      <c r="H223" s="570" t="n">
        <v>14480</v>
      </c>
      <c r="I223" s="570" t="n">
        <v>14100</v>
      </c>
      <c r="J223" s="570" t="n">
        <v>14240</v>
      </c>
      <c r="K223" s="570" t="n">
        <v>14050</v>
      </c>
      <c r="L223" s="570" t="n">
        <v>14000</v>
      </c>
      <c r="M223" s="570" t="n">
        <v>14920</v>
      </c>
      <c r="N223" s="570" t="n">
        <v>13960</v>
      </c>
      <c r="O223" s="570" t="n">
        <v>14140</v>
      </c>
      <c r="P223" s="570" t="n">
        <v>14100</v>
      </c>
      <c r="Q223" s="570" t="n">
        <v>13800</v>
      </c>
      <c r="R223" s="570" t="n">
        <v>14010</v>
      </c>
      <c r="S223" s="570" t="n">
        <v>13210</v>
      </c>
      <c r="T223" s="570" t="n">
        <v>13220</v>
      </c>
      <c r="U223" s="570" t="n">
        <v>13050</v>
      </c>
      <c r="V223" s="570" t="n">
        <v>13290</v>
      </c>
      <c r="W223" s="570" t="n">
        <v>13210</v>
      </c>
      <c r="X223" s="570" t="n">
        <v>13250</v>
      </c>
      <c r="Y223" s="570" t="n">
        <v>13670</v>
      </c>
      <c r="Z223" s="570" t="n">
        <v>13690</v>
      </c>
      <c r="AA223" s="570" t="n">
        <v>13900</v>
      </c>
      <c r="AB223" s="570" t="n">
        <v>14100</v>
      </c>
      <c r="AC223" s="570" t="n">
        <v>13610</v>
      </c>
      <c r="AD223" s="570" t="n">
        <v>13740</v>
      </c>
      <c r="AE223" s="570" t="n">
        <v>13770</v>
      </c>
      <c r="AF223" s="570" t="n">
        <v>13390</v>
      </c>
      <c r="AG223" s="570" t="n">
        <v>13770</v>
      </c>
      <c r="AH223" s="570" t="n">
        <v>13260</v>
      </c>
      <c r="AI223" s="570" t="n">
        <v>11950</v>
      </c>
      <c r="AJ223" s="570" t="n">
        <v>11730</v>
      </c>
      <c r="AK223" s="570" t="n">
        <v>11750</v>
      </c>
      <c r="AL223" s="570" t="n">
        <v>11840</v>
      </c>
      <c r="AM223" s="570" t="n">
        <v>11760</v>
      </c>
      <c r="AN223" s="570" t="n">
        <v>10720</v>
      </c>
      <c r="AO223" s="570" t="n">
        <v>11620</v>
      </c>
      <c r="AP223" s="570" t="n">
        <v>11620</v>
      </c>
      <c r="AQ223" s="570" t="n">
        <v>11620</v>
      </c>
      <c r="AR223" s="570" t="n">
        <v>11610</v>
      </c>
      <c r="AS223" s="570" t="n">
        <v>11610</v>
      </c>
      <c r="AT223" s="570" t="n">
        <v>11610</v>
      </c>
      <c r="AU223" s="570" t="n">
        <v>11590</v>
      </c>
      <c r="AV223" s="570" t="n">
        <v>11580</v>
      </c>
      <c r="AW223" s="570" t="n">
        <v>11620</v>
      </c>
      <c r="AX223" s="570" t="n">
        <v>11560</v>
      </c>
      <c r="AY223" s="570" t="n">
        <v>11570</v>
      </c>
      <c r="AZ223" s="570" t="n">
        <v>11530</v>
      </c>
      <c r="BA223" s="570" t="n">
        <v>11550</v>
      </c>
      <c r="BB223" s="570" t="n">
        <v>11550</v>
      </c>
      <c r="BC223" s="570" t="n">
        <v>11560</v>
      </c>
      <c r="BD223" s="570" t="n">
        <v>11510</v>
      </c>
      <c r="BE223" s="570" t="n">
        <v>11480</v>
      </c>
      <c r="BF223" s="570" t="n">
        <v>11470</v>
      </c>
      <c r="BG223" s="570" t="n">
        <v>11510</v>
      </c>
      <c r="BH223" s="570" t="n">
        <v>11490</v>
      </c>
      <c r="BI223" s="570" t="n">
        <v>11530</v>
      </c>
      <c r="BJ223" s="570" t="n">
        <v>11480</v>
      </c>
      <c r="BK223" s="570" t="n">
        <v>11520</v>
      </c>
      <c r="BL223" s="570" t="n">
        <v>11550</v>
      </c>
    </row>
    <row r="224">
      <c r="A224" s="77" t="inlineStr">
        <is>
          <t>6055</t>
        </is>
      </c>
      <c r="B224" s="570">
        <f>銘柄管理!C224</f>
        <v/>
      </c>
      <c r="C224" s="660">
        <f>_xll.RssMarket("6055","始値")</f>
        <v/>
      </c>
      <c r="D224" s="661" t="n"/>
      <c r="E224" s="2" t="n">
        <v>2453</v>
      </c>
      <c r="F224" s="570" t="n">
        <v>2491</v>
      </c>
      <c r="G224" s="570" t="n">
        <v>2388</v>
      </c>
      <c r="H224" s="570" t="n">
        <v>2331</v>
      </c>
      <c r="I224" s="570" t="n">
        <v>2465</v>
      </c>
      <c r="J224" s="570" t="n">
        <v>2456</v>
      </c>
      <c r="K224" s="570" t="n">
        <v>2283</v>
      </c>
      <c r="L224" s="570" t="n">
        <v>2087</v>
      </c>
      <c r="M224" s="570" t="n">
        <v>2165</v>
      </c>
      <c r="N224" s="570" t="n">
        <v>2090</v>
      </c>
      <c r="O224" s="570" t="n">
        <v>2180</v>
      </c>
      <c r="P224" s="570" t="n">
        <v>2118</v>
      </c>
      <c r="Q224" s="570" t="n">
        <v>2122</v>
      </c>
      <c r="R224" s="570" t="n">
        <v>2090</v>
      </c>
      <c r="S224" s="570" t="n">
        <v>2033</v>
      </c>
      <c r="T224" s="570" t="n">
        <v>2161</v>
      </c>
      <c r="U224" s="570" t="n">
        <v>2033</v>
      </c>
      <c r="V224" s="570" t="n">
        <v>2060</v>
      </c>
      <c r="W224" s="570" t="n">
        <v>2013</v>
      </c>
      <c r="X224" s="570" t="n">
        <v>1932</v>
      </c>
      <c r="Y224" s="570" t="n">
        <v>2100</v>
      </c>
      <c r="Z224" s="570" t="n">
        <v>2230</v>
      </c>
      <c r="AA224" s="570" t="n">
        <v>2017</v>
      </c>
      <c r="AB224" s="570" t="n">
        <v>2187</v>
      </c>
      <c r="AC224" s="570" t="n">
        <v>2080</v>
      </c>
      <c r="AD224" s="570" t="n">
        <v>2101</v>
      </c>
      <c r="AE224" s="570" t="n">
        <v>2015</v>
      </c>
      <c r="AF224" s="570" t="n">
        <v>1928</v>
      </c>
      <c r="AG224" s="570" t="n">
        <v>1929</v>
      </c>
      <c r="AH224" s="570" t="n">
        <v>1796</v>
      </c>
      <c r="AI224" s="570" t="n">
        <v>1771</v>
      </c>
      <c r="AJ224" s="570" t="n">
        <v>1850</v>
      </c>
      <c r="AK224" s="570" t="n">
        <v>1854</v>
      </c>
      <c r="AL224" s="570" t="n">
        <v>1788</v>
      </c>
      <c r="AM224" s="570" t="n">
        <v>1864</v>
      </c>
      <c r="AN224" s="570" t="n">
        <v>1844</v>
      </c>
      <c r="AO224" s="570" t="n">
        <v>1865</v>
      </c>
      <c r="AP224" s="570" t="n">
        <v>1886</v>
      </c>
      <c r="AQ224" s="570" t="n">
        <v>1900</v>
      </c>
      <c r="AR224" s="570" t="n">
        <v>1918</v>
      </c>
      <c r="AS224" s="570" t="n">
        <v>1930</v>
      </c>
      <c r="AT224" s="570" t="n">
        <v>1847</v>
      </c>
      <c r="AU224" s="570" t="n">
        <v>1800</v>
      </c>
      <c r="AV224" s="570" t="n">
        <v>1799</v>
      </c>
      <c r="AW224" s="570" t="n">
        <v>1787</v>
      </c>
      <c r="AX224" s="570" t="n">
        <v>1745</v>
      </c>
      <c r="AY224" s="570" t="n">
        <v>1651</v>
      </c>
      <c r="AZ224" s="570" t="n">
        <v>1640</v>
      </c>
      <c r="BA224" s="570" t="n">
        <v>1627</v>
      </c>
      <c r="BB224" s="570" t="n">
        <v>1699</v>
      </c>
      <c r="BC224" s="570" t="n">
        <v>1640</v>
      </c>
      <c r="BD224" s="570" t="n">
        <v>1560</v>
      </c>
      <c r="BE224" s="570" t="n">
        <v>1632</v>
      </c>
      <c r="BF224" s="570" t="n">
        <v>1698</v>
      </c>
      <c r="BG224" s="570" t="n">
        <v>1736</v>
      </c>
      <c r="BH224" s="570" t="n">
        <v>1719</v>
      </c>
      <c r="BI224" s="570" t="n">
        <v>1687</v>
      </c>
      <c r="BJ224" s="570" t="n">
        <v>1611</v>
      </c>
      <c r="BK224" s="570" t="n">
        <v>1751</v>
      </c>
      <c r="BL224" s="570" t="n">
        <v>1811</v>
      </c>
    </row>
    <row r="225">
      <c r="A225" s="77" t="inlineStr">
        <is>
          <t>6862</t>
        </is>
      </c>
      <c r="B225" s="570">
        <f>銘柄管理!C225</f>
        <v/>
      </c>
      <c r="C225" s="570">
        <f>_xll.RssMarket("6862","始値")</f>
        <v/>
      </c>
      <c r="E225" s="2" t="n">
        <v>2590</v>
      </c>
      <c r="F225" s="570" t="n">
        <v>2315</v>
      </c>
      <c r="G225" s="570" t="n">
        <v>2223</v>
      </c>
      <c r="H225" s="570" t="n">
        <v>2100</v>
      </c>
      <c r="I225" s="570" t="n">
        <v>2079</v>
      </c>
      <c r="J225" s="570" t="n">
        <v>2000</v>
      </c>
      <c r="K225" s="570" t="n">
        <v>2015</v>
      </c>
      <c r="L225" s="570" t="n">
        <v>1924</v>
      </c>
      <c r="M225" s="570" t="n">
        <v>2054</v>
      </c>
      <c r="N225" s="570" t="n">
        <v>2105</v>
      </c>
      <c r="O225" s="570" t="n">
        <v>2130</v>
      </c>
      <c r="P225" s="570" t="n">
        <v>2182</v>
      </c>
      <c r="Q225" s="570" t="n">
        <v>2240</v>
      </c>
      <c r="R225" s="570" t="n">
        <v>2165</v>
      </c>
      <c r="S225" s="570" t="n">
        <v>2240</v>
      </c>
      <c r="T225" s="570" t="n">
        <v>2298</v>
      </c>
      <c r="U225" s="570" t="n">
        <v>2499</v>
      </c>
      <c r="V225" s="570" t="n">
        <v>2617</v>
      </c>
      <c r="W225" s="570" t="n">
        <v>2576</v>
      </c>
      <c r="X225" s="570" t="n">
        <v>2505</v>
      </c>
      <c r="Y225" s="570" t="n">
        <v>2494</v>
      </c>
      <c r="Z225" s="570" t="n">
        <v>2731</v>
      </c>
      <c r="AA225" s="570" t="n">
        <v>2867</v>
      </c>
      <c r="AB225" s="570" t="n">
        <v>2942</v>
      </c>
      <c r="AC225" s="570" t="n">
        <v>2880</v>
      </c>
      <c r="AD225" s="570" t="n">
        <v>2930</v>
      </c>
      <c r="AE225" s="570" t="n">
        <v>3555</v>
      </c>
      <c r="AF225" s="570" t="n">
        <v>4165</v>
      </c>
      <c r="AG225" s="570" t="n">
        <v>3695</v>
      </c>
      <c r="AH225" s="570" t="n">
        <v>3715</v>
      </c>
      <c r="AI225" s="570" t="n">
        <v>2798</v>
      </c>
      <c r="AJ225" s="570" t="n">
        <v>2622</v>
      </c>
      <c r="AK225" s="570" t="n">
        <v>2651</v>
      </c>
      <c r="AL225" s="570" t="n">
        <v>2532</v>
      </c>
      <c r="AM225" s="570" t="n">
        <v>2403</v>
      </c>
      <c r="AN225" s="570" t="n">
        <v>2530</v>
      </c>
      <c r="AO225" s="570" t="n">
        <v>2555</v>
      </c>
      <c r="AP225" s="570" t="n">
        <v>2559</v>
      </c>
      <c r="AQ225" s="570" t="n">
        <v>2422</v>
      </c>
      <c r="AR225" s="570" t="n">
        <v>2473</v>
      </c>
      <c r="AS225" s="570" t="n">
        <v>2416</v>
      </c>
      <c r="AT225" s="570" t="n">
        <v>2601</v>
      </c>
      <c r="AU225" s="570" t="n">
        <v>2446</v>
      </c>
      <c r="AV225" s="570" t="n">
        <v>2189</v>
      </c>
      <c r="AW225" s="570" t="n">
        <v>2218</v>
      </c>
      <c r="AX225" s="570" t="n">
        <v>2209</v>
      </c>
      <c r="AY225" s="570" t="n">
        <v>2168</v>
      </c>
      <c r="AZ225" s="570" t="n">
        <v>2088</v>
      </c>
      <c r="BA225" s="570" t="n">
        <v>2139</v>
      </c>
      <c r="BB225" s="570" t="n">
        <v>2053</v>
      </c>
      <c r="BC225" s="570" t="n">
        <v>2165</v>
      </c>
      <c r="BD225" s="570" t="n">
        <v>2099</v>
      </c>
      <c r="BE225" s="570" t="n">
        <v>2089</v>
      </c>
      <c r="BF225" s="570" t="n">
        <v>2180</v>
      </c>
      <c r="BG225" s="570" t="n">
        <v>2338</v>
      </c>
      <c r="BH225" s="570" t="n">
        <v>2597</v>
      </c>
      <c r="BI225" s="570" t="n">
        <v>2196</v>
      </c>
      <c r="BJ225" s="570" t="n">
        <v>2130</v>
      </c>
      <c r="BK225" s="570" t="n">
        <v>2114</v>
      </c>
      <c r="BL225" s="570" t="n">
        <v>2326</v>
      </c>
    </row>
    <row r="226">
      <c r="A226" s="77" t="inlineStr">
        <is>
          <t>2267</t>
        </is>
      </c>
      <c r="B226" s="570">
        <f>銘柄管理!C226</f>
        <v/>
      </c>
      <c r="C226" s="570">
        <f>_xll.RssMarket("2267","始値")</f>
        <v/>
      </c>
      <c r="E226" s="2" t="n">
        <v>2689.5</v>
      </c>
      <c r="F226" s="570" t="n">
        <v>2685</v>
      </c>
      <c r="G226" s="570" t="n">
        <v>2616.5</v>
      </c>
      <c r="H226" s="570" t="n">
        <v>2647</v>
      </c>
      <c r="I226" s="570" t="n">
        <v>2644.5</v>
      </c>
      <c r="J226" s="570" t="n">
        <v>2679.5</v>
      </c>
      <c r="K226" s="570" t="n">
        <v>2650</v>
      </c>
      <c r="L226" s="570" t="n">
        <v>2715</v>
      </c>
      <c r="M226" s="570" t="n">
        <v>2705</v>
      </c>
      <c r="N226" s="570" t="n">
        <v>2641</v>
      </c>
      <c r="O226" s="570" t="n">
        <v>2684.5</v>
      </c>
      <c r="P226" s="570" t="n">
        <v>2687.5</v>
      </c>
      <c r="Q226" s="570" t="n">
        <v>2699</v>
      </c>
      <c r="R226" s="570" t="n">
        <v>2657.5</v>
      </c>
      <c r="S226" s="570" t="n">
        <v>2693</v>
      </c>
      <c r="T226" s="570" t="n">
        <v>2734</v>
      </c>
      <c r="U226" s="570" t="n">
        <v>2660.5</v>
      </c>
      <c r="V226" s="570" t="n">
        <v>2806.5</v>
      </c>
      <c r="W226" s="570" t="n">
        <v>2746</v>
      </c>
      <c r="X226" s="570" t="n">
        <v>2768</v>
      </c>
      <c r="Y226" s="570" t="n">
        <v>2831.5</v>
      </c>
      <c r="Z226" s="570" t="n">
        <v>2749</v>
      </c>
      <c r="AA226" s="570" t="n">
        <v>2762</v>
      </c>
      <c r="AB226" s="570" t="n">
        <v>2753</v>
      </c>
      <c r="AC226" s="570" t="n">
        <v>2800.5</v>
      </c>
      <c r="AD226" s="570" t="n">
        <v>2670</v>
      </c>
      <c r="AE226" s="570" t="n">
        <v>2900</v>
      </c>
      <c r="AF226" s="570" t="n">
        <v>2916.5</v>
      </c>
      <c r="AG226" s="570" t="n">
        <v>2978</v>
      </c>
      <c r="AH226" s="570" t="n">
        <v>3056</v>
      </c>
      <c r="AI226" s="570" t="n">
        <v>2820</v>
      </c>
      <c r="AJ226" s="570" t="n">
        <v>2722.5</v>
      </c>
      <c r="AK226" s="570" t="n">
        <v>2742</v>
      </c>
      <c r="AL226" s="570" t="n">
        <v>2749</v>
      </c>
      <c r="AM226" s="570" t="n">
        <v>2653</v>
      </c>
      <c r="AN226" s="570" t="n">
        <v>2596</v>
      </c>
      <c r="AO226" s="570" t="n">
        <v>2605</v>
      </c>
      <c r="AP226" s="570" t="n">
        <v>2625</v>
      </c>
      <c r="AQ226" s="570" t="n">
        <v>2672</v>
      </c>
      <c r="AR226" s="570" t="n">
        <v>2650</v>
      </c>
      <c r="AS226" s="570" t="n">
        <v>2700</v>
      </c>
      <c r="AT226" s="570" t="n">
        <v>2628.5</v>
      </c>
      <c r="AU226" s="570" t="n">
        <v>2629</v>
      </c>
      <c r="AV226" s="570" t="n">
        <v>2640</v>
      </c>
      <c r="AW226" s="570" t="n">
        <v>2701</v>
      </c>
      <c r="AX226" s="570" t="n">
        <v>2793</v>
      </c>
      <c r="AY226" s="570" t="n">
        <v>2771.5</v>
      </c>
      <c r="AZ226" s="570" t="n">
        <v>2740</v>
      </c>
      <c r="BA226" s="570" t="n">
        <v>2713.5</v>
      </c>
      <c r="BB226" s="570" t="n">
        <v>2653</v>
      </c>
      <c r="BC226" s="570" t="n">
        <v>2665</v>
      </c>
      <c r="BD226" s="570" t="n">
        <v>2648</v>
      </c>
      <c r="BE226" s="570" t="n">
        <v>2675</v>
      </c>
      <c r="BF226" s="570" t="n">
        <v>2629</v>
      </c>
      <c r="BG226" s="570" t="n">
        <v>2672</v>
      </c>
      <c r="BH226" s="570" t="n">
        <v>2607</v>
      </c>
      <c r="BI226" s="570" t="n">
        <v>2612.5</v>
      </c>
      <c r="BJ226" s="570" t="n">
        <v>2585</v>
      </c>
      <c r="BK226" s="570" t="n">
        <v>2579.5</v>
      </c>
      <c r="BL226" s="570" t="n">
        <v>2600</v>
      </c>
    </row>
    <row r="227">
      <c r="A227" s="77" t="inlineStr">
        <is>
          <t>1618</t>
        </is>
      </c>
      <c r="B227" s="570">
        <f>銘柄管理!C227</f>
        <v/>
      </c>
      <c r="C227" s="570">
        <f>_xll.RssMarket("1618","始値")</f>
        <v/>
      </c>
      <c r="E227" s="2" t="n">
        <v>32800</v>
      </c>
      <c r="F227" s="570" t="n">
        <v>32000</v>
      </c>
      <c r="G227" s="570" t="n">
        <v>32330</v>
      </c>
      <c r="H227" s="570" t="n">
        <v>32080</v>
      </c>
      <c r="I227" s="570" t="n">
        <v>32450</v>
      </c>
      <c r="J227" s="570" t="n">
        <v>33120</v>
      </c>
      <c r="K227" s="570" t="n">
        <v>32980</v>
      </c>
      <c r="L227" s="570" t="n">
        <v>32720</v>
      </c>
      <c r="M227" s="570" t="n">
        <v>32660</v>
      </c>
      <c r="N227" s="570" t="n">
        <v>33310</v>
      </c>
      <c r="O227" s="570" t="n">
        <v>34200</v>
      </c>
      <c r="P227" s="570" t="n">
        <v>34510</v>
      </c>
      <c r="Q227" s="570" t="n">
        <v>34250</v>
      </c>
      <c r="R227" s="570" t="n">
        <v>33040</v>
      </c>
      <c r="S227" s="570" t="n">
        <v>33600</v>
      </c>
      <c r="T227" s="570" t="n">
        <v>33490</v>
      </c>
      <c r="U227" s="570" t="n">
        <v>33670</v>
      </c>
      <c r="V227" s="570" t="n">
        <v>34600</v>
      </c>
      <c r="W227" s="570" t="n">
        <v>34730</v>
      </c>
      <c r="X227" s="570" t="n">
        <v>35740</v>
      </c>
      <c r="Y227" s="570" t="n">
        <v>36280</v>
      </c>
      <c r="Z227" s="570" t="n">
        <v>36430</v>
      </c>
      <c r="AA227" s="570" t="n">
        <v>36910</v>
      </c>
      <c r="AB227" s="570" t="n">
        <v>35810</v>
      </c>
      <c r="AC227" s="570" t="n">
        <v>35900</v>
      </c>
      <c r="AD227" s="570" t="n">
        <v>36470</v>
      </c>
      <c r="AE227" s="570" t="n">
        <v>36030</v>
      </c>
      <c r="AF227" s="570" t="n">
        <v>34580</v>
      </c>
      <c r="AG227" s="570" t="n">
        <v>35140</v>
      </c>
      <c r="AH227" s="570" t="n">
        <v>36060</v>
      </c>
      <c r="AI227" s="570" t="n">
        <v>36090</v>
      </c>
      <c r="AJ227" s="570" t="n">
        <v>36900</v>
      </c>
      <c r="AK227" s="570" t="n">
        <v>35220</v>
      </c>
      <c r="AL227" s="570" t="n">
        <v>35740</v>
      </c>
      <c r="AM227" s="570" t="n">
        <v>35940</v>
      </c>
      <c r="AN227" s="570" t="n">
        <v>35000</v>
      </c>
      <c r="AO227" s="570" t="n">
        <v>35790</v>
      </c>
      <c r="AP227" s="570" t="n">
        <v>36360</v>
      </c>
      <c r="AQ227" s="570" t="n">
        <v>36790</v>
      </c>
      <c r="AR227" s="570" t="n">
        <v>37830</v>
      </c>
      <c r="AS227" s="570" t="n">
        <v>38270</v>
      </c>
      <c r="AT227" s="570" t="n">
        <v>38300</v>
      </c>
      <c r="AU227" s="570" t="n">
        <v>39000</v>
      </c>
      <c r="AV227" s="570" t="n">
        <v>39530</v>
      </c>
      <c r="AW227" s="570" t="n">
        <v>38930</v>
      </c>
      <c r="AX227" s="570" t="n">
        <v>39170</v>
      </c>
      <c r="AY227" s="570" t="n">
        <v>40930</v>
      </c>
      <c r="AZ227" s="570" t="n">
        <v>41080</v>
      </c>
      <c r="BA227" s="570" t="n">
        <v>41290</v>
      </c>
      <c r="BB227" s="570" t="n">
        <v>40450</v>
      </c>
      <c r="BC227" s="570" t="n">
        <v>41190</v>
      </c>
      <c r="BD227" s="570" t="n">
        <v>40400</v>
      </c>
      <c r="BE227" s="570" t="n">
        <v>42010</v>
      </c>
      <c r="BF227" s="570" t="n">
        <v>41940</v>
      </c>
      <c r="BG227" s="570" t="n">
        <v>40030</v>
      </c>
      <c r="BH227" s="570" t="n">
        <v>39500</v>
      </c>
      <c r="BI227" s="570" t="n">
        <v>39530</v>
      </c>
      <c r="BJ227" s="570" t="n">
        <v>38140</v>
      </c>
      <c r="BK227" s="570" t="n">
        <v>39410</v>
      </c>
      <c r="BL227" s="570" t="n">
        <v>40100</v>
      </c>
    </row>
    <row r="228">
      <c r="A228" s="77" t="inlineStr">
        <is>
          <t>3696</t>
        </is>
      </c>
      <c r="C228" s="570">
        <f>_xll.RssMarket("3696","始値")</f>
        <v/>
      </c>
      <c r="E228" s="2" t="n">
        <v>1751</v>
      </c>
      <c r="F228" s="570" t="n">
        <v>1813</v>
      </c>
      <c r="G228" s="570" t="n">
        <v>1812</v>
      </c>
      <c r="H228" s="570" t="n">
        <v>1794</v>
      </c>
      <c r="I228" s="570" t="n">
        <v>1826</v>
      </c>
      <c r="J228" s="570" t="n">
        <v>1816</v>
      </c>
      <c r="K228" s="570" t="n">
        <v>1745</v>
      </c>
      <c r="L228" s="570" t="n">
        <v>1746</v>
      </c>
      <c r="M228" s="570" t="n">
        <v>1772</v>
      </c>
      <c r="N228" s="570" t="n">
        <v>1749</v>
      </c>
      <c r="O228" s="570" t="n">
        <v>1745</v>
      </c>
      <c r="P228" s="570" t="n">
        <v>1747</v>
      </c>
      <c r="Q228" s="570" t="n">
        <v>1805</v>
      </c>
      <c r="R228" s="570" t="n">
        <v>1802</v>
      </c>
      <c r="S228" s="570" t="n">
        <v>1756</v>
      </c>
      <c r="T228" s="570" t="n">
        <v>1714</v>
      </c>
      <c r="U228" s="570" t="n">
        <v>1785</v>
      </c>
      <c r="V228" s="570" t="n">
        <v>1819</v>
      </c>
      <c r="W228" s="570" t="n">
        <v>1838</v>
      </c>
      <c r="X228" s="570" t="n">
        <v>1830</v>
      </c>
      <c r="Y228" s="570" t="n">
        <v>1871</v>
      </c>
      <c r="Z228" s="570" t="n">
        <v>1913</v>
      </c>
      <c r="AA228" s="570" t="n">
        <v>1932</v>
      </c>
      <c r="AB228" s="570" t="n">
        <v>1887</v>
      </c>
      <c r="AC228" s="570" t="n">
        <v>1902</v>
      </c>
      <c r="AD228" s="570" t="n">
        <v>1901</v>
      </c>
      <c r="AE228" s="570" t="n">
        <v>4300</v>
      </c>
      <c r="AF228" s="570" t="n">
        <v>4120</v>
      </c>
      <c r="AG228" s="570" t="n">
        <v>4215</v>
      </c>
      <c r="AH228" s="570" t="n">
        <v>3900</v>
      </c>
      <c r="AI228" s="570" t="n">
        <v>3960</v>
      </c>
      <c r="AJ228" s="570" t="n">
        <v>4000</v>
      </c>
      <c r="AK228" s="570" t="n">
        <v>3870</v>
      </c>
      <c r="AL228" s="570" t="n">
        <v>3970</v>
      </c>
      <c r="AM228" s="570" t="n">
        <v>4215</v>
      </c>
      <c r="AN228" s="570" t="n">
        <v>4400</v>
      </c>
      <c r="AO228" s="570" t="n">
        <v>4760</v>
      </c>
      <c r="AP228" s="570" t="n">
        <v>4695</v>
      </c>
      <c r="AQ228" s="570" t="n">
        <v>4455</v>
      </c>
      <c r="AR228" s="570" t="n">
        <v>4475</v>
      </c>
      <c r="AS228" s="570" t="n">
        <v>4420</v>
      </c>
      <c r="AT228" s="570" t="n">
        <v>4320</v>
      </c>
      <c r="AU228" s="570" t="n">
        <v>4190</v>
      </c>
      <c r="AV228" s="570" t="n">
        <v>4375</v>
      </c>
      <c r="AW228" s="570" t="n">
        <v>4535</v>
      </c>
      <c r="AX228" s="570" t="n">
        <v>4655</v>
      </c>
      <c r="AY228" s="570" t="n">
        <v>4815</v>
      </c>
      <c r="AZ228" s="570" t="n">
        <v>4725</v>
      </c>
      <c r="BA228" s="570" t="n">
        <v>4755</v>
      </c>
      <c r="BB228" s="570" t="n">
        <v>4655</v>
      </c>
      <c r="BC228" s="570" t="n">
        <v>4485</v>
      </c>
      <c r="BD228" s="570" t="n">
        <v>4310</v>
      </c>
      <c r="BE228" s="570" t="n">
        <v>4200</v>
      </c>
      <c r="BF228" s="570" t="n">
        <v>4080</v>
      </c>
      <c r="BG228" s="570" t="n">
        <v>4180</v>
      </c>
      <c r="BH228" s="570" t="n">
        <v>4200</v>
      </c>
      <c r="BI228" s="570" t="n">
        <v>4235</v>
      </c>
      <c r="BJ228" s="570" t="n">
        <v>4135</v>
      </c>
      <c r="BK228" s="570" t="n">
        <v>4170</v>
      </c>
      <c r="BL228" s="570" t="n">
        <v>4300</v>
      </c>
    </row>
    <row r="229">
      <c r="A229" s="77" t="inlineStr">
        <is>
          <t>4222</t>
        </is>
      </c>
      <c r="B229" s="570">
        <f>銘柄管理!C229</f>
        <v/>
      </c>
      <c r="C229" s="570">
        <f>_xll.RssMarket("4222","始値")</f>
        <v/>
      </c>
      <c r="E229" s="2" t="n">
        <v>721</v>
      </c>
      <c r="F229" s="570" t="n">
        <v>705</v>
      </c>
      <c r="G229" s="570" t="n">
        <v>729</v>
      </c>
      <c r="H229" s="570" t="n">
        <v>687</v>
      </c>
      <c r="I229" s="570" t="n">
        <v>697</v>
      </c>
      <c r="J229" s="570" t="n">
        <v>664</v>
      </c>
      <c r="K229" s="570" t="n">
        <v>674</v>
      </c>
      <c r="L229" s="570" t="n">
        <v>685</v>
      </c>
      <c r="M229" s="570" t="n">
        <v>691</v>
      </c>
      <c r="N229" s="570" t="n">
        <v>681</v>
      </c>
      <c r="O229" s="570" t="n">
        <v>700</v>
      </c>
      <c r="P229" s="570" t="n">
        <v>702</v>
      </c>
      <c r="Q229" s="570" t="n">
        <v>694</v>
      </c>
      <c r="R229" s="570" t="n">
        <v>701</v>
      </c>
      <c r="S229" s="570" t="n">
        <v>750</v>
      </c>
      <c r="T229" s="570" t="n">
        <v>785</v>
      </c>
      <c r="U229" s="570" t="n">
        <v>815</v>
      </c>
      <c r="V229" s="570" t="n">
        <v>802</v>
      </c>
      <c r="W229" s="570" t="n">
        <v>828</v>
      </c>
      <c r="X229" s="570" t="n">
        <v>850</v>
      </c>
      <c r="Y229" s="570" t="n">
        <v>878</v>
      </c>
      <c r="Z229" s="570" t="n">
        <v>909</v>
      </c>
      <c r="AA229" s="570" t="n">
        <v>954</v>
      </c>
      <c r="AB229" s="570" t="n">
        <v>1226</v>
      </c>
      <c r="AC229" s="570" t="n">
        <v>1249</v>
      </c>
      <c r="AD229" s="570" t="n">
        <v>1315</v>
      </c>
      <c r="AE229" s="570" t="n">
        <v>1186</v>
      </c>
      <c r="AF229" s="570" t="n">
        <v>1155</v>
      </c>
      <c r="AG229" s="570" t="n">
        <v>1125</v>
      </c>
      <c r="AH229" s="570" t="n">
        <v>1115</v>
      </c>
      <c r="AI229" s="570" t="n">
        <v>1117</v>
      </c>
      <c r="AJ229" s="570" t="n">
        <v>1150</v>
      </c>
      <c r="AK229" s="570" t="n">
        <v>1141</v>
      </c>
      <c r="AL229" s="570" t="n">
        <v>1134</v>
      </c>
      <c r="AM229" s="570" t="n">
        <v>1165</v>
      </c>
      <c r="AN229" s="570" t="n">
        <v>1172</v>
      </c>
      <c r="AO229" s="570" t="n">
        <v>1200</v>
      </c>
      <c r="AP229" s="570" t="n">
        <v>1150</v>
      </c>
      <c r="AQ229" s="570" t="n">
        <v>1166</v>
      </c>
      <c r="AR229" s="570" t="n">
        <v>1160</v>
      </c>
      <c r="AS229" s="570" t="n">
        <v>1151</v>
      </c>
      <c r="AT229" s="570" t="n">
        <v>1140</v>
      </c>
      <c r="AU229" s="570" t="n">
        <v>1083</v>
      </c>
      <c r="AV229" s="570" t="n">
        <v>1124</v>
      </c>
      <c r="AW229" s="570" t="n">
        <v>1150</v>
      </c>
      <c r="AX229" s="570" t="n">
        <v>1085</v>
      </c>
      <c r="AY229" s="570" t="n">
        <v>1058</v>
      </c>
      <c r="AZ229" s="570" t="n">
        <v>1020</v>
      </c>
      <c r="BA229" s="570" t="n">
        <v>1003</v>
      </c>
      <c r="BB229" s="570" t="n">
        <v>1040</v>
      </c>
      <c r="BC229" s="570" t="n">
        <v>1028</v>
      </c>
      <c r="BD229" s="570" t="n">
        <v>1001</v>
      </c>
      <c r="BE229" s="570" t="n">
        <v>1005</v>
      </c>
      <c r="BF229" s="570" t="n">
        <v>1033</v>
      </c>
      <c r="BG229" s="570" t="n">
        <v>1219</v>
      </c>
      <c r="BH229" s="570" t="n">
        <v>1040</v>
      </c>
      <c r="BI229" s="570" t="n">
        <v>999</v>
      </c>
      <c r="BJ229" s="570" t="n">
        <v>971</v>
      </c>
      <c r="BK229" s="570" t="n">
        <v>1066</v>
      </c>
      <c r="BL229" s="570" t="n">
        <v>1065</v>
      </c>
    </row>
    <row r="230">
      <c r="A230" s="77" t="inlineStr">
        <is>
          <t>3563</t>
        </is>
      </c>
      <c r="B230" s="570">
        <f>銘柄管理!C230</f>
        <v/>
      </c>
      <c r="C230" s="570">
        <f>_xll.RssMarket("3563","始値")</f>
        <v/>
      </c>
      <c r="E230" s="570" t="n">
        <v>9248</v>
      </c>
      <c r="F230" s="570" t="n">
        <v>9650</v>
      </c>
      <c r="G230" s="570" t="n">
        <v>9546</v>
      </c>
      <c r="H230" s="570" t="n">
        <v>10300</v>
      </c>
      <c r="I230" s="570" t="n">
        <v>10170</v>
      </c>
      <c r="J230" s="570" t="n">
        <v>10045</v>
      </c>
      <c r="K230" s="570" t="n">
        <v>9869</v>
      </c>
      <c r="L230" s="570" t="n">
        <v>9950</v>
      </c>
      <c r="M230" s="570" t="n">
        <v>9609</v>
      </c>
      <c r="N230" s="570" t="n">
        <v>9761</v>
      </c>
      <c r="O230" s="570" t="n">
        <v>9691</v>
      </c>
      <c r="P230" s="570" t="n">
        <v>10240</v>
      </c>
      <c r="Q230" s="570" t="n">
        <v>10500</v>
      </c>
      <c r="R230" s="570" t="n">
        <v>10350</v>
      </c>
      <c r="S230" s="570" t="n">
        <v>10425</v>
      </c>
      <c r="T230" s="570" t="n">
        <v>10160</v>
      </c>
      <c r="U230" s="570" t="n">
        <v>10185</v>
      </c>
      <c r="V230" s="570" t="n">
        <v>10900</v>
      </c>
      <c r="W230" s="570" t="n">
        <v>10565</v>
      </c>
      <c r="X230" s="570" t="n">
        <v>11000</v>
      </c>
      <c r="Y230" s="570" t="n">
        <v>10820</v>
      </c>
      <c r="Z230" s="570" t="n">
        <v>10600</v>
      </c>
      <c r="AA230" s="570" t="n">
        <v>10450</v>
      </c>
      <c r="AB230" s="570" t="n">
        <v>10700</v>
      </c>
      <c r="AC230" s="570" t="n">
        <v>10710</v>
      </c>
      <c r="AD230" s="570" t="n">
        <v>10560</v>
      </c>
      <c r="AE230" s="570" t="n">
        <v>10660</v>
      </c>
      <c r="AF230" s="570" t="n">
        <v>10500</v>
      </c>
      <c r="AG230" s="570" t="n">
        <v>9905</v>
      </c>
      <c r="AH230" s="570" t="n">
        <v>9200</v>
      </c>
      <c r="AI230" s="570" t="n">
        <v>9050</v>
      </c>
      <c r="AJ230" s="570" t="n">
        <v>8864</v>
      </c>
      <c r="AK230" s="570" t="n">
        <v>9055</v>
      </c>
      <c r="AL230" s="570" t="n">
        <v>9030</v>
      </c>
      <c r="AM230" s="570" t="n">
        <v>9202</v>
      </c>
      <c r="AN230" s="570" t="n">
        <v>9014</v>
      </c>
      <c r="AO230" s="570" t="n">
        <v>9311</v>
      </c>
      <c r="AP230" s="570" t="n">
        <v>9570</v>
      </c>
      <c r="AQ230" s="570" t="n">
        <v>9400</v>
      </c>
      <c r="AR230" s="570" t="n">
        <v>9420</v>
      </c>
      <c r="AS230" s="570" t="n">
        <v>9490</v>
      </c>
      <c r="AT230" s="570" t="n">
        <v>9700</v>
      </c>
      <c r="AU230" s="570" t="n">
        <v>9614</v>
      </c>
      <c r="AV230" s="570" t="n">
        <v>9577</v>
      </c>
      <c r="AW230" s="570" t="n">
        <v>9351</v>
      </c>
      <c r="AX230" s="570" t="n">
        <v>9619</v>
      </c>
      <c r="AY230" s="570" t="n">
        <v>9800</v>
      </c>
      <c r="AZ230" s="570" t="n">
        <v>9714</v>
      </c>
      <c r="BA230" s="570" t="n">
        <v>9747</v>
      </c>
      <c r="BB230" s="570" t="n">
        <v>9712</v>
      </c>
      <c r="BC230" s="570" t="n">
        <v>9768</v>
      </c>
      <c r="BD230" s="570" t="n">
        <v>9650</v>
      </c>
      <c r="BE230" s="570" t="n">
        <v>9442</v>
      </c>
      <c r="BF230" s="570" t="n">
        <v>9303</v>
      </c>
      <c r="BG230" s="570" t="n">
        <v>9749</v>
      </c>
      <c r="BH230" s="570" t="n">
        <v>10005</v>
      </c>
      <c r="BI230" s="570" t="n">
        <v>9980</v>
      </c>
      <c r="BJ230" s="570" t="n">
        <v>9879</v>
      </c>
      <c r="BK230" s="570" t="n">
        <v>9418</v>
      </c>
      <c r="BL230" s="570" t="n">
        <v>9604</v>
      </c>
    </row>
    <row r="231">
      <c r="A231" s="77" t="inlineStr">
        <is>
          <t>7013</t>
        </is>
      </c>
      <c r="B231" s="570">
        <f>銘柄管理!C231</f>
        <v/>
      </c>
      <c r="C231" s="570">
        <f>_xll.RssMarket("7013","始値")</f>
        <v/>
      </c>
      <c r="E231" s="570" t="n">
        <v>2835.5</v>
      </c>
      <c r="F231" s="570" t="n">
        <v>2916</v>
      </c>
      <c r="G231" s="570" t="n">
        <v>2954</v>
      </c>
      <c r="H231" s="570" t="n">
        <v>2808</v>
      </c>
      <c r="I231" s="570" t="n">
        <v>2855</v>
      </c>
      <c r="J231" s="570" t="n">
        <v>2520</v>
      </c>
      <c r="K231" s="570" t="n">
        <v>2405.5</v>
      </c>
      <c r="L231" s="570" t="n">
        <v>2302.5</v>
      </c>
      <c r="M231" s="570" t="n">
        <v>2470</v>
      </c>
      <c r="N231" s="570" t="n">
        <v>2486</v>
      </c>
      <c r="O231" s="570" t="n">
        <v>2570</v>
      </c>
      <c r="P231" s="570" t="n">
        <v>2460</v>
      </c>
      <c r="Q231" s="570" t="n">
        <v>2558</v>
      </c>
      <c r="R231" s="570" t="n">
        <v>2613.5</v>
      </c>
      <c r="S231" s="570" t="n">
        <v>2750</v>
      </c>
      <c r="T231" s="570" t="n">
        <v>2800</v>
      </c>
      <c r="U231" s="570" t="n">
        <v>2960</v>
      </c>
      <c r="V231" s="570" t="n">
        <v>2830</v>
      </c>
      <c r="W231" s="570" t="n">
        <v>2775</v>
      </c>
      <c r="X231" s="570" t="n">
        <v>2612.5</v>
      </c>
      <c r="Y231" s="570" t="n">
        <v>2545.5</v>
      </c>
      <c r="Z231" s="570" t="n">
        <v>2693</v>
      </c>
      <c r="AA231" s="570" t="n">
        <v>2727.5</v>
      </c>
      <c r="AB231" s="570" t="n">
        <v>2664</v>
      </c>
      <c r="AC231" s="570" t="n">
        <v>2750</v>
      </c>
      <c r="AD231" s="570" t="n">
        <v>2766</v>
      </c>
      <c r="AE231" s="570" t="n">
        <v>2845</v>
      </c>
      <c r="AF231" s="570" t="n">
        <v>2950</v>
      </c>
      <c r="AG231" s="570" t="n">
        <v>3098</v>
      </c>
      <c r="AH231" s="570" t="n">
        <v>2880</v>
      </c>
      <c r="AI231" s="570" t="n">
        <v>2876.5</v>
      </c>
      <c r="AJ231" s="570" t="n">
        <v>2962</v>
      </c>
      <c r="AK231" s="570" t="n">
        <v>2948</v>
      </c>
      <c r="AL231" s="570" t="n">
        <v>2924</v>
      </c>
      <c r="AM231" s="570" t="n">
        <v>3071</v>
      </c>
      <c r="AN231" s="570" t="n">
        <v>3071</v>
      </c>
      <c r="AO231" s="570" t="n">
        <v>2947</v>
      </c>
      <c r="AP231" s="570" t="n">
        <v>3131</v>
      </c>
      <c r="AQ231" s="570" t="n">
        <v>3130</v>
      </c>
      <c r="AR231" s="570" t="n">
        <v>3179</v>
      </c>
      <c r="AS231" s="570" t="n">
        <v>3185</v>
      </c>
      <c r="AT231" s="570" t="n">
        <v>3310</v>
      </c>
      <c r="AU231" s="570" t="n">
        <v>3344</v>
      </c>
      <c r="AV231" s="570" t="n">
        <v>3299</v>
      </c>
      <c r="AW231" s="570" t="n">
        <v>3352</v>
      </c>
      <c r="AX231" s="570" t="n">
        <v>3445</v>
      </c>
      <c r="AY231" s="570" t="n">
        <v>3475</v>
      </c>
      <c r="AZ231" s="570" t="n">
        <v>3331</v>
      </c>
      <c r="BA231" s="570" t="n">
        <v>3419</v>
      </c>
      <c r="BB231" s="570" t="n">
        <v>3500</v>
      </c>
      <c r="BC231" s="570" t="n">
        <v>3462</v>
      </c>
      <c r="BD231" s="570" t="n">
        <v>3267</v>
      </c>
      <c r="BE231" s="570" t="n">
        <v>3200</v>
      </c>
      <c r="BF231" s="570" t="n">
        <v>3288</v>
      </c>
      <c r="BG231" s="570" t="n">
        <v>3417</v>
      </c>
      <c r="BH231" s="570" t="n">
        <v>3521</v>
      </c>
      <c r="BI231" s="570" t="n">
        <v>3522</v>
      </c>
      <c r="BJ231" s="570" t="n">
        <v>3559</v>
      </c>
      <c r="BK231" s="570" t="n">
        <v>3655</v>
      </c>
      <c r="BL231" s="570" t="n">
        <v>3830</v>
      </c>
    </row>
    <row r="232">
      <c r="A232" s="77" t="inlineStr">
        <is>
          <t>8793</t>
        </is>
      </c>
      <c r="B232" s="570">
        <f>銘柄管理!C232</f>
        <v/>
      </c>
      <c r="C232" s="570">
        <f>_xll.RssMarket("8793","始値")</f>
        <v/>
      </c>
      <c r="E232" s="570" t="n">
        <v>4085</v>
      </c>
      <c r="F232" s="570" t="n">
        <v>4100</v>
      </c>
      <c r="G232" s="570" t="n">
        <v>4145</v>
      </c>
      <c r="H232" s="570" t="n">
        <v>4160</v>
      </c>
      <c r="I232" s="570" t="n">
        <v>4130</v>
      </c>
      <c r="J232" s="570" t="n">
        <v>4155</v>
      </c>
      <c r="K232" s="570" t="n">
        <v>4105</v>
      </c>
      <c r="L232" s="570" t="n">
        <v>4160</v>
      </c>
      <c r="M232" s="570" t="n">
        <v>4140</v>
      </c>
      <c r="N232" s="570" t="n">
        <v>4010</v>
      </c>
      <c r="O232" s="570" t="n">
        <v>3950</v>
      </c>
      <c r="P232" s="570" t="n">
        <v>3920</v>
      </c>
      <c r="Q232" s="570" t="n">
        <v>3885</v>
      </c>
      <c r="R232" s="570" t="n">
        <v>3900</v>
      </c>
      <c r="S232" s="570" t="n">
        <v>3960</v>
      </c>
      <c r="T232" s="570" t="n">
        <v>3940</v>
      </c>
      <c r="U232" s="570" t="n">
        <v>3965</v>
      </c>
      <c r="V232" s="570" t="n">
        <v>3980</v>
      </c>
      <c r="W232" s="570" t="n">
        <v>4025</v>
      </c>
      <c r="X232" s="570" t="n">
        <v>3980</v>
      </c>
      <c r="Y232" s="570" t="n">
        <v>3965</v>
      </c>
      <c r="Z232" s="570" t="n">
        <v>3935</v>
      </c>
      <c r="AA232" s="570" t="n">
        <v>3970</v>
      </c>
      <c r="AB232" s="570" t="n">
        <v>4010</v>
      </c>
      <c r="AC232" s="570" t="n">
        <v>4030</v>
      </c>
      <c r="AD232" s="570" t="n">
        <v>4055</v>
      </c>
      <c r="AE232" s="570" t="n">
        <v>4055</v>
      </c>
      <c r="AF232" s="570" t="n">
        <v>4055</v>
      </c>
      <c r="AG232" s="570" t="n">
        <v>4030</v>
      </c>
      <c r="AH232" s="570" t="n">
        <v>4010</v>
      </c>
      <c r="AI232" s="570" t="n">
        <v>4090</v>
      </c>
      <c r="AJ232" s="570" t="n">
        <v>4195</v>
      </c>
      <c r="AK232" s="570" t="n">
        <v>4195</v>
      </c>
      <c r="AL232" s="570" t="n">
        <v>4280</v>
      </c>
      <c r="AM232" s="570" t="n">
        <v>4210</v>
      </c>
      <c r="AN232" s="570" t="n">
        <v>4215</v>
      </c>
      <c r="AO232" s="570" t="n">
        <v>4270</v>
      </c>
      <c r="AP232" s="570" t="n">
        <v>4315</v>
      </c>
      <c r="AQ232" s="570" t="n">
        <v>4260</v>
      </c>
      <c r="AR232" s="570" t="n">
        <v>4240</v>
      </c>
      <c r="AS232" s="570" t="n">
        <v>4280</v>
      </c>
      <c r="AT232" s="570" t="n">
        <v>4245</v>
      </c>
      <c r="AU232" s="570" t="n">
        <v>4170</v>
      </c>
      <c r="AV232" s="570" t="n">
        <v>4170</v>
      </c>
      <c r="AW232" s="570" t="n">
        <v>4245</v>
      </c>
      <c r="AX232" s="570" t="n">
        <v>4265</v>
      </c>
      <c r="AY232" s="570" t="n">
        <v>4230</v>
      </c>
      <c r="AZ232" s="570" t="n">
        <v>4175</v>
      </c>
      <c r="BA232" s="570" t="n">
        <v>4150</v>
      </c>
      <c r="BB232" s="570" t="n">
        <v>4145</v>
      </c>
      <c r="BC232" s="570" t="n">
        <v>4135</v>
      </c>
      <c r="BD232" s="570" t="n">
        <v>4115</v>
      </c>
      <c r="BE232" s="570" t="n">
        <v>4035</v>
      </c>
      <c r="BF232" s="570" t="n">
        <v>3960</v>
      </c>
      <c r="BG232" s="570" t="n">
        <v>4165</v>
      </c>
      <c r="BH232" s="570" t="n">
        <v>4175</v>
      </c>
      <c r="BI232" s="570" t="n">
        <v>4150</v>
      </c>
      <c r="BJ232" s="570" t="n">
        <v>4095</v>
      </c>
      <c r="BK232" s="570" t="n">
        <v>4055</v>
      </c>
      <c r="BL232" s="570" t="n">
        <v>4130</v>
      </c>
    </row>
    <row r="233">
      <c r="A233" s="77" t="inlineStr">
        <is>
          <t>9962</t>
        </is>
      </c>
      <c r="B233" s="570">
        <f>銘柄管理!C233</f>
        <v/>
      </c>
      <c r="C233" s="570">
        <f>_xll.RssMarket("9962","始値")</f>
        <v/>
      </c>
      <c r="E233" s="570" t="n">
        <v>3857</v>
      </c>
      <c r="F233" s="570" t="n">
        <v>3954</v>
      </c>
      <c r="G233" s="570" t="n">
        <v>3892</v>
      </c>
      <c r="H233" s="570" t="n">
        <v>3883</v>
      </c>
      <c r="I233" s="570" t="n">
        <v>3812</v>
      </c>
      <c r="J233" s="570" t="n">
        <v>3835</v>
      </c>
      <c r="K233" s="570" t="n">
        <v>3720</v>
      </c>
      <c r="L233" s="570" t="n">
        <v>3568</v>
      </c>
      <c r="M233" s="570" t="n">
        <v>3559</v>
      </c>
      <c r="N233" s="570" t="n">
        <v>3574</v>
      </c>
      <c r="O233" s="570" t="n">
        <v>3762</v>
      </c>
      <c r="P233" s="570" t="n">
        <v>3761</v>
      </c>
      <c r="Q233" s="570" t="n">
        <v>3760</v>
      </c>
      <c r="R233" s="570" t="n">
        <v>3617</v>
      </c>
      <c r="S233" s="570" t="n">
        <v>3705</v>
      </c>
      <c r="T233" s="570" t="n">
        <v>3526</v>
      </c>
      <c r="U233" s="570" t="n">
        <v>3597</v>
      </c>
      <c r="V233" s="570" t="n">
        <v>3446</v>
      </c>
      <c r="W233" s="570" t="n">
        <v>3454</v>
      </c>
      <c r="X233" s="570" t="n">
        <v>3199</v>
      </c>
      <c r="Y233" s="570" t="n">
        <v>3087</v>
      </c>
      <c r="Z233" s="570" t="n">
        <v>3166</v>
      </c>
      <c r="AA233" s="570" t="n">
        <v>3184</v>
      </c>
      <c r="AB233" s="570" t="n">
        <v>3326</v>
      </c>
      <c r="AC233" s="570" t="n">
        <v>3359</v>
      </c>
      <c r="AD233" s="570" t="n">
        <v>3319</v>
      </c>
      <c r="AE233" s="570" t="n">
        <v>3470</v>
      </c>
      <c r="AF233" s="570" t="n">
        <v>3466</v>
      </c>
      <c r="AG233" s="570" t="n">
        <v>3406</v>
      </c>
      <c r="AH233" s="570" t="n">
        <v>3498</v>
      </c>
      <c r="AI233" s="570" t="n">
        <v>3309</v>
      </c>
      <c r="AJ233" s="570" t="n">
        <v>3393</v>
      </c>
      <c r="AK233" s="570" t="n">
        <v>3395</v>
      </c>
      <c r="AL233" s="570" t="n">
        <v>3065</v>
      </c>
      <c r="AM233" s="570" t="n">
        <v>3025</v>
      </c>
      <c r="AN233" s="570" t="n">
        <v>3060</v>
      </c>
      <c r="AO233" s="570" t="n">
        <v>3100</v>
      </c>
      <c r="AP233" s="570" t="n">
        <v>3150</v>
      </c>
      <c r="AQ233" s="570" t="n">
        <v>3086</v>
      </c>
      <c r="AR233" s="570" t="n">
        <v>3015</v>
      </c>
      <c r="AS233" s="570" t="n">
        <v>3034</v>
      </c>
      <c r="AT233" s="570" t="n">
        <v>2992</v>
      </c>
      <c r="AU233" s="570" t="n">
        <v>3032</v>
      </c>
      <c r="AV233" s="570" t="n">
        <v>2951.5</v>
      </c>
      <c r="AW233" s="570" t="n">
        <v>2998</v>
      </c>
      <c r="AX233" s="570" t="n">
        <v>2980.5</v>
      </c>
      <c r="AY233" s="570" t="n">
        <v>2957</v>
      </c>
      <c r="AZ233" s="570" t="n">
        <v>2791.5</v>
      </c>
      <c r="BA233" s="570" t="n">
        <v>2787</v>
      </c>
      <c r="BB233" s="570" t="n">
        <v>2744</v>
      </c>
      <c r="BC233" s="570" t="n">
        <v>2775</v>
      </c>
      <c r="BD233" s="570" t="n">
        <v>2741</v>
      </c>
      <c r="BE233" s="570" t="n">
        <v>2543</v>
      </c>
      <c r="BF233" s="570" t="n">
        <v>2605</v>
      </c>
      <c r="BG233" s="570" t="n">
        <v>2793.5</v>
      </c>
      <c r="BH233" s="570" t="n">
        <v>2831.5</v>
      </c>
      <c r="BI233" s="570" t="n">
        <v>2825.5</v>
      </c>
      <c r="BJ233" s="570" t="n">
        <v>2750.5</v>
      </c>
      <c r="BK233" s="570" t="n">
        <v>2736.5</v>
      </c>
      <c r="BL233" s="570" t="n">
        <v>2836.5</v>
      </c>
    </row>
    <row r="234">
      <c r="A234" s="77" t="inlineStr">
        <is>
          <t>6762</t>
        </is>
      </c>
      <c r="B234" s="570">
        <f>銘柄管理!C234</f>
        <v/>
      </c>
      <c r="C234" s="570">
        <f>_xll.RssMarket("6762","始値")</f>
        <v/>
      </c>
      <c r="E234" s="570" t="n">
        <v>3979</v>
      </c>
      <c r="F234" s="570" t="n">
        <v>3995</v>
      </c>
      <c r="G234" s="570" t="n">
        <v>3850</v>
      </c>
      <c r="H234" s="570" t="n">
        <v>3732</v>
      </c>
      <c r="I234" s="570" t="n">
        <v>3848</v>
      </c>
      <c r="J234" s="570" t="n">
        <v>3644</v>
      </c>
      <c r="K234" s="570" t="n">
        <v>3756</v>
      </c>
      <c r="L234" s="570" t="n">
        <v>3450</v>
      </c>
      <c r="M234" s="570" t="n">
        <v>3700</v>
      </c>
      <c r="N234" s="570" t="n">
        <v>3899</v>
      </c>
      <c r="O234" s="570" t="n">
        <v>3950</v>
      </c>
      <c r="P234" s="570" t="n">
        <v>3919</v>
      </c>
      <c r="Q234" s="570" t="n">
        <v>4083</v>
      </c>
      <c r="R234" s="570" t="n">
        <v>3999</v>
      </c>
      <c r="S234" s="570" t="n">
        <v>3590</v>
      </c>
      <c r="T234" s="570" t="n">
        <v>3750</v>
      </c>
      <c r="U234" s="570" t="n">
        <v>3580</v>
      </c>
      <c r="V234" s="570" t="n">
        <v>3137</v>
      </c>
      <c r="W234" s="570" t="n">
        <v>2993</v>
      </c>
      <c r="X234" s="570" t="n">
        <v>2885.5</v>
      </c>
      <c r="Y234" s="570" t="n">
        <v>3025</v>
      </c>
      <c r="Z234" s="570" t="n">
        <v>2988.5</v>
      </c>
      <c r="AA234" s="570" t="n">
        <v>3110</v>
      </c>
      <c r="AB234" s="570" t="n">
        <v>2979</v>
      </c>
      <c r="AC234" s="570" t="n">
        <v>2911</v>
      </c>
      <c r="AD234" s="570" t="n">
        <v>2936</v>
      </c>
      <c r="AE234" s="570" t="n">
        <v>2990</v>
      </c>
      <c r="AF234" s="570" t="n">
        <v>2930</v>
      </c>
      <c r="AG234" s="570" t="n">
        <v>2920</v>
      </c>
      <c r="AH234" s="570" t="n">
        <v>2886</v>
      </c>
      <c r="AI234" s="570" t="n">
        <v>2927</v>
      </c>
      <c r="AJ234" s="570" t="n">
        <v>2740</v>
      </c>
      <c r="AK234" s="570" t="n">
        <v>2767.5</v>
      </c>
      <c r="AL234" s="570" t="n">
        <v>2700.5</v>
      </c>
      <c r="AM234" s="570" t="n">
        <v>2750</v>
      </c>
      <c r="AN234" s="570" t="n">
        <v>2548.5</v>
      </c>
      <c r="AO234" s="570" t="n">
        <v>2536</v>
      </c>
      <c r="AP234" s="570" t="n">
        <v>2600</v>
      </c>
      <c r="AQ234" s="570" t="n">
        <v>2527.5</v>
      </c>
      <c r="AR234" s="570" t="n">
        <v>2280</v>
      </c>
      <c r="AS234" s="570" t="n">
        <v>2300.5</v>
      </c>
      <c r="AT234" s="570" t="n">
        <v>2310</v>
      </c>
      <c r="AU234" s="570" t="n">
        <v>2266</v>
      </c>
      <c r="AV234" s="570" t="n">
        <v>2249</v>
      </c>
      <c r="AW234" s="570" t="n">
        <v>2200</v>
      </c>
      <c r="AX234" s="570" t="n">
        <v>2200</v>
      </c>
      <c r="AY234" s="570" t="n">
        <v>2019</v>
      </c>
      <c r="AZ234" s="570" t="n">
        <v>2015</v>
      </c>
      <c r="BA234" s="570" t="n">
        <v>1981</v>
      </c>
      <c r="BB234" s="570" t="n">
        <v>2082</v>
      </c>
      <c r="BC234" s="570" t="n">
        <v>2040</v>
      </c>
      <c r="BD234" s="570" t="n">
        <v>1955</v>
      </c>
      <c r="BE234" s="570" t="n">
        <v>1952.5</v>
      </c>
      <c r="BF234" s="570" t="n">
        <v>2062.5</v>
      </c>
      <c r="BG234" s="570" t="n">
        <v>2089</v>
      </c>
      <c r="BH234" s="570" t="n">
        <v>2108</v>
      </c>
      <c r="BI234" s="570" t="n">
        <v>2097.5</v>
      </c>
      <c r="BJ234" s="570" t="n">
        <v>1977.5</v>
      </c>
      <c r="BK234" s="570" t="n">
        <v>2092</v>
      </c>
      <c r="BL234" s="570" t="n">
        <v>2200</v>
      </c>
    </row>
    <row r="235">
      <c r="A235" s="77" t="inlineStr">
        <is>
          <t>4392</t>
        </is>
      </c>
      <c r="B235" s="570">
        <f>銘柄管理!C235</f>
        <v/>
      </c>
      <c r="C235" s="570">
        <f>_xll.RssMarket("4392","始値")</f>
        <v/>
      </c>
      <c r="E235" s="570" t="n">
        <v>1173</v>
      </c>
      <c r="F235" s="570" t="n">
        <v>1290</v>
      </c>
      <c r="G235" s="570" t="n">
        <v>1252</v>
      </c>
      <c r="H235" s="570" t="n">
        <v>1230</v>
      </c>
      <c r="I235" s="570" t="n">
        <v>1299</v>
      </c>
      <c r="J235" s="570" t="n">
        <v>1376</v>
      </c>
      <c r="K235" s="570" t="n">
        <v>1532</v>
      </c>
      <c r="L235" s="570" t="n">
        <v>1588</v>
      </c>
      <c r="M235" s="570" t="n">
        <v>1482</v>
      </c>
      <c r="N235" s="570" t="n">
        <v>1252</v>
      </c>
      <c r="O235" s="570" t="n">
        <v>1301</v>
      </c>
      <c r="P235" s="570" t="n">
        <v>1555</v>
      </c>
      <c r="Q235" s="570" t="n">
        <v>1632</v>
      </c>
      <c r="R235" s="570" t="n">
        <v>1845</v>
      </c>
      <c r="S235" s="570" t="n">
        <v>2189</v>
      </c>
      <c r="T235" s="570" t="n">
        <v>2064</v>
      </c>
      <c r="U235" s="570" t="n">
        <v>2800</v>
      </c>
      <c r="V235" s="570" t="n">
        <v>1985</v>
      </c>
      <c r="W235" s="570" t="n">
        <v>1969</v>
      </c>
      <c r="X235" s="570" t="n">
        <v>1821</v>
      </c>
      <c r="Y235" s="570" t="n">
        <v>1300</v>
      </c>
      <c r="Z235" s="570" t="n">
        <v>1360</v>
      </c>
      <c r="AA235" s="570" t="n">
        <v>1060</v>
      </c>
      <c r="AB235" s="570" t="n">
        <v>910</v>
      </c>
      <c r="AC235" s="570" t="n">
        <v>769</v>
      </c>
      <c r="AD235" s="570" t="n">
        <v>780</v>
      </c>
      <c r="AE235" s="570" t="n">
        <v>859</v>
      </c>
      <c r="AF235" s="570" t="n">
        <v>509</v>
      </c>
      <c r="AG235" s="570" t="n">
        <v>429</v>
      </c>
      <c r="AH235" s="570" t="n">
        <v>350</v>
      </c>
      <c r="AI235" s="570" t="n">
        <v>345</v>
      </c>
      <c r="AJ235" s="570" t="n">
        <v>350</v>
      </c>
      <c r="AK235" s="570" t="n">
        <v>359</v>
      </c>
      <c r="AL235" s="570" t="n">
        <v>356</v>
      </c>
      <c r="AM235" s="570" t="n">
        <v>348</v>
      </c>
      <c r="AN235" s="570" t="n">
        <v>352</v>
      </c>
      <c r="AO235" s="570" t="n">
        <v>347</v>
      </c>
      <c r="AP235" s="570" t="n">
        <v>349</v>
      </c>
      <c r="AQ235" s="570" t="n">
        <v>328</v>
      </c>
      <c r="AR235" s="570" t="n">
        <v>327</v>
      </c>
      <c r="AS235" s="570" t="n">
        <v>326</v>
      </c>
      <c r="AT235" s="570" t="n">
        <v>324</v>
      </c>
      <c r="AU235" s="570" t="n">
        <v>323</v>
      </c>
      <c r="AV235" s="570" t="n">
        <v>323</v>
      </c>
      <c r="AW235" s="570" t="n">
        <v>326</v>
      </c>
      <c r="AX235" s="570" t="n">
        <v>332</v>
      </c>
      <c r="AY235" s="570" t="n">
        <v>329</v>
      </c>
      <c r="AZ235" s="570" t="n">
        <v>325</v>
      </c>
      <c r="BA235" s="570" t="n">
        <v>323</v>
      </c>
      <c r="BB235" s="570" t="n">
        <v>317</v>
      </c>
      <c r="BC235" s="570" t="n">
        <v>322</v>
      </c>
      <c r="BD235" s="570" t="n">
        <v>316</v>
      </c>
      <c r="BE235" s="570" t="n">
        <v>310</v>
      </c>
      <c r="BF235" s="570" t="n">
        <v>311</v>
      </c>
      <c r="BG235" s="570" t="n">
        <v>320</v>
      </c>
      <c r="BH235" s="570" t="n">
        <v>330</v>
      </c>
      <c r="BI235" s="570" t="n">
        <v>315</v>
      </c>
      <c r="BJ235" s="570" t="n">
        <v>309</v>
      </c>
      <c r="BK235" s="570" t="n">
        <v>303</v>
      </c>
      <c r="BL235" s="570" t="n">
        <v>320</v>
      </c>
    </row>
    <row r="236">
      <c r="A236" s="77" t="inlineStr">
        <is>
          <t>8005</t>
        </is>
      </c>
      <c r="B236" s="570">
        <f>銘柄管理!C236</f>
        <v/>
      </c>
      <c r="C236" s="570">
        <f>_xll.RssMarket("8005","始値")</f>
        <v/>
      </c>
      <c r="E236" s="570" t="n">
        <v>1626</v>
      </c>
      <c r="F236" s="570" t="n">
        <v>1650</v>
      </c>
      <c r="G236" s="570" t="n">
        <v>1631</v>
      </c>
      <c r="H236" s="570" t="n">
        <v>1640</v>
      </c>
      <c r="I236" s="570" t="n">
        <v>1624</v>
      </c>
      <c r="J236" s="570" t="n">
        <v>1620</v>
      </c>
      <c r="K236" s="570" t="n">
        <v>1625</v>
      </c>
      <c r="L236" s="570" t="n">
        <v>1628</v>
      </c>
      <c r="M236" s="570" t="n">
        <v>1612</v>
      </c>
      <c r="N236" s="570" t="n">
        <v>1621</v>
      </c>
      <c r="O236" s="570" t="n">
        <v>1628</v>
      </c>
      <c r="P236" s="570" t="n">
        <v>1634</v>
      </c>
      <c r="Q236" s="570" t="n">
        <v>1638</v>
      </c>
      <c r="R236" s="570" t="n">
        <v>1672</v>
      </c>
      <c r="S236" s="570" t="n">
        <v>1630</v>
      </c>
      <c r="T236" s="570" t="n">
        <v>1635</v>
      </c>
      <c r="U236" s="570" t="n">
        <v>1640</v>
      </c>
      <c r="V236" s="570" t="n">
        <v>1638</v>
      </c>
      <c r="W236" s="570" t="n">
        <v>1651</v>
      </c>
      <c r="X236" s="570" t="n">
        <v>1669</v>
      </c>
      <c r="Y236" s="570" t="n">
        <v>1660</v>
      </c>
      <c r="Z236" s="570" t="n">
        <v>1655</v>
      </c>
      <c r="AA236" s="570" t="n">
        <v>1612</v>
      </c>
      <c r="AB236" s="570" t="n">
        <v>1649</v>
      </c>
      <c r="AC236" s="570" t="n">
        <v>1633</v>
      </c>
      <c r="AD236" s="570" t="n">
        <v>1656</v>
      </c>
      <c r="AE236" s="570" t="n">
        <v>1705</v>
      </c>
      <c r="AF236" s="570" t="n">
        <v>1757</v>
      </c>
      <c r="AG236" s="570" t="n">
        <v>1597</v>
      </c>
      <c r="AH236" s="570" t="n">
        <v>1324</v>
      </c>
      <c r="AI236" s="570" t="n">
        <v>1320</v>
      </c>
      <c r="AJ236" s="570" t="n">
        <v>1323</v>
      </c>
      <c r="AK236" s="570" t="n">
        <v>1310</v>
      </c>
      <c r="AL236" s="570" t="n">
        <v>1320</v>
      </c>
      <c r="AM236" s="570" t="n">
        <v>1320</v>
      </c>
      <c r="AN236" s="570" t="n">
        <v>1320</v>
      </c>
      <c r="AO236" s="570" t="n">
        <v>1345</v>
      </c>
      <c r="AP236" s="570" t="n">
        <v>1359</v>
      </c>
      <c r="AQ236" s="570" t="n">
        <v>1352</v>
      </c>
      <c r="AR236" s="570" t="n">
        <v>1355</v>
      </c>
      <c r="AS236" s="570" t="n">
        <v>1348</v>
      </c>
      <c r="AT236" s="570" t="n">
        <v>1331</v>
      </c>
      <c r="AU236" s="570" t="n">
        <v>1315</v>
      </c>
      <c r="AV236" s="570" t="n">
        <v>1328</v>
      </c>
      <c r="AW236" s="570" t="n">
        <v>1346</v>
      </c>
      <c r="AX236" s="570" t="n">
        <v>1361</v>
      </c>
      <c r="AY236" s="570" t="n">
        <v>1360</v>
      </c>
      <c r="AZ236" s="570" t="n">
        <v>1349</v>
      </c>
      <c r="BA236" s="570" t="n">
        <v>1337</v>
      </c>
      <c r="BB236" s="570" t="n">
        <v>1337</v>
      </c>
      <c r="BC236" s="570" t="n">
        <v>1343</v>
      </c>
      <c r="BD236" s="570" t="n">
        <v>1340</v>
      </c>
      <c r="BE236" s="570" t="n">
        <v>1300</v>
      </c>
      <c r="BF236" s="570" t="n">
        <v>1247</v>
      </c>
      <c r="BG236" s="570" t="n">
        <v>1337</v>
      </c>
      <c r="BH236" s="570" t="n">
        <v>1332</v>
      </c>
      <c r="BI236" s="570" t="n">
        <v>1338</v>
      </c>
      <c r="BJ236" s="570" t="n">
        <v>1310</v>
      </c>
      <c r="BK236" s="570" t="n">
        <v>1300</v>
      </c>
      <c r="BL236" s="570" t="n">
        <v>1330</v>
      </c>
    </row>
    <row r="237">
      <c r="A237" s="77" t="inlineStr">
        <is>
          <t>2326</t>
        </is>
      </c>
      <c r="B237" s="570">
        <f>銘柄管理!C237</f>
        <v/>
      </c>
      <c r="C237" s="570">
        <f>_xll.RssMarket("2326","始値")</f>
        <v/>
      </c>
      <c r="E237" s="570" t="n">
        <v>3545</v>
      </c>
      <c r="F237" s="570" t="n">
        <v>3600</v>
      </c>
      <c r="G237" s="570" t="n">
        <v>3595</v>
      </c>
      <c r="H237" s="570" t="n">
        <v>3615</v>
      </c>
      <c r="I237" s="570" t="n">
        <v>3540</v>
      </c>
      <c r="J237" s="570" t="n">
        <v>3570</v>
      </c>
      <c r="K237" s="570" t="n">
        <v>3610</v>
      </c>
      <c r="L237" s="570" t="n">
        <v>3625</v>
      </c>
      <c r="M237" s="570" t="n">
        <v>3690</v>
      </c>
      <c r="N237" s="570" t="n">
        <v>3760</v>
      </c>
      <c r="O237" s="570" t="n">
        <v>3740</v>
      </c>
      <c r="P237" s="570" t="n">
        <v>3625</v>
      </c>
      <c r="Q237" s="570" t="n">
        <v>3735</v>
      </c>
      <c r="R237" s="570" t="n">
        <v>3800</v>
      </c>
      <c r="S237" s="570" t="n">
        <v>4040</v>
      </c>
      <c r="T237" s="570" t="n">
        <v>4050</v>
      </c>
      <c r="U237" s="570" t="n">
        <v>4110</v>
      </c>
      <c r="V237" s="570" t="n">
        <v>4180</v>
      </c>
      <c r="W237" s="570" t="n">
        <v>4100</v>
      </c>
      <c r="X237" s="570" t="n">
        <v>4125</v>
      </c>
      <c r="Y237" s="570" t="n">
        <v>4280</v>
      </c>
      <c r="Z237" s="570" t="n">
        <v>4290</v>
      </c>
      <c r="AA237" s="570" t="n">
        <v>4205</v>
      </c>
      <c r="AB237" s="570" t="n">
        <v>4055</v>
      </c>
      <c r="AC237" s="570" t="n">
        <v>4005</v>
      </c>
      <c r="AD237" s="570" t="n">
        <v>3955</v>
      </c>
      <c r="AE237" s="570" t="n">
        <v>4100</v>
      </c>
      <c r="AF237" s="570" t="n">
        <v>4310</v>
      </c>
      <c r="AG237" s="570" t="n">
        <v>4940</v>
      </c>
      <c r="AH237" s="570" t="n">
        <v>5790</v>
      </c>
      <c r="AI237" s="570" t="n">
        <v>5510</v>
      </c>
      <c r="AJ237" s="570" t="n">
        <v>5480</v>
      </c>
      <c r="AK237" s="570" t="n">
        <v>5460</v>
      </c>
      <c r="AL237" s="570" t="n">
        <v>5500</v>
      </c>
      <c r="AM237" s="570" t="n">
        <v>5590</v>
      </c>
      <c r="AN237" s="570" t="n">
        <v>6010</v>
      </c>
      <c r="AO237" s="570" t="n">
        <v>5980</v>
      </c>
      <c r="AP237" s="570" t="n">
        <v>5900</v>
      </c>
      <c r="AQ237" s="570" t="n">
        <v>5840</v>
      </c>
      <c r="AR237" s="570" t="n">
        <v>5780</v>
      </c>
      <c r="AS237" s="570" t="n">
        <v>5740</v>
      </c>
      <c r="AT237" s="570" t="n">
        <v>5580</v>
      </c>
      <c r="AU237" s="570" t="n">
        <v>5550</v>
      </c>
      <c r="AV237" s="570" t="n">
        <v>5360</v>
      </c>
      <c r="AW237" s="570" t="n">
        <v>5340</v>
      </c>
      <c r="AX237" s="570" t="n">
        <v>5510</v>
      </c>
      <c r="AY237" s="570" t="n">
        <v>5530</v>
      </c>
      <c r="AZ237" s="570" t="n">
        <v>5430</v>
      </c>
      <c r="BA237" s="570" t="n">
        <v>5340</v>
      </c>
      <c r="BB237" s="570" t="n">
        <v>5310</v>
      </c>
      <c r="BC237" s="570" t="n">
        <v>5380</v>
      </c>
      <c r="BD237" s="570" t="n">
        <v>5260</v>
      </c>
      <c r="BE237" s="570" t="n">
        <v>5190</v>
      </c>
      <c r="BF237" s="570" t="n">
        <v>4910</v>
      </c>
      <c r="BG237" s="570" t="n">
        <v>5080</v>
      </c>
      <c r="BH237" s="570" t="n">
        <v>5060</v>
      </c>
      <c r="BI237" s="570" t="n">
        <v>4950</v>
      </c>
      <c r="BJ237" s="570" t="n">
        <v>4935</v>
      </c>
      <c r="BK237" s="570" t="n">
        <v>4950</v>
      </c>
      <c r="BL237" s="570" t="n">
        <v>5110</v>
      </c>
    </row>
    <row r="238">
      <c r="A238" s="77" t="inlineStr">
        <is>
          <t>6809</t>
        </is>
      </c>
      <c r="B238" s="570">
        <f>銘柄管理!C238</f>
        <v/>
      </c>
      <c r="C238" s="570">
        <f>_xll.RssMarket("6809","始値")</f>
        <v/>
      </c>
      <c r="E238" s="570" t="n">
        <v>1555</v>
      </c>
      <c r="F238" s="570" t="n">
        <v>1570</v>
      </c>
      <c r="G238" s="570" t="n">
        <v>1569</v>
      </c>
      <c r="H238" s="570" t="n">
        <v>1565</v>
      </c>
      <c r="I238" s="570" t="n">
        <v>1560</v>
      </c>
      <c r="J238" s="570" t="n">
        <v>1577</v>
      </c>
      <c r="K238" s="570" t="n">
        <v>1560</v>
      </c>
      <c r="L238" s="570" t="n">
        <v>1562</v>
      </c>
      <c r="M238" s="570" t="n">
        <v>1572</v>
      </c>
      <c r="N238" s="570" t="n">
        <v>1543</v>
      </c>
      <c r="O238" s="570" t="n">
        <v>1550</v>
      </c>
      <c r="P238" s="570" t="n">
        <v>1536</v>
      </c>
      <c r="Q238" s="570" t="n">
        <v>1554</v>
      </c>
      <c r="R238" s="570" t="n">
        <v>1540</v>
      </c>
      <c r="S238" s="570" t="n">
        <v>1542</v>
      </c>
      <c r="T238" s="570" t="n">
        <v>1526</v>
      </c>
      <c r="U238" s="570" t="n">
        <v>1560</v>
      </c>
      <c r="V238" s="570" t="n">
        <v>1582</v>
      </c>
      <c r="W238" s="570" t="n">
        <v>1547</v>
      </c>
      <c r="X238" s="570" t="n">
        <v>1533</v>
      </c>
      <c r="Y238" s="570" t="n">
        <v>1601</v>
      </c>
      <c r="Z238" s="570" t="n">
        <v>1580</v>
      </c>
      <c r="AA238" s="570" t="n">
        <v>1598</v>
      </c>
      <c r="AB238" s="570" t="n">
        <v>1586</v>
      </c>
      <c r="AC238" s="570" t="n">
        <v>1569</v>
      </c>
      <c r="AD238" s="570" t="n">
        <v>1562</v>
      </c>
      <c r="AE238" s="570" t="n">
        <v>1570</v>
      </c>
      <c r="AF238" s="570" t="n">
        <v>1580</v>
      </c>
      <c r="AG238" s="570" t="n">
        <v>1604</v>
      </c>
      <c r="AH238" s="570" t="n">
        <v>1775</v>
      </c>
      <c r="AI238" s="570" t="n">
        <v>1730</v>
      </c>
      <c r="AJ238" s="570" t="n">
        <v>1726</v>
      </c>
      <c r="AK238" s="570" t="n">
        <v>1700</v>
      </c>
      <c r="AL238" s="570" t="n">
        <v>1720</v>
      </c>
      <c r="AM238" s="570" t="n">
        <v>1757</v>
      </c>
      <c r="AN238" s="570" t="n">
        <v>1750</v>
      </c>
      <c r="AO238" s="570" t="n">
        <v>1786</v>
      </c>
      <c r="AP238" s="570" t="n">
        <v>1773</v>
      </c>
      <c r="AQ238" s="570" t="n">
        <v>1800</v>
      </c>
      <c r="AR238" s="570" t="n">
        <v>1784</v>
      </c>
      <c r="AS238" s="570" t="n">
        <v>1780</v>
      </c>
      <c r="AT238" s="570" t="n">
        <v>1792</v>
      </c>
      <c r="AU238" s="570" t="n">
        <v>1800</v>
      </c>
      <c r="AV238" s="570" t="n">
        <v>1800</v>
      </c>
      <c r="AW238" s="570" t="n">
        <v>1821</v>
      </c>
      <c r="AX238" s="570" t="n">
        <v>1849</v>
      </c>
      <c r="AY238" s="570" t="n">
        <v>1840</v>
      </c>
      <c r="AZ238" s="570" t="n">
        <v>1803</v>
      </c>
      <c r="BA238" s="570" t="n">
        <v>1772</v>
      </c>
      <c r="BB238" s="570" t="n">
        <v>1809</v>
      </c>
      <c r="BC238" s="570" t="n">
        <v>1803</v>
      </c>
      <c r="BD238" s="570" t="n">
        <v>1791</v>
      </c>
      <c r="BE238" s="570" t="n">
        <v>1778</v>
      </c>
      <c r="BF238" s="570" t="n">
        <v>1779</v>
      </c>
      <c r="BG238" s="570" t="n">
        <v>1873</v>
      </c>
      <c r="BH238" s="570" t="n">
        <v>1898</v>
      </c>
      <c r="BI238" s="570" t="n">
        <v>1854</v>
      </c>
      <c r="BJ238" s="570" t="n">
        <v>1813</v>
      </c>
      <c r="BK238" s="570" t="n">
        <v>1801</v>
      </c>
      <c r="BL238" s="570" t="n">
        <v>1834</v>
      </c>
    </row>
    <row r="239">
      <c r="A239" s="77" t="inlineStr">
        <is>
          <t>3984</t>
        </is>
      </c>
      <c r="B239" s="570">
        <f>銘柄管理!C239</f>
        <v/>
      </c>
      <c r="C239" s="570">
        <f>_xll.RssMarket("3984","始値")</f>
        <v/>
      </c>
      <c r="E239" s="570" t="n">
        <v>1736</v>
      </c>
      <c r="F239" s="570" t="n">
        <v>1810</v>
      </c>
      <c r="G239" s="570" t="n">
        <v>1815</v>
      </c>
      <c r="H239" s="570" t="n">
        <v>1775</v>
      </c>
      <c r="I239" s="570" t="n">
        <v>1785</v>
      </c>
      <c r="J239" s="570" t="n">
        <v>1793</v>
      </c>
      <c r="K239" s="570" t="n">
        <v>1840</v>
      </c>
      <c r="L239" s="570" t="n">
        <v>1781</v>
      </c>
      <c r="M239" s="570" t="n">
        <v>1815</v>
      </c>
      <c r="N239" s="570" t="n">
        <v>1850</v>
      </c>
      <c r="O239" s="570" t="n">
        <v>1836</v>
      </c>
      <c r="P239" s="570" t="n">
        <v>1808</v>
      </c>
      <c r="Q239" s="570" t="n">
        <v>1793</v>
      </c>
      <c r="R239" s="570" t="n">
        <v>1826</v>
      </c>
      <c r="S239" s="570" t="n">
        <v>1705</v>
      </c>
      <c r="T239" s="570" t="n">
        <v>1706</v>
      </c>
      <c r="U239" s="570" t="n">
        <v>1710</v>
      </c>
      <c r="V239" s="570" t="n">
        <v>1797</v>
      </c>
      <c r="W239" s="570" t="n">
        <v>1760</v>
      </c>
      <c r="X239" s="570" t="n">
        <v>1773</v>
      </c>
      <c r="Y239" s="570" t="n">
        <v>1767</v>
      </c>
      <c r="Z239" s="570" t="n">
        <v>1723</v>
      </c>
      <c r="AA239" s="570" t="n">
        <v>1717</v>
      </c>
      <c r="AB239" s="570" t="n">
        <v>1710</v>
      </c>
      <c r="AC239" s="570" t="n">
        <v>1745</v>
      </c>
      <c r="AD239" s="570" t="n">
        <v>1726</v>
      </c>
      <c r="AE239" s="570" t="n">
        <v>1796</v>
      </c>
      <c r="AF239" s="570" t="n">
        <v>1814</v>
      </c>
      <c r="AG239" s="570" t="n">
        <v>1736</v>
      </c>
      <c r="AH239" s="570" t="n">
        <v>1600</v>
      </c>
      <c r="AI239" s="570" t="n">
        <v>1540</v>
      </c>
      <c r="AJ239" s="570" t="n">
        <v>1559</v>
      </c>
      <c r="AK239" s="570" t="n">
        <v>1550</v>
      </c>
      <c r="AL239" s="570" t="n">
        <v>1571</v>
      </c>
      <c r="AM239" s="570" t="n">
        <v>1555</v>
      </c>
      <c r="AN239" s="570" t="n">
        <v>1595</v>
      </c>
      <c r="AO239" s="570" t="n">
        <v>1593</v>
      </c>
      <c r="AP239" s="570" t="n">
        <v>1585</v>
      </c>
      <c r="AQ239" s="570" t="n">
        <v>1574</v>
      </c>
      <c r="AR239" s="570" t="n">
        <v>1577</v>
      </c>
      <c r="AS239" s="570" t="n">
        <v>1578</v>
      </c>
      <c r="AT239" s="570" t="n">
        <v>1498</v>
      </c>
      <c r="AU239" s="570" t="n">
        <v>1452</v>
      </c>
      <c r="AV239" s="570" t="n">
        <v>1433</v>
      </c>
      <c r="AW239" s="570" t="n">
        <v>1490</v>
      </c>
      <c r="AX239" s="570" t="n">
        <v>1522</v>
      </c>
      <c r="AY239" s="570" t="n">
        <v>1500</v>
      </c>
      <c r="AZ239" s="570" t="n">
        <v>1464</v>
      </c>
      <c r="BA239" s="570" t="n">
        <v>1459</v>
      </c>
      <c r="BB239" s="570" t="n">
        <v>1465</v>
      </c>
      <c r="BC239" s="570" t="n">
        <v>1483</v>
      </c>
      <c r="BD239" s="570" t="n">
        <v>1437</v>
      </c>
      <c r="BE239" s="570" t="n">
        <v>1386</v>
      </c>
      <c r="BF239" s="570" t="n">
        <v>1380</v>
      </c>
      <c r="BG239" s="570" t="n">
        <v>1420</v>
      </c>
      <c r="BH239" s="570" t="n">
        <v>1480</v>
      </c>
      <c r="BI239" s="570" t="n">
        <v>1466</v>
      </c>
      <c r="BJ239" s="570" t="n">
        <v>1462</v>
      </c>
      <c r="BK239" s="570" t="n">
        <v>1443</v>
      </c>
      <c r="BL239" s="570" t="n">
        <v>1516</v>
      </c>
    </row>
    <row r="240">
      <c r="A240" s="77" t="inlineStr">
        <is>
          <t>7609</t>
        </is>
      </c>
      <c r="B240" s="570">
        <f>銘柄管理!C240</f>
        <v/>
      </c>
      <c r="C240" s="570">
        <f>_xll.RssMarket("7609","始値")</f>
        <v/>
      </c>
      <c r="E240" s="570" t="n">
        <v>3925</v>
      </c>
      <c r="F240" s="570" t="n">
        <v>3860</v>
      </c>
      <c r="G240" s="570" t="n">
        <v>3775</v>
      </c>
      <c r="H240" s="570" t="n">
        <v>3525</v>
      </c>
      <c r="I240" s="570" t="n">
        <v>3630</v>
      </c>
      <c r="J240" s="570" t="n">
        <v>3605</v>
      </c>
      <c r="K240" s="570" t="n">
        <v>3490</v>
      </c>
      <c r="L240" s="570" t="n">
        <v>3350</v>
      </c>
      <c r="M240" s="570" t="n">
        <v>3525</v>
      </c>
      <c r="N240" s="570" t="n">
        <v>3565</v>
      </c>
      <c r="O240" s="570" t="n">
        <v>3735</v>
      </c>
      <c r="P240" s="570" t="n">
        <v>3635</v>
      </c>
      <c r="Q240" s="570" t="n">
        <v>3640</v>
      </c>
      <c r="R240" s="570" t="n">
        <v>3495</v>
      </c>
      <c r="S240" s="570" t="n">
        <v>3610</v>
      </c>
      <c r="T240" s="570" t="n">
        <v>3480</v>
      </c>
      <c r="U240" s="570" t="n">
        <v>3665</v>
      </c>
      <c r="V240" s="570" t="n">
        <v>3620</v>
      </c>
      <c r="W240" s="570" t="n">
        <v>3600</v>
      </c>
      <c r="X240" s="570" t="n">
        <v>3540</v>
      </c>
      <c r="Y240" s="570" t="n">
        <v>3535</v>
      </c>
      <c r="Z240" s="570" t="n">
        <v>3875</v>
      </c>
      <c r="AA240" s="570" t="n">
        <v>3840</v>
      </c>
      <c r="AB240" s="570" t="n">
        <v>4000</v>
      </c>
      <c r="AC240" s="570" t="n">
        <v>3920</v>
      </c>
      <c r="AD240" s="570" t="n">
        <v>3850</v>
      </c>
      <c r="AE240" s="570" t="n">
        <v>3935</v>
      </c>
      <c r="AF240" s="570" t="n">
        <v>3905</v>
      </c>
      <c r="AG240" s="570" t="n">
        <v>3850</v>
      </c>
      <c r="AH240" s="570" t="n">
        <v>3290</v>
      </c>
      <c r="AI240" s="570" t="n">
        <v>2944</v>
      </c>
      <c r="AJ240" s="570" t="n">
        <v>2870</v>
      </c>
      <c r="AK240" s="570" t="n">
        <v>2895</v>
      </c>
      <c r="AL240" s="570" t="n">
        <v>2891</v>
      </c>
      <c r="AM240" s="570" t="n">
        <v>2906</v>
      </c>
      <c r="AN240" s="570" t="n">
        <v>2827</v>
      </c>
      <c r="AO240" s="570" t="n">
        <v>2881</v>
      </c>
      <c r="AP240" s="570" t="n">
        <v>2877</v>
      </c>
      <c r="AQ240" s="570" t="n">
        <v>2861</v>
      </c>
      <c r="AR240" s="570" t="n">
        <v>2957</v>
      </c>
      <c r="AS240" s="570" t="n">
        <v>2885</v>
      </c>
      <c r="AT240" s="570" t="n">
        <v>2969</v>
      </c>
      <c r="AU240" s="570" t="n">
        <v>2832</v>
      </c>
      <c r="AV240" s="570" t="n">
        <v>2798</v>
      </c>
      <c r="AW240" s="570" t="n">
        <v>2791</v>
      </c>
      <c r="AX240" s="570" t="n">
        <v>2843</v>
      </c>
      <c r="AY240" s="570" t="n">
        <v>2812</v>
      </c>
      <c r="AZ240" s="570" t="n">
        <v>2714</v>
      </c>
      <c r="BA240" s="570" t="n">
        <v>2722</v>
      </c>
      <c r="BB240" s="570" t="n">
        <v>2743</v>
      </c>
      <c r="BC240" s="570" t="n">
        <v>2805</v>
      </c>
      <c r="BD240" s="570" t="n">
        <v>2737</v>
      </c>
      <c r="BE240" s="570" t="n">
        <v>2716</v>
      </c>
      <c r="BF240" s="570" t="n">
        <v>2728</v>
      </c>
      <c r="BG240" s="570" t="n">
        <v>2827</v>
      </c>
      <c r="BH240" s="570" t="n">
        <v>2841</v>
      </c>
      <c r="BI240" s="570" t="n">
        <v>2850</v>
      </c>
      <c r="BJ240" s="570" t="n">
        <v>2803</v>
      </c>
      <c r="BK240" s="570" t="n">
        <v>2778</v>
      </c>
      <c r="BL240" s="570" t="n">
        <v>2898</v>
      </c>
    </row>
    <row r="241">
      <c r="A241" s="77" t="inlineStr">
        <is>
          <t>7972</t>
        </is>
      </c>
      <c r="B241" s="570">
        <f>銘柄管理!C241</f>
        <v/>
      </c>
      <c r="C241" s="570">
        <f>_xll.RssMarket("7972","始値")</f>
        <v/>
      </c>
      <c r="E241" s="570" t="n">
        <v>2499</v>
      </c>
      <c r="F241" s="570" t="n">
        <v>2486</v>
      </c>
      <c r="G241" s="570" t="n">
        <v>2438</v>
      </c>
      <c r="H241" s="570" t="n">
        <v>2455</v>
      </c>
      <c r="I241" s="570" t="n">
        <v>2446</v>
      </c>
      <c r="J241" s="570" t="n">
        <v>2480</v>
      </c>
      <c r="K241" s="570" t="n">
        <v>2416</v>
      </c>
      <c r="L241" s="570" t="n">
        <v>2396</v>
      </c>
      <c r="M241" s="570" t="n">
        <v>2403</v>
      </c>
      <c r="N241" s="570" t="n">
        <v>2381</v>
      </c>
      <c r="O241" s="570" t="n">
        <v>2411</v>
      </c>
      <c r="P241" s="570" t="n">
        <v>2396</v>
      </c>
      <c r="Q241" s="570" t="n">
        <v>2405</v>
      </c>
      <c r="R241" s="570" t="n">
        <v>2480</v>
      </c>
      <c r="S241" s="570" t="n">
        <v>2619</v>
      </c>
      <c r="T241" s="570" t="n">
        <v>2699</v>
      </c>
      <c r="U241" s="570" t="n">
        <v>2700</v>
      </c>
      <c r="V241" s="570" t="n">
        <v>2624</v>
      </c>
      <c r="W241" s="570" t="n">
        <v>2611</v>
      </c>
      <c r="X241" s="570" t="n">
        <v>2699</v>
      </c>
      <c r="Y241" s="570" t="n">
        <v>2718</v>
      </c>
      <c r="Z241" s="570" t="n">
        <v>2737</v>
      </c>
      <c r="AA241" s="570" t="n">
        <v>2722</v>
      </c>
      <c r="AB241" s="570" t="n">
        <v>2789</v>
      </c>
      <c r="AC241" s="570" t="n">
        <v>2805</v>
      </c>
      <c r="AD241" s="570" t="n">
        <v>2799</v>
      </c>
      <c r="AE241" s="570" t="n">
        <v>2799</v>
      </c>
      <c r="AF241" s="570" t="n">
        <v>2894</v>
      </c>
      <c r="AG241" s="570" t="n">
        <v>2920</v>
      </c>
      <c r="AH241" s="570" t="n">
        <v>3225</v>
      </c>
      <c r="AI241" s="570" t="n">
        <v>3145</v>
      </c>
      <c r="AJ241" s="570" t="n">
        <v>3220</v>
      </c>
      <c r="AK241" s="570" t="n">
        <v>3215</v>
      </c>
      <c r="AL241" s="570" t="n">
        <v>3175</v>
      </c>
      <c r="AM241" s="570" t="n">
        <v>3195</v>
      </c>
      <c r="AN241" s="570" t="n">
        <v>3210</v>
      </c>
      <c r="AO241" s="570" t="n">
        <v>3295</v>
      </c>
      <c r="AP241" s="570" t="n">
        <v>3325</v>
      </c>
      <c r="AQ241" s="570" t="n">
        <v>3315</v>
      </c>
      <c r="AR241" s="570" t="n">
        <v>3335</v>
      </c>
      <c r="AS241" s="570" t="n">
        <v>3365</v>
      </c>
      <c r="AT241" s="570" t="n">
        <v>3590</v>
      </c>
      <c r="AU241" s="570" t="n">
        <v>3600</v>
      </c>
      <c r="AV241" s="570" t="n">
        <v>3505</v>
      </c>
      <c r="AW241" s="570" t="n">
        <v>3500</v>
      </c>
      <c r="AX241" s="570" t="n">
        <v>3480</v>
      </c>
      <c r="AY241" s="570" t="n">
        <v>3500</v>
      </c>
      <c r="AZ241" s="570" t="n">
        <v>3315</v>
      </c>
      <c r="BA241" s="570" t="n">
        <v>3305</v>
      </c>
      <c r="BB241" s="570" t="n">
        <v>3280</v>
      </c>
      <c r="BC241" s="570" t="n">
        <v>3285</v>
      </c>
      <c r="BD241" s="570" t="n">
        <v>3200</v>
      </c>
      <c r="BE241" s="570" t="n">
        <v>3025</v>
      </c>
      <c r="BF241" s="570" t="n">
        <v>3110</v>
      </c>
      <c r="BG241" s="570" t="n">
        <v>3255</v>
      </c>
      <c r="BH241" s="570" t="n">
        <v>3375</v>
      </c>
      <c r="BI241" s="570" t="n">
        <v>3370</v>
      </c>
      <c r="BJ241" s="570" t="n">
        <v>3300</v>
      </c>
      <c r="BK241" s="570" t="n">
        <v>3205</v>
      </c>
      <c r="BL241" s="570" t="n">
        <v>3380</v>
      </c>
    </row>
    <row r="242">
      <c r="A242" s="77" t="inlineStr">
        <is>
          <t>6521</t>
        </is>
      </c>
      <c r="B242" s="570">
        <f>銘柄管理!C242</f>
        <v/>
      </c>
      <c r="C242" s="570">
        <f>_xll.RssMarket("6521","始値")</f>
        <v/>
      </c>
      <c r="E242" s="570" t="n">
        <v>5000</v>
      </c>
      <c r="F242" s="570" t="n">
        <v>4845</v>
      </c>
      <c r="G242" s="570" t="n">
        <v>4790</v>
      </c>
      <c r="H242" s="570" t="n">
        <v>4555</v>
      </c>
      <c r="I242" s="570" t="n">
        <v>4505</v>
      </c>
      <c r="J242" s="570" t="n">
        <v>4600</v>
      </c>
      <c r="K242" s="570" t="n">
        <v>4570</v>
      </c>
      <c r="L242" s="570" t="n">
        <v>4360</v>
      </c>
      <c r="M242" s="570" t="n">
        <v>4695</v>
      </c>
      <c r="N242" s="570" t="n">
        <v>4720</v>
      </c>
      <c r="O242" s="570" t="n">
        <v>4870</v>
      </c>
      <c r="P242" s="570" t="n">
        <v>5000</v>
      </c>
      <c r="Q242" s="570" t="n">
        <v>5260</v>
      </c>
      <c r="R242" s="570" t="n">
        <v>5230</v>
      </c>
      <c r="S242" s="570" t="n">
        <v>5940</v>
      </c>
      <c r="T242" s="570" t="n">
        <v>5620</v>
      </c>
      <c r="U242" s="570" t="n">
        <v>5900</v>
      </c>
      <c r="V242" s="570" t="n">
        <v>6450</v>
      </c>
      <c r="W242" s="570" t="n">
        <v>5790</v>
      </c>
      <c r="X242" s="570" t="n">
        <v>5940</v>
      </c>
      <c r="Y242" s="570" t="n">
        <v>5850</v>
      </c>
      <c r="Z242" s="570" t="n">
        <v>6710</v>
      </c>
      <c r="AA242" s="570" t="n">
        <v>6330</v>
      </c>
      <c r="AB242" s="570" t="n">
        <v>6500</v>
      </c>
      <c r="AC242" s="570" t="n">
        <v>6320</v>
      </c>
      <c r="AD242" s="570" t="n">
        <v>6050</v>
      </c>
      <c r="AE242" s="570" t="n">
        <v>6540</v>
      </c>
      <c r="AF242" s="570" t="n">
        <v>6710</v>
      </c>
      <c r="AG242" s="570" t="n">
        <v>5150</v>
      </c>
      <c r="AH242" s="570" t="n">
        <v>4800</v>
      </c>
      <c r="AI242" s="570" t="n">
        <v>4580</v>
      </c>
      <c r="AJ242" s="570" t="n">
        <v>4750</v>
      </c>
      <c r="AK242" s="570" t="n">
        <v>4600</v>
      </c>
      <c r="AL242" s="570" t="n">
        <v>4710</v>
      </c>
      <c r="AM242" s="570" t="n">
        <v>4670</v>
      </c>
      <c r="AN242" s="570" t="n">
        <v>4895</v>
      </c>
      <c r="AO242" s="570" t="n">
        <v>5140</v>
      </c>
      <c r="AP242" s="570" t="n">
        <v>4595</v>
      </c>
      <c r="AQ242" s="570" t="n">
        <v>4120</v>
      </c>
      <c r="AR242" s="570" t="n">
        <v>4485</v>
      </c>
      <c r="AS242" s="570" t="n">
        <v>4350</v>
      </c>
      <c r="AT242" s="570" t="n">
        <v>4990</v>
      </c>
      <c r="AU242" s="570" t="n">
        <v>5150</v>
      </c>
      <c r="AV242" s="570" t="n">
        <v>4645</v>
      </c>
      <c r="AW242" s="570" t="n">
        <v>4595</v>
      </c>
      <c r="AX242" s="570" t="n">
        <v>4455</v>
      </c>
      <c r="AY242" s="570" t="n">
        <v>4555</v>
      </c>
      <c r="AZ242" s="570" t="n">
        <v>4560</v>
      </c>
      <c r="BA242" s="570" t="n">
        <v>4325</v>
      </c>
      <c r="BB242" s="570" t="n">
        <v>4145</v>
      </c>
      <c r="BC242" s="570" t="n">
        <v>4495</v>
      </c>
      <c r="BD242" s="570" t="n">
        <v>4465</v>
      </c>
      <c r="BE242" s="570" t="n">
        <v>4185</v>
      </c>
      <c r="BF242" s="570" t="n">
        <v>4060</v>
      </c>
      <c r="BG242" s="570" t="n">
        <v>4380</v>
      </c>
      <c r="BH242" s="570" t="n">
        <v>4565</v>
      </c>
      <c r="BI242" s="570" t="n">
        <v>5120</v>
      </c>
      <c r="BJ242" s="570" t="n">
        <v>4970</v>
      </c>
      <c r="BK242" s="570" t="n">
        <v>4990</v>
      </c>
      <c r="BL242" s="570" t="n">
        <v>4990</v>
      </c>
    </row>
    <row r="243">
      <c r="A243" s="77" t="inlineStr">
        <is>
          <t>9165</t>
        </is>
      </c>
      <c r="B243" s="570">
        <f>銘柄管理!C243</f>
        <v/>
      </c>
      <c r="C243" s="570">
        <f>_xll.RssMarket("9165","始値")</f>
        <v/>
      </c>
      <c r="E243" s="570" t="n">
        <v>1724</v>
      </c>
      <c r="F243" s="570" t="n">
        <v>1746</v>
      </c>
      <c r="G243" s="570" t="n">
        <v>1692</v>
      </c>
      <c r="H243" s="570" t="n">
        <v>1686</v>
      </c>
      <c r="I243" s="570" t="n">
        <v>1711</v>
      </c>
      <c r="J243" s="570" t="n">
        <v>1718</v>
      </c>
      <c r="K243" s="570" t="n">
        <v>1701</v>
      </c>
      <c r="L243" s="570" t="n">
        <v>1667</v>
      </c>
      <c r="M243" s="570" t="n">
        <v>1714</v>
      </c>
      <c r="N243" s="570" t="n">
        <v>1761</v>
      </c>
      <c r="O243" s="570" t="n">
        <v>1801</v>
      </c>
      <c r="P243" s="570" t="n">
        <v>1808</v>
      </c>
      <c r="Q243" s="570" t="n">
        <v>1781</v>
      </c>
      <c r="R243" s="570" t="n">
        <v>1815</v>
      </c>
      <c r="S243" s="570" t="n">
        <v>1872</v>
      </c>
      <c r="T243" s="570" t="n">
        <v>1928</v>
      </c>
      <c r="U243" s="570" t="n">
        <v>2067</v>
      </c>
      <c r="V243" s="570" t="n">
        <v>2350</v>
      </c>
      <c r="W243" s="570" t="n">
        <v>1790</v>
      </c>
      <c r="X243" s="570" t="n">
        <v>1825</v>
      </c>
      <c r="Y243" s="570" t="n">
        <v>1850</v>
      </c>
      <c r="Z243" s="570" t="n">
        <v>1850</v>
      </c>
      <c r="AA243" s="570" t="n">
        <v>1712</v>
      </c>
      <c r="AB243" s="570" t="n">
        <v>1736</v>
      </c>
      <c r="AC243" s="570" t="n">
        <v>1784</v>
      </c>
      <c r="AD243" s="570" t="n">
        <v>1725</v>
      </c>
      <c r="AE243" s="570" t="n">
        <v>1850</v>
      </c>
      <c r="AF243" s="570" t="n">
        <v>1840</v>
      </c>
      <c r="AG243" s="570" t="n">
        <v>1680</v>
      </c>
      <c r="AH243" s="570" t="n">
        <v>1476</v>
      </c>
      <c r="AI243" s="570" t="n">
        <v>1471</v>
      </c>
      <c r="AJ243" s="570" t="n">
        <v>1479</v>
      </c>
      <c r="AK243" s="570" t="n">
        <v>1460</v>
      </c>
      <c r="AL243" s="570" t="n">
        <v>1480</v>
      </c>
      <c r="AM243" s="570" t="n">
        <v>1468</v>
      </c>
      <c r="AN243" s="570" t="n">
        <v>1467</v>
      </c>
      <c r="AO243" s="570" t="n">
        <v>1470</v>
      </c>
      <c r="AP243" s="570" t="n">
        <v>1450</v>
      </c>
      <c r="AQ243" s="570" t="n">
        <v>1447</v>
      </c>
      <c r="AR243" s="570" t="n">
        <v>1464</v>
      </c>
      <c r="AS243" s="570" t="n">
        <v>1458</v>
      </c>
      <c r="AT243" s="570" t="n">
        <v>1456</v>
      </c>
      <c r="AU243" s="570" t="n">
        <v>1445</v>
      </c>
      <c r="AV243" s="570" t="n">
        <v>1430</v>
      </c>
      <c r="AW243" s="570" t="n">
        <v>1434</v>
      </c>
      <c r="AX243" s="570" t="n">
        <v>1494</v>
      </c>
      <c r="AY243" s="570" t="n">
        <v>1421</v>
      </c>
      <c r="AZ243" s="570" t="n">
        <v>1420</v>
      </c>
      <c r="BA243" s="570" t="n">
        <v>1421</v>
      </c>
      <c r="BB243" s="570" t="n">
        <v>1400</v>
      </c>
      <c r="BC243" s="570" t="n">
        <v>1414</v>
      </c>
      <c r="BD243" s="570" t="n">
        <v>1407</v>
      </c>
      <c r="BE243" s="570" t="n">
        <v>1400</v>
      </c>
      <c r="BF243" s="570" t="n">
        <v>1403</v>
      </c>
      <c r="BG243" s="570" t="n">
        <v>1415</v>
      </c>
      <c r="BH243" s="570" t="n">
        <v>1408</v>
      </c>
      <c r="BI243" s="570" t="n">
        <v>1424</v>
      </c>
      <c r="BJ243" s="570" t="n">
        <v>1420</v>
      </c>
      <c r="BK243" s="570" t="n">
        <v>1400</v>
      </c>
      <c r="BL243" s="570" t="n">
        <v>1410</v>
      </c>
    </row>
    <row r="244">
      <c r="A244" s="77" t="inlineStr">
        <is>
          <t>6902</t>
        </is>
      </c>
      <c r="B244" s="570">
        <f>銘柄管理!C244</f>
        <v/>
      </c>
      <c r="C244" s="570">
        <f>_xll.RssMarket("6902","始値")</f>
        <v/>
      </c>
      <c r="E244" s="570" t="n">
        <v>1888</v>
      </c>
      <c r="F244" s="570" t="n">
        <v>1930</v>
      </c>
      <c r="G244" s="570" t="n">
        <v>1917</v>
      </c>
      <c r="H244" s="570" t="n">
        <v>1920</v>
      </c>
      <c r="I244" s="570" t="n">
        <v>1886.5</v>
      </c>
      <c r="J244" s="570" t="n">
        <v>1886</v>
      </c>
      <c r="K244" s="570" t="n">
        <v>1851</v>
      </c>
      <c r="L244" s="570" t="n">
        <v>1824</v>
      </c>
      <c r="M244" s="570" t="n">
        <v>1920</v>
      </c>
      <c r="N244" s="570" t="n">
        <v>1880</v>
      </c>
      <c r="O244" s="570" t="n">
        <v>1907</v>
      </c>
      <c r="P244" s="570" t="n">
        <v>1904.5</v>
      </c>
      <c r="Q244" s="570" t="n">
        <v>1874.5</v>
      </c>
      <c r="R244" s="570" t="n">
        <v>1853</v>
      </c>
      <c r="S244" s="570" t="n">
        <v>1870</v>
      </c>
      <c r="T244" s="570" t="n">
        <v>1889</v>
      </c>
      <c r="U244" s="570" t="n">
        <v>1860</v>
      </c>
      <c r="V244" s="570" t="n">
        <v>1850</v>
      </c>
      <c r="W244" s="570" t="n">
        <v>1860</v>
      </c>
      <c r="X244" s="570" t="n">
        <v>1865</v>
      </c>
      <c r="Y244" s="570" t="n">
        <v>1866</v>
      </c>
      <c r="Z244" s="570" t="n">
        <v>1900</v>
      </c>
      <c r="AA244" s="570" t="n">
        <v>1885.5</v>
      </c>
      <c r="AB244" s="570" t="n">
        <v>1850</v>
      </c>
      <c r="AC244" s="570" t="n">
        <v>1872</v>
      </c>
      <c r="AD244" s="570" t="n">
        <v>1871</v>
      </c>
      <c r="AE244" s="570" t="n">
        <v>1888</v>
      </c>
      <c r="AF244" s="570" t="n">
        <v>1945</v>
      </c>
      <c r="AG244" s="570" t="n">
        <v>1895</v>
      </c>
      <c r="AH244" s="570" t="n">
        <v>1850</v>
      </c>
      <c r="AI244" s="570" t="n">
        <v>1843</v>
      </c>
      <c r="AJ244" s="570" t="n">
        <v>1914</v>
      </c>
      <c r="AK244" s="570" t="n">
        <v>1895.5</v>
      </c>
      <c r="AL244" s="570" t="n">
        <v>1890</v>
      </c>
      <c r="AM244" s="570" t="n">
        <v>1916.5</v>
      </c>
      <c r="AN244" s="570" t="n">
        <v>1933</v>
      </c>
      <c r="AO244" s="570" t="n">
        <v>1970</v>
      </c>
      <c r="AP244" s="570" t="n">
        <v>1953</v>
      </c>
      <c r="AQ244" s="570" t="n">
        <v>1931</v>
      </c>
      <c r="AR244" s="570" t="n">
        <v>1924</v>
      </c>
      <c r="AS244" s="570" t="n">
        <v>1938</v>
      </c>
      <c r="AT244" s="570" t="n">
        <v>1930</v>
      </c>
      <c r="AU244" s="570" t="n">
        <v>1911</v>
      </c>
      <c r="AV244" s="570" t="n">
        <v>1951.5</v>
      </c>
      <c r="AW244" s="570" t="n">
        <v>1986.5</v>
      </c>
      <c r="AX244" s="570" t="n">
        <v>1973.5</v>
      </c>
      <c r="AY244" s="570" t="n">
        <v>1911.5</v>
      </c>
      <c r="AZ244" s="570" t="n">
        <v>1923</v>
      </c>
      <c r="BA244" s="570" t="n">
        <v>1911.5</v>
      </c>
      <c r="BB244" s="570" t="n">
        <v>1977</v>
      </c>
      <c r="BC244" s="570" t="n">
        <v>1985</v>
      </c>
      <c r="BD244" s="570" t="n">
        <v>1895</v>
      </c>
      <c r="BE244" s="570" t="n">
        <v>1862</v>
      </c>
      <c r="BF244" s="570" t="n">
        <v>1942</v>
      </c>
      <c r="BG244" s="570" t="n">
        <v>1952</v>
      </c>
      <c r="BH244" s="570" t="n">
        <v>1955</v>
      </c>
      <c r="BI244" s="570" t="n">
        <v>1904</v>
      </c>
      <c r="BJ244" s="570" t="n">
        <v>1850</v>
      </c>
      <c r="BK244" s="570" t="n">
        <v>1935.5</v>
      </c>
      <c r="BL244" s="570" t="n">
        <v>1950</v>
      </c>
    </row>
    <row r="245">
      <c r="A245" s="77" t="inlineStr">
        <is>
          <t>3936</t>
        </is>
      </c>
      <c r="B245" s="570">
        <f>銘柄管理!C245</f>
        <v/>
      </c>
      <c r="C245" s="570">
        <f>_xll.RssMarket("3936","始値")</f>
        <v/>
      </c>
      <c r="E245" s="570" t="n">
        <v>166</v>
      </c>
      <c r="F245" s="570" t="n">
        <v>170</v>
      </c>
      <c r="G245" s="570" t="n">
        <v>155</v>
      </c>
      <c r="H245" s="570" t="n">
        <v>156</v>
      </c>
      <c r="I245" s="570" t="n">
        <v>162</v>
      </c>
      <c r="J245" s="570" t="n">
        <v>165</v>
      </c>
      <c r="K245" s="570" t="n">
        <v>168</v>
      </c>
      <c r="L245" s="570" t="n">
        <v>173</v>
      </c>
      <c r="M245" s="570" t="n">
        <v>174</v>
      </c>
      <c r="N245" s="570" t="n">
        <v>171</v>
      </c>
      <c r="O245" s="570" t="n">
        <v>174</v>
      </c>
      <c r="P245" s="570" t="n">
        <v>168</v>
      </c>
      <c r="Q245" s="570" t="n">
        <v>165</v>
      </c>
      <c r="R245" s="570" t="n">
        <v>170</v>
      </c>
      <c r="S245" s="570" t="n">
        <v>157</v>
      </c>
      <c r="T245" s="570" t="n">
        <v>164</v>
      </c>
      <c r="U245" s="570" t="n">
        <v>158</v>
      </c>
      <c r="V245" s="570" t="n">
        <v>163</v>
      </c>
      <c r="W245" s="570" t="n">
        <v>168</v>
      </c>
      <c r="X245" s="570" t="n">
        <v>177</v>
      </c>
      <c r="Y245" s="570" t="n">
        <v>166</v>
      </c>
      <c r="Z245" s="570" t="n">
        <v>167</v>
      </c>
      <c r="AA245" s="570" t="n">
        <v>211</v>
      </c>
      <c r="AB245" s="570" t="n">
        <v>206</v>
      </c>
      <c r="AC245" s="570" t="n">
        <v>170</v>
      </c>
      <c r="AD245" s="570" t="n">
        <v>177</v>
      </c>
      <c r="AE245" s="570" t="n">
        <v>169</v>
      </c>
      <c r="AF245" s="570" t="n">
        <v>174</v>
      </c>
      <c r="AG245" s="570" t="n">
        <v>177</v>
      </c>
      <c r="AH245" s="570" t="n">
        <v>170</v>
      </c>
      <c r="AI245" s="570" t="n">
        <v>183</v>
      </c>
      <c r="AJ245" s="570" t="n">
        <v>205</v>
      </c>
      <c r="AK245" s="570" t="n">
        <v>231</v>
      </c>
      <c r="AL245" s="570" t="n">
        <v>251</v>
      </c>
      <c r="AM245" s="570" t="n">
        <v>192</v>
      </c>
      <c r="AN245" s="570" t="n">
        <v>212</v>
      </c>
      <c r="AO245" s="570" t="n">
        <v>154</v>
      </c>
      <c r="AP245" s="570" t="n">
        <v>131</v>
      </c>
      <c r="AQ245" s="570" t="n">
        <v>127</v>
      </c>
      <c r="AR245" s="570" t="n">
        <v>124</v>
      </c>
      <c r="AS245" s="570" t="n">
        <v>125</v>
      </c>
      <c r="AT245" s="570" t="n">
        <v>125</v>
      </c>
      <c r="AU245" s="570" t="n">
        <v>128</v>
      </c>
      <c r="AV245" s="570" t="n">
        <v>129</v>
      </c>
      <c r="AW245" s="570" t="n">
        <v>128</v>
      </c>
      <c r="AX245" s="570" t="n">
        <v>126</v>
      </c>
      <c r="AY245" s="570" t="n">
        <v>127</v>
      </c>
      <c r="AZ245" s="570" t="n">
        <v>126</v>
      </c>
      <c r="BA245" s="570" t="n">
        <v>130</v>
      </c>
      <c r="BB245" s="570" t="n">
        <v>126</v>
      </c>
      <c r="BC245" s="570" t="n">
        <v>125</v>
      </c>
      <c r="BD245" s="570" t="n">
        <v>124</v>
      </c>
      <c r="BE245" s="570" t="n">
        <v>124</v>
      </c>
      <c r="BF245" s="570" t="n">
        <v>132</v>
      </c>
      <c r="BG245" s="570" t="n">
        <v>128</v>
      </c>
      <c r="BH245" s="570" t="n">
        <v>126</v>
      </c>
      <c r="BI245" s="570" t="n">
        <v>128</v>
      </c>
      <c r="BJ245" s="570" t="n">
        <v>136</v>
      </c>
      <c r="BK245" s="570" t="n">
        <v>132</v>
      </c>
      <c r="BL245" s="570" t="n">
        <v>132</v>
      </c>
    </row>
    <row r="246">
      <c r="A246" s="77" t="inlineStr">
        <is>
          <t>6928</t>
        </is>
      </c>
      <c r="B246" s="570">
        <f>銘柄管理!C246</f>
        <v/>
      </c>
      <c r="C246" s="570">
        <f>_xll.RssMarket("6928","始値")</f>
        <v/>
      </c>
      <c r="E246" s="570" t="n">
        <v>3535</v>
      </c>
      <c r="F246" s="570" t="n">
        <v>3550</v>
      </c>
      <c r="G246" s="570" t="n">
        <v>3365</v>
      </c>
      <c r="H246" s="570" t="n">
        <v>3275</v>
      </c>
      <c r="I246" s="570" t="n">
        <v>3385</v>
      </c>
      <c r="J246" s="570" t="n">
        <v>3230</v>
      </c>
      <c r="K246" s="570" t="n">
        <v>3385</v>
      </c>
      <c r="L246" s="570" t="n">
        <v>3355</v>
      </c>
      <c r="M246" s="570" t="n">
        <v>3500</v>
      </c>
      <c r="N246" s="570" t="n">
        <v>3495</v>
      </c>
      <c r="O246" s="570" t="n">
        <v>3675</v>
      </c>
      <c r="P246" s="570" t="n">
        <v>3700</v>
      </c>
      <c r="Q246" s="570" t="n">
        <v>3715</v>
      </c>
      <c r="R246" s="570" t="n">
        <v>3880</v>
      </c>
      <c r="S246" s="570" t="n">
        <v>3795</v>
      </c>
      <c r="T246" s="570" t="n">
        <v>3510</v>
      </c>
      <c r="U246" s="570" t="n">
        <v>3745</v>
      </c>
      <c r="V246" s="570" t="n">
        <v>3650</v>
      </c>
      <c r="W246" s="570" t="n">
        <v>3500</v>
      </c>
      <c r="X246" s="570" t="n">
        <v>3570</v>
      </c>
      <c r="Y246" s="570" t="n">
        <v>3475</v>
      </c>
      <c r="Z246" s="570" t="n">
        <v>3560</v>
      </c>
      <c r="AA246" s="570" t="n">
        <v>3470</v>
      </c>
      <c r="AB246" s="570" t="n">
        <v>3505</v>
      </c>
      <c r="AC246" s="570" t="n">
        <v>3530</v>
      </c>
      <c r="AD246" s="570" t="n">
        <v>3415</v>
      </c>
      <c r="AE246" s="570" t="n">
        <v>3480</v>
      </c>
      <c r="AF246" s="570" t="n">
        <v>3760</v>
      </c>
      <c r="AG246" s="570" t="n">
        <v>3530</v>
      </c>
      <c r="AH246" s="570" t="n">
        <v>3580</v>
      </c>
      <c r="AI246" s="570" t="n">
        <v>3295</v>
      </c>
      <c r="AJ246" s="570" t="n">
        <v>3150</v>
      </c>
      <c r="AK246" s="570" t="n">
        <v>3165</v>
      </c>
      <c r="AL246" s="570" t="n">
        <v>3165</v>
      </c>
      <c r="AM246" s="570" t="n">
        <v>3165</v>
      </c>
      <c r="AN246" s="570" t="n">
        <v>3185</v>
      </c>
      <c r="AO246" s="570" t="n">
        <v>3185</v>
      </c>
      <c r="AP246" s="570" t="n">
        <v>3230</v>
      </c>
      <c r="AQ246" s="570" t="n">
        <v>3270</v>
      </c>
      <c r="AR246" s="570" t="n">
        <v>3335</v>
      </c>
      <c r="AS246" s="570" t="n">
        <v>3290</v>
      </c>
      <c r="AT246" s="570" t="n">
        <v>3255</v>
      </c>
      <c r="AU246" s="570" t="n">
        <v>3220</v>
      </c>
      <c r="AV246" s="570" t="n">
        <v>3125</v>
      </c>
      <c r="AW246" s="570" t="n">
        <v>3110</v>
      </c>
      <c r="AX246" s="570" t="n">
        <v>3090</v>
      </c>
      <c r="AY246" s="570" t="n">
        <v>3020</v>
      </c>
      <c r="AZ246" s="570" t="n">
        <v>2901</v>
      </c>
      <c r="BA246" s="570" t="n">
        <v>2857</v>
      </c>
      <c r="BB246" s="570" t="n">
        <v>2834</v>
      </c>
      <c r="BC246" s="570" t="n">
        <v>2904</v>
      </c>
      <c r="BD246" s="570" t="n">
        <v>2914</v>
      </c>
      <c r="BE246" s="570" t="n">
        <v>2766</v>
      </c>
      <c r="BF246" s="570" t="n">
        <v>2690</v>
      </c>
      <c r="BG246" s="570" t="n">
        <v>2916</v>
      </c>
      <c r="BH246" s="570" t="n">
        <v>2920</v>
      </c>
      <c r="BI246" s="570" t="n">
        <v>2920</v>
      </c>
      <c r="BJ246" s="570" t="n">
        <v>2855</v>
      </c>
      <c r="BK246" s="570" t="n">
        <v>2721</v>
      </c>
      <c r="BL246" s="570" t="n">
        <v>3000</v>
      </c>
    </row>
    <row r="247">
      <c r="A247" s="77" t="inlineStr">
        <is>
          <t>5632</t>
        </is>
      </c>
      <c r="B247" s="570">
        <f>銘柄管理!C247</f>
        <v/>
      </c>
      <c r="C247" s="570">
        <f>_xll.RssMarket("5632","始値")</f>
        <v/>
      </c>
      <c r="E247" s="570" t="n">
        <v>2333</v>
      </c>
      <c r="F247" s="570" t="n">
        <v>2301</v>
      </c>
      <c r="G247" s="570" t="n">
        <v>2169</v>
      </c>
      <c r="H247" s="570" t="n">
        <v>2162</v>
      </c>
      <c r="I247" s="570" t="n">
        <v>2200</v>
      </c>
      <c r="J247" s="570" t="n">
        <v>2175</v>
      </c>
      <c r="K247" s="570" t="n">
        <v>2133</v>
      </c>
      <c r="L247" s="570" t="n">
        <v>2100</v>
      </c>
      <c r="M247" s="570" t="n">
        <v>2089</v>
      </c>
      <c r="N247" s="570" t="n">
        <v>2100</v>
      </c>
      <c r="O247" s="570" t="n">
        <v>2120</v>
      </c>
      <c r="P247" s="570" t="n">
        <v>2060</v>
      </c>
      <c r="Q247" s="570" t="n">
        <v>2099</v>
      </c>
      <c r="R247" s="570" t="n">
        <v>2088</v>
      </c>
      <c r="S247" s="570" t="n">
        <v>2128</v>
      </c>
      <c r="T247" s="570" t="n">
        <v>2122</v>
      </c>
      <c r="U247" s="570" t="n">
        <v>2115</v>
      </c>
      <c r="V247" s="570" t="n">
        <v>2155</v>
      </c>
      <c r="W247" s="570" t="n">
        <v>2110</v>
      </c>
      <c r="X247" s="570" t="n">
        <v>2048</v>
      </c>
      <c r="Y247" s="570" t="n">
        <v>2061</v>
      </c>
      <c r="Z247" s="570" t="n">
        <v>2080</v>
      </c>
      <c r="AA247" s="570" t="n">
        <v>2145</v>
      </c>
      <c r="AB247" s="570" t="n">
        <v>2074</v>
      </c>
      <c r="AC247" s="570" t="n">
        <v>2020</v>
      </c>
      <c r="AD247" s="570" t="n">
        <v>1865</v>
      </c>
      <c r="AE247" s="570" t="n">
        <v>1902</v>
      </c>
      <c r="AF247" s="570" t="n">
        <v>1840</v>
      </c>
      <c r="AG247" s="570" t="n">
        <v>1853</v>
      </c>
      <c r="AH247" s="570" t="n">
        <v>1838</v>
      </c>
      <c r="AI247" s="570" t="n">
        <v>1791</v>
      </c>
      <c r="AJ247" s="570" t="n">
        <v>1805</v>
      </c>
      <c r="AK247" s="570" t="n">
        <v>1780</v>
      </c>
      <c r="AL247" s="570" t="n">
        <v>1793</v>
      </c>
      <c r="AM247" s="570" t="n">
        <v>1804</v>
      </c>
      <c r="AN247" s="570" t="n">
        <v>1804</v>
      </c>
      <c r="AO247" s="570" t="n">
        <v>1833</v>
      </c>
      <c r="AP247" s="570" t="n">
        <v>1843</v>
      </c>
      <c r="AQ247" s="570" t="n">
        <v>1841</v>
      </c>
      <c r="AR247" s="570" t="n">
        <v>1826</v>
      </c>
      <c r="AS247" s="570" t="n">
        <v>1828</v>
      </c>
      <c r="AT247" s="570" t="n">
        <v>1833</v>
      </c>
      <c r="AU247" s="570" t="n">
        <v>1802</v>
      </c>
      <c r="AV247" s="570" t="n">
        <v>1788</v>
      </c>
      <c r="AW247" s="570" t="n">
        <v>1821</v>
      </c>
      <c r="AX247" s="570" t="n">
        <v>1846</v>
      </c>
      <c r="AY247" s="570" t="n">
        <v>1849</v>
      </c>
      <c r="AZ247" s="570" t="n">
        <v>1805</v>
      </c>
      <c r="BA247" s="570" t="n">
        <v>1807</v>
      </c>
      <c r="BB247" s="570" t="n">
        <v>1820</v>
      </c>
      <c r="BC247" s="570" t="n">
        <v>1837</v>
      </c>
      <c r="BD247" s="570" t="n">
        <v>1830</v>
      </c>
      <c r="BE247" s="570" t="n">
        <v>1791</v>
      </c>
      <c r="BF247" s="570" t="n">
        <v>1780</v>
      </c>
      <c r="BG247" s="570" t="n">
        <v>1877</v>
      </c>
      <c r="BH247" s="570" t="n">
        <v>1900</v>
      </c>
      <c r="BI247" s="570" t="n">
        <v>1879</v>
      </c>
      <c r="BJ247" s="570" t="n">
        <v>1830</v>
      </c>
      <c r="BK247" s="570" t="n">
        <v>1798</v>
      </c>
      <c r="BL247" s="570" t="n">
        <v>1870</v>
      </c>
    </row>
    <row r="248">
      <c r="A248" s="77" t="inlineStr">
        <is>
          <t>6098</t>
        </is>
      </c>
      <c r="B248" s="570">
        <f>銘柄管理!C248</f>
        <v/>
      </c>
      <c r="C248" s="570">
        <f>_xll.RssMarket("6098","始値")</f>
        <v/>
      </c>
      <c r="E248" s="570" t="n">
        <v>10820</v>
      </c>
      <c r="F248" s="570" t="n">
        <v>11030</v>
      </c>
      <c r="G248" s="570" t="n">
        <v>11300</v>
      </c>
      <c r="H248" s="570" t="n">
        <v>10640</v>
      </c>
      <c r="I248" s="570" t="n">
        <v>10560</v>
      </c>
      <c r="J248" s="570" t="n">
        <v>10800</v>
      </c>
      <c r="K248" s="570" t="n">
        <v>11140</v>
      </c>
      <c r="L248" s="570" t="n">
        <v>11080</v>
      </c>
      <c r="M248" s="570" t="n">
        <v>11400</v>
      </c>
      <c r="N248" s="570" t="n">
        <v>10775</v>
      </c>
      <c r="O248" s="570" t="n">
        <v>10915</v>
      </c>
      <c r="P248" s="570" t="n">
        <v>10620</v>
      </c>
      <c r="Q248" s="570" t="n">
        <v>10930</v>
      </c>
      <c r="R248" s="570" t="n">
        <v>11105</v>
      </c>
      <c r="S248" s="570" t="n">
        <v>10375</v>
      </c>
      <c r="T248" s="570" t="n">
        <v>9951</v>
      </c>
      <c r="U248" s="570" t="n">
        <v>10075</v>
      </c>
      <c r="V248" s="570" t="n">
        <v>9693</v>
      </c>
      <c r="W248" s="570" t="n">
        <v>9414</v>
      </c>
      <c r="X248" s="570" t="n">
        <v>9648</v>
      </c>
      <c r="Y248" s="570" t="n">
        <v>9990</v>
      </c>
      <c r="Z248" s="570" t="n">
        <v>9322</v>
      </c>
      <c r="AA248" s="570" t="n">
        <v>9025</v>
      </c>
      <c r="AB248" s="570" t="n">
        <v>7805</v>
      </c>
      <c r="AC248" s="570" t="n">
        <v>7680</v>
      </c>
      <c r="AD248" s="570" t="n">
        <v>7688</v>
      </c>
      <c r="AE248" s="570" t="n">
        <v>7616</v>
      </c>
      <c r="AF248" s="570" t="n">
        <v>7822</v>
      </c>
      <c r="AG248" s="570" t="n">
        <v>7848</v>
      </c>
      <c r="AH248" s="570" t="n">
        <v>7570</v>
      </c>
      <c r="AI248" s="570" t="n">
        <v>7204</v>
      </c>
      <c r="AJ248" s="570" t="n">
        <v>7164</v>
      </c>
      <c r="AK248" s="570" t="n">
        <v>7452</v>
      </c>
      <c r="AL248" s="570" t="n">
        <v>7340</v>
      </c>
      <c r="AM248" s="570" t="n">
        <v>7380</v>
      </c>
      <c r="AN248" s="570" t="n">
        <v>7567</v>
      </c>
      <c r="AO248" s="570" t="n">
        <v>7853</v>
      </c>
      <c r="AP248" s="570" t="n">
        <v>7620</v>
      </c>
      <c r="AQ248" s="570" t="n">
        <v>7524</v>
      </c>
      <c r="AR248" s="570" t="n">
        <v>7300</v>
      </c>
      <c r="AS248" s="570" t="n">
        <v>7327</v>
      </c>
      <c r="AT248" s="570" t="n">
        <v>6966</v>
      </c>
      <c r="AU248" s="570" t="n">
        <v>7096</v>
      </c>
      <c r="AV248" s="570" t="n">
        <v>6975</v>
      </c>
      <c r="AW248" s="570" t="n">
        <v>7035</v>
      </c>
      <c r="AX248" s="570" t="n">
        <v>7210</v>
      </c>
      <c r="AY248" s="570" t="n">
        <v>7305</v>
      </c>
      <c r="AZ248" s="570" t="n">
        <v>6940</v>
      </c>
      <c r="BA248" s="570" t="n">
        <v>6914</v>
      </c>
      <c r="BB248" s="570" t="n">
        <v>7098</v>
      </c>
      <c r="BC248" s="570" t="n">
        <v>7088</v>
      </c>
      <c r="BD248" s="570" t="n">
        <v>7026</v>
      </c>
      <c r="BE248" s="570" t="n">
        <v>6405</v>
      </c>
      <c r="BF248" s="570" t="n">
        <v>6307</v>
      </c>
      <c r="BG248" s="570" t="n">
        <v>6451</v>
      </c>
      <c r="BH248" s="570" t="n">
        <v>6390</v>
      </c>
      <c r="BI248" s="570" t="n">
        <v>6463</v>
      </c>
      <c r="BJ248" s="570" t="n">
        <v>6472</v>
      </c>
      <c r="BK248" s="570" t="n">
        <v>6150</v>
      </c>
      <c r="BL248" s="570" t="n">
        <v>6346</v>
      </c>
    </row>
    <row r="249">
      <c r="A249" s="77" t="inlineStr">
        <is>
          <t>6361</t>
        </is>
      </c>
      <c r="B249" s="570">
        <f>銘柄管理!C249</f>
        <v/>
      </c>
      <c r="C249" s="570">
        <f>_xll.RssMarket("6361","始値")</f>
        <v/>
      </c>
      <c r="E249" s="570" t="n">
        <v>6565</v>
      </c>
      <c r="F249" s="570" t="n">
        <v>6825</v>
      </c>
      <c r="G249" s="570" t="n">
        <v>6578</v>
      </c>
      <c r="H249" s="570" t="n">
        <v>6093</v>
      </c>
      <c r="I249" s="570" t="n">
        <v>6284</v>
      </c>
      <c r="J249" s="570" t="n">
        <v>5765</v>
      </c>
      <c r="K249" s="570" t="n">
        <v>5476</v>
      </c>
      <c r="L249" s="570" t="n">
        <v>5065</v>
      </c>
      <c r="M249" s="570" t="n">
        <v>5283</v>
      </c>
      <c r="N249" s="570" t="n">
        <v>4982</v>
      </c>
      <c r="O249" s="570" t="n">
        <v>5471</v>
      </c>
      <c r="P249" s="570" t="n">
        <v>5555</v>
      </c>
      <c r="Q249" s="570" t="n">
        <v>5279</v>
      </c>
      <c r="R249" s="570" t="n">
        <v>5698</v>
      </c>
      <c r="S249" s="570" t="n">
        <v>5599</v>
      </c>
      <c r="T249" s="570" t="n">
        <v>5572</v>
      </c>
      <c r="U249" s="570" t="n">
        <v>5742</v>
      </c>
      <c r="V249" s="570" t="n">
        <v>5697</v>
      </c>
      <c r="W249" s="570" t="n">
        <v>5393</v>
      </c>
      <c r="X249" s="570" t="n">
        <v>5100</v>
      </c>
      <c r="Y249" s="570" t="n">
        <v>4980</v>
      </c>
      <c r="Z249" s="570" t="n">
        <v>5398</v>
      </c>
      <c r="AA249" s="570" t="n">
        <v>5533</v>
      </c>
      <c r="AB249" s="570" t="n">
        <v>5819</v>
      </c>
      <c r="AC249" s="570" t="n">
        <v>5797</v>
      </c>
      <c r="AD249" s="570" t="n">
        <v>5666</v>
      </c>
      <c r="AE249" s="570" t="n">
        <v>5945</v>
      </c>
      <c r="AF249" s="570" t="n">
        <v>5800</v>
      </c>
      <c r="AG249" s="570" t="n">
        <v>5749</v>
      </c>
      <c r="AH249" s="570" t="n">
        <v>5742</v>
      </c>
      <c r="AI249" s="570" t="n">
        <v>5343</v>
      </c>
      <c r="AJ249" s="570" t="n">
        <v>5523</v>
      </c>
      <c r="AK249" s="570" t="n">
        <v>5515</v>
      </c>
      <c r="AL249" s="570" t="n">
        <v>5370</v>
      </c>
      <c r="AM249" s="570" t="n">
        <v>5461</v>
      </c>
      <c r="AN249" s="570" t="n">
        <v>5390</v>
      </c>
      <c r="AO249" s="570" t="n">
        <v>5187</v>
      </c>
      <c r="AP249" s="570" t="n">
        <v>5193</v>
      </c>
      <c r="AQ249" s="570" t="n">
        <v>5070</v>
      </c>
      <c r="AR249" s="570" t="n">
        <v>5090</v>
      </c>
      <c r="AS249" s="570" t="n">
        <v>4993</v>
      </c>
      <c r="AT249" s="570" t="n">
        <v>5267</v>
      </c>
      <c r="AU249" s="570" t="n">
        <v>5254</v>
      </c>
      <c r="AV249" s="570" t="n">
        <v>5078</v>
      </c>
      <c r="AW249" s="570" t="n">
        <v>5063</v>
      </c>
      <c r="AX249" s="570" t="n">
        <v>5051</v>
      </c>
      <c r="AY249" s="570" t="n">
        <v>4916</v>
      </c>
      <c r="AZ249" s="570" t="n">
        <v>4561</v>
      </c>
      <c r="BA249" s="570" t="n">
        <v>4512</v>
      </c>
      <c r="BB249" s="570" t="n">
        <v>4576</v>
      </c>
      <c r="BC249" s="570" t="n">
        <v>4622</v>
      </c>
      <c r="BD249" s="570" t="n">
        <v>4500</v>
      </c>
      <c r="BE249" s="570" t="n">
        <v>4163</v>
      </c>
      <c r="BF249" s="570" t="n">
        <v>4200</v>
      </c>
      <c r="BG249" s="570" t="n">
        <v>4502</v>
      </c>
      <c r="BH249" s="570" t="n">
        <v>4881</v>
      </c>
      <c r="BI249" s="570" t="n">
        <v>4697</v>
      </c>
      <c r="BJ249" s="570" t="n">
        <v>4575</v>
      </c>
      <c r="BK249" s="570" t="n">
        <v>4447</v>
      </c>
      <c r="BL249" s="570" t="n">
        <v>4767</v>
      </c>
    </row>
    <row r="250">
      <c r="A250" s="77" t="inlineStr">
        <is>
          <t>155A</t>
        </is>
      </c>
      <c r="B250" s="570">
        <f>銘柄管理!C250</f>
        <v/>
      </c>
      <c r="C250" s="570">
        <f>_xll.RssMarket("155A","始値")</f>
        <v/>
      </c>
      <c r="E250" s="570" t="n">
        <v>897</v>
      </c>
      <c r="F250" s="570" t="n">
        <v>888</v>
      </c>
      <c r="G250" s="570" t="n">
        <v>875</v>
      </c>
      <c r="H250" s="570" t="n">
        <v>830</v>
      </c>
      <c r="I250" s="570" t="n">
        <v>847</v>
      </c>
      <c r="J250" s="570" t="n">
        <v>850</v>
      </c>
      <c r="K250" s="570" t="n">
        <v>860</v>
      </c>
      <c r="L250" s="570" t="n">
        <v>880</v>
      </c>
      <c r="M250" s="570" t="n">
        <v>838</v>
      </c>
      <c r="N250" s="570" t="n">
        <v>840</v>
      </c>
      <c r="O250" s="570" t="n">
        <v>834</v>
      </c>
      <c r="P250" s="570" t="n">
        <v>835</v>
      </c>
      <c r="Q250" s="570" t="n">
        <v>822</v>
      </c>
      <c r="R250" s="570" t="n">
        <v>868</v>
      </c>
      <c r="S250" s="570" t="n">
        <v>878</v>
      </c>
      <c r="T250" s="570" t="n">
        <v>855</v>
      </c>
      <c r="U250" s="570" t="n">
        <v>867</v>
      </c>
      <c r="V250" s="570" t="n">
        <v>835</v>
      </c>
      <c r="W250" s="570" t="n">
        <v>839</v>
      </c>
      <c r="X250" s="570" t="n">
        <v>877</v>
      </c>
      <c r="Y250" s="570" t="n">
        <v>893</v>
      </c>
      <c r="Z250" s="570" t="n">
        <v>904</v>
      </c>
      <c r="AA250" s="570" t="n">
        <v>874</v>
      </c>
      <c r="AB250" s="570" t="n">
        <v>777</v>
      </c>
      <c r="AC250" s="570" t="n">
        <v>788</v>
      </c>
      <c r="AD250" s="570" t="n">
        <v>799</v>
      </c>
      <c r="AE250" s="570" t="n">
        <v>810</v>
      </c>
      <c r="AF250" s="570" t="n">
        <v>817</v>
      </c>
      <c r="AG250" s="570" t="n">
        <v>803</v>
      </c>
      <c r="AH250" s="570" t="n">
        <v>801</v>
      </c>
      <c r="AI250" s="570" t="n">
        <v>813</v>
      </c>
      <c r="AJ250" s="570" t="n">
        <v>820</v>
      </c>
      <c r="AK250" s="570" t="n">
        <v>813</v>
      </c>
      <c r="AL250" s="570" t="n">
        <v>828</v>
      </c>
      <c r="AM250" s="570" t="n">
        <v>860</v>
      </c>
      <c r="AN250" s="570" t="n">
        <v>850</v>
      </c>
      <c r="AO250" s="570" t="n">
        <v>842</v>
      </c>
      <c r="AP250" s="570" t="n">
        <v>833</v>
      </c>
      <c r="AQ250" s="570" t="n">
        <v>830</v>
      </c>
      <c r="AR250" s="570" t="n">
        <v>829</v>
      </c>
      <c r="AS250" s="570" t="n">
        <v>813</v>
      </c>
      <c r="AT250" s="570" t="n">
        <v>817</v>
      </c>
      <c r="AU250" s="570" t="n">
        <v>811</v>
      </c>
      <c r="AV250" s="570" t="n">
        <v>847</v>
      </c>
      <c r="AW250" s="570" t="n">
        <v>873</v>
      </c>
      <c r="AX250" s="570" t="n">
        <v>868</v>
      </c>
      <c r="AY250" s="570" t="n">
        <v>840</v>
      </c>
      <c r="AZ250" s="570" t="n">
        <v>843</v>
      </c>
      <c r="BA250" s="570" t="n">
        <v>850</v>
      </c>
      <c r="BB250" s="570" t="n">
        <v>853</v>
      </c>
      <c r="BC250" s="570" t="n">
        <v>836</v>
      </c>
      <c r="BD250" s="570" t="n">
        <v>827</v>
      </c>
      <c r="BE250" s="570" t="n">
        <v>842</v>
      </c>
      <c r="BF250" s="570" t="n">
        <v>868</v>
      </c>
      <c r="BG250" s="570" t="n">
        <v>890</v>
      </c>
      <c r="BH250" s="570" t="n">
        <v>879</v>
      </c>
      <c r="BI250" s="570" t="n">
        <v>897</v>
      </c>
      <c r="BJ250" s="570" t="n">
        <v>860</v>
      </c>
      <c r="BK250" s="570" t="n">
        <v>901</v>
      </c>
      <c r="BL250" s="570" t="n">
        <v>879</v>
      </c>
    </row>
    <row r="251">
      <c r="A251" s="77" t="inlineStr">
        <is>
          <t>278A</t>
        </is>
      </c>
      <c r="B251" s="570">
        <f>銘柄管理!C251</f>
        <v/>
      </c>
      <c r="C251" s="570">
        <f>_xll.RssMarket("278A","始値")</f>
        <v/>
      </c>
      <c r="E251" s="570" t="n">
        <v>7880</v>
      </c>
      <c r="F251" s="570" t="n">
        <v>8450</v>
      </c>
      <c r="G251" s="570" t="n">
        <v>7980</v>
      </c>
      <c r="H251" s="570" t="n">
        <v>9550</v>
      </c>
      <c r="I251" s="570" t="n">
        <v>8750</v>
      </c>
      <c r="J251" s="570" t="n">
        <v>7800</v>
      </c>
      <c r="K251" s="570" t="n">
        <v>8720</v>
      </c>
      <c r="L251" s="570" t="n">
        <v>8540</v>
      </c>
      <c r="M251" s="570" t="n">
        <v>8900</v>
      </c>
      <c r="N251" s="570" t="n">
        <v>8340</v>
      </c>
      <c r="O251" s="570" t="n">
        <v>7900</v>
      </c>
      <c r="P251" s="570" t="n">
        <v>8440</v>
      </c>
      <c r="Q251" s="570" t="n">
        <v>8410</v>
      </c>
      <c r="R251" s="570" t="n">
        <v>8850</v>
      </c>
      <c r="S251" s="570" t="n">
        <v>10580</v>
      </c>
      <c r="T251" s="570" t="n">
        <v>8900</v>
      </c>
      <c r="U251" s="570" t="n">
        <v>9700</v>
      </c>
      <c r="V251" s="570" t="n">
        <v>11300</v>
      </c>
      <c r="W251" s="570" t="n">
        <v>10700</v>
      </c>
      <c r="X251" s="570" t="n">
        <v>11510</v>
      </c>
      <c r="Y251" s="570" t="n">
        <v>12000</v>
      </c>
      <c r="Z251" s="570" t="n">
        <v>13250</v>
      </c>
      <c r="AA251" s="570" t="n">
        <v>12700</v>
      </c>
      <c r="AB251" s="570" t="n">
        <v>11000</v>
      </c>
      <c r="AC251" s="570" t="n">
        <v>12240</v>
      </c>
      <c r="AD251" s="570" t="n">
        <v>10000</v>
      </c>
      <c r="AE251" s="570" t="n">
        <v>19600</v>
      </c>
      <c r="AF251" s="570" t="n">
        <v>15230</v>
      </c>
      <c r="AG251" s="570" t="n">
        <v>12020</v>
      </c>
      <c r="AH251" s="570" t="n">
        <v>12570</v>
      </c>
      <c r="AI251" s="570" t="n">
        <v>10000</v>
      </c>
      <c r="AJ251" s="570" t="n">
        <v>8220</v>
      </c>
      <c r="AK251" s="570" t="n">
        <v>7380</v>
      </c>
      <c r="AL251" s="570" t="n">
        <v>7990</v>
      </c>
      <c r="AM251" s="570" t="n">
        <v>8410</v>
      </c>
      <c r="AN251" s="570" t="n">
        <v>7820</v>
      </c>
      <c r="AO251" s="570" t="n">
        <v>7000</v>
      </c>
      <c r="AP251" s="570" t="n">
        <v>6650</v>
      </c>
      <c r="AQ251" s="570" t="n">
        <v>6570</v>
      </c>
      <c r="AR251" s="570" t="n">
        <v>6500</v>
      </c>
      <c r="AS251" s="570" t="n">
        <v>6500</v>
      </c>
      <c r="AT251" s="570" t="n">
        <v>5790</v>
      </c>
      <c r="AU251" s="570" t="n">
        <v>6000</v>
      </c>
      <c r="AV251" s="570" t="n">
        <v>5330</v>
      </c>
      <c r="AW251" s="570" t="n">
        <v>4475</v>
      </c>
      <c r="AX251" s="570" t="n">
        <v>4260</v>
      </c>
      <c r="AY251" s="570" t="n">
        <v>4290</v>
      </c>
      <c r="AZ251" s="570" t="n">
        <v>4640</v>
      </c>
      <c r="BA251" s="570" t="n">
        <v>4430</v>
      </c>
      <c r="BB251" s="570" t="n">
        <v>5000</v>
      </c>
      <c r="BC251" s="570" t="n">
        <v>5030</v>
      </c>
      <c r="BD251" s="570" t="n">
        <v>4495</v>
      </c>
      <c r="BE251" s="570" t="n">
        <v>3830</v>
      </c>
      <c r="BF251" s="570" t="n">
        <v>4030</v>
      </c>
      <c r="BG251" s="570" t="n">
        <v>3960</v>
      </c>
      <c r="BH251" s="570" t="n">
        <v>4165</v>
      </c>
      <c r="BI251" s="570" t="n">
        <v>3735</v>
      </c>
      <c r="BJ251" s="570" t="n">
        <v>3395</v>
      </c>
      <c r="BK251" s="570" t="n">
        <v>2840</v>
      </c>
      <c r="BL251" s="570" t="n">
        <v>3150</v>
      </c>
    </row>
    <row r="252">
      <c r="A252" s="77" t="inlineStr">
        <is>
          <t>300A</t>
        </is>
      </c>
      <c r="B252" s="570">
        <f>銘柄管理!C252</f>
        <v/>
      </c>
      <c r="C252" s="570">
        <f>_xll.RssMarket("300A","始値")</f>
        <v/>
      </c>
      <c r="E252" s="570" t="n">
        <v>2790</v>
      </c>
      <c r="F252" s="570" t="n">
        <v>2800</v>
      </c>
      <c r="G252" s="570" t="n">
        <v>2845</v>
      </c>
      <c r="H252" s="570" t="n">
        <v>2810</v>
      </c>
      <c r="I252" s="570" t="n">
        <v>2835</v>
      </c>
      <c r="J252" s="570" t="n">
        <v>2867</v>
      </c>
      <c r="K252" s="570" t="n">
        <v>2800</v>
      </c>
      <c r="L252" s="570" t="n">
        <v>2797</v>
      </c>
      <c r="M252" s="570" t="n">
        <v>2800</v>
      </c>
      <c r="N252" s="570" t="n">
        <v>2774</v>
      </c>
      <c r="O252" s="570" t="n">
        <v>2755</v>
      </c>
      <c r="P252" s="570" t="n">
        <v>2799</v>
      </c>
      <c r="Q252" s="570" t="n">
        <v>2801</v>
      </c>
      <c r="R252" s="570" t="n">
        <v>2847</v>
      </c>
      <c r="S252" s="570" t="n">
        <v>2899</v>
      </c>
      <c r="T252" s="570" t="n">
        <v>2841</v>
      </c>
      <c r="U252" s="570" t="n">
        <v>2871</v>
      </c>
      <c r="V252" s="570" t="n">
        <v>2918</v>
      </c>
      <c r="W252" s="570" t="n">
        <v>2864</v>
      </c>
      <c r="X252" s="570" t="n">
        <v>2938</v>
      </c>
      <c r="Y252" s="570" t="n">
        <v>2920</v>
      </c>
      <c r="Z252" s="570" t="n">
        <v>2848</v>
      </c>
      <c r="AA252" s="570" t="n">
        <v>2930</v>
      </c>
      <c r="AB252" s="570" t="n">
        <v>2904</v>
      </c>
      <c r="AC252" s="570" t="n">
        <v>2790</v>
      </c>
      <c r="AD252" s="570" t="n">
        <v>2760</v>
      </c>
      <c r="AE252" s="570" t="n">
        <v>2789</v>
      </c>
      <c r="AF252" s="570" t="n">
        <v>2782</v>
      </c>
      <c r="AG252" s="570" t="n">
        <v>2750</v>
      </c>
      <c r="AH252" s="570" t="n">
        <v>2795</v>
      </c>
      <c r="AI252" s="570" t="n">
        <v>2769</v>
      </c>
      <c r="AJ252" s="570" t="n">
        <v>2885</v>
      </c>
      <c r="AK252" s="570" t="n">
        <v>2783</v>
      </c>
      <c r="AL252" s="570" t="n">
        <v>2851</v>
      </c>
      <c r="AM252" s="570" t="n">
        <v>2934</v>
      </c>
      <c r="AN252" s="570" t="n">
        <v>3070</v>
      </c>
      <c r="AO252" s="570" t="n">
        <v>3095</v>
      </c>
      <c r="AP252" s="570" t="n">
        <v>3050</v>
      </c>
      <c r="AQ252" s="570" t="n">
        <v>3000</v>
      </c>
      <c r="AR252" s="570" t="n">
        <v>3005</v>
      </c>
      <c r="AS252" s="570" t="n">
        <v>2964</v>
      </c>
      <c r="AT252" s="570" t="n">
        <v>2942</v>
      </c>
      <c r="AU252" s="570" t="n">
        <v>2898</v>
      </c>
      <c r="AV252" s="570" t="n">
        <v>2878</v>
      </c>
      <c r="AW252" s="570" t="n">
        <v>2853</v>
      </c>
      <c r="AX252" s="570" t="n">
        <v>2830</v>
      </c>
      <c r="AY252" s="570" t="n">
        <v>2839</v>
      </c>
      <c r="AZ252" s="570" t="n">
        <v>2826</v>
      </c>
      <c r="BA252" s="570" t="n">
        <v>2845</v>
      </c>
      <c r="BB252" s="570" t="n">
        <v>2844</v>
      </c>
      <c r="BC252" s="570" t="n">
        <v>2870</v>
      </c>
      <c r="BD252" s="570" t="n">
        <v>2837</v>
      </c>
      <c r="BE252" s="570" t="n">
        <v>2770</v>
      </c>
      <c r="BF252" s="570" t="n">
        <v>2782</v>
      </c>
      <c r="BG252" s="570" t="n">
        <v>2780</v>
      </c>
      <c r="BH252" s="570" t="n">
        <v>2818</v>
      </c>
      <c r="BI252" s="570" t="n">
        <v>2789</v>
      </c>
      <c r="BJ252" s="570" t="n">
        <v>2700</v>
      </c>
      <c r="BK252" s="570" t="n">
        <v>2751</v>
      </c>
      <c r="BL252" s="570" t="n">
        <v>2834</v>
      </c>
    </row>
    <row r="253">
      <c r="A253" s="77" t="inlineStr">
        <is>
          <t>4776</t>
        </is>
      </c>
      <c r="B253" s="570">
        <f>銘柄管理!C253</f>
        <v/>
      </c>
      <c r="C253" s="570">
        <f>_xll.RssMarket("4776","始値")</f>
        <v/>
      </c>
      <c r="E253" s="570" t="n">
        <v>2304</v>
      </c>
      <c r="F253" s="570" t="n">
        <v>2376</v>
      </c>
      <c r="G253" s="570" t="n">
        <v>2301</v>
      </c>
      <c r="H253" s="570" t="n">
        <v>2321</v>
      </c>
      <c r="I253" s="570" t="n">
        <v>2344</v>
      </c>
      <c r="J253" s="570" t="n">
        <v>2315</v>
      </c>
      <c r="K253" s="570" t="n">
        <v>2297</v>
      </c>
      <c r="L253" s="570" t="n">
        <v>2389</v>
      </c>
      <c r="M253" s="570" t="n">
        <v>2355</v>
      </c>
      <c r="N253" s="570" t="n">
        <v>2430</v>
      </c>
      <c r="O253" s="570" t="n">
        <v>2436</v>
      </c>
      <c r="P253" s="570" t="n">
        <v>2420</v>
      </c>
      <c r="Q253" s="570" t="n">
        <v>2557</v>
      </c>
      <c r="R253" s="570" t="n">
        <v>2650</v>
      </c>
      <c r="S253" s="570" t="n">
        <v>2552</v>
      </c>
      <c r="T253" s="570" t="n">
        <v>2575</v>
      </c>
      <c r="U253" s="570" t="n">
        <v>2570</v>
      </c>
      <c r="V253" s="570" t="n">
        <v>2550</v>
      </c>
      <c r="W253" s="570" t="n">
        <v>2489</v>
      </c>
      <c r="X253" s="570" t="n">
        <v>2501</v>
      </c>
      <c r="Y253" s="570" t="n">
        <v>2490</v>
      </c>
      <c r="Z253" s="570" t="n">
        <v>2383</v>
      </c>
      <c r="AA253" s="570" t="n">
        <v>2407</v>
      </c>
      <c r="AB253" s="570" t="n">
        <v>2274</v>
      </c>
      <c r="AC253" s="570" t="n">
        <v>2159</v>
      </c>
      <c r="AD253" s="570" t="n">
        <v>2157</v>
      </c>
      <c r="AE253" s="570" t="n">
        <v>2160</v>
      </c>
      <c r="AF253" s="570" t="n">
        <v>2189</v>
      </c>
      <c r="AG253" s="570" t="n">
        <v>2171</v>
      </c>
      <c r="AH253" s="570" t="n">
        <v>2053</v>
      </c>
      <c r="AI253" s="570" t="n">
        <v>2082</v>
      </c>
      <c r="AJ253" s="570" t="n">
        <v>2090</v>
      </c>
      <c r="AK253" s="570" t="n">
        <v>2101</v>
      </c>
      <c r="AL253" s="570" t="n">
        <v>2119</v>
      </c>
      <c r="AM253" s="570" t="n">
        <v>2100</v>
      </c>
      <c r="AN253" s="570" t="n">
        <v>2139</v>
      </c>
      <c r="AO253" s="570" t="n">
        <v>2165</v>
      </c>
      <c r="AP253" s="570" t="n">
        <v>2204</v>
      </c>
      <c r="AQ253" s="570" t="n">
        <v>2264</v>
      </c>
      <c r="AR253" s="570" t="n">
        <v>2226</v>
      </c>
      <c r="AS253" s="570" t="n">
        <v>2240</v>
      </c>
      <c r="AT253" s="570" t="n">
        <v>2064</v>
      </c>
      <c r="AU253" s="570" t="n">
        <v>2039</v>
      </c>
      <c r="AV253" s="570" t="n">
        <v>1963</v>
      </c>
      <c r="AW253" s="570" t="n">
        <v>2000</v>
      </c>
      <c r="AX253" s="570" t="n">
        <v>2083</v>
      </c>
      <c r="AY253" s="570" t="n">
        <v>2103</v>
      </c>
      <c r="AZ253" s="570" t="n">
        <v>2072</v>
      </c>
      <c r="BA253" s="570" t="n">
        <v>2043</v>
      </c>
      <c r="BB253" s="570" t="n">
        <v>2061</v>
      </c>
      <c r="BC253" s="570" t="n">
        <v>2068</v>
      </c>
      <c r="BD253" s="570" t="n">
        <v>2090</v>
      </c>
      <c r="BE253" s="570" t="n">
        <v>2094</v>
      </c>
      <c r="BF253" s="570" t="n">
        <v>2060</v>
      </c>
      <c r="BG253" s="570" t="n">
        <v>2055</v>
      </c>
      <c r="BH253" s="570" t="n">
        <v>2053</v>
      </c>
      <c r="BI253" s="570" t="n">
        <v>2019</v>
      </c>
      <c r="BJ253" s="570" t="n">
        <v>2032</v>
      </c>
      <c r="BK253" s="570" t="n">
        <v>2050</v>
      </c>
      <c r="BL253" s="570" t="n">
        <v>2099</v>
      </c>
    </row>
    <row r="254">
      <c r="A254" s="77" t="inlineStr">
        <is>
          <t>4704</t>
        </is>
      </c>
      <c r="B254" s="570">
        <f>銘柄管理!C254</f>
        <v/>
      </c>
      <c r="C254" s="570">
        <f>_xll.RssMarket("4704","始値")</f>
        <v/>
      </c>
      <c r="E254" s="570" t="n">
        <v>5623</v>
      </c>
      <c r="F254" s="570" t="n">
        <v>5854</v>
      </c>
      <c r="G254" s="570" t="n">
        <v>5746</v>
      </c>
      <c r="H254" s="570" t="n">
        <v>5771</v>
      </c>
      <c r="I254" s="570" t="n">
        <v>5850</v>
      </c>
      <c r="J254" s="570" t="n">
        <v>5931</v>
      </c>
      <c r="K254" s="570" t="n">
        <v>6136</v>
      </c>
      <c r="L254" s="570" t="n">
        <v>6183</v>
      </c>
      <c r="M254" s="570" t="n">
        <v>6186</v>
      </c>
      <c r="N254" s="570" t="n">
        <v>6478</v>
      </c>
      <c r="O254" s="570" t="n">
        <v>6725</v>
      </c>
      <c r="P254" s="570" t="n">
        <v>6145</v>
      </c>
      <c r="Q254" s="570" t="n">
        <v>6251</v>
      </c>
      <c r="R254" s="570" t="n">
        <v>6453</v>
      </c>
      <c r="S254" s="570" t="n">
        <v>5980</v>
      </c>
      <c r="T254" s="570" t="n">
        <v>6037</v>
      </c>
      <c r="U254" s="570" t="n">
        <v>6066</v>
      </c>
      <c r="V254" s="570" t="n">
        <v>6203</v>
      </c>
      <c r="W254" s="570" t="n">
        <v>6015</v>
      </c>
      <c r="X254" s="570" t="n">
        <v>5911</v>
      </c>
      <c r="Y254" s="570" t="n">
        <v>6060</v>
      </c>
      <c r="Z254" s="570" t="n">
        <v>6081</v>
      </c>
      <c r="AA254" s="570" t="n">
        <v>5730</v>
      </c>
      <c r="AB254" s="570" t="n">
        <v>5400</v>
      </c>
      <c r="AC254" s="570" t="n">
        <v>5511</v>
      </c>
      <c r="AD254" s="570" t="n">
        <v>5725</v>
      </c>
      <c r="AE254" s="570" t="n">
        <v>5592</v>
      </c>
      <c r="AF254" s="570" t="n">
        <v>5715</v>
      </c>
      <c r="AG254" s="570" t="n">
        <v>5729</v>
      </c>
      <c r="AH254" s="570" t="n">
        <v>5339</v>
      </c>
      <c r="AI254" s="570" t="n">
        <v>5376</v>
      </c>
      <c r="AJ254" s="570" t="n">
        <v>5552</v>
      </c>
      <c r="AK254" s="570" t="n">
        <v>5514</v>
      </c>
      <c r="AL254" s="570" t="n">
        <v>5632</v>
      </c>
      <c r="AM254" s="570" t="n">
        <v>5601</v>
      </c>
      <c r="AN254" s="570" t="n">
        <v>5859</v>
      </c>
      <c r="AO254" s="570" t="n">
        <v>6050</v>
      </c>
      <c r="AP254" s="570" t="n">
        <v>5907</v>
      </c>
      <c r="AQ254" s="570" t="n">
        <v>5998</v>
      </c>
      <c r="AR254" s="570" t="n">
        <v>6012</v>
      </c>
      <c r="AS254" s="570" t="n">
        <v>5859</v>
      </c>
      <c r="AT254" s="570" t="n">
        <v>5433</v>
      </c>
      <c r="AU254" s="570" t="n">
        <v>5317</v>
      </c>
      <c r="AV254" s="570" t="n">
        <v>5073</v>
      </c>
      <c r="AW254" s="570" t="n">
        <v>5260</v>
      </c>
      <c r="AX254" s="570" t="n">
        <v>5435</v>
      </c>
      <c r="AY254" s="570" t="n">
        <v>5551</v>
      </c>
      <c r="AZ254" s="570" t="n">
        <v>5320</v>
      </c>
      <c r="BA254" s="570" t="n">
        <v>5320</v>
      </c>
      <c r="BB254" s="570" t="n">
        <v>5350</v>
      </c>
      <c r="BC254" s="570" t="n">
        <v>5311</v>
      </c>
      <c r="BD254" s="570" t="n">
        <v>5315</v>
      </c>
      <c r="BE254" s="570" t="n">
        <v>5272</v>
      </c>
      <c r="BF254" s="570" t="n">
        <v>5100</v>
      </c>
      <c r="BG254" s="570" t="n">
        <v>5315</v>
      </c>
      <c r="BH254" s="570" t="n">
        <v>5230</v>
      </c>
      <c r="BI254" s="570" t="n">
        <v>5181</v>
      </c>
      <c r="BJ254" s="570" t="n">
        <v>5351</v>
      </c>
      <c r="BK254" s="570" t="n">
        <v>5276</v>
      </c>
      <c r="BL254" s="570" t="n">
        <v>5325</v>
      </c>
    </row>
    <row r="255">
      <c r="A255" s="77" t="inlineStr">
        <is>
          <t>6370</t>
        </is>
      </c>
      <c r="B255" s="570">
        <f>銘柄管理!C255</f>
        <v/>
      </c>
      <c r="C255" s="570">
        <f>_xll.RssMarket("6370","始値")</f>
        <v/>
      </c>
      <c r="E255" s="570" t="n">
        <v>9567</v>
      </c>
      <c r="F255" s="570" t="n">
        <v>9779</v>
      </c>
      <c r="G255" s="570" t="n">
        <v>9340</v>
      </c>
      <c r="H255" s="570" t="n">
        <v>9335</v>
      </c>
      <c r="I255" s="570" t="n">
        <v>8761</v>
      </c>
      <c r="J255" s="570" t="n">
        <v>8639</v>
      </c>
      <c r="K255" s="570" t="n">
        <v>8300</v>
      </c>
      <c r="L255" s="570" t="n">
        <v>7901</v>
      </c>
      <c r="M255" s="570" t="n">
        <v>8286</v>
      </c>
      <c r="N255" s="570" t="n">
        <v>8212</v>
      </c>
      <c r="O255" s="570" t="n">
        <v>8808</v>
      </c>
      <c r="P255" s="570" t="n">
        <v>8803</v>
      </c>
      <c r="Q255" s="570" t="n">
        <v>8714</v>
      </c>
      <c r="R255" s="570" t="n">
        <v>8549</v>
      </c>
      <c r="S255" s="570" t="n">
        <v>8691</v>
      </c>
      <c r="T255" s="570" t="n">
        <v>8728</v>
      </c>
      <c r="U255" s="570" t="n">
        <v>9077</v>
      </c>
      <c r="V255" s="570" t="n">
        <v>8834</v>
      </c>
      <c r="W255" s="570" t="n">
        <v>8713</v>
      </c>
      <c r="X255" s="570" t="n">
        <v>8538</v>
      </c>
      <c r="Y255" s="570" t="n">
        <v>8616</v>
      </c>
      <c r="Z255" s="570" t="n">
        <v>8773</v>
      </c>
      <c r="AA255" s="570" t="n">
        <v>8918</v>
      </c>
      <c r="AB255" s="570" t="n">
        <v>9500</v>
      </c>
      <c r="AC255" s="570" t="n">
        <v>9010</v>
      </c>
      <c r="AD255" s="570" t="n">
        <v>9000</v>
      </c>
      <c r="AE255" s="570" t="n">
        <v>9184</v>
      </c>
      <c r="AF255" s="570" t="n">
        <v>8900</v>
      </c>
      <c r="AG255" s="570" t="n">
        <v>8362</v>
      </c>
      <c r="AH255" s="570" t="n">
        <v>8296</v>
      </c>
      <c r="AI255" s="570" t="n">
        <v>8290</v>
      </c>
      <c r="AJ255" s="570" t="n">
        <v>8401</v>
      </c>
      <c r="AK255" s="570" t="n">
        <v>8297</v>
      </c>
      <c r="AL255" s="570" t="n">
        <v>7905</v>
      </c>
      <c r="AM255" s="570" t="n">
        <v>7916</v>
      </c>
      <c r="AN255" s="570" t="n">
        <v>7847</v>
      </c>
      <c r="AO255" s="570" t="n">
        <v>7990</v>
      </c>
      <c r="AP255" s="570" t="n">
        <v>8188</v>
      </c>
      <c r="AQ255" s="570" t="n">
        <v>8095</v>
      </c>
      <c r="AR255" s="570" t="n">
        <v>8010</v>
      </c>
      <c r="AS255" s="570" t="n">
        <v>7950</v>
      </c>
      <c r="AT255" s="570" t="n">
        <v>7998</v>
      </c>
      <c r="AU255" s="570" t="n">
        <v>8201</v>
      </c>
      <c r="AV255" s="570" t="n">
        <v>8069</v>
      </c>
      <c r="AW255" s="570" t="n">
        <v>8040</v>
      </c>
      <c r="AX255" s="570" t="n">
        <v>8212</v>
      </c>
      <c r="AY255" s="570" t="n">
        <v>8048</v>
      </c>
      <c r="AZ255" s="570" t="n">
        <v>7725</v>
      </c>
      <c r="BA255" s="570" t="n">
        <v>7720</v>
      </c>
      <c r="BB255" s="570" t="n">
        <v>7619</v>
      </c>
      <c r="BC255" s="570" t="n">
        <v>7837</v>
      </c>
      <c r="BD255" s="570" t="n">
        <v>7628</v>
      </c>
      <c r="BE255" s="570" t="n">
        <v>7250</v>
      </c>
      <c r="BF255" s="570" t="n">
        <v>7183</v>
      </c>
      <c r="BG255" s="570" t="n">
        <v>7655</v>
      </c>
      <c r="BH255" s="570" t="n">
        <v>7806</v>
      </c>
      <c r="BI255" s="570" t="n">
        <v>7672</v>
      </c>
      <c r="BJ255" s="570" t="n">
        <v>7417</v>
      </c>
      <c r="BK255" s="570" t="n">
        <v>7098</v>
      </c>
      <c r="BL255" s="570" t="n">
        <v>7700</v>
      </c>
    </row>
    <row r="256">
      <c r="A256" s="77" t="inlineStr">
        <is>
          <t>7014</t>
        </is>
      </c>
      <c r="B256" s="570">
        <f>銘柄管理!C256</f>
        <v/>
      </c>
      <c r="C256" s="570">
        <f>_xll.RssMarket("7014","始値")</f>
        <v/>
      </c>
      <c r="E256" s="570" t="n">
        <v>3800</v>
      </c>
      <c r="F256" s="570" t="n">
        <v>3840</v>
      </c>
      <c r="G256" s="570" t="n">
        <v>3845</v>
      </c>
      <c r="H256" s="570" t="n">
        <v>3755</v>
      </c>
      <c r="I256" s="570" t="n">
        <v>3765</v>
      </c>
      <c r="J256" s="570" t="n">
        <v>3685</v>
      </c>
      <c r="K256" s="570" t="n">
        <v>3480</v>
      </c>
      <c r="L256" s="570" t="n">
        <v>3345</v>
      </c>
      <c r="M256" s="570" t="n">
        <v>3440</v>
      </c>
      <c r="N256" s="570" t="n">
        <v>3550</v>
      </c>
      <c r="O256" s="570" t="n">
        <v>3655</v>
      </c>
      <c r="P256" s="570" t="n">
        <v>3485</v>
      </c>
      <c r="Q256" s="570" t="n">
        <v>3475</v>
      </c>
      <c r="R256" s="570" t="n">
        <v>3455</v>
      </c>
      <c r="S256" s="570" t="n">
        <v>3790</v>
      </c>
      <c r="T256" s="570" t="n">
        <v>4085</v>
      </c>
      <c r="U256" s="570" t="n">
        <v>4240</v>
      </c>
      <c r="V256" s="570" t="n">
        <v>3945</v>
      </c>
      <c r="W256" s="570" t="n">
        <v>3800</v>
      </c>
      <c r="X256" s="570" t="n">
        <v>8538</v>
      </c>
      <c r="Y256" s="570" t="n">
        <v>8616</v>
      </c>
      <c r="Z256" s="570" t="n">
        <v>8773</v>
      </c>
      <c r="AA256" s="570" t="n">
        <v>8918</v>
      </c>
      <c r="AB256" s="570" t="n">
        <v>9500</v>
      </c>
      <c r="AC256" s="570" t="n">
        <v>9010</v>
      </c>
      <c r="AD256" s="570" t="n">
        <v>9000</v>
      </c>
      <c r="AE256" s="570" t="n">
        <v>9184</v>
      </c>
      <c r="AF256" s="570" t="n">
        <v>8900</v>
      </c>
      <c r="AG256" s="570" t="n">
        <v>8362</v>
      </c>
      <c r="AH256" s="570" t="n">
        <v>8296</v>
      </c>
      <c r="AI256" s="570" t="n">
        <v>8290</v>
      </c>
      <c r="AJ256" s="570" t="n">
        <v>8401</v>
      </c>
      <c r="AK256" s="570" t="n">
        <v>8297</v>
      </c>
      <c r="AL256" s="570" t="n">
        <v>7905</v>
      </c>
      <c r="AM256" s="570" t="n">
        <v>7916</v>
      </c>
      <c r="AN256" s="570" t="n">
        <v>7847</v>
      </c>
      <c r="AO256" s="570" t="n">
        <v>7990</v>
      </c>
      <c r="AP256" s="570" t="n">
        <v>8188</v>
      </c>
      <c r="AQ256" s="570" t="n">
        <v>8095</v>
      </c>
      <c r="AR256" s="570" t="n">
        <v>8010</v>
      </c>
      <c r="AS256" s="570" t="n">
        <v>7950</v>
      </c>
      <c r="AT256" s="570" t="n">
        <v>7998</v>
      </c>
      <c r="AU256" s="570" t="n">
        <v>8201</v>
      </c>
      <c r="AV256" s="570" t="n">
        <v>8069</v>
      </c>
      <c r="AW256" s="570" t="n">
        <v>8040</v>
      </c>
      <c r="AX256" s="570" t="n">
        <v>8212</v>
      </c>
      <c r="AY256" s="570" t="n">
        <v>8048</v>
      </c>
      <c r="AZ256" s="570" t="n">
        <v>7725</v>
      </c>
      <c r="BA256" s="570" t="n">
        <v>7720</v>
      </c>
      <c r="BB256" s="570" t="n">
        <v>7619</v>
      </c>
      <c r="BC256" s="570" t="n">
        <v>7837</v>
      </c>
      <c r="BD256" s="570" t="n">
        <v>7628</v>
      </c>
      <c r="BE256" s="570" t="n">
        <v>7250</v>
      </c>
      <c r="BF256" s="570" t="n">
        <v>7183</v>
      </c>
      <c r="BG256" s="570" t="n">
        <v>7655</v>
      </c>
      <c r="BH256" s="570" t="n">
        <v>7806</v>
      </c>
      <c r="BI256" s="570" t="n">
        <v>7672</v>
      </c>
      <c r="BJ256" s="570" t="n">
        <v>7417</v>
      </c>
      <c r="BK256" s="570" t="n">
        <v>7098</v>
      </c>
      <c r="BL256" s="570" t="n">
        <v>7700</v>
      </c>
    </row>
    <row r="257">
      <c r="A257" s="77" t="inlineStr">
        <is>
          <t>9880</t>
        </is>
      </c>
      <c r="B257" s="570">
        <f>銘柄管理!C257</f>
        <v/>
      </c>
      <c r="C257" s="570">
        <f>_xll.RssMarket("9880","始値")</f>
        <v/>
      </c>
      <c r="E257" s="570" t="n">
        <v>4355</v>
      </c>
      <c r="F257" s="570" t="n">
        <v>4250</v>
      </c>
      <c r="G257" s="570" t="n">
        <v>4185</v>
      </c>
      <c r="H257" s="570" t="n">
        <v>3900</v>
      </c>
      <c r="I257" s="570" t="n">
        <v>4130</v>
      </c>
      <c r="J257" s="570" t="n">
        <v>4200</v>
      </c>
      <c r="K257" s="570" t="n">
        <v>4105</v>
      </c>
      <c r="L257" s="570" t="n">
        <v>3910</v>
      </c>
      <c r="M257" s="570" t="n">
        <v>4140</v>
      </c>
      <c r="N257" s="570" t="n">
        <v>4200</v>
      </c>
      <c r="O257" s="570" t="n">
        <v>4390</v>
      </c>
      <c r="P257" s="570" t="n">
        <v>4300</v>
      </c>
      <c r="Q257" s="570" t="n">
        <v>4320</v>
      </c>
      <c r="R257" s="570" t="n">
        <v>4360</v>
      </c>
      <c r="S257" s="570" t="n">
        <v>4220</v>
      </c>
      <c r="T257" s="570" t="n">
        <v>4650</v>
      </c>
      <c r="U257" s="570" t="n">
        <v>4380</v>
      </c>
      <c r="V257" s="570" t="n">
        <v>4400</v>
      </c>
      <c r="W257" s="570" t="n">
        <v>4380</v>
      </c>
      <c r="X257" s="570" t="n">
        <v>4225</v>
      </c>
      <c r="Y257" s="570" t="n">
        <v>4750</v>
      </c>
      <c r="Z257" s="570" t="n">
        <v>4505</v>
      </c>
      <c r="AA257" s="570" t="n">
        <v>3975</v>
      </c>
      <c r="AB257" s="570" t="n">
        <v>3360</v>
      </c>
      <c r="AC257" s="570" t="n">
        <v>3270</v>
      </c>
      <c r="AD257" s="570" t="n">
        <v>3380</v>
      </c>
      <c r="AE257" s="570" t="n">
        <v>3325</v>
      </c>
      <c r="AF257" s="570" t="n">
        <v>3185</v>
      </c>
      <c r="AG257" s="570" t="n">
        <v>2950</v>
      </c>
      <c r="AH257" s="570" t="n">
        <v>2834</v>
      </c>
      <c r="AI257" s="570" t="n">
        <v>2790</v>
      </c>
      <c r="AJ257" s="570" t="n">
        <v>2760</v>
      </c>
      <c r="AK257" s="570" t="n">
        <v>2805</v>
      </c>
      <c r="AL257" s="570" t="n">
        <v>2674</v>
      </c>
      <c r="AM257" s="570" t="n">
        <v>2710</v>
      </c>
      <c r="AN257" s="570" t="n">
        <v>2728</v>
      </c>
      <c r="AO257" s="570" t="n">
        <v>2763</v>
      </c>
      <c r="AP257" s="570" t="n">
        <v>2823</v>
      </c>
      <c r="AQ257" s="570" t="n">
        <v>2896</v>
      </c>
      <c r="AR257" s="570" t="n">
        <v>2900</v>
      </c>
      <c r="AS257" s="570" t="n">
        <v>2889</v>
      </c>
      <c r="AT257" s="570" t="n">
        <v>2640</v>
      </c>
      <c r="AU257" s="570" t="n">
        <v>2561</v>
      </c>
      <c r="AV257" s="570" t="n">
        <v>2580</v>
      </c>
      <c r="AW257" s="570" t="n">
        <v>2604</v>
      </c>
      <c r="AX257" s="570" t="n">
        <v>2555</v>
      </c>
      <c r="AY257" s="570" t="n">
        <v>2471</v>
      </c>
      <c r="AZ257" s="570" t="n">
        <v>2465</v>
      </c>
      <c r="BA257" s="570" t="n">
        <v>2483</v>
      </c>
      <c r="BB257" s="570" t="n">
        <v>2510</v>
      </c>
      <c r="BC257" s="570" t="n">
        <v>2451</v>
      </c>
      <c r="BD257" s="570" t="n">
        <v>2330</v>
      </c>
      <c r="BE257" s="570" t="n">
        <v>2327</v>
      </c>
      <c r="BF257" s="570" t="n">
        <v>2550</v>
      </c>
      <c r="BG257" s="570" t="n">
        <v>2780</v>
      </c>
      <c r="BH257" s="570" t="n">
        <v>2547</v>
      </c>
      <c r="BI257" s="570" t="n">
        <v>2500</v>
      </c>
      <c r="BJ257" s="570" t="n">
        <v>2388</v>
      </c>
      <c r="BK257" s="570" t="n">
        <v>2580</v>
      </c>
      <c r="BL257" s="570" t="n">
        <v>2603</v>
      </c>
    </row>
    <row r="258">
      <c r="A258" s="77" t="inlineStr">
        <is>
          <t>5253</t>
        </is>
      </c>
      <c r="B258" s="570">
        <f>銘柄管理!C258</f>
        <v/>
      </c>
      <c r="C258" s="570">
        <f>_xll.RssMarket("5253","始値")</f>
        <v/>
      </c>
      <c r="E258" s="570" t="n">
        <v>1301</v>
      </c>
      <c r="F258" s="570" t="n">
        <v>1380</v>
      </c>
      <c r="G258" s="570" t="n">
        <v>1460</v>
      </c>
      <c r="H258" s="570" t="n">
        <v>1415</v>
      </c>
      <c r="I258" s="570" t="n">
        <v>1418</v>
      </c>
      <c r="J258" s="570" t="n">
        <v>1458</v>
      </c>
      <c r="K258" s="570" t="n">
        <v>1522</v>
      </c>
      <c r="L258" s="570" t="n">
        <v>1444</v>
      </c>
      <c r="M258" s="570" t="n">
        <v>1620</v>
      </c>
      <c r="N258" s="570" t="n">
        <v>1616</v>
      </c>
      <c r="O258" s="570" t="n">
        <v>1624</v>
      </c>
      <c r="P258" s="570" t="n">
        <v>1636</v>
      </c>
      <c r="Q258" s="570" t="n">
        <v>1631</v>
      </c>
      <c r="R258" s="570" t="n">
        <v>1620</v>
      </c>
      <c r="S258" s="570" t="n">
        <v>1600</v>
      </c>
      <c r="T258" s="570" t="n">
        <v>1551</v>
      </c>
      <c r="U258" s="570" t="n">
        <v>1583</v>
      </c>
      <c r="V258" s="570" t="n">
        <v>1760</v>
      </c>
      <c r="W258" s="570" t="n">
        <v>1758</v>
      </c>
      <c r="X258" s="570" t="n">
        <v>1666</v>
      </c>
      <c r="Y258" s="570" t="n">
        <v>1671</v>
      </c>
      <c r="Z258" s="570" t="n">
        <v>1600</v>
      </c>
      <c r="AA258" s="570" t="n">
        <v>1526</v>
      </c>
      <c r="AB258" s="570" t="n">
        <v>1324</v>
      </c>
      <c r="AC258" s="570" t="n">
        <v>1435</v>
      </c>
      <c r="AD258" s="570" t="n">
        <v>1412</v>
      </c>
      <c r="AE258" s="570" t="n">
        <v>1393</v>
      </c>
      <c r="AF258" s="570" t="n">
        <v>1420</v>
      </c>
      <c r="AG258" s="570" t="n">
        <v>1445</v>
      </c>
      <c r="AH258" s="570" t="n">
        <v>1393</v>
      </c>
      <c r="AI258" s="570" t="n">
        <v>1365</v>
      </c>
      <c r="AJ258" s="570" t="n">
        <v>1365</v>
      </c>
      <c r="AK258" s="570" t="n">
        <v>1370</v>
      </c>
      <c r="AL258" s="570" t="n">
        <v>1370</v>
      </c>
      <c r="AM258" s="570" t="n">
        <v>1400</v>
      </c>
      <c r="AN258" s="570" t="n">
        <v>1420</v>
      </c>
      <c r="AO258" s="570" t="n">
        <v>1441</v>
      </c>
      <c r="AP258" s="570" t="n">
        <v>1455</v>
      </c>
      <c r="AQ258" s="570" t="n">
        <v>1474</v>
      </c>
      <c r="AR258" s="570" t="n">
        <v>1451</v>
      </c>
      <c r="AS258" s="570" t="n">
        <v>1482</v>
      </c>
      <c r="AT258" s="570" t="n">
        <v>1480</v>
      </c>
      <c r="AU258" s="570" t="n">
        <v>1438</v>
      </c>
      <c r="AV258" s="570" t="n">
        <v>1402</v>
      </c>
      <c r="AW258" s="570" t="n">
        <v>1471</v>
      </c>
      <c r="AX258" s="570" t="n">
        <v>1482</v>
      </c>
      <c r="AY258" s="570" t="n">
        <v>1449</v>
      </c>
      <c r="AZ258" s="570" t="n">
        <v>1405</v>
      </c>
      <c r="BA258" s="570" t="n">
        <v>1389</v>
      </c>
      <c r="BB258" s="570" t="n">
        <v>1356</v>
      </c>
      <c r="BC258" s="570" t="n">
        <v>1408</v>
      </c>
      <c r="BD258" s="570" t="n">
        <v>1365</v>
      </c>
      <c r="BE258" s="570" t="n">
        <v>1370</v>
      </c>
      <c r="BF258" s="570" t="n">
        <v>1345</v>
      </c>
      <c r="BG258" s="570" t="n">
        <v>1413</v>
      </c>
      <c r="BH258" s="570" t="n">
        <v>1464</v>
      </c>
      <c r="BI258" s="570" t="n">
        <v>1425</v>
      </c>
      <c r="BJ258" s="570" t="n">
        <v>1441</v>
      </c>
      <c r="BK258" s="570" t="n">
        <v>1530</v>
      </c>
      <c r="BL258" s="570" t="n">
        <v>1627</v>
      </c>
    </row>
    <row r="259">
      <c r="A259" s="77" t="inlineStr">
        <is>
          <t>9104</t>
        </is>
      </c>
      <c r="B259" s="570">
        <f>銘柄管理!C259</f>
        <v/>
      </c>
      <c r="C259" s="570">
        <f>_xll.RssMarket("9104","始値")</f>
        <v/>
      </c>
      <c r="E259" s="570" t="n">
        <v>5251</v>
      </c>
      <c r="F259" s="570" t="n">
        <v>5343</v>
      </c>
      <c r="G259" s="570" t="n">
        <v>5420</v>
      </c>
      <c r="H259" s="570" t="n">
        <v>5459</v>
      </c>
      <c r="I259" s="570" t="n">
        <v>5686</v>
      </c>
      <c r="J259" s="570" t="n">
        <v>5742</v>
      </c>
      <c r="K259" s="570" t="n">
        <v>5757</v>
      </c>
      <c r="L259" s="570" t="n">
        <v>5636</v>
      </c>
      <c r="M259" s="570" t="n">
        <v>5878</v>
      </c>
      <c r="N259" s="570" t="n">
        <v>5784</v>
      </c>
      <c r="O259" s="570" t="n">
        <v>5685</v>
      </c>
      <c r="P259" s="570" t="n">
        <v>5433</v>
      </c>
      <c r="Q259" s="570" t="n">
        <v>5484</v>
      </c>
      <c r="R259" s="570" t="n">
        <v>5421</v>
      </c>
      <c r="S259" s="570" t="n">
        <v>5400</v>
      </c>
      <c r="T259" s="570" t="n">
        <v>5420</v>
      </c>
      <c r="U259" s="570" t="n">
        <v>5570</v>
      </c>
      <c r="V259" s="570" t="n">
        <v>5681</v>
      </c>
      <c r="W259" s="570" t="n">
        <v>5648</v>
      </c>
      <c r="X259" s="570" t="n">
        <v>5827</v>
      </c>
      <c r="Y259" s="570" t="n">
        <v>5794</v>
      </c>
      <c r="Z259" s="570" t="n">
        <v>5839</v>
      </c>
      <c r="AA259" s="570" t="n">
        <v>5861</v>
      </c>
      <c r="AB259" s="570" t="n">
        <v>5850</v>
      </c>
      <c r="AC259" s="570" t="n">
        <v>5886</v>
      </c>
      <c r="AD259" s="570" t="n">
        <v>5804</v>
      </c>
      <c r="AE259" s="570" t="n">
        <v>5783</v>
      </c>
      <c r="AF259" s="570" t="n">
        <v>5676</v>
      </c>
      <c r="AG259" s="570" t="n">
        <v>5796</v>
      </c>
      <c r="AH259" s="570" t="n">
        <v>5817</v>
      </c>
      <c r="AI259" s="570" t="n">
        <v>5890</v>
      </c>
      <c r="AJ259" s="570" t="n">
        <v>6000</v>
      </c>
      <c r="AK259" s="570" t="n">
        <v>5812</v>
      </c>
      <c r="AL259" s="570" t="n">
        <v>5950</v>
      </c>
      <c r="AM259" s="570" t="n">
        <v>6088</v>
      </c>
      <c r="AN259" s="570" t="n">
        <v>6051</v>
      </c>
      <c r="AO259" s="570" t="n">
        <v>6100</v>
      </c>
      <c r="AP259" s="570" t="n">
        <v>6100</v>
      </c>
      <c r="AQ259" s="570" t="n">
        <v>6252</v>
      </c>
      <c r="AR259" s="570" t="n">
        <v>6394</v>
      </c>
      <c r="AS259" s="570" t="n">
        <v>6300</v>
      </c>
      <c r="AT259" s="570" t="n">
        <v>6434</v>
      </c>
      <c r="AU259" s="570" t="n">
        <v>6300</v>
      </c>
      <c r="AV259" s="570" t="n">
        <v>6500</v>
      </c>
      <c r="AW259" s="570" t="n">
        <v>6600</v>
      </c>
      <c r="AX259" s="570" t="n">
        <v>6655</v>
      </c>
      <c r="AY259" s="570" t="n">
        <v>6890</v>
      </c>
      <c r="AZ259" s="570" t="n">
        <v>6850</v>
      </c>
      <c r="BA259" s="570" t="n">
        <v>6844</v>
      </c>
      <c r="BB259" s="570" t="n">
        <v>6801</v>
      </c>
      <c r="BC259" s="570" t="n">
        <v>6787</v>
      </c>
      <c r="BD259" s="570" t="n">
        <v>6492</v>
      </c>
      <c r="BE259" s="570" t="n">
        <v>6750</v>
      </c>
      <c r="BF259" s="570" t="n">
        <v>6700</v>
      </c>
      <c r="BG259" s="570" t="n">
        <v>6906</v>
      </c>
      <c r="BH259" s="570" t="n">
        <v>6782</v>
      </c>
      <c r="BI259" s="570" t="n">
        <v>6589</v>
      </c>
      <c r="BJ259" s="570" t="n">
        <v>6438</v>
      </c>
      <c r="BK259" s="570" t="n">
        <v>6834</v>
      </c>
      <c r="BL259" s="570" t="n">
        <v>7024</v>
      </c>
    </row>
    <row r="260">
      <c r="A260" s="77" t="inlineStr">
        <is>
          <t>6366</t>
        </is>
      </c>
      <c r="B260" s="570">
        <f>銘柄管理!C260</f>
        <v/>
      </c>
      <c r="C260" s="570">
        <f>_xll.RssMarket("6366","始値")</f>
        <v/>
      </c>
      <c r="E260" s="570" t="n">
        <v>745</v>
      </c>
      <c r="F260" s="570" t="n">
        <v>783</v>
      </c>
      <c r="G260" s="570" t="n">
        <v>800</v>
      </c>
      <c r="H260" s="570" t="n">
        <v>776</v>
      </c>
      <c r="I260" s="570" t="n">
        <v>759</v>
      </c>
      <c r="J260" s="570" t="n">
        <v>837</v>
      </c>
      <c r="K260" s="570" t="n">
        <v>704</v>
      </c>
      <c r="L260" s="570" t="n">
        <v>650</v>
      </c>
      <c r="M260" s="570" t="n">
        <v>698</v>
      </c>
      <c r="N260" s="570" t="n">
        <v>703</v>
      </c>
      <c r="O260" s="570" t="n">
        <v>723</v>
      </c>
      <c r="P260" s="570" t="n">
        <v>700</v>
      </c>
      <c r="Q260" s="570" t="n">
        <v>719</v>
      </c>
      <c r="R260" s="570" t="n">
        <v>701</v>
      </c>
      <c r="S260" s="570" t="n">
        <v>748</v>
      </c>
      <c r="T260" s="570" t="n">
        <v>775</v>
      </c>
      <c r="U260" s="570" t="n">
        <v>832</v>
      </c>
      <c r="V260" s="570" t="n">
        <v>807</v>
      </c>
      <c r="W260" s="570" t="n">
        <v>700</v>
      </c>
      <c r="X260" s="570" t="n">
        <v>740</v>
      </c>
      <c r="Y260" s="570" t="n">
        <v>757</v>
      </c>
      <c r="Z260" s="570" t="n">
        <v>771</v>
      </c>
      <c r="AA260" s="570" t="n">
        <v>807</v>
      </c>
      <c r="AB260" s="570" t="n">
        <v>821</v>
      </c>
      <c r="AC260" s="570" t="n">
        <v>810</v>
      </c>
      <c r="AD260" s="570" t="n">
        <v>810</v>
      </c>
      <c r="AE260" s="570" t="n">
        <v>828</v>
      </c>
      <c r="AF260" s="570" t="n">
        <v>986</v>
      </c>
      <c r="AG260" s="570" t="n">
        <v>992</v>
      </c>
      <c r="AH260" s="570" t="n">
        <v>1049</v>
      </c>
      <c r="AI260" s="570" t="n">
        <v>1010</v>
      </c>
      <c r="AJ260" s="570" t="n">
        <v>1045</v>
      </c>
      <c r="AK260" s="570" t="n">
        <v>1027</v>
      </c>
      <c r="AL260" s="570" t="n">
        <v>1000</v>
      </c>
      <c r="AM260" s="570" t="n">
        <v>1065</v>
      </c>
      <c r="AN260" s="570" t="n">
        <v>1050</v>
      </c>
      <c r="AO260" s="570" t="n">
        <v>1070</v>
      </c>
      <c r="AP260" s="570" t="n">
        <v>1101</v>
      </c>
      <c r="AQ260" s="570" t="n">
        <v>1166</v>
      </c>
      <c r="AR260" s="570" t="n">
        <v>1170</v>
      </c>
      <c r="AS260" s="570" t="n">
        <v>1120</v>
      </c>
      <c r="AT260" s="570" t="n">
        <v>1163</v>
      </c>
      <c r="AU260" s="570" t="n">
        <v>1162</v>
      </c>
      <c r="AV260" s="570" t="n">
        <v>1135</v>
      </c>
      <c r="AW260" s="570" t="n">
        <v>1213</v>
      </c>
      <c r="AX260" s="570" t="n">
        <v>1146</v>
      </c>
      <c r="AY260" s="570" t="n">
        <v>1065</v>
      </c>
      <c r="AZ260" s="570" t="n">
        <v>985</v>
      </c>
      <c r="BA260" s="570" t="n">
        <v>982</v>
      </c>
      <c r="BB260" s="570" t="n">
        <v>1008</v>
      </c>
      <c r="BC260" s="570" t="n">
        <v>1023</v>
      </c>
      <c r="BD260" s="570" t="n">
        <v>938</v>
      </c>
      <c r="BE260" s="570" t="n">
        <v>891</v>
      </c>
      <c r="BF260" s="570" t="n">
        <v>826</v>
      </c>
      <c r="BG260" s="570" t="n">
        <v>921</v>
      </c>
      <c r="BH260" s="570" t="n">
        <v>1016</v>
      </c>
      <c r="BI260" s="570" t="n">
        <v>1099</v>
      </c>
      <c r="BJ260" s="570" t="n">
        <v>1057</v>
      </c>
      <c r="BK260" s="570" t="n">
        <v>1052</v>
      </c>
      <c r="BL260" s="570" t="n">
        <v>1225</v>
      </c>
    </row>
    <row r="261">
      <c r="A261" s="77" t="inlineStr">
        <is>
          <t>6140</t>
        </is>
      </c>
      <c r="B261" s="570">
        <f>銘柄管理!C261</f>
        <v/>
      </c>
      <c r="C261" s="570">
        <f>_xll.RssMarket("6140","始値")</f>
        <v/>
      </c>
      <c r="E261" s="570" t="n">
        <v>1314</v>
      </c>
      <c r="F261" s="570" t="n">
        <v>1328</v>
      </c>
      <c r="G261" s="570" t="n">
        <v>1320</v>
      </c>
      <c r="H261" s="570" t="n">
        <v>1284</v>
      </c>
      <c r="I261" s="570" t="n">
        <v>1313</v>
      </c>
      <c r="J261" s="570" t="n">
        <v>1284</v>
      </c>
      <c r="K261" s="570" t="n">
        <v>1238</v>
      </c>
      <c r="L261" s="570" t="n">
        <v>1196</v>
      </c>
      <c r="M261" s="570" t="n">
        <v>1259</v>
      </c>
      <c r="N261" s="570" t="n">
        <v>1286</v>
      </c>
      <c r="O261" s="570" t="n">
        <v>1300</v>
      </c>
      <c r="P261" s="570" t="n">
        <v>1301</v>
      </c>
      <c r="Q261" s="570" t="n">
        <v>1319</v>
      </c>
      <c r="R261" s="570" t="n">
        <v>1350</v>
      </c>
      <c r="S261" s="570" t="n">
        <v>1357</v>
      </c>
      <c r="T261" s="570" t="n">
        <v>1335</v>
      </c>
      <c r="U261" s="570" t="n">
        <v>1399</v>
      </c>
      <c r="V261" s="570" t="n">
        <v>1370</v>
      </c>
      <c r="W261" s="570" t="n">
        <v>1271</v>
      </c>
      <c r="X261" s="570" t="n">
        <v>1320</v>
      </c>
      <c r="Y261" s="570" t="n">
        <v>1272</v>
      </c>
      <c r="Z261" s="570" t="n">
        <v>1315</v>
      </c>
      <c r="AA261" s="570" t="n">
        <v>1280</v>
      </c>
      <c r="AB261" s="570" t="n">
        <v>1375</v>
      </c>
      <c r="AC261" s="570" t="n">
        <v>1402</v>
      </c>
      <c r="AD261" s="570" t="n">
        <v>1355</v>
      </c>
      <c r="AE261" s="570" t="n">
        <v>1333</v>
      </c>
      <c r="AF261" s="570" t="n">
        <v>1341</v>
      </c>
      <c r="AG261" s="570" t="n">
        <v>1310</v>
      </c>
      <c r="AH261" s="570" t="n">
        <v>1314</v>
      </c>
      <c r="AI261" s="570" t="n">
        <v>1285</v>
      </c>
      <c r="AJ261" s="570" t="n">
        <v>1289</v>
      </c>
      <c r="AK261" s="570" t="n">
        <v>1287</v>
      </c>
      <c r="AL261" s="570" t="n">
        <v>1310</v>
      </c>
      <c r="AM261" s="570" t="n">
        <v>1300</v>
      </c>
      <c r="AN261" s="570" t="n">
        <v>1302</v>
      </c>
      <c r="AO261" s="570" t="n">
        <v>1301</v>
      </c>
      <c r="AP261" s="570" t="n">
        <v>1321</v>
      </c>
      <c r="AQ261" s="570" t="n">
        <v>1392</v>
      </c>
      <c r="AR261" s="570" t="n">
        <v>1293</v>
      </c>
      <c r="AS261" s="570" t="n">
        <v>1163</v>
      </c>
      <c r="AT261" s="570" t="n">
        <v>1176</v>
      </c>
      <c r="AU261" s="570" t="n">
        <v>1173</v>
      </c>
      <c r="AV261" s="570" t="n">
        <v>1147</v>
      </c>
      <c r="AW261" s="570" t="n">
        <v>1165</v>
      </c>
      <c r="AX261" s="570" t="n">
        <v>1200</v>
      </c>
      <c r="AY261" s="570" t="n">
        <v>1197</v>
      </c>
      <c r="AZ261" s="570" t="n">
        <v>1160</v>
      </c>
      <c r="BA261" s="570" t="n">
        <v>1202</v>
      </c>
      <c r="BB261" s="570" t="n">
        <v>1222</v>
      </c>
      <c r="BC261" s="570" t="n">
        <v>1255</v>
      </c>
      <c r="BD261" s="570" t="n">
        <v>1229</v>
      </c>
      <c r="BE261" s="570" t="n">
        <v>1201</v>
      </c>
      <c r="BF261" s="570" t="n">
        <v>1211</v>
      </c>
      <c r="BG261" s="570" t="n">
        <v>1242</v>
      </c>
      <c r="BH261" s="570" t="n">
        <v>1281</v>
      </c>
      <c r="BI261" s="570" t="n">
        <v>1265</v>
      </c>
      <c r="BJ261" s="570" t="n">
        <v>1269</v>
      </c>
      <c r="BK261" s="570" t="n">
        <v>1282</v>
      </c>
      <c r="BL261" s="570" t="n">
        <v>1355</v>
      </c>
    </row>
    <row r="262">
      <c r="A262" s="77" t="inlineStr">
        <is>
          <t>1514</t>
        </is>
      </c>
      <c r="B262" s="570">
        <f>銘柄管理!C262</f>
        <v/>
      </c>
      <c r="C262" s="570">
        <f>_xll.RssMarket("1514","始値")</f>
        <v/>
      </c>
      <c r="E262" s="570" t="n">
        <v>531</v>
      </c>
      <c r="F262" s="570" t="n">
        <v>530</v>
      </c>
      <c r="G262" s="570" t="n">
        <v>550</v>
      </c>
      <c r="H262" s="570" t="n">
        <v>544</v>
      </c>
      <c r="I262" s="570" t="n">
        <v>554</v>
      </c>
      <c r="J262" s="570" t="n">
        <v>551</v>
      </c>
      <c r="K262" s="570" t="n">
        <v>553</v>
      </c>
      <c r="L262" s="570" t="n">
        <v>550</v>
      </c>
      <c r="M262" s="570" t="n">
        <v>561</v>
      </c>
      <c r="N262" s="570" t="n">
        <v>566</v>
      </c>
      <c r="O262" s="570" t="n">
        <v>564</v>
      </c>
      <c r="P262" s="570" t="n">
        <v>557</v>
      </c>
      <c r="Q262" s="570" t="n">
        <v>564</v>
      </c>
      <c r="R262" s="570" t="n">
        <v>563</v>
      </c>
      <c r="S262" s="570" t="n">
        <v>588</v>
      </c>
      <c r="T262" s="570" t="n">
        <v>605</v>
      </c>
      <c r="U262" s="570" t="n">
        <v>620</v>
      </c>
      <c r="V262" s="570" t="n">
        <v>603</v>
      </c>
      <c r="W262" s="570" t="n">
        <v>599</v>
      </c>
      <c r="X262" s="570" t="n">
        <v>598</v>
      </c>
      <c r="Y262" s="570" t="n">
        <v>615</v>
      </c>
      <c r="Z262" s="570" t="n">
        <v>631</v>
      </c>
      <c r="AA262" s="570" t="n">
        <v>647</v>
      </c>
      <c r="AB262" s="570" t="n">
        <v>700</v>
      </c>
      <c r="AC262" s="570" t="n">
        <v>720</v>
      </c>
      <c r="AD262" s="570" t="n">
        <v>730</v>
      </c>
      <c r="AE262" s="570" t="n">
        <v>738</v>
      </c>
      <c r="AF262" s="570" t="n">
        <v>744</v>
      </c>
      <c r="AG262" s="570" t="n">
        <v>760</v>
      </c>
      <c r="AH262" s="570" t="n">
        <v>745</v>
      </c>
      <c r="AI262" s="570" t="n">
        <v>760</v>
      </c>
      <c r="AJ262" s="570" t="n">
        <v>795</v>
      </c>
      <c r="AK262" s="570" t="n">
        <v>771</v>
      </c>
      <c r="AL262" s="570" t="n">
        <v>784</v>
      </c>
      <c r="AM262" s="570" t="n">
        <v>810</v>
      </c>
      <c r="AN262" s="570" t="n">
        <v>835</v>
      </c>
      <c r="AO262" s="570" t="n">
        <v>860</v>
      </c>
      <c r="AP262" s="570" t="n">
        <v>869</v>
      </c>
      <c r="AQ262" s="570" t="n">
        <v>850</v>
      </c>
      <c r="AR262" s="570" t="n">
        <v>873</v>
      </c>
      <c r="AS262" s="570" t="n">
        <v>890</v>
      </c>
      <c r="AT262" s="570" t="n">
        <v>842</v>
      </c>
      <c r="AU262" s="570" t="n">
        <v>850</v>
      </c>
      <c r="AV262" s="570" t="n">
        <v>867</v>
      </c>
      <c r="AW262" s="570" t="n">
        <v>872</v>
      </c>
      <c r="AX262" s="570" t="n">
        <v>899</v>
      </c>
      <c r="AY262" s="570" t="n">
        <v>885</v>
      </c>
      <c r="AZ262" s="570" t="n">
        <v>924</v>
      </c>
      <c r="BA262" s="570" t="n">
        <v>953</v>
      </c>
      <c r="BB262" s="570" t="n">
        <v>950</v>
      </c>
      <c r="BC262" s="570" t="n">
        <v>946</v>
      </c>
      <c r="BD262" s="570" t="n">
        <v>950</v>
      </c>
      <c r="BE262" s="570" t="n">
        <v>1125</v>
      </c>
      <c r="BF262" s="570" t="n">
        <v>1125</v>
      </c>
      <c r="BG262" s="570" t="n">
        <v>1008</v>
      </c>
      <c r="BH262" s="570" t="n">
        <v>900</v>
      </c>
      <c r="BI262" s="570" t="n">
        <v>870</v>
      </c>
      <c r="BJ262" s="570" t="n">
        <v>885</v>
      </c>
      <c r="BK262" s="570" t="n">
        <v>941</v>
      </c>
      <c r="BL262" s="570" t="n">
        <v>1063</v>
      </c>
    </row>
    <row r="263">
      <c r="A263" s="77" t="inlineStr">
        <is>
          <t>5631</t>
        </is>
      </c>
      <c r="B263" s="570">
        <f>銘柄管理!C263</f>
        <v/>
      </c>
      <c r="C263" s="570">
        <f>_xll.RssMarket("5631","始値")</f>
        <v/>
      </c>
      <c r="E263" s="570" t="n">
        <v>7952</v>
      </c>
      <c r="F263" s="570" t="n">
        <v>8258</v>
      </c>
      <c r="G263" s="570" t="n">
        <v>8519</v>
      </c>
      <c r="H263" s="570" t="n">
        <v>7850</v>
      </c>
      <c r="I263" s="570" t="n">
        <v>7828</v>
      </c>
      <c r="J263" s="570" t="n">
        <v>7749</v>
      </c>
      <c r="K263" s="570" t="n">
        <v>7414</v>
      </c>
      <c r="L263" s="570" t="n">
        <v>6779</v>
      </c>
      <c r="M263" s="570" t="n">
        <v>7317</v>
      </c>
      <c r="N263" s="570" t="n">
        <v>7660</v>
      </c>
      <c r="O263" s="570" t="n">
        <v>7486</v>
      </c>
      <c r="P263" s="570" t="n">
        <v>7255</v>
      </c>
      <c r="Q263" s="570" t="n">
        <v>7349</v>
      </c>
      <c r="R263" s="570" t="n">
        <v>7418</v>
      </c>
      <c r="S263" s="570" t="n">
        <v>7703</v>
      </c>
      <c r="T263" s="570" t="n">
        <v>8000</v>
      </c>
      <c r="U263" s="570" t="n">
        <v>8393</v>
      </c>
      <c r="V263" s="570" t="n">
        <v>7992</v>
      </c>
      <c r="W263" s="570" t="n">
        <v>7767</v>
      </c>
      <c r="X263" s="570" t="n">
        <v>8085</v>
      </c>
      <c r="Y263" s="570" t="n">
        <v>8086</v>
      </c>
      <c r="Z263" s="570" t="n">
        <v>7881</v>
      </c>
      <c r="AA263" s="570" t="n">
        <v>7873</v>
      </c>
      <c r="AB263" s="570" t="n">
        <v>8100</v>
      </c>
      <c r="AC263" s="570" t="n">
        <v>8601</v>
      </c>
      <c r="AD263" s="570" t="n">
        <v>8825</v>
      </c>
      <c r="AE263" s="570" t="n">
        <v>9067</v>
      </c>
      <c r="AF263" s="570" t="n">
        <v>9359</v>
      </c>
      <c r="AG263" s="570" t="n">
        <v>9149</v>
      </c>
      <c r="AH263" s="570" t="n">
        <v>9280</v>
      </c>
      <c r="AI263" s="570" t="n">
        <v>9450</v>
      </c>
      <c r="AJ263" s="570" t="n">
        <v>9681</v>
      </c>
      <c r="AK263" s="570" t="n">
        <v>9603</v>
      </c>
      <c r="AL263" s="570" t="n">
        <v>9780</v>
      </c>
      <c r="AM263" s="570" t="n">
        <v>9846</v>
      </c>
      <c r="AN263" s="570" t="n">
        <v>9640</v>
      </c>
      <c r="AO263" s="570" t="n">
        <v>9322</v>
      </c>
      <c r="AP263" s="570" t="n">
        <v>9197</v>
      </c>
      <c r="AQ263" s="570" t="n">
        <v>9080</v>
      </c>
      <c r="AR263" s="570" t="n">
        <v>9210</v>
      </c>
      <c r="AS263" s="570" t="n">
        <v>9100</v>
      </c>
      <c r="AT263" s="570" t="n">
        <v>9849</v>
      </c>
      <c r="AU263" s="570" t="n">
        <v>9880</v>
      </c>
      <c r="AV263" s="570" t="n">
        <v>9735</v>
      </c>
      <c r="AW263" s="570" t="n">
        <v>9990</v>
      </c>
      <c r="AX263" s="570" t="n">
        <v>9760</v>
      </c>
      <c r="AY263" s="570" t="n">
        <v>9919</v>
      </c>
      <c r="AZ263" s="570" t="n">
        <v>9777</v>
      </c>
      <c r="BA263" s="570" t="n">
        <v>9596</v>
      </c>
      <c r="BB263" s="570" t="n">
        <v>9345</v>
      </c>
      <c r="BC263" s="570" t="n">
        <v>9350</v>
      </c>
      <c r="BD263" s="570" t="n">
        <v>8904</v>
      </c>
      <c r="BE263" s="570" t="n">
        <v>8574</v>
      </c>
      <c r="BF263" s="570" t="n">
        <v>8704</v>
      </c>
      <c r="BG263" s="570" t="n">
        <v>9226</v>
      </c>
      <c r="BH263" s="570" t="n">
        <v>9670</v>
      </c>
      <c r="BI263" s="570" t="n">
        <v>9407</v>
      </c>
      <c r="BJ263" s="570" t="n">
        <v>9937</v>
      </c>
      <c r="BK263" s="570" t="n">
        <v>10000</v>
      </c>
      <c r="BL263" s="570" t="n">
        <v>9930</v>
      </c>
    </row>
    <row r="264">
      <c r="A264" s="77" t="inlineStr">
        <is>
          <t>6674</t>
        </is>
      </c>
      <c r="B264" s="570">
        <f>銘柄管理!C264</f>
        <v/>
      </c>
      <c r="C264" s="570">
        <f>_xll.RssMarket("6674","始値")</f>
        <v/>
      </c>
      <c r="E264" s="570" t="n">
        <v>7696</v>
      </c>
      <c r="F264" s="570" t="n">
        <v>6786</v>
      </c>
      <c r="G264" s="570" t="n">
        <v>6660</v>
      </c>
      <c r="H264" s="570" t="n">
        <v>6668</v>
      </c>
      <c r="I264" s="570" t="n">
        <v>6319</v>
      </c>
      <c r="J264" s="570" t="n">
        <v>6380</v>
      </c>
      <c r="K264" s="570" t="n">
        <v>6397</v>
      </c>
      <c r="L264" s="570" t="n">
        <v>6112</v>
      </c>
      <c r="M264" s="570" t="n">
        <v>6769</v>
      </c>
      <c r="N264" s="570" t="n">
        <v>6933</v>
      </c>
      <c r="O264" s="570" t="n">
        <v>7113</v>
      </c>
      <c r="P264" s="570" t="n">
        <v>7500</v>
      </c>
      <c r="Q264" s="570" t="n">
        <v>7202</v>
      </c>
      <c r="R264" s="570" t="n">
        <v>7000</v>
      </c>
      <c r="S264" s="570" t="n">
        <v>6700</v>
      </c>
      <c r="T264" s="570" t="n">
        <v>6284</v>
      </c>
      <c r="U264" s="570" t="n">
        <v>6348</v>
      </c>
      <c r="V264" s="570" t="n">
        <v>6300</v>
      </c>
      <c r="W264" s="570" t="n">
        <v>6030</v>
      </c>
      <c r="X264" s="570" t="n">
        <v>6160</v>
      </c>
      <c r="Y264" s="570" t="n">
        <v>6236</v>
      </c>
      <c r="Z264" s="570" t="n">
        <v>6319</v>
      </c>
      <c r="AA264" s="570" t="n">
        <v>6365</v>
      </c>
      <c r="AB264" s="570" t="n">
        <v>6368</v>
      </c>
      <c r="AC264" s="570" t="n">
        <v>6439</v>
      </c>
      <c r="AD264" s="570" t="n">
        <v>6604</v>
      </c>
      <c r="AE264" s="570" t="n">
        <v>6665</v>
      </c>
      <c r="AF264" s="570" t="n">
        <v>6750</v>
      </c>
      <c r="AG264" s="570" t="n">
        <v>6465</v>
      </c>
      <c r="AH264" s="570" t="n">
        <v>6533</v>
      </c>
      <c r="AI264" s="570" t="n">
        <v>6224</v>
      </c>
      <c r="AJ264" s="570" t="n">
        <v>6081</v>
      </c>
      <c r="AK264" s="570" t="n">
        <v>6190</v>
      </c>
      <c r="AL264" s="570" t="n">
        <v>6280</v>
      </c>
      <c r="AM264" s="570" t="n">
        <v>6300</v>
      </c>
      <c r="AN264" s="570" t="n">
        <v>6352</v>
      </c>
      <c r="AO264" s="570" t="n">
        <v>6521</v>
      </c>
      <c r="AP264" s="570" t="n">
        <v>6803</v>
      </c>
      <c r="AQ264" s="570" t="n">
        <v>6787</v>
      </c>
      <c r="AR264" s="570" t="n">
        <v>6757</v>
      </c>
      <c r="AS264" s="570" t="n">
        <v>6620</v>
      </c>
      <c r="AT264" s="570" t="n">
        <v>6797</v>
      </c>
      <c r="AU264" s="570" t="n">
        <v>6464</v>
      </c>
      <c r="AV264" s="570" t="n">
        <v>6287</v>
      </c>
      <c r="AW264" s="570" t="n">
        <v>6236</v>
      </c>
      <c r="AX264" s="570" t="n">
        <v>6176</v>
      </c>
      <c r="AY264" s="570" t="n">
        <v>6129</v>
      </c>
      <c r="AZ264" s="570" t="n">
        <v>5900</v>
      </c>
      <c r="BA264" s="570" t="n">
        <v>5900</v>
      </c>
      <c r="BB264" s="570" t="n">
        <v>5750</v>
      </c>
      <c r="BC264" s="570" t="n">
        <v>5836</v>
      </c>
      <c r="BD264" s="570" t="n">
        <v>5613</v>
      </c>
      <c r="BE264" s="570" t="n">
        <v>5291</v>
      </c>
      <c r="BF264" s="570" t="n">
        <v>5151</v>
      </c>
      <c r="BG264" s="570" t="n">
        <v>5090</v>
      </c>
      <c r="BH264" s="570" t="n">
        <v>5212</v>
      </c>
      <c r="BI264" s="570" t="n">
        <v>5215</v>
      </c>
      <c r="BJ264" s="570" t="n">
        <v>5004</v>
      </c>
      <c r="BK264" s="570" t="n">
        <v>4831</v>
      </c>
      <c r="BL264" s="570" t="n">
        <v>5100</v>
      </c>
    </row>
    <row r="265">
      <c r="A265" s="77" t="inlineStr">
        <is>
          <t>6955</t>
        </is>
      </c>
      <c r="B265" s="570">
        <f>銘柄管理!C265</f>
        <v/>
      </c>
      <c r="C265" s="570">
        <f>_xll.RssMarket("6955","始値")</f>
        <v/>
      </c>
      <c r="E265" s="570" t="n">
        <v>521</v>
      </c>
      <c r="F265" s="570" t="n">
        <v>510</v>
      </c>
      <c r="G265" s="570" t="n">
        <v>502</v>
      </c>
      <c r="H265" s="570" t="n">
        <v>478</v>
      </c>
      <c r="I265" s="570" t="n">
        <v>517</v>
      </c>
      <c r="J265" s="570" t="n">
        <v>515</v>
      </c>
      <c r="K265" s="570" t="n">
        <v>506</v>
      </c>
      <c r="L265" s="570" t="n">
        <v>551</v>
      </c>
      <c r="M265" s="570" t="n">
        <v>604</v>
      </c>
      <c r="N265" s="570" t="n">
        <v>495</v>
      </c>
      <c r="O265" s="570" t="n">
        <v>489</v>
      </c>
      <c r="P265" s="570" t="n">
        <v>469</v>
      </c>
      <c r="Q265" s="570" t="n">
        <v>431</v>
      </c>
      <c r="R265" s="570" t="n">
        <v>451</v>
      </c>
      <c r="S265" s="570" t="n">
        <v>432</v>
      </c>
      <c r="T265" s="570" t="n">
        <v>411</v>
      </c>
      <c r="U265" s="570" t="n">
        <v>413</v>
      </c>
      <c r="V265" s="570" t="n">
        <v>407</v>
      </c>
      <c r="W265" s="570" t="n">
        <v>414</v>
      </c>
      <c r="X265" s="570" t="n">
        <v>416</v>
      </c>
      <c r="Y265" s="570" t="n">
        <v>416</v>
      </c>
      <c r="Z265" s="570" t="n">
        <v>418</v>
      </c>
      <c r="AA265" s="570" t="n">
        <v>432</v>
      </c>
      <c r="AB265" s="570" t="n">
        <v>426</v>
      </c>
      <c r="AC265" s="570" t="n">
        <v>435</v>
      </c>
      <c r="AD265" s="570" t="n">
        <v>432</v>
      </c>
      <c r="AE265" s="570" t="n">
        <v>443</v>
      </c>
      <c r="AF265" s="570" t="n">
        <v>455</v>
      </c>
      <c r="AG265" s="570" t="n">
        <v>452</v>
      </c>
      <c r="AH265" s="570" t="n">
        <v>432</v>
      </c>
      <c r="AI265" s="570" t="n">
        <v>447</v>
      </c>
      <c r="AJ265" s="570" t="n">
        <v>454</v>
      </c>
      <c r="AK265" s="570" t="n">
        <v>450</v>
      </c>
      <c r="AL265" s="570" t="n">
        <v>451</v>
      </c>
      <c r="AM265" s="570" t="n">
        <v>448</v>
      </c>
      <c r="AN265" s="570" t="n">
        <v>450</v>
      </c>
      <c r="AO265" s="570" t="n">
        <v>457</v>
      </c>
      <c r="AP265" s="570" t="n">
        <v>453</v>
      </c>
      <c r="AQ265" s="570" t="n">
        <v>458</v>
      </c>
      <c r="AR265" s="570" t="n">
        <v>452</v>
      </c>
      <c r="AS265" s="570" t="n">
        <v>456</v>
      </c>
      <c r="AT265" s="570" t="n">
        <v>457</v>
      </c>
      <c r="AU265" s="570" t="n">
        <v>446</v>
      </c>
      <c r="AV265" s="570" t="n">
        <v>470</v>
      </c>
      <c r="AW265" s="570" t="n">
        <v>492</v>
      </c>
      <c r="AX265" s="570" t="n">
        <v>484</v>
      </c>
      <c r="AY265" s="570" t="n">
        <v>477</v>
      </c>
      <c r="AZ265" s="570" t="n">
        <v>477</v>
      </c>
      <c r="BA265" s="570" t="n">
        <v>462</v>
      </c>
      <c r="BB265" s="570" t="n">
        <v>478</v>
      </c>
      <c r="BC265" s="570" t="n">
        <v>480</v>
      </c>
      <c r="BD265" s="570" t="n">
        <v>469</v>
      </c>
      <c r="BE265" s="570" t="n">
        <v>475</v>
      </c>
      <c r="BF265" s="570" t="n">
        <v>486</v>
      </c>
      <c r="BG265" s="570" t="n">
        <v>491</v>
      </c>
      <c r="BH265" s="570" t="n">
        <v>484</v>
      </c>
      <c r="BI265" s="570" t="n">
        <v>485</v>
      </c>
      <c r="BJ265" s="570" t="n">
        <v>493</v>
      </c>
      <c r="BK265" s="570" t="n">
        <v>493</v>
      </c>
      <c r="BL265" s="570" t="n">
        <v>526</v>
      </c>
    </row>
    <row r="266">
      <c r="A266" s="77" t="inlineStr">
        <is>
          <t>281A</t>
        </is>
      </c>
      <c r="B266" s="570">
        <f>銘柄管理!C266</f>
        <v/>
      </c>
      <c r="C266" s="570">
        <f>_xll.RssMarket("281A","始値")</f>
        <v/>
      </c>
      <c r="E266" s="570" t="n">
        <v>570</v>
      </c>
      <c r="F266" s="570" t="n">
        <v>620</v>
      </c>
      <c r="G266" s="570" t="n">
        <v>645</v>
      </c>
      <c r="H266" s="570" t="n">
        <v>605</v>
      </c>
      <c r="I266" s="570" t="n">
        <v>644</v>
      </c>
      <c r="J266" s="570" t="n">
        <v>634</v>
      </c>
      <c r="K266" s="570" t="n">
        <v>547</v>
      </c>
      <c r="L266" s="570" t="n">
        <v>533</v>
      </c>
      <c r="M266" s="570" t="n">
        <v>555</v>
      </c>
      <c r="N266" s="570" t="n">
        <v>586</v>
      </c>
      <c r="O266" s="570" t="n">
        <v>642</v>
      </c>
      <c r="P266" s="570" t="n">
        <v>705</v>
      </c>
      <c r="Q266" s="570" t="n">
        <v>699</v>
      </c>
      <c r="R266" s="570" t="n">
        <v>697</v>
      </c>
      <c r="S266" s="570" t="n">
        <v>834</v>
      </c>
      <c r="T266" s="570" t="n">
        <v>835</v>
      </c>
      <c r="U266" s="570" t="n">
        <v>890</v>
      </c>
      <c r="V266" s="570" t="n">
        <v>848</v>
      </c>
      <c r="W266" s="570" t="n">
        <v>765</v>
      </c>
      <c r="X266" s="570" t="n">
        <v>783</v>
      </c>
      <c r="Y266" s="570" t="n">
        <v>833</v>
      </c>
      <c r="Z266" s="570" t="n">
        <v>823</v>
      </c>
      <c r="AA266" s="570" t="n">
        <v>735</v>
      </c>
      <c r="AB266" s="570" t="n">
        <v>791</v>
      </c>
      <c r="AC266" s="570" t="n">
        <v>748</v>
      </c>
      <c r="AD266" s="570" t="n">
        <v>754</v>
      </c>
      <c r="AE266" s="570" t="n">
        <v>795</v>
      </c>
      <c r="AF266" s="570" t="n">
        <v>824</v>
      </c>
      <c r="AG266" s="570" t="n">
        <v>766</v>
      </c>
      <c r="AH266" s="570" t="n">
        <v>760</v>
      </c>
      <c r="AI266" s="570" t="n">
        <v>717</v>
      </c>
      <c r="AJ266" s="570" t="n">
        <v>720</v>
      </c>
      <c r="AK266" s="570" t="n">
        <v>769</v>
      </c>
      <c r="AL266" s="570" t="n">
        <v>808</v>
      </c>
      <c r="AM266" s="570" t="n">
        <v>800</v>
      </c>
      <c r="AN266" s="570" t="n">
        <v>792</v>
      </c>
      <c r="AO266" s="570" t="n">
        <v>880</v>
      </c>
      <c r="AP266" s="570" t="n">
        <v>958</v>
      </c>
      <c r="AQ266" s="570" t="n">
        <v>803</v>
      </c>
      <c r="AR266" s="570" t="n">
        <v>742</v>
      </c>
      <c r="AS266" s="570" t="n">
        <v>765</v>
      </c>
      <c r="AT266" s="570" t="n">
        <v>675</v>
      </c>
      <c r="AU266" s="570" t="n">
        <v>674</v>
      </c>
      <c r="AV266" s="570" t="n">
        <v>687</v>
      </c>
      <c r="AW266" s="570" t="n">
        <v>681</v>
      </c>
      <c r="AX266" s="570" t="n">
        <v>562</v>
      </c>
      <c r="AY266" s="570" t="n">
        <v>527</v>
      </c>
      <c r="AZ266" s="570" t="n">
        <v>624</v>
      </c>
      <c r="BA266" s="570" t="n">
        <v>577</v>
      </c>
      <c r="BB266" s="570" t="n">
        <v>445</v>
      </c>
      <c r="BC266" s="570" t="n">
        <v>454</v>
      </c>
      <c r="BD266" s="570" t="n">
        <v>465</v>
      </c>
      <c r="BE266" s="570" t="n">
        <v>475</v>
      </c>
      <c r="BF266" s="570" t="n">
        <v>448</v>
      </c>
      <c r="BG266" s="570" t="n">
        <v>487</v>
      </c>
      <c r="BH266" s="570" t="n">
        <v>530</v>
      </c>
      <c r="BI266" s="570" t="n">
        <v>671</v>
      </c>
      <c r="BJ266" s="570" t="n">
        <v>600</v>
      </c>
      <c r="BK266" s="570" t="n">
        <v>590</v>
      </c>
      <c r="BL266" s="570" t="n">
        <v>587</v>
      </c>
    </row>
    <row r="267">
      <c r="A267" s="77" t="inlineStr">
        <is>
          <t>6356</t>
        </is>
      </c>
      <c r="B267" s="570">
        <f>銘柄管理!C267</f>
        <v/>
      </c>
      <c r="C267" s="570">
        <f>_xll.RssMarket("6356","始値")</f>
        <v/>
      </c>
      <c r="E267" s="570" t="n">
        <v>1500</v>
      </c>
      <c r="F267" s="570" t="n">
        <v>1542</v>
      </c>
      <c r="G267" s="570" t="n">
        <v>1556</v>
      </c>
      <c r="H267" s="570" t="n">
        <v>1420</v>
      </c>
      <c r="I267" s="570" t="n">
        <v>1445</v>
      </c>
      <c r="J267" s="570" t="n">
        <v>1437</v>
      </c>
      <c r="K267" s="570" t="n">
        <v>1468</v>
      </c>
      <c r="L267" s="570" t="n">
        <v>1365</v>
      </c>
      <c r="M267" s="570" t="n">
        <v>1526</v>
      </c>
      <c r="N267" s="570" t="n">
        <v>1506</v>
      </c>
      <c r="O267" s="570" t="n">
        <v>1531</v>
      </c>
      <c r="P267" s="570" t="n">
        <v>1488</v>
      </c>
      <c r="Q267" s="570" t="n">
        <v>1477</v>
      </c>
      <c r="R267" s="570" t="n">
        <v>1481</v>
      </c>
      <c r="S267" s="570" t="n">
        <v>1707</v>
      </c>
      <c r="T267" s="570" t="n">
        <v>1661</v>
      </c>
      <c r="U267" s="570" t="n">
        <v>1766</v>
      </c>
      <c r="V267" s="570" t="n">
        <v>1525</v>
      </c>
      <c r="W267" s="570" t="n">
        <v>1361</v>
      </c>
      <c r="X267" s="570" t="n">
        <v>1401</v>
      </c>
      <c r="Y267" s="570" t="n">
        <v>1462</v>
      </c>
      <c r="Z267" s="570" t="n">
        <v>1398</v>
      </c>
      <c r="AA267" s="570" t="n">
        <v>1438</v>
      </c>
      <c r="AB267" s="570" t="n">
        <v>1406</v>
      </c>
      <c r="AC267" s="570" t="n">
        <v>1475</v>
      </c>
      <c r="AD267" s="570" t="n">
        <v>1580</v>
      </c>
      <c r="AE267" s="570" t="n">
        <v>1482</v>
      </c>
      <c r="AF267" s="570" t="n">
        <v>1495</v>
      </c>
      <c r="AG267" s="570" t="n">
        <v>1507</v>
      </c>
      <c r="AH267" s="570" t="n">
        <v>1574</v>
      </c>
      <c r="AI267" s="570" t="n">
        <v>1679</v>
      </c>
      <c r="AJ267" s="570" t="n">
        <v>1628</v>
      </c>
      <c r="AK267" s="570" t="n">
        <v>1649</v>
      </c>
      <c r="AL267" s="570" t="n">
        <v>1486</v>
      </c>
      <c r="AM267" s="570" t="n">
        <v>1450</v>
      </c>
      <c r="AN267" s="570" t="n">
        <v>1265</v>
      </c>
      <c r="AO267" s="570" t="n">
        <v>1320</v>
      </c>
      <c r="AP267" s="570" t="n">
        <v>1318</v>
      </c>
      <c r="AQ267" s="570" t="n">
        <v>1328</v>
      </c>
      <c r="AR267" s="570" t="n">
        <v>1328</v>
      </c>
      <c r="AS267" s="570" t="n">
        <v>1293</v>
      </c>
      <c r="AT267" s="570" t="n">
        <v>1318</v>
      </c>
      <c r="AU267" s="570" t="n">
        <v>1200</v>
      </c>
      <c r="AV267" s="570" t="n">
        <v>1284</v>
      </c>
      <c r="AW267" s="570" t="n">
        <v>1274</v>
      </c>
      <c r="AX267" s="570" t="n">
        <v>1219</v>
      </c>
      <c r="AY267" s="570" t="n">
        <v>1195</v>
      </c>
      <c r="AZ267" s="570" t="n">
        <v>1213</v>
      </c>
      <c r="BA267" s="570" t="n">
        <v>1230</v>
      </c>
      <c r="BB267" s="570" t="n">
        <v>1296</v>
      </c>
      <c r="BC267" s="570" t="n">
        <v>1368</v>
      </c>
      <c r="BD267" s="570" t="n">
        <v>1377</v>
      </c>
      <c r="BE267" s="570" t="n">
        <v>1375</v>
      </c>
      <c r="BF267" s="570" t="n">
        <v>1465</v>
      </c>
      <c r="BG267" s="570" t="n">
        <v>1584</v>
      </c>
      <c r="BH267" s="570" t="n">
        <v>1562</v>
      </c>
      <c r="BI267" s="570" t="n">
        <v>1567</v>
      </c>
      <c r="BJ267" s="570" t="n">
        <v>1741</v>
      </c>
      <c r="BK267" s="570" t="n">
        <v>1843</v>
      </c>
      <c r="BL267" s="570" t="n">
        <v>1661</v>
      </c>
    </row>
    <row r="268">
      <c r="A268" s="77" t="inlineStr">
        <is>
          <t>7711</t>
        </is>
      </c>
      <c r="B268" s="570">
        <f>銘柄管理!C268</f>
        <v/>
      </c>
      <c r="C268" s="570">
        <f>_xll.RssMarket("7711","始値")</f>
        <v/>
      </c>
      <c r="E268" s="570" t="n">
        <v>5600</v>
      </c>
      <c r="F268" s="570" t="n">
        <v>5470</v>
      </c>
      <c r="G268" s="570" t="n">
        <v>5660</v>
      </c>
      <c r="H268" s="570" t="n">
        <v>5200</v>
      </c>
      <c r="I268" s="570" t="n">
        <v>4835</v>
      </c>
      <c r="J268" s="570" t="n">
        <v>4855</v>
      </c>
      <c r="K268" s="570" t="n">
        <v>4800</v>
      </c>
      <c r="L268" s="570" t="n">
        <v>4515</v>
      </c>
      <c r="M268" s="570" t="n">
        <v>4840</v>
      </c>
      <c r="N268" s="570" t="n">
        <v>5190</v>
      </c>
      <c r="O268" s="570" t="n">
        <v>5360</v>
      </c>
      <c r="P268" s="570" t="n">
        <v>5050</v>
      </c>
      <c r="Q268" s="570" t="n">
        <v>5240</v>
      </c>
      <c r="R268" s="570" t="n">
        <v>5260</v>
      </c>
      <c r="S268" s="570" t="n">
        <v>5450</v>
      </c>
      <c r="T268" s="570" t="n">
        <v>5490</v>
      </c>
      <c r="U268" s="570" t="n">
        <v>5980</v>
      </c>
      <c r="V268" s="570" t="n">
        <v>5350</v>
      </c>
      <c r="W268" s="570" t="n">
        <v>5080</v>
      </c>
      <c r="X268" s="570" t="n">
        <v>5120</v>
      </c>
      <c r="Y268" s="570" t="n">
        <v>5130</v>
      </c>
      <c r="Z268" s="570" t="n">
        <v>5380</v>
      </c>
      <c r="AA268" s="570" t="n">
        <v>5410</v>
      </c>
      <c r="AB268" s="570" t="n">
        <v>5360</v>
      </c>
      <c r="AC268" s="570" t="n">
        <v>5650</v>
      </c>
      <c r="AD268" s="570" t="n">
        <v>5620</v>
      </c>
      <c r="AE268" s="570" t="n">
        <v>5800</v>
      </c>
      <c r="AF268" s="570" t="n">
        <v>6000</v>
      </c>
      <c r="AG268" s="570" t="n">
        <v>6040</v>
      </c>
      <c r="AH268" s="570" t="n">
        <v>6110</v>
      </c>
      <c r="AI268" s="570" t="n">
        <v>5960</v>
      </c>
      <c r="AJ268" s="570" t="n">
        <v>6100</v>
      </c>
      <c r="AK268" s="570" t="n">
        <v>6180</v>
      </c>
      <c r="AL268" s="570" t="n">
        <v>6360</v>
      </c>
      <c r="AM268" s="570" t="n">
        <v>6620</v>
      </c>
      <c r="AN268" s="570" t="n">
        <v>6480</v>
      </c>
      <c r="AO268" s="570" t="n">
        <v>6380</v>
      </c>
      <c r="AP268" s="570" t="n">
        <v>6320</v>
      </c>
      <c r="AQ268" s="570" t="n">
        <v>6280</v>
      </c>
      <c r="AR268" s="570" t="n">
        <v>6290</v>
      </c>
      <c r="AS268" s="570" t="n">
        <v>6160</v>
      </c>
      <c r="AT268" s="570" t="n">
        <v>6300</v>
      </c>
      <c r="AU268" s="570" t="n">
        <v>6340</v>
      </c>
      <c r="AV268" s="570" t="n">
        <v>6240</v>
      </c>
      <c r="AW268" s="570" t="n">
        <v>6470</v>
      </c>
      <c r="AX268" s="570" t="n">
        <v>6680</v>
      </c>
      <c r="AY268" s="570" t="n">
        <v>6400</v>
      </c>
      <c r="AZ268" s="570" t="n">
        <v>6490</v>
      </c>
      <c r="BA268" s="570" t="n">
        <v>6600</v>
      </c>
      <c r="BB268" s="570" t="n">
        <v>6540</v>
      </c>
      <c r="BC268" s="570" t="n">
        <v>6810</v>
      </c>
      <c r="BD268" s="570" t="n">
        <v>6620</v>
      </c>
      <c r="BE268" s="570" t="n">
        <v>6510</v>
      </c>
      <c r="BF268" s="570" t="n">
        <v>6400</v>
      </c>
      <c r="BG268" s="570" t="n">
        <v>6690</v>
      </c>
      <c r="BH268" s="570" t="n">
        <v>6970</v>
      </c>
      <c r="BI268" s="570" t="n">
        <v>6750</v>
      </c>
      <c r="BJ268" s="570" t="n">
        <v>6840</v>
      </c>
      <c r="BK268" s="570" t="n">
        <v>6860</v>
      </c>
      <c r="BL268" s="570" t="n">
        <v>7250</v>
      </c>
    </row>
    <row r="269">
      <c r="A269" s="77" t="inlineStr">
        <is>
          <t>6376</t>
        </is>
      </c>
      <c r="B269" s="570">
        <f>銘柄管理!C269</f>
        <v/>
      </c>
      <c r="C269" s="570">
        <f>_xll.RssMarket("6376","始値")</f>
        <v/>
      </c>
      <c r="E269" s="570" t="n">
        <v>3935</v>
      </c>
      <c r="F269" s="570" t="n">
        <v>3960</v>
      </c>
      <c r="G269" s="570" t="n">
        <v>3865</v>
      </c>
      <c r="H269" s="570" t="n">
        <v>3715</v>
      </c>
      <c r="I269" s="570" t="n">
        <v>3700</v>
      </c>
      <c r="J269" s="570" t="n">
        <v>3705</v>
      </c>
      <c r="K269" s="570" t="n">
        <v>3640</v>
      </c>
      <c r="L269" s="570" t="n">
        <v>3500</v>
      </c>
      <c r="M269" s="570" t="n">
        <v>3420</v>
      </c>
      <c r="N269" s="570" t="n">
        <v>3190</v>
      </c>
      <c r="O269" s="570" t="n">
        <v>3200</v>
      </c>
      <c r="P269" s="570" t="n">
        <v>3100</v>
      </c>
      <c r="Q269" s="570" t="n">
        <v>3090</v>
      </c>
      <c r="R269" s="570" t="n">
        <v>3260</v>
      </c>
      <c r="S269" s="570" t="n">
        <v>3285</v>
      </c>
      <c r="T269" s="570" t="n">
        <v>3235</v>
      </c>
      <c r="U269" s="570" t="n">
        <v>3500</v>
      </c>
      <c r="V269" s="570" t="n">
        <v>3275</v>
      </c>
      <c r="W269" s="570" t="n">
        <v>3070</v>
      </c>
      <c r="X269" s="570" t="n">
        <v>3115</v>
      </c>
      <c r="Y269" s="570" t="n">
        <v>2925</v>
      </c>
      <c r="Z269" s="570" t="n">
        <v>3100</v>
      </c>
      <c r="AA269" s="570" t="n">
        <v>2940</v>
      </c>
      <c r="AB269" s="570" t="n">
        <v>2716</v>
      </c>
      <c r="AC269" s="570" t="n">
        <v>2662</v>
      </c>
      <c r="AD269" s="570" t="n">
        <v>2617</v>
      </c>
      <c r="AE269" s="570" t="n">
        <v>2691</v>
      </c>
      <c r="AF269" s="570" t="n">
        <v>2670</v>
      </c>
      <c r="AG269" s="570" t="n">
        <v>2617</v>
      </c>
      <c r="AH269" s="570" t="n">
        <v>2684</v>
      </c>
      <c r="AI269" s="570" t="n">
        <v>2660</v>
      </c>
      <c r="AJ269" s="570" t="n">
        <v>2608</v>
      </c>
      <c r="AK269" s="570" t="n">
        <v>2572</v>
      </c>
      <c r="AL269" s="570" t="n">
        <v>2645</v>
      </c>
      <c r="AM269" s="570" t="n">
        <v>2595</v>
      </c>
      <c r="AN269" s="570" t="n">
        <v>2548</v>
      </c>
      <c r="AO269" s="570" t="n">
        <v>2551</v>
      </c>
      <c r="AP269" s="570" t="n">
        <v>2657</v>
      </c>
      <c r="AQ269" s="570" t="n">
        <v>2648</v>
      </c>
      <c r="AR269" s="570" t="n">
        <v>2720</v>
      </c>
      <c r="AS269" s="570" t="n">
        <v>2774</v>
      </c>
      <c r="AT269" s="570" t="n">
        <v>2866</v>
      </c>
      <c r="AU269" s="570" t="n">
        <v>2875</v>
      </c>
      <c r="AV269" s="570" t="n">
        <v>2820</v>
      </c>
      <c r="AW269" s="570" t="n">
        <v>2800</v>
      </c>
      <c r="AX269" s="570" t="n">
        <v>2736</v>
      </c>
      <c r="AY269" s="570" t="n">
        <v>2764</v>
      </c>
      <c r="AZ269" s="570" t="n">
        <v>2700</v>
      </c>
      <c r="BA269" s="570" t="n">
        <v>2669</v>
      </c>
      <c r="BB269" s="570" t="n">
        <v>2610</v>
      </c>
      <c r="BC269" s="570" t="n">
        <v>2692</v>
      </c>
      <c r="BD269" s="570" t="n">
        <v>2614</v>
      </c>
      <c r="BE269" s="570" t="n">
        <v>2387</v>
      </c>
      <c r="BF269" s="570" t="n">
        <v>2284</v>
      </c>
      <c r="BG269" s="570" t="n">
        <v>2450</v>
      </c>
      <c r="BH269" s="570" t="n">
        <v>2320</v>
      </c>
      <c r="BI269" s="570" t="n">
        <v>2284</v>
      </c>
      <c r="BJ269" s="570" t="n">
        <v>2305</v>
      </c>
      <c r="BK269" s="570" t="n">
        <v>2249</v>
      </c>
      <c r="BL269" s="570" t="n">
        <v>2378</v>
      </c>
    </row>
    <row r="270">
      <c r="A270" s="77" t="inlineStr">
        <is>
          <t>9115</t>
        </is>
      </c>
      <c r="B270" s="570">
        <f>銘柄管理!C270</f>
        <v/>
      </c>
      <c r="C270" s="570">
        <f>_xll.RssMarket("9115","始値")</f>
        <v/>
      </c>
      <c r="E270" s="570" t="n">
        <v>768</v>
      </c>
      <c r="F270" s="570" t="n">
        <v>781</v>
      </c>
      <c r="G270" s="570" t="n">
        <v>803</v>
      </c>
      <c r="H270" s="570" t="n">
        <v>826</v>
      </c>
      <c r="I270" s="570" t="n">
        <v>824</v>
      </c>
      <c r="J270" s="570" t="n">
        <v>850</v>
      </c>
      <c r="K270" s="570" t="n">
        <v>904</v>
      </c>
      <c r="L270" s="570" t="n">
        <v>919</v>
      </c>
      <c r="M270" s="570" t="n">
        <v>940</v>
      </c>
      <c r="N270" s="570" t="n">
        <v>985</v>
      </c>
      <c r="O270" s="570" t="n">
        <v>999</v>
      </c>
      <c r="P270" s="570" t="n">
        <v>1066</v>
      </c>
      <c r="Q270" s="570" t="n">
        <v>1039</v>
      </c>
      <c r="R270" s="570" t="n">
        <v>1143</v>
      </c>
      <c r="S270" s="570" t="n">
        <v>1161</v>
      </c>
      <c r="T270" s="570" t="n">
        <v>1146</v>
      </c>
      <c r="U270" s="570" t="n">
        <v>1111</v>
      </c>
      <c r="V270" s="570" t="n">
        <v>1096</v>
      </c>
      <c r="W270" s="570" t="n">
        <v>1146</v>
      </c>
      <c r="X270" s="570" t="n">
        <v>1201</v>
      </c>
      <c r="Y270" s="570" t="n">
        <v>1202</v>
      </c>
      <c r="Z270" s="570" t="n">
        <v>1191</v>
      </c>
      <c r="AA270" s="570" t="n">
        <v>1178</v>
      </c>
      <c r="AB270" s="570" t="n">
        <v>1216</v>
      </c>
      <c r="AC270" s="570" t="n">
        <v>1272</v>
      </c>
      <c r="AD270" s="570" t="n">
        <v>1242</v>
      </c>
      <c r="AE270" s="570" t="n">
        <v>1303</v>
      </c>
      <c r="AF270" s="570" t="n">
        <v>1309</v>
      </c>
      <c r="AG270" s="570" t="n">
        <v>1250</v>
      </c>
      <c r="AH270" s="570" t="n">
        <v>1240</v>
      </c>
      <c r="AI270" s="570" t="n">
        <v>1182</v>
      </c>
      <c r="AJ270" s="570" t="n">
        <v>1175</v>
      </c>
      <c r="AK270" s="570" t="n">
        <v>1188</v>
      </c>
      <c r="AL270" s="570" t="n">
        <v>1206</v>
      </c>
      <c r="AM270" s="570" t="n">
        <v>1253</v>
      </c>
      <c r="AN270" s="570" t="n">
        <v>1282</v>
      </c>
      <c r="AO270" s="570" t="n">
        <v>1236</v>
      </c>
      <c r="AP270" s="570" t="n">
        <v>1294</v>
      </c>
      <c r="AQ270" s="570" t="n">
        <v>1289</v>
      </c>
      <c r="AR270" s="570" t="n">
        <v>1282</v>
      </c>
      <c r="AS270" s="570" t="n">
        <v>1340</v>
      </c>
      <c r="AT270" s="570" t="n">
        <v>1345</v>
      </c>
      <c r="AU270" s="570" t="n">
        <v>1299</v>
      </c>
      <c r="AV270" s="570" t="n">
        <v>1259</v>
      </c>
      <c r="AW270" s="570" t="n">
        <v>1217</v>
      </c>
      <c r="AX270" s="570" t="n">
        <v>1322</v>
      </c>
      <c r="AY270" s="570" t="n">
        <v>1230</v>
      </c>
      <c r="AZ270" s="570" t="n">
        <v>1322</v>
      </c>
      <c r="BA270" s="570" t="n">
        <v>1285</v>
      </c>
      <c r="BB270" s="570" t="n">
        <v>1322</v>
      </c>
      <c r="BC270" s="570" t="n">
        <v>1570</v>
      </c>
      <c r="BD270" s="570" t="n">
        <v>1485</v>
      </c>
      <c r="BE270" s="570" t="n">
        <v>1541</v>
      </c>
      <c r="BF270" s="570" t="n">
        <v>1690</v>
      </c>
      <c r="BG270" s="570" t="n">
        <v>1411</v>
      </c>
      <c r="BH270" s="570" t="n">
        <v>1280</v>
      </c>
      <c r="BI270" s="570" t="n">
        <v>1267</v>
      </c>
      <c r="BJ270" s="570" t="n">
        <v>1125</v>
      </c>
      <c r="BK270" s="570" t="n">
        <v>965</v>
      </c>
      <c r="BL270" s="570" t="n">
        <v>878</v>
      </c>
    </row>
    <row r="271">
      <c r="A271" s="77" t="inlineStr">
        <is>
          <t>3864</t>
        </is>
      </c>
      <c r="B271" s="570">
        <f>銘柄管理!C271</f>
        <v/>
      </c>
      <c r="C271" s="570">
        <f>_xll.RssMarket("3864","始値")</f>
        <v/>
      </c>
      <c r="E271" s="570" t="n">
        <v>1031</v>
      </c>
      <c r="F271" s="570" t="n">
        <v>1045</v>
      </c>
      <c r="G271" s="570" t="n">
        <v>1077</v>
      </c>
      <c r="H271" s="570" t="n">
        <v>1076</v>
      </c>
      <c r="I271" s="570" t="n">
        <v>1091</v>
      </c>
      <c r="J271" s="570" t="n">
        <v>1074</v>
      </c>
      <c r="K271" s="570" t="n">
        <v>1062</v>
      </c>
      <c r="L271" s="570" t="n">
        <v>1067</v>
      </c>
      <c r="M271" s="570" t="n">
        <v>1063</v>
      </c>
      <c r="N271" s="570" t="n">
        <v>1047</v>
      </c>
      <c r="O271" s="570" t="n">
        <v>1053</v>
      </c>
      <c r="P271" s="570" t="n">
        <v>1060</v>
      </c>
      <c r="Q271" s="570" t="n">
        <v>1048</v>
      </c>
      <c r="R271" s="570" t="n">
        <v>1054</v>
      </c>
      <c r="S271" s="570" t="n">
        <v>1137</v>
      </c>
      <c r="T271" s="570" t="n">
        <v>1102</v>
      </c>
      <c r="U271" s="570" t="n">
        <v>1097</v>
      </c>
      <c r="V271" s="570" t="n">
        <v>1099</v>
      </c>
      <c r="W271" s="570" t="n">
        <v>1090</v>
      </c>
      <c r="X271" s="570" t="n">
        <v>1060</v>
      </c>
      <c r="Y271" s="570" t="n">
        <v>1020</v>
      </c>
      <c r="Z271" s="570" t="n">
        <v>1046</v>
      </c>
      <c r="AA271" s="570" t="n">
        <v>993</v>
      </c>
      <c r="AB271" s="570" t="n">
        <v>958</v>
      </c>
      <c r="AC271" s="570" t="n">
        <v>902</v>
      </c>
      <c r="AD271" s="570" t="n">
        <v>931</v>
      </c>
      <c r="AE271" s="570" t="n">
        <v>937</v>
      </c>
      <c r="AF271" s="570" t="n">
        <v>936</v>
      </c>
      <c r="AG271" s="570" t="n">
        <v>937</v>
      </c>
      <c r="AH271" s="570" t="n">
        <v>940</v>
      </c>
      <c r="AI271" s="570" t="n">
        <v>929</v>
      </c>
      <c r="AJ271" s="570" t="n">
        <v>940</v>
      </c>
      <c r="AK271" s="570" t="n">
        <v>945</v>
      </c>
      <c r="AL271" s="570" t="n">
        <v>960</v>
      </c>
      <c r="AM271" s="570" t="n">
        <v>951</v>
      </c>
      <c r="AN271" s="570" t="n">
        <v>961</v>
      </c>
      <c r="AO271" s="570" t="n">
        <v>985</v>
      </c>
      <c r="AP271" s="570" t="n">
        <v>973</v>
      </c>
      <c r="AQ271" s="570" t="n">
        <v>990</v>
      </c>
      <c r="AR271" s="570" t="n">
        <v>974</v>
      </c>
      <c r="AS271" s="570" t="n">
        <v>956</v>
      </c>
      <c r="AT271" s="570" t="n">
        <v>925</v>
      </c>
      <c r="AU271" s="570" t="n">
        <v>923</v>
      </c>
      <c r="AV271" s="570" t="n">
        <v>892</v>
      </c>
      <c r="AW271" s="570" t="n">
        <v>910</v>
      </c>
      <c r="AX271" s="570" t="n">
        <v>894</v>
      </c>
      <c r="AY271" s="570" t="n">
        <v>881</v>
      </c>
      <c r="AZ271" s="570" t="n">
        <v>857</v>
      </c>
      <c r="BA271" s="570" t="n">
        <v>850</v>
      </c>
      <c r="BB271" s="570" t="n">
        <v>859</v>
      </c>
      <c r="BC271" s="570" t="n">
        <v>847</v>
      </c>
      <c r="BD271" s="570" t="n">
        <v>836</v>
      </c>
      <c r="BE271" s="570" t="n">
        <v>806</v>
      </c>
      <c r="BF271" s="570" t="n">
        <v>791</v>
      </c>
      <c r="BG271" s="570" t="n">
        <v>812</v>
      </c>
      <c r="BH271" s="570" t="n">
        <v>818</v>
      </c>
      <c r="BI271" s="570" t="n">
        <v>818</v>
      </c>
      <c r="BJ271" s="570" t="n">
        <v>810</v>
      </c>
      <c r="BK271" s="570" t="n">
        <v>803</v>
      </c>
      <c r="BL271" s="570" t="n">
        <v>840</v>
      </c>
    </row>
    <row r="272">
      <c r="A272" s="77" t="inlineStr">
        <is>
          <t>6997</t>
        </is>
      </c>
      <c r="B272" s="570">
        <f>銘柄管理!C272</f>
        <v/>
      </c>
      <c r="C272" s="570">
        <f>_xll.RssMarket("6997","始値")</f>
        <v/>
      </c>
      <c r="E272" s="570" t="n">
        <v>6000</v>
      </c>
      <c r="F272" s="570" t="n">
        <v>5630</v>
      </c>
      <c r="G272" s="570" t="n">
        <v>5160</v>
      </c>
      <c r="H272" s="570" t="n">
        <v>4480</v>
      </c>
      <c r="I272" s="570" t="n">
        <v>4720</v>
      </c>
      <c r="J272" s="570" t="n">
        <v>4360</v>
      </c>
      <c r="K272" s="570" t="n">
        <v>4250</v>
      </c>
      <c r="L272" s="570" t="n">
        <v>3995</v>
      </c>
      <c r="M272" s="570" t="n">
        <v>4355</v>
      </c>
      <c r="N272" s="570" t="n">
        <v>4490</v>
      </c>
      <c r="O272" s="570" t="n">
        <v>4525</v>
      </c>
      <c r="P272" s="570" t="n">
        <v>4570</v>
      </c>
      <c r="Q272" s="570" t="n">
        <v>4790</v>
      </c>
      <c r="R272" s="570" t="n">
        <v>5650</v>
      </c>
      <c r="S272" s="570" t="n">
        <v>4800</v>
      </c>
      <c r="T272" s="570" t="n">
        <v>3725</v>
      </c>
      <c r="U272" s="570" t="n">
        <v>4180</v>
      </c>
      <c r="V272" s="570" t="n">
        <v>3600</v>
      </c>
      <c r="W272" s="570" t="n">
        <v>2973</v>
      </c>
      <c r="X272" s="570" t="n">
        <v>3045</v>
      </c>
      <c r="Y272" s="570" t="n">
        <v>3030</v>
      </c>
      <c r="Z272" s="570" t="n">
        <v>2894</v>
      </c>
      <c r="AA272" s="570" t="n">
        <v>2995</v>
      </c>
      <c r="AB272" s="570" t="n">
        <v>3485</v>
      </c>
      <c r="AC272" s="570" t="n">
        <v>3250</v>
      </c>
      <c r="AD272" s="570" t="n">
        <v>3140</v>
      </c>
      <c r="AE272" s="570" t="n">
        <v>3235</v>
      </c>
      <c r="AF272" s="570" t="n">
        <v>3230</v>
      </c>
      <c r="AG272" s="570" t="n">
        <v>2919</v>
      </c>
      <c r="AH272" s="570" t="n">
        <v>2751</v>
      </c>
      <c r="AI272" s="570" t="n">
        <v>2610</v>
      </c>
      <c r="AJ272" s="570" t="n">
        <v>2412</v>
      </c>
      <c r="AK272" s="570" t="n">
        <v>2299</v>
      </c>
      <c r="AL272" s="570" t="n">
        <v>2304</v>
      </c>
      <c r="AM272" s="570" t="n">
        <v>2256</v>
      </c>
      <c r="AN272" s="570" t="n">
        <v>2451</v>
      </c>
      <c r="AO272" s="570" t="n">
        <v>2346</v>
      </c>
      <c r="AP272" s="570" t="n">
        <v>2400</v>
      </c>
      <c r="AQ272" s="570" t="n">
        <v>2215</v>
      </c>
      <c r="AR272" s="570" t="n">
        <v>2218</v>
      </c>
      <c r="AS272" s="570" t="n">
        <v>2082</v>
      </c>
      <c r="AT272" s="570" t="n">
        <v>1974</v>
      </c>
      <c r="AU272" s="570" t="n">
        <v>1780</v>
      </c>
      <c r="AV272" s="570" t="n">
        <v>1650</v>
      </c>
      <c r="AW272" s="570" t="n">
        <v>1664</v>
      </c>
      <c r="AX272" s="570" t="n">
        <v>1650</v>
      </c>
      <c r="AY272" s="570" t="n">
        <v>1543</v>
      </c>
      <c r="AZ272" s="570" t="n">
        <v>1494</v>
      </c>
      <c r="BA272" s="570" t="n">
        <v>1463</v>
      </c>
      <c r="BB272" s="570" t="n">
        <v>1471</v>
      </c>
      <c r="BC272" s="570" t="n">
        <v>1499</v>
      </c>
      <c r="BD272" s="570" t="n">
        <v>1475</v>
      </c>
      <c r="BE272" s="570" t="n">
        <v>1411</v>
      </c>
      <c r="BF272" s="570" t="n">
        <v>1454</v>
      </c>
      <c r="BG272" s="570" t="n">
        <v>1420</v>
      </c>
      <c r="BH272" s="570" t="n">
        <v>1470</v>
      </c>
      <c r="BI272" s="570" t="n">
        <v>1460</v>
      </c>
      <c r="BJ272" s="570" t="n">
        <v>1435</v>
      </c>
      <c r="BK272" s="570" t="n">
        <v>1428</v>
      </c>
      <c r="BL272" s="570" t="n">
        <v>1531</v>
      </c>
    </row>
    <row r="273">
      <c r="A273" s="77" t="inlineStr">
        <is>
          <t>4544</t>
        </is>
      </c>
      <c r="B273" s="570">
        <f>銘柄管理!C273</f>
        <v/>
      </c>
      <c r="C273" s="570">
        <f>_xll.RssMarket("4544","始値")</f>
        <v/>
      </c>
      <c r="E273" s="570" t="n">
        <v>3093</v>
      </c>
      <c r="F273" s="570" t="n">
        <v>3165</v>
      </c>
      <c r="G273" s="570" t="n">
        <v>3126</v>
      </c>
      <c r="H273" s="570" t="n">
        <v>3251</v>
      </c>
      <c r="I273" s="570" t="n">
        <v>3238</v>
      </c>
      <c r="J273" s="570" t="n">
        <v>3379</v>
      </c>
      <c r="K273" s="570" t="n">
        <v>3436</v>
      </c>
      <c r="L273" s="570" t="n">
        <v>3465</v>
      </c>
      <c r="M273" s="570" t="n">
        <v>3442</v>
      </c>
      <c r="N273" s="570" t="n">
        <v>3293</v>
      </c>
      <c r="O273" s="570" t="n">
        <v>3333</v>
      </c>
      <c r="P273" s="570" t="n">
        <v>3283</v>
      </c>
      <c r="Q273" s="570" t="n">
        <v>3121</v>
      </c>
      <c r="R273" s="570" t="n">
        <v>3156</v>
      </c>
      <c r="S273" s="570" t="n">
        <v>3146</v>
      </c>
      <c r="T273" s="570" t="n">
        <v>3156</v>
      </c>
      <c r="U273" s="570" t="n">
        <v>3144</v>
      </c>
      <c r="V273" s="570" t="n">
        <v>3171</v>
      </c>
      <c r="W273" s="570" t="n">
        <v>3168</v>
      </c>
      <c r="X273" s="570" t="n">
        <v>3225</v>
      </c>
      <c r="Y273" s="570" t="n">
        <v>3249</v>
      </c>
      <c r="Z273" s="570" t="n">
        <v>3198</v>
      </c>
      <c r="AA273" s="570" t="n">
        <v>3204</v>
      </c>
      <c r="AB273" s="570" t="n">
        <v>3139</v>
      </c>
      <c r="AC273" s="570" t="n">
        <v>3136</v>
      </c>
      <c r="AD273" s="570" t="n">
        <v>3100</v>
      </c>
      <c r="AE273" s="570" t="n">
        <v>3141</v>
      </c>
      <c r="AF273" s="570" t="n">
        <v>3074</v>
      </c>
      <c r="AG273" s="570" t="n">
        <v>3178</v>
      </c>
      <c r="AH273" s="570" t="n">
        <v>3112</v>
      </c>
      <c r="AI273" s="570" t="n">
        <v>3081</v>
      </c>
      <c r="AJ273" s="570" t="n">
        <v>3100</v>
      </c>
      <c r="AK273" s="570" t="n">
        <v>3281</v>
      </c>
      <c r="AL273" s="570" t="n">
        <v>3205</v>
      </c>
      <c r="AM273" s="570" t="n">
        <v>3160</v>
      </c>
      <c r="AN273" s="570" t="n">
        <v>3140</v>
      </c>
      <c r="AO273" s="570" t="n">
        <v>3125</v>
      </c>
      <c r="AP273" s="570" t="n">
        <v>3161</v>
      </c>
      <c r="AQ273" s="570" t="n">
        <v>3146</v>
      </c>
      <c r="AR273" s="570" t="n">
        <v>3182</v>
      </c>
      <c r="AS273" s="570" t="n">
        <v>3188</v>
      </c>
      <c r="AT273" s="570" t="n">
        <v>3165</v>
      </c>
      <c r="AU273" s="570" t="n">
        <v>3143</v>
      </c>
      <c r="AV273" s="570" t="n">
        <v>3098</v>
      </c>
      <c r="AW273" s="570" t="n">
        <v>3208</v>
      </c>
      <c r="AX273" s="570" t="n">
        <v>3221</v>
      </c>
      <c r="AY273" s="570" t="n">
        <v>3295</v>
      </c>
      <c r="AZ273" s="570" t="n">
        <v>3260</v>
      </c>
      <c r="BA273" s="570" t="n">
        <v>3244</v>
      </c>
      <c r="BB273" s="570" t="n">
        <v>3232</v>
      </c>
      <c r="BC273" s="570" t="n">
        <v>3237</v>
      </c>
      <c r="BD273" s="570" t="n">
        <v>3228</v>
      </c>
      <c r="BE273" s="570" t="n">
        <v>3228</v>
      </c>
      <c r="BF273" s="570" t="n">
        <v>3189</v>
      </c>
      <c r="BG273" s="570" t="n">
        <v>3218</v>
      </c>
      <c r="BH273" s="570" t="n">
        <v>3127</v>
      </c>
      <c r="BI273" s="570" t="n">
        <v>3075</v>
      </c>
      <c r="BJ273" s="570" t="n">
        <v>3028</v>
      </c>
      <c r="BK273" s="570" t="n">
        <v>2950</v>
      </c>
      <c r="BL273" s="570" t="n">
        <v>3119</v>
      </c>
    </row>
    <row r="274">
      <c r="A274" s="77" t="inlineStr">
        <is>
          <t>6848</t>
        </is>
      </c>
      <c r="B274" s="570">
        <f>銘柄管理!C274</f>
        <v/>
      </c>
      <c r="C274" s="570">
        <f>_xll.RssMarket("6848","始値")</f>
        <v/>
      </c>
      <c r="E274" s="570" t="n">
        <v>867</v>
      </c>
      <c r="F274" s="570" t="n">
        <v>858</v>
      </c>
      <c r="G274" s="570" t="n">
        <v>862</v>
      </c>
      <c r="H274" s="570" t="n">
        <v>856</v>
      </c>
      <c r="I274" s="570" t="n">
        <v>859</v>
      </c>
      <c r="J274" s="570" t="n">
        <v>853</v>
      </c>
      <c r="K274" s="570" t="n">
        <v>877</v>
      </c>
      <c r="L274" s="570" t="n">
        <v>848</v>
      </c>
      <c r="M274" s="570" t="n">
        <v>850</v>
      </c>
      <c r="N274" s="570" t="n">
        <v>852</v>
      </c>
      <c r="O274" s="570" t="n">
        <v>851</v>
      </c>
      <c r="P274" s="570" t="n">
        <v>861</v>
      </c>
      <c r="Q274" s="570" t="n">
        <v>869</v>
      </c>
      <c r="R274" s="570" t="n">
        <v>856</v>
      </c>
      <c r="S274" s="570" t="n">
        <v>862</v>
      </c>
      <c r="T274" s="570" t="n">
        <v>865</v>
      </c>
      <c r="U274" s="570" t="n">
        <v>859</v>
      </c>
      <c r="V274" s="570" t="n">
        <v>865</v>
      </c>
      <c r="W274" s="570" t="n">
        <v>850</v>
      </c>
      <c r="X274" s="570" t="n">
        <v>875</v>
      </c>
      <c r="Y274" s="570" t="n">
        <v>877</v>
      </c>
      <c r="Z274" s="570" t="n">
        <v>870</v>
      </c>
      <c r="AA274" s="570" t="n">
        <v>871</v>
      </c>
      <c r="AB274" s="570" t="n">
        <v>877</v>
      </c>
      <c r="AC274" s="570" t="n">
        <v>869</v>
      </c>
      <c r="AD274" s="570" t="n">
        <v>880</v>
      </c>
      <c r="AE274" s="570" t="n">
        <v>883</v>
      </c>
      <c r="AF274" s="570" t="n">
        <v>874</v>
      </c>
      <c r="AG274" s="570" t="n">
        <v>869</v>
      </c>
      <c r="AH274" s="570" t="n">
        <v>865</v>
      </c>
      <c r="AI274" s="570" t="n">
        <v>876</v>
      </c>
      <c r="AJ274" s="570" t="n">
        <v>870</v>
      </c>
      <c r="AK274" s="570" t="n">
        <v>880</v>
      </c>
      <c r="AL274" s="570" t="n">
        <v>874</v>
      </c>
      <c r="AM274" s="570" t="n">
        <v>883</v>
      </c>
      <c r="AN274" s="570" t="n">
        <v>884</v>
      </c>
      <c r="AO274" s="570" t="n">
        <v>880</v>
      </c>
      <c r="AP274" s="570" t="n">
        <v>884</v>
      </c>
      <c r="AQ274" s="570" t="n">
        <v>872</v>
      </c>
      <c r="AR274" s="570" t="n">
        <v>871</v>
      </c>
      <c r="AS274" s="570" t="n">
        <v>875</v>
      </c>
      <c r="AT274" s="570" t="n">
        <v>875</v>
      </c>
      <c r="AU274" s="570" t="n">
        <v>872</v>
      </c>
      <c r="AV274" s="570" t="n">
        <v>882</v>
      </c>
      <c r="AW274" s="570" t="n">
        <v>888</v>
      </c>
      <c r="AX274" s="570" t="n">
        <v>880</v>
      </c>
      <c r="AY274" s="570" t="n">
        <v>879</v>
      </c>
      <c r="AZ274" s="570" t="n">
        <v>881</v>
      </c>
      <c r="BA274" s="570" t="n">
        <v>891</v>
      </c>
      <c r="BB274" s="570" t="n">
        <v>887</v>
      </c>
      <c r="BC274" s="570" t="n">
        <v>887</v>
      </c>
      <c r="BD274" s="570" t="n">
        <v>890</v>
      </c>
      <c r="BE274" s="570" t="n">
        <v>900</v>
      </c>
      <c r="BF274" s="570" t="n">
        <v>898</v>
      </c>
      <c r="BG274" s="570" t="n">
        <v>899</v>
      </c>
      <c r="BH274" s="570" t="n">
        <v>883</v>
      </c>
      <c r="BI274" s="570" t="n">
        <v>896</v>
      </c>
      <c r="BJ274" s="570" t="n">
        <v>902</v>
      </c>
      <c r="BK274" s="570" t="n">
        <v>923</v>
      </c>
      <c r="BL274" s="570" t="n">
        <v>916</v>
      </c>
    </row>
    <row r="275">
      <c r="A275" s="77" t="inlineStr">
        <is>
          <t>5702</t>
        </is>
      </c>
      <c r="B275" s="570">
        <f>銘柄管理!C275</f>
        <v/>
      </c>
      <c r="C275" s="570">
        <f>_xll.RssMarket("5702","始値")</f>
        <v/>
      </c>
      <c r="E275" s="570" t="n">
        <v>1666</v>
      </c>
      <c r="F275" s="570" t="n">
        <v>1678</v>
      </c>
      <c r="G275" s="570" t="n">
        <v>1719</v>
      </c>
      <c r="H275" s="570" t="n">
        <v>1745</v>
      </c>
      <c r="I275" s="570" t="n">
        <v>1798</v>
      </c>
      <c r="J275" s="570" t="n">
        <v>1877</v>
      </c>
      <c r="K275" s="570" t="n">
        <v>1850</v>
      </c>
      <c r="L275" s="570" t="n">
        <v>1800</v>
      </c>
      <c r="M275" s="570" t="n">
        <v>1823</v>
      </c>
      <c r="N275" s="570" t="n">
        <v>1885</v>
      </c>
      <c r="O275" s="570" t="n">
        <v>1957</v>
      </c>
      <c r="P275" s="570" t="n">
        <v>2020</v>
      </c>
      <c r="Q275" s="570" t="n">
        <v>1903</v>
      </c>
      <c r="R275" s="570" t="n">
        <v>1993</v>
      </c>
      <c r="S275" s="570" t="n">
        <v>1971</v>
      </c>
      <c r="T275" s="570" t="n">
        <v>2070</v>
      </c>
      <c r="U275" s="570" t="n">
        <v>1931</v>
      </c>
      <c r="V275" s="570" t="n">
        <v>1895</v>
      </c>
      <c r="W275" s="570" t="n">
        <v>1823</v>
      </c>
      <c r="X275" s="570" t="n">
        <v>1800</v>
      </c>
      <c r="Y275" s="570" t="n">
        <v>1802</v>
      </c>
      <c r="Z275" s="570" t="n">
        <v>1820</v>
      </c>
      <c r="AA275" s="570" t="n">
        <v>1853</v>
      </c>
      <c r="AB275" s="570" t="n">
        <v>1590</v>
      </c>
      <c r="AC275" s="570" t="n">
        <v>1569</v>
      </c>
      <c r="AD275" s="570" t="n">
        <v>1612</v>
      </c>
      <c r="AE275" s="570" t="n">
        <v>1613</v>
      </c>
      <c r="AF275" s="570" t="n">
        <v>1550</v>
      </c>
      <c r="AG275" s="570" t="n">
        <v>1531</v>
      </c>
      <c r="AH275" s="570" t="n">
        <v>1485</v>
      </c>
      <c r="AI275" s="570" t="n">
        <v>1461</v>
      </c>
      <c r="AJ275" s="570" t="n">
        <v>1470</v>
      </c>
      <c r="AK275" s="570" t="n">
        <v>1440</v>
      </c>
      <c r="AL275" s="570" t="n">
        <v>1454</v>
      </c>
      <c r="AM275" s="570" t="n">
        <v>1475</v>
      </c>
      <c r="AN275" s="570" t="n">
        <v>1491</v>
      </c>
      <c r="AO275" s="570" t="n">
        <v>1530</v>
      </c>
      <c r="AP275" s="570" t="n">
        <v>1518</v>
      </c>
      <c r="AQ275" s="570" t="n">
        <v>1555</v>
      </c>
      <c r="AR275" s="570" t="n">
        <v>1575</v>
      </c>
      <c r="AS275" s="570" t="n">
        <v>1595</v>
      </c>
      <c r="AT275" s="570" t="n">
        <v>1590</v>
      </c>
      <c r="AU275" s="570" t="n">
        <v>1550</v>
      </c>
      <c r="AV275" s="570" t="n">
        <v>1580</v>
      </c>
      <c r="AW275" s="570" t="n">
        <v>1559</v>
      </c>
      <c r="AX275" s="570" t="n">
        <v>1520</v>
      </c>
      <c r="AY275" s="570" t="n">
        <v>1500</v>
      </c>
      <c r="AZ275" s="570" t="n">
        <v>1460</v>
      </c>
      <c r="BA275" s="570" t="n">
        <v>1441</v>
      </c>
      <c r="BB275" s="570" t="n">
        <v>1460</v>
      </c>
      <c r="BC275" s="570" t="n">
        <v>1450</v>
      </c>
      <c r="BD275" s="570" t="n">
        <v>1500</v>
      </c>
      <c r="BE275" s="570" t="n">
        <v>1258</v>
      </c>
      <c r="BF275" s="570" t="n">
        <v>1285</v>
      </c>
      <c r="BG275" s="570" t="n">
        <v>1311</v>
      </c>
      <c r="BH275" s="570" t="n">
        <v>1295</v>
      </c>
      <c r="BI275" s="570" t="n">
        <v>1263</v>
      </c>
      <c r="BJ275" s="570" t="n">
        <v>1250</v>
      </c>
      <c r="BK275" s="570" t="n">
        <v>1356</v>
      </c>
      <c r="BL275" s="570" t="n">
        <v>1360</v>
      </c>
    </row>
    <row r="276">
      <c r="A276" s="77" t="inlineStr">
        <is>
          <t>7952</t>
        </is>
      </c>
      <c r="B276" s="570">
        <f>銘柄管理!C276</f>
        <v/>
      </c>
      <c r="C276" s="570">
        <f>_xll.RssMarket("7952","始値")</f>
        <v/>
      </c>
      <c r="E276" s="570" t="n">
        <v>3350</v>
      </c>
      <c r="F276" s="570" t="n">
        <v>3295</v>
      </c>
      <c r="G276" s="570" t="n">
        <v>3250</v>
      </c>
      <c r="H276" s="570" t="n">
        <v>3195</v>
      </c>
      <c r="I276" s="570" t="n">
        <v>3070</v>
      </c>
      <c r="J276" s="570" t="n">
        <v>3020</v>
      </c>
      <c r="K276" s="570" t="n">
        <v>3065</v>
      </c>
      <c r="L276" s="570" t="n">
        <v>3155</v>
      </c>
      <c r="M276" s="570" t="n">
        <v>3130</v>
      </c>
      <c r="N276" s="570" t="n">
        <v>3185</v>
      </c>
      <c r="O276" s="570" t="n">
        <v>3200</v>
      </c>
      <c r="P276" s="570" t="n">
        <v>3145</v>
      </c>
      <c r="Q276" s="570" t="n">
        <v>3250</v>
      </c>
      <c r="R276" s="570" t="n">
        <v>3035</v>
      </c>
      <c r="S276" s="570" t="n">
        <v>3020</v>
      </c>
      <c r="T276" s="570" t="n">
        <v>2991</v>
      </c>
      <c r="U276" s="570" t="n">
        <v>2993</v>
      </c>
      <c r="V276" s="570" t="n">
        <v>2937</v>
      </c>
      <c r="W276" s="570" t="n">
        <v>3100</v>
      </c>
      <c r="X276" s="570" t="n">
        <v>3135</v>
      </c>
      <c r="Y276" s="570" t="n">
        <v>3125</v>
      </c>
      <c r="Z276" s="570" t="n">
        <v>3075</v>
      </c>
      <c r="AA276" s="570" t="n">
        <v>2981</v>
      </c>
      <c r="AB276" s="570" t="n">
        <v>2940</v>
      </c>
      <c r="AC276" s="570" t="n">
        <v>2810</v>
      </c>
      <c r="AD276" s="570" t="n">
        <v>2719</v>
      </c>
      <c r="AE276" s="570" t="n">
        <v>2783</v>
      </c>
      <c r="AF276" s="570" t="n">
        <v>2810</v>
      </c>
      <c r="AG276" s="570" t="n">
        <v>2758</v>
      </c>
      <c r="AH276" s="570" t="n">
        <v>2800</v>
      </c>
      <c r="AI276" s="570" t="n">
        <v>2876</v>
      </c>
      <c r="AJ276" s="570" t="n">
        <v>2834</v>
      </c>
      <c r="AK276" s="570" t="n">
        <v>2899</v>
      </c>
      <c r="AL276" s="570" t="n">
        <v>3005</v>
      </c>
      <c r="AM276" s="570" t="n">
        <v>3065</v>
      </c>
      <c r="AN276" s="570" t="n">
        <v>3075</v>
      </c>
      <c r="AO276" s="570" t="n">
        <v>3050</v>
      </c>
      <c r="AP276" s="570" t="n">
        <v>3130</v>
      </c>
      <c r="AQ276" s="570" t="n">
        <v>3070</v>
      </c>
      <c r="AR276" s="570" t="n">
        <v>3020</v>
      </c>
      <c r="AS276" s="570" t="n">
        <v>3005</v>
      </c>
      <c r="AT276" s="570" t="n">
        <v>2995</v>
      </c>
      <c r="AU276" s="570" t="n">
        <v>2986</v>
      </c>
      <c r="AV276" s="570" t="n">
        <v>3000</v>
      </c>
      <c r="AW276" s="570" t="n">
        <v>3060</v>
      </c>
      <c r="AX276" s="570" t="n">
        <v>3000</v>
      </c>
      <c r="AY276" s="570" t="n">
        <v>3005</v>
      </c>
      <c r="AZ276" s="570" t="n">
        <v>3000</v>
      </c>
      <c r="BA276" s="570" t="n">
        <v>2978</v>
      </c>
      <c r="BB276" s="570" t="n">
        <v>2874</v>
      </c>
      <c r="BC276" s="570" t="n">
        <v>2734</v>
      </c>
      <c r="BD276" s="570" t="n">
        <v>2701</v>
      </c>
      <c r="BE276" s="570" t="n">
        <v>2800</v>
      </c>
      <c r="BF276" s="570" t="n">
        <v>2772</v>
      </c>
      <c r="BG276" s="570" t="n">
        <v>2778</v>
      </c>
      <c r="BH276" s="570" t="n">
        <v>2732</v>
      </c>
      <c r="BI276" s="570" t="n">
        <v>2702</v>
      </c>
      <c r="BJ276" s="570" t="n">
        <v>2776</v>
      </c>
      <c r="BK276" s="570" t="n">
        <v>2805</v>
      </c>
      <c r="BL276" s="570" t="n">
        <v>2788</v>
      </c>
    </row>
    <row r="277">
      <c r="A277" s="77" t="inlineStr">
        <is>
          <t>3002</t>
        </is>
      </c>
      <c r="B277" s="570">
        <f>銘柄管理!C277</f>
        <v/>
      </c>
      <c r="C277" s="570">
        <f>_xll.RssMarket("3002","始値")</f>
        <v/>
      </c>
      <c r="E277" s="570" t="n">
        <v>3835</v>
      </c>
      <c r="F277" s="570" t="n">
        <v>3850</v>
      </c>
      <c r="G277" s="570" t="n">
        <v>3840</v>
      </c>
      <c r="H277" s="570" t="n">
        <v>3810</v>
      </c>
      <c r="I277" s="570" t="n">
        <v>3815</v>
      </c>
      <c r="J277" s="570" t="n">
        <v>3845</v>
      </c>
      <c r="K277" s="570" t="n">
        <v>3800</v>
      </c>
      <c r="L277" s="570" t="n">
        <v>3735</v>
      </c>
      <c r="M277" s="570" t="n">
        <v>3725</v>
      </c>
      <c r="N277" s="570" t="n">
        <v>3680</v>
      </c>
      <c r="O277" s="570" t="n">
        <v>3700</v>
      </c>
      <c r="P277" s="570" t="n">
        <v>3690</v>
      </c>
      <c r="Q277" s="570" t="n">
        <v>3685</v>
      </c>
      <c r="R277" s="570" t="n">
        <v>3690</v>
      </c>
      <c r="S277" s="570" t="n">
        <v>3715</v>
      </c>
      <c r="T277" s="570" t="n">
        <v>3700</v>
      </c>
      <c r="U277" s="570" t="n">
        <v>3670</v>
      </c>
      <c r="V277" s="570" t="n">
        <v>3655</v>
      </c>
      <c r="W277" s="570" t="n">
        <v>3695</v>
      </c>
      <c r="X277" s="570" t="n">
        <v>3670</v>
      </c>
      <c r="Y277" s="570" t="n">
        <v>3715</v>
      </c>
      <c r="Z277" s="570" t="n">
        <v>3725</v>
      </c>
      <c r="AA277" s="570" t="n">
        <v>3740</v>
      </c>
      <c r="AB277" s="570" t="n">
        <v>3680</v>
      </c>
      <c r="AC277" s="570" t="n">
        <v>3580</v>
      </c>
      <c r="AD277" s="570" t="n">
        <v>3590</v>
      </c>
      <c r="AE277" s="570" t="n">
        <v>3625</v>
      </c>
      <c r="AF277" s="570" t="n">
        <v>3625</v>
      </c>
      <c r="AG277" s="570" t="n">
        <v>3630</v>
      </c>
      <c r="AH277" s="570" t="n">
        <v>3620</v>
      </c>
      <c r="AI277" s="570" t="n">
        <v>3600</v>
      </c>
      <c r="AJ277" s="570" t="n">
        <v>3665</v>
      </c>
      <c r="AK277" s="570" t="n">
        <v>3680</v>
      </c>
      <c r="AL277" s="570" t="n">
        <v>3655</v>
      </c>
      <c r="AM277" s="570" t="n">
        <v>3730</v>
      </c>
      <c r="AN277" s="570" t="n">
        <v>3730</v>
      </c>
      <c r="AO277" s="570" t="n">
        <v>3825</v>
      </c>
      <c r="AP277" s="570" t="n">
        <v>3950</v>
      </c>
      <c r="AQ277" s="570" t="n">
        <v>3925</v>
      </c>
      <c r="AR277" s="570" t="n">
        <v>3920</v>
      </c>
      <c r="AS277" s="570" t="n">
        <v>3880</v>
      </c>
      <c r="AT277" s="570" t="n">
        <v>3890</v>
      </c>
      <c r="AU277" s="570" t="n">
        <v>3900</v>
      </c>
      <c r="AV277" s="570" t="n">
        <v>3925</v>
      </c>
      <c r="AW277" s="570" t="n">
        <v>3970</v>
      </c>
      <c r="AX277" s="570" t="n">
        <v>3980</v>
      </c>
      <c r="AY277" s="570" t="n">
        <v>3930</v>
      </c>
      <c r="AZ277" s="570" t="n">
        <v>3890</v>
      </c>
      <c r="BA277" s="570" t="n">
        <v>3815</v>
      </c>
      <c r="BB277" s="570" t="n">
        <v>3825</v>
      </c>
      <c r="BC277" s="570" t="n">
        <v>3805</v>
      </c>
      <c r="BD277" s="570" t="n">
        <v>3795</v>
      </c>
      <c r="BE277" s="570" t="n">
        <v>3730</v>
      </c>
      <c r="BF277" s="570" t="n">
        <v>3720</v>
      </c>
      <c r="BG277" s="570" t="n">
        <v>4195</v>
      </c>
      <c r="BH277" s="570" t="n">
        <v>4190</v>
      </c>
      <c r="BI277" s="570" t="n">
        <v>4255</v>
      </c>
      <c r="BJ277" s="570" t="n">
        <v>4170</v>
      </c>
      <c r="BK277" s="570" t="n">
        <v>4200</v>
      </c>
      <c r="BL277" s="570" t="n">
        <v>4320</v>
      </c>
    </row>
    <row r="278">
      <c r="A278" s="77" t="inlineStr">
        <is>
          <t>8871</t>
        </is>
      </c>
      <c r="B278" s="570">
        <f>銘柄管理!C278</f>
        <v/>
      </c>
      <c r="C278" s="570">
        <f>_xll.RssMarket("8871","始値")</f>
        <v/>
      </c>
      <c r="E278" s="570" t="n">
        <v>3290</v>
      </c>
      <c r="F278" s="570" t="n">
        <v>3235</v>
      </c>
      <c r="G278" s="570" t="n">
        <v>3260</v>
      </c>
      <c r="H278" s="570" t="n">
        <v>3305</v>
      </c>
      <c r="I278" s="570" t="n">
        <v>3310</v>
      </c>
      <c r="J278" s="570" t="n">
        <v>3420</v>
      </c>
      <c r="K278" s="570" t="n">
        <v>3305</v>
      </c>
      <c r="L278" s="570" t="n">
        <v>3330</v>
      </c>
      <c r="M278" s="570" t="n">
        <v>3275</v>
      </c>
      <c r="N278" s="570" t="n">
        <v>3250</v>
      </c>
      <c r="O278" s="570" t="n">
        <v>3240</v>
      </c>
      <c r="P278" s="570" t="n">
        <v>3300</v>
      </c>
      <c r="Q278" s="570" t="n">
        <v>3400</v>
      </c>
      <c r="R278" s="570" t="n">
        <v>3470</v>
      </c>
      <c r="S278" s="570" t="n">
        <v>3585</v>
      </c>
      <c r="T278" s="570" t="n">
        <v>3540</v>
      </c>
      <c r="U278" s="570" t="n">
        <v>3600</v>
      </c>
      <c r="V278" s="570" t="n">
        <v>3505</v>
      </c>
      <c r="W278" s="570" t="n">
        <v>3585</v>
      </c>
      <c r="X278" s="570" t="n">
        <v>3600</v>
      </c>
      <c r="Y278" s="570" t="n">
        <v>3660</v>
      </c>
      <c r="Z278" s="570" t="n">
        <v>3675</v>
      </c>
      <c r="AA278" s="570" t="n">
        <v>3705</v>
      </c>
      <c r="AB278" s="570" t="n">
        <v>3850</v>
      </c>
      <c r="AC278" s="570" t="n">
        <v>3285</v>
      </c>
      <c r="AD278" s="570" t="n">
        <v>3345</v>
      </c>
      <c r="AE278" s="570" t="n">
        <v>3320</v>
      </c>
      <c r="AF278" s="570" t="n">
        <v>3305</v>
      </c>
      <c r="AG278" s="570" t="n">
        <v>3335</v>
      </c>
      <c r="AH278" s="570" t="n">
        <v>3325</v>
      </c>
      <c r="AI278" s="570" t="n">
        <v>3325</v>
      </c>
      <c r="AJ278" s="570" t="n">
        <v>3320</v>
      </c>
      <c r="AK278" s="570" t="n">
        <v>3335</v>
      </c>
      <c r="AL278" s="570" t="n">
        <v>3290</v>
      </c>
      <c r="AM278" s="570" t="n">
        <v>3320</v>
      </c>
      <c r="AN278" s="570" t="n">
        <v>3290</v>
      </c>
      <c r="AO278" s="570" t="n">
        <v>3395</v>
      </c>
      <c r="AP278" s="570" t="n">
        <v>3440</v>
      </c>
      <c r="AQ278" s="570" t="n">
        <v>3420</v>
      </c>
      <c r="AR278" s="570" t="n">
        <v>3465</v>
      </c>
      <c r="AS278" s="570" t="n">
        <v>3480</v>
      </c>
      <c r="AT278" s="570" t="n">
        <v>3440</v>
      </c>
      <c r="AU278" s="570" t="n">
        <v>3500</v>
      </c>
      <c r="AV278" s="570" t="n">
        <v>3465</v>
      </c>
      <c r="AW278" s="570" t="n">
        <v>3500</v>
      </c>
      <c r="AX278" s="570" t="n">
        <v>3525</v>
      </c>
      <c r="AY278" s="570" t="n">
        <v>3585</v>
      </c>
      <c r="AZ278" s="570" t="n">
        <v>3435</v>
      </c>
      <c r="BA278" s="570" t="n">
        <v>3445</v>
      </c>
      <c r="BB278" s="570" t="n">
        <v>3450</v>
      </c>
      <c r="BC278" s="570" t="n">
        <v>3430</v>
      </c>
      <c r="BD278" s="570" t="n">
        <v>3380</v>
      </c>
      <c r="BE278" s="570" t="n">
        <v>3320</v>
      </c>
      <c r="BF278" s="570" t="n">
        <v>3260</v>
      </c>
      <c r="BG278" s="570" t="n">
        <v>3350</v>
      </c>
      <c r="BH278" s="570" t="n">
        <v>3320</v>
      </c>
      <c r="BI278" s="570" t="n">
        <v>3350</v>
      </c>
      <c r="BJ278" s="570" t="n">
        <v>3320</v>
      </c>
      <c r="BK278" s="570" t="n">
        <v>3265</v>
      </c>
      <c r="BL278" s="570" t="n">
        <v>3320</v>
      </c>
    </row>
    <row r="279">
      <c r="A279" s="77" t="inlineStr">
        <is>
          <t>6918</t>
        </is>
      </c>
      <c r="B279" s="570">
        <f>銘柄管理!C279</f>
        <v/>
      </c>
      <c r="C279" s="570">
        <f>_xll.RssMarket("6918","始値")</f>
        <v/>
      </c>
      <c r="E279" s="570" t="n">
        <v>3415</v>
      </c>
      <c r="F279" s="570" t="n">
        <v>3495</v>
      </c>
      <c r="G279" s="570" t="n">
        <v>3400</v>
      </c>
      <c r="H279" s="570" t="n">
        <v>3265</v>
      </c>
      <c r="I279" s="570" t="n">
        <v>3240</v>
      </c>
      <c r="J279" s="570" t="n">
        <v>3185</v>
      </c>
      <c r="K279" s="570" t="n">
        <v>3095</v>
      </c>
      <c r="L279" s="570" t="n">
        <v>2890</v>
      </c>
      <c r="M279" s="570" t="n">
        <v>3000</v>
      </c>
      <c r="N279" s="570" t="n">
        <v>3075</v>
      </c>
      <c r="O279" s="570" t="n">
        <v>3285</v>
      </c>
      <c r="P279" s="570" t="n">
        <v>3260</v>
      </c>
      <c r="Q279" s="570" t="n">
        <v>3430</v>
      </c>
      <c r="R279" s="570" t="n">
        <v>3530</v>
      </c>
      <c r="S279" s="570" t="n">
        <v>3500</v>
      </c>
      <c r="T279" s="570" t="n">
        <v>3405</v>
      </c>
      <c r="U279" s="570" t="n">
        <v>3400</v>
      </c>
      <c r="V279" s="570" t="n">
        <v>3405</v>
      </c>
      <c r="W279" s="570" t="n">
        <v>3460</v>
      </c>
      <c r="X279" s="570" t="n">
        <v>3360</v>
      </c>
      <c r="Y279" s="570" t="n">
        <v>3525</v>
      </c>
      <c r="Z279" s="570" t="n">
        <v>3750</v>
      </c>
      <c r="AA279" s="570" t="n">
        <v>3590</v>
      </c>
      <c r="AB279" s="570" t="n">
        <v>3465</v>
      </c>
      <c r="AC279" s="570" t="n">
        <v>3635</v>
      </c>
      <c r="AD279" s="570" t="n">
        <v>3600</v>
      </c>
      <c r="AE279" s="570" t="n">
        <v>3700</v>
      </c>
      <c r="AF279" s="570" t="n">
        <v>3375</v>
      </c>
      <c r="AG279" s="570" t="n">
        <v>3245</v>
      </c>
      <c r="AH279" s="570" t="n">
        <v>3175</v>
      </c>
      <c r="AI279" s="570" t="n">
        <v>2912</v>
      </c>
      <c r="AJ279" s="570" t="n">
        <v>2891</v>
      </c>
      <c r="AK279" s="570" t="n">
        <v>2950</v>
      </c>
      <c r="AL279" s="570" t="n">
        <v>3025</v>
      </c>
      <c r="AM279" s="570" t="n">
        <v>2986</v>
      </c>
      <c r="AN279" s="570" t="n">
        <v>3030</v>
      </c>
      <c r="AO279" s="570" t="n">
        <v>3055</v>
      </c>
      <c r="AP279" s="570" t="n">
        <v>2907</v>
      </c>
      <c r="AQ279" s="570" t="n">
        <v>2851</v>
      </c>
      <c r="AR279" s="570" t="n">
        <v>2873</v>
      </c>
      <c r="AS279" s="570" t="n">
        <v>2819</v>
      </c>
      <c r="AT279" s="570" t="n">
        <v>2896</v>
      </c>
      <c r="AU279" s="570" t="n">
        <v>2820</v>
      </c>
      <c r="AV279" s="570" t="n">
        <v>2777</v>
      </c>
      <c r="AW279" s="570" t="n">
        <v>2727</v>
      </c>
      <c r="AX279" s="570" t="n">
        <v>2685</v>
      </c>
      <c r="AY279" s="570" t="n">
        <v>2660</v>
      </c>
      <c r="AZ279" s="570" t="n">
        <v>2603</v>
      </c>
      <c r="BA279" s="570" t="n">
        <v>2610</v>
      </c>
      <c r="BB279" s="570" t="n">
        <v>2600</v>
      </c>
      <c r="BC279" s="570" t="n">
        <v>2670</v>
      </c>
      <c r="BD279" s="570" t="n">
        <v>2620</v>
      </c>
      <c r="BE279" s="570" t="n">
        <v>2601</v>
      </c>
      <c r="BF279" s="570" t="n">
        <v>2630</v>
      </c>
      <c r="BG279" s="570" t="n">
        <v>2778</v>
      </c>
      <c r="BH279" s="570" t="n">
        <v>2810</v>
      </c>
      <c r="BI279" s="570" t="n">
        <v>2749</v>
      </c>
      <c r="BJ279" s="570" t="n">
        <v>2694</v>
      </c>
      <c r="BK279" s="570" t="n">
        <v>2715</v>
      </c>
      <c r="BL279" s="570" t="n">
        <v>2777</v>
      </c>
    </row>
    <row r="280">
      <c r="A280" s="77" t="inlineStr">
        <is>
          <t>6488</t>
        </is>
      </c>
      <c r="B280" s="570">
        <f>銘柄管理!C280</f>
        <v/>
      </c>
      <c r="C280" s="570">
        <f>_xll.RssMarket("6488","始値")</f>
        <v/>
      </c>
      <c r="E280" s="570" t="n">
        <v>939</v>
      </c>
      <c r="F280" s="570" t="n">
        <v>930</v>
      </c>
      <c r="G280" s="570" t="n">
        <v>924</v>
      </c>
      <c r="H280" s="570" t="n">
        <v>920</v>
      </c>
      <c r="I280" s="570" t="n">
        <v>919</v>
      </c>
      <c r="J280" s="570" t="n">
        <v>915</v>
      </c>
      <c r="K280" s="570" t="n">
        <v>920</v>
      </c>
      <c r="L280" s="570" t="n">
        <v>931</v>
      </c>
      <c r="M280" s="570" t="n">
        <v>928</v>
      </c>
      <c r="N280" s="570" t="n">
        <v>939</v>
      </c>
      <c r="O280" s="570" t="n">
        <v>930</v>
      </c>
      <c r="P280" s="570" t="n">
        <v>932</v>
      </c>
      <c r="Q280" s="570" t="n">
        <v>927</v>
      </c>
      <c r="R280" s="570" t="n">
        <v>930</v>
      </c>
      <c r="S280" s="570" t="n">
        <v>937</v>
      </c>
      <c r="T280" s="570" t="n">
        <v>943</v>
      </c>
      <c r="U280" s="570" t="n">
        <v>960</v>
      </c>
      <c r="V280" s="570" t="n">
        <v>972</v>
      </c>
      <c r="W280" s="570" t="n">
        <v>970</v>
      </c>
      <c r="X280" s="570" t="n">
        <v>967</v>
      </c>
      <c r="Y280" s="570" t="n">
        <v>966</v>
      </c>
      <c r="Z280" s="570" t="n">
        <v>988</v>
      </c>
      <c r="AA280" s="570" t="n">
        <v>995</v>
      </c>
      <c r="AB280" s="570" t="n">
        <v>939</v>
      </c>
      <c r="AC280" s="570" t="n">
        <v>931</v>
      </c>
      <c r="AD280" s="570" t="n">
        <v>940</v>
      </c>
      <c r="AE280" s="570" t="n">
        <v>935</v>
      </c>
      <c r="AF280" s="570" t="n">
        <v>935</v>
      </c>
      <c r="AG280" s="570" t="n">
        <v>932</v>
      </c>
      <c r="AH280" s="570" t="n">
        <v>943</v>
      </c>
      <c r="AI280" s="570" t="n">
        <v>944</v>
      </c>
      <c r="AJ280" s="570" t="n">
        <v>935</v>
      </c>
      <c r="AK280" s="570" t="n">
        <v>933</v>
      </c>
      <c r="AL280" s="570" t="n">
        <v>940</v>
      </c>
      <c r="AM280" s="570" t="n">
        <v>931</v>
      </c>
      <c r="AN280" s="570" t="n">
        <v>933</v>
      </c>
      <c r="AO280" s="570" t="n">
        <v>953</v>
      </c>
      <c r="AP280" s="570" t="n">
        <v>959</v>
      </c>
      <c r="AQ280" s="570" t="n">
        <v>954</v>
      </c>
      <c r="AR280" s="570" t="n">
        <v>930</v>
      </c>
      <c r="AS280" s="570" t="n">
        <v>937</v>
      </c>
      <c r="AT280" s="570" t="n">
        <v>944</v>
      </c>
      <c r="AU280" s="570" t="n">
        <v>945</v>
      </c>
      <c r="AV280" s="570" t="n">
        <v>942</v>
      </c>
      <c r="AW280" s="570" t="n">
        <v>948</v>
      </c>
      <c r="AX280" s="570" t="n">
        <v>938</v>
      </c>
      <c r="AY280" s="570" t="n">
        <v>933</v>
      </c>
      <c r="AZ280" s="570" t="n">
        <v>938</v>
      </c>
      <c r="BA280" s="570" t="n">
        <v>940</v>
      </c>
      <c r="BB280" s="570" t="n">
        <v>930</v>
      </c>
      <c r="BC280" s="570" t="n">
        <v>936</v>
      </c>
      <c r="BD280" s="570" t="n">
        <v>917</v>
      </c>
      <c r="BE280" s="570" t="n">
        <v>904</v>
      </c>
      <c r="BF280" s="570" t="n">
        <v>964</v>
      </c>
      <c r="BG280" s="570" t="n">
        <v>964</v>
      </c>
      <c r="BH280" s="570" t="n">
        <v>953</v>
      </c>
      <c r="BI280" s="570" t="n">
        <v>950</v>
      </c>
      <c r="BJ280" s="570" t="n">
        <v>954</v>
      </c>
      <c r="BK280" s="570" t="n">
        <v>965</v>
      </c>
      <c r="BL280" s="570" t="n">
        <v>971</v>
      </c>
    </row>
    <row r="281">
      <c r="A281" s="77" t="inlineStr">
        <is>
          <t>8007</t>
        </is>
      </c>
      <c r="B281" s="570">
        <f>銘柄管理!C281</f>
        <v/>
      </c>
      <c r="C281" s="570">
        <f>_xll.RssMarket("8007","始値")</f>
        <v/>
      </c>
      <c r="E281" s="570" t="n">
        <v>743</v>
      </c>
      <c r="F281" s="570" t="n">
        <v>745</v>
      </c>
      <c r="G281" s="570" t="n">
        <v>749</v>
      </c>
      <c r="H281" s="570" t="n">
        <v>754</v>
      </c>
      <c r="I281" s="570" t="n">
        <v>765</v>
      </c>
      <c r="J281" s="570" t="n">
        <v>748</v>
      </c>
      <c r="K281" s="570" t="n">
        <v>741</v>
      </c>
      <c r="L281" s="570" t="n">
        <v>740</v>
      </c>
      <c r="M281" s="570" t="n">
        <v>741</v>
      </c>
      <c r="N281" s="570" t="n">
        <v>727</v>
      </c>
      <c r="O281" s="570" t="n">
        <v>733</v>
      </c>
      <c r="P281" s="570" t="n">
        <v>731</v>
      </c>
      <c r="Q281" s="570" t="n">
        <v>726</v>
      </c>
      <c r="R281" s="570" t="n">
        <v>727</v>
      </c>
      <c r="S281" s="570" t="n">
        <v>763</v>
      </c>
      <c r="T281" s="570" t="n">
        <v>753</v>
      </c>
      <c r="U281" s="570" t="n">
        <v>754</v>
      </c>
      <c r="V281" s="570" t="n">
        <v>738</v>
      </c>
      <c r="W281" s="570" t="n">
        <v>745</v>
      </c>
      <c r="X281" s="570" t="n">
        <v>738</v>
      </c>
      <c r="Y281" s="570" t="n">
        <v>744</v>
      </c>
      <c r="Z281" s="570" t="n">
        <v>755</v>
      </c>
      <c r="AA281" s="570" t="n">
        <v>770</v>
      </c>
      <c r="AB281" s="570" t="n">
        <v>770</v>
      </c>
      <c r="AC281" s="570" t="n">
        <v>696</v>
      </c>
      <c r="AD281" s="570" t="n">
        <v>767</v>
      </c>
      <c r="AE281" s="570" t="n">
        <v>774</v>
      </c>
      <c r="AF281" s="570" t="n">
        <v>780</v>
      </c>
      <c r="AG281" s="570" t="n">
        <v>789</v>
      </c>
      <c r="AH281" s="570" t="n">
        <v>794</v>
      </c>
      <c r="AI281" s="570" t="n">
        <v>788</v>
      </c>
      <c r="AJ281" s="570" t="n">
        <v>799</v>
      </c>
      <c r="AK281" s="570" t="n">
        <v>775</v>
      </c>
      <c r="AL281" s="570" t="n">
        <v>770</v>
      </c>
      <c r="AM281" s="570" t="n">
        <v>775</v>
      </c>
      <c r="AN281" s="570" t="n">
        <v>774</v>
      </c>
      <c r="AO281" s="570" t="n">
        <v>786</v>
      </c>
      <c r="AP281" s="570" t="n">
        <v>794</v>
      </c>
      <c r="AQ281" s="570" t="n">
        <v>804</v>
      </c>
      <c r="AR281" s="570" t="n">
        <v>809</v>
      </c>
      <c r="AS281" s="570" t="n">
        <v>814</v>
      </c>
      <c r="AT281" s="570" t="n">
        <v>819</v>
      </c>
      <c r="AU281" s="570" t="n">
        <v>813</v>
      </c>
      <c r="AV281" s="570" t="n">
        <v>814</v>
      </c>
      <c r="AW281" s="570" t="n">
        <v>826</v>
      </c>
      <c r="AX281" s="570" t="n">
        <v>832</v>
      </c>
      <c r="AY281" s="570" t="n">
        <v>826</v>
      </c>
      <c r="AZ281" s="570" t="n">
        <v>827</v>
      </c>
      <c r="BA281" s="570" t="n">
        <v>817</v>
      </c>
      <c r="BB281" s="570" t="n">
        <v>818</v>
      </c>
      <c r="BC281" s="570" t="n">
        <v>827</v>
      </c>
      <c r="BD281" s="570" t="n">
        <v>823</v>
      </c>
      <c r="BE281" s="570" t="n">
        <v>815</v>
      </c>
      <c r="BF281" s="570" t="n">
        <v>808</v>
      </c>
      <c r="BG281" s="570" t="n">
        <v>849</v>
      </c>
      <c r="BH281" s="570" t="n">
        <v>855</v>
      </c>
      <c r="BI281" s="570" t="n">
        <v>842</v>
      </c>
      <c r="BJ281" s="570" t="n">
        <v>831</v>
      </c>
      <c r="BK281" s="570" t="n">
        <v>827</v>
      </c>
      <c r="BL281" s="570" t="n">
        <v>848</v>
      </c>
    </row>
    <row r="282">
      <c r="A282" s="77" t="inlineStr">
        <is>
          <t>4218</t>
        </is>
      </c>
      <c r="B282" s="570">
        <f>銘柄管理!C282</f>
        <v/>
      </c>
      <c r="C282" s="570">
        <f>_xll.RssMarket("4218","始値")</f>
        <v/>
      </c>
      <c r="E282" s="570" t="n">
        <v>1830</v>
      </c>
      <c r="F282" s="570" t="n">
        <v>1850</v>
      </c>
      <c r="G282" s="570" t="n">
        <v>1835</v>
      </c>
      <c r="H282" s="570" t="n">
        <v>1841</v>
      </c>
      <c r="I282" s="570" t="n">
        <v>1843</v>
      </c>
      <c r="J282" s="570" t="n">
        <v>1829</v>
      </c>
      <c r="K282" s="570" t="n">
        <v>1826</v>
      </c>
      <c r="L282" s="570" t="n">
        <v>1803</v>
      </c>
      <c r="M282" s="570" t="n">
        <v>1801</v>
      </c>
      <c r="N282" s="570" t="n">
        <v>1795</v>
      </c>
      <c r="O282" s="570" t="n">
        <v>1810</v>
      </c>
      <c r="P282" s="570" t="n">
        <v>1792</v>
      </c>
      <c r="Q282" s="570" t="n">
        <v>1818</v>
      </c>
      <c r="R282" s="570" t="n">
        <v>1849</v>
      </c>
      <c r="S282" s="570" t="n">
        <v>1857</v>
      </c>
      <c r="T282" s="570" t="n">
        <v>1875</v>
      </c>
      <c r="U282" s="570" t="n">
        <v>1874</v>
      </c>
      <c r="V282" s="570" t="n">
        <v>1863</v>
      </c>
      <c r="W282" s="570" t="n">
        <v>1880</v>
      </c>
      <c r="X282" s="570" t="n">
        <v>1878</v>
      </c>
      <c r="Y282" s="570" t="n">
        <v>1894</v>
      </c>
      <c r="Z282" s="570" t="n">
        <v>1910</v>
      </c>
      <c r="AA282" s="570" t="n">
        <v>1846</v>
      </c>
      <c r="AB282" s="570" t="n">
        <v>1823</v>
      </c>
      <c r="AC282" s="570" t="n">
        <v>1821</v>
      </c>
      <c r="AD282" s="570" t="n">
        <v>1825</v>
      </c>
      <c r="AE282" s="570" t="n">
        <v>1841</v>
      </c>
      <c r="AF282" s="570" t="n">
        <v>1845</v>
      </c>
      <c r="AG282" s="570" t="n">
        <v>1823</v>
      </c>
      <c r="AH282" s="570" t="n">
        <v>1825</v>
      </c>
      <c r="AI282" s="570" t="n">
        <v>1818</v>
      </c>
      <c r="AJ282" s="570" t="n">
        <v>1822</v>
      </c>
      <c r="AK282" s="570" t="n">
        <v>1842</v>
      </c>
      <c r="AL282" s="570" t="n">
        <v>1855</v>
      </c>
      <c r="AM282" s="570" t="n">
        <v>1874</v>
      </c>
      <c r="AN282" s="570" t="n">
        <v>1886</v>
      </c>
      <c r="AO282" s="570" t="n">
        <v>1898</v>
      </c>
      <c r="AP282" s="570" t="n">
        <v>1890</v>
      </c>
      <c r="AQ282" s="570" t="n">
        <v>1889</v>
      </c>
      <c r="AR282" s="570" t="n">
        <v>1882</v>
      </c>
      <c r="AS282" s="570" t="n">
        <v>1892</v>
      </c>
      <c r="AT282" s="570" t="n">
        <v>1891</v>
      </c>
      <c r="AU282" s="570" t="n">
        <v>1900</v>
      </c>
      <c r="AV282" s="570" t="n">
        <v>1910</v>
      </c>
      <c r="AW282" s="570" t="n">
        <v>1920</v>
      </c>
      <c r="AX282" s="570" t="n">
        <v>1900</v>
      </c>
      <c r="AY282" s="570" t="n">
        <v>1889</v>
      </c>
      <c r="AZ282" s="570" t="n">
        <v>1889</v>
      </c>
      <c r="BA282" s="570" t="n">
        <v>1896</v>
      </c>
      <c r="BB282" s="570" t="n">
        <v>1882</v>
      </c>
      <c r="BC282" s="570" t="n">
        <v>1871</v>
      </c>
      <c r="BD282" s="570" t="n">
        <v>1857</v>
      </c>
      <c r="BE282" s="570" t="n">
        <v>1911</v>
      </c>
      <c r="BF282" s="570" t="n">
        <v>1913</v>
      </c>
      <c r="BG282" s="570" t="n">
        <v>1903</v>
      </c>
      <c r="BH282" s="570" t="n">
        <v>1892</v>
      </c>
      <c r="BI282" s="570" t="n">
        <v>1890</v>
      </c>
      <c r="BJ282" s="570" t="n">
        <v>1905</v>
      </c>
      <c r="BK282" s="570" t="n">
        <v>1902</v>
      </c>
      <c r="BL282" s="570" t="n">
        <v>1905</v>
      </c>
    </row>
    <row r="283">
      <c r="A283" s="77" t="inlineStr">
        <is>
          <t>7735</t>
        </is>
      </c>
      <c r="B283" s="570">
        <f>銘柄管理!C283</f>
        <v/>
      </c>
      <c r="C283" s="570">
        <f>_xll.RssMarket("7735","始値")</f>
        <v/>
      </c>
      <c r="E283" s="570" t="n">
        <v>16490</v>
      </c>
      <c r="F283" s="570" t="n">
        <v>16830</v>
      </c>
      <c r="G283" s="570" t="n">
        <v>15595</v>
      </c>
      <c r="H283" s="570" t="n">
        <v>14600</v>
      </c>
      <c r="I283" s="570" t="n">
        <v>14870</v>
      </c>
      <c r="J283" s="570" t="n">
        <v>14760</v>
      </c>
      <c r="K283" s="570" t="n">
        <v>13805</v>
      </c>
      <c r="L283" s="570" t="n">
        <v>12500</v>
      </c>
      <c r="M283" s="570" t="n">
        <v>12690</v>
      </c>
      <c r="N283" s="570" t="n">
        <v>11370</v>
      </c>
      <c r="O283" s="570" t="n">
        <v>13035</v>
      </c>
      <c r="P283" s="570" t="n">
        <v>13250</v>
      </c>
      <c r="Q283" s="570" t="n">
        <v>12815</v>
      </c>
      <c r="R283" s="570" t="n">
        <v>11140</v>
      </c>
      <c r="S283" s="570" t="n">
        <v>11230</v>
      </c>
      <c r="T283" s="570" t="n">
        <v>11000</v>
      </c>
      <c r="U283" s="570" t="n">
        <v>11145</v>
      </c>
      <c r="V283" s="570" t="n">
        <v>10820</v>
      </c>
      <c r="W283" s="570" t="n">
        <v>10900</v>
      </c>
      <c r="X283" s="570" t="n">
        <v>10540</v>
      </c>
      <c r="Y283" s="570" t="n">
        <v>10900</v>
      </c>
      <c r="Z283" s="570" t="n">
        <v>11335</v>
      </c>
      <c r="AA283" s="570" t="n">
        <v>12400</v>
      </c>
      <c r="AB283" s="570" t="n">
        <v>12350</v>
      </c>
      <c r="AC283" s="570" t="n">
        <v>11090</v>
      </c>
      <c r="AD283" s="570" t="n">
        <v>11325</v>
      </c>
      <c r="AE283" s="570" t="n">
        <v>11535</v>
      </c>
      <c r="AF283" s="570" t="n">
        <v>11080</v>
      </c>
      <c r="AG283" s="570" t="n">
        <v>11000</v>
      </c>
      <c r="AH283" s="570" t="n">
        <v>10470</v>
      </c>
      <c r="AI283" s="570" t="n">
        <v>10350</v>
      </c>
      <c r="AJ283" s="570" t="n">
        <v>10590</v>
      </c>
      <c r="AK283" s="570" t="n">
        <v>10910</v>
      </c>
      <c r="AL283" s="570" t="n">
        <v>10390</v>
      </c>
      <c r="AM283" s="570" t="n">
        <v>10715</v>
      </c>
      <c r="AN283" s="570" t="n">
        <v>10605</v>
      </c>
      <c r="AO283" s="570" t="n">
        <v>10750</v>
      </c>
      <c r="AP283" s="570" t="n">
        <v>10570</v>
      </c>
      <c r="AQ283" s="570" t="n">
        <v>11085</v>
      </c>
      <c r="AR283" s="570" t="n">
        <v>10900</v>
      </c>
      <c r="AS283" s="570" t="n">
        <v>11365</v>
      </c>
      <c r="AT283" s="570" t="n">
        <v>11060</v>
      </c>
      <c r="AU283" s="570" t="n">
        <v>10805</v>
      </c>
      <c r="AV283" s="570" t="n">
        <v>10410</v>
      </c>
      <c r="AW283" s="570" t="n">
        <v>10140</v>
      </c>
      <c r="AX283" s="570" t="n">
        <v>9885</v>
      </c>
      <c r="AY283" s="570" t="n">
        <v>9200</v>
      </c>
      <c r="AZ283" s="570" t="n">
        <v>9295</v>
      </c>
      <c r="BA283" s="570" t="n">
        <v>9260</v>
      </c>
      <c r="BB283" s="570" t="n">
        <v>9570</v>
      </c>
      <c r="BC283" s="570" t="n">
        <v>9390</v>
      </c>
      <c r="BD283" s="570" t="n">
        <v>8700</v>
      </c>
      <c r="BE283" s="570" t="n">
        <v>8884</v>
      </c>
      <c r="BF283" s="570" t="n">
        <v>9550</v>
      </c>
      <c r="BG283" s="570" t="n">
        <v>9967.5</v>
      </c>
      <c r="BH283" s="570" t="n">
        <v>9825</v>
      </c>
      <c r="BI283" s="570" t="n">
        <v>9820</v>
      </c>
      <c r="BJ283" s="570" t="n">
        <v>9400</v>
      </c>
      <c r="BK283" s="570" t="n">
        <v>9755</v>
      </c>
      <c r="BL283" s="570" t="n">
        <v>9950</v>
      </c>
    </row>
    <row r="284">
      <c r="A284" s="77" t="inlineStr">
        <is>
          <t>3905</t>
        </is>
      </c>
      <c r="B284" s="570">
        <f>銘柄管理!C284</f>
        <v/>
      </c>
      <c r="C284" s="570">
        <f>_xll.RssMarket("3905","始値")</f>
        <v/>
      </c>
      <c r="E284" s="570" t="n">
        <v>5260</v>
      </c>
      <c r="F284" s="570" t="n">
        <v>5170</v>
      </c>
      <c r="G284" s="570" t="n">
        <v>4845</v>
      </c>
      <c r="H284" s="570" t="n">
        <v>5000</v>
      </c>
      <c r="I284" s="570" t="n">
        <v>4775</v>
      </c>
      <c r="J284" s="570" t="n">
        <v>4790</v>
      </c>
      <c r="K284" s="570" t="n">
        <v>4505</v>
      </c>
      <c r="L284" s="570" t="n">
        <v>4310</v>
      </c>
      <c r="M284" s="570" t="n">
        <v>4460</v>
      </c>
      <c r="N284" s="570" t="n">
        <v>4480</v>
      </c>
      <c r="O284" s="570" t="n">
        <v>5700</v>
      </c>
      <c r="P284" s="570" t="n">
        <v>5060</v>
      </c>
      <c r="Q284" s="570" t="n">
        <v>4805</v>
      </c>
      <c r="R284" s="570" t="n">
        <v>5400</v>
      </c>
      <c r="S284" s="570" t="n">
        <v>4335</v>
      </c>
      <c r="T284" s="570" t="n">
        <v>4760</v>
      </c>
      <c r="U284" s="570" t="n">
        <v>4800</v>
      </c>
      <c r="V284" s="570" t="n">
        <v>4240</v>
      </c>
      <c r="W284" s="570" t="n">
        <v>3500</v>
      </c>
      <c r="X284" s="570" t="n">
        <v>3135</v>
      </c>
      <c r="Y284" s="570" t="n">
        <v>3345</v>
      </c>
      <c r="Z284" s="570" t="n">
        <v>2843</v>
      </c>
      <c r="AA284" s="570" t="n">
        <v>2213</v>
      </c>
      <c r="AB284" s="570" t="n">
        <v>2302</v>
      </c>
      <c r="AC284" s="570" t="n">
        <v>2193</v>
      </c>
      <c r="AD284" s="570" t="n">
        <v>2336</v>
      </c>
      <c r="AE284" s="570" t="n">
        <v>2060</v>
      </c>
      <c r="AF284" s="570" t="n">
        <v>1673</v>
      </c>
      <c r="AG284" s="570" t="n">
        <v>1524</v>
      </c>
      <c r="AH284" s="570" t="n">
        <v>1488</v>
      </c>
      <c r="AI284" s="570" t="n">
        <v>1500</v>
      </c>
      <c r="AJ284" s="570" t="n">
        <v>1461</v>
      </c>
      <c r="AK284" s="570" t="n">
        <v>1467</v>
      </c>
      <c r="AL284" s="570" t="n">
        <v>1492</v>
      </c>
      <c r="AM284" s="570" t="n">
        <v>1535</v>
      </c>
      <c r="AN284" s="570" t="n">
        <v>1551</v>
      </c>
      <c r="AO284" s="570" t="n">
        <v>1600</v>
      </c>
      <c r="AP284" s="570" t="n">
        <v>1562</v>
      </c>
      <c r="AQ284" s="570" t="n">
        <v>1584</v>
      </c>
      <c r="AR284" s="570" t="n">
        <v>1520</v>
      </c>
      <c r="AS284" s="570" t="n">
        <v>1473</v>
      </c>
      <c r="AT284" s="570" t="n">
        <v>1380</v>
      </c>
      <c r="AU284" s="570" t="n">
        <v>1346</v>
      </c>
      <c r="AV284" s="570" t="n">
        <v>1379</v>
      </c>
      <c r="AW284" s="570" t="n">
        <v>1375</v>
      </c>
      <c r="AX284" s="570" t="n">
        <v>1363</v>
      </c>
      <c r="AY284" s="570" t="n">
        <v>1304</v>
      </c>
      <c r="AZ284" s="570" t="n">
        <v>1337</v>
      </c>
      <c r="BA284" s="570" t="n">
        <v>1361</v>
      </c>
      <c r="BB284" s="570" t="n">
        <v>1375</v>
      </c>
      <c r="BC284" s="570" t="n">
        <v>1310</v>
      </c>
      <c r="BD284" s="570" t="n">
        <v>1297</v>
      </c>
      <c r="BE284" s="570" t="n">
        <v>1303</v>
      </c>
      <c r="BF284" s="570" t="n">
        <v>1380</v>
      </c>
      <c r="BG284" s="570" t="n">
        <v>1395</v>
      </c>
      <c r="BH284" s="570" t="n">
        <v>1336</v>
      </c>
      <c r="BI284" s="570" t="n">
        <v>1337</v>
      </c>
      <c r="BJ284" s="570" t="n">
        <v>1402</v>
      </c>
      <c r="BK284" s="570" t="n">
        <v>1517</v>
      </c>
      <c r="BL284" s="570" t="n">
        <v>1552</v>
      </c>
    </row>
    <row r="285">
      <c r="A285" s="77" t="inlineStr">
        <is>
          <t>3397</t>
        </is>
      </c>
      <c r="B285" s="570">
        <f>銘柄管理!C285</f>
        <v/>
      </c>
      <c r="C285" s="570">
        <f>_xll.RssMarket("3397","始値")</f>
        <v/>
      </c>
      <c r="E285" s="570" t="n">
        <v>3570</v>
      </c>
      <c r="F285" s="570" t="n">
        <v>3574</v>
      </c>
      <c r="G285" s="570" t="n">
        <v>3625</v>
      </c>
      <c r="H285" s="570" t="n">
        <v>3728</v>
      </c>
      <c r="I285" s="570" t="n">
        <v>3730</v>
      </c>
      <c r="J285" s="570" t="n">
        <v>3819</v>
      </c>
      <c r="K285" s="570" t="n">
        <v>3885</v>
      </c>
      <c r="L285" s="570" t="n">
        <v>3906</v>
      </c>
      <c r="M285" s="570" t="n">
        <v>3771</v>
      </c>
      <c r="N285" s="570" t="n">
        <v>3700</v>
      </c>
      <c r="O285" s="570" t="n">
        <v>3707</v>
      </c>
      <c r="P285" s="570" t="n">
        <v>3819</v>
      </c>
      <c r="Q285" s="570" t="n">
        <v>3802</v>
      </c>
      <c r="R285" s="570" t="n">
        <v>3798</v>
      </c>
      <c r="S285" s="570" t="n">
        <v>3795</v>
      </c>
      <c r="T285" s="570" t="n">
        <v>3756</v>
      </c>
      <c r="U285" s="570" t="n">
        <v>3661</v>
      </c>
      <c r="V285" s="570" t="n">
        <v>3860</v>
      </c>
      <c r="W285" s="570" t="n">
        <v>3800</v>
      </c>
      <c r="X285" s="570" t="n">
        <v>3889</v>
      </c>
      <c r="Y285" s="570" t="n">
        <v>3862</v>
      </c>
      <c r="Z285" s="570" t="n">
        <v>3799</v>
      </c>
      <c r="AA285" s="570" t="n">
        <v>3799</v>
      </c>
      <c r="AB285" s="570" t="n">
        <v>3939</v>
      </c>
      <c r="AC285" s="570" t="n">
        <v>3980</v>
      </c>
      <c r="AD285" s="570" t="n">
        <v>3963</v>
      </c>
      <c r="AE285" s="570" t="n">
        <v>3950</v>
      </c>
      <c r="AF285" s="570" t="n">
        <v>3961</v>
      </c>
      <c r="AG285" s="570" t="n">
        <v>4025</v>
      </c>
      <c r="AH285" s="570" t="n">
        <v>3997</v>
      </c>
      <c r="AI285" s="570" t="n">
        <v>4039</v>
      </c>
      <c r="AJ285" s="570" t="n">
        <v>4061</v>
      </c>
      <c r="AK285" s="570" t="n">
        <v>4055</v>
      </c>
      <c r="AL285" s="570" t="n">
        <v>4072</v>
      </c>
      <c r="AM285" s="570" t="n">
        <v>4100</v>
      </c>
      <c r="AN285" s="570" t="n">
        <v>4121</v>
      </c>
      <c r="AO285" s="570" t="n">
        <v>4159</v>
      </c>
      <c r="AP285" s="570" t="n">
        <v>4212</v>
      </c>
      <c r="AQ285" s="570" t="n">
        <v>4182</v>
      </c>
      <c r="AR285" s="570" t="n">
        <v>4197</v>
      </c>
      <c r="AS285" s="570" t="n">
        <v>4291</v>
      </c>
      <c r="AT285" s="570" t="n">
        <v>4250</v>
      </c>
      <c r="AU285" s="570" t="n">
        <v>4251</v>
      </c>
      <c r="AV285" s="570" t="n">
        <v>4297</v>
      </c>
      <c r="AW285" s="570" t="n">
        <v>4356</v>
      </c>
      <c r="AX285" s="570" t="n">
        <v>4494</v>
      </c>
      <c r="AY285" s="570" t="n">
        <v>4540</v>
      </c>
      <c r="AZ285" s="570" t="n">
        <v>4522</v>
      </c>
      <c r="BA285" s="570" t="n">
        <v>4541</v>
      </c>
      <c r="BB285" s="570" t="n">
        <v>4486</v>
      </c>
      <c r="BC285" s="570" t="n">
        <v>4490</v>
      </c>
      <c r="BD285" s="570" t="n">
        <v>4357</v>
      </c>
      <c r="BE285" s="570" t="n">
        <v>4346</v>
      </c>
      <c r="BF285" s="570" t="n">
        <v>4291</v>
      </c>
      <c r="BG285" s="570" t="n">
        <v>4398</v>
      </c>
      <c r="BH285" s="570" t="n">
        <v>4394</v>
      </c>
      <c r="BI285" s="570" t="n">
        <v>4396</v>
      </c>
      <c r="BJ285" s="570" t="n">
        <v>4350</v>
      </c>
      <c r="BK285" s="570" t="n">
        <v>4343</v>
      </c>
      <c r="BL285" s="570" t="n">
        <v>4342</v>
      </c>
    </row>
    <row r="286">
      <c r="A286" s="77" t="inlineStr">
        <is>
          <t>7270</t>
        </is>
      </c>
      <c r="B286" s="570">
        <f>銘柄管理!C286</f>
        <v/>
      </c>
      <c r="C286" s="570">
        <f>_xll.RssMarket("7270","始値")</f>
        <v/>
      </c>
      <c r="E286" s="570" t="n">
        <v>2444.5</v>
      </c>
      <c r="F286" s="570" t="n">
        <v>2497.5</v>
      </c>
      <c r="G286" s="570" t="n">
        <v>2582.5</v>
      </c>
      <c r="H286" s="570" t="n">
        <v>2570</v>
      </c>
      <c r="I286" s="570" t="n">
        <v>2520</v>
      </c>
      <c r="J286" s="570" t="n">
        <v>2512.5</v>
      </c>
      <c r="K286" s="570" t="n">
        <v>2518.5</v>
      </c>
      <c r="L286" s="570" t="n">
        <v>2485.5</v>
      </c>
      <c r="M286" s="570" t="n">
        <v>2573</v>
      </c>
      <c r="N286" s="570" t="n">
        <v>2462</v>
      </c>
      <c r="O286" s="570" t="n">
        <v>2487</v>
      </c>
      <c r="P286" s="570" t="n">
        <v>2453</v>
      </c>
      <c r="Q286" s="570" t="n">
        <v>2440</v>
      </c>
      <c r="R286" s="570" t="n">
        <v>2366</v>
      </c>
      <c r="S286" s="570" t="n">
        <v>2450</v>
      </c>
      <c r="T286" s="570" t="n">
        <v>2475.5</v>
      </c>
      <c r="U286" s="570" t="n">
        <v>2446</v>
      </c>
      <c r="V286" s="570" t="n">
        <v>2482.5</v>
      </c>
      <c r="W286" s="570" t="n">
        <v>2480</v>
      </c>
      <c r="X286" s="570" t="n">
        <v>2453</v>
      </c>
      <c r="Y286" s="570" t="n">
        <v>2460</v>
      </c>
      <c r="Z286" s="570" t="n">
        <v>2360</v>
      </c>
      <c r="AA286" s="570" t="n">
        <v>2417.5</v>
      </c>
      <c r="AB286" s="570" t="n">
        <v>2446</v>
      </c>
      <c r="AC286" s="570" t="n">
        <v>2346.5</v>
      </c>
      <c r="AD286" s="570" t="n">
        <v>2290.5</v>
      </c>
      <c r="AE286" s="570" t="n">
        <v>2279.5</v>
      </c>
      <c r="AF286" s="570" t="n">
        <v>2330</v>
      </c>
      <c r="AG286" s="570" t="n">
        <v>2373.5</v>
      </c>
      <c r="AH286" s="570" t="n">
        <v>2371.5</v>
      </c>
      <c r="AI286" s="570" t="n">
        <v>2335</v>
      </c>
      <c r="AJ286" s="570" t="n">
        <v>2371</v>
      </c>
      <c r="AK286" s="570" t="n">
        <v>2490</v>
      </c>
      <c r="AL286" s="570" t="n">
        <v>2440</v>
      </c>
      <c r="AM286" s="570" t="n">
        <v>2494</v>
      </c>
      <c r="AN286" s="570" t="n">
        <v>2498</v>
      </c>
      <c r="AO286" s="570" t="n">
        <v>2530.5</v>
      </c>
      <c r="AP286" s="570" t="n">
        <v>2549</v>
      </c>
      <c r="AQ286" s="570" t="n">
        <v>2576</v>
      </c>
      <c r="AR286" s="570" t="n">
        <v>2534.5</v>
      </c>
      <c r="AS286" s="570" t="n">
        <v>2556</v>
      </c>
      <c r="AT286" s="570" t="n">
        <v>2530</v>
      </c>
      <c r="AU286" s="570" t="n">
        <v>2538</v>
      </c>
      <c r="AV286" s="570" t="n">
        <v>2511</v>
      </c>
      <c r="AW286" s="570" t="n">
        <v>2533.5</v>
      </c>
      <c r="AX286" s="570" t="n">
        <v>2582</v>
      </c>
      <c r="AY286" s="570" t="n">
        <v>2579</v>
      </c>
      <c r="AZ286" s="570" t="n">
        <v>2506</v>
      </c>
      <c r="BA286" s="570" t="n">
        <v>2544.5</v>
      </c>
      <c r="BB286" s="570" t="n">
        <v>2528</v>
      </c>
      <c r="BC286" s="570" t="n">
        <v>2578</v>
      </c>
      <c r="BD286" s="570" t="n">
        <v>2569</v>
      </c>
      <c r="BE286" s="570" t="n">
        <v>2490</v>
      </c>
      <c r="BF286" s="570" t="n">
        <v>2451.5</v>
      </c>
      <c r="BG286" s="570" t="n">
        <v>2570</v>
      </c>
      <c r="BH286" s="570" t="n">
        <v>2585.5</v>
      </c>
      <c r="BI286" s="570" t="n">
        <v>2626.5</v>
      </c>
      <c r="BJ286" s="570" t="n">
        <v>2546.5</v>
      </c>
      <c r="BK286" s="570" t="n">
        <v>2480</v>
      </c>
      <c r="BL286" s="570" t="n">
        <v>2569</v>
      </c>
    </row>
    <row r="287">
      <c r="A287" s="77" t="inlineStr">
        <is>
          <t>6736</t>
        </is>
      </c>
      <c r="B287" s="570">
        <f>銘柄管理!C287</f>
        <v/>
      </c>
      <c r="C287" s="570">
        <f>_xll.RssMarket("6736","始値")</f>
        <v/>
      </c>
      <c r="E287" s="570" t="n">
        <v>9100</v>
      </c>
      <c r="F287" s="570" t="n">
        <v>9200</v>
      </c>
      <c r="G287" s="570" t="n">
        <v>9250</v>
      </c>
      <c r="H287" s="570" t="n">
        <v>9170</v>
      </c>
      <c r="I287" s="570" t="n">
        <v>8840</v>
      </c>
      <c r="J287" s="570" t="n">
        <v>8880</v>
      </c>
      <c r="K287" s="570" t="n">
        <v>8970</v>
      </c>
      <c r="L287" s="570" t="n">
        <v>8600</v>
      </c>
      <c r="M287" s="570" t="n">
        <v>8670</v>
      </c>
      <c r="N287" s="570" t="n">
        <v>9090</v>
      </c>
      <c r="O287" s="570" t="n">
        <v>9250</v>
      </c>
      <c r="P287" s="570" t="n">
        <v>9500</v>
      </c>
      <c r="Q287" s="570" t="n">
        <v>9230</v>
      </c>
      <c r="R287" s="570" t="n">
        <v>9100</v>
      </c>
      <c r="S287" s="570" t="n">
        <v>9320</v>
      </c>
      <c r="T287" s="570" t="n">
        <v>9330</v>
      </c>
      <c r="U287" s="570" t="n">
        <v>9420</v>
      </c>
      <c r="V287" s="570" t="n">
        <v>8850</v>
      </c>
      <c r="W287" s="570" t="n">
        <v>8940</v>
      </c>
      <c r="X287" s="570" t="n">
        <v>9680</v>
      </c>
      <c r="Y287" s="570" t="n">
        <v>9160</v>
      </c>
      <c r="Z287" s="570" t="n">
        <v>8760</v>
      </c>
      <c r="AA287" s="570" t="n">
        <v>8500</v>
      </c>
      <c r="AB287" s="570" t="n">
        <v>8480</v>
      </c>
      <c r="AC287" s="570" t="n">
        <v>8920</v>
      </c>
      <c r="AD287" s="570" t="n">
        <v>8890</v>
      </c>
      <c r="AE287" s="570" t="n">
        <v>8700</v>
      </c>
      <c r="AF287" s="570" t="n">
        <v>8610</v>
      </c>
      <c r="AG287" s="570" t="n">
        <v>8520</v>
      </c>
      <c r="AH287" s="570" t="n">
        <v>8300</v>
      </c>
      <c r="AI287" s="570" t="n">
        <v>8190</v>
      </c>
      <c r="AJ287" s="570" t="n">
        <v>8130</v>
      </c>
      <c r="AK287" s="570" t="n">
        <v>7980</v>
      </c>
      <c r="AL287" s="570" t="n">
        <v>8240</v>
      </c>
      <c r="AM287" s="570" t="n">
        <v>7950</v>
      </c>
      <c r="AN287" s="570" t="n">
        <v>8040</v>
      </c>
      <c r="AO287" s="570" t="n">
        <v>8010</v>
      </c>
      <c r="AP287" s="570" t="n">
        <v>8160</v>
      </c>
      <c r="AQ287" s="570" t="n">
        <v>7990</v>
      </c>
      <c r="AR287" s="570" t="n">
        <v>7320</v>
      </c>
      <c r="AS287" s="570" t="n">
        <v>7760</v>
      </c>
      <c r="AT287" s="570" t="n">
        <v>8110</v>
      </c>
      <c r="AU287" s="570" t="n">
        <v>8850</v>
      </c>
      <c r="AV287" s="570" t="n">
        <v>9090</v>
      </c>
      <c r="AW287" s="570" t="n">
        <v>8510</v>
      </c>
      <c r="AX287" s="570" t="n">
        <v>8470</v>
      </c>
      <c r="AY287" s="570" t="n">
        <v>8510</v>
      </c>
      <c r="AZ287" s="570" t="n">
        <v>8390</v>
      </c>
      <c r="BA287" s="570" t="n">
        <v>8530</v>
      </c>
      <c r="BB287" s="570" t="n">
        <v>8280</v>
      </c>
      <c r="BC287" s="570" t="n">
        <v>8190</v>
      </c>
      <c r="BD287" s="570" t="n">
        <v>8140</v>
      </c>
      <c r="BE287" s="570" t="n">
        <v>8480</v>
      </c>
      <c r="BF287" s="570" t="n">
        <v>8120</v>
      </c>
      <c r="BG287" s="570" t="n">
        <v>7830</v>
      </c>
      <c r="BH287" s="570" t="n">
        <v>7800</v>
      </c>
      <c r="BI287" s="570" t="n">
        <v>7460</v>
      </c>
      <c r="BJ287" s="570" t="n">
        <v>7820</v>
      </c>
      <c r="BK287" s="570" t="n">
        <v>7750</v>
      </c>
      <c r="BL287" s="570" t="n">
        <v>7800</v>
      </c>
    </row>
    <row r="288">
      <c r="A288" s="77" t="inlineStr">
        <is>
          <t>2933</t>
        </is>
      </c>
      <c r="B288" s="570">
        <f>銘柄管理!C288</f>
        <v/>
      </c>
      <c r="C288" s="570">
        <f>_xll.RssMarket("2933","始値")</f>
        <v/>
      </c>
      <c r="E288" s="570" t="n">
        <v>1065</v>
      </c>
      <c r="F288" s="570" t="n">
        <v>1056</v>
      </c>
      <c r="G288" s="570" t="n">
        <v>1049</v>
      </c>
      <c r="H288" s="570" t="n">
        <v>1050</v>
      </c>
      <c r="I288" s="570" t="n">
        <v>1044</v>
      </c>
      <c r="J288" s="570" t="n">
        <v>1045</v>
      </c>
      <c r="K288" s="570" t="n">
        <v>1048</v>
      </c>
      <c r="L288" s="570" t="n">
        <v>1044</v>
      </c>
      <c r="M288" s="570" t="n">
        <v>1038</v>
      </c>
      <c r="N288" s="570" t="n">
        <v>1028</v>
      </c>
      <c r="O288" s="570" t="n">
        <v>1023</v>
      </c>
      <c r="P288" s="570" t="n">
        <v>1017</v>
      </c>
      <c r="Q288" s="570" t="n">
        <v>1027</v>
      </c>
      <c r="R288" s="570" t="n">
        <v>1043</v>
      </c>
      <c r="S288" s="570" t="n">
        <v>1036</v>
      </c>
      <c r="T288" s="570" t="n">
        <v>1035</v>
      </c>
      <c r="U288" s="570" t="n">
        <v>1037</v>
      </c>
      <c r="V288" s="570" t="n">
        <v>1046</v>
      </c>
      <c r="W288" s="570" t="n">
        <v>1048</v>
      </c>
      <c r="X288" s="570" t="n">
        <v>1044</v>
      </c>
      <c r="Y288" s="570" t="n">
        <v>1043</v>
      </c>
      <c r="Z288" s="570" t="n">
        <v>1048</v>
      </c>
      <c r="AA288" s="570" t="n">
        <v>1030</v>
      </c>
      <c r="AB288" s="570" t="n">
        <v>1030</v>
      </c>
      <c r="AC288" s="570" t="n">
        <v>1033</v>
      </c>
      <c r="AD288" s="570" t="n">
        <v>1025</v>
      </c>
      <c r="AE288" s="570" t="n">
        <v>1025</v>
      </c>
      <c r="AF288" s="570" t="n">
        <v>1032</v>
      </c>
      <c r="AG288" s="570" t="n">
        <v>1034</v>
      </c>
      <c r="AH288" s="570" t="n">
        <v>1041</v>
      </c>
      <c r="AI288" s="570" t="n">
        <v>1025</v>
      </c>
      <c r="AJ288" s="570" t="n">
        <v>1025</v>
      </c>
      <c r="AK288" s="570" t="n">
        <v>1030</v>
      </c>
      <c r="AL288" s="570" t="n">
        <v>1044</v>
      </c>
      <c r="AM288" s="570" t="n">
        <v>1040</v>
      </c>
      <c r="AN288" s="570" t="n">
        <v>1051</v>
      </c>
      <c r="AO288" s="570" t="n">
        <v>1065</v>
      </c>
      <c r="AP288" s="570" t="n">
        <v>1065</v>
      </c>
      <c r="AQ288" s="570" t="n">
        <v>1061</v>
      </c>
      <c r="AR288" s="570" t="n">
        <v>1058</v>
      </c>
      <c r="AS288" s="570" t="n">
        <v>1051</v>
      </c>
      <c r="AT288" s="570" t="n">
        <v>1057</v>
      </c>
      <c r="AU288" s="570" t="n">
        <v>1058</v>
      </c>
      <c r="AV288" s="570" t="n">
        <v>1064</v>
      </c>
      <c r="AW288" s="570" t="n">
        <v>1065</v>
      </c>
      <c r="AX288" s="570" t="n">
        <v>1070</v>
      </c>
      <c r="AY288" s="570" t="n">
        <v>1065</v>
      </c>
      <c r="AZ288" s="570" t="n">
        <v>1056</v>
      </c>
      <c r="BA288" s="570" t="n">
        <v>1050</v>
      </c>
      <c r="BB288" s="570" t="n">
        <v>1056</v>
      </c>
      <c r="BC288" s="570" t="n">
        <v>1040</v>
      </c>
      <c r="BD288" s="570" t="n">
        <v>1035</v>
      </c>
      <c r="BE288" s="570" t="n">
        <v>1031</v>
      </c>
      <c r="BF288" s="570" t="n">
        <v>1050</v>
      </c>
      <c r="BG288" s="570" t="n">
        <v>1055</v>
      </c>
      <c r="BH288" s="570" t="n">
        <v>1046</v>
      </c>
      <c r="BI288" s="570" t="n">
        <v>1030</v>
      </c>
      <c r="BJ288" s="570" t="n">
        <v>1038</v>
      </c>
      <c r="BK288" s="570" t="n">
        <v>1045</v>
      </c>
      <c r="BL288" s="570" t="n">
        <v>1038</v>
      </c>
    </row>
    <row r="289">
      <c r="A289" s="77" t="inlineStr">
        <is>
          <t>4047</t>
        </is>
      </c>
      <c r="B289" s="570">
        <f>銘柄管理!C289</f>
        <v/>
      </c>
      <c r="C289" s="570">
        <f>_xll.RssMarket("4047","始値")</f>
        <v/>
      </c>
      <c r="E289" s="570" t="n">
        <v>4000</v>
      </c>
      <c r="F289" s="570" t="n">
        <v>3900</v>
      </c>
      <c r="G289" s="570" t="n">
        <v>3750</v>
      </c>
      <c r="H289" s="570" t="n">
        <v>3745</v>
      </c>
      <c r="I289" s="570" t="n">
        <v>4030</v>
      </c>
      <c r="J289" s="570" t="n">
        <v>4090</v>
      </c>
      <c r="K289" s="570" t="n">
        <v>3665</v>
      </c>
      <c r="L289" s="570" t="n">
        <v>4050</v>
      </c>
      <c r="M289" s="570" t="n">
        <v>3675</v>
      </c>
      <c r="N289" s="570" t="n">
        <v>4195</v>
      </c>
      <c r="O289" s="570" t="n">
        <v>3705</v>
      </c>
      <c r="P289" s="570" t="n">
        <v>3740</v>
      </c>
      <c r="Q289" s="570" t="n">
        <v>3440</v>
      </c>
      <c r="R289" s="570" t="n">
        <v>3605</v>
      </c>
      <c r="S289" s="570" t="n">
        <v>3260</v>
      </c>
      <c r="T289" s="570" t="n">
        <v>3540</v>
      </c>
      <c r="U289" s="570" t="n">
        <v>3135</v>
      </c>
      <c r="V289" s="570" t="n">
        <v>2894</v>
      </c>
      <c r="W289" s="570" t="n">
        <v>2750</v>
      </c>
      <c r="X289" s="570" t="n">
        <v>2677</v>
      </c>
      <c r="Y289" s="570" t="n">
        <v>2750</v>
      </c>
      <c r="Z289" s="570" t="n">
        <v>2550</v>
      </c>
      <c r="AA289" s="570" t="n">
        <v>2125</v>
      </c>
      <c r="AB289" s="570" t="n">
        <v>2133</v>
      </c>
      <c r="AC289" s="570" t="n">
        <v>1975</v>
      </c>
      <c r="AD289" s="570" t="n">
        <v>1964</v>
      </c>
      <c r="AE289" s="570" t="n">
        <v>1899</v>
      </c>
      <c r="AF289" s="570" t="n">
        <v>1800</v>
      </c>
      <c r="AG289" s="570" t="n">
        <v>1802</v>
      </c>
      <c r="AH289" s="570" t="n">
        <v>1683</v>
      </c>
      <c r="AI289" s="570" t="n">
        <v>1660</v>
      </c>
      <c r="AJ289" s="570" t="n">
        <v>1680</v>
      </c>
      <c r="AK289" s="570" t="n">
        <v>1660</v>
      </c>
      <c r="AL289" s="570" t="n">
        <v>1632</v>
      </c>
      <c r="AM289" s="570" t="n">
        <v>1650</v>
      </c>
      <c r="AN289" s="570" t="n">
        <v>1671</v>
      </c>
      <c r="AO289" s="570" t="n">
        <v>1646</v>
      </c>
      <c r="AP289" s="570" t="n">
        <v>1625</v>
      </c>
      <c r="AQ289" s="570" t="n">
        <v>1646</v>
      </c>
      <c r="AR289" s="570" t="n">
        <v>1654</v>
      </c>
      <c r="AS289" s="570" t="n">
        <v>1740</v>
      </c>
      <c r="AT289" s="570" t="n">
        <v>1666</v>
      </c>
      <c r="AU289" s="570" t="n">
        <v>1610</v>
      </c>
      <c r="AV289" s="570" t="n">
        <v>1587</v>
      </c>
      <c r="AW289" s="570" t="n">
        <v>1602</v>
      </c>
      <c r="AX289" s="570" t="n">
        <v>1502</v>
      </c>
      <c r="AY289" s="570" t="n">
        <v>1408</v>
      </c>
      <c r="AZ289" s="570" t="n">
        <v>1343</v>
      </c>
      <c r="BA289" s="570" t="n">
        <v>1388</v>
      </c>
      <c r="BB289" s="570" t="n">
        <v>1420</v>
      </c>
      <c r="BC289" s="570" t="n">
        <v>1407</v>
      </c>
      <c r="BD289" s="570" t="n">
        <v>1359</v>
      </c>
      <c r="BE289" s="570" t="n">
        <v>1389</v>
      </c>
      <c r="BF289" s="570" t="n">
        <v>1484</v>
      </c>
      <c r="BG289" s="570" t="n">
        <v>1510</v>
      </c>
      <c r="BH289" s="570" t="n">
        <v>1451</v>
      </c>
      <c r="BI289" s="570" t="n">
        <v>1413</v>
      </c>
      <c r="BJ289" s="570" t="n">
        <v>1393</v>
      </c>
      <c r="BK289" s="570" t="n">
        <v>1508</v>
      </c>
      <c r="BL289" s="570" t="n">
        <v>1518</v>
      </c>
    </row>
    <row r="290">
      <c r="A290" s="77" t="inlineStr">
        <is>
          <t>6482</t>
        </is>
      </c>
      <c r="B290" s="570">
        <f>銘柄管理!C290</f>
        <v/>
      </c>
      <c r="C290" s="570">
        <f>_xll.RssMarket("6482","始値")</f>
        <v/>
      </c>
      <c r="E290" s="570" t="n">
        <v>737</v>
      </c>
      <c r="F290" s="570" t="n">
        <v>752</v>
      </c>
      <c r="G290" s="570" t="n">
        <v>771</v>
      </c>
      <c r="H290" s="570" t="n">
        <v>714</v>
      </c>
      <c r="I290" s="570" t="n">
        <v>697</v>
      </c>
      <c r="J290" s="570" t="n">
        <v>687</v>
      </c>
      <c r="K290" s="570" t="n">
        <v>677</v>
      </c>
      <c r="L290" s="570" t="n">
        <v>667</v>
      </c>
      <c r="M290" s="570" t="n">
        <v>680</v>
      </c>
      <c r="N290" s="570" t="n">
        <v>667</v>
      </c>
      <c r="O290" s="570" t="n">
        <v>671</v>
      </c>
      <c r="P290" s="570" t="n">
        <v>653</v>
      </c>
      <c r="Q290" s="570" t="n">
        <v>638</v>
      </c>
      <c r="R290" s="570" t="n">
        <v>658</v>
      </c>
      <c r="S290" s="570" t="n">
        <v>672</v>
      </c>
      <c r="T290" s="570" t="n">
        <v>664</v>
      </c>
      <c r="U290" s="570" t="n">
        <v>666</v>
      </c>
      <c r="V290" s="570" t="n">
        <v>722</v>
      </c>
      <c r="W290" s="570" t="n">
        <v>703</v>
      </c>
      <c r="X290" s="570" t="n">
        <v>714</v>
      </c>
      <c r="Y290" s="570" t="n">
        <v>708</v>
      </c>
      <c r="Z290" s="570" t="n">
        <v>720</v>
      </c>
      <c r="AA290" s="570" t="n">
        <v>730</v>
      </c>
      <c r="AB290" s="570" t="n">
        <v>755</v>
      </c>
      <c r="AC290" s="570" t="n">
        <v>725</v>
      </c>
      <c r="AD290" s="570" t="n">
        <v>724</v>
      </c>
      <c r="AE290" s="570" t="n">
        <v>713</v>
      </c>
      <c r="AF290" s="570" t="n">
        <v>693</v>
      </c>
      <c r="AG290" s="570" t="n">
        <v>680</v>
      </c>
      <c r="AH290" s="570" t="n">
        <v>685</v>
      </c>
      <c r="AI290" s="570" t="n">
        <v>664</v>
      </c>
      <c r="AJ290" s="570" t="n">
        <v>659</v>
      </c>
      <c r="AK290" s="570" t="n">
        <v>662</v>
      </c>
      <c r="AL290" s="570" t="n">
        <v>656</v>
      </c>
      <c r="AM290" s="570" t="n">
        <v>667</v>
      </c>
      <c r="AN290" s="570" t="n">
        <v>670</v>
      </c>
      <c r="AO290" s="570" t="n">
        <v>675</v>
      </c>
      <c r="AP290" s="570" t="n">
        <v>678</v>
      </c>
      <c r="AQ290" s="570" t="n">
        <v>673</v>
      </c>
      <c r="AR290" s="570" t="n">
        <v>678</v>
      </c>
      <c r="AS290" s="570" t="n">
        <v>685</v>
      </c>
      <c r="AT290" s="570" t="n">
        <v>689</v>
      </c>
      <c r="AU290" s="570" t="n">
        <v>678</v>
      </c>
      <c r="AV290" s="570" t="n">
        <v>679</v>
      </c>
      <c r="AW290" s="570" t="n">
        <v>686</v>
      </c>
      <c r="AX290" s="570" t="n">
        <v>698</v>
      </c>
      <c r="AY290" s="570" t="n">
        <v>699</v>
      </c>
      <c r="AZ290" s="570" t="n">
        <v>680</v>
      </c>
      <c r="BA290" s="570" t="n">
        <v>671</v>
      </c>
      <c r="BB290" s="570" t="n">
        <v>672</v>
      </c>
      <c r="BC290" s="570" t="n">
        <v>678</v>
      </c>
      <c r="BD290" s="570" t="n">
        <v>674</v>
      </c>
      <c r="BE290" s="570" t="n">
        <v>653</v>
      </c>
      <c r="BF290" s="570" t="n">
        <v>672</v>
      </c>
      <c r="BG290" s="570" t="n">
        <v>684</v>
      </c>
      <c r="BH290" s="570" t="n">
        <v>697</v>
      </c>
      <c r="BI290" s="570" t="n">
        <v>689</v>
      </c>
      <c r="BJ290" s="570" t="n">
        <v>679</v>
      </c>
      <c r="BK290" s="570" t="n">
        <v>650</v>
      </c>
      <c r="BL290" s="570" t="n">
        <v>708</v>
      </c>
    </row>
    <row r="291">
      <c r="A291" s="77" t="inlineStr">
        <is>
          <t>6706</t>
        </is>
      </c>
      <c r="B291" s="570">
        <f>銘柄管理!C291</f>
        <v/>
      </c>
      <c r="C291" s="570">
        <f>_xll.RssMarket("6706","始値")</f>
        <v/>
      </c>
      <c r="E291" s="570" t="n">
        <v>3205</v>
      </c>
      <c r="F291" s="570" t="n">
        <v>3210</v>
      </c>
      <c r="G291" s="570" t="n">
        <v>3180</v>
      </c>
      <c r="H291" s="570" t="n">
        <v>3160</v>
      </c>
      <c r="I291" s="570" t="n">
        <v>3275</v>
      </c>
      <c r="J291" s="570" t="n">
        <v>3250</v>
      </c>
      <c r="K291" s="570" t="n">
        <v>3200</v>
      </c>
      <c r="L291" s="570" t="n">
        <v>3290</v>
      </c>
      <c r="M291" s="570" t="n">
        <v>3350</v>
      </c>
      <c r="N291" s="570" t="n">
        <v>3360</v>
      </c>
      <c r="O291" s="570" t="n">
        <v>3455</v>
      </c>
      <c r="P291" s="570" t="n">
        <v>3470</v>
      </c>
      <c r="Q291" s="570" t="n">
        <v>3485</v>
      </c>
      <c r="R291" s="570" t="n">
        <v>3515</v>
      </c>
      <c r="S291" s="570" t="n">
        <v>3525</v>
      </c>
      <c r="T291" s="570" t="n">
        <v>3435</v>
      </c>
      <c r="U291" s="570" t="n">
        <v>3495</v>
      </c>
      <c r="V291" s="570" t="n">
        <v>3455</v>
      </c>
      <c r="W291" s="570" t="n">
        <v>3430</v>
      </c>
      <c r="X291" s="570" t="n">
        <v>3440</v>
      </c>
      <c r="Y291" s="570" t="n">
        <v>3430</v>
      </c>
      <c r="Z291" s="570" t="n">
        <v>3490</v>
      </c>
      <c r="AA291" s="570" t="n">
        <v>3390</v>
      </c>
      <c r="AB291" s="570" t="n">
        <v>3500</v>
      </c>
      <c r="AC291" s="570" t="n">
        <v>3485</v>
      </c>
      <c r="AD291" s="570" t="n">
        <v>3500</v>
      </c>
      <c r="AE291" s="570" t="n">
        <v>3495</v>
      </c>
      <c r="AF291" s="570" t="n">
        <v>3455</v>
      </c>
      <c r="AG291" s="570" t="n">
        <v>3390</v>
      </c>
      <c r="AH291" s="570" t="n">
        <v>3380</v>
      </c>
      <c r="AI291" s="570" t="n">
        <v>3305</v>
      </c>
      <c r="AJ291" s="570" t="n">
        <v>3280</v>
      </c>
      <c r="AK291" s="570" t="n">
        <v>3295</v>
      </c>
      <c r="AL291" s="570" t="n">
        <v>3325</v>
      </c>
      <c r="AM291" s="570" t="n">
        <v>3325</v>
      </c>
      <c r="AN291" s="570" t="n">
        <v>3275</v>
      </c>
      <c r="AO291" s="570" t="n">
        <v>3275</v>
      </c>
      <c r="AP291" s="570" t="n">
        <v>3300</v>
      </c>
      <c r="AQ291" s="570" t="n">
        <v>3275</v>
      </c>
      <c r="AR291" s="570" t="n">
        <v>3285</v>
      </c>
      <c r="AS291" s="570" t="n">
        <v>3305</v>
      </c>
      <c r="AT291" s="570" t="n">
        <v>3250</v>
      </c>
      <c r="AU291" s="570" t="n">
        <v>3200</v>
      </c>
      <c r="AV291" s="570" t="n">
        <v>3080</v>
      </c>
      <c r="AW291" s="570" t="n">
        <v>3095</v>
      </c>
      <c r="AX291" s="570" t="n">
        <v>3130</v>
      </c>
      <c r="AY291" s="570" t="n">
        <v>3125</v>
      </c>
      <c r="AZ291" s="570" t="n">
        <v>3050</v>
      </c>
      <c r="BA291" s="570" t="n">
        <v>3090</v>
      </c>
      <c r="BB291" s="570" t="n">
        <v>3085</v>
      </c>
      <c r="BC291" s="570" t="n">
        <v>3095</v>
      </c>
      <c r="BD291" s="570" t="n">
        <v>3030</v>
      </c>
      <c r="BE291" s="570" t="n">
        <v>2977</v>
      </c>
      <c r="BF291" s="570" t="n">
        <v>2970</v>
      </c>
      <c r="BG291" s="570" t="n">
        <v>3045</v>
      </c>
      <c r="BH291" s="570" t="n">
        <v>3120</v>
      </c>
      <c r="BI291" s="570" t="n">
        <v>3090</v>
      </c>
      <c r="BJ291" s="570" t="n">
        <v>3100</v>
      </c>
      <c r="BK291" s="570" t="n">
        <v>3005</v>
      </c>
      <c r="BL291" s="570" t="n">
        <v>3150</v>
      </c>
    </row>
    <row r="292">
      <c r="A292" s="77" t="inlineStr">
        <is>
          <t>8141</t>
        </is>
      </c>
      <c r="B292" s="570">
        <f>銘柄管理!C292</f>
        <v/>
      </c>
      <c r="C292" s="570">
        <f>_xll.RssMarket("8141","始値")</f>
        <v/>
      </c>
      <c r="E292" s="570" t="n">
        <v>1581</v>
      </c>
      <c r="F292" s="570" t="n">
        <v>1583</v>
      </c>
      <c r="G292" s="570" t="n">
        <v>1582</v>
      </c>
      <c r="H292" s="570" t="n">
        <v>1581</v>
      </c>
      <c r="I292" s="570" t="n">
        <v>1579</v>
      </c>
      <c r="J292" s="570" t="n">
        <v>1580</v>
      </c>
      <c r="K292" s="570" t="n">
        <v>1583</v>
      </c>
      <c r="L292" s="570" t="n">
        <v>1578</v>
      </c>
      <c r="M292" s="570" t="n">
        <v>1581</v>
      </c>
      <c r="N292" s="570" t="n">
        <v>1585</v>
      </c>
      <c r="O292" s="570" t="n">
        <v>1580</v>
      </c>
      <c r="P292" s="570" t="n">
        <v>1578</v>
      </c>
      <c r="Q292" s="570" t="n">
        <v>1576</v>
      </c>
      <c r="R292" s="570" t="n">
        <v>1577</v>
      </c>
      <c r="S292" s="570" t="n">
        <v>1583</v>
      </c>
      <c r="T292" s="570" t="n">
        <v>1600</v>
      </c>
      <c r="U292" s="570" t="n">
        <v>1610</v>
      </c>
      <c r="V292" s="570" t="n">
        <v>1603</v>
      </c>
      <c r="W292" s="570" t="n">
        <v>1604</v>
      </c>
      <c r="X292" s="570" t="n">
        <v>1604</v>
      </c>
      <c r="Y292" s="570" t="n">
        <v>1611</v>
      </c>
      <c r="Z292" s="570" t="n">
        <v>1537</v>
      </c>
      <c r="AA292" s="570" t="n">
        <v>1576</v>
      </c>
      <c r="AB292" s="570" t="n">
        <v>1618</v>
      </c>
      <c r="AC292" s="570" t="n">
        <v>1660</v>
      </c>
      <c r="AD292" s="570" t="n">
        <v>1732</v>
      </c>
      <c r="AE292" s="570" t="n">
        <v>1710</v>
      </c>
      <c r="AF292" s="570" t="n">
        <v>1686</v>
      </c>
      <c r="AG292" s="570" t="n">
        <v>1615</v>
      </c>
      <c r="AH292" s="570" t="n">
        <v>1605</v>
      </c>
      <c r="AI292" s="570" t="n">
        <v>1558</v>
      </c>
      <c r="AJ292" s="570" t="n">
        <v>1538</v>
      </c>
      <c r="AK292" s="570" t="n">
        <v>1529</v>
      </c>
      <c r="AL292" s="570" t="n">
        <v>1599</v>
      </c>
      <c r="AM292" s="570" t="n">
        <v>1556</v>
      </c>
      <c r="AN292" s="570" t="n">
        <v>1554</v>
      </c>
      <c r="AO292" s="570" t="n">
        <v>1500</v>
      </c>
      <c r="AP292" s="570" t="n">
        <v>1465</v>
      </c>
      <c r="AQ292" s="570" t="n">
        <v>1443</v>
      </c>
      <c r="AR292" s="570" t="n">
        <v>1368</v>
      </c>
      <c r="AS292" s="570" t="n">
        <v>1470</v>
      </c>
      <c r="AT292" s="570" t="n">
        <v>1433</v>
      </c>
      <c r="AU292" s="570" t="n">
        <v>1410</v>
      </c>
      <c r="AV292" s="570" t="n">
        <v>1372</v>
      </c>
      <c r="AW292" s="570" t="n">
        <v>1380</v>
      </c>
      <c r="AX292" s="570" t="n">
        <v>1310</v>
      </c>
      <c r="AY292" s="570" t="n">
        <v>1300</v>
      </c>
      <c r="AZ292" s="570" t="n">
        <v>1300</v>
      </c>
      <c r="BA292" s="570" t="n">
        <v>1266</v>
      </c>
      <c r="BB292" s="570" t="n">
        <v>1277</v>
      </c>
      <c r="BC292" s="570" t="n">
        <v>1259</v>
      </c>
      <c r="BD292" s="570" t="n">
        <v>1229</v>
      </c>
      <c r="BE292" s="570" t="n">
        <v>1184</v>
      </c>
      <c r="BF292" s="570" t="n">
        <v>1220</v>
      </c>
      <c r="BG292" s="570" t="n">
        <v>1117</v>
      </c>
      <c r="BH292" s="570" t="n">
        <v>1100</v>
      </c>
      <c r="BI292" s="570" t="n">
        <v>1090</v>
      </c>
      <c r="BJ292" s="570" t="n">
        <v>1095</v>
      </c>
      <c r="BK292" s="570" t="n">
        <v>1110</v>
      </c>
      <c r="BL292" s="570" t="n">
        <v>1106</v>
      </c>
    </row>
    <row r="293">
      <c r="A293" s="77" t="inlineStr">
        <is>
          <t>8344</t>
        </is>
      </c>
      <c r="B293" s="570">
        <f>銘柄管理!C293</f>
        <v/>
      </c>
      <c r="C293" s="570">
        <f>_xll.RssMarket("8344","始値")</f>
        <v/>
      </c>
      <c r="E293" s="570" t="n">
        <v>3350</v>
      </c>
      <c r="F293" s="570" t="n">
        <v>3470</v>
      </c>
      <c r="G293" s="570" t="n">
        <v>3535</v>
      </c>
      <c r="H293" s="570" t="n">
        <v>3580</v>
      </c>
      <c r="I293" s="570" t="n">
        <v>3545</v>
      </c>
      <c r="J293" s="570" t="n">
        <v>3550</v>
      </c>
      <c r="K293" s="570" t="n">
        <v>3405</v>
      </c>
      <c r="L293" s="570" t="n">
        <v>3350</v>
      </c>
      <c r="M293" s="570" t="n">
        <v>3200</v>
      </c>
      <c r="N293" s="570" t="n">
        <v>2982</v>
      </c>
      <c r="O293" s="570" t="n">
        <v>3075</v>
      </c>
      <c r="P293" s="570" t="n">
        <v>2963</v>
      </c>
      <c r="Q293" s="570" t="n">
        <v>3055</v>
      </c>
      <c r="R293" s="570" t="n">
        <v>3020</v>
      </c>
      <c r="S293" s="570" t="n">
        <v>3125</v>
      </c>
      <c r="T293" s="570" t="n">
        <v>3080</v>
      </c>
      <c r="U293" s="570" t="n">
        <v>3070</v>
      </c>
      <c r="V293" s="570" t="n">
        <v>3025</v>
      </c>
      <c r="W293" s="570" t="n">
        <v>3080</v>
      </c>
      <c r="X293" s="570" t="n">
        <v>3050</v>
      </c>
      <c r="Y293" s="570" t="n">
        <v>2955</v>
      </c>
      <c r="Z293" s="570" t="n">
        <v>2904</v>
      </c>
      <c r="AA293" s="570" t="n">
        <v>2755</v>
      </c>
      <c r="AB293" s="570" t="n">
        <v>2650</v>
      </c>
      <c r="AC293" s="570" t="n">
        <v>2615</v>
      </c>
      <c r="AD293" s="570" t="n">
        <v>2543</v>
      </c>
      <c r="AE293" s="570" t="n">
        <v>2576</v>
      </c>
      <c r="AF293" s="570" t="n">
        <v>2514</v>
      </c>
      <c r="AG293" s="570" t="n">
        <v>2558</v>
      </c>
      <c r="AH293" s="570" t="n">
        <v>2603</v>
      </c>
      <c r="AI293" s="570" t="n">
        <v>2537</v>
      </c>
      <c r="AJ293" s="570" t="n">
        <v>2485</v>
      </c>
      <c r="AK293" s="570" t="n">
        <v>2417</v>
      </c>
      <c r="AL293" s="570" t="n">
        <v>2391</v>
      </c>
      <c r="AM293" s="570" t="n">
        <v>2476</v>
      </c>
      <c r="AN293" s="570" t="n">
        <v>2513</v>
      </c>
      <c r="AO293" s="570" t="n">
        <v>2611</v>
      </c>
      <c r="AP293" s="570" t="n">
        <v>2733</v>
      </c>
      <c r="AQ293" s="570" t="n">
        <v>2794</v>
      </c>
      <c r="AR293" s="570" t="n">
        <v>2789</v>
      </c>
      <c r="AS293" s="570" t="n">
        <v>2752</v>
      </c>
      <c r="AT293" s="570" t="n">
        <v>2720</v>
      </c>
      <c r="AU293" s="570" t="n">
        <v>2702</v>
      </c>
      <c r="AV293" s="570" t="n">
        <v>2628</v>
      </c>
      <c r="AW293" s="570" t="n">
        <v>2700</v>
      </c>
      <c r="AX293" s="570" t="n">
        <v>2675</v>
      </c>
      <c r="AY293" s="570" t="n">
        <v>2691</v>
      </c>
      <c r="AZ293" s="570" t="n">
        <v>2560</v>
      </c>
      <c r="BA293" s="570" t="n">
        <v>2512</v>
      </c>
      <c r="BB293" s="570" t="n">
        <v>2539</v>
      </c>
      <c r="BC293" s="570" t="n">
        <v>2550</v>
      </c>
      <c r="BD293" s="570" t="n">
        <v>2473</v>
      </c>
      <c r="BE293" s="570" t="n">
        <v>2350</v>
      </c>
      <c r="BF293" s="570" t="n">
        <v>2348</v>
      </c>
      <c r="BG293" s="570" t="n">
        <v>2454</v>
      </c>
      <c r="BH293" s="570" t="n">
        <v>2520</v>
      </c>
      <c r="BI293" s="570" t="n">
        <v>2472</v>
      </c>
      <c r="BJ293" s="570" t="n">
        <v>2370</v>
      </c>
      <c r="BK293" s="570" t="n">
        <v>2290</v>
      </c>
      <c r="BL293" s="570" t="n">
        <v>2402</v>
      </c>
    </row>
    <row r="294">
      <c r="A294" s="77" t="inlineStr">
        <is>
          <t>7414</t>
        </is>
      </c>
      <c r="B294" s="570">
        <f>銘柄管理!C294</f>
        <v/>
      </c>
      <c r="C294" s="570">
        <f>_xll.RssMarket("7414","始値")</f>
        <v/>
      </c>
      <c r="E294" s="570" t="n">
        <v>1319</v>
      </c>
      <c r="F294" s="570" t="n">
        <v>1331</v>
      </c>
      <c r="G294" s="570" t="n">
        <v>1330</v>
      </c>
      <c r="H294" s="570" t="n">
        <v>1320</v>
      </c>
      <c r="I294" s="570" t="n">
        <v>1325</v>
      </c>
      <c r="J294" s="570" t="n">
        <v>1314</v>
      </c>
      <c r="K294" s="570" t="n">
        <v>1311</v>
      </c>
      <c r="L294" s="570" t="n">
        <v>1303</v>
      </c>
      <c r="M294" s="570" t="n">
        <v>1325</v>
      </c>
      <c r="N294" s="570" t="n">
        <v>1319</v>
      </c>
      <c r="O294" s="570" t="n">
        <v>1310</v>
      </c>
      <c r="P294" s="570" t="n">
        <v>1299</v>
      </c>
      <c r="Q294" s="570" t="n">
        <v>1312</v>
      </c>
      <c r="R294" s="570" t="n">
        <v>1345</v>
      </c>
      <c r="S294" s="570" t="n">
        <v>1340</v>
      </c>
      <c r="T294" s="570" t="n">
        <v>1333</v>
      </c>
      <c r="U294" s="570" t="n">
        <v>1325</v>
      </c>
      <c r="V294" s="570" t="n">
        <v>1330</v>
      </c>
      <c r="W294" s="570" t="n">
        <v>1349</v>
      </c>
      <c r="X294" s="570" t="n">
        <v>1348</v>
      </c>
      <c r="Y294" s="570" t="n">
        <v>1377</v>
      </c>
      <c r="Z294" s="570" t="n">
        <v>1444</v>
      </c>
      <c r="AA294" s="570" t="n">
        <v>1446</v>
      </c>
      <c r="AB294" s="570" t="n">
        <v>1440</v>
      </c>
      <c r="AC294" s="570" t="n">
        <v>1435</v>
      </c>
      <c r="AD294" s="570" t="n">
        <v>1423</v>
      </c>
      <c r="AE294" s="570" t="n">
        <v>1442</v>
      </c>
      <c r="AF294" s="570" t="n">
        <v>1415</v>
      </c>
      <c r="AG294" s="570" t="n">
        <v>1394</v>
      </c>
      <c r="AH294" s="570" t="n">
        <v>1394</v>
      </c>
      <c r="AI294" s="570" t="n">
        <v>1380</v>
      </c>
      <c r="AJ294" s="570" t="n">
        <v>1387</v>
      </c>
      <c r="AK294" s="570" t="n">
        <v>1374</v>
      </c>
      <c r="AL294" s="570" t="n">
        <v>1385</v>
      </c>
      <c r="AM294" s="570" t="n">
        <v>1395</v>
      </c>
      <c r="AN294" s="570" t="n">
        <v>1410</v>
      </c>
      <c r="AO294" s="570" t="n">
        <v>1403</v>
      </c>
      <c r="AP294" s="570" t="n">
        <v>1400</v>
      </c>
      <c r="AQ294" s="570" t="n">
        <v>1414</v>
      </c>
      <c r="AR294" s="570" t="n">
        <v>1415</v>
      </c>
      <c r="AS294" s="570" t="n">
        <v>1418</v>
      </c>
      <c r="AT294" s="570" t="n">
        <v>1412</v>
      </c>
      <c r="AU294" s="570" t="n">
        <v>1421</v>
      </c>
      <c r="AV294" s="570" t="n">
        <v>1430</v>
      </c>
      <c r="AW294" s="570" t="n">
        <v>1437</v>
      </c>
      <c r="AX294" s="570" t="n">
        <v>1398</v>
      </c>
      <c r="AY294" s="570" t="n">
        <v>1395</v>
      </c>
      <c r="AZ294" s="570" t="n">
        <v>1393</v>
      </c>
      <c r="BA294" s="570" t="n">
        <v>1410</v>
      </c>
      <c r="BB294" s="570" t="n">
        <v>1402</v>
      </c>
      <c r="BC294" s="570" t="n">
        <v>1386</v>
      </c>
      <c r="BD294" s="570" t="n">
        <v>1355</v>
      </c>
      <c r="BE294" s="570" t="n">
        <v>1434</v>
      </c>
      <c r="BF294" s="570" t="n">
        <v>1447</v>
      </c>
      <c r="BG294" s="570" t="n">
        <v>1435</v>
      </c>
      <c r="BH294" s="570" t="n">
        <v>1408</v>
      </c>
      <c r="BI294" s="570" t="n">
        <v>1408</v>
      </c>
      <c r="BJ294" s="570" t="n">
        <v>1425</v>
      </c>
      <c r="BK294" s="570" t="n">
        <v>1425</v>
      </c>
      <c r="BL294" s="570" t="n">
        <v>1415</v>
      </c>
    </row>
    <row r="295">
      <c r="A295" s="77" t="inlineStr">
        <is>
          <t>6407</t>
        </is>
      </c>
      <c r="B295" s="570">
        <f>銘柄管理!C295</f>
        <v/>
      </c>
      <c r="C295" s="570">
        <f>_xll.RssMarket("6407","始値")</f>
        <v/>
      </c>
      <c r="E295" s="570" t="n">
        <v>7870</v>
      </c>
      <c r="F295" s="570" t="n">
        <v>8010</v>
      </c>
      <c r="G295" s="570" t="n">
        <v>7730</v>
      </c>
      <c r="H295" s="570" t="n">
        <v>7400</v>
      </c>
      <c r="I295" s="570" t="n">
        <v>7470</v>
      </c>
      <c r="J295" s="570" t="n">
        <v>7190</v>
      </c>
      <c r="K295" s="570" t="n">
        <v>6540</v>
      </c>
      <c r="L295" s="570" t="n">
        <v>5890</v>
      </c>
      <c r="M295" s="570" t="n">
        <v>6080</v>
      </c>
      <c r="N295" s="570" t="n">
        <v>5680</v>
      </c>
      <c r="O295" s="570" t="n">
        <v>6300</v>
      </c>
      <c r="P295" s="570" t="n">
        <v>6460</v>
      </c>
      <c r="Q295" s="570" t="n">
        <v>6410</v>
      </c>
      <c r="R295" s="570" t="n">
        <v>6320</v>
      </c>
      <c r="S295" s="570" t="n">
        <v>6730</v>
      </c>
      <c r="T295" s="570" t="n">
        <v>6460</v>
      </c>
      <c r="U295" s="570" t="n">
        <v>6990</v>
      </c>
      <c r="V295" s="570" t="n">
        <v>6740</v>
      </c>
      <c r="W295" s="570" t="n">
        <v>6960</v>
      </c>
      <c r="X295" s="570" t="n">
        <v>6020</v>
      </c>
      <c r="Y295" s="570" t="n">
        <v>6000</v>
      </c>
      <c r="Z295" s="570" t="n">
        <v>6030</v>
      </c>
      <c r="AA295" s="570" t="n">
        <v>6120</v>
      </c>
      <c r="AB295" s="570" t="n">
        <v>7300</v>
      </c>
      <c r="AC295" s="570" t="n">
        <v>6970</v>
      </c>
      <c r="AD295" s="570" t="n">
        <v>6770</v>
      </c>
      <c r="AE295" s="570" t="n">
        <v>6880</v>
      </c>
      <c r="AF295" s="570" t="n">
        <v>6770</v>
      </c>
      <c r="AG295" s="570" t="n">
        <v>6270</v>
      </c>
      <c r="AH295" s="570" t="n">
        <v>6830</v>
      </c>
      <c r="AI295" s="570" t="n">
        <v>6040</v>
      </c>
      <c r="AJ295" s="570" t="n">
        <v>5870</v>
      </c>
      <c r="AK295" s="570" t="n">
        <v>5790</v>
      </c>
      <c r="AL295" s="570" t="n">
        <v>5500</v>
      </c>
      <c r="AM295" s="570" t="n">
        <v>5450</v>
      </c>
      <c r="AN295" s="570" t="n">
        <v>5750</v>
      </c>
      <c r="AO295" s="570" t="n">
        <v>5710</v>
      </c>
      <c r="AP295" s="570" t="n">
        <v>5660</v>
      </c>
      <c r="AQ295" s="570" t="n">
        <v>5610</v>
      </c>
      <c r="AR295" s="570" t="n">
        <v>5670</v>
      </c>
      <c r="AS295" s="570" t="n">
        <v>5550</v>
      </c>
      <c r="AT295" s="570" t="n">
        <v>5830</v>
      </c>
      <c r="AU295" s="570" t="n">
        <v>5750</v>
      </c>
      <c r="AV295" s="570" t="n">
        <v>5540</v>
      </c>
      <c r="AW295" s="570" t="n">
        <v>5420</v>
      </c>
      <c r="AX295" s="570" t="n">
        <v>5080</v>
      </c>
      <c r="AY295" s="570" t="n">
        <v>5200</v>
      </c>
      <c r="AZ295" s="570" t="n">
        <v>4920</v>
      </c>
      <c r="BA295" s="570" t="n">
        <v>4965</v>
      </c>
      <c r="BB295" s="570" t="n">
        <v>4800</v>
      </c>
      <c r="BC295" s="570" t="n">
        <v>4830</v>
      </c>
      <c r="BD295" s="570" t="n">
        <v>4670</v>
      </c>
      <c r="BE295" s="570" t="n">
        <v>4110</v>
      </c>
      <c r="BF295" s="570" t="n">
        <v>4110</v>
      </c>
      <c r="BG295" s="570" t="n">
        <v>4365</v>
      </c>
      <c r="BH295" s="570" t="n">
        <v>4685</v>
      </c>
      <c r="BI295" s="570" t="n">
        <v>4890</v>
      </c>
      <c r="BJ295" s="570" t="n">
        <v>4350</v>
      </c>
      <c r="BK295" s="570" t="n">
        <v>4195</v>
      </c>
      <c r="BL295" s="570" t="n">
        <v>4570</v>
      </c>
    </row>
    <row r="296">
      <c r="A296" s="77" t="inlineStr">
        <is>
          <t>7048</t>
        </is>
      </c>
      <c r="B296" s="570">
        <f>銘柄管理!C296</f>
        <v/>
      </c>
      <c r="C296" s="570">
        <f>_xll.RssMarket("7048","始値")</f>
        <v/>
      </c>
      <c r="E296" s="570" t="n">
        <v>154</v>
      </c>
      <c r="F296" s="570" t="n">
        <v>160</v>
      </c>
      <c r="G296" s="570" t="n">
        <v>131</v>
      </c>
      <c r="H296" s="570" t="n">
        <v>124</v>
      </c>
      <c r="I296" s="570" t="n">
        <v>127</v>
      </c>
      <c r="J296" s="570" t="n">
        <v>121</v>
      </c>
      <c r="K296" s="570" t="n">
        <v>116</v>
      </c>
      <c r="L296" s="570" t="n">
        <v>120</v>
      </c>
      <c r="M296" s="570" t="n">
        <v>122</v>
      </c>
      <c r="N296" s="570" t="n">
        <v>128</v>
      </c>
      <c r="O296" s="570" t="n">
        <v>133</v>
      </c>
      <c r="P296" s="570" t="n">
        <v>127</v>
      </c>
      <c r="Q296" s="570" t="n">
        <v>130</v>
      </c>
      <c r="R296" s="570" t="n">
        <v>129</v>
      </c>
      <c r="S296" s="570" t="n">
        <v>130</v>
      </c>
      <c r="T296" s="570" t="n">
        <v>133</v>
      </c>
      <c r="U296" s="570" t="n">
        <v>136</v>
      </c>
      <c r="V296" s="570" t="n">
        <v>143</v>
      </c>
      <c r="W296" s="570" t="n">
        <v>142</v>
      </c>
      <c r="X296" s="570" t="n">
        <v>144</v>
      </c>
      <c r="Y296" s="570" t="n">
        <v>147</v>
      </c>
      <c r="Z296" s="570" t="n">
        <v>145</v>
      </c>
      <c r="AA296" s="570" t="n">
        <v>145</v>
      </c>
      <c r="AB296" s="570" t="n">
        <v>154</v>
      </c>
      <c r="AC296" s="570" t="n">
        <v>161</v>
      </c>
      <c r="AD296" s="570" t="n">
        <v>164</v>
      </c>
      <c r="AE296" s="570" t="n">
        <v>162</v>
      </c>
      <c r="AF296" s="570" t="n">
        <v>165</v>
      </c>
      <c r="AG296" s="570" t="n">
        <v>162</v>
      </c>
      <c r="AH296" s="570" t="n">
        <v>163</v>
      </c>
      <c r="AI296" s="570" t="n">
        <v>160</v>
      </c>
      <c r="AJ296" s="570" t="n">
        <v>162</v>
      </c>
      <c r="AK296" s="570" t="n">
        <v>165</v>
      </c>
      <c r="AL296" s="570" t="n">
        <v>163</v>
      </c>
      <c r="AM296" s="570" t="n">
        <v>166</v>
      </c>
      <c r="AN296" s="570" t="n">
        <v>171</v>
      </c>
      <c r="AO296" s="570" t="n">
        <v>178</v>
      </c>
      <c r="AP296" s="570" t="n">
        <v>186</v>
      </c>
      <c r="AQ296" s="570" t="n">
        <v>190</v>
      </c>
      <c r="AR296" s="570" t="n">
        <v>189</v>
      </c>
      <c r="AS296" s="570" t="n">
        <v>178</v>
      </c>
      <c r="AT296" s="570" t="n">
        <v>176</v>
      </c>
      <c r="AU296" s="570" t="n">
        <v>175</v>
      </c>
      <c r="AV296" s="570" t="n">
        <v>171</v>
      </c>
      <c r="AW296" s="570" t="n">
        <v>178</v>
      </c>
      <c r="AX296" s="570" t="n">
        <v>190</v>
      </c>
      <c r="AY296" s="570" t="n">
        <v>182</v>
      </c>
      <c r="AZ296" s="570" t="n">
        <v>179</v>
      </c>
      <c r="BA296" s="570" t="n">
        <v>178</v>
      </c>
      <c r="BB296" s="570" t="n">
        <v>179</v>
      </c>
      <c r="BC296" s="570" t="n">
        <v>183</v>
      </c>
      <c r="BD296" s="570" t="n">
        <v>177</v>
      </c>
      <c r="BE296" s="570" t="n">
        <v>172</v>
      </c>
      <c r="BF296" s="570" t="n">
        <v>173</v>
      </c>
      <c r="BG296" s="570" t="n">
        <v>175</v>
      </c>
      <c r="BH296" s="570" t="n">
        <v>185</v>
      </c>
      <c r="BI296" s="570" t="n">
        <v>183</v>
      </c>
      <c r="BJ296" s="570" t="n">
        <v>179</v>
      </c>
      <c r="BK296" s="570" t="n">
        <v>177</v>
      </c>
      <c r="BL296" s="570" t="n">
        <v>188</v>
      </c>
    </row>
    <row r="297">
      <c r="A297" s="77" t="inlineStr">
        <is>
          <t>1808</t>
        </is>
      </c>
      <c r="B297" s="570">
        <f>銘柄管理!C297</f>
        <v/>
      </c>
      <c r="C297" s="570">
        <f>_xll.RssMarket("1808","始値")</f>
        <v/>
      </c>
      <c r="E297" s="570" t="n">
        <v>2736</v>
      </c>
      <c r="F297" s="570" t="n">
        <v>2638</v>
      </c>
      <c r="G297" s="570" t="n">
        <v>2707</v>
      </c>
      <c r="H297" s="570" t="n">
        <v>2730</v>
      </c>
      <c r="I297" s="570" t="n">
        <v>2708.5</v>
      </c>
      <c r="J297" s="570" t="n">
        <v>2700</v>
      </c>
      <c r="K297" s="570" t="n">
        <v>2766.5</v>
      </c>
      <c r="L297" s="570" t="n">
        <v>2745</v>
      </c>
      <c r="M297" s="570" t="n">
        <v>2707.5</v>
      </c>
      <c r="N297" s="570" t="n">
        <v>2645.5</v>
      </c>
      <c r="O297" s="570" t="n">
        <v>2643</v>
      </c>
      <c r="P297" s="570" t="n">
        <v>2599.5</v>
      </c>
      <c r="Q297" s="570" t="n">
        <v>2620</v>
      </c>
      <c r="R297" s="570" t="n">
        <v>2624</v>
      </c>
      <c r="S297" s="570" t="n">
        <v>2700</v>
      </c>
      <c r="T297" s="570" t="n">
        <v>2717</v>
      </c>
      <c r="U297" s="570" t="n">
        <v>2693</v>
      </c>
      <c r="V297" s="570" t="n">
        <v>2679</v>
      </c>
      <c r="W297" s="570" t="n">
        <v>2730</v>
      </c>
      <c r="X297" s="570" t="n">
        <v>2715</v>
      </c>
      <c r="Y297" s="570" t="n">
        <v>2790</v>
      </c>
      <c r="Z297" s="570" t="n">
        <v>2840</v>
      </c>
      <c r="AA297" s="570" t="n">
        <v>2881</v>
      </c>
      <c r="AB297" s="570" t="n">
        <v>2695</v>
      </c>
      <c r="AC297" s="570" t="n">
        <v>2790</v>
      </c>
      <c r="AD297" s="570" t="n">
        <v>2808.5</v>
      </c>
      <c r="AE297" s="570" t="n">
        <v>2771</v>
      </c>
      <c r="AF297" s="570" t="n">
        <v>2745</v>
      </c>
      <c r="AG297" s="570" t="n">
        <v>2757</v>
      </c>
      <c r="AH297" s="570" t="n">
        <v>2743.5</v>
      </c>
      <c r="AI297" s="570" t="n">
        <v>2700.5</v>
      </c>
      <c r="AJ297" s="570" t="n">
        <v>2778</v>
      </c>
      <c r="AK297" s="570" t="n">
        <v>2750</v>
      </c>
      <c r="AL297" s="570" t="n">
        <v>2670</v>
      </c>
      <c r="AM297" s="570" t="n">
        <v>2713.5</v>
      </c>
      <c r="AN297" s="570" t="n">
        <v>2724.5</v>
      </c>
      <c r="AO297" s="570" t="n">
        <v>2749</v>
      </c>
      <c r="AP297" s="570" t="n">
        <v>2815</v>
      </c>
      <c r="AQ297" s="570" t="n">
        <v>2766.5</v>
      </c>
      <c r="AR297" s="570" t="n">
        <v>2761.5</v>
      </c>
      <c r="AS297" s="570" t="n">
        <v>2760</v>
      </c>
      <c r="AT297" s="570" t="n">
        <v>2736.5</v>
      </c>
      <c r="AU297" s="570" t="n">
        <v>2866.5</v>
      </c>
      <c r="AV297" s="570" t="n">
        <v>2890</v>
      </c>
      <c r="AW297" s="570" t="n">
        <v>2922</v>
      </c>
      <c r="AX297" s="570" t="n">
        <v>2999</v>
      </c>
      <c r="AY297" s="570" t="n">
        <v>2988.5</v>
      </c>
      <c r="AZ297" s="570" t="n">
        <v>2923</v>
      </c>
      <c r="BA297" s="570" t="n">
        <v>2917.5</v>
      </c>
      <c r="BB297" s="570" t="n">
        <v>2956.5</v>
      </c>
      <c r="BC297" s="570" t="n">
        <v>2991.5</v>
      </c>
      <c r="BD297" s="570" t="n">
        <v>2935.5</v>
      </c>
      <c r="BE297" s="570" t="n">
        <v>2867</v>
      </c>
      <c r="BF297" s="570" t="n">
        <v>2840</v>
      </c>
      <c r="BG297" s="570" t="n">
        <v>2999.5</v>
      </c>
      <c r="BH297" s="570" t="n">
        <v>2985</v>
      </c>
      <c r="BI297" s="570" t="n">
        <v>2970</v>
      </c>
      <c r="BJ297" s="570" t="n">
        <v>2910</v>
      </c>
      <c r="BK297" s="570" t="n">
        <v>2880</v>
      </c>
      <c r="BL297" s="570" t="n">
        <v>2982.5</v>
      </c>
    </row>
    <row r="298">
      <c r="A298" s="77" t="inlineStr">
        <is>
          <t>4208</t>
        </is>
      </c>
      <c r="B298" s="570">
        <f>銘柄管理!C298</f>
        <v/>
      </c>
      <c r="C298" s="570">
        <f>_xll.RssMarket("4208","始値")</f>
        <v/>
      </c>
      <c r="E298" s="570" t="n">
        <v>3195</v>
      </c>
      <c r="F298" s="570" t="n">
        <v>3294</v>
      </c>
      <c r="G298" s="570" t="n">
        <v>3230</v>
      </c>
      <c r="H298" s="570" t="n">
        <v>3197</v>
      </c>
      <c r="I298" s="570" t="n">
        <v>3240</v>
      </c>
      <c r="J298" s="570" t="n">
        <v>3125</v>
      </c>
      <c r="K298" s="570" t="n">
        <v>3036</v>
      </c>
      <c r="L298" s="570" t="n">
        <v>2993</v>
      </c>
      <c r="M298" s="570" t="n">
        <v>2973.5</v>
      </c>
      <c r="N298" s="570" t="n">
        <v>2905</v>
      </c>
      <c r="O298" s="570" t="n">
        <v>2939</v>
      </c>
      <c r="P298" s="570" t="n">
        <v>2992</v>
      </c>
      <c r="Q298" s="570" t="n">
        <v>2964.5</v>
      </c>
      <c r="R298" s="570" t="n">
        <v>2900.5</v>
      </c>
      <c r="S298" s="570" t="n">
        <v>2950</v>
      </c>
      <c r="T298" s="570" t="n">
        <v>2980</v>
      </c>
      <c r="U298" s="570" t="n">
        <v>3030</v>
      </c>
      <c r="V298" s="570" t="n">
        <v>3000</v>
      </c>
      <c r="W298" s="570" t="n">
        <v>3045</v>
      </c>
      <c r="X298" s="570" t="n">
        <v>2940.5</v>
      </c>
      <c r="Y298" s="570" t="n">
        <v>2688</v>
      </c>
      <c r="Z298" s="570" t="n">
        <v>2424.5</v>
      </c>
      <c r="AA298" s="570" t="n">
        <v>2416.5</v>
      </c>
      <c r="AB298" s="570" t="n">
        <v>2450</v>
      </c>
      <c r="AC298" s="570" t="n">
        <v>2478</v>
      </c>
      <c r="AD298" s="570" t="n">
        <v>2338</v>
      </c>
      <c r="AE298" s="570" t="n">
        <v>2357</v>
      </c>
      <c r="AF298" s="570" t="n">
        <v>2386.5</v>
      </c>
      <c r="AG298" s="570" t="n">
        <v>2395</v>
      </c>
      <c r="AH298" s="570" t="n">
        <v>2403</v>
      </c>
      <c r="AI298" s="570" t="n">
        <v>2360</v>
      </c>
      <c r="AJ298" s="570" t="n">
        <v>2344</v>
      </c>
      <c r="AK298" s="570" t="n">
        <v>2368</v>
      </c>
      <c r="AL298" s="570" t="n">
        <v>2351</v>
      </c>
      <c r="AM298" s="570" t="n">
        <v>2367</v>
      </c>
      <c r="AN298" s="570" t="n">
        <v>2363</v>
      </c>
      <c r="AO298" s="570" t="n">
        <v>2409</v>
      </c>
      <c r="AP298" s="570" t="n">
        <v>2425</v>
      </c>
      <c r="AQ298" s="570" t="n">
        <v>2444.5</v>
      </c>
      <c r="AR298" s="570" t="n">
        <v>2438</v>
      </c>
      <c r="AS298" s="570" t="n">
        <v>2425.5</v>
      </c>
      <c r="AT298" s="570" t="n">
        <v>2411</v>
      </c>
      <c r="AU298" s="570" t="n">
        <v>2424.5</v>
      </c>
      <c r="AV298" s="570" t="n">
        <v>2434</v>
      </c>
      <c r="AW298" s="570" t="n">
        <v>2473.5</v>
      </c>
      <c r="AX298" s="570" t="n">
        <v>2518</v>
      </c>
      <c r="AY298" s="570" t="n">
        <v>2527</v>
      </c>
      <c r="AZ298" s="570" t="n">
        <v>2451</v>
      </c>
      <c r="BA298" s="570" t="n">
        <v>2478</v>
      </c>
      <c r="BB298" s="570" t="n">
        <v>2454.5</v>
      </c>
      <c r="BC298" s="570" t="n">
        <v>2502</v>
      </c>
      <c r="BD298" s="570" t="n">
        <v>2481</v>
      </c>
      <c r="BE298" s="570" t="n">
        <v>2430</v>
      </c>
      <c r="BF298" s="570" t="n">
        <v>2393</v>
      </c>
      <c r="BG298" s="570" t="n">
        <v>2520</v>
      </c>
      <c r="BH298" s="570" t="n">
        <v>2538</v>
      </c>
      <c r="BI298" s="570" t="n">
        <v>2535</v>
      </c>
      <c r="BJ298" s="570" t="n">
        <v>2490</v>
      </c>
      <c r="BK298" s="570" t="n">
        <v>2440</v>
      </c>
      <c r="BL298" s="570" t="n">
        <v>2551</v>
      </c>
    </row>
    <row r="299">
      <c r="A299" s="77" t="inlineStr">
        <is>
          <t>186A</t>
        </is>
      </c>
      <c r="B299" s="570">
        <f>銘柄管理!C299</f>
        <v/>
      </c>
      <c r="C299" s="570">
        <f>_xll.RssMarket("186A","始値")</f>
        <v/>
      </c>
      <c r="E299" s="570" t="n">
        <v>1205</v>
      </c>
      <c r="F299" s="570" t="n">
        <v>1285</v>
      </c>
      <c r="G299" s="570" t="n">
        <v>1356</v>
      </c>
      <c r="H299" s="570" t="n">
        <v>1450</v>
      </c>
      <c r="I299" s="570" t="n">
        <v>1465</v>
      </c>
      <c r="J299" s="570" t="n">
        <v>1676</v>
      </c>
      <c r="K299" s="570" t="n">
        <v>1956</v>
      </c>
      <c r="L299" s="570" t="n">
        <v>1710</v>
      </c>
      <c r="M299" s="570" t="n">
        <v>1806</v>
      </c>
      <c r="N299" s="570" t="n">
        <v>1922</v>
      </c>
      <c r="O299" s="570" t="n">
        <v>2085</v>
      </c>
      <c r="P299" s="570" t="n">
        <v>1955</v>
      </c>
      <c r="Q299" s="570" t="n">
        <v>2195</v>
      </c>
      <c r="R299" s="570" t="n">
        <v>2101</v>
      </c>
      <c r="S299" s="570" t="n">
        <v>2868</v>
      </c>
      <c r="T299" s="570" t="n">
        <v>2644</v>
      </c>
      <c r="U299" s="570" t="n">
        <v>3000</v>
      </c>
      <c r="V299" s="570" t="n">
        <v>2639</v>
      </c>
      <c r="W299" s="570" t="n">
        <v>1992</v>
      </c>
      <c r="X299" s="570" t="n">
        <v>2050</v>
      </c>
      <c r="Y299" s="570" t="n">
        <v>2065</v>
      </c>
      <c r="Z299" s="570" t="n">
        <v>1932</v>
      </c>
      <c r="AA299" s="570" t="n">
        <v>2100</v>
      </c>
      <c r="AB299" s="570" t="n">
        <v>1900</v>
      </c>
      <c r="AC299" s="570" t="n">
        <v>1864</v>
      </c>
      <c r="AD299" s="570" t="n">
        <v>1737</v>
      </c>
      <c r="AE299" s="570" t="n">
        <v>1796</v>
      </c>
      <c r="AF299" s="570" t="n">
        <v>1730</v>
      </c>
      <c r="AG299" s="570" t="n">
        <v>1413</v>
      </c>
      <c r="AH299" s="570" t="n">
        <v>1373</v>
      </c>
      <c r="AI299" s="570" t="n">
        <v>1263</v>
      </c>
      <c r="AJ299" s="570" t="n">
        <v>1282</v>
      </c>
      <c r="AK299" s="570" t="n">
        <v>1221</v>
      </c>
      <c r="AL299" s="570" t="n">
        <v>1317</v>
      </c>
      <c r="AM299" s="570" t="n">
        <v>1400</v>
      </c>
      <c r="AN299" s="570" t="n">
        <v>1454</v>
      </c>
      <c r="AO299" s="570" t="n">
        <v>1458</v>
      </c>
      <c r="AP299" s="570" t="n">
        <v>1489</v>
      </c>
      <c r="AQ299" s="570" t="n">
        <v>1366</v>
      </c>
      <c r="AR299" s="570" t="n">
        <v>1410</v>
      </c>
      <c r="AS299" s="570" t="n">
        <v>1365</v>
      </c>
      <c r="AT299" s="570" t="n">
        <v>1403</v>
      </c>
      <c r="AU299" s="570" t="n">
        <v>1363</v>
      </c>
      <c r="AV299" s="570" t="n">
        <v>1301</v>
      </c>
      <c r="AW299" s="570" t="n">
        <v>1250</v>
      </c>
      <c r="AX299" s="570" t="n">
        <v>1180</v>
      </c>
      <c r="AY299" s="570" t="n">
        <v>1118</v>
      </c>
      <c r="AZ299" s="570" t="n">
        <v>1081</v>
      </c>
      <c r="BA299" s="570" t="n">
        <v>1041</v>
      </c>
      <c r="BB299" s="570" t="n">
        <v>1071</v>
      </c>
      <c r="BC299" s="570" t="n">
        <v>1013</v>
      </c>
      <c r="BD299" s="570" t="n">
        <v>919</v>
      </c>
      <c r="BE299" s="570" t="n">
        <v>900</v>
      </c>
      <c r="BF299" s="570" t="n">
        <v>929</v>
      </c>
      <c r="BG299" s="570" t="n">
        <v>985</v>
      </c>
      <c r="BH299" s="570" t="n">
        <v>1043</v>
      </c>
      <c r="BI299" s="570" t="n">
        <v>1011</v>
      </c>
      <c r="BJ299" s="570" t="n">
        <v>1030</v>
      </c>
      <c r="BK299" s="570" t="n">
        <v>1038</v>
      </c>
      <c r="BL299" s="570" t="n">
        <v>1192</v>
      </c>
    </row>
    <row r="300">
      <c r="A300" s="77" t="inlineStr">
        <is>
          <t>6965</t>
        </is>
      </c>
      <c r="B300" s="570">
        <f>銘柄管理!C300</f>
        <v/>
      </c>
      <c r="C300" s="570">
        <f>_xll.RssMarket("6965","始値")</f>
        <v/>
      </c>
      <c r="E300" s="570" t="n">
        <v>2843.5</v>
      </c>
      <c r="F300" s="570" t="n">
        <v>2840</v>
      </c>
      <c r="G300" s="570" t="n">
        <v>2776</v>
      </c>
      <c r="H300" s="570" t="n">
        <v>2634.5</v>
      </c>
      <c r="I300" s="570" t="n">
        <v>2653</v>
      </c>
      <c r="J300" s="570" t="n">
        <v>2565.5</v>
      </c>
      <c r="K300" s="570" t="n">
        <v>2487.5</v>
      </c>
      <c r="L300" s="570" t="n">
        <v>2288</v>
      </c>
      <c r="M300" s="570" t="n">
        <v>2502</v>
      </c>
      <c r="N300" s="570" t="n">
        <v>2614</v>
      </c>
      <c r="O300" s="570" t="n">
        <v>2891.5</v>
      </c>
      <c r="P300" s="570" t="n">
        <v>2827.5</v>
      </c>
      <c r="Q300" s="570" t="n">
        <v>2879</v>
      </c>
      <c r="R300" s="570" t="n">
        <v>2854.5</v>
      </c>
      <c r="S300" s="570" t="n">
        <v>2873</v>
      </c>
      <c r="T300" s="570" t="n">
        <v>2686.5</v>
      </c>
      <c r="U300" s="570" t="n">
        <v>2937</v>
      </c>
      <c r="V300" s="570" t="n">
        <v>2995</v>
      </c>
      <c r="W300" s="570" t="n">
        <v>2731.5</v>
      </c>
      <c r="X300" s="570" t="n">
        <v>2703</v>
      </c>
      <c r="Y300" s="570" t="n">
        <v>2637.5</v>
      </c>
      <c r="Z300" s="570" t="n">
        <v>2785</v>
      </c>
      <c r="AA300" s="570" t="n">
        <v>2756.5</v>
      </c>
      <c r="AB300" s="570" t="n">
        <v>2600</v>
      </c>
      <c r="AC300" s="570" t="n">
        <v>2173</v>
      </c>
      <c r="AD300" s="570" t="n">
        <v>2110</v>
      </c>
      <c r="AE300" s="570" t="n">
        <v>2192</v>
      </c>
      <c r="AF300" s="570" t="n">
        <v>2243</v>
      </c>
      <c r="AG300" s="570" t="n">
        <v>2119</v>
      </c>
      <c r="AH300" s="570" t="n">
        <v>2041</v>
      </c>
      <c r="AI300" s="570" t="n">
        <v>2019</v>
      </c>
      <c r="AJ300" s="570" t="n">
        <v>2002.5</v>
      </c>
      <c r="AK300" s="570" t="n">
        <v>2036</v>
      </c>
      <c r="AL300" s="570" t="n">
        <v>1949</v>
      </c>
      <c r="AM300" s="570" t="n">
        <v>1941</v>
      </c>
      <c r="AN300" s="570" t="n">
        <v>1946</v>
      </c>
      <c r="AO300" s="570" t="n">
        <v>1947</v>
      </c>
      <c r="AP300" s="570" t="n">
        <v>1955</v>
      </c>
      <c r="AQ300" s="570" t="n">
        <v>1934.5</v>
      </c>
      <c r="AR300" s="570" t="n">
        <v>1990</v>
      </c>
      <c r="AS300" s="570" t="n">
        <v>1910</v>
      </c>
      <c r="AT300" s="570" t="n">
        <v>1953.5</v>
      </c>
      <c r="AU300" s="570" t="n">
        <v>1970</v>
      </c>
      <c r="AV300" s="570" t="n">
        <v>1921</v>
      </c>
      <c r="AW300" s="570" t="n">
        <v>1954</v>
      </c>
      <c r="AX300" s="570" t="n">
        <v>1950</v>
      </c>
      <c r="AY300" s="570" t="n">
        <v>1905</v>
      </c>
      <c r="AZ300" s="570" t="n">
        <v>1860</v>
      </c>
      <c r="BA300" s="570" t="n">
        <v>1878</v>
      </c>
      <c r="BB300" s="570" t="n">
        <v>1863</v>
      </c>
      <c r="BC300" s="570" t="n">
        <v>1880</v>
      </c>
      <c r="BD300" s="570" t="n">
        <v>1840</v>
      </c>
      <c r="BE300" s="570" t="n">
        <v>1783</v>
      </c>
      <c r="BF300" s="570" t="n">
        <v>1810</v>
      </c>
      <c r="BG300" s="570" t="n">
        <v>1962</v>
      </c>
      <c r="BH300" s="570" t="n">
        <v>2000</v>
      </c>
      <c r="BI300" s="570" t="n">
        <v>1924</v>
      </c>
      <c r="BJ300" s="570" t="n">
        <v>1830</v>
      </c>
      <c r="BK300" s="570" t="n">
        <v>1820.5</v>
      </c>
      <c r="BL300" s="570" t="n">
        <v>1919</v>
      </c>
    </row>
    <row r="301">
      <c r="A301" s="77" t="inlineStr">
        <is>
          <t>6331</t>
        </is>
      </c>
      <c r="B301" s="570">
        <f>銘柄管理!C301</f>
        <v/>
      </c>
      <c r="C301" s="570">
        <f>_xll.RssMarket("6331","始値")</f>
        <v/>
      </c>
      <c r="E301" s="570" t="n">
        <v>4000</v>
      </c>
      <c r="F301" s="570" t="n">
        <v>4080</v>
      </c>
      <c r="G301" s="570" t="n">
        <v>4100</v>
      </c>
      <c r="H301" s="570" t="n">
        <v>3900</v>
      </c>
      <c r="I301" s="570" t="n">
        <v>3840</v>
      </c>
      <c r="J301" s="570" t="n">
        <v>3795</v>
      </c>
      <c r="K301" s="570" t="n">
        <v>3680</v>
      </c>
      <c r="L301" s="570" t="n">
        <v>3555</v>
      </c>
      <c r="M301" s="570" t="n">
        <v>3500</v>
      </c>
      <c r="N301" s="570" t="n">
        <v>3470</v>
      </c>
      <c r="O301" s="570" t="n">
        <v>3465</v>
      </c>
      <c r="P301" s="570" t="n">
        <v>3655</v>
      </c>
      <c r="Q301" s="570" t="n">
        <v>3455</v>
      </c>
      <c r="R301" s="570" t="n">
        <v>3450</v>
      </c>
      <c r="S301" s="570" t="n">
        <v>3690</v>
      </c>
      <c r="T301" s="570" t="n">
        <v>3650</v>
      </c>
      <c r="U301" s="570" t="n">
        <v>3790</v>
      </c>
      <c r="V301" s="570" t="n">
        <v>3425</v>
      </c>
      <c r="W301" s="570" t="n">
        <v>3550</v>
      </c>
      <c r="X301" s="570" t="n">
        <v>3485</v>
      </c>
      <c r="Y301" s="570" t="n">
        <v>3585</v>
      </c>
      <c r="Z301" s="570" t="n">
        <v>3840</v>
      </c>
      <c r="AA301" s="570" t="n">
        <v>3600</v>
      </c>
      <c r="AB301" s="570" t="n">
        <v>3375</v>
      </c>
      <c r="AC301" s="570" t="n">
        <v>3380</v>
      </c>
      <c r="AD301" s="570" t="n">
        <v>3295</v>
      </c>
      <c r="AE301" s="570" t="n">
        <v>3320</v>
      </c>
      <c r="AF301" s="570" t="n">
        <v>3260</v>
      </c>
      <c r="AG301" s="570" t="n">
        <v>3265</v>
      </c>
      <c r="AH301" s="570" t="n">
        <v>3330</v>
      </c>
      <c r="AI301" s="570" t="n">
        <v>3220</v>
      </c>
      <c r="AJ301" s="570" t="n">
        <v>3190</v>
      </c>
      <c r="AK301" s="570" t="n">
        <v>3260</v>
      </c>
      <c r="AL301" s="570" t="n">
        <v>3205</v>
      </c>
      <c r="AM301" s="570" t="n">
        <v>3160</v>
      </c>
      <c r="AN301" s="570" t="n">
        <v>3050</v>
      </c>
      <c r="AO301" s="570" t="n">
        <v>3030</v>
      </c>
      <c r="AP301" s="570" t="n">
        <v>3045</v>
      </c>
      <c r="AQ301" s="570" t="n">
        <v>3055</v>
      </c>
      <c r="AR301" s="570" t="n">
        <v>3060</v>
      </c>
      <c r="AS301" s="570" t="n">
        <v>3045</v>
      </c>
      <c r="AT301" s="570" t="n">
        <v>3150</v>
      </c>
      <c r="AU301" s="570" t="n">
        <v>3130</v>
      </c>
      <c r="AV301" s="570" t="n">
        <v>3150</v>
      </c>
      <c r="AW301" s="570" t="n">
        <v>3205</v>
      </c>
      <c r="AX301" s="570" t="n">
        <v>3235</v>
      </c>
      <c r="AY301" s="570" t="n">
        <v>3215</v>
      </c>
      <c r="AZ301" s="570" t="n">
        <v>3075</v>
      </c>
      <c r="BA301" s="570" t="n">
        <v>3055</v>
      </c>
      <c r="BB301" s="570" t="n">
        <v>3080</v>
      </c>
      <c r="BC301" s="570" t="n">
        <v>3150</v>
      </c>
      <c r="BD301" s="570" t="n">
        <v>3100</v>
      </c>
      <c r="BE301" s="570" t="n">
        <v>2909</v>
      </c>
      <c r="BF301" s="570" t="n">
        <v>2935</v>
      </c>
      <c r="BG301" s="570" t="n">
        <v>3120</v>
      </c>
      <c r="BH301" s="570" t="n">
        <v>3215</v>
      </c>
      <c r="BI301" s="570" t="n">
        <v>3195</v>
      </c>
      <c r="BJ301" s="570" t="n">
        <v>3180</v>
      </c>
      <c r="BK301" s="570" t="n">
        <v>3110</v>
      </c>
      <c r="BL301" s="570" t="n">
        <v>3370</v>
      </c>
    </row>
    <row r="302">
      <c r="A302" s="77" t="inlineStr">
        <is>
          <t>7741</t>
        </is>
      </c>
      <c r="B302" s="570">
        <f>銘柄管理!C302</f>
        <v/>
      </c>
      <c r="C302" s="570">
        <f>_xll.RssMarket("7741","始値")</f>
        <v/>
      </c>
      <c r="E302" s="570" t="n">
        <v>26945</v>
      </c>
      <c r="F302" s="570" t="n">
        <v>28865</v>
      </c>
      <c r="G302" s="570" t="n">
        <v>28000</v>
      </c>
      <c r="H302" s="570" t="n">
        <v>27025</v>
      </c>
      <c r="I302" s="570" t="n">
        <v>26590</v>
      </c>
      <c r="J302" s="570" t="n">
        <v>26945</v>
      </c>
      <c r="K302" s="570" t="n">
        <v>26420</v>
      </c>
      <c r="L302" s="570" t="n">
        <v>25300</v>
      </c>
      <c r="M302" s="570" t="n">
        <v>25420</v>
      </c>
      <c r="N302" s="570" t="n">
        <v>25400</v>
      </c>
      <c r="O302" s="570" t="n">
        <v>26290</v>
      </c>
      <c r="P302" s="570" t="n">
        <v>27480</v>
      </c>
      <c r="Q302" s="570" t="n">
        <v>26500</v>
      </c>
      <c r="R302" s="570" t="n">
        <v>26175</v>
      </c>
      <c r="S302" s="570" t="n">
        <v>27020</v>
      </c>
      <c r="T302" s="570" t="n">
        <v>27080</v>
      </c>
      <c r="U302" s="570" t="n">
        <v>27220</v>
      </c>
      <c r="V302" s="570" t="n">
        <v>26055</v>
      </c>
      <c r="W302" s="570" t="n">
        <v>26620</v>
      </c>
      <c r="X302" s="570" t="n">
        <v>26900</v>
      </c>
      <c r="Y302" s="570" t="n">
        <v>26945</v>
      </c>
      <c r="Z302" s="570" t="n">
        <v>27700</v>
      </c>
      <c r="AA302" s="570" t="n">
        <v>27900</v>
      </c>
      <c r="AB302" s="570" t="n">
        <v>27740</v>
      </c>
      <c r="AC302" s="570" t="n">
        <v>27870</v>
      </c>
      <c r="AD302" s="570" t="n">
        <v>27370</v>
      </c>
      <c r="AE302" s="570" t="n">
        <v>27270</v>
      </c>
      <c r="AF302" s="570" t="n">
        <v>27360</v>
      </c>
      <c r="AG302" s="570" t="n">
        <v>27410</v>
      </c>
      <c r="AH302" s="570" t="n">
        <v>28275</v>
      </c>
      <c r="AI302" s="570" t="n">
        <v>29200</v>
      </c>
      <c r="AJ302" s="570" t="n">
        <v>29130</v>
      </c>
      <c r="AK302" s="570" t="n">
        <v>29320</v>
      </c>
      <c r="AL302" s="570" t="n">
        <v>28900</v>
      </c>
      <c r="AM302" s="570" t="n">
        <v>28310</v>
      </c>
      <c r="AN302" s="570" t="n">
        <v>28590</v>
      </c>
      <c r="AO302" s="570" t="n">
        <v>29090</v>
      </c>
      <c r="AP302" s="570" t="n">
        <v>29465</v>
      </c>
      <c r="AQ302" s="570" t="n">
        <v>29495</v>
      </c>
      <c r="AR302" s="570" t="n">
        <v>29495</v>
      </c>
      <c r="AS302" s="570" t="n">
        <v>29770</v>
      </c>
      <c r="AT302" s="570" t="n">
        <v>29770</v>
      </c>
      <c r="AU302" s="570" t="n">
        <v>29670</v>
      </c>
      <c r="AV302" s="570" t="n">
        <v>29265</v>
      </c>
      <c r="AW302" s="570" t="n">
        <v>28985</v>
      </c>
      <c r="AX302" s="570" t="n">
        <v>28955</v>
      </c>
      <c r="AY302" s="570" t="n">
        <v>29255</v>
      </c>
      <c r="AZ302" s="570" t="n">
        <v>28275</v>
      </c>
      <c r="BA302" s="570" t="n">
        <v>27700</v>
      </c>
      <c r="BB302" s="570" t="n">
        <v>27610</v>
      </c>
      <c r="BC302" s="570" t="n">
        <v>27975</v>
      </c>
      <c r="BD302" s="570" t="n">
        <v>27310</v>
      </c>
      <c r="BE302" s="570" t="n">
        <v>26525</v>
      </c>
      <c r="BF302" s="570" t="n">
        <v>26165</v>
      </c>
      <c r="BG302" s="570" t="n">
        <v>27600</v>
      </c>
      <c r="BH302" s="570" t="n">
        <v>28200</v>
      </c>
      <c r="BI302" s="570" t="n">
        <v>28665</v>
      </c>
      <c r="BJ302" s="570" t="n">
        <v>28500</v>
      </c>
      <c r="BK302" s="570" t="n">
        <v>27300</v>
      </c>
      <c r="BL302" s="570" t="n">
        <v>27705</v>
      </c>
    </row>
    <row r="303">
      <c r="A303" s="78" t="n"/>
    </row>
    <row r="304">
      <c r="A304" s="78" t="n"/>
    </row>
    <row r="305">
      <c r="A305" s="78" t="n"/>
    </row>
    <row r="306">
      <c r="A306" s="78" t="n"/>
    </row>
    <row r="307">
      <c r="A307" s="78" t="n"/>
    </row>
    <row r="308">
      <c r="A308" s="78" t="n"/>
    </row>
    <row r="309">
      <c r="A309" s="78" t="n"/>
    </row>
    <row r="310">
      <c r="A310" s="78" t="n"/>
    </row>
    <row r="311">
      <c r="A311" s="78" t="n"/>
    </row>
    <row r="312">
      <c r="A312" s="78" t="n"/>
    </row>
    <row r="313">
      <c r="A313" s="78" t="n"/>
    </row>
    <row r="314">
      <c r="A314" s="78" t="n"/>
    </row>
    <row r="315">
      <c r="A315" s="78" t="n"/>
    </row>
    <row r="316">
      <c r="A316" s="78" t="n"/>
    </row>
    <row r="317">
      <c r="A317" s="78" t="n"/>
    </row>
    <row r="318">
      <c r="A318" s="78" t="n"/>
    </row>
    <row r="319">
      <c r="A319" s="78" t="n"/>
    </row>
    <row r="320">
      <c r="A320" s="78" t="n"/>
    </row>
    <row r="321">
      <c r="A321" s="78" t="n"/>
    </row>
    <row r="322">
      <c r="A322" s="78" t="n"/>
    </row>
    <row r="323">
      <c r="A323" s="78" t="n"/>
    </row>
    <row r="324">
      <c r="A324" s="78" t="n"/>
    </row>
    <row r="325">
      <c r="A325" s="78" t="n"/>
    </row>
    <row r="326">
      <c r="A326" s="78" t="n"/>
    </row>
    <row r="327">
      <c r="A327" s="78" t="n"/>
    </row>
    <row r="328">
      <c r="A328" s="78" t="n"/>
    </row>
    <row r="329">
      <c r="A329" s="78" t="n"/>
    </row>
    <row r="330">
      <c r="A330" s="78" t="n"/>
    </row>
    <row r="331">
      <c r="A331" s="78" t="n"/>
    </row>
    <row r="332">
      <c r="A332" s="78" t="n"/>
    </row>
    <row r="333">
      <c r="A333" s="78" t="n"/>
    </row>
    <row r="334">
      <c r="A334" s="78" t="n"/>
    </row>
    <row r="335">
      <c r="A335" s="78" t="n"/>
    </row>
    <row r="336">
      <c r="A336" s="78" t="n"/>
    </row>
    <row r="337">
      <c r="A337" s="78" t="n"/>
    </row>
    <row r="338">
      <c r="A338" s="78" t="n"/>
    </row>
    <row r="339">
      <c r="A339" s="78" t="n"/>
    </row>
    <row r="340">
      <c r="A340" s="78" t="n"/>
    </row>
    <row r="341">
      <c r="A341" s="78" t="n"/>
    </row>
    <row r="342">
      <c r="A342" s="78" t="n"/>
    </row>
    <row r="343">
      <c r="A343" s="78" t="n"/>
    </row>
    <row r="344">
      <c r="A344" s="78" t="n"/>
    </row>
    <row r="345">
      <c r="A345" s="78" t="n"/>
    </row>
    <row r="346">
      <c r="A346" s="78" t="n"/>
    </row>
    <row r="347">
      <c r="A347" s="78" t="n"/>
    </row>
    <row r="348">
      <c r="A348" s="78" t="n"/>
    </row>
    <row r="349">
      <c r="A349" s="78" t="n"/>
    </row>
    <row r="350">
      <c r="A350" s="78" t="n"/>
    </row>
    <row r="351">
      <c r="A351" s="78" t="n"/>
    </row>
    <row r="352">
      <c r="A352" s="78" t="n"/>
    </row>
    <row r="353">
      <c r="A353" s="78" t="n"/>
    </row>
    <row r="354">
      <c r="A354" s="78" t="n"/>
    </row>
    <row r="355">
      <c r="A355" s="78" t="n"/>
    </row>
    <row r="356">
      <c r="A356" s="78" t="n"/>
    </row>
    <row r="357">
      <c r="A357" s="78" t="n"/>
    </row>
    <row r="358">
      <c r="A358" s="78" t="n"/>
    </row>
    <row r="359">
      <c r="A359" s="78" t="n"/>
    </row>
    <row r="360">
      <c r="A360" s="78" t="n"/>
    </row>
    <row r="361">
      <c r="A361" s="78" t="n"/>
    </row>
    <row r="362">
      <c r="A362" s="78" t="n"/>
    </row>
    <row r="363">
      <c r="A363" s="78" t="n"/>
    </row>
    <row r="364">
      <c r="A364" s="78" t="n"/>
    </row>
    <row r="365">
      <c r="A365" s="78" t="n"/>
    </row>
    <row r="366">
      <c r="A366" s="78" t="n"/>
    </row>
    <row r="367">
      <c r="A367" s="78" t="n"/>
    </row>
    <row r="368">
      <c r="A368" s="78" t="n"/>
    </row>
    <row r="369">
      <c r="A369" s="78" t="n"/>
    </row>
    <row r="370">
      <c r="A370" s="78" t="n"/>
    </row>
    <row r="371">
      <c r="A371" s="78" t="n"/>
    </row>
    <row r="372">
      <c r="A372" s="78" t="n"/>
    </row>
    <row r="373">
      <c r="A373" s="78" t="n"/>
    </row>
    <row r="374">
      <c r="A374" s="78" t="n"/>
    </row>
    <row r="375">
      <c r="A375" s="78" t="n"/>
    </row>
    <row r="376">
      <c r="A376" s="78" t="n"/>
    </row>
    <row r="377">
      <c r="A377" s="78" t="n"/>
    </row>
    <row r="378">
      <c r="A378" s="78" t="n"/>
    </row>
    <row r="379">
      <c r="A379" s="78" t="n"/>
    </row>
    <row r="380">
      <c r="A380" s="78" t="n"/>
    </row>
    <row r="381">
      <c r="A381" s="78" t="n"/>
    </row>
    <row r="382">
      <c r="A382" s="78" t="n"/>
    </row>
    <row r="383">
      <c r="A383" s="78" t="n"/>
    </row>
    <row r="384">
      <c r="A384" s="78" t="n"/>
    </row>
    <row r="385">
      <c r="A385" s="78" t="n"/>
    </row>
    <row r="386">
      <c r="A386" s="78" t="n"/>
    </row>
    <row r="387">
      <c r="A387" s="78" t="n"/>
    </row>
    <row r="388">
      <c r="A388" s="78" t="n"/>
    </row>
    <row r="389">
      <c r="A389" s="78" t="n"/>
    </row>
    <row r="390">
      <c r="A390" s="78" t="n"/>
    </row>
    <row r="391">
      <c r="A391" s="78" t="n"/>
    </row>
    <row r="392">
      <c r="A392" s="78" t="n"/>
    </row>
    <row r="393">
      <c r="A393" s="78" t="n"/>
    </row>
    <row r="394">
      <c r="A394" s="78" t="n"/>
    </row>
    <row r="395">
      <c r="A395" s="78" t="n"/>
    </row>
    <row r="396">
      <c r="A396" s="78" t="n"/>
    </row>
    <row r="397">
      <c r="A397" s="78" t="n"/>
    </row>
    <row r="398">
      <c r="A398" s="78" t="n"/>
    </row>
    <row r="399">
      <c r="A399" s="78" t="n"/>
    </row>
    <row r="400">
      <c r="A400" s="78" t="n"/>
    </row>
    <row r="401">
      <c r="A401" s="78" t="n"/>
    </row>
    <row r="402">
      <c r="A402" s="78" t="n"/>
    </row>
    <row r="403">
      <c r="A403" s="78" t="n"/>
    </row>
    <row r="404">
      <c r="A404" s="78" t="n"/>
    </row>
    <row r="405">
      <c r="A405" s="78" t="n"/>
    </row>
    <row r="406">
      <c r="A406" s="78" t="n"/>
    </row>
    <row r="407">
      <c r="A407" s="78" t="n"/>
    </row>
    <row r="408">
      <c r="A408" s="78" t="n"/>
    </row>
    <row r="409">
      <c r="A409" s="78" t="n"/>
    </row>
    <row r="410">
      <c r="A410" s="78" t="n"/>
    </row>
    <row r="411">
      <c r="A411" s="78" t="n"/>
    </row>
    <row r="412">
      <c r="A412" s="78" t="n"/>
    </row>
    <row r="413">
      <c r="A413" s="78" t="n"/>
    </row>
    <row r="414">
      <c r="A414" s="78" t="n"/>
    </row>
    <row r="415">
      <c r="A415" s="78" t="n"/>
    </row>
    <row r="416">
      <c r="A416" s="78" t="n"/>
    </row>
    <row r="417">
      <c r="A417" s="78" t="n"/>
    </row>
    <row r="418">
      <c r="A418" s="78" t="n"/>
    </row>
    <row r="419">
      <c r="A419" s="78" t="n"/>
    </row>
    <row r="420">
      <c r="A420" s="78" t="n"/>
    </row>
    <row r="421">
      <c r="A421" s="78" t="n"/>
    </row>
    <row r="422">
      <c r="A422" s="78" t="n"/>
    </row>
    <row r="423">
      <c r="A423" s="78" t="n"/>
    </row>
    <row r="424">
      <c r="A424" s="78" t="n"/>
    </row>
    <row r="425">
      <c r="A425" s="78" t="n"/>
    </row>
    <row r="426">
      <c r="A426" s="78" t="n"/>
    </row>
    <row r="427">
      <c r="A427" s="78" t="n"/>
    </row>
    <row r="428">
      <c r="A428" s="78" t="n"/>
    </row>
    <row r="429">
      <c r="A429" s="78" t="n"/>
    </row>
    <row r="430">
      <c r="A430" s="78" t="n"/>
    </row>
    <row r="431">
      <c r="A431" s="78" t="n"/>
    </row>
    <row r="432">
      <c r="A432" s="78" t="n"/>
    </row>
    <row r="433">
      <c r="A433" s="78" t="n"/>
    </row>
    <row r="434">
      <c r="A434" s="78" t="n"/>
    </row>
    <row r="435">
      <c r="A435" s="78" t="n"/>
    </row>
    <row r="436">
      <c r="A436" s="78" t="n"/>
    </row>
    <row r="437">
      <c r="A437" s="78" t="n"/>
    </row>
    <row r="438">
      <c r="A438" s="78" t="n"/>
    </row>
    <row r="439">
      <c r="A439" s="78" t="n"/>
    </row>
    <row r="440">
      <c r="A440" s="78" t="n"/>
    </row>
    <row r="441">
      <c r="A441" s="78" t="n"/>
    </row>
    <row r="442">
      <c r="A442" s="78" t="n"/>
    </row>
    <row r="443">
      <c r="A443" s="78" t="n"/>
    </row>
    <row r="444">
      <c r="A444" s="78" t="n"/>
    </row>
    <row r="445">
      <c r="A445" s="78" t="n"/>
    </row>
    <row r="446">
      <c r="A446" s="78" t="n"/>
    </row>
    <row r="447">
      <c r="A447" s="78" t="n"/>
    </row>
    <row r="448">
      <c r="A448" s="78" t="n"/>
    </row>
    <row r="449">
      <c r="A449" s="78" t="n"/>
    </row>
    <row r="450">
      <c r="A450" s="78" t="n"/>
    </row>
    <row r="451">
      <c r="A451" s="78" t="n"/>
    </row>
    <row r="452">
      <c r="A452" s="78" t="n"/>
    </row>
    <row r="453">
      <c r="A453" s="78" t="n"/>
    </row>
    <row r="454">
      <c r="A454" s="78" t="n"/>
    </row>
    <row r="455">
      <c r="A455" s="78" t="n"/>
    </row>
    <row r="456">
      <c r="A456" s="78" t="n"/>
    </row>
    <row r="457">
      <c r="A457" s="78" t="n"/>
    </row>
    <row r="458">
      <c r="A458" s="78" t="n"/>
    </row>
    <row r="459">
      <c r="A459" s="78" t="n"/>
    </row>
    <row r="460">
      <c r="A460" s="78" t="n"/>
    </row>
    <row r="461">
      <c r="A461" s="78" t="n"/>
    </row>
    <row r="462">
      <c r="A462" s="78" t="n"/>
    </row>
    <row r="463">
      <c r="A463" s="78" t="n"/>
    </row>
    <row r="464">
      <c r="A464" s="78" t="n"/>
    </row>
    <row r="465">
      <c r="A465" s="78" t="n"/>
    </row>
    <row r="466">
      <c r="A466" s="78" t="n"/>
    </row>
    <row r="467">
      <c r="A467" s="78" t="n"/>
    </row>
    <row r="468">
      <c r="A468" s="78" t="n"/>
    </row>
    <row r="469">
      <c r="A469" s="78" t="n"/>
    </row>
    <row r="470">
      <c r="A470" s="78" t="n"/>
    </row>
    <row r="471">
      <c r="A471" s="78" t="n"/>
    </row>
    <row r="472">
      <c r="A472" s="78" t="n"/>
    </row>
    <row r="473">
      <c r="A473" s="78" t="n"/>
    </row>
    <row r="474">
      <c r="A474" s="78" t="n"/>
    </row>
    <row r="475">
      <c r="A475" s="78" t="n"/>
    </row>
    <row r="476">
      <c r="A476" s="78" t="n"/>
    </row>
    <row r="477">
      <c r="A477" s="78" t="n"/>
    </row>
    <row r="478">
      <c r="A478" s="78" t="n"/>
    </row>
    <row r="479">
      <c r="A479" s="78" t="n"/>
    </row>
    <row r="480">
      <c r="A480" s="78" t="n"/>
    </row>
    <row r="481">
      <c r="A481" s="78" t="n"/>
    </row>
    <row r="482">
      <c r="A482" s="78" t="n"/>
    </row>
    <row r="483">
      <c r="A483" s="78" t="n"/>
    </row>
    <row r="484">
      <c r="A484" s="78" t="n"/>
    </row>
    <row r="485">
      <c r="A485" s="78" t="n"/>
    </row>
    <row r="486">
      <c r="A486" s="78" t="n"/>
    </row>
    <row r="487">
      <c r="A487" s="78" t="n"/>
    </row>
    <row r="488">
      <c r="A488" s="78" t="n"/>
    </row>
    <row r="489">
      <c r="A489" s="78" t="n"/>
    </row>
    <row r="490">
      <c r="A490" s="78" t="n"/>
    </row>
    <row r="491">
      <c r="A491" s="78" t="n"/>
    </row>
    <row r="492">
      <c r="A492" s="78" t="n"/>
    </row>
    <row r="493">
      <c r="A493" s="78" t="n"/>
    </row>
    <row r="494">
      <c r="A494" s="78" t="n"/>
    </row>
    <row r="495">
      <c r="A495" s="78" t="n"/>
    </row>
    <row r="496">
      <c r="A496" s="78" t="n"/>
    </row>
    <row r="497">
      <c r="A497" s="78" t="n"/>
    </row>
    <row r="498">
      <c r="A498" s="78" t="n"/>
    </row>
    <row r="499">
      <c r="A499" s="78" t="n"/>
    </row>
    <row r="500">
      <c r="A500" s="78" t="n"/>
    </row>
    <row r="501">
      <c r="A501" s="78" t="n"/>
    </row>
    <row r="502">
      <c r="A502" s="78" t="n"/>
    </row>
    <row r="503">
      <c r="A503" s="78" t="n"/>
    </row>
    <row r="504">
      <c r="A504" s="78" t="n"/>
    </row>
    <row r="505">
      <c r="A505" s="78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L0q7kKXbu6AWxz4bvxfcPQ==" formatRows="1" sort="1" spinCount="100000" hashValue="Io3k8GWnVPHPLAK/TFJx6Gp/+iWVf5oPhlL/QtsBjWDAZHiJwFuj9x7E+CCGI+Cutd+m3L4WFPD1iAjV0y6dxQ=="/>
  <mergeCells count="1">
    <mergeCell ref="A1:BL1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3">
    <tabColor theme="6" tint="-0.499984740745262"/>
    <outlinePr summaryBelow="1" summaryRight="1"/>
    <pageSetUpPr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C5" sqref="C5"/>
    </sheetView>
  </sheetViews>
  <sheetFormatPr baseColWidth="8" defaultRowHeight="13.5"/>
  <cols>
    <col width="9" customWidth="1" style="570" min="1" max="1"/>
    <col width="18" customWidth="1" style="570" min="2" max="2"/>
    <col width="10" customWidth="1" style="570" min="3" max="4"/>
    <col width="9.375" bestFit="1" customWidth="1" style="570" min="5" max="5"/>
    <col width="8" bestFit="1" customWidth="1" style="570" min="6" max="6"/>
    <col width="9.375" bestFit="1" customWidth="1" style="570" min="7" max="7"/>
    <col width="9.25" bestFit="1" customWidth="1" style="570" min="8" max="8"/>
    <col width="9.5" bestFit="1" customWidth="1" style="570" min="9" max="9"/>
    <col width="9.25" bestFit="1" customWidth="1" style="570" min="10" max="11"/>
    <col width="9.5" bestFit="1" customWidth="1" style="570" min="12" max="13"/>
    <col width="9.25" bestFit="1" customWidth="1" style="570" min="14" max="15"/>
    <col width="9.5" bestFit="1" customWidth="1" style="570" min="16" max="16"/>
    <col width="9.25" bestFit="1" customWidth="1" style="570" min="17" max="17"/>
    <col width="9.5" bestFit="1" customWidth="1" style="570" min="18" max="18"/>
    <col width="9.25" bestFit="1" customWidth="1" style="570" min="19" max="19"/>
    <col width="9.5" bestFit="1" customWidth="1" style="570" min="20" max="34"/>
    <col width="9.375" bestFit="1" customWidth="1" style="570" min="35" max="35"/>
    <col width="7" customWidth="1" style="570" min="36" max="64"/>
    <col width="9" customWidth="1" style="570" min="65" max="16384"/>
  </cols>
  <sheetData>
    <row r="1" ht="30" customHeight="1" s="574">
      <c r="A1" s="588" t="inlineStr">
        <is>
          <t xml:space="preserve">  📈  高値シート｜60日履歴</t>
        </is>
      </c>
      <c r="B1" s="570" t="n"/>
      <c r="C1" s="570" t="n"/>
      <c r="D1" s="570" t="n"/>
      <c r="E1" s="570" t="n"/>
      <c r="F1" s="570" t="n"/>
      <c r="G1" s="570" t="n"/>
      <c r="H1" s="570" t="n"/>
      <c r="I1" s="570" t="n"/>
      <c r="J1" s="570" t="n"/>
      <c r="K1" s="570" t="n"/>
      <c r="L1" s="570" t="n"/>
      <c r="M1" s="570" t="n"/>
      <c r="N1" s="570" t="n"/>
      <c r="O1" s="570" t="n"/>
      <c r="P1" s="570" t="n"/>
      <c r="Q1" s="570" t="n"/>
      <c r="R1" s="570" t="n"/>
      <c r="S1" s="570" t="n"/>
      <c r="T1" s="570" t="n"/>
      <c r="U1" s="570" t="n"/>
      <c r="V1" s="570" t="n"/>
      <c r="W1" s="570" t="n"/>
      <c r="X1" s="570" t="n"/>
      <c r="Y1" s="570" t="n"/>
      <c r="Z1" s="570" t="n"/>
      <c r="AA1" s="570" t="n"/>
      <c r="AB1" s="570" t="n"/>
      <c r="AC1" s="570" t="n"/>
      <c r="AD1" s="570" t="n"/>
      <c r="AE1" s="570" t="n"/>
      <c r="AF1" s="570" t="n"/>
      <c r="AG1" s="570" t="n"/>
      <c r="AH1" s="570" t="n"/>
      <c r="AI1" s="570" t="n"/>
      <c r="AJ1" s="570" t="n"/>
      <c r="AK1" s="570" t="n"/>
      <c r="AL1" s="570" t="n"/>
      <c r="AM1" s="570" t="n"/>
      <c r="AN1" s="570" t="n"/>
      <c r="AO1" s="570" t="n"/>
      <c r="AP1" s="570" t="n"/>
      <c r="AQ1" s="570" t="n"/>
      <c r="AR1" s="570" t="n"/>
      <c r="AS1" s="570" t="n"/>
      <c r="AT1" s="570" t="n"/>
      <c r="AU1" s="570" t="n"/>
      <c r="AV1" s="570" t="n"/>
      <c r="AW1" s="570" t="n"/>
      <c r="AX1" s="570" t="n"/>
      <c r="AY1" s="570" t="n"/>
      <c r="AZ1" s="570" t="n"/>
      <c r="BA1" s="570" t="n"/>
      <c r="BB1" s="570" t="n"/>
      <c r="BC1" s="570" t="n"/>
      <c r="BD1" s="570" t="n"/>
      <c r="BE1" s="570" t="n"/>
      <c r="BF1" s="570" t="n"/>
      <c r="BG1" s="570" t="n"/>
      <c r="BH1" s="570" t="n"/>
      <c r="BI1" s="570" t="n"/>
      <c r="BJ1" s="570" t="n"/>
      <c r="BK1" s="570" t="n"/>
      <c r="BL1" s="570" t="n"/>
    </row>
    <row r="2" ht="18" customHeight="1" s="574">
      <c r="A2" s="194" t="inlineStr">
        <is>
          <t>コード</t>
        </is>
      </c>
      <c r="B2" s="194" t="inlineStr">
        <is>
          <t>銘 柄 名</t>
        </is>
      </c>
      <c r="C2" s="194" t="inlineStr">
        <is>
          <t>RSS 高値</t>
        </is>
      </c>
      <c r="D2" s="194" t="inlineStr">
        <is>
          <t>差  分</t>
        </is>
      </c>
      <c r="E2" s="195" t="n"/>
      <c r="F2" s="195" t="n"/>
      <c r="G2" s="195" t="n"/>
      <c r="H2" s="195" t="n"/>
      <c r="I2" s="195" t="n"/>
      <c r="J2" s="195" t="n"/>
      <c r="K2" s="195" t="n"/>
      <c r="L2" s="195" t="n"/>
      <c r="M2" s="195" t="n"/>
      <c r="N2" s="195" t="n"/>
      <c r="O2" s="195" t="n"/>
      <c r="P2" s="195" t="n"/>
      <c r="Q2" s="195" t="n"/>
      <c r="R2" s="195" t="n"/>
      <c r="S2" s="195" t="n"/>
      <c r="T2" s="195" t="n"/>
      <c r="U2" s="195" t="n"/>
      <c r="V2" s="195" t="n"/>
      <c r="W2" s="195" t="n"/>
      <c r="X2" s="195" t="n"/>
      <c r="Y2" s="195" t="n"/>
      <c r="Z2" s="195" t="n"/>
      <c r="AA2" s="195" t="n"/>
      <c r="AB2" s="195" t="n"/>
      <c r="AC2" s="195" t="n"/>
      <c r="AD2" s="195" t="n"/>
      <c r="AE2" s="195" t="n"/>
      <c r="AF2" s="195" t="n"/>
      <c r="AG2" s="195" t="n"/>
      <c r="AH2" s="195" t="n"/>
      <c r="AI2" s="195" t="n"/>
      <c r="AJ2" s="195" t="n"/>
      <c r="AK2" s="195" t="n"/>
      <c r="AL2" s="195" t="n"/>
      <c r="AM2" s="195" t="n"/>
      <c r="AN2" s="195" t="n"/>
      <c r="AO2" s="195" t="n"/>
      <c r="AP2" s="195" t="n"/>
      <c r="AQ2" s="195" t="n"/>
      <c r="AR2" s="195" t="n"/>
      <c r="AS2" s="195" t="n"/>
      <c r="AT2" s="195" t="n"/>
      <c r="AU2" s="195" t="n"/>
      <c r="AV2" s="195" t="n"/>
      <c r="AW2" s="195" t="n"/>
      <c r="AX2" s="195" t="n"/>
      <c r="AY2" s="195" t="n"/>
      <c r="AZ2" s="195" t="n"/>
      <c r="BA2" s="195" t="n"/>
      <c r="BB2" s="195" t="n"/>
      <c r="BC2" s="195" t="n"/>
      <c r="BD2" s="195" t="n"/>
      <c r="BE2" s="195" t="n"/>
      <c r="BF2" s="195" t="n"/>
      <c r="BG2" s="195" t="n"/>
      <c r="BH2" s="195" t="n"/>
      <c r="BI2" s="195" t="n"/>
      <c r="BJ2" s="195" t="n"/>
      <c r="BK2" s="195" t="n"/>
      <c r="BL2" s="195" t="n"/>
    </row>
    <row r="3" ht="14.1" customHeight="1" s="574">
      <c r="A3" s="649" t="inlineStr">
        <is>
          <t>日  付</t>
        </is>
      </c>
      <c r="B3" s="650" t="n"/>
      <c r="C3" s="651" t="inlineStr">
        <is>
          <t>本日</t>
        </is>
      </c>
      <c r="D3" s="650" t="n"/>
      <c r="E3" s="652" t="n">
        <v>46195</v>
      </c>
      <c r="F3" s="652" t="n">
        <v>46192</v>
      </c>
      <c r="G3" s="652" t="n">
        <v>46191</v>
      </c>
      <c r="H3" s="652" t="n">
        <v>46190</v>
      </c>
      <c r="I3" s="652" t="n">
        <v>46189</v>
      </c>
      <c r="J3" s="652" t="n">
        <v>46188</v>
      </c>
      <c r="K3" s="652" t="n">
        <v>46185</v>
      </c>
      <c r="L3" s="652" t="n">
        <v>46184</v>
      </c>
      <c r="M3" s="652" t="n">
        <v>46183</v>
      </c>
      <c r="N3" s="652" t="n">
        <v>46181</v>
      </c>
      <c r="O3" s="652" t="n">
        <v>46178</v>
      </c>
      <c r="P3" s="652" t="n">
        <v>46177</v>
      </c>
      <c r="Q3" s="652" t="n">
        <v>46176</v>
      </c>
      <c r="R3" s="652" t="n">
        <v>46175</v>
      </c>
      <c r="S3" s="652" t="n">
        <v>46171</v>
      </c>
      <c r="T3" s="652" t="n">
        <v>46170</v>
      </c>
      <c r="U3" s="652" t="n">
        <v>46169</v>
      </c>
      <c r="V3" s="652" t="n">
        <v>46167</v>
      </c>
      <c r="W3" s="652" t="n">
        <v>46164</v>
      </c>
      <c r="X3" s="652" t="n">
        <v>46163</v>
      </c>
      <c r="Y3" s="652" t="n">
        <v>46162</v>
      </c>
      <c r="Z3" s="652" t="n">
        <v>46161</v>
      </c>
      <c r="AA3" s="652" t="n">
        <v>46160</v>
      </c>
      <c r="AB3" s="652" t="n">
        <v>46157</v>
      </c>
      <c r="AC3" s="652" t="n">
        <v>46156</v>
      </c>
      <c r="AD3" s="652" t="n">
        <v>46155</v>
      </c>
      <c r="AE3" s="652" t="n">
        <v>46154</v>
      </c>
      <c r="AF3" s="652" t="n">
        <v>46153</v>
      </c>
      <c r="AG3" s="652" t="n">
        <v>46150</v>
      </c>
      <c r="AH3" s="652" t="n">
        <v>46149</v>
      </c>
      <c r="AI3" s="652" t="n">
        <v>46143</v>
      </c>
      <c r="AJ3" s="652" t="n">
        <v>46142</v>
      </c>
      <c r="AK3" s="652" t="n">
        <v>46140</v>
      </c>
      <c r="AL3" s="652" t="n">
        <v>46139</v>
      </c>
      <c r="AM3" s="652" t="n">
        <v>46136</v>
      </c>
      <c r="AN3" s="652" t="n">
        <v>46135</v>
      </c>
      <c r="AO3" s="652" t="n">
        <v>46134</v>
      </c>
      <c r="AP3" s="652" t="n">
        <v>46133</v>
      </c>
      <c r="AQ3" s="652" t="n">
        <v>46132</v>
      </c>
      <c r="AR3" s="652" t="n">
        <v>46129</v>
      </c>
      <c r="AS3" s="652" t="n">
        <v>46128</v>
      </c>
      <c r="AT3" s="652" t="n">
        <v>46127</v>
      </c>
      <c r="AU3" s="652" t="n">
        <v>46126</v>
      </c>
      <c r="AV3" s="652" t="n">
        <v>46125</v>
      </c>
      <c r="AW3" s="652" t="n">
        <v>46122</v>
      </c>
      <c r="AX3" s="652" t="n">
        <v>46121</v>
      </c>
      <c r="AY3" s="652" t="n">
        <v>46120</v>
      </c>
      <c r="AZ3" s="652" t="n">
        <v>46119</v>
      </c>
      <c r="BA3" s="652" t="n">
        <v>46118</v>
      </c>
      <c r="BB3" s="652" t="n">
        <v>46115</v>
      </c>
      <c r="BC3" s="652" t="n">
        <v>46114</v>
      </c>
      <c r="BD3" s="652" t="n">
        <v>46113</v>
      </c>
      <c r="BE3" s="652" t="n">
        <v>46112</v>
      </c>
      <c r="BF3" s="652" t="n">
        <v>46111</v>
      </c>
      <c r="BG3" s="652" t="n">
        <v>46108</v>
      </c>
      <c r="BH3" s="652" t="n">
        <v>46107</v>
      </c>
      <c r="BI3" s="652" t="n">
        <v>46106</v>
      </c>
      <c r="BJ3" s="652" t="n">
        <v>46105</v>
      </c>
      <c r="BK3" s="652" t="n">
        <v>46104</v>
      </c>
      <c r="BL3" s="652" t="n">
        <v>46100</v>
      </c>
    </row>
    <row r="4" ht="18" customHeight="1" s="574">
      <c r="A4" s="88" t="n"/>
      <c r="B4" s="88" t="n"/>
      <c r="C4" s="88" t="n"/>
      <c r="D4" s="88" t="n"/>
      <c r="E4" s="88" t="n"/>
      <c r="F4" s="88" t="n"/>
      <c r="G4" s="88" t="n"/>
      <c r="H4" s="88" t="n"/>
      <c r="I4" s="88" t="n"/>
      <c r="J4" s="88" t="n"/>
      <c r="K4" s="88" t="n"/>
      <c r="L4" s="88" t="n"/>
      <c r="M4" s="88" t="n"/>
      <c r="N4" s="88" t="n"/>
      <c r="O4" s="88" t="n"/>
      <c r="P4" s="88" t="n"/>
      <c r="Q4" s="88" t="n"/>
      <c r="R4" s="88" t="n"/>
      <c r="S4" s="88" t="n"/>
      <c r="T4" s="88" t="n"/>
      <c r="U4" s="88" t="n"/>
      <c r="V4" s="88" t="n"/>
      <c r="W4" s="88" t="n"/>
      <c r="X4" s="88" t="n"/>
      <c r="Y4" s="88" t="n"/>
      <c r="Z4" s="88" t="n"/>
      <c r="AA4" s="88" t="n"/>
      <c r="AB4" s="88" t="n"/>
      <c r="AC4" s="88" t="n"/>
      <c r="AD4" s="88" t="n"/>
      <c r="AE4" s="88" t="n"/>
      <c r="AF4" s="88" t="n"/>
      <c r="AG4" s="88" t="n"/>
      <c r="AH4" s="88" t="n"/>
      <c r="AI4" s="88" t="n"/>
      <c r="AJ4" s="88" t="n"/>
      <c r="AK4" s="88" t="n"/>
      <c r="AL4" s="88" t="n"/>
      <c r="AM4" s="88" t="n"/>
      <c r="AN4" s="88" t="n"/>
      <c r="AO4" s="88" t="n"/>
      <c r="AP4" s="88" t="n"/>
      <c r="AQ4" s="88" t="n"/>
      <c r="AR4" s="88" t="n"/>
      <c r="AS4" s="88" t="n"/>
      <c r="AT4" s="88" t="n"/>
      <c r="AU4" s="88" t="n"/>
      <c r="AV4" s="88" t="n"/>
      <c r="AW4" s="88" t="n"/>
      <c r="AX4" s="88" t="n"/>
      <c r="AY4" s="88" t="n"/>
      <c r="AZ4" s="88" t="n"/>
      <c r="BA4" s="88" t="n"/>
      <c r="BB4" s="88" t="n"/>
      <c r="BC4" s="88" t="n"/>
      <c r="BD4" s="88" t="n"/>
      <c r="BE4" s="88" t="n"/>
      <c r="BF4" s="88" t="n"/>
      <c r="BG4" s="88" t="n"/>
      <c r="BH4" s="88" t="n"/>
      <c r="BI4" s="88" t="n"/>
      <c r="BJ4" s="88" t="n"/>
      <c r="BK4" s="88" t="n"/>
      <c r="BL4" s="88" t="n"/>
    </row>
    <row r="5" ht="15.95" customHeight="1" s="574">
      <c r="A5" s="663">
        <f>IF(銘柄管理!B5="","",銘柄管理!B5)</f>
        <v/>
      </c>
      <c r="B5" s="28">
        <f>IF(銘柄管理!C5="","",銘柄管理!C5)</f>
        <v/>
      </c>
      <c r="C5" s="29">
        <f t="array" ref="C5">_xll.RssIndexMarket("TOPX", "高値")</f>
        <v/>
      </c>
      <c r="D5" s="664">
        <f>IF(OR(C5=0,E5=0),"",C5-E5)</f>
        <v/>
      </c>
      <c r="E5" s="31" t="n">
        <v>4103.76</v>
      </c>
      <c r="F5" s="31" t="n">
        <v>4086.96</v>
      </c>
      <c r="G5" s="31" t="n">
        <v>4088.25</v>
      </c>
      <c r="H5" s="31" t="n">
        <v>4035.32</v>
      </c>
      <c r="I5" s="31" t="n">
        <v>4008.81</v>
      </c>
      <c r="J5" s="31" t="n">
        <v>4032.39</v>
      </c>
      <c r="K5" s="31" t="n">
        <v>3924.34</v>
      </c>
      <c r="L5" s="31" t="n">
        <v>3836.12</v>
      </c>
      <c r="M5" s="31" t="n">
        <v>3894.24</v>
      </c>
      <c r="N5" s="31" t="n">
        <v>3923.62</v>
      </c>
      <c r="O5" s="31" t="n">
        <v>3966.32</v>
      </c>
      <c r="P5" s="31" t="n">
        <v>3970.82</v>
      </c>
      <c r="Q5" s="31" t="n">
        <v>4015.72</v>
      </c>
      <c r="R5" s="31" t="n">
        <v>3924.26</v>
      </c>
      <c r="S5" s="31" t="n">
        <v>3984.58</v>
      </c>
      <c r="T5" s="31" t="n">
        <v>3915.5</v>
      </c>
      <c r="U5" s="31" t="n">
        <v>3971.77</v>
      </c>
      <c r="V5" s="31" t="n">
        <v>3953.89</v>
      </c>
      <c r="W5" s="31" t="n">
        <v>3905.13</v>
      </c>
      <c r="X5" s="31" t="n">
        <v>3878.24</v>
      </c>
      <c r="Y5" s="31" t="n">
        <v>3852.29</v>
      </c>
      <c r="Z5" s="31" t="n">
        <v>3877.84</v>
      </c>
      <c r="AA5" s="31" t="n">
        <v>3870.65</v>
      </c>
      <c r="AB5" s="31" t="n">
        <v>3927.98</v>
      </c>
      <c r="AC5" s="31" t="n">
        <v>3919.72</v>
      </c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1" t="n"/>
      <c r="AN5" s="31" t="n"/>
      <c r="AO5" s="31" t="n"/>
      <c r="AP5" s="31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32" t="n"/>
      <c r="BA5" s="32" t="n"/>
      <c r="BB5" s="32" t="n"/>
      <c r="BC5" s="32" t="n"/>
      <c r="BD5" s="32" t="n"/>
      <c r="BE5" s="32" t="n"/>
      <c r="BF5" s="32" t="n"/>
      <c r="BG5" s="32" t="n"/>
      <c r="BH5" s="32" t="n"/>
      <c r="BI5" s="32" t="n"/>
      <c r="BJ5" s="32" t="n"/>
      <c r="BK5" s="32" t="n"/>
      <c r="BL5" s="33" t="n"/>
    </row>
    <row r="6" ht="15.95" customHeight="1" s="574">
      <c r="A6" s="68" t="inlineStr">
        <is>
          <t>5706</t>
        </is>
      </c>
      <c r="B6" s="28" t="inlineStr">
        <is>
          <t>三井金属</t>
        </is>
      </c>
      <c r="C6" s="665">
        <f>_xll.RssMarket("5706","高値")</f>
        <v/>
      </c>
      <c r="D6" s="666">
        <f>C6-E6</f>
        <v/>
      </c>
      <c r="E6" s="35" t="n">
        <v>53570</v>
      </c>
      <c r="F6" s="35" t="n">
        <v>50670</v>
      </c>
      <c r="G6" s="35" t="n">
        <v>49700</v>
      </c>
      <c r="H6" s="35" t="n">
        <v>48750</v>
      </c>
      <c r="I6" s="35" t="n">
        <v>46950</v>
      </c>
      <c r="J6" s="35" t="n">
        <v>44240</v>
      </c>
      <c r="K6" s="35" t="n">
        <v>37840</v>
      </c>
      <c r="L6" s="35" t="n">
        <v>39110</v>
      </c>
      <c r="M6" s="35" t="n">
        <v>41930</v>
      </c>
      <c r="N6" s="35" t="n">
        <v>45130</v>
      </c>
      <c r="O6" s="35" t="n">
        <v>47390</v>
      </c>
      <c r="P6" s="35" t="n">
        <v>50870</v>
      </c>
      <c r="Q6" s="35" t="n">
        <v>53290</v>
      </c>
      <c r="R6" s="35" t="n">
        <v>51920</v>
      </c>
      <c r="S6" s="35" t="n">
        <v>51140</v>
      </c>
      <c r="T6" s="35" t="n">
        <v>57700</v>
      </c>
      <c r="U6" s="35" t="n">
        <v>53990</v>
      </c>
      <c r="V6" s="35" t="n">
        <v>50610</v>
      </c>
      <c r="W6" s="35" t="n">
        <v>48130</v>
      </c>
      <c r="X6" s="35" t="n">
        <v>45110</v>
      </c>
      <c r="Y6" s="35" t="n">
        <v>48200</v>
      </c>
      <c r="Z6" s="35" t="n">
        <v>49590</v>
      </c>
      <c r="AA6" s="35" t="n">
        <v>51200</v>
      </c>
      <c r="AB6" s="35" t="n">
        <v>53340</v>
      </c>
      <c r="AC6" s="35" t="n">
        <v>55860</v>
      </c>
      <c r="AD6" s="35" t="n">
        <v>52970</v>
      </c>
      <c r="AE6" s="35" t="n">
        <v>53200</v>
      </c>
      <c r="AF6" s="35" t="n">
        <v>50000</v>
      </c>
      <c r="AG6" s="35" t="n">
        <v>48060</v>
      </c>
      <c r="AH6" s="35" t="n">
        <v>42950</v>
      </c>
      <c r="AI6" s="35" t="n">
        <v>42880</v>
      </c>
      <c r="AJ6" s="35" t="n">
        <v>41670</v>
      </c>
      <c r="AK6" s="35" t="n">
        <v>40050</v>
      </c>
      <c r="AL6" s="35" t="n">
        <v>39290</v>
      </c>
      <c r="AM6" s="35" t="n">
        <v>39060</v>
      </c>
      <c r="AN6" s="35" t="n">
        <v>38570</v>
      </c>
      <c r="AO6" s="35" t="n">
        <v>37550</v>
      </c>
      <c r="AP6" s="36" t="n">
        <v>36650</v>
      </c>
      <c r="AQ6" s="37" t="n">
        <v>37600</v>
      </c>
      <c r="AR6" s="32" t="n">
        <v>38050</v>
      </c>
      <c r="AS6" s="32" t="n">
        <v>39830</v>
      </c>
      <c r="AT6" s="32" t="n">
        <v>38730</v>
      </c>
      <c r="AU6" s="32" t="n">
        <v>36980</v>
      </c>
      <c r="AV6" s="32" t="n">
        <v>37200</v>
      </c>
      <c r="AW6" s="32" t="n">
        <v>35200</v>
      </c>
      <c r="AX6" s="32" t="n">
        <v>35330</v>
      </c>
      <c r="AY6" s="32" t="n">
        <v>31840</v>
      </c>
      <c r="AZ6" s="32" t="n">
        <v>32400</v>
      </c>
      <c r="BA6" s="32" t="n">
        <v>31640</v>
      </c>
      <c r="BB6" s="32" t="n">
        <v>31640</v>
      </c>
      <c r="BC6" s="32" t="n">
        <v>30730</v>
      </c>
      <c r="BD6" s="32" t="n">
        <v>28785</v>
      </c>
      <c r="BE6" s="32" t="n">
        <v>29805</v>
      </c>
      <c r="BF6" s="32" t="n">
        <v>31490</v>
      </c>
      <c r="BG6" s="32" t="n">
        <v>32390</v>
      </c>
      <c r="BH6" s="32" t="n">
        <v>32690</v>
      </c>
      <c r="BI6" s="32" t="n">
        <v>31040</v>
      </c>
      <c r="BJ6" s="32" t="n">
        <v>29235</v>
      </c>
      <c r="BK6" s="32" t="n">
        <v>32040</v>
      </c>
      <c r="BL6" s="33" t="n">
        <v>32500</v>
      </c>
    </row>
    <row r="7" ht="15.95" customHeight="1" s="574">
      <c r="A7" s="68" t="inlineStr">
        <is>
          <t>5423</t>
        </is>
      </c>
      <c r="B7" s="28" t="inlineStr">
        <is>
          <t>東京製鐵</t>
        </is>
      </c>
      <c r="C7" s="665">
        <f>_xll.RssMarket("5423","高値")</f>
        <v/>
      </c>
      <c r="D7" s="666">
        <f>C7-E7</f>
        <v/>
      </c>
      <c r="E7" s="35" t="n">
        <v>1807</v>
      </c>
      <c r="F7" s="35" t="n">
        <v>1770</v>
      </c>
      <c r="G7" s="35" t="n">
        <v>1793</v>
      </c>
      <c r="H7" s="35" t="n">
        <v>1788</v>
      </c>
      <c r="I7" s="35" t="n">
        <v>1750</v>
      </c>
      <c r="J7" s="35" t="n">
        <v>1760</v>
      </c>
      <c r="K7" s="35" t="n">
        <v>1750</v>
      </c>
      <c r="L7" s="35" t="n">
        <v>1690</v>
      </c>
      <c r="M7" s="35" t="n">
        <v>1684</v>
      </c>
      <c r="N7" s="35" t="n">
        <v>1735</v>
      </c>
      <c r="O7" s="35" t="n">
        <v>1703</v>
      </c>
      <c r="P7" s="35" t="n">
        <v>1727</v>
      </c>
      <c r="Q7" s="35" t="n">
        <v>1719</v>
      </c>
      <c r="R7" s="35" t="n">
        <v>1704</v>
      </c>
      <c r="S7" s="35" t="n">
        <v>1758</v>
      </c>
      <c r="T7" s="35" t="n">
        <v>1714</v>
      </c>
      <c r="U7" s="35" t="n">
        <v>1727</v>
      </c>
      <c r="V7" s="35" t="n">
        <v>1732</v>
      </c>
      <c r="W7" s="35" t="n">
        <v>1755</v>
      </c>
      <c r="X7" s="35" t="n">
        <v>1775</v>
      </c>
      <c r="Y7" s="35" t="n">
        <v>1758</v>
      </c>
      <c r="Z7" s="35" t="n">
        <v>1814</v>
      </c>
      <c r="AA7" s="35" t="n">
        <v>1821</v>
      </c>
      <c r="AB7" s="35" t="n">
        <v>1887</v>
      </c>
      <c r="AC7" s="35" t="n">
        <v>1850</v>
      </c>
      <c r="AD7" s="35" t="n">
        <v>1724</v>
      </c>
      <c r="AE7" s="35" t="n">
        <v>1700</v>
      </c>
      <c r="AF7" s="35" t="n">
        <v>1678</v>
      </c>
      <c r="AG7" s="35" t="n">
        <v>1710</v>
      </c>
      <c r="AH7" s="35" t="n">
        <v>1707</v>
      </c>
      <c r="AI7" s="35" t="n">
        <v>1697</v>
      </c>
      <c r="AJ7" s="35" t="n">
        <v>1713</v>
      </c>
      <c r="AK7" s="35" t="n">
        <v>1706</v>
      </c>
      <c r="AL7" s="35" t="n">
        <v>1750</v>
      </c>
      <c r="AM7" s="35" t="n">
        <v>1802</v>
      </c>
      <c r="AN7" s="35" t="n">
        <v>1804</v>
      </c>
      <c r="AO7" s="35" t="n">
        <v>1840</v>
      </c>
      <c r="AP7" s="36" t="n">
        <v>1862</v>
      </c>
      <c r="AQ7" s="37" t="n">
        <v>1813</v>
      </c>
      <c r="AR7" s="32" t="n">
        <v>1799</v>
      </c>
      <c r="AS7" s="32" t="n">
        <v>1793</v>
      </c>
      <c r="AT7" s="32" t="n">
        <v>1740</v>
      </c>
      <c r="AU7" s="32" t="n">
        <v>1755</v>
      </c>
      <c r="AV7" s="32" t="n">
        <v>1745</v>
      </c>
      <c r="AW7" s="32" t="n">
        <v>1794</v>
      </c>
      <c r="AX7" s="32" t="n">
        <v>1823</v>
      </c>
      <c r="AY7" s="32" t="n">
        <v>1839</v>
      </c>
      <c r="AZ7" s="32" t="n">
        <v>1887</v>
      </c>
      <c r="BA7" s="32" t="n">
        <v>1922</v>
      </c>
      <c r="BB7" s="32" t="n">
        <v>1973</v>
      </c>
      <c r="BC7" s="32" t="n">
        <v>1649</v>
      </c>
      <c r="BD7" s="32" t="n">
        <v>1630</v>
      </c>
      <c r="BE7" s="32" t="n">
        <v>1643</v>
      </c>
      <c r="BF7" s="32" t="n">
        <v>1636</v>
      </c>
      <c r="BG7" s="32" t="n">
        <v>1659</v>
      </c>
      <c r="BH7" s="32" t="n">
        <v>1641</v>
      </c>
      <c r="BI7" s="32" t="n">
        <v>1622</v>
      </c>
      <c r="BJ7" s="32" t="n">
        <v>1603</v>
      </c>
      <c r="BK7" s="32" t="n">
        <v>1604</v>
      </c>
      <c r="BL7" s="33" t="n">
        <v>1644</v>
      </c>
    </row>
    <row r="8" ht="15.95" customHeight="1" s="574">
      <c r="A8" s="68" t="inlineStr">
        <is>
          <t>5713</t>
        </is>
      </c>
      <c r="B8" s="28" t="inlineStr">
        <is>
          <t>住友鉱山</t>
        </is>
      </c>
      <c r="C8" s="665">
        <f>_xll.RssMarket("5713","高値")</f>
        <v/>
      </c>
      <c r="D8" s="666">
        <f>C8-E8</f>
        <v/>
      </c>
      <c r="E8" s="38" t="n">
        <v>8934</v>
      </c>
      <c r="F8" s="38" t="n">
        <v>8990</v>
      </c>
      <c r="G8" s="38" t="n">
        <v>9406</v>
      </c>
      <c r="H8" s="38" t="n">
        <v>9255</v>
      </c>
      <c r="I8" s="38" t="n">
        <v>9340</v>
      </c>
      <c r="J8" s="38" t="n">
        <v>9244</v>
      </c>
      <c r="K8" s="38" t="n">
        <v>8674</v>
      </c>
      <c r="L8" s="38" t="n">
        <v>7796</v>
      </c>
      <c r="M8" s="38" t="n">
        <v>8026</v>
      </c>
      <c r="N8" s="38" t="n">
        <v>8211</v>
      </c>
      <c r="O8" s="38" t="n">
        <v>8792</v>
      </c>
      <c r="P8" s="38" t="n">
        <v>8929</v>
      </c>
      <c r="Q8" s="38" t="n">
        <v>9382</v>
      </c>
      <c r="R8" s="38" t="n">
        <v>8880</v>
      </c>
      <c r="S8" s="38" t="n">
        <v>9222</v>
      </c>
      <c r="T8" s="38" t="n">
        <v>9450</v>
      </c>
      <c r="U8" s="38" t="n">
        <v>10360</v>
      </c>
      <c r="V8" s="38" t="n">
        <v>9940</v>
      </c>
      <c r="W8" s="38" t="n">
        <v>9636</v>
      </c>
      <c r="X8" s="38" t="n">
        <v>9387</v>
      </c>
      <c r="Y8" s="38" t="n">
        <v>9201</v>
      </c>
      <c r="Z8" s="38" t="n">
        <v>9558</v>
      </c>
      <c r="AA8" s="38" t="n">
        <v>10010</v>
      </c>
      <c r="AB8" s="38" t="n">
        <v>11180</v>
      </c>
      <c r="AC8" s="38" t="n">
        <v>11140</v>
      </c>
      <c r="AD8" s="38" t="n">
        <v>11145</v>
      </c>
      <c r="AE8" s="38" t="n">
        <v>10995</v>
      </c>
      <c r="AF8" s="38" t="n">
        <v>10765</v>
      </c>
      <c r="AG8" s="38" t="n">
        <v>10615</v>
      </c>
      <c r="AH8" s="38" t="n">
        <v>10140</v>
      </c>
      <c r="AI8" s="38" t="n">
        <v>9629</v>
      </c>
      <c r="AJ8" s="38" t="n">
        <v>9474</v>
      </c>
      <c r="AK8" s="38" t="n">
        <v>9989</v>
      </c>
      <c r="AL8" s="38" t="n">
        <v>9864</v>
      </c>
      <c r="AM8" s="38" t="n">
        <v>10315</v>
      </c>
      <c r="AN8" s="38" t="n">
        <v>10050</v>
      </c>
      <c r="AO8" s="38" t="n">
        <v>10290</v>
      </c>
      <c r="AP8" s="36" t="n">
        <v>10215</v>
      </c>
      <c r="AQ8" s="37" t="n">
        <v>10780</v>
      </c>
      <c r="AR8" s="32" t="n">
        <v>11050</v>
      </c>
      <c r="AS8" s="32" t="n">
        <v>11150</v>
      </c>
      <c r="AT8" s="32" t="n">
        <v>10415</v>
      </c>
      <c r="AU8" s="32" t="n">
        <v>10180</v>
      </c>
      <c r="AV8" s="32" t="n">
        <v>10085</v>
      </c>
      <c r="AW8" s="32" t="n">
        <v>10255</v>
      </c>
      <c r="AX8" s="32" t="n">
        <v>10380</v>
      </c>
      <c r="AY8" s="32" t="n">
        <v>9610</v>
      </c>
      <c r="AZ8" s="32" t="n">
        <v>9627</v>
      </c>
      <c r="BA8" s="32" t="n">
        <v>9736</v>
      </c>
      <c r="BB8" s="32" t="n">
        <v>9986</v>
      </c>
      <c r="BC8" s="32" t="n">
        <v>9647</v>
      </c>
      <c r="BD8" s="32" t="n">
        <v>9212</v>
      </c>
      <c r="BE8" s="32" t="n">
        <v>9310</v>
      </c>
      <c r="BF8" s="32" t="n">
        <v>9483</v>
      </c>
      <c r="BG8" s="32" t="n">
        <v>9345</v>
      </c>
      <c r="BH8" s="32" t="n">
        <v>9315</v>
      </c>
      <c r="BI8" s="32" t="n">
        <v>9019</v>
      </c>
      <c r="BJ8" s="32" t="n">
        <v>8638</v>
      </c>
      <c r="BK8" s="32" t="n">
        <v>9445</v>
      </c>
      <c r="BL8" s="33" t="n">
        <v>10065</v>
      </c>
    </row>
    <row r="9" ht="15.95" customHeight="1" s="574">
      <c r="A9" s="68" t="inlineStr">
        <is>
          <t>5711</t>
        </is>
      </c>
      <c r="B9" s="28" t="inlineStr">
        <is>
          <t>三菱マテリアル</t>
        </is>
      </c>
      <c r="C9" s="665">
        <f>_xll.RssMarket("5711","高値")</f>
        <v/>
      </c>
      <c r="D9" s="666">
        <f>C9-E9</f>
        <v/>
      </c>
      <c r="E9" s="32" t="n">
        <v>4990</v>
      </c>
      <c r="F9" s="32" t="n">
        <v>4908</v>
      </c>
      <c r="G9" s="32" t="n">
        <v>4968</v>
      </c>
      <c r="H9" s="39" t="n">
        <v>4965</v>
      </c>
      <c r="I9" s="36" t="n">
        <v>5050</v>
      </c>
      <c r="J9" s="36" t="n">
        <v>5007</v>
      </c>
      <c r="K9" s="36" t="n">
        <v>4648</v>
      </c>
      <c r="L9" s="36" t="n">
        <v>4443</v>
      </c>
      <c r="M9" s="36" t="n">
        <v>4592</v>
      </c>
      <c r="N9" s="36" t="n">
        <v>4750</v>
      </c>
      <c r="O9" s="36" t="n">
        <v>4957</v>
      </c>
      <c r="P9" s="36" t="n">
        <v>5074</v>
      </c>
      <c r="Q9" s="36" t="n">
        <v>5298</v>
      </c>
      <c r="R9" s="36" t="n">
        <v>5066</v>
      </c>
      <c r="S9" s="36" t="n">
        <v>5263</v>
      </c>
      <c r="T9" s="36" t="n">
        <v>5224</v>
      </c>
      <c r="U9" s="36" t="n">
        <v>5565</v>
      </c>
      <c r="V9" s="36" t="n">
        <v>5280</v>
      </c>
      <c r="W9" s="36" t="n">
        <v>5142</v>
      </c>
      <c r="X9" s="36" t="n">
        <v>4946</v>
      </c>
      <c r="Y9" s="36" t="n">
        <v>4879</v>
      </c>
      <c r="Z9" s="36" t="n">
        <v>5050</v>
      </c>
      <c r="AA9" s="36" t="n">
        <v>5264</v>
      </c>
      <c r="AB9" s="36" t="n">
        <v>5516</v>
      </c>
      <c r="AC9" s="36" t="n">
        <v>5646</v>
      </c>
      <c r="AD9" s="36" t="n">
        <v>6113</v>
      </c>
      <c r="AE9" s="36" t="n">
        <v>5838</v>
      </c>
      <c r="AF9" s="36" t="n">
        <v>5698</v>
      </c>
      <c r="AG9" s="36" t="n">
        <v>5562</v>
      </c>
      <c r="AH9" s="36" t="n">
        <v>5353</v>
      </c>
      <c r="AI9" s="36" t="n">
        <v>5153</v>
      </c>
      <c r="AJ9" s="36" t="n">
        <v>5092</v>
      </c>
      <c r="AK9" s="36" t="n">
        <v>5227</v>
      </c>
      <c r="AL9" s="36" t="n">
        <v>5328</v>
      </c>
      <c r="AM9" s="36" t="n">
        <v>5435</v>
      </c>
      <c r="AN9" s="36" t="n">
        <v>5460</v>
      </c>
      <c r="AO9" s="36" t="n">
        <v>5581</v>
      </c>
      <c r="AP9" s="36" t="n">
        <v>5595</v>
      </c>
      <c r="AQ9" s="37" t="n">
        <v>5739</v>
      </c>
      <c r="AR9" s="32" t="n">
        <v>5784</v>
      </c>
      <c r="AS9" s="32" t="n">
        <v>5795</v>
      </c>
      <c r="AT9" s="32" t="n">
        <v>5742</v>
      </c>
      <c r="AU9" s="32" t="n">
        <v>5580</v>
      </c>
      <c r="AV9" s="32" t="n">
        <v>5615</v>
      </c>
      <c r="AW9" s="32" t="n">
        <v>5640</v>
      </c>
      <c r="AX9" s="32" t="n">
        <v>5637</v>
      </c>
      <c r="AY9" s="32" t="n">
        <v>5240</v>
      </c>
      <c r="AZ9" s="32" t="n">
        <v>5255</v>
      </c>
      <c r="BA9" s="32" t="n">
        <v>5225</v>
      </c>
      <c r="BB9" s="32" t="n">
        <v>5330</v>
      </c>
      <c r="BC9" s="32" t="n">
        <v>5186</v>
      </c>
      <c r="BD9" s="32" t="n">
        <v>4918</v>
      </c>
      <c r="BE9" s="32" t="n">
        <v>4970</v>
      </c>
      <c r="BF9" s="32" t="n">
        <v>5144</v>
      </c>
      <c r="BG9" s="32" t="n">
        <v>5260</v>
      </c>
      <c r="BH9" s="32" t="n">
        <v>5265</v>
      </c>
      <c r="BI9" s="32" t="n">
        <v>5042</v>
      </c>
      <c r="BJ9" s="32" t="n">
        <v>4908</v>
      </c>
      <c r="BK9" s="32" t="n">
        <v>5449</v>
      </c>
      <c r="BL9" s="33" t="n">
        <v>5603</v>
      </c>
    </row>
    <row r="10" ht="15.95" customHeight="1" s="574">
      <c r="A10" s="68" t="inlineStr">
        <is>
          <t>5714</t>
        </is>
      </c>
      <c r="B10" s="28" t="inlineStr">
        <is>
          <t>ＤＯＷＡホールディングス</t>
        </is>
      </c>
      <c r="C10" s="665">
        <f>_xll.RssMarket("5714","高値")</f>
        <v/>
      </c>
      <c r="D10" s="666">
        <f>C10-E10</f>
        <v/>
      </c>
      <c r="E10" s="32" t="n">
        <v>9763</v>
      </c>
      <c r="F10" s="32" t="n">
        <v>9607</v>
      </c>
      <c r="G10" s="32" t="n">
        <v>9864</v>
      </c>
      <c r="H10" s="32" t="n">
        <v>9927</v>
      </c>
      <c r="I10" s="32" t="n">
        <v>9915</v>
      </c>
      <c r="J10" s="32" t="n">
        <v>9919</v>
      </c>
      <c r="K10" s="32" t="n">
        <v>9464</v>
      </c>
      <c r="L10" s="32" t="n">
        <v>8955</v>
      </c>
      <c r="M10" s="32" t="n">
        <v>9159</v>
      </c>
      <c r="N10" s="32" t="n">
        <v>9718</v>
      </c>
      <c r="O10" s="32" t="n">
        <v>10105</v>
      </c>
      <c r="P10" s="32" t="n">
        <v>10180</v>
      </c>
      <c r="Q10" s="32" t="n">
        <v>10570</v>
      </c>
      <c r="R10" s="32" t="n">
        <v>10275</v>
      </c>
      <c r="S10" s="32" t="n">
        <v>10700</v>
      </c>
      <c r="T10" s="32" t="n">
        <v>10805</v>
      </c>
      <c r="U10" s="32" t="n">
        <v>11170</v>
      </c>
      <c r="V10" s="32" t="n">
        <v>11090</v>
      </c>
      <c r="W10" s="32" t="n">
        <v>10485</v>
      </c>
      <c r="X10" s="32" t="n">
        <v>10355</v>
      </c>
      <c r="Y10" s="32" t="n">
        <v>10235</v>
      </c>
      <c r="Z10" s="32" t="n">
        <v>11125</v>
      </c>
      <c r="AA10" s="32" t="n">
        <v>11550</v>
      </c>
      <c r="AB10" s="32" t="n">
        <v>12380</v>
      </c>
      <c r="AC10" s="32" t="n">
        <v>10555</v>
      </c>
      <c r="AD10" s="32" t="n">
        <v>10685</v>
      </c>
      <c r="AE10" s="32" t="n">
        <v>10640</v>
      </c>
      <c r="AF10" s="32" t="n">
        <v>10565</v>
      </c>
      <c r="AG10" s="32" t="n">
        <v>10180</v>
      </c>
      <c r="AH10" s="32" t="n">
        <v>9878</v>
      </c>
      <c r="AI10" s="32" t="n">
        <v>9574</v>
      </c>
      <c r="AJ10" s="32" t="n">
        <v>9566</v>
      </c>
      <c r="AK10" s="32" t="n">
        <v>9740</v>
      </c>
      <c r="AL10" s="32" t="n">
        <v>9653</v>
      </c>
      <c r="AM10" s="32" t="n">
        <v>9742</v>
      </c>
      <c r="AN10" s="32" t="n">
        <v>9903</v>
      </c>
      <c r="AO10" s="32" t="n">
        <v>9827</v>
      </c>
      <c r="AP10" s="32" t="n">
        <v>9998</v>
      </c>
      <c r="AQ10" s="32" t="n">
        <v>10040</v>
      </c>
      <c r="AR10" s="32" t="n">
        <v>10215</v>
      </c>
      <c r="AS10" s="32" t="n">
        <v>10385</v>
      </c>
      <c r="AT10" s="32" t="n">
        <v>10295</v>
      </c>
      <c r="AU10" s="32" t="n">
        <v>10060</v>
      </c>
      <c r="AV10" s="32" t="n">
        <v>9791</v>
      </c>
      <c r="AW10" s="32" t="n">
        <v>9900</v>
      </c>
      <c r="AX10" s="32" t="n">
        <v>9952</v>
      </c>
      <c r="AY10" s="32" t="n">
        <v>9891</v>
      </c>
      <c r="AZ10" s="32" t="n">
        <v>9309</v>
      </c>
      <c r="BA10" s="32" t="n">
        <v>9255</v>
      </c>
      <c r="BB10" s="32" t="n">
        <v>9196</v>
      </c>
      <c r="BC10" s="32" t="n">
        <v>9478</v>
      </c>
      <c r="BD10" s="32" t="n">
        <v>9271</v>
      </c>
      <c r="BE10" s="32" t="n">
        <v>8912</v>
      </c>
      <c r="BF10" s="32" t="n">
        <v>8964</v>
      </c>
      <c r="BG10" s="32" t="n">
        <v>9435</v>
      </c>
      <c r="BH10" s="32" t="n">
        <v>9515</v>
      </c>
      <c r="BI10" s="32" t="n">
        <v>9394</v>
      </c>
      <c r="BJ10" s="32" t="n">
        <v>9084</v>
      </c>
      <c r="BK10" s="32" t="n">
        <v>8800</v>
      </c>
      <c r="BL10" s="33" t="n">
        <v>9678</v>
      </c>
    </row>
    <row r="11" ht="15.95" customHeight="1" s="574">
      <c r="A11" s="68" t="inlineStr">
        <is>
          <t>6701</t>
        </is>
      </c>
      <c r="B11" s="28" t="inlineStr">
        <is>
          <t>日本電気</t>
        </is>
      </c>
      <c r="C11" s="665">
        <f>_xll.RssMarket("6701","高値")</f>
        <v/>
      </c>
      <c r="D11" s="666">
        <f>C11-E11</f>
        <v/>
      </c>
      <c r="E11" s="32" t="n">
        <v>3778</v>
      </c>
      <c r="F11" s="32" t="n">
        <v>3789</v>
      </c>
      <c r="G11" s="32" t="n">
        <v>4020</v>
      </c>
      <c r="H11" s="32" t="n">
        <v>3891</v>
      </c>
      <c r="I11" s="32" t="n">
        <v>3860</v>
      </c>
      <c r="J11" s="32" t="n">
        <v>3930</v>
      </c>
      <c r="K11" s="32" t="n">
        <v>4027</v>
      </c>
      <c r="L11" s="32" t="n">
        <v>4107</v>
      </c>
      <c r="M11" s="32" t="n">
        <v>4080</v>
      </c>
      <c r="N11" s="32" t="n">
        <v>4236</v>
      </c>
      <c r="O11" s="32" t="n">
        <v>4315</v>
      </c>
      <c r="P11" s="32" t="n">
        <v>4292</v>
      </c>
      <c r="Q11" s="32" t="n">
        <v>4314</v>
      </c>
      <c r="R11" s="32" t="n">
        <v>4470</v>
      </c>
      <c r="S11" s="32" t="n">
        <v>4277</v>
      </c>
      <c r="T11" s="32" t="n">
        <v>4201</v>
      </c>
      <c r="U11" s="32" t="n">
        <v>4154</v>
      </c>
      <c r="V11" s="32" t="n">
        <v>4143</v>
      </c>
      <c r="W11" s="32" t="n">
        <v>4155</v>
      </c>
      <c r="X11" s="32" t="n">
        <v>4245</v>
      </c>
      <c r="Y11" s="32" t="n">
        <v>4312</v>
      </c>
      <c r="Z11" s="32" t="n">
        <v>4372</v>
      </c>
      <c r="AA11" s="32" t="n">
        <v>4184</v>
      </c>
      <c r="AB11" s="32" t="n">
        <v>4142</v>
      </c>
      <c r="AC11" s="32" t="n">
        <v>4115</v>
      </c>
      <c r="AD11" s="32" t="n">
        <v>4359</v>
      </c>
      <c r="AE11" s="32" t="n">
        <v>4172</v>
      </c>
      <c r="AF11" s="32" t="n">
        <v>4246</v>
      </c>
      <c r="AG11" s="32" t="n">
        <v>4110</v>
      </c>
      <c r="AH11" s="32" t="n">
        <v>4092</v>
      </c>
      <c r="AI11" s="32" t="n">
        <v>4202</v>
      </c>
      <c r="AJ11" s="32" t="n">
        <v>4707</v>
      </c>
      <c r="AK11" s="32" t="n">
        <v>4613</v>
      </c>
      <c r="AL11" s="32" t="n">
        <v>4448</v>
      </c>
      <c r="AM11" s="32" t="n">
        <v>4530</v>
      </c>
      <c r="AN11" s="32" t="n">
        <v>4493</v>
      </c>
      <c r="AO11" s="32" t="n">
        <v>4358</v>
      </c>
      <c r="AP11" s="32" t="n">
        <v>4430</v>
      </c>
      <c r="AQ11" s="32" t="n">
        <v>4447</v>
      </c>
      <c r="AR11" s="32" t="n">
        <v>4323</v>
      </c>
      <c r="AS11" s="32" t="n">
        <v>4173</v>
      </c>
      <c r="AT11" s="32" t="n">
        <v>3931</v>
      </c>
      <c r="AU11" s="32" t="n">
        <v>3981</v>
      </c>
      <c r="AV11" s="32" t="n">
        <v>4143</v>
      </c>
      <c r="AW11" s="32" t="n">
        <v>4197</v>
      </c>
      <c r="AX11" s="32" t="n">
        <v>4086</v>
      </c>
      <c r="AY11" s="32" t="n">
        <v>4072</v>
      </c>
      <c r="AZ11" s="32" t="n">
        <v>4086</v>
      </c>
      <c r="BA11" s="32" t="n">
        <v>4086</v>
      </c>
      <c r="BB11" s="32" t="n">
        <v>4098</v>
      </c>
      <c r="BC11" s="32" t="n">
        <v>4098</v>
      </c>
      <c r="BD11" s="32" t="n">
        <v>4025</v>
      </c>
      <c r="BE11" s="32" t="n">
        <v>4025</v>
      </c>
      <c r="BF11" s="32" t="n">
        <v>4025</v>
      </c>
      <c r="BG11" s="32" t="n">
        <v>3912</v>
      </c>
      <c r="BH11" s="32" t="n">
        <v>3912</v>
      </c>
      <c r="BI11" s="32" t="n">
        <v>3912</v>
      </c>
      <c r="BJ11" s="32" t="n">
        <v>3808</v>
      </c>
      <c r="BK11" s="32" t="n">
        <v>3808</v>
      </c>
      <c r="BL11" s="33" t="n">
        <v>3808</v>
      </c>
    </row>
    <row r="12" ht="15.95" customHeight="1" s="574">
      <c r="A12" s="68" t="inlineStr">
        <is>
          <t>1605</t>
        </is>
      </c>
      <c r="B12" s="28" t="inlineStr">
        <is>
          <t>ＩＮＰＥＸ</t>
        </is>
      </c>
      <c r="C12" s="665">
        <f>_xll.RssMarket("1605","高値")</f>
        <v/>
      </c>
      <c r="D12" s="666">
        <f>C12-E12</f>
        <v/>
      </c>
      <c r="E12" s="32" t="n">
        <v>3502</v>
      </c>
      <c r="F12" s="32" t="n">
        <v>3500</v>
      </c>
      <c r="G12" s="32" t="n">
        <v>3505</v>
      </c>
      <c r="H12" s="32" t="n">
        <v>3428</v>
      </c>
      <c r="I12" s="32" t="n">
        <v>3475</v>
      </c>
      <c r="J12" s="32" t="n">
        <v>3636</v>
      </c>
      <c r="K12" s="32" t="n">
        <v>3588</v>
      </c>
      <c r="L12" s="32" t="n">
        <v>3649</v>
      </c>
      <c r="M12" s="32" t="n">
        <v>3553</v>
      </c>
      <c r="N12" s="32" t="n">
        <v>3690</v>
      </c>
      <c r="O12" s="32" t="n">
        <v>3726</v>
      </c>
      <c r="P12" s="32" t="n">
        <v>3660</v>
      </c>
      <c r="Q12" s="32" t="n">
        <v>3732</v>
      </c>
      <c r="R12" s="32" t="n">
        <v>3597</v>
      </c>
      <c r="S12" s="32" t="n">
        <v>3643</v>
      </c>
      <c r="T12" s="32" t="n">
        <v>3722</v>
      </c>
      <c r="U12" s="32" t="n">
        <v>3727</v>
      </c>
      <c r="V12" s="32" t="n">
        <v>3791</v>
      </c>
      <c r="W12" s="32" t="n">
        <v>3849</v>
      </c>
      <c r="X12" s="32" t="n">
        <v>3934</v>
      </c>
      <c r="Y12" s="32" t="n">
        <v>4026</v>
      </c>
      <c r="Z12" s="32" t="n">
        <v>4049</v>
      </c>
      <c r="AA12" s="32" t="n">
        <v>4002</v>
      </c>
      <c r="AB12" s="32" t="n">
        <v>3921</v>
      </c>
      <c r="AC12" s="32" t="n">
        <v>4007</v>
      </c>
      <c r="AD12" s="32" t="n">
        <v>3988</v>
      </c>
      <c r="AE12" s="32" t="n">
        <v>3910</v>
      </c>
      <c r="AF12" s="32" t="n">
        <v>3820</v>
      </c>
      <c r="AG12" s="32" t="n">
        <v>3912</v>
      </c>
      <c r="AH12" s="32" t="n">
        <v>4165</v>
      </c>
      <c r="AI12" s="32" t="n">
        <v>4180</v>
      </c>
      <c r="AJ12" s="32" t="n">
        <v>4123</v>
      </c>
      <c r="AK12" s="32" t="n">
        <v>3984</v>
      </c>
      <c r="AL12" s="32" t="n">
        <v>4098</v>
      </c>
      <c r="AM12" s="32" t="n">
        <v>3988</v>
      </c>
      <c r="AN12" s="32" t="n">
        <v>3912</v>
      </c>
      <c r="AO12" s="32" t="n">
        <v>3885</v>
      </c>
      <c r="AP12" s="32" t="n">
        <v>3959</v>
      </c>
      <c r="AQ12" s="32" t="n">
        <v>4029</v>
      </c>
      <c r="AR12" s="32" t="n">
        <v>4063</v>
      </c>
      <c r="AS12" s="32" t="n">
        <v>4133</v>
      </c>
      <c r="AT12" s="32" t="n">
        <v>4232</v>
      </c>
      <c r="AU12" s="32" t="n">
        <v>4388</v>
      </c>
      <c r="AV12" s="32" t="n">
        <v>4259</v>
      </c>
      <c r="AW12" s="32" t="n">
        <v>4279</v>
      </c>
      <c r="AX12" s="32" t="n">
        <v>4306</v>
      </c>
      <c r="AY12" s="32" t="n">
        <v>4634</v>
      </c>
      <c r="AZ12" s="32" t="n">
        <v>4773</v>
      </c>
      <c r="BA12" s="32" t="n">
        <v>4680</v>
      </c>
      <c r="BB12" s="32" t="n">
        <v>4705</v>
      </c>
      <c r="BC12" s="32" t="n">
        <v>4725</v>
      </c>
      <c r="BD12" s="32" t="n">
        <v>4932</v>
      </c>
      <c r="BE12" s="32" t="n">
        <v>4955</v>
      </c>
      <c r="BF12" s="32" t="n">
        <v>4900</v>
      </c>
      <c r="BG12" s="32" t="n">
        <v>4695</v>
      </c>
      <c r="BH12" s="32" t="n">
        <v>4624</v>
      </c>
      <c r="BI12" s="32" t="n">
        <v>4617</v>
      </c>
      <c r="BJ12" s="32" t="n">
        <v>4607</v>
      </c>
      <c r="BK12" s="32" t="n">
        <v>4801</v>
      </c>
      <c r="BL12" s="33" t="n">
        <v>4720</v>
      </c>
    </row>
    <row r="13" ht="15.95" customHeight="1" s="574">
      <c r="A13" s="68" t="inlineStr">
        <is>
          <t>5703</t>
        </is>
      </c>
      <c r="B13" s="28" t="inlineStr">
        <is>
          <t>日本軽金属ＨＤ</t>
        </is>
      </c>
      <c r="C13" s="665">
        <f>_xll.RssMarket("5703","高値")</f>
        <v/>
      </c>
      <c r="D13" s="666">
        <f>C13-E13</f>
        <v/>
      </c>
      <c r="E13" s="32" t="n">
        <v>3035</v>
      </c>
      <c r="F13" s="32" t="n">
        <v>3000</v>
      </c>
      <c r="G13" s="32" t="n">
        <v>3005</v>
      </c>
      <c r="H13" s="32" t="n">
        <v>3065</v>
      </c>
      <c r="I13" s="32" t="n">
        <v>3085</v>
      </c>
      <c r="J13" s="32" t="n">
        <v>3130</v>
      </c>
      <c r="K13" s="32" t="n">
        <v>3105</v>
      </c>
      <c r="L13" s="32" t="n">
        <v>3005</v>
      </c>
      <c r="M13" s="32" t="n">
        <v>3140</v>
      </c>
      <c r="N13" s="32" t="n">
        <v>3205</v>
      </c>
      <c r="O13" s="32" t="n">
        <v>3255</v>
      </c>
      <c r="P13" s="32" t="n">
        <v>3275</v>
      </c>
      <c r="Q13" s="32" t="n">
        <v>3290</v>
      </c>
      <c r="R13" s="32" t="n">
        <v>3190</v>
      </c>
      <c r="S13" s="32" t="n">
        <v>3270</v>
      </c>
      <c r="T13" s="32" t="n">
        <v>3195</v>
      </c>
      <c r="U13" s="32" t="n">
        <v>3325</v>
      </c>
      <c r="V13" s="32" t="n">
        <v>3330</v>
      </c>
      <c r="W13" s="32" t="n">
        <v>3140</v>
      </c>
      <c r="X13" s="32" t="n">
        <v>3125</v>
      </c>
      <c r="Y13" s="32" t="n">
        <v>3070</v>
      </c>
      <c r="Z13" s="32" t="n">
        <v>3140</v>
      </c>
      <c r="AA13" s="32" t="n">
        <v>3200</v>
      </c>
      <c r="AB13" s="32" t="n">
        <v>3260</v>
      </c>
      <c r="AC13" s="32" t="n">
        <v>3080</v>
      </c>
      <c r="AD13" s="32" t="n">
        <v>2965</v>
      </c>
      <c r="AE13" s="32" t="n">
        <v>2971</v>
      </c>
      <c r="AF13" s="32" t="n">
        <v>2966</v>
      </c>
      <c r="AG13" s="32" t="n">
        <v>2928</v>
      </c>
      <c r="AH13" s="32" t="n">
        <v>2939</v>
      </c>
      <c r="AI13" s="32" t="n">
        <v>2834</v>
      </c>
      <c r="AJ13" s="32" t="n">
        <v>2854</v>
      </c>
      <c r="AK13" s="32" t="n">
        <v>2880</v>
      </c>
      <c r="AL13" s="32" t="n">
        <v>2909</v>
      </c>
      <c r="AM13" s="32" t="n">
        <v>2879</v>
      </c>
      <c r="AN13" s="32" t="n">
        <v>2918</v>
      </c>
      <c r="AO13" s="32" t="n">
        <v>2939</v>
      </c>
      <c r="AP13" s="32" t="n">
        <v>3025</v>
      </c>
      <c r="AQ13" s="32" t="n">
        <v>3005</v>
      </c>
      <c r="AR13" s="32" t="n">
        <v>3035</v>
      </c>
      <c r="AS13" s="32" t="n">
        <v>3050</v>
      </c>
      <c r="AT13" s="32" t="n">
        <v>3090</v>
      </c>
      <c r="AU13" s="32" t="n">
        <v>3095</v>
      </c>
      <c r="AV13" s="32" t="n">
        <v>3030</v>
      </c>
      <c r="AW13" s="32" t="n">
        <v>3000</v>
      </c>
      <c r="AX13" s="32" t="n">
        <v>2988</v>
      </c>
      <c r="AY13" s="32" t="n">
        <v>2993</v>
      </c>
      <c r="AZ13" s="32" t="n">
        <v>2900</v>
      </c>
      <c r="BA13" s="32" t="n">
        <v>2916</v>
      </c>
      <c r="BB13" s="32" t="n">
        <v>2879</v>
      </c>
      <c r="BC13" s="32" t="n">
        <v>2917</v>
      </c>
      <c r="BD13" s="32" t="n">
        <v>2880</v>
      </c>
      <c r="BE13" s="32" t="n">
        <v>2794</v>
      </c>
      <c r="BF13" s="32" t="n">
        <v>2663</v>
      </c>
      <c r="BG13" s="32" t="n">
        <v>2732</v>
      </c>
      <c r="BH13" s="32" t="n">
        <v>2761</v>
      </c>
      <c r="BI13" s="32" t="n">
        <v>2746</v>
      </c>
      <c r="BJ13" s="32" t="n">
        <v>2666</v>
      </c>
      <c r="BK13" s="32" t="n">
        <v>2590</v>
      </c>
      <c r="BL13" s="33" t="n">
        <v>2799</v>
      </c>
    </row>
    <row r="14" ht="15.95" customHeight="1" s="574">
      <c r="A14" s="68" t="inlineStr">
        <is>
          <t>8002</t>
        </is>
      </c>
      <c r="B14" s="28" t="inlineStr">
        <is>
          <t>丸紅</t>
        </is>
      </c>
      <c r="C14" s="665">
        <f>_xll.RssMarket("8002","高値")</f>
        <v/>
      </c>
      <c r="D14" s="666">
        <f>C14-E14</f>
        <v/>
      </c>
      <c r="E14" s="32" t="n">
        <v>4930</v>
      </c>
      <c r="F14" s="32" t="n">
        <v>4907</v>
      </c>
      <c r="G14" s="32" t="n">
        <v>4993</v>
      </c>
      <c r="H14" s="32" t="n">
        <v>5019</v>
      </c>
      <c r="I14" s="32" t="n">
        <v>5058</v>
      </c>
      <c r="J14" s="32" t="n">
        <v>5174</v>
      </c>
      <c r="K14" s="32" t="n">
        <v>4951</v>
      </c>
      <c r="L14" s="32" t="n">
        <v>4825</v>
      </c>
      <c r="M14" s="32" t="n">
        <v>4880</v>
      </c>
      <c r="N14" s="32" t="n">
        <v>4996</v>
      </c>
      <c r="O14" s="32" t="n">
        <v>5089</v>
      </c>
      <c r="P14" s="32" t="n">
        <v>5065</v>
      </c>
      <c r="Q14" s="32" t="n">
        <v>5039</v>
      </c>
      <c r="R14" s="32" t="n">
        <v>4940</v>
      </c>
      <c r="S14" s="32" t="n">
        <v>5259</v>
      </c>
      <c r="T14" s="32" t="n">
        <v>5264</v>
      </c>
      <c r="U14" s="32" t="n">
        <v>5411</v>
      </c>
      <c r="V14" s="32" t="n">
        <v>5367</v>
      </c>
      <c r="W14" s="32" t="n">
        <v>5356</v>
      </c>
      <c r="X14" s="32" t="n">
        <v>5477</v>
      </c>
      <c r="Y14" s="32" t="n">
        <v>5486</v>
      </c>
      <c r="Z14" s="32" t="n">
        <v>5725</v>
      </c>
      <c r="AA14" s="32" t="n">
        <v>5849</v>
      </c>
      <c r="AB14" s="32" t="n">
        <v>6078</v>
      </c>
      <c r="AC14" s="32" t="n">
        <v>5928</v>
      </c>
      <c r="AD14" s="32" t="n">
        <v>5818</v>
      </c>
      <c r="AE14" s="32" t="n">
        <v>5608</v>
      </c>
      <c r="AF14" s="32" t="n">
        <v>5509</v>
      </c>
      <c r="AG14" s="32" t="n">
        <v>5535</v>
      </c>
      <c r="AH14" s="32" t="n">
        <v>5749</v>
      </c>
      <c r="AI14" s="32" t="n">
        <v>6160</v>
      </c>
      <c r="AJ14" s="32" t="n">
        <v>6099</v>
      </c>
      <c r="AK14" s="32" t="n">
        <v>6106</v>
      </c>
      <c r="AL14" s="32" t="n">
        <v>5966</v>
      </c>
      <c r="AM14" s="32" t="n">
        <v>6075</v>
      </c>
      <c r="AN14" s="32" t="n">
        <v>5986</v>
      </c>
      <c r="AO14" s="32" t="n">
        <v>5961</v>
      </c>
      <c r="AP14" s="32" t="n">
        <v>6020</v>
      </c>
      <c r="AQ14" s="32" t="n">
        <v>5973</v>
      </c>
      <c r="AR14" s="32" t="n">
        <v>6040</v>
      </c>
      <c r="AS14" s="32" t="n">
        <v>6049</v>
      </c>
      <c r="AT14" s="32" t="n">
        <v>6018</v>
      </c>
      <c r="AU14" s="32" t="n">
        <v>6033</v>
      </c>
      <c r="AV14" s="32" t="n">
        <v>6010</v>
      </c>
      <c r="AW14" s="32" t="n">
        <v>6071</v>
      </c>
      <c r="AX14" s="32" t="n">
        <v>6180</v>
      </c>
      <c r="AY14" s="32" t="n">
        <v>6230</v>
      </c>
      <c r="AZ14" s="32" t="n">
        <v>5972</v>
      </c>
      <c r="BA14" s="32" t="n">
        <v>6019</v>
      </c>
      <c r="BB14" s="32" t="n">
        <v>6027</v>
      </c>
      <c r="BC14" s="32" t="n">
        <v>6108</v>
      </c>
      <c r="BD14" s="32" t="n">
        <v>5993</v>
      </c>
      <c r="BE14" s="32" t="n">
        <v>5740</v>
      </c>
      <c r="BF14" s="32" t="n">
        <v>5766</v>
      </c>
      <c r="BG14" s="32" t="n">
        <v>5764</v>
      </c>
      <c r="BH14" s="32" t="n">
        <v>5732</v>
      </c>
      <c r="BI14" s="32" t="n">
        <v>5629</v>
      </c>
      <c r="BJ14" s="32" t="n">
        <v>5376</v>
      </c>
      <c r="BK14" s="32" t="n">
        <v>5268</v>
      </c>
      <c r="BL14" s="33" t="n">
        <v>5700</v>
      </c>
    </row>
    <row r="15" ht="15.95" customHeight="1" s="574">
      <c r="A15" s="68" t="inlineStr">
        <is>
          <t>5021</t>
        </is>
      </c>
      <c r="B15" s="28" t="inlineStr">
        <is>
          <t>コスモエネルギーＨＬＤＧＳ</t>
        </is>
      </c>
      <c r="C15" s="665">
        <f>_xll.RssMarket("5021","高値")</f>
        <v/>
      </c>
      <c r="D15" s="666">
        <f>C15-E15</f>
        <v/>
      </c>
      <c r="E15" s="32" t="n">
        <v>3791</v>
      </c>
      <c r="F15" s="32" t="n">
        <v>3775</v>
      </c>
      <c r="G15" s="32" t="n">
        <v>3768</v>
      </c>
      <c r="H15" s="32" t="n">
        <v>3693</v>
      </c>
      <c r="I15" s="32" t="n">
        <v>3699</v>
      </c>
      <c r="J15" s="32" t="n">
        <v>3707</v>
      </c>
      <c r="K15" s="32" t="n">
        <v>3584</v>
      </c>
      <c r="L15" s="32" t="n">
        <v>3540</v>
      </c>
      <c r="M15" s="32" t="n">
        <v>3500</v>
      </c>
      <c r="N15" s="32" t="n">
        <v>3592</v>
      </c>
      <c r="O15" s="32" t="n">
        <v>3688</v>
      </c>
      <c r="P15" s="32" t="n">
        <v>3790</v>
      </c>
      <c r="Q15" s="32" t="n">
        <v>3835</v>
      </c>
      <c r="R15" s="32" t="n">
        <v>3746</v>
      </c>
      <c r="S15" s="32" t="n">
        <v>3789</v>
      </c>
      <c r="T15" s="32" t="n">
        <v>3729</v>
      </c>
      <c r="U15" s="32" t="n">
        <v>3686</v>
      </c>
      <c r="V15" s="32" t="n">
        <v>3772</v>
      </c>
      <c r="W15" s="32" t="n">
        <v>3717</v>
      </c>
      <c r="X15" s="32" t="n">
        <v>3766</v>
      </c>
      <c r="Y15" s="32" t="n">
        <v>3788</v>
      </c>
      <c r="Z15" s="32" t="n">
        <v>3799</v>
      </c>
      <c r="AA15" s="32" t="n">
        <v>3870</v>
      </c>
      <c r="AB15" s="32" t="n">
        <v>3885</v>
      </c>
      <c r="AC15" s="32" t="n">
        <v>3893</v>
      </c>
      <c r="AD15" s="32" t="n">
        <v>3916</v>
      </c>
      <c r="AE15" s="32" t="n">
        <v>4001</v>
      </c>
      <c r="AF15" s="32" t="n">
        <v>4016</v>
      </c>
      <c r="AG15" s="32" t="n">
        <v>3975</v>
      </c>
      <c r="AH15" s="32" t="n">
        <v>3951</v>
      </c>
      <c r="AI15" s="32" t="n">
        <v>3996</v>
      </c>
      <c r="AJ15" s="32" t="n">
        <v>4011</v>
      </c>
      <c r="AK15" s="32" t="n">
        <v>3985</v>
      </c>
      <c r="AL15" s="32" t="n">
        <v>3946</v>
      </c>
      <c r="AM15" s="32" t="n">
        <v>4038</v>
      </c>
      <c r="AN15" s="32" t="n">
        <v>4021</v>
      </c>
      <c r="AO15" s="32" t="n">
        <v>4236</v>
      </c>
      <c r="AP15" s="32" t="n">
        <v>4288</v>
      </c>
      <c r="AQ15" s="32" t="n">
        <v>4316</v>
      </c>
      <c r="AR15" s="32" t="n">
        <v>4400</v>
      </c>
      <c r="AS15" s="32" t="n">
        <v>4406</v>
      </c>
      <c r="AT15" s="32" t="n">
        <v>4393</v>
      </c>
      <c r="AU15" s="32" t="n">
        <v>4393</v>
      </c>
      <c r="AV15" s="32" t="n">
        <v>4467</v>
      </c>
      <c r="AW15" s="32" t="n">
        <v>4548</v>
      </c>
      <c r="AX15" s="32" t="n">
        <v>4580</v>
      </c>
      <c r="AY15" s="32" t="n">
        <v>4570</v>
      </c>
      <c r="AZ15" s="32" t="n">
        <v>4566</v>
      </c>
      <c r="BA15" s="32" t="n">
        <v>4561</v>
      </c>
      <c r="BB15" s="32" t="n">
        <v>4530</v>
      </c>
      <c r="BC15" s="32" t="n">
        <v>4579</v>
      </c>
      <c r="BD15" s="32" t="n">
        <v>4556</v>
      </c>
      <c r="BE15" s="32" t="n">
        <v>4578</v>
      </c>
      <c r="BF15" s="32" t="n">
        <v>4573</v>
      </c>
      <c r="BG15" s="32" t="n">
        <v>4622</v>
      </c>
      <c r="BH15" s="32" t="n">
        <v>4603</v>
      </c>
      <c r="BI15" s="32" t="n">
        <v>4650</v>
      </c>
      <c r="BJ15" s="32" t="n">
        <v>4581</v>
      </c>
      <c r="BK15" s="32" t="n">
        <v>4540</v>
      </c>
      <c r="BL15" s="33" t="n">
        <v>4674</v>
      </c>
    </row>
    <row r="16" ht="15.95" customHeight="1" s="574">
      <c r="A16" s="68" t="inlineStr">
        <is>
          <t>8058</t>
        </is>
      </c>
      <c r="B16" s="28" t="inlineStr">
        <is>
          <t>三菱商事</t>
        </is>
      </c>
      <c r="C16" s="665">
        <f>_xll.RssMarket("8058","高値")</f>
        <v/>
      </c>
      <c r="D16" s="666">
        <f>C16-E16</f>
        <v/>
      </c>
      <c r="E16" s="32" t="n">
        <v>4614</v>
      </c>
      <c r="F16" s="32" t="n">
        <v>4541</v>
      </c>
      <c r="G16" s="32" t="n">
        <v>4669</v>
      </c>
      <c r="H16" s="32" t="n">
        <v>4672</v>
      </c>
      <c r="I16" s="32" t="n">
        <v>4739</v>
      </c>
      <c r="J16" s="32" t="n">
        <v>4872</v>
      </c>
      <c r="K16" s="32" t="n">
        <v>4712</v>
      </c>
      <c r="L16" s="32" t="n">
        <v>4608</v>
      </c>
      <c r="M16" s="32" t="n">
        <v>4755</v>
      </c>
      <c r="N16" s="32" t="n">
        <v>4849</v>
      </c>
      <c r="O16" s="32" t="n">
        <v>4967</v>
      </c>
      <c r="P16" s="32" t="n">
        <v>4999</v>
      </c>
      <c r="Q16" s="32" t="n">
        <v>5004</v>
      </c>
      <c r="R16" s="32" t="n">
        <v>5019</v>
      </c>
      <c r="S16" s="32" t="n">
        <v>5088</v>
      </c>
      <c r="T16" s="32" t="n">
        <v>5144</v>
      </c>
      <c r="U16" s="32" t="n">
        <v>5217</v>
      </c>
      <c r="V16" s="32" t="n">
        <v>5419</v>
      </c>
      <c r="W16" s="32" t="n">
        <v>5450</v>
      </c>
      <c r="X16" s="32" t="n">
        <v>5510</v>
      </c>
      <c r="Y16" s="32" t="n">
        <v>5582</v>
      </c>
      <c r="Z16" s="32" t="n">
        <v>5604</v>
      </c>
      <c r="AA16" s="32" t="n">
        <v>5800</v>
      </c>
      <c r="AB16" s="32" t="n">
        <v>6012</v>
      </c>
      <c r="AC16" s="32" t="n">
        <v>5939</v>
      </c>
      <c r="AD16" s="32" t="n">
        <v>5935</v>
      </c>
      <c r="AE16" s="32" t="n">
        <v>5508</v>
      </c>
      <c r="AF16" s="32" t="n">
        <v>5317</v>
      </c>
      <c r="AG16" s="32" t="n">
        <v>5350</v>
      </c>
      <c r="AH16" s="32" t="n">
        <v>5411</v>
      </c>
      <c r="AI16" s="32" t="n">
        <v>5445</v>
      </c>
      <c r="AJ16" s="32" t="n">
        <v>4990</v>
      </c>
      <c r="AK16" s="32" t="n">
        <v>4928</v>
      </c>
      <c r="AL16" s="32" t="n">
        <v>4849</v>
      </c>
      <c r="AM16" s="32" t="n">
        <v>4980</v>
      </c>
      <c r="AN16" s="32" t="n">
        <v>4828</v>
      </c>
      <c r="AO16" s="32" t="n">
        <v>4840</v>
      </c>
      <c r="AP16" s="32" t="n">
        <v>4914</v>
      </c>
      <c r="AQ16" s="32" t="n">
        <v>5016</v>
      </c>
      <c r="AR16" s="32" t="n">
        <v>5080</v>
      </c>
      <c r="AS16" s="32" t="n">
        <v>5099</v>
      </c>
      <c r="AT16" s="32" t="n">
        <v>5239</v>
      </c>
      <c r="AU16" s="32" t="n">
        <v>5330</v>
      </c>
      <c r="AV16" s="32" t="n">
        <v>5433</v>
      </c>
      <c r="AW16" s="32" t="n">
        <v>5449</v>
      </c>
      <c r="AX16" s="32" t="n">
        <v>5516</v>
      </c>
      <c r="AY16" s="32" t="n">
        <v>5651</v>
      </c>
      <c r="AZ16" s="32" t="n">
        <v>5488</v>
      </c>
      <c r="BA16" s="32" t="n">
        <v>5476</v>
      </c>
      <c r="BB16" s="32" t="n">
        <v>5490</v>
      </c>
      <c r="BC16" s="32" t="n">
        <v>5639</v>
      </c>
      <c r="BD16" s="32" t="n">
        <v>5495</v>
      </c>
      <c r="BE16" s="32" t="n">
        <v>5585</v>
      </c>
      <c r="BF16" s="32" t="n">
        <v>5726</v>
      </c>
      <c r="BG16" s="32" t="n">
        <v>5787</v>
      </c>
      <c r="BH16" s="32" t="n">
        <v>5660</v>
      </c>
      <c r="BI16" s="32" t="n">
        <v>5612</v>
      </c>
      <c r="BJ16" s="32" t="n">
        <v>5461</v>
      </c>
      <c r="BK16" s="32" t="n">
        <v>5301</v>
      </c>
      <c r="BL16" s="33" t="n">
        <v>5593</v>
      </c>
    </row>
    <row r="17" ht="15.95" customHeight="1" s="574">
      <c r="A17" s="68" t="inlineStr">
        <is>
          <t>5333</t>
        </is>
      </c>
      <c r="B17" s="28" t="inlineStr">
        <is>
          <t>ＮＧＫ</t>
        </is>
      </c>
      <c r="C17" s="665">
        <f>_xll.RssMarket("5333","高値")</f>
        <v/>
      </c>
      <c r="D17" s="666">
        <f>C17-E17</f>
        <v/>
      </c>
      <c r="E17" s="32" t="n">
        <v>7700</v>
      </c>
      <c r="F17" s="32" t="n">
        <v>7594</v>
      </c>
      <c r="G17" s="32" t="n">
        <v>7308</v>
      </c>
      <c r="H17" s="32" t="n">
        <v>6974</v>
      </c>
      <c r="I17" s="32" t="n">
        <v>6807</v>
      </c>
      <c r="J17" s="32" t="n">
        <v>6640</v>
      </c>
      <c r="K17" s="32" t="n">
        <v>6347</v>
      </c>
      <c r="L17" s="32" t="n">
        <v>5962</v>
      </c>
      <c r="M17" s="32" t="n">
        <v>6198</v>
      </c>
      <c r="N17" s="32" t="n">
        <v>6185</v>
      </c>
      <c r="O17" s="32" t="n">
        <v>6615</v>
      </c>
      <c r="P17" s="32" t="n">
        <v>6431</v>
      </c>
      <c r="Q17" s="32" t="n">
        <v>6538</v>
      </c>
      <c r="R17" s="32" t="n">
        <v>6350</v>
      </c>
      <c r="S17" s="32" t="n">
        <v>6395</v>
      </c>
      <c r="T17" s="32" t="n">
        <v>6143</v>
      </c>
      <c r="U17" s="32" t="n">
        <v>6483</v>
      </c>
      <c r="V17" s="32" t="n">
        <v>6260</v>
      </c>
      <c r="W17" s="32" t="n">
        <v>5912</v>
      </c>
      <c r="X17" s="32" t="n">
        <v>5742</v>
      </c>
      <c r="Y17" s="32" t="n">
        <v>5485</v>
      </c>
      <c r="Z17" s="32" t="n">
        <v>5678</v>
      </c>
      <c r="AA17" s="32" t="n">
        <v>5755</v>
      </c>
      <c r="AB17" s="32" t="n">
        <v>5892</v>
      </c>
      <c r="AC17" s="32" t="n">
        <v>5838</v>
      </c>
      <c r="AD17" s="32" t="n">
        <v>5749</v>
      </c>
      <c r="AE17" s="32" t="n">
        <v>5707</v>
      </c>
      <c r="AF17" s="32" t="n">
        <v>5604</v>
      </c>
      <c r="AG17" s="32" t="n">
        <v>5415</v>
      </c>
      <c r="AH17" s="32" t="n">
        <v>5420</v>
      </c>
      <c r="AI17" s="32" t="n">
        <v>5142</v>
      </c>
      <c r="AJ17" s="32" t="n">
        <v>5035</v>
      </c>
      <c r="AK17" s="32" t="n">
        <v>4680</v>
      </c>
      <c r="AL17" s="32" t="n">
        <v>4670</v>
      </c>
      <c r="AM17" s="32" t="n">
        <v>4470</v>
      </c>
      <c r="AN17" s="32" t="n">
        <v>4459</v>
      </c>
      <c r="AO17" s="32" t="n">
        <v>4528</v>
      </c>
      <c r="AP17" s="32" t="n">
        <v>4595</v>
      </c>
      <c r="AQ17" s="32" t="n">
        <v>4569</v>
      </c>
      <c r="AR17" s="32" t="n">
        <v>4537</v>
      </c>
      <c r="AS17" s="32" t="n">
        <v>4586</v>
      </c>
      <c r="AT17" s="32" t="n">
        <v>4553</v>
      </c>
      <c r="AU17" s="32" t="n">
        <v>4465</v>
      </c>
      <c r="AV17" s="32" t="n">
        <v>4474</v>
      </c>
      <c r="AW17" s="32" t="n">
        <v>4491</v>
      </c>
      <c r="AX17" s="32" t="n">
        <v>4453</v>
      </c>
      <c r="AY17" s="32" t="n">
        <v>4400</v>
      </c>
      <c r="AZ17" s="32" t="n">
        <v>4167</v>
      </c>
      <c r="BA17" s="32" t="n">
        <v>4183</v>
      </c>
      <c r="BB17" s="32" t="n">
        <v>4141</v>
      </c>
      <c r="BC17" s="32" t="n">
        <v>4244</v>
      </c>
      <c r="BD17" s="32" t="n">
        <v>4206</v>
      </c>
      <c r="BE17" s="32" t="n">
        <v>4061</v>
      </c>
      <c r="BF17" s="32" t="n">
        <v>4014</v>
      </c>
      <c r="BG17" s="32" t="n">
        <v>4164</v>
      </c>
      <c r="BH17" s="32" t="n">
        <v>4184</v>
      </c>
      <c r="BI17" s="32" t="n">
        <v>4172</v>
      </c>
      <c r="BJ17" s="32" t="n">
        <v>3957</v>
      </c>
      <c r="BK17" s="32" t="n">
        <v>3823</v>
      </c>
      <c r="BL17" s="33" t="n">
        <v>4043</v>
      </c>
    </row>
    <row r="18" ht="15.95" customHeight="1" s="574">
      <c r="A18" s="68" t="inlineStr">
        <is>
          <t>1662</t>
        </is>
      </c>
      <c r="B18" s="28" t="inlineStr">
        <is>
          <t>石油資源開発</t>
        </is>
      </c>
      <c r="C18" s="665">
        <f>_xll.RssMarket("1662","高値")</f>
        <v/>
      </c>
      <c r="D18" s="666">
        <f>C18-E18</f>
        <v/>
      </c>
      <c r="E18" s="32" t="n">
        <v>1644</v>
      </c>
      <c r="F18" s="32" t="n">
        <v>1637</v>
      </c>
      <c r="G18" s="32" t="n">
        <v>1681</v>
      </c>
      <c r="H18" s="32" t="n">
        <v>1660</v>
      </c>
      <c r="I18" s="32" t="n">
        <v>1663</v>
      </c>
      <c r="J18" s="32" t="n">
        <v>1697</v>
      </c>
      <c r="K18" s="32" t="n">
        <v>1662</v>
      </c>
      <c r="L18" s="32" t="n">
        <v>1718</v>
      </c>
      <c r="M18" s="32" t="n">
        <v>1733</v>
      </c>
      <c r="N18" s="32" t="n">
        <v>1749</v>
      </c>
      <c r="O18" s="32" t="n">
        <v>1769</v>
      </c>
      <c r="P18" s="32" t="n">
        <v>1749</v>
      </c>
      <c r="Q18" s="32" t="n">
        <v>1798</v>
      </c>
      <c r="R18" s="32" t="n">
        <v>1808</v>
      </c>
      <c r="S18" s="32" t="n">
        <v>1837</v>
      </c>
      <c r="T18" s="32" t="n">
        <v>1887</v>
      </c>
      <c r="U18" s="32" t="n">
        <v>1894</v>
      </c>
      <c r="V18" s="32" t="n">
        <v>1895</v>
      </c>
      <c r="W18" s="32" t="n">
        <v>1921</v>
      </c>
      <c r="X18" s="32" t="n">
        <v>1927</v>
      </c>
      <c r="Y18" s="32" t="n">
        <v>2046</v>
      </c>
      <c r="Z18" s="32" t="n">
        <v>1998</v>
      </c>
      <c r="AA18" s="32" t="n">
        <v>1989</v>
      </c>
      <c r="AB18" s="32" t="n">
        <v>2001</v>
      </c>
      <c r="AC18" s="32" t="n">
        <v>2012</v>
      </c>
      <c r="AD18" s="32" t="n">
        <v>2248</v>
      </c>
      <c r="AE18" s="32" t="n">
        <v>2211</v>
      </c>
      <c r="AF18" s="32" t="n">
        <v>2196</v>
      </c>
      <c r="AG18" s="32" t="n">
        <v>2165</v>
      </c>
      <c r="AH18" s="32" t="n">
        <v>2127</v>
      </c>
      <c r="AI18" s="32" t="n">
        <v>2254</v>
      </c>
      <c r="AJ18" s="32" t="n">
        <v>2339</v>
      </c>
      <c r="AK18" s="32" t="n">
        <v>2295</v>
      </c>
      <c r="AL18" s="32" t="n">
        <v>2230</v>
      </c>
      <c r="AM18" s="32" t="n">
        <v>2303</v>
      </c>
      <c r="AN18" s="32" t="n">
        <v>2323</v>
      </c>
      <c r="AO18" s="32" t="n">
        <v>2217</v>
      </c>
      <c r="AP18" s="32" t="n">
        <v>2176</v>
      </c>
      <c r="AQ18" s="32" t="n">
        <v>2265</v>
      </c>
      <c r="AR18" s="32" t="n">
        <v>2426</v>
      </c>
      <c r="AS18" s="32" t="n">
        <v>2419</v>
      </c>
      <c r="AT18" s="32" t="n">
        <v>2458</v>
      </c>
      <c r="AU18" s="32" t="n">
        <v>2512</v>
      </c>
      <c r="AV18" s="32" t="n">
        <v>2529</v>
      </c>
      <c r="AW18" s="32" t="n">
        <v>2525</v>
      </c>
      <c r="AX18" s="32" t="n">
        <v>2525</v>
      </c>
      <c r="AY18" s="32" t="n">
        <v>2504</v>
      </c>
      <c r="AZ18" s="32" t="n">
        <v>2609</v>
      </c>
      <c r="BA18" s="32" t="n">
        <v>2580</v>
      </c>
      <c r="BB18" s="32" t="n">
        <v>2580</v>
      </c>
      <c r="BC18" s="32" t="n">
        <v>2589</v>
      </c>
      <c r="BD18" s="32" t="n">
        <v>2625</v>
      </c>
      <c r="BE18" s="32" t="n">
        <v>2716</v>
      </c>
      <c r="BF18" s="32" t="n">
        <v>2716</v>
      </c>
      <c r="BG18" s="32" t="n">
        <v>2665</v>
      </c>
      <c r="BH18" s="32" t="n">
        <v>2612</v>
      </c>
      <c r="BI18" s="32" t="n">
        <v>2602</v>
      </c>
      <c r="BJ18" s="32" t="n">
        <v>2573</v>
      </c>
      <c r="BK18" s="32" t="n">
        <v>2627</v>
      </c>
      <c r="BL18" s="33" t="n">
        <v>2785</v>
      </c>
    </row>
    <row r="19" ht="15.95" customHeight="1" s="574">
      <c r="A19" s="68" t="inlineStr">
        <is>
          <t>8411</t>
        </is>
      </c>
      <c r="B19" s="28" t="inlineStr">
        <is>
          <t>みずほフィナンシャルＧ</t>
        </is>
      </c>
      <c r="C19" s="665">
        <f>_xll.RssMarket("8411","高値")</f>
        <v/>
      </c>
      <c r="D19" s="666">
        <f>C19-E19</f>
        <v/>
      </c>
      <c r="E19" s="32" t="n">
        <v>8067</v>
      </c>
      <c r="F19" s="32" t="n">
        <v>8259</v>
      </c>
      <c r="G19" s="32" t="n">
        <v>8304</v>
      </c>
      <c r="H19" s="32" t="n">
        <v>8120</v>
      </c>
      <c r="I19" s="32" t="n">
        <v>7845</v>
      </c>
      <c r="J19" s="32" t="n">
        <v>7958</v>
      </c>
      <c r="K19" s="32" t="n">
        <v>7706</v>
      </c>
      <c r="L19" s="32" t="n">
        <v>7479</v>
      </c>
      <c r="M19" s="32" t="n">
        <v>7855</v>
      </c>
      <c r="N19" s="32" t="n">
        <v>7686</v>
      </c>
      <c r="O19" s="32" t="n">
        <v>7966</v>
      </c>
      <c r="P19" s="32" t="n">
        <v>7796</v>
      </c>
      <c r="Q19" s="32" t="n">
        <v>7687</v>
      </c>
      <c r="R19" s="32" t="n">
        <v>7346</v>
      </c>
      <c r="S19" s="32" t="n">
        <v>7286</v>
      </c>
      <c r="T19" s="32" t="n">
        <v>7140</v>
      </c>
      <c r="U19" s="32" t="n">
        <v>7313</v>
      </c>
      <c r="V19" s="32" t="n">
        <v>7396</v>
      </c>
      <c r="W19" s="32" t="n">
        <v>7528</v>
      </c>
      <c r="X19" s="32" t="n">
        <v>7413</v>
      </c>
      <c r="Y19" s="32" t="n">
        <v>7130</v>
      </c>
      <c r="Z19" s="32" t="n">
        <v>6908</v>
      </c>
      <c r="AA19" s="32" t="n">
        <v>6583</v>
      </c>
      <c r="AB19" s="32" t="n">
        <v>7132</v>
      </c>
      <c r="AC19" s="32" t="n">
        <v>7124</v>
      </c>
      <c r="AD19" s="32" t="n">
        <v>7074</v>
      </c>
      <c r="AE19" s="32" t="n">
        <v>7006</v>
      </c>
      <c r="AF19" s="32" t="n">
        <v>6968</v>
      </c>
      <c r="AG19" s="32" t="n">
        <v>6807</v>
      </c>
      <c r="AH19" s="32" t="n">
        <v>6980</v>
      </c>
      <c r="AI19" s="32" t="n">
        <v>6731</v>
      </c>
      <c r="AJ19" s="32" t="n">
        <v>6919</v>
      </c>
      <c r="AK19" s="32" t="n">
        <v>6966</v>
      </c>
      <c r="AL19" s="32" t="n">
        <v>6663</v>
      </c>
      <c r="AM19" s="32" t="n">
        <v>6556</v>
      </c>
      <c r="AN19" s="32" t="n">
        <v>6601</v>
      </c>
      <c r="AO19" s="32" t="n">
        <v>6664</v>
      </c>
      <c r="AP19" s="32" t="n">
        <v>6775</v>
      </c>
      <c r="AQ19" s="32" t="n">
        <v>6888</v>
      </c>
      <c r="AR19" s="32" t="n">
        <v>6863</v>
      </c>
      <c r="AS19" s="32" t="n">
        <v>7029</v>
      </c>
      <c r="AT19" s="32" t="n">
        <v>7059</v>
      </c>
      <c r="AU19" s="32" t="n">
        <v>6858</v>
      </c>
      <c r="AV19" s="32" t="n">
        <v>6851</v>
      </c>
      <c r="AW19" s="32" t="n">
        <v>6809</v>
      </c>
      <c r="AX19" s="32" t="n">
        <v>6938</v>
      </c>
      <c r="AY19" s="32" t="n">
        <v>6950</v>
      </c>
      <c r="AZ19" s="32" t="n">
        <v>6584</v>
      </c>
      <c r="BA19" s="32" t="n">
        <v>6549</v>
      </c>
      <c r="BB19" s="32" t="n">
        <v>6558</v>
      </c>
      <c r="BC19" s="32" t="n">
        <v>6713</v>
      </c>
      <c r="BD19" s="32" t="n">
        <v>6630</v>
      </c>
      <c r="BE19" s="32" t="n">
        <v>6297</v>
      </c>
      <c r="BF19" s="32" t="n">
        <v>6158</v>
      </c>
      <c r="BG19" s="32" t="n">
        <v>6402</v>
      </c>
      <c r="BH19" s="32" t="n">
        <v>6497</v>
      </c>
      <c r="BI19" s="32" t="n">
        <v>6484</v>
      </c>
      <c r="BJ19" s="32" t="n">
        <v>6193</v>
      </c>
      <c r="BK19" s="32" t="n">
        <v>5973</v>
      </c>
      <c r="BL19" s="33" t="n">
        <v>6226</v>
      </c>
    </row>
    <row r="20" ht="15.95" customHeight="1" s="574">
      <c r="A20" s="68" t="inlineStr">
        <is>
          <t>5541</t>
        </is>
      </c>
      <c r="B20" s="28" t="inlineStr">
        <is>
          <t>大平洋金属</t>
        </is>
      </c>
      <c r="C20" s="665">
        <f>_xll.RssMarket("5541","高値")</f>
        <v/>
      </c>
      <c r="D20" s="666">
        <f>C20-E20</f>
        <v/>
      </c>
      <c r="E20" s="32" t="n">
        <v>2320</v>
      </c>
      <c r="F20" s="32" t="n">
        <v>2286</v>
      </c>
      <c r="G20" s="32" t="n">
        <v>2316</v>
      </c>
      <c r="H20" s="32" t="n">
        <v>2330</v>
      </c>
      <c r="I20" s="32" t="n">
        <v>2339</v>
      </c>
      <c r="J20" s="32" t="n">
        <v>2193</v>
      </c>
      <c r="K20" s="32" t="n">
        <v>2110</v>
      </c>
      <c r="L20" s="32" t="n">
        <v>2159</v>
      </c>
      <c r="M20" s="32" t="n">
        <v>2232</v>
      </c>
      <c r="N20" s="32" t="n">
        <v>2304</v>
      </c>
      <c r="O20" s="32" t="n">
        <v>2310</v>
      </c>
      <c r="P20" s="32" t="n">
        <v>2348</v>
      </c>
      <c r="Q20" s="32" t="n">
        <v>2256</v>
      </c>
      <c r="R20" s="32" t="n">
        <v>2362</v>
      </c>
      <c r="S20" s="32" t="n">
        <v>2278</v>
      </c>
      <c r="T20" s="32" t="n">
        <v>2388</v>
      </c>
      <c r="U20" s="32" t="n">
        <v>2247</v>
      </c>
      <c r="V20" s="32" t="n">
        <v>2180</v>
      </c>
      <c r="W20" s="32" t="n">
        <v>2181</v>
      </c>
      <c r="X20" s="32" t="n">
        <v>2203</v>
      </c>
      <c r="Y20" s="32" t="n">
        <v>2254</v>
      </c>
      <c r="Z20" s="32" t="n">
        <v>2403</v>
      </c>
      <c r="AA20" s="32" t="n">
        <v>2475</v>
      </c>
      <c r="AB20" s="32" t="n">
        <v>2477</v>
      </c>
      <c r="AC20" s="32" t="n">
        <v>2548</v>
      </c>
      <c r="AD20" s="32" t="n">
        <v>2678</v>
      </c>
      <c r="AE20" s="32" t="n">
        <v>2653</v>
      </c>
      <c r="AF20" s="32" t="n">
        <v>2669</v>
      </c>
      <c r="AG20" s="32" t="n">
        <v>2632</v>
      </c>
      <c r="AH20" s="32" t="n">
        <v>2559</v>
      </c>
      <c r="AI20" s="32" t="n">
        <v>2680</v>
      </c>
      <c r="AJ20" s="32" t="n">
        <v>2444</v>
      </c>
      <c r="AK20" s="32" t="n">
        <v>2488</v>
      </c>
      <c r="AL20" s="32" t="n">
        <v>2535</v>
      </c>
      <c r="AM20" s="32" t="n">
        <v>2519</v>
      </c>
      <c r="AN20" s="32" t="n">
        <v>2574</v>
      </c>
      <c r="AO20" s="32" t="n">
        <v>2597</v>
      </c>
      <c r="AP20" s="32" t="n">
        <v>2650</v>
      </c>
      <c r="AQ20" s="32" t="n">
        <v>2734</v>
      </c>
      <c r="AR20" s="32" t="n">
        <v>2738</v>
      </c>
      <c r="AS20" s="32" t="n">
        <v>2695</v>
      </c>
      <c r="AT20" s="32" t="n">
        <v>2675</v>
      </c>
      <c r="AU20" s="32" t="n">
        <v>2719</v>
      </c>
      <c r="AV20" s="32" t="n">
        <v>2808</v>
      </c>
      <c r="AW20" s="32" t="n">
        <v>2839</v>
      </c>
      <c r="AX20" s="32" t="n">
        <v>2694</v>
      </c>
      <c r="AY20" s="32" t="n">
        <v>2805</v>
      </c>
      <c r="AZ20" s="32" t="n">
        <v>2718</v>
      </c>
      <c r="BA20" s="32" t="n">
        <v>2800</v>
      </c>
      <c r="BB20" s="32" t="n">
        <v>2764</v>
      </c>
      <c r="BC20" s="32" t="n">
        <v>2711</v>
      </c>
      <c r="BD20" s="32" t="n">
        <v>2725</v>
      </c>
      <c r="BE20" s="32" t="n">
        <v>2849</v>
      </c>
      <c r="BF20" s="32" t="n">
        <v>2830</v>
      </c>
      <c r="BG20" s="32" t="n">
        <v>2886</v>
      </c>
      <c r="BH20" s="32" t="n">
        <v>2830</v>
      </c>
      <c r="BI20" s="32" t="n">
        <v>2780</v>
      </c>
      <c r="BJ20" s="32" t="n">
        <v>3175</v>
      </c>
      <c r="BK20" s="32" t="n">
        <v>3140</v>
      </c>
      <c r="BL20" s="33" t="n">
        <v>3125</v>
      </c>
    </row>
    <row r="21" ht="15.95" customHeight="1" s="574">
      <c r="A21" s="68" t="inlineStr">
        <is>
          <t>5332</t>
        </is>
      </c>
      <c r="B21" s="28" t="inlineStr">
        <is>
          <t>ＴＯＴＯ</t>
        </is>
      </c>
      <c r="C21" s="665">
        <f>_xll.RssMarket("5332","高値")</f>
        <v/>
      </c>
      <c r="D21" s="666">
        <f>C21-E21</f>
        <v/>
      </c>
      <c r="E21" s="32" t="n">
        <v>9360</v>
      </c>
      <c r="F21" s="32" t="n">
        <v>8620</v>
      </c>
      <c r="G21" s="32" t="n">
        <v>8326</v>
      </c>
      <c r="H21" s="32" t="n">
        <v>8297</v>
      </c>
      <c r="I21" s="32" t="n">
        <v>8362</v>
      </c>
      <c r="J21" s="32" t="n">
        <v>8241</v>
      </c>
      <c r="K21" s="32" t="n">
        <v>7799</v>
      </c>
      <c r="L21" s="32" t="n">
        <v>7511</v>
      </c>
      <c r="M21" s="32" t="n">
        <v>7609</v>
      </c>
      <c r="N21" s="32" t="n">
        <v>7709</v>
      </c>
      <c r="O21" s="32" t="n">
        <v>8185</v>
      </c>
      <c r="P21" s="32" t="n">
        <v>8332</v>
      </c>
      <c r="Q21" s="32" t="n">
        <v>8049</v>
      </c>
      <c r="R21" s="32" t="n">
        <v>7442</v>
      </c>
      <c r="S21" s="32" t="n">
        <v>7799</v>
      </c>
      <c r="T21" s="32" t="n">
        <v>7410</v>
      </c>
      <c r="U21" s="32" t="n">
        <v>7486</v>
      </c>
      <c r="V21" s="32" t="n">
        <v>7086</v>
      </c>
      <c r="W21" s="32" t="n">
        <v>6873</v>
      </c>
      <c r="X21" s="32" t="n">
        <v>6698</v>
      </c>
      <c r="Y21" s="32" t="n">
        <v>6625</v>
      </c>
      <c r="Z21" s="32" t="n">
        <v>6928</v>
      </c>
      <c r="AA21" s="32" t="n">
        <v>7171</v>
      </c>
      <c r="AB21" s="32" t="n">
        <v>7380</v>
      </c>
      <c r="AC21" s="32" t="n">
        <v>7289</v>
      </c>
      <c r="AD21" s="32" t="n">
        <v>6970</v>
      </c>
      <c r="AE21" s="32" t="n">
        <v>7270</v>
      </c>
      <c r="AF21" s="32" t="n">
        <v>7290</v>
      </c>
      <c r="AG21" s="32" t="n">
        <v>7104</v>
      </c>
      <c r="AH21" s="32" t="n">
        <v>7011</v>
      </c>
      <c r="AI21" s="32" t="n">
        <v>6425</v>
      </c>
      <c r="AJ21" s="32" t="n">
        <v>5497</v>
      </c>
      <c r="AK21" s="32" t="n">
        <v>5440</v>
      </c>
      <c r="AL21" s="32" t="n">
        <v>5459</v>
      </c>
      <c r="AM21" s="32" t="n">
        <v>5375</v>
      </c>
      <c r="AN21" s="32" t="n">
        <v>5260</v>
      </c>
      <c r="AO21" s="32" t="n">
        <v>5360</v>
      </c>
      <c r="AP21" s="32" t="n">
        <v>5524</v>
      </c>
      <c r="AQ21" s="32" t="n">
        <v>5630</v>
      </c>
      <c r="AR21" s="32" t="n">
        <v>5596</v>
      </c>
      <c r="AS21" s="32" t="n">
        <v>5765</v>
      </c>
      <c r="AT21" s="32" t="n">
        <v>5611</v>
      </c>
      <c r="AU21" s="32" t="n">
        <v>5565</v>
      </c>
      <c r="AV21" s="32" t="n">
        <v>5763</v>
      </c>
      <c r="AW21" s="32" t="n">
        <v>5794</v>
      </c>
      <c r="AX21" s="32" t="n">
        <v>5779</v>
      </c>
      <c r="AY21" s="32" t="n">
        <v>5722</v>
      </c>
      <c r="AZ21" s="32" t="n">
        <v>5475</v>
      </c>
      <c r="BA21" s="32" t="n">
        <v>5303</v>
      </c>
      <c r="BB21" s="32" t="n">
        <v>5252</v>
      </c>
      <c r="BC21" s="32" t="n">
        <v>5383</v>
      </c>
      <c r="BD21" s="32" t="n">
        <v>5297</v>
      </c>
      <c r="BE21" s="32" t="n">
        <v>5221</v>
      </c>
      <c r="BF21" s="32" t="n">
        <v>5297</v>
      </c>
      <c r="BG21" s="32" t="n">
        <v>5490</v>
      </c>
      <c r="BH21" s="32" t="n">
        <v>5946</v>
      </c>
      <c r="BI21" s="32" t="n">
        <v>5945</v>
      </c>
      <c r="BJ21" s="32" t="n">
        <v>5692</v>
      </c>
      <c r="BK21" s="32" t="n">
        <v>5588</v>
      </c>
      <c r="BL21" s="33" t="n">
        <v>5763</v>
      </c>
    </row>
    <row r="22" ht="15.95" customHeight="1" s="574">
      <c r="A22" s="68" t="inlineStr">
        <is>
          <t>8725</t>
        </is>
      </c>
      <c r="B22" s="28" t="inlineStr">
        <is>
          <t>ＭＳ＆ＡＤ</t>
        </is>
      </c>
      <c r="C22" s="665">
        <f>_xll.RssMarket("8725","高値")</f>
        <v/>
      </c>
      <c r="D22" s="666">
        <f>C22-E22</f>
        <v/>
      </c>
      <c r="E22" s="32" t="n">
        <v>4662</v>
      </c>
      <c r="F22" s="32" t="n">
        <v>4594</v>
      </c>
      <c r="G22" s="32" t="n">
        <v>4620</v>
      </c>
      <c r="H22" s="32" t="n">
        <v>4689</v>
      </c>
      <c r="I22" s="32" t="n">
        <v>4626</v>
      </c>
      <c r="J22" s="32" t="n">
        <v>4742</v>
      </c>
      <c r="K22" s="32" t="n">
        <v>4676</v>
      </c>
      <c r="L22" s="32" t="n">
        <v>4590</v>
      </c>
      <c r="M22" s="32" t="n">
        <v>4706</v>
      </c>
      <c r="N22" s="32" t="n">
        <v>4402</v>
      </c>
      <c r="O22" s="32" t="n">
        <v>4394</v>
      </c>
      <c r="P22" s="32" t="n">
        <v>4284</v>
      </c>
      <c r="Q22" s="32" t="n">
        <v>4365</v>
      </c>
      <c r="R22" s="32" t="n">
        <v>4298</v>
      </c>
      <c r="S22" s="32" t="n">
        <v>4333</v>
      </c>
      <c r="T22" s="32" t="n">
        <v>4288</v>
      </c>
      <c r="U22" s="32" t="n">
        <v>4295</v>
      </c>
      <c r="V22" s="32" t="n">
        <v>4245</v>
      </c>
      <c r="W22" s="32" t="n">
        <v>4341</v>
      </c>
      <c r="X22" s="32" t="n">
        <v>4475</v>
      </c>
      <c r="Y22" s="32" t="n">
        <v>4522</v>
      </c>
      <c r="Z22" s="32" t="n">
        <v>4536</v>
      </c>
      <c r="AA22" s="32" t="n">
        <v>4491</v>
      </c>
      <c r="AB22" s="32" t="n">
        <v>4437</v>
      </c>
      <c r="AC22" s="32" t="n">
        <v>4427</v>
      </c>
      <c r="AD22" s="32" t="n">
        <v>4415</v>
      </c>
      <c r="AE22" s="32" t="n">
        <v>4285</v>
      </c>
      <c r="AF22" s="32" t="n">
        <v>4032</v>
      </c>
      <c r="AG22" s="32" t="n">
        <v>4013</v>
      </c>
      <c r="AH22" s="32" t="n">
        <v>4044</v>
      </c>
      <c r="AI22" s="32" t="n">
        <v>4004</v>
      </c>
      <c r="AJ22" s="32" t="n">
        <v>4034</v>
      </c>
      <c r="AK22" s="32" t="n">
        <v>4028</v>
      </c>
      <c r="AL22" s="32" t="n">
        <v>3939</v>
      </c>
      <c r="AM22" s="32" t="n">
        <v>4001</v>
      </c>
      <c r="AN22" s="32" t="n">
        <v>3979</v>
      </c>
      <c r="AO22" s="32" t="n">
        <v>4036</v>
      </c>
      <c r="AP22" s="32" t="n">
        <v>4057</v>
      </c>
      <c r="AQ22" s="32" t="n">
        <v>4102</v>
      </c>
      <c r="AR22" s="32" t="n">
        <v>4134</v>
      </c>
      <c r="AS22" s="32" t="n">
        <v>4134</v>
      </c>
      <c r="AT22" s="32" t="n">
        <v>4090</v>
      </c>
      <c r="AU22" s="32" t="n">
        <v>4112</v>
      </c>
      <c r="AV22" s="32" t="n">
        <v>4099</v>
      </c>
      <c r="AW22" s="32" t="n">
        <v>4123</v>
      </c>
      <c r="AX22" s="32" t="n">
        <v>4167</v>
      </c>
      <c r="AY22" s="32" t="n">
        <v>4245</v>
      </c>
      <c r="AZ22" s="32" t="n">
        <v>4149</v>
      </c>
      <c r="BA22" s="32" t="n">
        <v>4150</v>
      </c>
      <c r="BB22" s="32" t="n">
        <v>4143</v>
      </c>
      <c r="BC22" s="32" t="n">
        <v>4224</v>
      </c>
      <c r="BD22" s="32" t="n">
        <v>4207</v>
      </c>
      <c r="BE22" s="32" t="n">
        <v>4134</v>
      </c>
      <c r="BF22" s="32" t="n">
        <v>4049</v>
      </c>
      <c r="BG22" s="32" t="n">
        <v>4240</v>
      </c>
      <c r="BH22" s="32" t="n">
        <v>4220</v>
      </c>
      <c r="BI22" s="32" t="n">
        <v>4247</v>
      </c>
      <c r="BJ22" s="32" t="n">
        <v>4093</v>
      </c>
      <c r="BK22" s="32" t="n">
        <v>3955</v>
      </c>
      <c r="BL22" s="33" t="n">
        <v>4093</v>
      </c>
    </row>
    <row r="23" ht="15.95" customHeight="1" s="574">
      <c r="A23" s="68" t="inlineStr">
        <is>
          <t>8795</t>
        </is>
      </c>
      <c r="B23" s="28" t="inlineStr">
        <is>
          <t>Ｔ＆Ｄホールディングス</t>
        </is>
      </c>
      <c r="C23" s="665">
        <f>_xll.RssMarket("8795","高値")</f>
        <v/>
      </c>
      <c r="D23" s="666">
        <f>C23-E23</f>
        <v/>
      </c>
      <c r="E23" s="32" t="n">
        <v>4984</v>
      </c>
      <c r="F23" s="32" t="n">
        <v>4975</v>
      </c>
      <c r="G23" s="32" t="n">
        <v>4930</v>
      </c>
      <c r="H23" s="32" t="n">
        <v>5017</v>
      </c>
      <c r="I23" s="32" t="n">
        <v>4914</v>
      </c>
      <c r="J23" s="32" t="n">
        <v>4900</v>
      </c>
      <c r="K23" s="32" t="n">
        <v>4755</v>
      </c>
      <c r="L23" s="32" t="n">
        <v>4786</v>
      </c>
      <c r="M23" s="32" t="n">
        <v>4981</v>
      </c>
      <c r="N23" s="32" t="n">
        <v>4482</v>
      </c>
      <c r="O23" s="32" t="n">
        <v>4475</v>
      </c>
      <c r="P23" s="32" t="n">
        <v>4231</v>
      </c>
      <c r="Q23" s="32" t="n">
        <v>4258</v>
      </c>
      <c r="R23" s="32" t="n">
        <v>4253</v>
      </c>
      <c r="S23" s="32" t="n">
        <v>4224</v>
      </c>
      <c r="T23" s="32" t="n">
        <v>4135</v>
      </c>
      <c r="U23" s="32" t="n">
        <v>4159</v>
      </c>
      <c r="V23" s="32" t="n">
        <v>4148</v>
      </c>
      <c r="W23" s="32" t="n">
        <v>4154</v>
      </c>
      <c r="X23" s="32" t="n">
        <v>4168</v>
      </c>
      <c r="Y23" s="32" t="n">
        <v>4230</v>
      </c>
      <c r="Z23" s="32" t="n">
        <v>4204</v>
      </c>
      <c r="AA23" s="32" t="n">
        <v>4046</v>
      </c>
      <c r="AB23" s="32" t="n">
        <v>4058</v>
      </c>
      <c r="AC23" s="32" t="n">
        <v>4002</v>
      </c>
      <c r="AD23" s="32" t="n">
        <v>4040</v>
      </c>
      <c r="AE23" s="32" t="n">
        <v>4035</v>
      </c>
      <c r="AF23" s="32" t="n">
        <v>3986</v>
      </c>
      <c r="AG23" s="32" t="n">
        <v>3939</v>
      </c>
      <c r="AH23" s="32" t="n">
        <v>3945</v>
      </c>
      <c r="AI23" s="32" t="n">
        <v>3789</v>
      </c>
      <c r="AJ23" s="32" t="n">
        <v>3792</v>
      </c>
      <c r="AK23" s="32" t="n">
        <v>3794</v>
      </c>
      <c r="AL23" s="32" t="n">
        <v>3676</v>
      </c>
      <c r="AM23" s="32" t="n">
        <v>3741</v>
      </c>
      <c r="AN23" s="32" t="n">
        <v>3728</v>
      </c>
      <c r="AO23" s="32" t="n">
        <v>3809</v>
      </c>
      <c r="AP23" s="32" t="n">
        <v>3925</v>
      </c>
      <c r="AQ23" s="32" t="n">
        <v>4040</v>
      </c>
      <c r="AR23" s="32" t="n">
        <v>4082</v>
      </c>
      <c r="AS23" s="32" t="n">
        <v>4083</v>
      </c>
      <c r="AT23" s="32" t="n">
        <v>4135</v>
      </c>
      <c r="AU23" s="32" t="n">
        <v>4095</v>
      </c>
      <c r="AV23" s="32" t="n">
        <v>4050</v>
      </c>
      <c r="AW23" s="32" t="n">
        <v>4065</v>
      </c>
      <c r="AX23" s="32" t="n">
        <v>4162</v>
      </c>
      <c r="AY23" s="32" t="n">
        <v>4170</v>
      </c>
      <c r="AZ23" s="32" t="n">
        <v>3986</v>
      </c>
      <c r="BA23" s="32" t="n">
        <v>4100</v>
      </c>
      <c r="BB23" s="32" t="n">
        <v>4168</v>
      </c>
      <c r="BC23" s="32" t="n">
        <v>4239</v>
      </c>
      <c r="BD23" s="32" t="n">
        <v>4234</v>
      </c>
      <c r="BE23" s="32" t="n">
        <v>4046</v>
      </c>
      <c r="BF23" s="32" t="n">
        <v>3903</v>
      </c>
      <c r="BG23" s="32" t="n">
        <v>4020</v>
      </c>
      <c r="BH23" s="32" t="n">
        <v>3995</v>
      </c>
      <c r="BI23" s="32" t="n">
        <v>3968</v>
      </c>
      <c r="BJ23" s="32" t="n">
        <v>3777</v>
      </c>
      <c r="BK23" s="32" t="n">
        <v>3655</v>
      </c>
      <c r="BL23" s="33" t="n">
        <v>3805</v>
      </c>
    </row>
    <row r="24" ht="15.95" customHeight="1" s="574">
      <c r="A24" s="68" t="inlineStr">
        <is>
          <t>5019</t>
        </is>
      </c>
      <c r="B24" s="28" t="inlineStr">
        <is>
          <t>出光興産</t>
        </is>
      </c>
      <c r="C24" s="665">
        <f>_xll.RssMarket("5019","高値")</f>
        <v/>
      </c>
      <c r="D24" s="666">
        <f>C24-E24</f>
        <v/>
      </c>
      <c r="E24" s="32" t="n">
        <v>1264.5</v>
      </c>
      <c r="F24" s="32" t="n">
        <v>1259.5</v>
      </c>
      <c r="G24" s="32" t="n">
        <v>1295</v>
      </c>
      <c r="H24" s="32" t="n">
        <v>1293</v>
      </c>
      <c r="I24" s="32" t="n">
        <v>1320</v>
      </c>
      <c r="J24" s="32" t="n">
        <v>1362.5</v>
      </c>
      <c r="K24" s="32" t="n">
        <v>1365</v>
      </c>
      <c r="L24" s="32" t="n">
        <v>1369.5</v>
      </c>
      <c r="M24" s="32" t="n">
        <v>1342.5</v>
      </c>
      <c r="N24" s="32" t="n">
        <v>1377.5</v>
      </c>
      <c r="O24" s="32" t="n">
        <v>1413</v>
      </c>
      <c r="P24" s="32" t="n">
        <v>1409</v>
      </c>
      <c r="Q24" s="32" t="n">
        <v>1415</v>
      </c>
      <c r="R24" s="32" t="n">
        <v>1368</v>
      </c>
      <c r="S24" s="32" t="n">
        <v>1398.5</v>
      </c>
      <c r="T24" s="32" t="n">
        <v>1322</v>
      </c>
      <c r="U24" s="32" t="n">
        <v>1329.5</v>
      </c>
      <c r="V24" s="32" t="n">
        <v>1341.5</v>
      </c>
      <c r="W24" s="32" t="n">
        <v>1338.5</v>
      </c>
      <c r="X24" s="32" t="n">
        <v>1371.5</v>
      </c>
      <c r="Y24" s="32" t="n">
        <v>1393.5</v>
      </c>
      <c r="Z24" s="32" t="n">
        <v>1394.5</v>
      </c>
      <c r="AA24" s="32" t="n">
        <v>1446</v>
      </c>
      <c r="AB24" s="32" t="n">
        <v>1447.5</v>
      </c>
      <c r="AC24" s="32" t="n">
        <v>1425.5</v>
      </c>
      <c r="AD24" s="32" t="n">
        <v>1406</v>
      </c>
      <c r="AE24" s="32" t="n">
        <v>1409.5</v>
      </c>
      <c r="AF24" s="32" t="n">
        <v>1365.5</v>
      </c>
      <c r="AG24" s="32" t="n">
        <v>1374.5</v>
      </c>
      <c r="AH24" s="32" t="n">
        <v>1385</v>
      </c>
      <c r="AI24" s="32" t="n">
        <v>1370</v>
      </c>
      <c r="AJ24" s="32" t="n">
        <v>1380</v>
      </c>
      <c r="AK24" s="32" t="n">
        <v>1350.5</v>
      </c>
      <c r="AL24" s="32" t="n">
        <v>1334.5</v>
      </c>
      <c r="AM24" s="32" t="n">
        <v>1360</v>
      </c>
      <c r="AN24" s="32" t="n">
        <v>1352.5</v>
      </c>
      <c r="AO24" s="32" t="n">
        <v>1421.5</v>
      </c>
      <c r="AP24" s="32" t="n">
        <v>1450</v>
      </c>
      <c r="AQ24" s="32" t="n">
        <v>1492.5</v>
      </c>
      <c r="AR24" s="32" t="n">
        <v>1516.5</v>
      </c>
      <c r="AS24" s="32" t="n">
        <v>1524.5</v>
      </c>
      <c r="AT24" s="32" t="n">
        <v>1539</v>
      </c>
      <c r="AU24" s="32" t="n">
        <v>1545.5</v>
      </c>
      <c r="AV24" s="32" t="n">
        <v>1580.5</v>
      </c>
      <c r="AW24" s="32" t="n">
        <v>1576.5</v>
      </c>
      <c r="AX24" s="32" t="n">
        <v>1602.5</v>
      </c>
      <c r="AY24" s="32" t="n">
        <v>1669</v>
      </c>
      <c r="AZ24" s="32" t="n">
        <v>1671</v>
      </c>
      <c r="BA24" s="32" t="n">
        <v>1649</v>
      </c>
      <c r="BB24" s="32" t="n">
        <v>1596.5</v>
      </c>
      <c r="BC24" s="32" t="n">
        <v>1603.5</v>
      </c>
      <c r="BD24" s="32" t="n">
        <v>1598</v>
      </c>
      <c r="BE24" s="32" t="n">
        <v>1579</v>
      </c>
      <c r="BF24" s="32" t="n">
        <v>1562</v>
      </c>
      <c r="BG24" s="32" t="n">
        <v>1557.5</v>
      </c>
      <c r="BH24" s="32" t="n">
        <v>1528</v>
      </c>
      <c r="BI24" s="32" t="n">
        <v>1517</v>
      </c>
      <c r="BJ24" s="32" t="n">
        <v>1476</v>
      </c>
      <c r="BK24" s="32" t="n">
        <v>1431</v>
      </c>
      <c r="BL24" s="33" t="n">
        <v>1525</v>
      </c>
    </row>
    <row r="25" ht="15.95" customHeight="1" s="574">
      <c r="A25" s="68" t="inlineStr">
        <is>
          <t>8053</t>
        </is>
      </c>
      <c r="B25" s="28" t="inlineStr">
        <is>
          <t>住友商事</t>
        </is>
      </c>
      <c r="C25" s="665">
        <f>_xll.RssMarket("8053","高値")</f>
        <v/>
      </c>
      <c r="D25" s="666">
        <f>C25-E25</f>
        <v/>
      </c>
      <c r="E25" s="32" t="n">
        <v>6492</v>
      </c>
      <c r="F25" s="32" t="n">
        <v>6568</v>
      </c>
      <c r="G25" s="32" t="n">
        <v>6616</v>
      </c>
      <c r="H25" s="32" t="n">
        <v>6645</v>
      </c>
      <c r="I25" s="32" t="n">
        <v>6565</v>
      </c>
      <c r="J25" s="32" t="n">
        <v>6640</v>
      </c>
      <c r="K25" s="32" t="n">
        <v>6325</v>
      </c>
      <c r="L25" s="32" t="n">
        <v>6264</v>
      </c>
      <c r="M25" s="32" t="n">
        <v>6566</v>
      </c>
      <c r="N25" s="32" t="n">
        <v>6780</v>
      </c>
      <c r="O25" s="32" t="n">
        <v>6886</v>
      </c>
      <c r="P25" s="32" t="n">
        <v>6847</v>
      </c>
      <c r="Q25" s="32" t="n">
        <v>6962</v>
      </c>
      <c r="R25" s="32" t="n">
        <v>6898</v>
      </c>
      <c r="S25" s="32" t="n">
        <v>7251</v>
      </c>
      <c r="T25" s="32" t="n">
        <v>7142</v>
      </c>
      <c r="U25" s="32" t="n">
        <v>7350</v>
      </c>
      <c r="V25" s="32" t="n">
        <v>7361</v>
      </c>
      <c r="W25" s="32" t="n">
        <v>7168</v>
      </c>
      <c r="X25" s="32" t="n">
        <v>7187</v>
      </c>
      <c r="Y25" s="32" t="n">
        <v>7255</v>
      </c>
      <c r="Z25" s="32" t="n">
        <v>7349</v>
      </c>
      <c r="AA25" s="32" t="n">
        <v>7554</v>
      </c>
      <c r="AB25" s="32" t="n">
        <v>7726</v>
      </c>
      <c r="AC25" s="32" t="n">
        <v>7671</v>
      </c>
      <c r="AD25" s="32" t="n">
        <v>7775</v>
      </c>
      <c r="AE25" s="32" t="n">
        <v>7509</v>
      </c>
      <c r="AF25" s="32" t="n">
        <v>7347</v>
      </c>
      <c r="AG25" s="32" t="n">
        <v>7447</v>
      </c>
      <c r="AH25" s="32" t="n">
        <v>7556</v>
      </c>
      <c r="AI25" s="32" t="n">
        <v>6840</v>
      </c>
      <c r="AJ25" s="32" t="n">
        <v>5840</v>
      </c>
      <c r="AK25" s="32" t="n">
        <v>5822</v>
      </c>
      <c r="AL25" s="32" t="n">
        <v>5739</v>
      </c>
      <c r="AM25" s="32" t="n">
        <v>5887</v>
      </c>
      <c r="AN25" s="32" t="n">
        <v>5836</v>
      </c>
      <c r="AO25" s="32" t="n">
        <v>5929</v>
      </c>
      <c r="AP25" s="32" t="n">
        <v>6032</v>
      </c>
      <c r="AQ25" s="32" t="n">
        <v>6083</v>
      </c>
      <c r="AR25" s="32" t="n">
        <v>6088</v>
      </c>
      <c r="AS25" s="32" t="n">
        <v>6149</v>
      </c>
      <c r="AT25" s="32" t="n">
        <v>6130</v>
      </c>
      <c r="AU25" s="32" t="n">
        <v>6162</v>
      </c>
      <c r="AV25" s="32" t="n">
        <v>6138</v>
      </c>
      <c r="AW25" s="32" t="n">
        <v>6269</v>
      </c>
      <c r="AX25" s="32" t="n">
        <v>6352</v>
      </c>
      <c r="AY25" s="32" t="n">
        <v>6345</v>
      </c>
      <c r="AZ25" s="32" t="n">
        <v>6071</v>
      </c>
      <c r="BA25" s="32" t="n">
        <v>6047</v>
      </c>
      <c r="BB25" s="32" t="n">
        <v>6099</v>
      </c>
      <c r="BC25" s="32" t="n">
        <v>6285</v>
      </c>
      <c r="BD25" s="32" t="n">
        <v>6189</v>
      </c>
      <c r="BE25" s="32" t="n">
        <v>5903</v>
      </c>
      <c r="BF25" s="32" t="n">
        <v>5880</v>
      </c>
      <c r="BG25" s="32" t="n">
        <v>5991</v>
      </c>
      <c r="BH25" s="32" t="n">
        <v>5932</v>
      </c>
      <c r="BI25" s="32" t="n">
        <v>5879</v>
      </c>
      <c r="BJ25" s="32" t="n">
        <v>5702</v>
      </c>
      <c r="BK25" s="32" t="n">
        <v>5541</v>
      </c>
      <c r="BL25" s="33" t="n">
        <v>5830</v>
      </c>
    </row>
    <row r="26" ht="15.95" customHeight="1" s="574">
      <c r="A26" s="68" t="inlineStr">
        <is>
          <t>8591</t>
        </is>
      </c>
      <c r="B26" s="28" t="inlineStr">
        <is>
          <t>オリックス</t>
        </is>
      </c>
      <c r="C26" s="665">
        <f>_xll.RssMarket("8591","高値")</f>
        <v/>
      </c>
      <c r="D26" s="666">
        <f>C26-E26</f>
        <v/>
      </c>
      <c r="E26" s="32" t="n">
        <v>6502</v>
      </c>
      <c r="F26" s="32" t="n">
        <v>6448</v>
      </c>
      <c r="G26" s="32" t="n">
        <v>6566</v>
      </c>
      <c r="H26" s="32" t="n">
        <v>6417</v>
      </c>
      <c r="I26" s="32" t="n">
        <v>6305</v>
      </c>
      <c r="J26" s="32" t="n">
        <v>6239</v>
      </c>
      <c r="K26" s="32" t="n">
        <v>6150</v>
      </c>
      <c r="L26" s="32" t="n">
        <v>6080</v>
      </c>
      <c r="M26" s="32" t="n">
        <v>6335</v>
      </c>
      <c r="N26" s="32" t="n">
        <v>6180</v>
      </c>
      <c r="O26" s="32" t="n">
        <v>6305</v>
      </c>
      <c r="P26" s="32" t="n">
        <v>6367</v>
      </c>
      <c r="Q26" s="32" t="n">
        <v>6368</v>
      </c>
      <c r="R26" s="32" t="n">
        <v>6220</v>
      </c>
      <c r="S26" s="32" t="n">
        <v>6309</v>
      </c>
      <c r="T26" s="32" t="n">
        <v>6153</v>
      </c>
      <c r="U26" s="32" t="n">
        <v>6378</v>
      </c>
      <c r="V26" s="32" t="n">
        <v>6308</v>
      </c>
      <c r="W26" s="32" t="n">
        <v>6282</v>
      </c>
      <c r="X26" s="32" t="n">
        <v>6348</v>
      </c>
      <c r="Y26" s="32" t="n">
        <v>6109</v>
      </c>
      <c r="Z26" s="32" t="n">
        <v>5950</v>
      </c>
      <c r="AA26" s="32" t="n">
        <v>5939</v>
      </c>
      <c r="AB26" s="32" t="n">
        <v>5817</v>
      </c>
      <c r="AC26" s="32" t="n">
        <v>5970</v>
      </c>
      <c r="AD26" s="32" t="n">
        <v>6060</v>
      </c>
      <c r="AE26" s="32" t="n">
        <v>6049</v>
      </c>
      <c r="AF26" s="32" t="n">
        <v>5520</v>
      </c>
      <c r="AG26" s="32" t="n">
        <v>5330</v>
      </c>
      <c r="AH26" s="32" t="n">
        <v>5314</v>
      </c>
      <c r="AI26" s="32" t="n">
        <v>5231</v>
      </c>
      <c r="AJ26" s="32" t="n">
        <v>5275</v>
      </c>
      <c r="AK26" s="32" t="n">
        <v>5462</v>
      </c>
      <c r="AL26" s="32" t="n">
        <v>4883</v>
      </c>
      <c r="AM26" s="32" t="n">
        <v>4885</v>
      </c>
      <c r="AN26" s="32" t="n">
        <v>4894</v>
      </c>
      <c r="AO26" s="32" t="n">
        <v>4980</v>
      </c>
      <c r="AP26" s="32" t="n">
        <v>5051</v>
      </c>
      <c r="AQ26" s="32" t="n">
        <v>5084</v>
      </c>
      <c r="AR26" s="32" t="n">
        <v>5047</v>
      </c>
      <c r="AS26" s="32" t="n">
        <v>5093</v>
      </c>
      <c r="AT26" s="32" t="n">
        <v>5092</v>
      </c>
      <c r="AU26" s="32" t="n">
        <v>5014</v>
      </c>
      <c r="AV26" s="32" t="n">
        <v>4891</v>
      </c>
      <c r="AW26" s="32" t="n">
        <v>4910</v>
      </c>
      <c r="AX26" s="32" t="n">
        <v>4939</v>
      </c>
      <c r="AY26" s="32" t="n">
        <v>4928</v>
      </c>
      <c r="AZ26" s="32" t="n">
        <v>4762</v>
      </c>
      <c r="BA26" s="32" t="n">
        <v>4730</v>
      </c>
      <c r="BB26" s="32" t="n">
        <v>4737</v>
      </c>
      <c r="BC26" s="32" t="n">
        <v>4825</v>
      </c>
      <c r="BD26" s="32" t="n">
        <v>4775</v>
      </c>
      <c r="BE26" s="32" t="n">
        <v>4710</v>
      </c>
      <c r="BF26" s="32" t="n">
        <v>4640</v>
      </c>
      <c r="BG26" s="32" t="n">
        <v>4803</v>
      </c>
      <c r="BH26" s="32" t="n">
        <v>4812</v>
      </c>
      <c r="BI26" s="32" t="n">
        <v>4823</v>
      </c>
      <c r="BJ26" s="32" t="n">
        <v>4698</v>
      </c>
      <c r="BK26" s="32" t="n">
        <v>4658</v>
      </c>
      <c r="BL26" s="33" t="n">
        <v>4798</v>
      </c>
    </row>
    <row r="27" ht="15.95" customHeight="1" s="574">
      <c r="A27" s="68" t="inlineStr">
        <is>
          <t>3401</t>
        </is>
      </c>
      <c r="B27" s="28" t="inlineStr">
        <is>
          <t>帝人</t>
        </is>
      </c>
      <c r="C27" s="665">
        <f>_xll.RssMarket("3401","高値")</f>
        <v/>
      </c>
      <c r="D27" s="666">
        <f>C27-E27</f>
        <v/>
      </c>
      <c r="E27" s="32" t="n">
        <v>1618</v>
      </c>
      <c r="F27" s="32" t="n">
        <v>1644.5</v>
      </c>
      <c r="G27" s="32" t="n">
        <v>1660</v>
      </c>
      <c r="H27" s="32" t="n">
        <v>1675</v>
      </c>
      <c r="I27" s="32" t="n">
        <v>1645.5</v>
      </c>
      <c r="J27" s="32" t="n">
        <v>1683.5</v>
      </c>
      <c r="K27" s="32" t="n">
        <v>1656.5</v>
      </c>
      <c r="L27" s="32" t="n">
        <v>1614.5</v>
      </c>
      <c r="M27" s="32" t="n">
        <v>1634</v>
      </c>
      <c r="N27" s="32" t="n">
        <v>1618</v>
      </c>
      <c r="O27" s="32" t="n">
        <v>1636.5</v>
      </c>
      <c r="P27" s="32" t="n">
        <v>1640.5</v>
      </c>
      <c r="Q27" s="32" t="n">
        <v>1649</v>
      </c>
      <c r="R27" s="32" t="n">
        <v>1625</v>
      </c>
      <c r="S27" s="32" t="n">
        <v>1656.5</v>
      </c>
      <c r="T27" s="32" t="n">
        <v>1616.5</v>
      </c>
      <c r="U27" s="32" t="n">
        <v>1658</v>
      </c>
      <c r="V27" s="32" t="n">
        <v>1667</v>
      </c>
      <c r="W27" s="32" t="n">
        <v>1605</v>
      </c>
      <c r="X27" s="32" t="n">
        <v>1635</v>
      </c>
      <c r="Y27" s="32" t="n">
        <v>1641</v>
      </c>
      <c r="Z27" s="32" t="n">
        <v>1669</v>
      </c>
      <c r="AA27" s="32" t="n">
        <v>1677.5</v>
      </c>
      <c r="AB27" s="32" t="n">
        <v>1706</v>
      </c>
      <c r="AC27" s="32" t="n">
        <v>1773</v>
      </c>
      <c r="AD27" s="32" t="n">
        <v>1742</v>
      </c>
      <c r="AE27" s="32" t="n">
        <v>1713</v>
      </c>
      <c r="AF27" s="32" t="n">
        <v>1706</v>
      </c>
      <c r="AG27" s="32" t="n">
        <v>1608</v>
      </c>
      <c r="AH27" s="32" t="n">
        <v>1612.5</v>
      </c>
      <c r="AI27" s="32" t="n">
        <v>1574</v>
      </c>
      <c r="AJ27" s="32" t="n">
        <v>4910</v>
      </c>
      <c r="AK27" s="32" t="n">
        <v>1610</v>
      </c>
      <c r="AL27" s="32" t="n">
        <v>4854</v>
      </c>
      <c r="AM27" s="32" t="n">
        <v>1593</v>
      </c>
      <c r="AN27" s="32" t="n">
        <v>4825</v>
      </c>
      <c r="AO27" s="32" t="n">
        <v>1558.5</v>
      </c>
      <c r="AP27" s="32" t="n">
        <v>4806</v>
      </c>
      <c r="AQ27" s="32" t="n">
        <v>1577</v>
      </c>
      <c r="AR27" s="32" t="n">
        <v>4906</v>
      </c>
      <c r="AS27" s="32" t="n">
        <v>1590.5</v>
      </c>
      <c r="AT27" s="32" t="n">
        <v>5045</v>
      </c>
      <c r="AU27" s="32" t="n">
        <v>1610</v>
      </c>
      <c r="AV27" s="32" t="n">
        <v>5014</v>
      </c>
      <c r="AW27" s="32" t="n">
        <v>1578</v>
      </c>
      <c r="AX27" s="32" t="n">
        <v>4943</v>
      </c>
      <c r="AY27" s="32" t="n">
        <v>1567</v>
      </c>
      <c r="AZ27" s="32" t="n">
        <v>5080</v>
      </c>
      <c r="BA27" s="32" t="n">
        <v>1656.5</v>
      </c>
      <c r="BB27" s="32" t="n">
        <v>5129</v>
      </c>
      <c r="BC27" s="32" t="n">
        <v>1702</v>
      </c>
      <c r="BD27" s="32" t="n">
        <v>5025</v>
      </c>
      <c r="BE27" s="32" t="n">
        <v>1655.5</v>
      </c>
      <c r="BF27" s="32" t="n">
        <v>5360</v>
      </c>
      <c r="BG27" s="32" t="n">
        <v>1742.5</v>
      </c>
      <c r="BH27" s="32" t="n">
        <v>5463</v>
      </c>
      <c r="BI27" s="32" t="n">
        <v>1734</v>
      </c>
      <c r="BJ27" s="32" t="n">
        <v>5566</v>
      </c>
      <c r="BK27" s="32" t="n">
        <v>1736.5</v>
      </c>
      <c r="BL27" s="33" t="n">
        <v>5570</v>
      </c>
    </row>
    <row r="28" ht="15.95" customHeight="1" s="574">
      <c r="A28" s="68" t="inlineStr">
        <is>
          <t>3436</t>
        </is>
      </c>
      <c r="B28" s="28" t="inlineStr">
        <is>
          <t>ＳＵＭＣＯ</t>
        </is>
      </c>
      <c r="C28" s="665">
        <f>_xll.RssMarket("3436","高値")</f>
        <v/>
      </c>
      <c r="D28" s="666">
        <f>C28-E28</f>
        <v/>
      </c>
      <c r="E28" s="32" t="n">
        <v>4366</v>
      </c>
      <c r="F28" s="32" t="n">
        <v>4509</v>
      </c>
      <c r="G28" s="32" t="n">
        <v>4394</v>
      </c>
      <c r="H28" s="32" t="n">
        <v>4212</v>
      </c>
      <c r="I28" s="32" t="n">
        <v>4434</v>
      </c>
      <c r="J28" s="32" t="n">
        <v>4353</v>
      </c>
      <c r="K28" s="32" t="n">
        <v>3807</v>
      </c>
      <c r="L28" s="32" t="n">
        <v>3473</v>
      </c>
      <c r="M28" s="32" t="n">
        <v>3274</v>
      </c>
      <c r="N28" s="32" t="n">
        <v>3758</v>
      </c>
      <c r="O28" s="32" t="n">
        <v>4156</v>
      </c>
      <c r="P28" s="32" t="n">
        <v>4481</v>
      </c>
      <c r="Q28" s="32" t="n">
        <v>4564</v>
      </c>
      <c r="R28" s="32" t="n">
        <v>4371</v>
      </c>
      <c r="S28" s="32" t="n">
        <v>4047</v>
      </c>
      <c r="T28" s="32" t="n">
        <v>3530</v>
      </c>
      <c r="U28" s="32" t="n">
        <v>3440</v>
      </c>
      <c r="V28" s="32" t="n">
        <v>3518</v>
      </c>
      <c r="W28" s="32" t="n">
        <v>3326</v>
      </c>
      <c r="X28" s="32" t="n">
        <v>3127</v>
      </c>
      <c r="Y28" s="32" t="n">
        <v>3103</v>
      </c>
      <c r="Z28" s="32" t="n">
        <v>3040</v>
      </c>
      <c r="AA28" s="32" t="n">
        <v>3168</v>
      </c>
      <c r="AB28" s="32" t="n">
        <v>3322</v>
      </c>
      <c r="AC28" s="32" t="n">
        <v>3859</v>
      </c>
      <c r="AD28" s="32" t="n">
        <v>3557</v>
      </c>
      <c r="AE28" s="32" t="n">
        <v>3765</v>
      </c>
      <c r="AF28" s="32" t="n">
        <v>3662</v>
      </c>
      <c r="AG28" s="32" t="n">
        <v>3688</v>
      </c>
      <c r="AH28" s="32" t="n">
        <v>3033</v>
      </c>
      <c r="AI28" s="32" t="n">
        <v>2571</v>
      </c>
      <c r="AJ28" s="32" t="n">
        <v>2797</v>
      </c>
      <c r="AK28" s="32" t="n">
        <v>2416</v>
      </c>
      <c r="AL28" s="32" t="n">
        <v>2379.5</v>
      </c>
      <c r="AM28" s="32" t="n">
        <v>2267</v>
      </c>
      <c r="AN28" s="32" t="n">
        <v>2234.5</v>
      </c>
      <c r="AO28" s="32" t="n">
        <v>2331</v>
      </c>
      <c r="AP28" s="32" t="n">
        <v>2232.5</v>
      </c>
      <c r="AQ28" s="32" t="n">
        <v>2141.5</v>
      </c>
      <c r="AR28" s="32" t="n">
        <v>2306</v>
      </c>
      <c r="AS28" s="32" t="n">
        <v>2450.5</v>
      </c>
      <c r="AT28" s="32" t="n">
        <v>2267.5</v>
      </c>
      <c r="AU28" s="32" t="n">
        <v>2225</v>
      </c>
      <c r="AV28" s="32" t="n">
        <v>2193.5</v>
      </c>
      <c r="AW28" s="32" t="n">
        <v>2077.5</v>
      </c>
      <c r="AX28" s="32" t="n">
        <v>1964</v>
      </c>
      <c r="AY28" s="32" t="n">
        <v>1907.5</v>
      </c>
      <c r="AZ28" s="32" t="n">
        <v>1818.5</v>
      </c>
      <c r="BA28" s="32" t="n">
        <v>1771</v>
      </c>
      <c r="BB28" s="32" t="n">
        <v>1803</v>
      </c>
      <c r="BC28" s="32" t="n">
        <v>1797.5</v>
      </c>
      <c r="BD28" s="32" t="n">
        <v>1748.5</v>
      </c>
      <c r="BE28" s="32" t="n">
        <v>1732</v>
      </c>
      <c r="BF28" s="32" t="n">
        <v>1782</v>
      </c>
      <c r="BG28" s="32" t="n">
        <v>1875</v>
      </c>
      <c r="BH28" s="32" t="n">
        <v>1868.5</v>
      </c>
      <c r="BI28" s="32" t="n">
        <v>1775</v>
      </c>
      <c r="BJ28" s="32" t="n">
        <v>1720</v>
      </c>
      <c r="BK28" s="32" t="n">
        <v>1654.5</v>
      </c>
      <c r="BL28" s="33" t="n">
        <v>1724</v>
      </c>
    </row>
    <row r="29" ht="15.95" customHeight="1" s="574">
      <c r="A29" s="68" t="inlineStr">
        <is>
          <t>5020</t>
        </is>
      </c>
      <c r="B29" s="28" t="inlineStr">
        <is>
          <t>ＥＮＥＯＳホールディングス</t>
        </is>
      </c>
      <c r="C29" s="665">
        <f>_xll.RssMarket("5020","高値")</f>
        <v/>
      </c>
      <c r="D29" s="666">
        <f>C29-E29</f>
        <v/>
      </c>
      <c r="E29" s="32" t="n">
        <v>1265</v>
      </c>
      <c r="F29" s="32" t="n">
        <v>1264</v>
      </c>
      <c r="G29" s="32" t="n">
        <v>1251.5</v>
      </c>
      <c r="H29" s="32" t="n">
        <v>1259</v>
      </c>
      <c r="I29" s="32" t="n">
        <v>1247</v>
      </c>
      <c r="J29" s="32" t="n">
        <v>1278</v>
      </c>
      <c r="K29" s="32" t="n">
        <v>1241</v>
      </c>
      <c r="L29" s="32" t="n">
        <v>1232.5</v>
      </c>
      <c r="M29" s="32" t="n">
        <v>1221.5</v>
      </c>
      <c r="N29" s="32" t="n">
        <v>1260</v>
      </c>
      <c r="O29" s="32" t="n">
        <v>1305</v>
      </c>
      <c r="P29" s="32" t="n">
        <v>1319</v>
      </c>
      <c r="Q29" s="32" t="n">
        <v>1341.5</v>
      </c>
      <c r="R29" s="32" t="n">
        <v>1292.5</v>
      </c>
      <c r="S29" s="32" t="n">
        <v>1305.5</v>
      </c>
      <c r="T29" s="32" t="n">
        <v>1300.5</v>
      </c>
      <c r="U29" s="32" t="n">
        <v>1310.5</v>
      </c>
      <c r="V29" s="32" t="n">
        <v>1322</v>
      </c>
      <c r="W29" s="32" t="n">
        <v>1306.5</v>
      </c>
      <c r="X29" s="32" t="n">
        <v>1321</v>
      </c>
      <c r="Y29" s="32" t="n">
        <v>1361</v>
      </c>
      <c r="Z29" s="32" t="n">
        <v>1370</v>
      </c>
      <c r="AA29" s="32" t="n">
        <v>1397.5</v>
      </c>
      <c r="AB29" s="32" t="n">
        <v>1390</v>
      </c>
      <c r="AC29" s="32" t="n">
        <v>1380</v>
      </c>
      <c r="AD29" s="32" t="n">
        <v>1374</v>
      </c>
      <c r="AE29" s="32" t="n">
        <v>1384</v>
      </c>
      <c r="AF29" s="32" t="n">
        <v>1317</v>
      </c>
      <c r="AG29" s="32" t="n">
        <v>1295</v>
      </c>
      <c r="AH29" s="32" t="n">
        <v>1342</v>
      </c>
      <c r="AI29" s="32" t="n">
        <v>1325.5</v>
      </c>
      <c r="AJ29" s="32" t="n">
        <v>1329.5</v>
      </c>
      <c r="AK29" s="32" t="n">
        <v>1307.5</v>
      </c>
      <c r="AL29" s="32" t="n">
        <v>1294</v>
      </c>
      <c r="AM29" s="32" t="n">
        <v>1318</v>
      </c>
      <c r="AN29" s="32" t="n">
        <v>1314.5</v>
      </c>
      <c r="AO29" s="32" t="n">
        <v>1330</v>
      </c>
      <c r="AP29" s="32" t="n">
        <v>1359</v>
      </c>
      <c r="AQ29" s="32" t="n">
        <v>1376</v>
      </c>
      <c r="AR29" s="32" t="n">
        <v>1413</v>
      </c>
      <c r="AS29" s="32" t="n">
        <v>1423.5</v>
      </c>
      <c r="AT29" s="32" t="n">
        <v>1441.5</v>
      </c>
      <c r="AU29" s="32" t="n">
        <v>1435.5</v>
      </c>
      <c r="AV29" s="32" t="n">
        <v>1458</v>
      </c>
      <c r="AW29" s="32" t="n">
        <v>1464.5</v>
      </c>
      <c r="AX29" s="32" t="n">
        <v>1483.5</v>
      </c>
      <c r="AY29" s="32" t="n">
        <v>1519</v>
      </c>
      <c r="AZ29" s="32" t="n">
        <v>1483.5</v>
      </c>
      <c r="BA29" s="32" t="n">
        <v>1490</v>
      </c>
      <c r="BB29" s="32" t="n">
        <v>1464.5</v>
      </c>
      <c r="BC29" s="32" t="n">
        <v>1515</v>
      </c>
      <c r="BD29" s="32" t="n">
        <v>1497</v>
      </c>
      <c r="BE29" s="32" t="n">
        <v>1441</v>
      </c>
      <c r="BF29" s="32" t="n">
        <v>1445</v>
      </c>
      <c r="BG29" s="32" t="n">
        <v>1437.5</v>
      </c>
      <c r="BH29" s="32" t="n">
        <v>1408</v>
      </c>
      <c r="BI29" s="32" t="n">
        <v>1403.5</v>
      </c>
      <c r="BJ29" s="32" t="n">
        <v>1354</v>
      </c>
      <c r="BK29" s="32" t="n">
        <v>1307.5</v>
      </c>
      <c r="BL29" s="33" t="n">
        <v>1415.5</v>
      </c>
    </row>
    <row r="30" ht="15.95" customHeight="1" s="574">
      <c r="A30" s="68" t="inlineStr">
        <is>
          <t>6254</t>
        </is>
      </c>
      <c r="B30" s="28" t="inlineStr">
        <is>
          <t>野村マイクロ・サイエンス</t>
        </is>
      </c>
      <c r="C30" s="665">
        <f>_xll.RssMarket("6254","高値")</f>
        <v/>
      </c>
      <c r="D30" s="666">
        <f>C30-E30</f>
        <v/>
      </c>
      <c r="E30" s="32" t="n">
        <v>5500</v>
      </c>
      <c r="F30" s="32" t="n">
        <v>5260</v>
      </c>
      <c r="G30" s="32" t="n">
        <v>5180</v>
      </c>
      <c r="H30" s="32" t="n">
        <v>4990</v>
      </c>
      <c r="I30" s="32" t="n">
        <v>4655</v>
      </c>
      <c r="J30" s="32" t="n">
        <v>4845</v>
      </c>
      <c r="K30" s="32" t="n">
        <v>4395</v>
      </c>
      <c r="L30" s="32" t="n">
        <v>3970</v>
      </c>
      <c r="M30" s="32" t="n">
        <v>4225</v>
      </c>
      <c r="N30" s="32" t="n">
        <v>4115</v>
      </c>
      <c r="O30" s="32" t="n">
        <v>4385</v>
      </c>
      <c r="P30" s="32" t="n">
        <v>4515</v>
      </c>
      <c r="Q30" s="32" t="n">
        <v>4555</v>
      </c>
      <c r="R30" s="32" t="n">
        <v>4545</v>
      </c>
      <c r="S30" s="32" t="n">
        <v>4850</v>
      </c>
      <c r="T30" s="32" t="n">
        <v>4865</v>
      </c>
      <c r="U30" s="32" t="n">
        <v>5250</v>
      </c>
      <c r="V30" s="32" t="n">
        <v>5290</v>
      </c>
      <c r="W30" s="32" t="n">
        <v>5140</v>
      </c>
      <c r="X30" s="32" t="n">
        <v>4725</v>
      </c>
      <c r="Y30" s="32" t="n">
        <v>4665</v>
      </c>
      <c r="Z30" s="32" t="n">
        <v>4910</v>
      </c>
      <c r="AA30" s="32" t="n">
        <v>5110</v>
      </c>
      <c r="AB30" s="32" t="n">
        <v>5060</v>
      </c>
      <c r="AC30" s="32" t="n">
        <v>4470</v>
      </c>
      <c r="AD30" s="32" t="n">
        <v>4440</v>
      </c>
      <c r="AE30" s="32" t="n">
        <v>4695</v>
      </c>
      <c r="AF30" s="32" t="n">
        <v>4675</v>
      </c>
      <c r="AG30" s="32" t="n">
        <v>4520</v>
      </c>
      <c r="AH30" s="32" t="n">
        <v>4115</v>
      </c>
      <c r="AI30" s="32" t="n">
        <v>3715</v>
      </c>
      <c r="AJ30" s="32" t="n">
        <v>3760</v>
      </c>
      <c r="AK30" s="32" t="n">
        <v>3765</v>
      </c>
      <c r="AL30" s="32" t="n">
        <v>3790</v>
      </c>
      <c r="AM30" s="32" t="n">
        <v>3770</v>
      </c>
      <c r="AN30" s="32" t="n">
        <v>3775</v>
      </c>
      <c r="AO30" s="32" t="n">
        <v>3845</v>
      </c>
      <c r="AP30" s="32" t="n">
        <v>3915</v>
      </c>
      <c r="AQ30" s="32" t="n">
        <v>3895</v>
      </c>
      <c r="AR30" s="32" t="n">
        <v>3760</v>
      </c>
      <c r="AS30" s="32" t="n">
        <v>3770</v>
      </c>
      <c r="AT30" s="32" t="n">
        <v>3695</v>
      </c>
      <c r="AU30" s="32" t="n">
        <v>3735</v>
      </c>
      <c r="AV30" s="32" t="n">
        <v>3645</v>
      </c>
      <c r="AW30" s="32" t="n">
        <v>3645</v>
      </c>
      <c r="AX30" s="32" t="n">
        <v>3455</v>
      </c>
      <c r="AY30" s="32" t="n">
        <v>3430</v>
      </c>
      <c r="AZ30" s="32" t="n">
        <v>3240</v>
      </c>
      <c r="BA30" s="32" t="n">
        <v>3225</v>
      </c>
      <c r="BB30" s="32" t="n">
        <v>3300</v>
      </c>
      <c r="BC30" s="32" t="n">
        <v>3365</v>
      </c>
      <c r="BD30" s="32" t="n">
        <v>3300</v>
      </c>
      <c r="BE30" s="32" t="n">
        <v>3265</v>
      </c>
      <c r="BF30" s="32" t="n">
        <v>3140</v>
      </c>
      <c r="BG30" s="32" t="n">
        <v>3260</v>
      </c>
      <c r="BH30" s="32" t="n">
        <v>3300</v>
      </c>
      <c r="BI30" s="32" t="n">
        <v>2908</v>
      </c>
      <c r="BJ30" s="32" t="n">
        <v>2762</v>
      </c>
      <c r="BK30" s="32" t="n">
        <v>2723</v>
      </c>
      <c r="BL30" s="33" t="n">
        <v>2984</v>
      </c>
    </row>
    <row r="31" ht="15.95" customHeight="1" s="574">
      <c r="A31" s="68" t="inlineStr">
        <is>
          <t>8309</t>
        </is>
      </c>
      <c r="B31" s="28" t="inlineStr">
        <is>
          <t>三井住友トラストグルー</t>
        </is>
      </c>
      <c r="C31" s="665">
        <f>_xll.RssMarket("8309","高値")</f>
        <v/>
      </c>
      <c r="D31" s="666">
        <f>C31-E31</f>
        <v/>
      </c>
      <c r="E31" s="32" t="n">
        <v>6218</v>
      </c>
      <c r="F31" s="32" t="n">
        <v>6180</v>
      </c>
      <c r="G31" s="32" t="n">
        <v>6177</v>
      </c>
      <c r="H31" s="32" t="n">
        <v>6081</v>
      </c>
      <c r="I31" s="32" t="n">
        <v>5999</v>
      </c>
      <c r="J31" s="32" t="n">
        <v>6169</v>
      </c>
      <c r="K31" s="32" t="n">
        <v>6016</v>
      </c>
      <c r="L31" s="32" t="n">
        <v>5937</v>
      </c>
      <c r="M31" s="32" t="n">
        <v>6096</v>
      </c>
      <c r="N31" s="32" t="n">
        <v>5847</v>
      </c>
      <c r="O31" s="32" t="n">
        <v>5947</v>
      </c>
      <c r="P31" s="32" t="n">
        <v>5806</v>
      </c>
      <c r="Q31" s="32" t="n">
        <v>5722</v>
      </c>
      <c r="R31" s="32" t="n">
        <v>5556</v>
      </c>
      <c r="S31" s="32" t="n">
        <v>5650</v>
      </c>
      <c r="T31" s="32" t="n">
        <v>5599</v>
      </c>
      <c r="U31" s="32" t="n">
        <v>5690</v>
      </c>
      <c r="V31" s="32" t="n">
        <v>5661</v>
      </c>
      <c r="W31" s="32" t="n">
        <v>5711</v>
      </c>
      <c r="X31" s="32" t="n">
        <v>5781</v>
      </c>
      <c r="Y31" s="32" t="n">
        <v>5807</v>
      </c>
      <c r="Z31" s="32" t="n">
        <v>5715</v>
      </c>
      <c r="AA31" s="32" t="n">
        <v>5638</v>
      </c>
      <c r="AB31" s="32" t="n">
        <v>5655</v>
      </c>
      <c r="AC31" s="32" t="n">
        <v>5682</v>
      </c>
      <c r="AD31" s="32" t="n">
        <v>5661</v>
      </c>
      <c r="AE31" s="32" t="n">
        <v>5623</v>
      </c>
      <c r="AF31" s="32" t="n">
        <v>5510</v>
      </c>
      <c r="AG31" s="32" t="n">
        <v>5484</v>
      </c>
      <c r="AH31" s="32" t="n">
        <v>5607</v>
      </c>
      <c r="AI31" s="32" t="n">
        <v>5357</v>
      </c>
      <c r="AJ31" s="32" t="n">
        <v>5252</v>
      </c>
      <c r="AK31" s="32" t="n">
        <v>5329</v>
      </c>
      <c r="AL31" s="32" t="n">
        <v>5149</v>
      </c>
      <c r="AM31" s="32" t="n">
        <v>5147</v>
      </c>
      <c r="AN31" s="32" t="n">
        <v>5172</v>
      </c>
      <c r="AO31" s="32" t="n">
        <v>5199</v>
      </c>
      <c r="AP31" s="32" t="n">
        <v>5300</v>
      </c>
      <c r="AQ31" s="32" t="n">
        <v>5419</v>
      </c>
      <c r="AR31" s="32" t="n">
        <v>5468</v>
      </c>
      <c r="AS31" s="32" t="n">
        <v>5507</v>
      </c>
      <c r="AT31" s="32" t="n">
        <v>5475</v>
      </c>
      <c r="AU31" s="32" t="n">
        <v>5422</v>
      </c>
      <c r="AV31" s="32" t="n">
        <v>5380</v>
      </c>
      <c r="AW31" s="32" t="n">
        <v>5363</v>
      </c>
      <c r="AX31" s="32" t="n">
        <v>5428</v>
      </c>
      <c r="AY31" s="32" t="n">
        <v>5382</v>
      </c>
      <c r="AZ31" s="32" t="n">
        <v>5200</v>
      </c>
      <c r="BA31" s="32" t="n">
        <v>5164</v>
      </c>
      <c r="BB31" s="32" t="n">
        <v>5153</v>
      </c>
      <c r="BC31" s="32" t="n">
        <v>5270</v>
      </c>
      <c r="BD31" s="32" t="n">
        <v>5184</v>
      </c>
      <c r="BE31" s="32" t="n">
        <v>5043</v>
      </c>
      <c r="BF31" s="32" t="n">
        <v>4956</v>
      </c>
      <c r="BG31" s="32" t="n">
        <v>5141</v>
      </c>
      <c r="BH31" s="32" t="n">
        <v>5166</v>
      </c>
      <c r="BI31" s="32" t="n">
        <v>5153</v>
      </c>
      <c r="BJ31" s="32" t="n">
        <v>5008</v>
      </c>
      <c r="BK31" s="32" t="n">
        <v>4890</v>
      </c>
      <c r="BL31" s="33" t="n">
        <v>5081</v>
      </c>
    </row>
    <row r="32" ht="15.95" customHeight="1" s="574">
      <c r="A32" s="68" t="inlineStr">
        <is>
          <t>3863</t>
        </is>
      </c>
      <c r="B32" s="28" t="inlineStr">
        <is>
          <t>日本製紙</t>
        </is>
      </c>
      <c r="C32" s="665">
        <f>_xll.RssMarket("3863","高値")</f>
        <v/>
      </c>
      <c r="D32" s="666">
        <f>C32-E32</f>
        <v/>
      </c>
      <c r="E32" s="32" t="n">
        <v>1209</v>
      </c>
      <c r="F32" s="32" t="n">
        <v>1220</v>
      </c>
      <c r="G32" s="32" t="n">
        <v>1238</v>
      </c>
      <c r="H32" s="32" t="n">
        <v>1259</v>
      </c>
      <c r="I32" s="32" t="n">
        <v>1253</v>
      </c>
      <c r="J32" s="32" t="n">
        <v>1249</v>
      </c>
      <c r="K32" s="32" t="n">
        <v>1227</v>
      </c>
      <c r="L32" s="32" t="n">
        <v>1219</v>
      </c>
      <c r="M32" s="32" t="n">
        <v>1239</v>
      </c>
      <c r="N32" s="32" t="n">
        <v>1270</v>
      </c>
      <c r="O32" s="32" t="n">
        <v>1262</v>
      </c>
      <c r="P32" s="32" t="n">
        <v>1213</v>
      </c>
      <c r="Q32" s="32" t="n">
        <v>1236</v>
      </c>
      <c r="R32" s="32" t="n">
        <v>1235</v>
      </c>
      <c r="S32" s="32" t="n">
        <v>1361</v>
      </c>
      <c r="T32" s="32" t="n">
        <v>1379</v>
      </c>
      <c r="U32" s="32" t="n">
        <v>1406</v>
      </c>
      <c r="V32" s="32" t="n">
        <v>1389</v>
      </c>
      <c r="W32" s="32" t="n">
        <v>1384</v>
      </c>
      <c r="X32" s="32" t="n">
        <v>1426</v>
      </c>
      <c r="Y32" s="32" t="n">
        <v>1420</v>
      </c>
      <c r="Z32" s="32" t="n">
        <v>1512</v>
      </c>
      <c r="AA32" s="32" t="n">
        <v>1490</v>
      </c>
      <c r="AB32" s="32" t="n">
        <v>1550</v>
      </c>
      <c r="AC32" s="32" t="n">
        <v>1487</v>
      </c>
      <c r="AD32" s="32" t="n">
        <v>1612</v>
      </c>
      <c r="AE32" s="32" t="n">
        <v>1513</v>
      </c>
      <c r="AF32" s="32" t="n">
        <v>1484</v>
      </c>
      <c r="AG32" s="32" t="n">
        <v>1460</v>
      </c>
      <c r="AH32" s="32" t="n">
        <v>1432</v>
      </c>
      <c r="AI32" s="32" t="n">
        <v>1374</v>
      </c>
      <c r="AJ32" s="32" t="n">
        <v>1334</v>
      </c>
      <c r="AK32" s="32" t="n">
        <v>1305</v>
      </c>
      <c r="AL32" s="32" t="n">
        <v>1437</v>
      </c>
      <c r="AM32" s="32" t="n">
        <v>1446</v>
      </c>
      <c r="AN32" s="32" t="n">
        <v>1455</v>
      </c>
      <c r="AO32" s="32" t="n">
        <v>1526</v>
      </c>
      <c r="AP32" s="32" t="n">
        <v>1500</v>
      </c>
      <c r="AQ32" s="32" t="n">
        <v>1472</v>
      </c>
      <c r="AR32" s="32" t="n">
        <v>1443</v>
      </c>
      <c r="AS32" s="32" t="n">
        <v>1407</v>
      </c>
      <c r="AT32" s="32" t="n">
        <v>1370</v>
      </c>
      <c r="AU32" s="32" t="n">
        <v>1339</v>
      </c>
      <c r="AV32" s="32" t="n">
        <v>1336</v>
      </c>
      <c r="AW32" s="32" t="n">
        <v>1327</v>
      </c>
      <c r="AX32" s="32" t="n">
        <v>1340</v>
      </c>
      <c r="AY32" s="32" t="n">
        <v>1317</v>
      </c>
      <c r="AZ32" s="32" t="n">
        <v>1319</v>
      </c>
      <c r="BA32" s="32" t="n">
        <v>1296</v>
      </c>
      <c r="BB32" s="32" t="n">
        <v>1309</v>
      </c>
      <c r="BC32" s="32" t="n">
        <v>1296</v>
      </c>
      <c r="BD32" s="32" t="n">
        <v>1294</v>
      </c>
      <c r="BE32" s="32" t="n">
        <v>1292</v>
      </c>
      <c r="BF32" s="32" t="n">
        <v>1278</v>
      </c>
      <c r="BG32" s="32" t="n">
        <v>1280</v>
      </c>
      <c r="BH32" s="32" t="n">
        <v>1256</v>
      </c>
      <c r="BI32" s="32" t="n">
        <v>1223</v>
      </c>
      <c r="BJ32" s="32" t="n">
        <v>1206</v>
      </c>
      <c r="BK32" s="32" t="n">
        <v>1189</v>
      </c>
      <c r="BL32" s="33" t="n">
        <v>1261</v>
      </c>
    </row>
    <row r="33" ht="15.95" customHeight="1" s="574">
      <c r="A33" s="68" t="inlineStr">
        <is>
          <t>8601</t>
        </is>
      </c>
      <c r="B33" s="28" t="inlineStr">
        <is>
          <t>大和証券Ｇ本社</t>
        </is>
      </c>
      <c r="C33" s="665">
        <f>_xll.RssMarket("8601","高値")</f>
        <v/>
      </c>
      <c r="D33" s="666">
        <f>C33-E33</f>
        <v/>
      </c>
      <c r="E33" s="32" t="n">
        <v>1631.5</v>
      </c>
      <c r="F33" s="32" t="n">
        <v>1626.5</v>
      </c>
      <c r="G33" s="32" t="n">
        <v>1630</v>
      </c>
      <c r="H33" s="32" t="n">
        <v>1625.5</v>
      </c>
      <c r="I33" s="32" t="n">
        <v>1607</v>
      </c>
      <c r="J33" s="32" t="n">
        <v>1626</v>
      </c>
      <c r="K33" s="32" t="n">
        <v>1575</v>
      </c>
      <c r="L33" s="32" t="n">
        <v>1548.5</v>
      </c>
      <c r="M33" s="32" t="n">
        <v>1606</v>
      </c>
      <c r="N33" s="32" t="n">
        <v>1554</v>
      </c>
      <c r="O33" s="32" t="n">
        <v>1566.5</v>
      </c>
      <c r="P33" s="32" t="n">
        <v>1560</v>
      </c>
      <c r="Q33" s="32" t="n">
        <v>1542.5</v>
      </c>
      <c r="R33" s="32" t="n">
        <v>1503.5</v>
      </c>
      <c r="S33" s="32" t="n">
        <v>1501.5</v>
      </c>
      <c r="T33" s="32" t="n">
        <v>1475</v>
      </c>
      <c r="U33" s="32" t="n">
        <v>1481.5</v>
      </c>
      <c r="V33" s="32" t="n">
        <v>1498.5</v>
      </c>
      <c r="W33" s="32" t="n">
        <v>1511.5</v>
      </c>
      <c r="X33" s="32" t="n">
        <v>1522.5</v>
      </c>
      <c r="Y33" s="32" t="n">
        <v>1507</v>
      </c>
      <c r="Z33" s="32" t="n">
        <v>1509.5</v>
      </c>
      <c r="AA33" s="32" t="n">
        <v>1486.5</v>
      </c>
      <c r="AB33" s="32" t="n">
        <v>1502</v>
      </c>
      <c r="AC33" s="32" t="n">
        <v>1505</v>
      </c>
      <c r="AD33" s="32" t="n">
        <v>1498</v>
      </c>
      <c r="AE33" s="32" t="n">
        <v>1469.5</v>
      </c>
      <c r="AF33" s="32" t="n">
        <v>1489</v>
      </c>
      <c r="AG33" s="32" t="n">
        <v>1518.5</v>
      </c>
      <c r="AH33" s="32" t="n">
        <v>1463</v>
      </c>
      <c r="AI33" s="32" t="n">
        <v>1467.5</v>
      </c>
      <c r="AJ33" s="32" t="n">
        <v>1473.5</v>
      </c>
      <c r="AK33" s="32" t="n">
        <v>1526.5</v>
      </c>
      <c r="AL33" s="32" t="n">
        <v>1512.5</v>
      </c>
      <c r="AM33" s="32" t="n">
        <v>1514.5</v>
      </c>
      <c r="AN33" s="32" t="n">
        <v>1525</v>
      </c>
      <c r="AO33" s="32" t="n">
        <v>1536</v>
      </c>
      <c r="AP33" s="32" t="n">
        <v>1537</v>
      </c>
      <c r="AQ33" s="32" t="n">
        <v>1553.5</v>
      </c>
      <c r="AR33" s="32" t="n">
        <v>1599</v>
      </c>
      <c r="AS33" s="32" t="n">
        <v>1583.5</v>
      </c>
      <c r="AT33" s="32" t="n">
        <v>1572</v>
      </c>
      <c r="AU33" s="32" t="n">
        <v>1549.5</v>
      </c>
      <c r="AV33" s="32" t="n">
        <v>1556</v>
      </c>
      <c r="AW33" s="32" t="n">
        <v>1579</v>
      </c>
      <c r="AX33" s="32" t="n">
        <v>1585</v>
      </c>
      <c r="AY33" s="32" t="n">
        <v>1520.5</v>
      </c>
      <c r="AZ33" s="32" t="n">
        <v>1532.5</v>
      </c>
      <c r="BA33" s="32" t="n">
        <v>1536.5</v>
      </c>
      <c r="BB33" s="32" t="n">
        <v>1551.5</v>
      </c>
      <c r="BC33" s="32" t="n">
        <v>1533.5</v>
      </c>
      <c r="BD33" s="32" t="n">
        <v>1527.5</v>
      </c>
      <c r="BE33" s="32" t="n">
        <v>1514</v>
      </c>
      <c r="BF33" s="32" t="n">
        <v>1584.5</v>
      </c>
      <c r="BG33" s="32" t="n">
        <v>1582</v>
      </c>
      <c r="BH33" s="32" t="n">
        <v>1564.5</v>
      </c>
      <c r="BI33" s="32" t="n">
        <v>1504</v>
      </c>
      <c r="BJ33" s="32" t="n">
        <v>1480.5</v>
      </c>
      <c r="BK33" s="32" t="n">
        <v>1488.5</v>
      </c>
      <c r="BL33" s="33" t="n">
        <v>1510</v>
      </c>
    </row>
    <row r="34" ht="15.95" customHeight="1" s="574">
      <c r="A34" s="68" t="inlineStr">
        <is>
          <t>5233</t>
        </is>
      </c>
      <c r="B34" s="28" t="inlineStr">
        <is>
          <t>太平洋セメント</t>
        </is>
      </c>
      <c r="C34" s="665">
        <f>_xll.RssMarket("5233","高値")</f>
        <v/>
      </c>
      <c r="D34" s="666">
        <f>C34-E34</f>
        <v/>
      </c>
      <c r="E34" s="32" t="n">
        <v>4285</v>
      </c>
      <c r="F34" s="32" t="n">
        <v>4418</v>
      </c>
      <c r="G34" s="32" t="n">
        <v>4442</v>
      </c>
      <c r="H34" s="32" t="n">
        <v>4447</v>
      </c>
      <c r="I34" s="32" t="n">
        <v>4457</v>
      </c>
      <c r="J34" s="32" t="n">
        <v>4455</v>
      </c>
      <c r="K34" s="32" t="n">
        <v>4205</v>
      </c>
      <c r="L34" s="32" t="n">
        <v>4108</v>
      </c>
      <c r="M34" s="32" t="n">
        <v>4187</v>
      </c>
      <c r="N34" s="32" t="n">
        <v>4304</v>
      </c>
      <c r="O34" s="32" t="n">
        <v>4424</v>
      </c>
      <c r="P34" s="32" t="n">
        <v>4448</v>
      </c>
      <c r="Q34" s="32" t="n">
        <v>4488</v>
      </c>
      <c r="R34" s="32" t="n">
        <v>4418</v>
      </c>
      <c r="S34" s="32" t="n">
        <v>4657</v>
      </c>
      <c r="T34" s="32" t="n">
        <v>4374</v>
      </c>
      <c r="U34" s="32" t="n">
        <v>4274</v>
      </c>
      <c r="V34" s="32" t="n">
        <v>4156</v>
      </c>
      <c r="W34" s="32" t="n">
        <v>4180</v>
      </c>
      <c r="X34" s="32" t="n">
        <v>4106</v>
      </c>
      <c r="Y34" s="32" t="n">
        <v>3988</v>
      </c>
      <c r="Z34" s="32" t="n">
        <v>3942</v>
      </c>
      <c r="AA34" s="32" t="n">
        <v>3959</v>
      </c>
      <c r="AB34" s="32" t="n">
        <v>4167</v>
      </c>
      <c r="AC34" s="32" t="n">
        <v>4276</v>
      </c>
      <c r="AD34" s="32" t="n">
        <v>4217</v>
      </c>
      <c r="AE34" s="32" t="n">
        <v>3899</v>
      </c>
      <c r="AF34" s="32" t="n">
        <v>3651</v>
      </c>
      <c r="AG34" s="32" t="n">
        <v>3730</v>
      </c>
      <c r="AH34" s="32" t="n">
        <v>3706</v>
      </c>
      <c r="AI34" s="32" t="n">
        <v>3596</v>
      </c>
      <c r="AJ34" s="32" t="n">
        <v>3608</v>
      </c>
      <c r="AK34" s="32" t="n">
        <v>3666</v>
      </c>
      <c r="AL34" s="32" t="n">
        <v>3645</v>
      </c>
      <c r="AM34" s="32" t="n">
        <v>3586</v>
      </c>
      <c r="AN34" s="32" t="n">
        <v>3589</v>
      </c>
      <c r="AO34" s="32" t="n">
        <v>3684</v>
      </c>
      <c r="AP34" s="32" t="n">
        <v>3718</v>
      </c>
      <c r="AQ34" s="32" t="n">
        <v>3737</v>
      </c>
      <c r="AR34" s="32" t="n">
        <v>3710</v>
      </c>
      <c r="AS34" s="32" t="n">
        <v>3730</v>
      </c>
      <c r="AT34" s="32" t="n">
        <v>3729</v>
      </c>
      <c r="AU34" s="32" t="n">
        <v>3774</v>
      </c>
      <c r="AV34" s="32" t="n">
        <v>3756</v>
      </c>
      <c r="AW34" s="32" t="n">
        <v>3733</v>
      </c>
      <c r="AX34" s="32" t="n">
        <v>3782</v>
      </c>
      <c r="AY34" s="32" t="n">
        <v>3778</v>
      </c>
      <c r="AZ34" s="32" t="n">
        <v>3592</v>
      </c>
      <c r="BA34" s="32" t="n">
        <v>3569</v>
      </c>
      <c r="BB34" s="32" t="n">
        <v>3570</v>
      </c>
      <c r="BC34" s="32" t="n">
        <v>3657</v>
      </c>
      <c r="BD34" s="32" t="n">
        <v>3622</v>
      </c>
      <c r="BE34" s="32" t="n">
        <v>3528</v>
      </c>
      <c r="BF34" s="32" t="n">
        <v>3483</v>
      </c>
      <c r="BG34" s="32" t="n">
        <v>3568</v>
      </c>
      <c r="BH34" s="32" t="n">
        <v>3600</v>
      </c>
      <c r="BI34" s="32" t="n">
        <v>3599</v>
      </c>
      <c r="BJ34" s="32" t="n">
        <v>3481</v>
      </c>
      <c r="BK34" s="32" t="n">
        <v>3355</v>
      </c>
      <c r="BL34" s="33" t="n">
        <v>3639</v>
      </c>
    </row>
    <row r="35" ht="15.95" customHeight="1" s="574">
      <c r="A35" s="68" t="inlineStr">
        <is>
          <t>8308</t>
        </is>
      </c>
      <c r="B35" s="28" t="inlineStr">
        <is>
          <t>りそなホールディングス</t>
        </is>
      </c>
      <c r="C35" s="665">
        <f>_xll.RssMarket("8308","高値")</f>
        <v/>
      </c>
      <c r="D35" s="666">
        <f>C35-E35</f>
        <v/>
      </c>
      <c r="E35" s="32" t="n">
        <v>2238.5</v>
      </c>
      <c r="F35" s="32" t="n">
        <v>2270</v>
      </c>
      <c r="G35" s="32" t="n">
        <v>2263.5</v>
      </c>
      <c r="H35" s="32" t="n">
        <v>2232.5</v>
      </c>
      <c r="I35" s="32" t="n">
        <v>2171</v>
      </c>
      <c r="J35" s="32" t="n">
        <v>2277.5</v>
      </c>
      <c r="K35" s="32" t="n">
        <v>2197</v>
      </c>
      <c r="L35" s="32" t="n">
        <v>2144.5</v>
      </c>
      <c r="M35" s="32" t="n">
        <v>2198.5</v>
      </c>
      <c r="N35" s="32" t="n">
        <v>2099</v>
      </c>
      <c r="O35" s="32" t="n">
        <v>2178</v>
      </c>
      <c r="P35" s="32" t="n">
        <v>2143</v>
      </c>
      <c r="Q35" s="32" t="n">
        <v>2090.5</v>
      </c>
      <c r="R35" s="32" t="n">
        <v>2033.5</v>
      </c>
      <c r="S35" s="32" t="n">
        <v>2092</v>
      </c>
      <c r="T35" s="32" t="n">
        <v>2050</v>
      </c>
      <c r="U35" s="32" t="n">
        <v>2065.5</v>
      </c>
      <c r="V35" s="32" t="n">
        <v>2147.5</v>
      </c>
      <c r="W35" s="32" t="n">
        <v>2154</v>
      </c>
      <c r="X35" s="32" t="n">
        <v>2158.5</v>
      </c>
      <c r="Y35" s="32" t="n">
        <v>2131</v>
      </c>
      <c r="Z35" s="32" t="n">
        <v>2086</v>
      </c>
      <c r="AA35" s="32" t="n">
        <v>2074</v>
      </c>
      <c r="AB35" s="32" t="n">
        <v>2105</v>
      </c>
      <c r="AC35" s="32" t="n">
        <v>2061</v>
      </c>
      <c r="AD35" s="32" t="n">
        <v>2077.5</v>
      </c>
      <c r="AE35" s="32" t="n">
        <v>2054</v>
      </c>
      <c r="AF35" s="32" t="n">
        <v>2008</v>
      </c>
      <c r="AG35" s="32" t="n">
        <v>1984.5</v>
      </c>
      <c r="AH35" s="32" t="n">
        <v>2037</v>
      </c>
      <c r="AI35" s="32" t="n">
        <v>1958</v>
      </c>
      <c r="AJ35" s="32" t="n">
        <v>1947.5</v>
      </c>
      <c r="AK35" s="32" t="n">
        <v>2006</v>
      </c>
      <c r="AL35" s="32" t="n">
        <v>1857</v>
      </c>
      <c r="AM35" s="32" t="n">
        <v>1854</v>
      </c>
      <c r="AN35" s="32" t="n">
        <v>1838</v>
      </c>
      <c r="AO35" s="32" t="n">
        <v>1907</v>
      </c>
      <c r="AP35" s="32" t="n">
        <v>1963</v>
      </c>
      <c r="AQ35" s="32" t="n">
        <v>2009.5</v>
      </c>
      <c r="AR35" s="32" t="n">
        <v>1966</v>
      </c>
      <c r="AS35" s="32" t="n">
        <v>1966</v>
      </c>
      <c r="AT35" s="32" t="n">
        <v>1947</v>
      </c>
      <c r="AU35" s="32" t="n">
        <v>1911.5</v>
      </c>
      <c r="AV35" s="32" t="n">
        <v>1909</v>
      </c>
      <c r="AW35" s="32" t="n">
        <v>1915.5</v>
      </c>
      <c r="AX35" s="32" t="n">
        <v>1938</v>
      </c>
      <c r="AY35" s="32" t="n">
        <v>1983.5</v>
      </c>
      <c r="AZ35" s="32" t="n">
        <v>1894</v>
      </c>
      <c r="BA35" s="32" t="n">
        <v>1881.5</v>
      </c>
      <c r="BB35" s="32" t="n">
        <v>1844.5</v>
      </c>
      <c r="BC35" s="32" t="n">
        <v>1909.5</v>
      </c>
      <c r="BD35" s="32" t="n">
        <v>1872</v>
      </c>
      <c r="BE35" s="32" t="n">
        <v>1781</v>
      </c>
      <c r="BF35" s="32" t="n">
        <v>1749</v>
      </c>
      <c r="BG35" s="32" t="n">
        <v>1834</v>
      </c>
      <c r="BH35" s="32" t="n">
        <v>1858</v>
      </c>
      <c r="BI35" s="32" t="n">
        <v>1855.5</v>
      </c>
      <c r="BJ35" s="32" t="n">
        <v>1777</v>
      </c>
      <c r="BK35" s="32" t="n">
        <v>1713.5</v>
      </c>
      <c r="BL35" s="33" t="n">
        <v>1788</v>
      </c>
    </row>
    <row r="36" ht="15.95" customHeight="1" s="574">
      <c r="A36" s="68" t="inlineStr">
        <is>
          <t>5938</t>
        </is>
      </c>
      <c r="B36" s="28" t="inlineStr">
        <is>
          <t>ＬＩＸＩＬ</t>
        </is>
      </c>
      <c r="C36" s="665">
        <f>_xll.RssMarket("5938","高値")</f>
        <v/>
      </c>
      <c r="D36" s="666">
        <f>C36-E36</f>
        <v/>
      </c>
      <c r="E36" s="32" t="n">
        <v>1746.5</v>
      </c>
      <c r="F36" s="32" t="n">
        <v>1721.5</v>
      </c>
      <c r="G36" s="32" t="n">
        <v>1743.5</v>
      </c>
      <c r="H36" s="32" t="n">
        <v>1739.5</v>
      </c>
      <c r="I36" s="32" t="n">
        <v>1746.5</v>
      </c>
      <c r="J36" s="32" t="n">
        <v>1745</v>
      </c>
      <c r="K36" s="32" t="n">
        <v>1732.5</v>
      </c>
      <c r="L36" s="32" t="n">
        <v>1740</v>
      </c>
      <c r="M36" s="32" t="n">
        <v>1724</v>
      </c>
      <c r="N36" s="32" t="n">
        <v>1717</v>
      </c>
      <c r="O36" s="32" t="n">
        <v>1715</v>
      </c>
      <c r="P36" s="32" t="n">
        <v>1706.5</v>
      </c>
      <c r="Q36" s="32" t="n">
        <v>1688</v>
      </c>
      <c r="R36" s="32" t="n">
        <v>1708</v>
      </c>
      <c r="S36" s="32" t="n">
        <v>1696</v>
      </c>
      <c r="T36" s="32" t="n">
        <v>1681.5</v>
      </c>
      <c r="U36" s="32" t="n">
        <v>1663.5</v>
      </c>
      <c r="V36" s="32" t="n">
        <v>1649</v>
      </c>
      <c r="W36" s="32" t="n">
        <v>1651</v>
      </c>
      <c r="X36" s="32" t="n">
        <v>1650</v>
      </c>
      <c r="Y36" s="32" t="n">
        <v>1661.5</v>
      </c>
      <c r="Z36" s="32" t="n">
        <v>1682</v>
      </c>
      <c r="AA36" s="32" t="n">
        <v>1673.5</v>
      </c>
      <c r="AB36" s="32" t="n">
        <v>1670</v>
      </c>
      <c r="AC36" s="32" t="n">
        <v>1688</v>
      </c>
      <c r="AD36" s="32" t="n">
        <v>1694</v>
      </c>
      <c r="AE36" s="32" t="n">
        <v>1703</v>
      </c>
      <c r="AF36" s="32" t="n">
        <v>1701.5</v>
      </c>
      <c r="AG36" s="32" t="n">
        <v>1689.5</v>
      </c>
      <c r="AH36" s="32" t="n">
        <v>1670</v>
      </c>
      <c r="AI36" s="32" t="n">
        <v>1627.5</v>
      </c>
      <c r="AJ36" s="32" t="n">
        <v>1628</v>
      </c>
      <c r="AK36" s="32" t="n">
        <v>1610.5</v>
      </c>
      <c r="AL36" s="32" t="n">
        <v>1626</v>
      </c>
      <c r="AM36" s="32" t="n">
        <v>1623.5</v>
      </c>
      <c r="AN36" s="32" t="n">
        <v>1636</v>
      </c>
      <c r="AO36" s="32" t="n">
        <v>1654.5</v>
      </c>
      <c r="AP36" s="32" t="n">
        <v>1644.5</v>
      </c>
      <c r="AQ36" s="32" t="n">
        <v>1627.5</v>
      </c>
      <c r="AR36" s="32" t="n">
        <v>1645.5</v>
      </c>
      <c r="AS36" s="32" t="n">
        <v>1623.5</v>
      </c>
      <c r="AT36" s="32" t="n">
        <v>1619.5</v>
      </c>
      <c r="AU36" s="32" t="n">
        <v>1663.5</v>
      </c>
      <c r="AV36" s="32" t="n">
        <v>1672.5</v>
      </c>
      <c r="AW36" s="32" t="n">
        <v>1686.5</v>
      </c>
      <c r="AX36" s="32" t="n">
        <v>1676.5</v>
      </c>
      <c r="AY36" s="32" t="n">
        <v>1655</v>
      </c>
      <c r="AZ36" s="32" t="n">
        <v>1647</v>
      </c>
      <c r="BA36" s="32" t="n">
        <v>1647.5</v>
      </c>
      <c r="BB36" s="32" t="n">
        <v>1669.5</v>
      </c>
      <c r="BC36" s="32" t="n">
        <v>1651</v>
      </c>
      <c r="BD36" s="32" t="n">
        <v>1641.5</v>
      </c>
      <c r="BE36" s="32" t="n">
        <v>1630</v>
      </c>
      <c r="BF36" s="32" t="n">
        <v>1708</v>
      </c>
      <c r="BG36" s="32" t="n">
        <v>1705</v>
      </c>
      <c r="BH36" s="32" t="n">
        <v>1693.5</v>
      </c>
      <c r="BI36" s="32" t="n">
        <v>1664</v>
      </c>
      <c r="BJ36" s="32" t="n">
        <v>1667</v>
      </c>
      <c r="BK36" s="32" t="n">
        <v>1712</v>
      </c>
      <c r="BL36" s="33" t="n">
        <v>1723.5</v>
      </c>
    </row>
    <row r="37" ht="15.95" customHeight="1" s="574">
      <c r="A37" s="68" t="inlineStr">
        <is>
          <t>8570</t>
        </is>
      </c>
      <c r="B37" s="28" t="inlineStr">
        <is>
          <t>イオンフィナンシャルサービス</t>
        </is>
      </c>
      <c r="C37" s="665">
        <f>_xll.RssMarket("8570","高値")</f>
        <v/>
      </c>
      <c r="D37" s="666">
        <f>C37-E37</f>
        <v/>
      </c>
      <c r="E37" s="32" t="n">
        <v>1469</v>
      </c>
      <c r="F37" s="32" t="n">
        <v>1495</v>
      </c>
      <c r="G37" s="32" t="n">
        <v>1507</v>
      </c>
      <c r="H37" s="32" t="n">
        <v>1519</v>
      </c>
      <c r="I37" s="32" t="n">
        <v>1511</v>
      </c>
      <c r="J37" s="32" t="n">
        <v>1531.5</v>
      </c>
      <c r="K37" s="32" t="n">
        <v>1518.5</v>
      </c>
      <c r="L37" s="32" t="n">
        <v>1510</v>
      </c>
      <c r="M37" s="32" t="n">
        <v>1514.5</v>
      </c>
      <c r="N37" s="32" t="n">
        <v>1478</v>
      </c>
      <c r="O37" s="32" t="n">
        <v>1474.5</v>
      </c>
      <c r="P37" s="32" t="n">
        <v>1467.5</v>
      </c>
      <c r="Q37" s="32" t="n">
        <v>1460</v>
      </c>
      <c r="R37" s="32" t="n">
        <v>1539.5</v>
      </c>
      <c r="S37" s="32" t="n">
        <v>1545</v>
      </c>
      <c r="T37" s="32" t="n">
        <v>1551.5</v>
      </c>
      <c r="U37" s="32" t="n">
        <v>1562.5</v>
      </c>
      <c r="V37" s="32" t="n">
        <v>1594.5</v>
      </c>
      <c r="W37" s="32" t="n">
        <v>1619</v>
      </c>
      <c r="X37" s="32" t="n">
        <v>1590</v>
      </c>
      <c r="Y37" s="32" t="n">
        <v>1595</v>
      </c>
      <c r="Z37" s="32" t="n">
        <v>1595.5</v>
      </c>
      <c r="AA37" s="32" t="n">
        <v>1569</v>
      </c>
      <c r="AB37" s="32" t="n">
        <v>1566.5</v>
      </c>
      <c r="AC37" s="32" t="n">
        <v>1567.5</v>
      </c>
      <c r="AD37" s="32" t="n">
        <v>1565</v>
      </c>
      <c r="AE37" s="32" t="n">
        <v>1535.5</v>
      </c>
      <c r="AF37" s="32" t="n">
        <v>1540</v>
      </c>
      <c r="AG37" s="32" t="n">
        <v>1575</v>
      </c>
      <c r="AH37" s="32" t="n">
        <v>1561.5</v>
      </c>
      <c r="AI37" s="32" t="n">
        <v>1561.5</v>
      </c>
      <c r="AJ37" s="32" t="n">
        <v>1561.5</v>
      </c>
      <c r="AK37" s="32" t="n">
        <v>1549.5</v>
      </c>
      <c r="AL37" s="32" t="n">
        <v>1565</v>
      </c>
      <c r="AM37" s="32" t="n">
        <v>1562.5</v>
      </c>
      <c r="AN37" s="32" t="n">
        <v>1560.5</v>
      </c>
      <c r="AO37" s="32" t="n">
        <v>1571</v>
      </c>
      <c r="AP37" s="32" t="n">
        <v>1573</v>
      </c>
      <c r="AQ37" s="32" t="n">
        <v>1609.5</v>
      </c>
      <c r="AR37" s="32" t="n">
        <v>1650</v>
      </c>
      <c r="AS37" s="32" t="n">
        <v>1631</v>
      </c>
      <c r="AT37" s="32" t="n">
        <v>1625</v>
      </c>
      <c r="AU37" s="32" t="n">
        <v>1596.5</v>
      </c>
      <c r="AV37" s="32" t="n">
        <v>1558</v>
      </c>
      <c r="AW37" s="32" t="n">
        <v>1545</v>
      </c>
      <c r="AX37" s="32" t="n">
        <v>1678.5</v>
      </c>
      <c r="AY37" s="32" t="n">
        <v>1635.5</v>
      </c>
      <c r="AZ37" s="32" t="n">
        <v>1622</v>
      </c>
      <c r="BA37" s="32" t="n">
        <v>1618.5</v>
      </c>
      <c r="BB37" s="32" t="n">
        <v>1626</v>
      </c>
      <c r="BC37" s="32" t="n">
        <v>1605</v>
      </c>
      <c r="BD37" s="32" t="n">
        <v>1587.5</v>
      </c>
      <c r="BE37" s="32" t="n">
        <v>1555.5</v>
      </c>
      <c r="BF37" s="32" t="n">
        <v>1587</v>
      </c>
      <c r="BG37" s="32" t="n">
        <v>1596.5</v>
      </c>
      <c r="BH37" s="32" t="n">
        <v>1611.5</v>
      </c>
      <c r="BI37" s="32" t="n">
        <v>1580</v>
      </c>
      <c r="BJ37" s="32" t="n">
        <v>1554</v>
      </c>
      <c r="BK37" s="32" t="n">
        <v>1594</v>
      </c>
      <c r="BL37" s="33" t="n">
        <v>1613.5</v>
      </c>
    </row>
    <row r="38" ht="15.95" customHeight="1" s="574">
      <c r="A38" s="68" t="inlineStr">
        <is>
          <t>5406</t>
        </is>
      </c>
      <c r="B38" s="28" t="inlineStr">
        <is>
          <t>神戸製鋼所</t>
        </is>
      </c>
      <c r="C38" s="665">
        <f>_xll.RssMarket("5406","高値")</f>
        <v/>
      </c>
      <c r="D38" s="666">
        <f>C38-E38</f>
        <v/>
      </c>
      <c r="E38" s="32" t="n">
        <v>1970.5</v>
      </c>
      <c r="F38" s="32" t="n">
        <v>2002.5</v>
      </c>
      <c r="G38" s="32" t="n">
        <v>2004.5</v>
      </c>
      <c r="H38" s="32" t="n">
        <v>1995</v>
      </c>
      <c r="I38" s="32" t="n">
        <v>2003</v>
      </c>
      <c r="J38" s="32" t="n">
        <v>2001</v>
      </c>
      <c r="K38" s="32" t="n">
        <v>1966.5</v>
      </c>
      <c r="L38" s="32" t="n">
        <v>1901</v>
      </c>
      <c r="M38" s="32" t="n">
        <v>1923</v>
      </c>
      <c r="N38" s="32" t="n">
        <v>1932</v>
      </c>
      <c r="O38" s="32" t="n">
        <v>1963</v>
      </c>
      <c r="P38" s="32" t="n">
        <v>1971.5</v>
      </c>
      <c r="Q38" s="32" t="n">
        <v>1987</v>
      </c>
      <c r="R38" s="32" t="n">
        <v>1959.5</v>
      </c>
      <c r="S38" s="32" t="n">
        <v>2002.5</v>
      </c>
      <c r="T38" s="32" t="n">
        <v>1987.5</v>
      </c>
      <c r="U38" s="32" t="n">
        <v>2018.5</v>
      </c>
      <c r="V38" s="32" t="n">
        <v>1969</v>
      </c>
      <c r="W38" s="32" t="n">
        <v>1966.5</v>
      </c>
      <c r="X38" s="32" t="n">
        <v>1936</v>
      </c>
      <c r="Y38" s="32" t="n">
        <v>1917.5</v>
      </c>
      <c r="Z38" s="32" t="n">
        <v>1929</v>
      </c>
      <c r="AA38" s="32" t="n">
        <v>1955.5</v>
      </c>
      <c r="AB38" s="32" t="n">
        <v>1979</v>
      </c>
      <c r="AC38" s="32" t="n">
        <v>1985.5</v>
      </c>
      <c r="AD38" s="32" t="n">
        <v>1996.5</v>
      </c>
      <c r="AE38" s="32" t="n">
        <v>2024</v>
      </c>
      <c r="AF38" s="32" t="n">
        <v>2052</v>
      </c>
      <c r="AG38" s="32" t="n">
        <v>1967</v>
      </c>
      <c r="AH38" s="32" t="n">
        <v>2008</v>
      </c>
      <c r="AI38" s="32" t="n">
        <v>1950</v>
      </c>
      <c r="AJ38" s="32" t="n">
        <v>1934</v>
      </c>
      <c r="AK38" s="32" t="n">
        <v>1898.5</v>
      </c>
      <c r="AL38" s="32" t="n">
        <v>1874.5</v>
      </c>
      <c r="AM38" s="32" t="n">
        <v>1858</v>
      </c>
      <c r="AN38" s="32" t="n">
        <v>1870</v>
      </c>
      <c r="AO38" s="32" t="n">
        <v>1901.5</v>
      </c>
      <c r="AP38" s="32" t="n">
        <v>1939</v>
      </c>
      <c r="AQ38" s="32" t="n">
        <v>1946.5</v>
      </c>
      <c r="AR38" s="32" t="n">
        <v>1943</v>
      </c>
      <c r="AS38" s="32" t="n">
        <v>1954.5</v>
      </c>
      <c r="AT38" s="32" t="n">
        <v>1955</v>
      </c>
      <c r="AU38" s="32" t="n">
        <v>1969</v>
      </c>
      <c r="AV38" s="32" t="n">
        <v>1953</v>
      </c>
      <c r="AW38" s="32" t="n">
        <v>1981</v>
      </c>
      <c r="AX38" s="32" t="n">
        <v>1981</v>
      </c>
      <c r="AY38" s="32" t="n">
        <v>1992</v>
      </c>
      <c r="AZ38" s="32" t="n">
        <v>1948.5</v>
      </c>
      <c r="BA38" s="32" t="n">
        <v>1954.5</v>
      </c>
      <c r="BB38" s="32" t="n">
        <v>1961</v>
      </c>
      <c r="BC38" s="32" t="n">
        <v>1981</v>
      </c>
      <c r="BD38" s="32" t="n">
        <v>1959.5</v>
      </c>
      <c r="BE38" s="32" t="n">
        <v>1915.5</v>
      </c>
      <c r="BF38" s="32" t="n">
        <v>1887.5</v>
      </c>
      <c r="BG38" s="32" t="n">
        <v>1972</v>
      </c>
      <c r="BH38" s="32" t="n">
        <v>1978</v>
      </c>
      <c r="BI38" s="32" t="n">
        <v>2008.5</v>
      </c>
      <c r="BJ38" s="32" t="n">
        <v>1995.5</v>
      </c>
      <c r="BK38" s="32" t="n">
        <v>1989</v>
      </c>
      <c r="BL38" s="33" t="n">
        <v>2028.5</v>
      </c>
    </row>
    <row r="39" ht="15.95" customHeight="1" s="574">
      <c r="A39" s="68" t="inlineStr">
        <is>
          <t>8593</t>
        </is>
      </c>
      <c r="B39" s="28" t="inlineStr">
        <is>
          <t>三菱ＨＣキャピタル</t>
        </is>
      </c>
      <c r="C39" s="665">
        <f>_xll.RssMarket("8593","高値")</f>
        <v/>
      </c>
      <c r="D39" s="666">
        <f>C39-E39</f>
        <v/>
      </c>
      <c r="E39" s="32" t="n">
        <v>1312</v>
      </c>
      <c r="F39" s="32" t="n">
        <v>1317</v>
      </c>
      <c r="G39" s="32" t="n">
        <v>1324</v>
      </c>
      <c r="H39" s="32" t="n">
        <v>1338</v>
      </c>
      <c r="I39" s="32" t="n">
        <v>1332.5</v>
      </c>
      <c r="J39" s="32" t="n">
        <v>1347.5</v>
      </c>
      <c r="K39" s="32" t="n">
        <v>1324</v>
      </c>
      <c r="L39" s="32" t="n">
        <v>1326.5</v>
      </c>
      <c r="M39" s="32" t="n">
        <v>1335</v>
      </c>
      <c r="N39" s="32" t="n">
        <v>1298.5</v>
      </c>
      <c r="O39" s="32" t="n">
        <v>1289.5</v>
      </c>
      <c r="P39" s="32" t="n">
        <v>1271.5</v>
      </c>
      <c r="Q39" s="32" t="n">
        <v>1271</v>
      </c>
      <c r="R39" s="32" t="n">
        <v>1270</v>
      </c>
      <c r="S39" s="32" t="n">
        <v>1328</v>
      </c>
      <c r="T39" s="32" t="n">
        <v>1314.5</v>
      </c>
      <c r="U39" s="32" t="n">
        <v>1341</v>
      </c>
      <c r="V39" s="32" t="n">
        <v>1328.5</v>
      </c>
      <c r="W39" s="32" t="n">
        <v>1331</v>
      </c>
      <c r="X39" s="32" t="n">
        <v>1363.5</v>
      </c>
      <c r="Y39" s="32" t="n">
        <v>1354.5</v>
      </c>
      <c r="Z39" s="32" t="n">
        <v>1357.5</v>
      </c>
      <c r="AA39" s="32" t="n">
        <v>1383.5</v>
      </c>
      <c r="AB39" s="32" t="n">
        <v>1436.5</v>
      </c>
      <c r="AC39" s="32" t="n">
        <v>1435</v>
      </c>
      <c r="AD39" s="32" t="n">
        <v>1446.5</v>
      </c>
      <c r="AE39" s="32" t="n">
        <v>1445</v>
      </c>
      <c r="AF39" s="32" t="n">
        <v>1414.5</v>
      </c>
      <c r="AG39" s="32" t="n">
        <v>1412</v>
      </c>
      <c r="AH39" s="32" t="n">
        <v>1420</v>
      </c>
      <c r="AI39" s="32" t="n">
        <v>1411</v>
      </c>
      <c r="AJ39" s="32" t="n">
        <v>1435</v>
      </c>
      <c r="AK39" s="32" t="n">
        <v>1443</v>
      </c>
      <c r="AL39" s="32" t="n">
        <v>1421</v>
      </c>
      <c r="AM39" s="32" t="n">
        <v>1419</v>
      </c>
      <c r="AN39" s="32" t="n">
        <v>1414.5</v>
      </c>
      <c r="AO39" s="32" t="n">
        <v>1438</v>
      </c>
      <c r="AP39" s="32" t="n">
        <v>1461</v>
      </c>
      <c r="AQ39" s="32" t="n">
        <v>1474.5</v>
      </c>
      <c r="AR39" s="32" t="n">
        <v>1473.5</v>
      </c>
      <c r="AS39" s="32" t="n">
        <v>1478</v>
      </c>
      <c r="AT39" s="32" t="n">
        <v>1473.5</v>
      </c>
      <c r="AU39" s="32" t="n">
        <v>1477</v>
      </c>
      <c r="AV39" s="32" t="n">
        <v>1480.5</v>
      </c>
      <c r="AW39" s="32" t="n">
        <v>1488.5</v>
      </c>
      <c r="AX39" s="32" t="n">
        <v>1516.5</v>
      </c>
      <c r="AY39" s="32" t="n">
        <v>1516.5</v>
      </c>
      <c r="AZ39" s="32" t="n">
        <v>1499.5</v>
      </c>
      <c r="BA39" s="32" t="n">
        <v>1486</v>
      </c>
      <c r="BB39" s="32" t="n">
        <v>1475.5</v>
      </c>
      <c r="BC39" s="32" t="n">
        <v>1482</v>
      </c>
      <c r="BD39" s="32" t="n">
        <v>1440.5</v>
      </c>
      <c r="BE39" s="32" t="n">
        <v>1425.5</v>
      </c>
      <c r="BF39" s="32" t="n">
        <v>1419</v>
      </c>
      <c r="BG39" s="32" t="n">
        <v>1453.5</v>
      </c>
      <c r="BH39" s="32" t="n">
        <v>1460</v>
      </c>
      <c r="BI39" s="32" t="n">
        <v>1453</v>
      </c>
      <c r="BJ39" s="32" t="n">
        <v>1425</v>
      </c>
      <c r="BK39" s="32" t="n">
        <v>1413</v>
      </c>
      <c r="BL39" s="33" t="n">
        <v>1450</v>
      </c>
    </row>
    <row r="40" ht="15.95" customHeight="1" s="574">
      <c r="A40" s="68" t="inlineStr">
        <is>
          <t>8604</t>
        </is>
      </c>
      <c r="B40" s="28" t="inlineStr">
        <is>
          <t>野村ホールディングス</t>
        </is>
      </c>
      <c r="C40" s="665">
        <f>_xll.RssMarket("8604","高値")</f>
        <v/>
      </c>
      <c r="D40" s="666">
        <f>C40-E40</f>
        <v/>
      </c>
      <c r="E40" s="32" t="n">
        <v>1436.5</v>
      </c>
      <c r="F40" s="32" t="n">
        <v>1443</v>
      </c>
      <c r="G40" s="32" t="n">
        <v>1439.5</v>
      </c>
      <c r="H40" s="32" t="n">
        <v>1478</v>
      </c>
      <c r="I40" s="32" t="n">
        <v>1416.5</v>
      </c>
      <c r="J40" s="32" t="n">
        <v>1425</v>
      </c>
      <c r="K40" s="32" t="n">
        <v>1376</v>
      </c>
      <c r="L40" s="32" t="n">
        <v>1365</v>
      </c>
      <c r="M40" s="32" t="n">
        <v>1419</v>
      </c>
      <c r="N40" s="32" t="n">
        <v>1359.5</v>
      </c>
      <c r="O40" s="32" t="n">
        <v>1386.5</v>
      </c>
      <c r="P40" s="32" t="n">
        <v>1359.5</v>
      </c>
      <c r="Q40" s="32" t="n">
        <v>1354.5</v>
      </c>
      <c r="R40" s="32" t="n">
        <v>1324</v>
      </c>
      <c r="S40" s="32" t="n">
        <v>1307.5</v>
      </c>
      <c r="T40" s="32" t="n">
        <v>1256</v>
      </c>
      <c r="U40" s="32" t="n">
        <v>1263.5</v>
      </c>
      <c r="V40" s="32" t="n">
        <v>1295</v>
      </c>
      <c r="W40" s="32" t="n">
        <v>1312</v>
      </c>
      <c r="X40" s="32" t="n">
        <v>1298.5</v>
      </c>
      <c r="Y40" s="32" t="n">
        <v>1278</v>
      </c>
      <c r="Z40" s="32" t="n">
        <v>1282</v>
      </c>
      <c r="AA40" s="32" t="n">
        <v>1273</v>
      </c>
      <c r="AB40" s="32" t="n">
        <v>1287.5</v>
      </c>
      <c r="AC40" s="32" t="n">
        <v>1275</v>
      </c>
      <c r="AD40" s="32" t="n">
        <v>1239</v>
      </c>
      <c r="AE40" s="32" t="n">
        <v>1233</v>
      </c>
      <c r="AF40" s="32" t="n">
        <v>1246</v>
      </c>
      <c r="AG40" s="32" t="n">
        <v>1265.5</v>
      </c>
      <c r="AH40" s="32" t="n">
        <v>1251</v>
      </c>
      <c r="AI40" s="32" t="n">
        <v>1260</v>
      </c>
      <c r="AJ40" s="32" t="n">
        <v>1275</v>
      </c>
      <c r="AK40" s="32" t="n">
        <v>1251.5</v>
      </c>
      <c r="AL40" s="32" t="n">
        <v>1330.5</v>
      </c>
      <c r="AM40" s="32" t="n">
        <v>1347.5</v>
      </c>
      <c r="AN40" s="32" t="n">
        <v>1348.5</v>
      </c>
      <c r="AO40" s="32" t="n">
        <v>1352</v>
      </c>
      <c r="AP40" s="32" t="n">
        <v>1349</v>
      </c>
      <c r="AQ40" s="32" t="n">
        <v>1365</v>
      </c>
      <c r="AR40" s="32" t="n">
        <v>1436.5</v>
      </c>
      <c r="AS40" s="32" t="n">
        <v>1372.5</v>
      </c>
      <c r="AT40" s="32" t="n">
        <v>1332.5</v>
      </c>
      <c r="AU40" s="32" t="n">
        <v>1314</v>
      </c>
      <c r="AV40" s="32" t="n">
        <v>1323</v>
      </c>
      <c r="AW40" s="32" t="n">
        <v>1337</v>
      </c>
      <c r="AX40" s="32" t="n">
        <v>1338.5</v>
      </c>
      <c r="AY40" s="32" t="n">
        <v>1284.5</v>
      </c>
      <c r="AZ40" s="32" t="n">
        <v>1275.5</v>
      </c>
      <c r="BA40" s="32" t="n">
        <v>1278</v>
      </c>
      <c r="BB40" s="32" t="n">
        <v>1301</v>
      </c>
      <c r="BC40" s="32" t="n">
        <v>1285</v>
      </c>
      <c r="BD40" s="32" t="n">
        <v>1232.5</v>
      </c>
      <c r="BE40" s="32" t="n">
        <v>1208</v>
      </c>
      <c r="BF40" s="32" t="n">
        <v>1269</v>
      </c>
      <c r="BG40" s="32" t="n">
        <v>1276.5</v>
      </c>
      <c r="BH40" s="32" t="n">
        <v>1284.5</v>
      </c>
      <c r="BI40" s="32" t="n">
        <v>1245.5</v>
      </c>
      <c r="BJ40" s="32" t="n">
        <v>1226.5</v>
      </c>
      <c r="BK40" s="32" t="n">
        <v>1227.5</v>
      </c>
      <c r="BL40" s="33" t="n">
        <v>1244</v>
      </c>
    </row>
    <row r="41" ht="15.95" customHeight="1" s="574">
      <c r="A41" s="68" t="inlineStr">
        <is>
          <t>3861</t>
        </is>
      </c>
      <c r="B41" s="28" t="inlineStr">
        <is>
          <t>王子ホールディングス</t>
        </is>
      </c>
      <c r="C41" s="665">
        <f>_xll.RssMarket("3861","高値")</f>
        <v/>
      </c>
      <c r="D41" s="666">
        <f>C41-E41</f>
        <v/>
      </c>
      <c r="E41" s="32" t="n">
        <v>804</v>
      </c>
      <c r="F41" s="32" t="n">
        <v>805</v>
      </c>
      <c r="G41" s="32" t="n">
        <v>803.9</v>
      </c>
      <c r="H41" s="32" t="n">
        <v>805.9</v>
      </c>
      <c r="I41" s="32" t="n">
        <v>800</v>
      </c>
      <c r="J41" s="32" t="n">
        <v>812.3</v>
      </c>
      <c r="K41" s="32" t="n">
        <v>794.4</v>
      </c>
      <c r="L41" s="32" t="n">
        <v>787.7</v>
      </c>
      <c r="M41" s="32" t="n">
        <v>792</v>
      </c>
      <c r="N41" s="32" t="n">
        <v>785.8</v>
      </c>
      <c r="O41" s="32" t="n">
        <v>787.9</v>
      </c>
      <c r="P41" s="32" t="n">
        <v>784</v>
      </c>
      <c r="Q41" s="32" t="n">
        <v>783.9</v>
      </c>
      <c r="R41" s="32" t="n">
        <v>771</v>
      </c>
      <c r="S41" s="32" t="n">
        <v>789.9</v>
      </c>
      <c r="T41" s="32" t="n">
        <v>797.7</v>
      </c>
      <c r="U41" s="32" t="n">
        <v>786.3</v>
      </c>
      <c r="V41" s="32" t="n">
        <v>783.6</v>
      </c>
      <c r="W41" s="32" t="n">
        <v>796</v>
      </c>
      <c r="X41" s="32" t="n">
        <v>821</v>
      </c>
      <c r="Y41" s="32" t="n">
        <v>820</v>
      </c>
      <c r="Z41" s="32" t="n">
        <v>829.6</v>
      </c>
      <c r="AA41" s="32" t="n">
        <v>853.7</v>
      </c>
      <c r="AB41" s="32" t="n">
        <v>858</v>
      </c>
      <c r="AC41" s="32" t="n">
        <v>849.5</v>
      </c>
      <c r="AD41" s="32" t="n">
        <v>844.6</v>
      </c>
      <c r="AE41" s="32" t="n">
        <v>835</v>
      </c>
      <c r="AF41" s="32" t="n">
        <v>831.8</v>
      </c>
      <c r="AG41" s="32" t="n">
        <v>844</v>
      </c>
      <c r="AH41" s="32" t="n">
        <v>839.2</v>
      </c>
      <c r="AI41" s="32" t="n">
        <v>829.3</v>
      </c>
      <c r="AJ41" s="32" t="n">
        <v>825.9</v>
      </c>
      <c r="AK41" s="32" t="n">
        <v>825.8</v>
      </c>
      <c r="AL41" s="32" t="n">
        <v>826.5</v>
      </c>
      <c r="AM41" s="32" t="n">
        <v>826.8</v>
      </c>
      <c r="AN41" s="32" t="n">
        <v>826.8</v>
      </c>
      <c r="AO41" s="32" t="n">
        <v>843.3</v>
      </c>
      <c r="AP41" s="32" t="n">
        <v>845</v>
      </c>
      <c r="AQ41" s="32" t="n">
        <v>852.1</v>
      </c>
      <c r="AR41" s="32" t="n">
        <v>852.7</v>
      </c>
      <c r="AS41" s="32" t="n">
        <v>855.5</v>
      </c>
      <c r="AT41" s="32" t="n">
        <v>854.3</v>
      </c>
      <c r="AU41" s="32" t="n">
        <v>857.4</v>
      </c>
      <c r="AV41" s="32" t="n">
        <v>856</v>
      </c>
      <c r="AW41" s="32" t="n">
        <v>854.3</v>
      </c>
      <c r="AX41" s="32" t="n">
        <v>869.8</v>
      </c>
      <c r="AY41" s="32" t="n">
        <v>863.2</v>
      </c>
      <c r="AZ41" s="32" t="n">
        <v>858.1</v>
      </c>
      <c r="BA41" s="32" t="n">
        <v>857.8</v>
      </c>
      <c r="BB41" s="32" t="n">
        <v>856.1</v>
      </c>
      <c r="BC41" s="32" t="n">
        <v>867.5</v>
      </c>
      <c r="BD41" s="32" t="n">
        <v>860.8</v>
      </c>
      <c r="BE41" s="32" t="n">
        <v>855.2</v>
      </c>
      <c r="BF41" s="32" t="n">
        <v>840.8</v>
      </c>
      <c r="BG41" s="32" t="n">
        <v>875</v>
      </c>
      <c r="BH41" s="32" t="n">
        <v>864.3</v>
      </c>
      <c r="BI41" s="32" t="n">
        <v>887</v>
      </c>
      <c r="BJ41" s="32" t="n">
        <v>872.9</v>
      </c>
      <c r="BK41" s="32" t="n">
        <v>865</v>
      </c>
      <c r="BL41" s="33" t="n">
        <v>908</v>
      </c>
    </row>
    <row r="42" ht="15.95" customHeight="1" s="574">
      <c r="A42" s="68" t="inlineStr">
        <is>
          <t>5947</t>
        </is>
      </c>
      <c r="B42" s="28" t="inlineStr">
        <is>
          <t>リンナイ</t>
        </is>
      </c>
      <c r="C42" s="665">
        <f>_xll.RssMarket("5947","高値")</f>
        <v/>
      </c>
      <c r="D42" s="666">
        <f>C42-E42</f>
        <v/>
      </c>
      <c r="E42" s="32" t="n">
        <v>3500</v>
      </c>
      <c r="F42" s="32" t="n">
        <v>3468</v>
      </c>
      <c r="G42" s="32" t="n">
        <v>3465</v>
      </c>
      <c r="H42" s="32" t="n">
        <v>3441</v>
      </c>
      <c r="I42" s="32" t="n">
        <v>3527</v>
      </c>
      <c r="J42" s="32" t="n">
        <v>3560</v>
      </c>
      <c r="K42" s="32" t="n">
        <v>3542</v>
      </c>
      <c r="L42" s="32" t="n">
        <v>3598</v>
      </c>
      <c r="M42" s="32" t="n">
        <v>3523</v>
      </c>
      <c r="N42" s="32" t="n">
        <v>3512</v>
      </c>
      <c r="O42" s="32" t="n">
        <v>3432</v>
      </c>
      <c r="P42" s="32" t="n">
        <v>3392</v>
      </c>
      <c r="Q42" s="32" t="n">
        <v>3344</v>
      </c>
      <c r="R42" s="32" t="n">
        <v>3433</v>
      </c>
      <c r="S42" s="32" t="n">
        <v>3462</v>
      </c>
      <c r="T42" s="32" t="n">
        <v>3470</v>
      </c>
      <c r="U42" s="32" t="n">
        <v>3502</v>
      </c>
      <c r="V42" s="32" t="n">
        <v>3558</v>
      </c>
      <c r="W42" s="32" t="n">
        <v>3609</v>
      </c>
      <c r="X42" s="32" t="n">
        <v>3569</v>
      </c>
      <c r="Y42" s="32" t="n">
        <v>3596</v>
      </c>
      <c r="Z42" s="32" t="n">
        <v>3492</v>
      </c>
      <c r="AA42" s="32" t="n">
        <v>3462</v>
      </c>
      <c r="AB42" s="32" t="n">
        <v>3404</v>
      </c>
      <c r="AC42" s="32" t="n">
        <v>3461</v>
      </c>
      <c r="AD42" s="32" t="n">
        <v>3761</v>
      </c>
      <c r="AE42" s="32" t="n">
        <v>3603</v>
      </c>
      <c r="AF42" s="32" t="n">
        <v>3700</v>
      </c>
      <c r="AG42" s="32" t="n">
        <v>3750</v>
      </c>
      <c r="AH42" s="32" t="n">
        <v>3615</v>
      </c>
      <c r="AI42" s="32" t="n">
        <v>3562</v>
      </c>
      <c r="AJ42" s="32" t="n">
        <v>3606</v>
      </c>
      <c r="AK42" s="32" t="n">
        <v>3549</v>
      </c>
      <c r="AL42" s="32" t="n">
        <v>3526</v>
      </c>
      <c r="AM42" s="32" t="n">
        <v>3518</v>
      </c>
      <c r="AN42" s="32" t="n">
        <v>3527</v>
      </c>
      <c r="AO42" s="32" t="n">
        <v>3534</v>
      </c>
      <c r="AP42" s="32" t="n">
        <v>3572</v>
      </c>
      <c r="AQ42" s="32" t="n">
        <v>3555</v>
      </c>
      <c r="AR42" s="32" t="n">
        <v>3606</v>
      </c>
      <c r="AS42" s="32" t="n">
        <v>3605</v>
      </c>
      <c r="AT42" s="32" t="n">
        <v>3680</v>
      </c>
      <c r="AU42" s="32" t="n">
        <v>3748</v>
      </c>
      <c r="AV42" s="32" t="n">
        <v>3768</v>
      </c>
      <c r="AW42" s="32" t="n">
        <v>3774</v>
      </c>
      <c r="AX42" s="32" t="n">
        <v>3761</v>
      </c>
      <c r="AY42" s="32" t="n">
        <v>3700</v>
      </c>
      <c r="AZ42" s="32" t="n">
        <v>3701</v>
      </c>
      <c r="BA42" s="32" t="n">
        <v>3679</v>
      </c>
      <c r="BB42" s="32" t="n">
        <v>3765</v>
      </c>
      <c r="BC42" s="32" t="n">
        <v>3749</v>
      </c>
      <c r="BD42" s="32" t="n">
        <v>3687</v>
      </c>
      <c r="BE42" s="32" t="n">
        <v>3667</v>
      </c>
      <c r="BF42" s="32" t="n">
        <v>3768</v>
      </c>
      <c r="BG42" s="32" t="n">
        <v>3753</v>
      </c>
      <c r="BH42" s="32" t="n">
        <v>3766</v>
      </c>
      <c r="BI42" s="32" t="n">
        <v>3708</v>
      </c>
      <c r="BJ42" s="32" t="n">
        <v>3662</v>
      </c>
      <c r="BK42" s="32" t="n">
        <v>3787</v>
      </c>
      <c r="BL42" s="33" t="n">
        <v>3828</v>
      </c>
    </row>
    <row r="43" ht="15.95" customHeight="1" s="574">
      <c r="A43" s="68" t="inlineStr">
        <is>
          <t>8750</t>
        </is>
      </c>
      <c r="B43" s="28" t="inlineStr">
        <is>
          <t>第一ライフグループ</t>
        </is>
      </c>
      <c r="C43" s="665">
        <f>_xll.RssMarket("8750","高値")</f>
        <v/>
      </c>
      <c r="D43" s="666">
        <f>C43-E43</f>
        <v/>
      </c>
      <c r="E43" s="32" t="n">
        <v>1841.5</v>
      </c>
      <c r="F43" s="32" t="n">
        <v>1843</v>
      </c>
      <c r="G43" s="32" t="n">
        <v>1823</v>
      </c>
      <c r="H43" s="32" t="n">
        <v>1834</v>
      </c>
      <c r="I43" s="32" t="n">
        <v>1789.5</v>
      </c>
      <c r="J43" s="32" t="n">
        <v>1816</v>
      </c>
      <c r="K43" s="32" t="n">
        <v>1777</v>
      </c>
      <c r="L43" s="32" t="n">
        <v>1747.5</v>
      </c>
      <c r="M43" s="32" t="n">
        <v>1787</v>
      </c>
      <c r="N43" s="32" t="n">
        <v>1667.5</v>
      </c>
      <c r="O43" s="32" t="n">
        <v>1714.5</v>
      </c>
      <c r="P43" s="32" t="n">
        <v>1654</v>
      </c>
      <c r="Q43" s="32" t="n">
        <v>1655</v>
      </c>
      <c r="R43" s="32" t="n">
        <v>1626.5</v>
      </c>
      <c r="S43" s="32" t="n">
        <v>1648.5</v>
      </c>
      <c r="T43" s="32" t="n">
        <v>1653</v>
      </c>
      <c r="U43" s="32" t="n">
        <v>1675</v>
      </c>
      <c r="V43" s="32" t="n">
        <v>1691.5</v>
      </c>
      <c r="W43" s="32" t="n">
        <v>1675.5</v>
      </c>
      <c r="X43" s="32" t="n">
        <v>1695.5</v>
      </c>
      <c r="Y43" s="32" t="n">
        <v>1678</v>
      </c>
      <c r="Z43" s="32" t="n">
        <v>1676</v>
      </c>
      <c r="AA43" s="32" t="n">
        <v>1670</v>
      </c>
      <c r="AB43" s="32" t="n">
        <v>1618</v>
      </c>
      <c r="AC43" s="32" t="n">
        <v>1501.5</v>
      </c>
      <c r="AD43" s="32" t="n">
        <v>1510.5</v>
      </c>
      <c r="AE43" s="32" t="n">
        <v>1501.5</v>
      </c>
      <c r="AF43" s="32" t="n">
        <v>1466.5</v>
      </c>
      <c r="AG43" s="32" t="n">
        <v>1459.5</v>
      </c>
      <c r="AH43" s="32" t="n">
        <v>1472</v>
      </c>
      <c r="AI43" s="32" t="n">
        <v>1426</v>
      </c>
      <c r="AJ43" s="32" t="n">
        <v>1441</v>
      </c>
      <c r="AK43" s="32" t="n">
        <v>1444</v>
      </c>
      <c r="AL43" s="32" t="n">
        <v>1406.5</v>
      </c>
      <c r="AM43" s="32" t="n">
        <v>1424</v>
      </c>
      <c r="AN43" s="32" t="n">
        <v>1424.5</v>
      </c>
      <c r="AO43" s="32" t="n">
        <v>1440.5</v>
      </c>
      <c r="AP43" s="32" t="n">
        <v>1467</v>
      </c>
      <c r="AQ43" s="32" t="n">
        <v>1484</v>
      </c>
      <c r="AR43" s="32" t="n">
        <v>1495.5</v>
      </c>
      <c r="AS43" s="32" t="n">
        <v>1516</v>
      </c>
      <c r="AT43" s="32" t="n">
        <v>1500</v>
      </c>
      <c r="AU43" s="32" t="n">
        <v>1503</v>
      </c>
      <c r="AV43" s="32" t="n">
        <v>1493.5</v>
      </c>
      <c r="AW43" s="32" t="n">
        <v>1502</v>
      </c>
      <c r="AX43" s="32" t="n">
        <v>1530.5</v>
      </c>
      <c r="AY43" s="32" t="n">
        <v>1542</v>
      </c>
      <c r="AZ43" s="32" t="n">
        <v>1484.5</v>
      </c>
      <c r="BA43" s="32" t="n">
        <v>1467.5</v>
      </c>
      <c r="BB43" s="32" t="n">
        <v>1491.5</v>
      </c>
      <c r="BC43" s="32" t="n">
        <v>1507.5</v>
      </c>
      <c r="BD43" s="32" t="n">
        <v>1507.5</v>
      </c>
      <c r="BE43" s="32" t="n">
        <v>1458</v>
      </c>
      <c r="BF43" s="32" t="n">
        <v>1424</v>
      </c>
      <c r="BG43" s="32" t="n">
        <v>1460</v>
      </c>
      <c r="BH43" s="32" t="n">
        <v>1457.5</v>
      </c>
      <c r="BI43" s="32" t="n">
        <v>1455</v>
      </c>
      <c r="BJ43" s="32" t="n">
        <v>1427</v>
      </c>
      <c r="BK43" s="32" t="n">
        <v>1373</v>
      </c>
      <c r="BL43" s="33" t="n">
        <v>1469</v>
      </c>
    </row>
    <row r="44" ht="15.95" customHeight="1" s="574">
      <c r="A44" s="68" t="inlineStr">
        <is>
          <t>3402</t>
        </is>
      </c>
      <c r="B44" s="28" t="inlineStr">
        <is>
          <t>東レ</t>
        </is>
      </c>
      <c r="C44" s="665">
        <f>_xll.RssMarket("3402","高値")</f>
        <v/>
      </c>
      <c r="D44" s="666">
        <f>C44-E44</f>
        <v/>
      </c>
      <c r="E44" s="32" t="n">
        <v>1172.5</v>
      </c>
      <c r="F44" s="32" t="n">
        <v>1190</v>
      </c>
      <c r="G44" s="32" t="n">
        <v>1208.5</v>
      </c>
      <c r="H44" s="32" t="n">
        <v>1190.5</v>
      </c>
      <c r="I44" s="32" t="n">
        <v>1198</v>
      </c>
      <c r="J44" s="32" t="n">
        <v>1207</v>
      </c>
      <c r="K44" s="32" t="n">
        <v>1152.5</v>
      </c>
      <c r="L44" s="32" t="n">
        <v>1122.5</v>
      </c>
      <c r="M44" s="32" t="n">
        <v>1113</v>
      </c>
      <c r="N44" s="32" t="n">
        <v>1119</v>
      </c>
      <c r="O44" s="32" t="n">
        <v>1124.5</v>
      </c>
      <c r="P44" s="32" t="n">
        <v>1147</v>
      </c>
      <c r="Q44" s="32" t="n">
        <v>1182.5</v>
      </c>
      <c r="R44" s="32" t="n">
        <v>1135</v>
      </c>
      <c r="S44" s="32" t="n">
        <v>1198.5</v>
      </c>
      <c r="T44" s="32" t="n">
        <v>1159.5</v>
      </c>
      <c r="U44" s="32" t="n">
        <v>1174.5</v>
      </c>
      <c r="V44" s="32" t="n">
        <v>1156.5</v>
      </c>
      <c r="W44" s="32" t="n">
        <v>1096</v>
      </c>
      <c r="X44" s="32" t="n">
        <v>1103.5</v>
      </c>
      <c r="Y44" s="32" t="n">
        <v>1081.5</v>
      </c>
      <c r="Z44" s="32" t="n">
        <v>1102.5</v>
      </c>
      <c r="AA44" s="32" t="n">
        <v>1139.5</v>
      </c>
      <c r="AB44" s="32" t="n">
        <v>1173</v>
      </c>
      <c r="AC44" s="32" t="n">
        <v>1202</v>
      </c>
      <c r="AD44" s="32" t="n">
        <v>1224.5</v>
      </c>
      <c r="AE44" s="32" t="n">
        <v>1147.5</v>
      </c>
      <c r="AF44" s="32" t="n">
        <v>1142.5</v>
      </c>
      <c r="AG44" s="32" t="n">
        <v>1142</v>
      </c>
      <c r="AH44" s="32" t="n">
        <v>1146</v>
      </c>
      <c r="AI44" s="32" t="n">
        <v>1123</v>
      </c>
      <c r="AJ44" s="32" t="n">
        <v>1125</v>
      </c>
      <c r="AK44" s="32" t="n">
        <v>1140.5</v>
      </c>
      <c r="AL44" s="32" t="n">
        <v>1122</v>
      </c>
      <c r="AM44" s="32" t="n">
        <v>1126</v>
      </c>
      <c r="AN44" s="32" t="n">
        <v>1121</v>
      </c>
      <c r="AO44" s="32" t="n">
        <v>1138.5</v>
      </c>
      <c r="AP44" s="32" t="n">
        <v>1159.5</v>
      </c>
      <c r="AQ44" s="32" t="n">
        <v>1160.5</v>
      </c>
      <c r="AR44" s="32" t="n">
        <v>1169.5</v>
      </c>
      <c r="AS44" s="32" t="n">
        <v>1175.5</v>
      </c>
      <c r="AT44" s="32" t="n">
        <v>1163</v>
      </c>
      <c r="AU44" s="32" t="n">
        <v>1162.5</v>
      </c>
      <c r="AV44" s="32" t="n">
        <v>1175.5</v>
      </c>
      <c r="AW44" s="32" t="n">
        <v>1191.5</v>
      </c>
      <c r="AX44" s="32" t="n">
        <v>1188.5</v>
      </c>
      <c r="AY44" s="32" t="n">
        <v>1186.5</v>
      </c>
      <c r="AZ44" s="32" t="n">
        <v>1138.5</v>
      </c>
      <c r="BA44" s="32" t="n">
        <v>1147.5</v>
      </c>
      <c r="BB44" s="32" t="n">
        <v>1136</v>
      </c>
      <c r="BC44" s="32" t="n">
        <v>1175</v>
      </c>
      <c r="BD44" s="32" t="n">
        <v>1155</v>
      </c>
      <c r="BE44" s="32" t="n">
        <v>1127.5</v>
      </c>
      <c r="BF44" s="32" t="n">
        <v>1097</v>
      </c>
      <c r="BG44" s="32" t="n">
        <v>1128</v>
      </c>
      <c r="BH44" s="32" t="n">
        <v>1143</v>
      </c>
      <c r="BI44" s="32" t="n">
        <v>1122</v>
      </c>
      <c r="BJ44" s="32" t="n">
        <v>1086</v>
      </c>
      <c r="BK44" s="32" t="n">
        <v>1064</v>
      </c>
      <c r="BL44" s="33" t="n">
        <v>1111.5</v>
      </c>
    </row>
    <row r="45" ht="15.95" customHeight="1" s="574">
      <c r="A45" s="68" t="inlineStr">
        <is>
          <t>8306</t>
        </is>
      </c>
      <c r="B45" s="28" t="inlineStr">
        <is>
          <t>三菱ＵＦＪフィナンシャルＧ</t>
        </is>
      </c>
      <c r="C45" s="665">
        <f>_xll.RssMarket("8306","高値")</f>
        <v/>
      </c>
      <c r="D45" s="666">
        <f>C45-E45</f>
        <v/>
      </c>
      <c r="E45" s="32" t="n">
        <v>3335</v>
      </c>
      <c r="F45" s="32" t="n">
        <v>3371</v>
      </c>
      <c r="G45" s="32" t="n">
        <v>3394</v>
      </c>
      <c r="H45" s="32" t="n">
        <v>3312</v>
      </c>
      <c r="I45" s="32" t="n">
        <v>3236</v>
      </c>
      <c r="J45" s="32" t="n">
        <v>3327</v>
      </c>
      <c r="K45" s="32" t="n">
        <v>3205</v>
      </c>
      <c r="L45" s="32" t="n">
        <v>3148</v>
      </c>
      <c r="M45" s="32" t="n">
        <v>3305</v>
      </c>
      <c r="N45" s="32" t="n">
        <v>3217</v>
      </c>
      <c r="O45" s="32" t="n">
        <v>3273</v>
      </c>
      <c r="P45" s="32" t="n">
        <v>3208</v>
      </c>
      <c r="Q45" s="32" t="n">
        <v>3149</v>
      </c>
      <c r="R45" s="32" t="n">
        <v>3047</v>
      </c>
      <c r="S45" s="32" t="n">
        <v>3034</v>
      </c>
      <c r="T45" s="32" t="n">
        <v>3011</v>
      </c>
      <c r="U45" s="32" t="n">
        <v>3066</v>
      </c>
      <c r="V45" s="32" t="n">
        <v>3095</v>
      </c>
      <c r="W45" s="32" t="n">
        <v>3140</v>
      </c>
      <c r="X45" s="32" t="n">
        <v>3148</v>
      </c>
      <c r="Y45" s="32" t="n">
        <v>3170</v>
      </c>
      <c r="Z45" s="32" t="n">
        <v>3110</v>
      </c>
      <c r="AA45" s="32" t="n">
        <v>3063</v>
      </c>
      <c r="AB45" s="32" t="n">
        <v>2951.5</v>
      </c>
      <c r="AC45" s="32" t="n">
        <v>2923.5</v>
      </c>
      <c r="AD45" s="32" t="n">
        <v>2939</v>
      </c>
      <c r="AE45" s="32" t="n">
        <v>2899</v>
      </c>
      <c r="AF45" s="32" t="n">
        <v>2856.5</v>
      </c>
      <c r="AG45" s="32" t="n">
        <v>2827.5</v>
      </c>
      <c r="AH45" s="32" t="n">
        <v>2891.5</v>
      </c>
      <c r="AI45" s="32" t="n">
        <v>2813</v>
      </c>
      <c r="AJ45" s="32" t="n">
        <v>2868</v>
      </c>
      <c r="AK45" s="32" t="n">
        <v>2886</v>
      </c>
      <c r="AL45" s="32" t="n">
        <v>2796.5</v>
      </c>
      <c r="AM45" s="32" t="n">
        <v>2783</v>
      </c>
      <c r="AN45" s="32" t="n">
        <v>2807.5</v>
      </c>
      <c r="AO45" s="32" t="n">
        <v>2824</v>
      </c>
      <c r="AP45" s="32" t="n">
        <v>2880.5</v>
      </c>
      <c r="AQ45" s="32" t="n">
        <v>2894.5</v>
      </c>
      <c r="AR45" s="32" t="n">
        <v>2926</v>
      </c>
      <c r="AS45" s="32" t="n">
        <v>2966.5</v>
      </c>
      <c r="AT45" s="32" t="n">
        <v>2919</v>
      </c>
      <c r="AU45" s="32" t="n">
        <v>2889.5</v>
      </c>
      <c r="AV45" s="32" t="n">
        <v>2891.5</v>
      </c>
      <c r="AW45" s="32" t="n">
        <v>2882.5</v>
      </c>
      <c r="AX45" s="32" t="n">
        <v>2903</v>
      </c>
      <c r="AY45" s="32" t="n">
        <v>2932.5</v>
      </c>
      <c r="AZ45" s="32" t="n">
        <v>2827</v>
      </c>
      <c r="BA45" s="32" t="n">
        <v>2815.5</v>
      </c>
      <c r="BB45" s="32" t="n">
        <v>2790</v>
      </c>
      <c r="BC45" s="32" t="n">
        <v>2844</v>
      </c>
      <c r="BD45" s="32" t="n">
        <v>2813.5</v>
      </c>
      <c r="BE45" s="32" t="n">
        <v>2683</v>
      </c>
      <c r="BF45" s="32" t="n">
        <v>2632</v>
      </c>
      <c r="BG45" s="32" t="n">
        <v>2723.5</v>
      </c>
      <c r="BH45" s="32" t="n">
        <v>2740</v>
      </c>
      <c r="BI45" s="32" t="n">
        <v>2733</v>
      </c>
      <c r="BJ45" s="32" t="n">
        <v>2644.5</v>
      </c>
      <c r="BK45" s="32" t="n">
        <v>2578</v>
      </c>
      <c r="BL45" s="33" t="n">
        <v>2716.5</v>
      </c>
    </row>
    <row r="46" ht="15.95" customHeight="1" s="574">
      <c r="A46" s="68" t="inlineStr">
        <is>
          <t>5401</t>
        </is>
      </c>
      <c r="B46" s="28" t="inlineStr">
        <is>
          <t>日本製鉄</t>
        </is>
      </c>
      <c r="C46" s="665">
        <f>_xll.RssMarket("5401","高値")</f>
        <v/>
      </c>
      <c r="D46" s="666">
        <f>C46-E46</f>
        <v/>
      </c>
      <c r="E46" s="32" t="n">
        <v>573.7</v>
      </c>
      <c r="F46" s="32" t="n">
        <v>567.2</v>
      </c>
      <c r="G46" s="32" t="n">
        <v>567.3</v>
      </c>
      <c r="H46" s="32" t="n">
        <v>566.3</v>
      </c>
      <c r="I46" s="32" t="n">
        <v>574.2</v>
      </c>
      <c r="J46" s="32" t="n">
        <v>575.5</v>
      </c>
      <c r="K46" s="32" t="n">
        <v>554.4</v>
      </c>
      <c r="L46" s="32" t="n">
        <v>538</v>
      </c>
      <c r="M46" s="32" t="n">
        <v>543.4</v>
      </c>
      <c r="N46" s="32" t="n">
        <v>544.8</v>
      </c>
      <c r="O46" s="32" t="n">
        <v>551.4</v>
      </c>
      <c r="P46" s="32" t="n">
        <v>545</v>
      </c>
      <c r="Q46" s="32" t="n">
        <v>550.5</v>
      </c>
      <c r="R46" s="32" t="n">
        <v>544.8</v>
      </c>
      <c r="S46" s="32" t="n">
        <v>575.8</v>
      </c>
      <c r="T46" s="32" t="n">
        <v>567.3</v>
      </c>
      <c r="U46" s="32" t="n">
        <v>567.8</v>
      </c>
      <c r="V46" s="32" t="n">
        <v>560.6</v>
      </c>
      <c r="W46" s="32" t="n">
        <v>556.2</v>
      </c>
      <c r="X46" s="32" t="n">
        <v>548.8</v>
      </c>
      <c r="Y46" s="32" t="n">
        <v>550</v>
      </c>
      <c r="Z46" s="32" t="n">
        <v>553.3</v>
      </c>
      <c r="AA46" s="32" t="n">
        <v>560.2</v>
      </c>
      <c r="AB46" s="32" t="n">
        <v>562.8</v>
      </c>
      <c r="AC46" s="32" t="n">
        <v>570.8</v>
      </c>
      <c r="AD46" s="32" t="n">
        <v>560.9</v>
      </c>
      <c r="AE46" s="32" t="n">
        <v>569.7</v>
      </c>
      <c r="AF46" s="32" t="n">
        <v>580</v>
      </c>
      <c r="AG46" s="32" t="n">
        <v>583.3</v>
      </c>
      <c r="AH46" s="32" t="n">
        <v>572.7</v>
      </c>
      <c r="AI46" s="32" t="n">
        <v>576.5</v>
      </c>
      <c r="AJ46" s="32" t="n">
        <v>579.1</v>
      </c>
      <c r="AK46" s="32" t="n">
        <v>580</v>
      </c>
      <c r="AL46" s="32" t="n">
        <v>581.3</v>
      </c>
      <c r="AM46" s="32" t="n">
        <v>590.2</v>
      </c>
      <c r="AN46" s="32" t="n">
        <v>593.3</v>
      </c>
      <c r="AO46" s="32" t="n">
        <v>598.4</v>
      </c>
      <c r="AP46" s="32" t="n">
        <v>599.8</v>
      </c>
      <c r="AQ46" s="32" t="n">
        <v>596.9</v>
      </c>
      <c r="AR46" s="32" t="n">
        <v>600.2</v>
      </c>
      <c r="AS46" s="32" t="n">
        <v>600.9</v>
      </c>
      <c r="AT46" s="32" t="n">
        <v>601.9</v>
      </c>
      <c r="AU46" s="32" t="n">
        <v>600.5</v>
      </c>
      <c r="AV46" s="32" t="n">
        <v>606.3</v>
      </c>
      <c r="AW46" s="32" t="n">
        <v>605.9</v>
      </c>
      <c r="AX46" s="32" t="n">
        <v>602.7</v>
      </c>
      <c r="AY46" s="32" t="n">
        <v>592.1</v>
      </c>
      <c r="AZ46" s="32" t="n">
        <v>590.8</v>
      </c>
      <c r="BA46" s="32" t="n">
        <v>591.5</v>
      </c>
      <c r="BB46" s="32" t="n">
        <v>597.4</v>
      </c>
      <c r="BC46" s="32" t="n">
        <v>592</v>
      </c>
      <c r="BD46" s="32" t="n">
        <v>584.2</v>
      </c>
      <c r="BE46" s="32" t="n">
        <v>579</v>
      </c>
      <c r="BF46" s="32" t="n">
        <v>601.7</v>
      </c>
      <c r="BG46" s="32" t="n">
        <v>601.7</v>
      </c>
      <c r="BH46" s="32" t="n">
        <v>599.6</v>
      </c>
      <c r="BI46" s="32" t="n">
        <v>597.7</v>
      </c>
      <c r="BJ46" s="32" t="n">
        <v>588.5</v>
      </c>
      <c r="BK46" s="32" t="n">
        <v>603.3</v>
      </c>
      <c r="BL46" s="33" t="n">
        <v>607.4</v>
      </c>
    </row>
    <row r="47" ht="15.95" customHeight="1" s="574">
      <c r="A47" s="68" t="inlineStr">
        <is>
          <t>8572</t>
        </is>
      </c>
      <c r="B47" s="28" t="inlineStr">
        <is>
          <t>アコム</t>
        </is>
      </c>
      <c r="C47" s="665">
        <f>_xll.RssMarket("8572","高値")</f>
        <v/>
      </c>
      <c r="D47" s="666">
        <f>C47-E47</f>
        <v/>
      </c>
      <c r="E47" s="32" t="n">
        <v>450.4</v>
      </c>
      <c r="F47" s="32" t="n">
        <v>448.8</v>
      </c>
      <c r="G47" s="32" t="n">
        <v>452.4</v>
      </c>
      <c r="H47" s="32" t="n">
        <v>453.7</v>
      </c>
      <c r="I47" s="32" t="n">
        <v>453.9</v>
      </c>
      <c r="J47" s="32" t="n">
        <v>462.1</v>
      </c>
      <c r="K47" s="32" t="n">
        <v>452.6</v>
      </c>
      <c r="L47" s="32" t="n">
        <v>451</v>
      </c>
      <c r="M47" s="32" t="n">
        <v>453.5</v>
      </c>
      <c r="N47" s="32" t="n">
        <v>446.2</v>
      </c>
      <c r="O47" s="32" t="n">
        <v>453.6</v>
      </c>
      <c r="P47" s="32" t="n">
        <v>447.8</v>
      </c>
      <c r="Q47" s="32" t="n">
        <v>452.5</v>
      </c>
      <c r="R47" s="32" t="n">
        <v>453.3</v>
      </c>
      <c r="S47" s="32" t="n">
        <v>474.4</v>
      </c>
      <c r="T47" s="32" t="n">
        <v>468.7</v>
      </c>
      <c r="U47" s="32" t="n">
        <v>470.6</v>
      </c>
      <c r="V47" s="32" t="n">
        <v>467</v>
      </c>
      <c r="W47" s="32" t="n">
        <v>470.9</v>
      </c>
      <c r="X47" s="32" t="n">
        <v>473.6</v>
      </c>
      <c r="Y47" s="32" t="n">
        <v>467.3</v>
      </c>
      <c r="Z47" s="32" t="n">
        <v>466.8</v>
      </c>
      <c r="AA47" s="32" t="n">
        <v>469.1</v>
      </c>
      <c r="AB47" s="32" t="n">
        <v>464.6</v>
      </c>
      <c r="AC47" s="32" t="n">
        <v>461.3</v>
      </c>
      <c r="AD47" s="32" t="n">
        <v>470.1</v>
      </c>
      <c r="AE47" s="32" t="n">
        <v>494.3</v>
      </c>
      <c r="AF47" s="32" t="n">
        <v>495.2</v>
      </c>
      <c r="AG47" s="32" t="n">
        <v>496</v>
      </c>
      <c r="AH47" s="32" t="n">
        <v>499</v>
      </c>
      <c r="AI47" s="32" t="n">
        <v>497.9</v>
      </c>
      <c r="AJ47" s="32" t="n">
        <v>501.8</v>
      </c>
      <c r="AK47" s="32" t="n">
        <v>504.5</v>
      </c>
      <c r="AL47" s="32" t="n">
        <v>504.1</v>
      </c>
      <c r="AM47" s="32" t="n">
        <v>504</v>
      </c>
      <c r="AN47" s="32" t="n">
        <v>513.8</v>
      </c>
      <c r="AO47" s="32" t="n">
        <v>521.9</v>
      </c>
      <c r="AP47" s="32" t="n">
        <v>519.8</v>
      </c>
      <c r="AQ47" s="32" t="n">
        <v>489.3</v>
      </c>
      <c r="AR47" s="32" t="n">
        <v>485</v>
      </c>
      <c r="AS47" s="32" t="n">
        <v>484.6</v>
      </c>
      <c r="AT47" s="32" t="n">
        <v>482</v>
      </c>
      <c r="AU47" s="32" t="n">
        <v>478.7</v>
      </c>
      <c r="AV47" s="32" t="n">
        <v>472.8</v>
      </c>
      <c r="AW47" s="32" t="n">
        <v>475.9</v>
      </c>
      <c r="AX47" s="32" t="n">
        <v>481.2</v>
      </c>
      <c r="AY47" s="32" t="n">
        <v>485.4</v>
      </c>
      <c r="AZ47" s="32" t="n">
        <v>478.1</v>
      </c>
      <c r="BA47" s="32" t="n">
        <v>476.5</v>
      </c>
      <c r="BB47" s="32" t="n">
        <v>474.7</v>
      </c>
      <c r="BC47" s="32" t="n">
        <v>479.5</v>
      </c>
      <c r="BD47" s="32" t="n">
        <v>474.2</v>
      </c>
      <c r="BE47" s="32" t="n">
        <v>467.2</v>
      </c>
      <c r="BF47" s="32" t="n">
        <v>459.3</v>
      </c>
      <c r="BG47" s="32" t="n">
        <v>479.9</v>
      </c>
      <c r="BH47" s="32" t="n">
        <v>481.4</v>
      </c>
      <c r="BI47" s="32" t="n">
        <v>483.7</v>
      </c>
      <c r="BJ47" s="32" t="n">
        <v>477</v>
      </c>
      <c r="BK47" s="32" t="n">
        <v>474.7</v>
      </c>
      <c r="BL47" s="33" t="n">
        <v>482.8</v>
      </c>
    </row>
    <row r="48" ht="15.95" customHeight="1" s="574">
      <c r="A48" s="68" t="inlineStr">
        <is>
          <t>3941</t>
        </is>
      </c>
      <c r="B48" s="28" t="inlineStr">
        <is>
          <t>レンゴー</t>
        </is>
      </c>
      <c r="C48" s="665">
        <f>_xll.RssMarket("3941","高値")</f>
        <v/>
      </c>
      <c r="D48" s="666">
        <f>C48-E48</f>
        <v/>
      </c>
      <c r="E48" s="32" t="n">
        <v>1430</v>
      </c>
      <c r="F48" s="32" t="n">
        <v>1444</v>
      </c>
      <c r="G48" s="32" t="n">
        <v>1428.5</v>
      </c>
      <c r="H48" s="32" t="n">
        <v>1429</v>
      </c>
      <c r="I48" s="32" t="n">
        <v>1421</v>
      </c>
      <c r="J48" s="32" t="n">
        <v>1420.5</v>
      </c>
      <c r="K48" s="32" t="n">
        <v>1392.5</v>
      </c>
      <c r="L48" s="32" t="n">
        <v>1375</v>
      </c>
      <c r="M48" s="32" t="n">
        <v>1416</v>
      </c>
      <c r="N48" s="32" t="n">
        <v>1377.5</v>
      </c>
      <c r="O48" s="32" t="n">
        <v>1406.5</v>
      </c>
      <c r="P48" s="32" t="n">
        <v>1393</v>
      </c>
      <c r="Q48" s="32" t="n">
        <v>1412.5</v>
      </c>
      <c r="R48" s="32" t="n">
        <v>1400</v>
      </c>
      <c r="S48" s="32" t="n">
        <v>1463.5</v>
      </c>
      <c r="T48" s="32" t="n">
        <v>1432</v>
      </c>
      <c r="U48" s="32" t="n">
        <v>1428.5</v>
      </c>
      <c r="V48" s="32" t="n">
        <v>1403.5</v>
      </c>
      <c r="W48" s="32" t="n">
        <v>1412.5</v>
      </c>
      <c r="X48" s="32" t="n">
        <v>1416.5</v>
      </c>
      <c r="Y48" s="32" t="n">
        <v>1409</v>
      </c>
      <c r="Z48" s="32" t="n">
        <v>1430</v>
      </c>
      <c r="AA48" s="32" t="n">
        <v>1411</v>
      </c>
      <c r="AB48" s="32" t="n">
        <v>1430.5</v>
      </c>
      <c r="AC48" s="32" t="n">
        <v>1402</v>
      </c>
      <c r="AD48" s="32" t="n">
        <v>1263.5</v>
      </c>
      <c r="AE48" s="32" t="n">
        <v>1246.5</v>
      </c>
      <c r="AF48" s="32" t="n">
        <v>1261.5</v>
      </c>
      <c r="AG48" s="32" t="n">
        <v>1245</v>
      </c>
      <c r="AH48" s="32" t="n">
        <v>1247</v>
      </c>
      <c r="AI48" s="32" t="n">
        <v>1240</v>
      </c>
      <c r="AJ48" s="32" t="n">
        <v>1249</v>
      </c>
      <c r="AK48" s="32" t="n">
        <v>1273</v>
      </c>
      <c r="AL48" s="32" t="n">
        <v>1351</v>
      </c>
      <c r="AM48" s="32" t="n">
        <v>1287</v>
      </c>
      <c r="AN48" s="32" t="n">
        <v>1290.5</v>
      </c>
      <c r="AO48" s="32" t="n">
        <v>1317</v>
      </c>
      <c r="AP48" s="32" t="n">
        <v>1315.5</v>
      </c>
      <c r="AQ48" s="32" t="n">
        <v>1269</v>
      </c>
      <c r="AR48" s="32" t="n">
        <v>1276</v>
      </c>
      <c r="AS48" s="32" t="n">
        <v>1283.5</v>
      </c>
      <c r="AT48" s="32" t="n">
        <v>1274.5</v>
      </c>
      <c r="AU48" s="32" t="n">
        <v>1271.5</v>
      </c>
      <c r="AV48" s="32" t="n">
        <v>1277</v>
      </c>
      <c r="AW48" s="32" t="n">
        <v>1294.5</v>
      </c>
      <c r="AX48" s="32" t="n">
        <v>1299.5</v>
      </c>
      <c r="AY48" s="32" t="n">
        <v>1294.5</v>
      </c>
      <c r="AZ48" s="32" t="n">
        <v>1265</v>
      </c>
      <c r="BA48" s="32" t="n">
        <v>1258</v>
      </c>
      <c r="BB48" s="32" t="n">
        <v>1273.5</v>
      </c>
      <c r="BC48" s="32" t="n">
        <v>1297.5</v>
      </c>
      <c r="BD48" s="32" t="n">
        <v>1304</v>
      </c>
      <c r="BE48" s="32" t="n">
        <v>1275.5</v>
      </c>
      <c r="BF48" s="32" t="n">
        <v>1254</v>
      </c>
      <c r="BG48" s="32" t="n">
        <v>1299.5</v>
      </c>
      <c r="BH48" s="32" t="n">
        <v>1302.5</v>
      </c>
      <c r="BI48" s="32" t="n">
        <v>1284.5</v>
      </c>
      <c r="BJ48" s="32" t="n">
        <v>1256.5</v>
      </c>
      <c r="BK48" s="32" t="n">
        <v>1247</v>
      </c>
      <c r="BL48" s="33" t="n">
        <v>1342.5</v>
      </c>
    </row>
    <row r="49" ht="15.95" customHeight="1" s="574">
      <c r="A49" s="68" t="inlineStr">
        <is>
          <t>5929</t>
        </is>
      </c>
      <c r="B49" s="28" t="inlineStr">
        <is>
          <t>三和ホールディングス</t>
        </is>
      </c>
      <c r="C49" s="665">
        <f>_xll.RssMarket("5929","高値")</f>
        <v/>
      </c>
      <c r="D49" s="666">
        <f>C49-E49</f>
        <v/>
      </c>
      <c r="E49" s="32" t="n">
        <v>3721</v>
      </c>
      <c r="F49" s="32" t="n">
        <v>3740</v>
      </c>
      <c r="G49" s="32" t="n">
        <v>3804</v>
      </c>
      <c r="H49" s="32" t="n">
        <v>3779</v>
      </c>
      <c r="I49" s="32" t="n">
        <v>3747</v>
      </c>
      <c r="J49" s="32" t="n">
        <v>3768</v>
      </c>
      <c r="K49" s="32" t="n">
        <v>3655</v>
      </c>
      <c r="L49" s="32" t="n">
        <v>3646</v>
      </c>
      <c r="M49" s="32" t="n">
        <v>3672</v>
      </c>
      <c r="N49" s="32" t="n">
        <v>3709</v>
      </c>
      <c r="O49" s="32" t="n">
        <v>3592</v>
      </c>
      <c r="P49" s="32" t="n">
        <v>3513</v>
      </c>
      <c r="Q49" s="32" t="n">
        <v>3425</v>
      </c>
      <c r="R49" s="32" t="n">
        <v>3553</v>
      </c>
      <c r="S49" s="32" t="n">
        <v>3685</v>
      </c>
      <c r="T49" s="32" t="n">
        <v>3549</v>
      </c>
      <c r="U49" s="32" t="n">
        <v>3405</v>
      </c>
      <c r="V49" s="32" t="n">
        <v>3336</v>
      </c>
      <c r="W49" s="32" t="n">
        <v>3339</v>
      </c>
      <c r="X49" s="32" t="n">
        <v>3393</v>
      </c>
      <c r="Y49" s="32" t="n">
        <v>3397</v>
      </c>
      <c r="Z49" s="32" t="n">
        <v>3389</v>
      </c>
      <c r="AA49" s="32" t="n">
        <v>3575</v>
      </c>
      <c r="AB49" s="32" t="n">
        <v>3664</v>
      </c>
      <c r="AC49" s="32" t="n">
        <v>3728</v>
      </c>
      <c r="AD49" s="32" t="n">
        <v>3552</v>
      </c>
      <c r="AE49" s="32" t="n">
        <v>3612</v>
      </c>
      <c r="AF49" s="32" t="n">
        <v>3627</v>
      </c>
      <c r="AG49" s="32" t="n">
        <v>3661</v>
      </c>
      <c r="AH49" s="32" t="n">
        <v>3648</v>
      </c>
      <c r="AI49" s="32" t="n">
        <v>3617</v>
      </c>
      <c r="AJ49" s="32" t="n">
        <v>3587</v>
      </c>
      <c r="AK49" s="32" t="n">
        <v>3676</v>
      </c>
      <c r="AL49" s="32" t="n">
        <v>3616</v>
      </c>
      <c r="AM49" s="32" t="n">
        <v>3651</v>
      </c>
      <c r="AN49" s="32" t="n">
        <v>3651</v>
      </c>
      <c r="AO49" s="32" t="n">
        <v>3676</v>
      </c>
      <c r="AP49" s="32" t="n">
        <v>3707</v>
      </c>
      <c r="AQ49" s="32" t="n">
        <v>3664</v>
      </c>
      <c r="AR49" s="32" t="n">
        <v>3666</v>
      </c>
      <c r="AS49" s="32" t="n">
        <v>3735</v>
      </c>
      <c r="AT49" s="32" t="n">
        <v>3774</v>
      </c>
      <c r="AU49" s="32" t="n">
        <v>3755</v>
      </c>
      <c r="AV49" s="32" t="n">
        <v>3704</v>
      </c>
      <c r="AW49" s="32" t="n">
        <v>3740</v>
      </c>
      <c r="AX49" s="32" t="n">
        <v>3774</v>
      </c>
      <c r="AY49" s="32" t="n">
        <v>3747</v>
      </c>
      <c r="AZ49" s="32" t="n">
        <v>3618</v>
      </c>
      <c r="BA49" s="32" t="n">
        <v>3577</v>
      </c>
      <c r="BB49" s="32" t="n">
        <v>3590</v>
      </c>
      <c r="BC49" s="32" t="n">
        <v>3691</v>
      </c>
      <c r="BD49" s="32" t="n">
        <v>3648</v>
      </c>
      <c r="BE49" s="32" t="n">
        <v>3585</v>
      </c>
      <c r="BF49" s="32" t="n">
        <v>3565</v>
      </c>
      <c r="BG49" s="32" t="n">
        <v>3721</v>
      </c>
      <c r="BH49" s="32" t="n">
        <v>3713</v>
      </c>
      <c r="BI49" s="32" t="n">
        <v>3727</v>
      </c>
      <c r="BJ49" s="32" t="n">
        <v>3621</v>
      </c>
      <c r="BK49" s="32" t="n">
        <v>3560</v>
      </c>
      <c r="BL49" s="33" t="n">
        <v>3706</v>
      </c>
    </row>
    <row r="50" ht="15.95" customHeight="1" s="574">
      <c r="A50" s="68" t="inlineStr">
        <is>
          <t>8316</t>
        </is>
      </c>
      <c r="B50" s="28" t="inlineStr">
        <is>
          <t>三井住友フィナンシャルＧ</t>
        </is>
      </c>
      <c r="C50" s="665">
        <f>_xll.RssMarket("8316","高値")</f>
        <v/>
      </c>
      <c r="D50" s="666">
        <f>C50-E50</f>
        <v/>
      </c>
      <c r="E50" s="32" t="n">
        <v>6653</v>
      </c>
      <c r="F50" s="32" t="n">
        <v>6711</v>
      </c>
      <c r="G50" s="32" t="n">
        <v>6733</v>
      </c>
      <c r="H50" s="32" t="n">
        <v>6578</v>
      </c>
      <c r="I50" s="32" t="n">
        <v>6481</v>
      </c>
      <c r="J50" s="32" t="n">
        <v>6725</v>
      </c>
      <c r="K50" s="32" t="n">
        <v>6439</v>
      </c>
      <c r="L50" s="32" t="n">
        <v>6233</v>
      </c>
      <c r="M50" s="32" t="n">
        <v>6385</v>
      </c>
      <c r="N50" s="32" t="n">
        <v>6185</v>
      </c>
      <c r="O50" s="32" t="n">
        <v>6408</v>
      </c>
      <c r="P50" s="32" t="n">
        <v>6218</v>
      </c>
      <c r="Q50" s="32" t="n">
        <v>6156</v>
      </c>
      <c r="R50" s="32" t="n">
        <v>5951</v>
      </c>
      <c r="S50" s="32" t="n">
        <v>5944</v>
      </c>
      <c r="T50" s="32" t="n">
        <v>5939</v>
      </c>
      <c r="U50" s="32" t="n">
        <v>6030</v>
      </c>
      <c r="V50" s="32" t="n">
        <v>6086</v>
      </c>
      <c r="W50" s="32" t="n">
        <v>6083</v>
      </c>
      <c r="X50" s="32" t="n">
        <v>6183</v>
      </c>
      <c r="Y50" s="32" t="n">
        <v>6109</v>
      </c>
      <c r="Z50" s="32" t="n">
        <v>5974</v>
      </c>
      <c r="AA50" s="32" t="n">
        <v>5817</v>
      </c>
      <c r="AB50" s="32" t="n">
        <v>5814</v>
      </c>
      <c r="AC50" s="32" t="n">
        <v>5804</v>
      </c>
      <c r="AD50" s="32" t="n">
        <v>5889</v>
      </c>
      <c r="AE50" s="32" t="n">
        <v>5795</v>
      </c>
      <c r="AF50" s="32" t="n">
        <v>5669</v>
      </c>
      <c r="AG50" s="32" t="n">
        <v>5605</v>
      </c>
      <c r="AH50" s="32" t="n">
        <v>5730</v>
      </c>
      <c r="AI50" s="32" t="n">
        <v>5562</v>
      </c>
      <c r="AJ50" s="32" t="n">
        <v>5609</v>
      </c>
      <c r="AK50" s="32" t="n">
        <v>5667</v>
      </c>
      <c r="AL50" s="32" t="n">
        <v>5421</v>
      </c>
      <c r="AM50" s="32" t="n">
        <v>5389</v>
      </c>
      <c r="AN50" s="32" t="n">
        <v>5428</v>
      </c>
      <c r="AO50" s="32" t="n">
        <v>5483</v>
      </c>
      <c r="AP50" s="32" t="n">
        <v>5590</v>
      </c>
      <c r="AQ50" s="32" t="n">
        <v>5640</v>
      </c>
      <c r="AR50" s="32" t="n">
        <v>5662</v>
      </c>
      <c r="AS50" s="32" t="n">
        <v>5738</v>
      </c>
      <c r="AT50" s="32" t="n">
        <v>5699</v>
      </c>
      <c r="AU50" s="32" t="n">
        <v>5630</v>
      </c>
      <c r="AV50" s="32" t="n">
        <v>5641</v>
      </c>
      <c r="AW50" s="32" t="n">
        <v>5602</v>
      </c>
      <c r="AX50" s="32" t="n">
        <v>5676</v>
      </c>
      <c r="AY50" s="32" t="n">
        <v>5705</v>
      </c>
      <c r="AZ50" s="32" t="n">
        <v>5480</v>
      </c>
      <c r="BA50" s="32" t="n">
        <v>5444</v>
      </c>
      <c r="BB50" s="32" t="n">
        <v>5458</v>
      </c>
      <c r="BC50" s="32" t="n">
        <v>5556</v>
      </c>
      <c r="BD50" s="32" t="n">
        <v>5475</v>
      </c>
      <c r="BE50" s="32" t="n">
        <v>5196</v>
      </c>
      <c r="BF50" s="32" t="n">
        <v>5060</v>
      </c>
      <c r="BG50" s="32" t="n">
        <v>5285</v>
      </c>
      <c r="BH50" s="32" t="n">
        <v>5337</v>
      </c>
      <c r="BI50" s="32" t="n">
        <v>5372</v>
      </c>
      <c r="BJ50" s="32" t="n">
        <v>5148</v>
      </c>
      <c r="BK50" s="32" t="n">
        <v>5030</v>
      </c>
      <c r="BL50" s="33" t="n">
        <v>5208</v>
      </c>
    </row>
    <row r="51" ht="15.95" customHeight="1" s="574">
      <c r="A51" s="68" t="inlineStr">
        <is>
          <t>5449</t>
        </is>
      </c>
      <c r="B51" s="28" t="inlineStr">
        <is>
          <t>大阪製鐵</t>
        </is>
      </c>
      <c r="C51" s="665">
        <f>_xll.RssMarket("5449","高値")</f>
        <v/>
      </c>
      <c r="D51" s="666">
        <f>C51-E51</f>
        <v/>
      </c>
      <c r="E51" s="32" t="n">
        <v>2374</v>
      </c>
      <c r="F51" s="32" t="n">
        <v>2358</v>
      </c>
      <c r="G51" s="32" t="n">
        <v>2342</v>
      </c>
      <c r="H51" s="32" t="n">
        <v>2401</v>
      </c>
      <c r="I51" s="32" t="n">
        <v>2421</v>
      </c>
      <c r="J51" s="32" t="n">
        <v>2441</v>
      </c>
      <c r="K51" s="32" t="n">
        <v>2377</v>
      </c>
      <c r="L51" s="32" t="n">
        <v>2322</v>
      </c>
      <c r="M51" s="32" t="n">
        <v>2365</v>
      </c>
      <c r="N51" s="32" t="n">
        <v>2317</v>
      </c>
      <c r="O51" s="32" t="n">
        <v>2416</v>
      </c>
      <c r="P51" s="32" t="n">
        <v>2376</v>
      </c>
      <c r="Q51" s="32" t="n">
        <v>2458</v>
      </c>
      <c r="R51" s="32" t="n">
        <v>2399</v>
      </c>
      <c r="S51" s="32" t="n">
        <v>2669</v>
      </c>
      <c r="T51" s="32" t="n">
        <v>2680</v>
      </c>
      <c r="U51" s="32" t="n">
        <v>2508</v>
      </c>
      <c r="V51" s="32" t="n">
        <v>2407</v>
      </c>
      <c r="W51" s="32" t="n">
        <v>2388</v>
      </c>
      <c r="X51" s="32" t="n">
        <v>2287</v>
      </c>
      <c r="Y51" s="32" t="n">
        <v>2293</v>
      </c>
      <c r="Z51" s="32" t="n">
        <v>2372</v>
      </c>
      <c r="AA51" s="32" t="n">
        <v>2393</v>
      </c>
      <c r="AB51" s="32" t="n">
        <v>2430</v>
      </c>
      <c r="AC51" s="32" t="n">
        <v>2454</v>
      </c>
      <c r="AD51" s="32" t="n">
        <v>2606</v>
      </c>
      <c r="AE51" s="32" t="n">
        <v>2586</v>
      </c>
      <c r="AF51" s="32" t="n">
        <v>2610</v>
      </c>
      <c r="AG51" s="32" t="n">
        <v>2622</v>
      </c>
      <c r="AH51" s="32" t="n">
        <v>2539</v>
      </c>
      <c r="AI51" s="32" t="n">
        <v>2485</v>
      </c>
      <c r="AJ51" s="32" t="n">
        <v>2477</v>
      </c>
      <c r="AK51" s="32" t="n">
        <v>2376</v>
      </c>
      <c r="AL51" s="32" t="n">
        <v>2329</v>
      </c>
      <c r="AM51" s="32" t="n">
        <v>2370</v>
      </c>
      <c r="AN51" s="32" t="n">
        <v>2410</v>
      </c>
      <c r="AO51" s="32" t="n">
        <v>2453</v>
      </c>
      <c r="AP51" s="32" t="n">
        <v>2458</v>
      </c>
      <c r="AQ51" s="32" t="n">
        <v>2437</v>
      </c>
      <c r="AR51" s="32" t="n">
        <v>2461</v>
      </c>
      <c r="AS51" s="32" t="n">
        <v>2484</v>
      </c>
      <c r="AT51" s="32" t="n">
        <v>2465</v>
      </c>
      <c r="AU51" s="32" t="n">
        <v>2462</v>
      </c>
      <c r="AV51" s="32" t="n">
        <v>2648</v>
      </c>
      <c r="AW51" s="32" t="n">
        <v>2718</v>
      </c>
      <c r="AX51" s="32" t="n">
        <v>2726</v>
      </c>
      <c r="AY51" s="32" t="n">
        <v>2714</v>
      </c>
      <c r="AZ51" s="32" t="n">
        <v>2745</v>
      </c>
      <c r="BA51" s="32" t="n">
        <v>2740</v>
      </c>
      <c r="BB51" s="32" t="n">
        <v>2756</v>
      </c>
      <c r="BC51" s="32" t="n">
        <v>2768</v>
      </c>
      <c r="BD51" s="32" t="n">
        <v>2754</v>
      </c>
      <c r="BE51" s="32" t="n">
        <v>2761</v>
      </c>
      <c r="BF51" s="32" t="n">
        <v>2743</v>
      </c>
      <c r="BG51" s="32" t="n">
        <v>2703</v>
      </c>
      <c r="BH51" s="32" t="n">
        <v>2759</v>
      </c>
      <c r="BI51" s="32" t="n">
        <v>2705</v>
      </c>
      <c r="BJ51" s="32" t="n">
        <v>2685</v>
      </c>
      <c r="BK51" s="32" t="n">
        <v>2717</v>
      </c>
      <c r="BL51" s="33" t="n">
        <v>2694</v>
      </c>
    </row>
    <row r="52" ht="15.95" customHeight="1" s="574">
      <c r="A52" s="68" t="inlineStr">
        <is>
          <t>8766</t>
        </is>
      </c>
      <c r="B52" s="28" t="inlineStr">
        <is>
          <t>東京海上ＨＤ</t>
        </is>
      </c>
      <c r="C52" s="665">
        <f>_xll.RssMarket("8766","高値")</f>
        <v/>
      </c>
      <c r="D52" s="666">
        <f>C52-E52</f>
        <v/>
      </c>
      <c r="E52" s="32" t="n">
        <v>7316</v>
      </c>
      <c r="F52" s="32" t="n">
        <v>7308</v>
      </c>
      <c r="G52" s="32" t="n">
        <v>7368</v>
      </c>
      <c r="H52" s="32" t="n">
        <v>7421</v>
      </c>
      <c r="I52" s="32" t="n">
        <v>7293</v>
      </c>
      <c r="J52" s="32" t="n">
        <v>7469</v>
      </c>
      <c r="K52" s="32" t="n">
        <v>7454</v>
      </c>
      <c r="L52" s="32" t="n">
        <v>7487</v>
      </c>
      <c r="M52" s="32" t="n">
        <v>7557</v>
      </c>
      <c r="N52" s="32" t="n">
        <v>7232</v>
      </c>
      <c r="O52" s="32" t="n">
        <v>7068</v>
      </c>
      <c r="P52" s="32" t="n">
        <v>7000</v>
      </c>
      <c r="Q52" s="32" t="n">
        <v>7167</v>
      </c>
      <c r="R52" s="32" t="n">
        <v>7130</v>
      </c>
      <c r="S52" s="32" t="n">
        <v>7216</v>
      </c>
      <c r="T52" s="32" t="n">
        <v>7324</v>
      </c>
      <c r="U52" s="32" t="n">
        <v>7443</v>
      </c>
      <c r="V52" s="32" t="n">
        <v>7469</v>
      </c>
      <c r="W52" s="32" t="n">
        <v>7610</v>
      </c>
      <c r="X52" s="32" t="n">
        <v>7987</v>
      </c>
      <c r="Y52" s="32" t="n">
        <v>8038</v>
      </c>
      <c r="Z52" s="32" t="n">
        <v>7962</v>
      </c>
      <c r="AA52" s="32" t="n">
        <v>7769</v>
      </c>
      <c r="AB52" s="32" t="n">
        <v>7687</v>
      </c>
      <c r="AC52" s="32" t="n">
        <v>7416</v>
      </c>
      <c r="AD52" s="32" t="n">
        <v>7402</v>
      </c>
      <c r="AE52" s="32" t="n">
        <v>7282</v>
      </c>
      <c r="AF52" s="32" t="n">
        <v>7198</v>
      </c>
      <c r="AG52" s="32" t="n">
        <v>7195</v>
      </c>
      <c r="AH52" s="32" t="n">
        <v>7337</v>
      </c>
      <c r="AI52" s="32" t="n">
        <v>7148</v>
      </c>
      <c r="AJ52" s="32" t="n">
        <v>7300</v>
      </c>
      <c r="AK52" s="32" t="n">
        <v>7344</v>
      </c>
      <c r="AL52" s="32" t="n">
        <v>7220</v>
      </c>
      <c r="AM52" s="32" t="n">
        <v>7227</v>
      </c>
      <c r="AN52" s="32" t="n">
        <v>7100</v>
      </c>
      <c r="AO52" s="32" t="n">
        <v>7267</v>
      </c>
      <c r="AP52" s="32" t="n">
        <v>7310</v>
      </c>
      <c r="AQ52" s="32" t="n">
        <v>7221</v>
      </c>
      <c r="AR52" s="32" t="n">
        <v>7003</v>
      </c>
      <c r="AS52" s="32" t="n">
        <v>6984</v>
      </c>
      <c r="AT52" s="32" t="n">
        <v>6963</v>
      </c>
      <c r="AU52" s="32" t="n">
        <v>7068</v>
      </c>
      <c r="AV52" s="32" t="n">
        <v>7099</v>
      </c>
      <c r="AW52" s="32" t="n">
        <v>7220</v>
      </c>
      <c r="AX52" s="32" t="n">
        <v>7422</v>
      </c>
      <c r="AY52" s="32" t="n">
        <v>7580</v>
      </c>
      <c r="AZ52" s="32" t="n">
        <v>7448</v>
      </c>
      <c r="BA52" s="32" t="n">
        <v>7379</v>
      </c>
      <c r="BB52" s="32" t="n">
        <v>7349</v>
      </c>
      <c r="BC52" s="32" t="n">
        <v>7515</v>
      </c>
      <c r="BD52" s="32" t="n">
        <v>7527</v>
      </c>
      <c r="BE52" s="32" t="n">
        <v>7578</v>
      </c>
      <c r="BF52" s="32" t="n">
        <v>7370</v>
      </c>
      <c r="BG52" s="32" t="n">
        <v>7575</v>
      </c>
      <c r="BH52" s="32" t="n">
        <v>7870</v>
      </c>
      <c r="BI52" s="32" t="n">
        <v>7857</v>
      </c>
      <c r="BJ52" s="32" t="n">
        <v>6857</v>
      </c>
      <c r="BK52" s="32" t="n">
        <v>5907</v>
      </c>
      <c r="BL52" s="33" t="n">
        <v>6095</v>
      </c>
    </row>
    <row r="53" ht="15.95" customHeight="1" s="574">
      <c r="A53" s="68" t="inlineStr">
        <is>
          <t>5201</t>
        </is>
      </c>
      <c r="B53" s="28" t="inlineStr">
        <is>
          <t>ＡＧＣ</t>
        </is>
      </c>
      <c r="C53" s="665">
        <f>_xll.RssMarket("5201","高値")</f>
        <v/>
      </c>
      <c r="D53" s="666">
        <f>C53-E53</f>
        <v/>
      </c>
      <c r="E53" s="32" t="n">
        <v>7682</v>
      </c>
      <c r="F53" s="32" t="n">
        <v>7800</v>
      </c>
      <c r="G53" s="32" t="n">
        <v>7687</v>
      </c>
      <c r="H53" s="32" t="n">
        <v>7421</v>
      </c>
      <c r="I53" s="32" t="n">
        <v>7500</v>
      </c>
      <c r="J53" s="32" t="n">
        <v>7407</v>
      </c>
      <c r="K53" s="32" t="n">
        <v>7148</v>
      </c>
      <c r="L53" s="32" t="n">
        <v>7004</v>
      </c>
      <c r="M53" s="32" t="n">
        <v>7157</v>
      </c>
      <c r="N53" s="32" t="n">
        <v>7471</v>
      </c>
      <c r="O53" s="32" t="n">
        <v>8069</v>
      </c>
      <c r="P53" s="32" t="n">
        <v>8218</v>
      </c>
      <c r="Q53" s="32" t="n">
        <v>8315</v>
      </c>
      <c r="R53" s="32" t="n">
        <v>7686</v>
      </c>
      <c r="S53" s="32" t="n">
        <v>6980</v>
      </c>
      <c r="T53" s="32" t="n">
        <v>7259</v>
      </c>
      <c r="U53" s="32" t="n">
        <v>6784</v>
      </c>
      <c r="V53" s="32" t="n">
        <v>6545</v>
      </c>
      <c r="W53" s="32" t="n">
        <v>6254</v>
      </c>
      <c r="X53" s="32" t="n">
        <v>6265</v>
      </c>
      <c r="Y53" s="32" t="n">
        <v>6395</v>
      </c>
      <c r="Z53" s="32" t="n">
        <v>6031</v>
      </c>
      <c r="AA53" s="32" t="n">
        <v>6132</v>
      </c>
      <c r="AB53" s="32" t="n">
        <v>6155</v>
      </c>
      <c r="AC53" s="32" t="n">
        <v>6098</v>
      </c>
      <c r="AD53" s="32" t="n">
        <v>6270</v>
      </c>
      <c r="AE53" s="32" t="n">
        <v>5636</v>
      </c>
      <c r="AF53" s="32" t="n">
        <v>5668</v>
      </c>
      <c r="AG53" s="32" t="n">
        <v>5733</v>
      </c>
      <c r="AH53" s="32" t="n">
        <v>5607</v>
      </c>
      <c r="AI53" s="32" t="n">
        <v>5667</v>
      </c>
      <c r="AJ53" s="32" t="n">
        <v>5754</v>
      </c>
      <c r="AK53" s="32" t="n">
        <v>5700</v>
      </c>
      <c r="AL53" s="32" t="n">
        <v>5730</v>
      </c>
      <c r="AM53" s="32" t="n">
        <v>5664</v>
      </c>
      <c r="AN53" s="32" t="n">
        <v>5779</v>
      </c>
      <c r="AO53" s="32" t="n">
        <v>5818</v>
      </c>
      <c r="AP53" s="32" t="n">
        <v>5796</v>
      </c>
      <c r="AQ53" s="32" t="n">
        <v>5740</v>
      </c>
      <c r="AR53" s="32" t="n">
        <v>5774</v>
      </c>
      <c r="AS53" s="32" t="n">
        <v>5695</v>
      </c>
      <c r="AT53" s="32" t="n">
        <v>5782</v>
      </c>
      <c r="AU53" s="32" t="n">
        <v>5784</v>
      </c>
      <c r="AV53" s="32" t="n">
        <v>5922</v>
      </c>
      <c r="AW53" s="32" t="n">
        <v>5976</v>
      </c>
      <c r="AX53" s="32" t="n">
        <v>5954</v>
      </c>
      <c r="AY53" s="32" t="n">
        <v>5625</v>
      </c>
      <c r="AZ53" s="32" t="n">
        <v>5617</v>
      </c>
      <c r="BA53" s="32" t="n">
        <v>5680</v>
      </c>
      <c r="BB53" s="32" t="n">
        <v>5812</v>
      </c>
      <c r="BC53" s="32" t="n">
        <v>5735</v>
      </c>
      <c r="BD53" s="32" t="n">
        <v>5520</v>
      </c>
      <c r="BE53" s="32" t="n">
        <v>5445</v>
      </c>
      <c r="BF53" s="32" t="n">
        <v>5612</v>
      </c>
      <c r="BG53" s="32" t="n">
        <v>5709</v>
      </c>
      <c r="BH53" s="32" t="n">
        <v>5654</v>
      </c>
      <c r="BI53" s="32" t="n">
        <v>5498</v>
      </c>
      <c r="BJ53" s="32" t="n">
        <v>5443</v>
      </c>
      <c r="BK53" s="32" t="n">
        <v>5663</v>
      </c>
      <c r="BL53" s="33" t="n">
        <v>5806</v>
      </c>
    </row>
    <row r="54" ht="15.95" customHeight="1" s="574">
      <c r="A54" s="68" t="inlineStr">
        <is>
          <t>8630</t>
        </is>
      </c>
      <c r="B54" s="28" t="inlineStr">
        <is>
          <t>ＳＯＭＰＯホールディングス</t>
        </is>
      </c>
      <c r="C54" s="665">
        <f>_xll.RssMarket("8630","高値")</f>
        <v/>
      </c>
      <c r="D54" s="666">
        <f>C54-E54</f>
        <v/>
      </c>
      <c r="E54" s="32" t="n">
        <v>6465</v>
      </c>
      <c r="F54" s="32" t="n">
        <v>6410</v>
      </c>
      <c r="G54" s="32" t="n">
        <v>6442</v>
      </c>
      <c r="H54" s="32" t="n">
        <v>6406</v>
      </c>
      <c r="I54" s="32" t="n">
        <v>6274</v>
      </c>
      <c r="J54" s="32" t="n">
        <v>6361</v>
      </c>
      <c r="K54" s="32" t="n">
        <v>6191</v>
      </c>
      <c r="L54" s="32" t="n">
        <v>6249</v>
      </c>
      <c r="M54" s="32" t="n">
        <v>6332</v>
      </c>
      <c r="N54" s="32" t="n">
        <v>6031</v>
      </c>
      <c r="O54" s="32" t="n">
        <v>5956</v>
      </c>
      <c r="P54" s="32" t="n">
        <v>5849</v>
      </c>
      <c r="Q54" s="32" t="n">
        <v>5957</v>
      </c>
      <c r="R54" s="32" t="n">
        <v>5986</v>
      </c>
      <c r="S54" s="32" t="n">
        <v>5958</v>
      </c>
      <c r="T54" s="32" t="n">
        <v>5943</v>
      </c>
      <c r="U54" s="32" t="n">
        <v>5935</v>
      </c>
      <c r="V54" s="32" t="n">
        <v>5625</v>
      </c>
      <c r="W54" s="32" t="n">
        <v>5764</v>
      </c>
      <c r="X54" s="32" t="n">
        <v>5896</v>
      </c>
      <c r="Y54" s="32" t="n">
        <v>6435</v>
      </c>
      <c r="Z54" s="32" t="n">
        <v>6161</v>
      </c>
      <c r="AA54" s="32" t="n">
        <v>6125</v>
      </c>
      <c r="AB54" s="32" t="n">
        <v>6050</v>
      </c>
      <c r="AC54" s="32" t="n">
        <v>6129</v>
      </c>
      <c r="AD54" s="32" t="n">
        <v>5946</v>
      </c>
      <c r="AE54" s="32" t="n">
        <v>5834</v>
      </c>
      <c r="AF54" s="32" t="n">
        <v>5900</v>
      </c>
      <c r="AG54" s="32" t="n">
        <v>5926</v>
      </c>
      <c r="AH54" s="32" t="n">
        <v>5744</v>
      </c>
      <c r="AI54" s="32" t="n">
        <v>5798</v>
      </c>
      <c r="AJ54" s="32" t="n">
        <v>5815</v>
      </c>
      <c r="AK54" s="32" t="n">
        <v>5766</v>
      </c>
      <c r="AL54" s="32" t="n">
        <v>5892</v>
      </c>
      <c r="AM54" s="32" t="n">
        <v>5858</v>
      </c>
      <c r="AN54" s="32" t="n">
        <v>5948</v>
      </c>
      <c r="AO54" s="32" t="n">
        <v>5955</v>
      </c>
      <c r="AP54" s="32" t="n">
        <v>5947</v>
      </c>
      <c r="AQ54" s="32" t="n">
        <v>5988</v>
      </c>
      <c r="AR54" s="32" t="n">
        <v>5995</v>
      </c>
      <c r="AS54" s="32" t="n">
        <v>5990</v>
      </c>
      <c r="AT54" s="32" t="n">
        <v>6022</v>
      </c>
      <c r="AU54" s="32" t="n">
        <v>5982</v>
      </c>
      <c r="AV54" s="32" t="n">
        <v>6050</v>
      </c>
      <c r="AW54" s="32" t="n">
        <v>6103</v>
      </c>
      <c r="AX54" s="32" t="n">
        <v>6296</v>
      </c>
      <c r="AY54" s="32" t="n">
        <v>6126</v>
      </c>
      <c r="AZ54" s="32" t="n">
        <v>6088</v>
      </c>
      <c r="BA54" s="32" t="n">
        <v>6102</v>
      </c>
      <c r="BB54" s="32" t="n">
        <v>6259</v>
      </c>
      <c r="BC54" s="32" t="n">
        <v>6262</v>
      </c>
      <c r="BD54" s="32" t="n">
        <v>6190</v>
      </c>
      <c r="BE54" s="32" t="n">
        <v>6002</v>
      </c>
      <c r="BF54" s="32" t="n">
        <v>6184</v>
      </c>
      <c r="BG54" s="32" t="n">
        <v>6165</v>
      </c>
      <c r="BH54" s="32" t="n">
        <v>6153</v>
      </c>
      <c r="BI54" s="32" t="n">
        <v>5908</v>
      </c>
      <c r="BJ54" s="32" t="n">
        <v>5733</v>
      </c>
      <c r="BK54" s="32" t="n">
        <v>5901</v>
      </c>
      <c r="BL54" s="33" t="n">
        <v>6029</v>
      </c>
    </row>
    <row r="55" ht="15.95" customHeight="1" s="574">
      <c r="A55" s="68" t="inlineStr">
        <is>
          <t>5901</t>
        </is>
      </c>
      <c r="B55" s="28" t="inlineStr">
        <is>
          <t>東洋製罐グループＨＤ</t>
        </is>
      </c>
      <c r="C55" s="665">
        <f>_xll.RssMarket("5901","高値")</f>
        <v/>
      </c>
      <c r="D55" s="666">
        <f>C55-E55</f>
        <v/>
      </c>
      <c r="E55" s="32" t="n">
        <v>4175</v>
      </c>
      <c r="F55" s="32" t="n">
        <v>4160</v>
      </c>
      <c r="G55" s="32" t="n">
        <v>4135</v>
      </c>
      <c r="H55" s="32" t="n">
        <v>4088</v>
      </c>
      <c r="I55" s="32" t="n">
        <v>4035</v>
      </c>
      <c r="J55" s="32" t="n">
        <v>4047</v>
      </c>
      <c r="K55" s="32" t="n">
        <v>3938</v>
      </c>
      <c r="L55" s="32" t="n">
        <v>3859</v>
      </c>
      <c r="M55" s="32" t="n">
        <v>3891</v>
      </c>
      <c r="N55" s="32" t="n">
        <v>3912</v>
      </c>
      <c r="O55" s="32" t="n">
        <v>3827</v>
      </c>
      <c r="P55" s="32" t="n">
        <v>3875</v>
      </c>
      <c r="Q55" s="32" t="n">
        <v>3912</v>
      </c>
      <c r="R55" s="32" t="n">
        <v>3920</v>
      </c>
      <c r="S55" s="32" t="n">
        <v>4010</v>
      </c>
      <c r="T55" s="32" t="n">
        <v>3948</v>
      </c>
      <c r="U55" s="32" t="n">
        <v>3973</v>
      </c>
      <c r="V55" s="32" t="n">
        <v>4043</v>
      </c>
      <c r="W55" s="32" t="n">
        <v>4369</v>
      </c>
      <c r="X55" s="32" t="n">
        <v>4404</v>
      </c>
      <c r="Y55" s="32" t="n">
        <v>4097</v>
      </c>
      <c r="Z55" s="32" t="n">
        <v>4022</v>
      </c>
      <c r="AA55" s="32" t="n">
        <v>3930</v>
      </c>
      <c r="AB55" s="32" t="n">
        <v>3730</v>
      </c>
      <c r="AC55" s="32" t="n">
        <v>3472</v>
      </c>
      <c r="AD55" s="32" t="n">
        <v>3508</v>
      </c>
      <c r="AE55" s="32" t="n">
        <v>3428</v>
      </c>
      <c r="AF55" s="32" t="n">
        <v>3532</v>
      </c>
      <c r="AG55" s="32" t="n">
        <v>3651</v>
      </c>
      <c r="AH55" s="32" t="n">
        <v>3607</v>
      </c>
      <c r="AI55" s="32" t="n">
        <v>3520</v>
      </c>
      <c r="AJ55" s="32" t="n">
        <v>3258</v>
      </c>
      <c r="AK55" s="32" t="n">
        <v>3210</v>
      </c>
      <c r="AL55" s="32" t="n">
        <v>3220</v>
      </c>
      <c r="AM55" s="32" t="n">
        <v>3242</v>
      </c>
      <c r="AN55" s="32" t="n">
        <v>3264</v>
      </c>
      <c r="AO55" s="32" t="n">
        <v>3382</v>
      </c>
      <c r="AP55" s="32" t="n">
        <v>3420</v>
      </c>
      <c r="AQ55" s="32" t="n">
        <v>3406</v>
      </c>
      <c r="AR55" s="32" t="n">
        <v>3385</v>
      </c>
      <c r="AS55" s="32" t="n">
        <v>3450</v>
      </c>
      <c r="AT55" s="32" t="n">
        <v>3429</v>
      </c>
      <c r="AU55" s="32" t="n">
        <v>3438</v>
      </c>
      <c r="AV55" s="32" t="n">
        <v>3469</v>
      </c>
      <c r="AW55" s="32" t="n">
        <v>3519</v>
      </c>
      <c r="AX55" s="32" t="n">
        <v>3590</v>
      </c>
      <c r="AY55" s="32" t="n">
        <v>3579</v>
      </c>
      <c r="AZ55" s="32" t="n">
        <v>3481</v>
      </c>
      <c r="BA55" s="32" t="n">
        <v>3482</v>
      </c>
      <c r="BB55" s="32" t="n">
        <v>3529</v>
      </c>
      <c r="BC55" s="32" t="n">
        <v>3677</v>
      </c>
      <c r="BD55" s="32" t="n">
        <v>3633</v>
      </c>
      <c r="BE55" s="32" t="n">
        <v>3573</v>
      </c>
      <c r="BF55" s="32" t="n">
        <v>3535</v>
      </c>
      <c r="BG55" s="32" t="n">
        <v>3703</v>
      </c>
      <c r="BH55" s="32" t="n">
        <v>3734</v>
      </c>
      <c r="BI55" s="32" t="n">
        <v>3754</v>
      </c>
      <c r="BJ55" s="32" t="n">
        <v>3665</v>
      </c>
      <c r="BK55" s="32" t="n">
        <v>3636</v>
      </c>
      <c r="BL55" s="33" t="n">
        <v>3830</v>
      </c>
    </row>
    <row r="56" ht="15.95" customHeight="1" s="574">
      <c r="A56" s="68" t="inlineStr">
        <is>
          <t>9412</t>
        </is>
      </c>
      <c r="B56" s="28" t="inlineStr">
        <is>
          <t>スカパーＪＳＡＴ</t>
        </is>
      </c>
      <c r="C56" s="665">
        <f>_xll.RssMarket("9412","高値")</f>
        <v/>
      </c>
      <c r="D56" s="666">
        <f>C56-E56</f>
        <v/>
      </c>
      <c r="E56" s="32" t="n">
        <v>3245</v>
      </c>
      <c r="F56" s="32" t="n">
        <v>3265</v>
      </c>
      <c r="G56" s="32" t="n">
        <v>3495</v>
      </c>
      <c r="H56" s="32" t="n">
        <v>3420</v>
      </c>
      <c r="I56" s="32" t="n">
        <v>3345</v>
      </c>
      <c r="J56" s="32" t="n">
        <v>3425</v>
      </c>
      <c r="K56" s="32" t="n">
        <v>3505</v>
      </c>
      <c r="L56" s="32" t="n">
        <v>3245</v>
      </c>
      <c r="M56" s="32" t="n">
        <v>3230</v>
      </c>
      <c r="N56" s="32" t="n">
        <v>3585</v>
      </c>
      <c r="O56" s="32" t="n">
        <v>3670</v>
      </c>
      <c r="P56" s="32" t="n">
        <v>3470</v>
      </c>
      <c r="Q56" s="32" t="n">
        <v>3785</v>
      </c>
      <c r="R56" s="32" t="n">
        <v>3910</v>
      </c>
      <c r="S56" s="32" t="n">
        <v>4600</v>
      </c>
      <c r="T56" s="32" t="n">
        <v>4540</v>
      </c>
      <c r="U56" s="32" t="n">
        <v>4720</v>
      </c>
      <c r="V56" s="32" t="n">
        <v>4530</v>
      </c>
      <c r="W56" s="32" t="n">
        <v>4325</v>
      </c>
      <c r="X56" s="32" t="n">
        <v>4430</v>
      </c>
      <c r="Y56" s="32" t="n">
        <v>4240</v>
      </c>
      <c r="Z56" s="32" t="n">
        <v>4185</v>
      </c>
      <c r="AA56" s="32" t="n">
        <v>4310</v>
      </c>
      <c r="AB56" s="32" t="n">
        <v>4345</v>
      </c>
      <c r="AC56" s="32" t="n">
        <v>4335</v>
      </c>
      <c r="AD56" s="32" t="n">
        <v>4220</v>
      </c>
      <c r="AE56" s="32" t="n">
        <v>4030</v>
      </c>
      <c r="AF56" s="32" t="n">
        <v>3840</v>
      </c>
      <c r="AG56" s="32" t="n">
        <v>3715</v>
      </c>
      <c r="AH56" s="32" t="n">
        <v>3620</v>
      </c>
      <c r="AI56" s="32" t="n">
        <v>3650</v>
      </c>
      <c r="AJ56" s="32" t="n">
        <v>3530</v>
      </c>
      <c r="AK56" s="32" t="n">
        <v>3380</v>
      </c>
      <c r="AL56" s="32" t="n">
        <v>3220</v>
      </c>
      <c r="AM56" s="32" t="n">
        <v>3305</v>
      </c>
      <c r="AN56" s="32" t="n">
        <v>3200</v>
      </c>
      <c r="AO56" s="32" t="n">
        <v>3335</v>
      </c>
      <c r="AP56" s="32" t="n">
        <v>3420</v>
      </c>
      <c r="AQ56" s="32" t="n">
        <v>3385</v>
      </c>
      <c r="AR56" s="32" t="n">
        <v>3385</v>
      </c>
      <c r="AS56" s="32" t="n">
        <v>3265</v>
      </c>
      <c r="AT56" s="32" t="n">
        <v>3255</v>
      </c>
      <c r="AU56" s="32" t="n">
        <v>3175</v>
      </c>
      <c r="AV56" s="32" t="n">
        <v>3040</v>
      </c>
      <c r="AW56" s="32" t="n">
        <v>3155</v>
      </c>
      <c r="AX56" s="32" t="n">
        <v>3185</v>
      </c>
      <c r="AY56" s="32" t="n">
        <v>3165</v>
      </c>
      <c r="AZ56" s="32" t="n">
        <v>3105</v>
      </c>
      <c r="BA56" s="32" t="n">
        <v>3125</v>
      </c>
      <c r="BB56" s="32" t="n">
        <v>3085</v>
      </c>
      <c r="BC56" s="32" t="n">
        <v>3105</v>
      </c>
      <c r="BD56" s="32" t="n">
        <v>3045</v>
      </c>
      <c r="BE56" s="32" t="n">
        <v>2968</v>
      </c>
      <c r="BF56" s="32" t="n">
        <v>2957</v>
      </c>
      <c r="BG56" s="32" t="n">
        <v>3080</v>
      </c>
      <c r="BH56" s="32" t="n">
        <v>3110</v>
      </c>
      <c r="BI56" s="32" t="n">
        <v>3095</v>
      </c>
      <c r="BJ56" s="32" t="n">
        <v>2928</v>
      </c>
      <c r="BK56" s="32" t="n">
        <v>2786</v>
      </c>
      <c r="BL56" s="33" t="n">
        <v>2855</v>
      </c>
    </row>
    <row r="57" ht="15.95" customHeight="1" s="574">
      <c r="A57" s="68" t="inlineStr">
        <is>
          <t>6203</t>
        </is>
      </c>
      <c r="B57" s="28" t="inlineStr">
        <is>
          <t>豊和工業</t>
        </is>
      </c>
      <c r="C57" s="665">
        <f>_xll.RssMarket("6203","高値")</f>
        <v/>
      </c>
      <c r="D57" s="666">
        <f>C57-E57</f>
        <v/>
      </c>
      <c r="E57" s="32" t="n">
        <v>1721</v>
      </c>
      <c r="F57" s="32" t="n">
        <v>1707</v>
      </c>
      <c r="G57" s="32" t="n">
        <v>1753</v>
      </c>
      <c r="H57" s="32" t="n">
        <v>1679</v>
      </c>
      <c r="I57" s="32" t="n">
        <v>1592</v>
      </c>
      <c r="J57" s="32" t="n">
        <v>1620</v>
      </c>
      <c r="K57" s="32" t="n">
        <v>1648</v>
      </c>
      <c r="L57" s="32" t="n">
        <v>1651</v>
      </c>
      <c r="M57" s="32" t="n">
        <v>1810</v>
      </c>
      <c r="N57" s="32" t="n">
        <v>1838</v>
      </c>
      <c r="O57" s="32" t="n">
        <v>1839</v>
      </c>
      <c r="P57" s="32" t="n">
        <v>1874</v>
      </c>
      <c r="Q57" s="32" t="n">
        <v>1949</v>
      </c>
      <c r="R57" s="32" t="n">
        <v>1993</v>
      </c>
      <c r="S57" s="32" t="n">
        <v>2012</v>
      </c>
      <c r="T57" s="32" t="n">
        <v>1670</v>
      </c>
      <c r="U57" s="32" t="n">
        <v>1410</v>
      </c>
      <c r="V57" s="32" t="n">
        <v>1384</v>
      </c>
      <c r="W57" s="32" t="n">
        <v>1364</v>
      </c>
      <c r="X57" s="32" t="n">
        <v>1343</v>
      </c>
      <c r="Y57" s="32" t="n">
        <v>1312</v>
      </c>
      <c r="Z57" s="32" t="n">
        <v>1361</v>
      </c>
      <c r="AA57" s="32" t="n">
        <v>1392</v>
      </c>
      <c r="AB57" s="32" t="n">
        <v>1446</v>
      </c>
      <c r="AC57" s="32" t="n">
        <v>1431</v>
      </c>
      <c r="AD57" s="32" t="n">
        <v>1463</v>
      </c>
      <c r="AE57" s="32" t="n">
        <v>1546</v>
      </c>
      <c r="AF57" s="32" t="n">
        <v>1557</v>
      </c>
      <c r="AG57" s="32" t="n">
        <v>1510</v>
      </c>
      <c r="AH57" s="32" t="n">
        <v>1577</v>
      </c>
      <c r="AI57" s="32" t="n">
        <v>1540</v>
      </c>
      <c r="AJ57" s="32" t="n">
        <v>1565</v>
      </c>
      <c r="AK57" s="32" t="n">
        <v>1588</v>
      </c>
      <c r="AL57" s="32" t="n">
        <v>1545</v>
      </c>
      <c r="AM57" s="32" t="n">
        <v>1522</v>
      </c>
      <c r="AN57" s="32" t="n">
        <v>1606</v>
      </c>
      <c r="AO57" s="32" t="n">
        <v>1545</v>
      </c>
      <c r="AP57" s="32" t="n">
        <v>1434</v>
      </c>
      <c r="AQ57" s="32" t="n">
        <v>1390</v>
      </c>
      <c r="AR57" s="32" t="n">
        <v>1376</v>
      </c>
      <c r="AS57" s="32" t="n">
        <v>1388</v>
      </c>
      <c r="AT57" s="32" t="n">
        <v>1468</v>
      </c>
      <c r="AU57" s="32" t="n">
        <v>1489</v>
      </c>
      <c r="AV57" s="32" t="n">
        <v>1514</v>
      </c>
      <c r="AW57" s="32" t="n">
        <v>1515</v>
      </c>
      <c r="AX57" s="32" t="n">
        <v>1596</v>
      </c>
      <c r="AY57" s="32" t="n">
        <v>1587</v>
      </c>
      <c r="AZ57" s="32" t="n">
        <v>1540</v>
      </c>
      <c r="BA57" s="32" t="n">
        <v>1550</v>
      </c>
      <c r="BB57" s="32" t="n">
        <v>1540</v>
      </c>
      <c r="BC57" s="32" t="n">
        <v>1562</v>
      </c>
      <c r="BD57" s="32" t="n">
        <v>1494</v>
      </c>
      <c r="BE57" s="32" t="n">
        <v>1459</v>
      </c>
      <c r="BF57" s="32" t="n">
        <v>1480</v>
      </c>
      <c r="BG57" s="32" t="n">
        <v>1557</v>
      </c>
      <c r="BH57" s="32" t="n">
        <v>1595</v>
      </c>
      <c r="BI57" s="32" t="n">
        <v>1582</v>
      </c>
      <c r="BJ57" s="32" t="n">
        <v>1542</v>
      </c>
      <c r="BK57" s="32" t="n">
        <v>1529</v>
      </c>
      <c r="BL57" s="33" t="n">
        <v>1644</v>
      </c>
    </row>
    <row r="58" ht="15.95" customHeight="1" s="574">
      <c r="A58" s="68" t="inlineStr">
        <is>
          <t>4676</t>
        </is>
      </c>
      <c r="B58" s="28" t="inlineStr">
        <is>
          <t>フジ・メディア・ＨＤ</t>
        </is>
      </c>
      <c r="C58" s="665">
        <f>_xll.RssMarket("4676","高値")</f>
        <v/>
      </c>
      <c r="D58" s="666">
        <f>C58-E58</f>
        <v/>
      </c>
      <c r="E58" s="32" t="n">
        <v>4103</v>
      </c>
      <c r="F58" s="32" t="n">
        <v>4064</v>
      </c>
      <c r="G58" s="32" t="n">
        <v>4074</v>
      </c>
      <c r="H58" s="32" t="n">
        <v>4063</v>
      </c>
      <c r="I58" s="32" t="n">
        <v>4080</v>
      </c>
      <c r="J58" s="32" t="n">
        <v>4152</v>
      </c>
      <c r="K58" s="32" t="n">
        <v>4097</v>
      </c>
      <c r="L58" s="32" t="n">
        <v>4118</v>
      </c>
      <c r="M58" s="32" t="n">
        <v>4164</v>
      </c>
      <c r="N58" s="32" t="n">
        <v>4185</v>
      </c>
      <c r="O58" s="32" t="n">
        <v>4272</v>
      </c>
      <c r="P58" s="32" t="n">
        <v>3874</v>
      </c>
      <c r="Q58" s="32" t="n">
        <v>3867</v>
      </c>
      <c r="R58" s="32" t="n">
        <v>3923</v>
      </c>
      <c r="S58" s="32" t="n">
        <v>3784</v>
      </c>
      <c r="T58" s="32" t="n">
        <v>3782</v>
      </c>
      <c r="U58" s="32" t="n">
        <v>3754</v>
      </c>
      <c r="V58" s="32" t="n">
        <v>3781</v>
      </c>
      <c r="W58" s="32" t="n">
        <v>3845</v>
      </c>
      <c r="X58" s="32" t="n">
        <v>3860</v>
      </c>
      <c r="Y58" s="32" t="n">
        <v>3842</v>
      </c>
      <c r="Z58" s="32" t="n">
        <v>3811</v>
      </c>
      <c r="AA58" s="32" t="n">
        <v>3832</v>
      </c>
      <c r="AB58" s="32" t="n">
        <v>3822</v>
      </c>
      <c r="AC58" s="32" t="n">
        <v>3872</v>
      </c>
      <c r="AD58" s="32" t="n">
        <v>3915</v>
      </c>
      <c r="AE58" s="32" t="n">
        <v>3995</v>
      </c>
      <c r="AF58" s="32" t="n">
        <v>3977</v>
      </c>
      <c r="AG58" s="32" t="n">
        <v>3994</v>
      </c>
      <c r="AH58" s="32" t="n">
        <v>3984</v>
      </c>
      <c r="AI58" s="32" t="n">
        <v>3929</v>
      </c>
      <c r="AJ58" s="32" t="n">
        <v>3867</v>
      </c>
      <c r="AK58" s="32" t="n">
        <v>3956</v>
      </c>
      <c r="AL58" s="32" t="n">
        <v>4004</v>
      </c>
      <c r="AM58" s="32" t="n">
        <v>4064</v>
      </c>
      <c r="AN58" s="32" t="n">
        <v>4034</v>
      </c>
      <c r="AO58" s="32" t="n">
        <v>4014</v>
      </c>
      <c r="AP58" s="32" t="n">
        <v>4065</v>
      </c>
      <c r="AQ58" s="32" t="n">
        <v>4132</v>
      </c>
      <c r="AR58" s="32" t="n">
        <v>3951</v>
      </c>
      <c r="AS58" s="32" t="n">
        <v>4214</v>
      </c>
      <c r="AT58" s="32" t="n">
        <v>4266</v>
      </c>
      <c r="AU58" s="32" t="n">
        <v>4239</v>
      </c>
      <c r="AV58" s="32" t="n">
        <v>4256</v>
      </c>
      <c r="AW58" s="32" t="n">
        <v>4305</v>
      </c>
      <c r="AX58" s="32" t="n">
        <v>4343</v>
      </c>
      <c r="AY58" s="32" t="n">
        <v>4444</v>
      </c>
      <c r="AZ58" s="32" t="n">
        <v>4466</v>
      </c>
      <c r="BA58" s="32" t="n">
        <v>4322</v>
      </c>
      <c r="BB58" s="32" t="n">
        <v>4185</v>
      </c>
      <c r="BC58" s="32" t="n">
        <v>4169</v>
      </c>
      <c r="BD58" s="32" t="n">
        <v>4140</v>
      </c>
      <c r="BE58" s="32" t="n">
        <v>4129</v>
      </c>
      <c r="BF58" s="32" t="n">
        <v>4105</v>
      </c>
      <c r="BG58" s="32" t="n">
        <v>4200</v>
      </c>
      <c r="BH58" s="32" t="n">
        <v>4091</v>
      </c>
      <c r="BI58" s="32" t="n">
        <v>4038</v>
      </c>
      <c r="BJ58" s="32" t="n">
        <v>3992</v>
      </c>
      <c r="BK58" s="32" t="n">
        <v>4033</v>
      </c>
      <c r="BL58" s="33" t="n">
        <v>3893</v>
      </c>
    </row>
    <row r="59" ht="15.95" customHeight="1" s="574">
      <c r="A59" s="68" t="inlineStr">
        <is>
          <t>1961</t>
        </is>
      </c>
      <c r="B59" s="28" t="inlineStr">
        <is>
          <t>三機工業</t>
        </is>
      </c>
      <c r="C59" s="665">
        <f>_xll.RssMarket("1961","高値")</f>
        <v/>
      </c>
      <c r="D59" s="666">
        <f>C59-E59</f>
        <v/>
      </c>
      <c r="E59" s="32" t="n">
        <v>3135</v>
      </c>
      <c r="F59" s="32" t="n">
        <v>3230</v>
      </c>
      <c r="G59" s="32" t="n">
        <v>2987</v>
      </c>
      <c r="H59" s="32" t="n">
        <v>2700</v>
      </c>
      <c r="I59" s="32" t="n">
        <v>2626</v>
      </c>
      <c r="J59" s="32" t="n">
        <v>2673</v>
      </c>
      <c r="K59" s="32" t="n">
        <v>2520</v>
      </c>
      <c r="L59" s="32" t="n">
        <v>2473</v>
      </c>
      <c r="M59" s="32" t="n">
        <v>2575</v>
      </c>
      <c r="N59" s="32" t="n">
        <v>2325</v>
      </c>
      <c r="O59" s="32" t="n">
        <v>2349</v>
      </c>
      <c r="P59" s="32" t="n">
        <v>2302</v>
      </c>
      <c r="Q59" s="32" t="n">
        <v>2180</v>
      </c>
      <c r="R59" s="32" t="n">
        <v>2205</v>
      </c>
      <c r="S59" s="32" t="n">
        <v>2367</v>
      </c>
      <c r="T59" s="32" t="n">
        <v>2287</v>
      </c>
      <c r="U59" s="32" t="n">
        <v>2386</v>
      </c>
      <c r="V59" s="32" t="n">
        <v>2259</v>
      </c>
      <c r="W59" s="32" t="n">
        <v>2215</v>
      </c>
      <c r="X59" s="32" t="n">
        <v>2274</v>
      </c>
      <c r="Y59" s="32" t="n">
        <v>2378</v>
      </c>
      <c r="Z59" s="32" t="n">
        <v>2438</v>
      </c>
      <c r="AA59" s="32" t="n">
        <v>2539</v>
      </c>
      <c r="AB59" s="32" t="n">
        <v>2719</v>
      </c>
      <c r="AC59" s="32" t="n">
        <v>2687</v>
      </c>
      <c r="AD59" s="32" t="n">
        <v>2670</v>
      </c>
      <c r="AE59" s="32" t="n">
        <v>2730</v>
      </c>
      <c r="AF59" s="32" t="n">
        <v>2625</v>
      </c>
      <c r="AG59" s="32" t="n">
        <v>2557</v>
      </c>
      <c r="AH59" s="32" t="n">
        <v>2610</v>
      </c>
      <c r="AI59" s="32" t="n">
        <v>2458</v>
      </c>
      <c r="AJ59" s="32" t="n">
        <v>2439</v>
      </c>
      <c r="AK59" s="32" t="n">
        <v>2428</v>
      </c>
      <c r="AL59" s="32" t="n">
        <v>2376</v>
      </c>
      <c r="AM59" s="32" t="n">
        <v>2333</v>
      </c>
      <c r="AN59" s="32" t="n">
        <v>2283</v>
      </c>
      <c r="AO59" s="32" t="n">
        <v>2369</v>
      </c>
      <c r="AP59" s="32" t="n">
        <v>2403</v>
      </c>
      <c r="AQ59" s="32" t="n">
        <v>2433</v>
      </c>
      <c r="AR59" s="32" t="n">
        <v>2433</v>
      </c>
      <c r="AS59" s="32" t="n">
        <v>2473</v>
      </c>
      <c r="AT59" s="32" t="n">
        <v>2673</v>
      </c>
      <c r="AU59" s="32" t="n">
        <v>2776</v>
      </c>
      <c r="AV59" s="32" t="n">
        <v>2783</v>
      </c>
      <c r="AW59" s="32" t="n">
        <v>2756</v>
      </c>
      <c r="AX59" s="32" t="n">
        <v>2686</v>
      </c>
      <c r="AY59" s="32" t="n">
        <v>2583</v>
      </c>
      <c r="AZ59" s="32" t="n">
        <v>2483</v>
      </c>
      <c r="BA59" s="32" t="n">
        <v>2469</v>
      </c>
      <c r="BB59" s="32" t="n">
        <v>2439</v>
      </c>
      <c r="BC59" s="32" t="n">
        <v>2463</v>
      </c>
      <c r="BD59" s="32" t="n">
        <v>2379</v>
      </c>
      <c r="BE59" s="32" t="n">
        <v>2263</v>
      </c>
      <c r="BF59" s="32" t="n">
        <v>2253</v>
      </c>
      <c r="BG59" s="32" t="n">
        <v>2333</v>
      </c>
      <c r="BH59" s="32" t="n">
        <v>2339</v>
      </c>
      <c r="BI59" s="32" t="n">
        <v>2339</v>
      </c>
      <c r="BJ59" s="32" t="n">
        <v>2253</v>
      </c>
      <c r="BK59" s="32" t="n">
        <v>2203</v>
      </c>
      <c r="BL59" s="33" t="n">
        <v>2293</v>
      </c>
    </row>
    <row r="60" ht="15.95" customHeight="1" s="574">
      <c r="A60" s="68" t="inlineStr">
        <is>
          <t>3107</t>
        </is>
      </c>
      <c r="B60" s="28" t="inlineStr">
        <is>
          <t>ダイワボウＨＤ</t>
        </is>
      </c>
      <c r="C60" s="665">
        <f>_xll.RssMarket("3107","高値")</f>
        <v/>
      </c>
      <c r="D60" s="666">
        <f>C60-E60</f>
        <v/>
      </c>
      <c r="E60" s="32" t="n">
        <v>3373</v>
      </c>
      <c r="F60" s="32" t="n">
        <v>3363</v>
      </c>
      <c r="G60" s="32" t="n">
        <v>3374</v>
      </c>
      <c r="H60" s="32" t="n">
        <v>3441</v>
      </c>
      <c r="I60" s="32" t="n">
        <v>3488</v>
      </c>
      <c r="J60" s="32" t="n">
        <v>3483</v>
      </c>
      <c r="K60" s="32" t="n">
        <v>3500</v>
      </c>
      <c r="L60" s="32" t="n">
        <v>3495</v>
      </c>
      <c r="M60" s="32" t="n">
        <v>3480</v>
      </c>
      <c r="N60" s="32" t="n">
        <v>3550</v>
      </c>
      <c r="O60" s="32" t="n">
        <v>3520</v>
      </c>
      <c r="P60" s="32" t="n">
        <v>3588</v>
      </c>
      <c r="Q60" s="32" t="n">
        <v>3605</v>
      </c>
      <c r="R60" s="32" t="n">
        <v>3622</v>
      </c>
      <c r="S60" s="32" t="n">
        <v>3490</v>
      </c>
      <c r="T60" s="32" t="n">
        <v>3402</v>
      </c>
      <c r="U60" s="32" t="n">
        <v>3393</v>
      </c>
      <c r="V60" s="32" t="n">
        <v>3511</v>
      </c>
      <c r="W60" s="32" t="n">
        <v>3540</v>
      </c>
      <c r="X60" s="32" t="n">
        <v>3568</v>
      </c>
      <c r="Y60" s="32" t="n">
        <v>3594</v>
      </c>
      <c r="Z60" s="32" t="n">
        <v>3591</v>
      </c>
      <c r="AA60" s="32" t="n">
        <v>3574</v>
      </c>
      <c r="AB60" s="32" t="n">
        <v>3482</v>
      </c>
      <c r="AC60" s="32" t="n">
        <v>3485</v>
      </c>
      <c r="AD60" s="32" t="n">
        <v>3430</v>
      </c>
      <c r="AE60" s="32" t="n">
        <v>3455</v>
      </c>
      <c r="AF60" s="32" t="n">
        <v>3473</v>
      </c>
      <c r="AG60" s="32" t="n">
        <v>3427</v>
      </c>
      <c r="AH60" s="32" t="n">
        <v>3335</v>
      </c>
      <c r="AI60" s="32" t="n">
        <v>3206</v>
      </c>
      <c r="AJ60" s="32" t="n">
        <v>3225</v>
      </c>
      <c r="AK60" s="32" t="n">
        <v>3246</v>
      </c>
      <c r="AL60" s="32" t="n">
        <v>3178</v>
      </c>
      <c r="AM60" s="32" t="n">
        <v>3144</v>
      </c>
      <c r="AN60" s="32" t="n">
        <v>3119</v>
      </c>
      <c r="AO60" s="32" t="n">
        <v>3122</v>
      </c>
      <c r="AP60" s="32" t="n">
        <v>3124</v>
      </c>
      <c r="AQ60" s="32" t="n">
        <v>3180</v>
      </c>
      <c r="AR60" s="32" t="n">
        <v>3188</v>
      </c>
      <c r="AS60" s="32" t="n">
        <v>3219</v>
      </c>
      <c r="AT60" s="32" t="n">
        <v>3196</v>
      </c>
      <c r="AU60" s="32" t="n">
        <v>3187</v>
      </c>
      <c r="AV60" s="32" t="n">
        <v>3129</v>
      </c>
      <c r="AW60" s="32" t="n">
        <v>3201</v>
      </c>
      <c r="AX60" s="32" t="n">
        <v>3250</v>
      </c>
      <c r="AY60" s="32" t="n">
        <v>3326</v>
      </c>
      <c r="AZ60" s="32" t="n">
        <v>3234</v>
      </c>
      <c r="BA60" s="32" t="n">
        <v>3209</v>
      </c>
      <c r="BB60" s="32" t="n">
        <v>3194</v>
      </c>
      <c r="BC60" s="32" t="n">
        <v>3253</v>
      </c>
      <c r="BD60" s="32" t="n">
        <v>3193</v>
      </c>
      <c r="BE60" s="32" t="n">
        <v>3116</v>
      </c>
      <c r="BF60" s="32" t="n">
        <v>3070</v>
      </c>
      <c r="BG60" s="32" t="n">
        <v>3082</v>
      </c>
      <c r="BH60" s="32" t="n">
        <v>3027</v>
      </c>
      <c r="BI60" s="32" t="n">
        <v>3028</v>
      </c>
      <c r="BJ60" s="32" t="n">
        <v>2958.5</v>
      </c>
      <c r="BK60" s="32" t="n">
        <v>2921.5</v>
      </c>
      <c r="BL60" s="33" t="n">
        <v>3008</v>
      </c>
    </row>
    <row r="61" ht="15.95" customHeight="1" s="574">
      <c r="A61" s="68" t="inlineStr">
        <is>
          <t>4045</t>
        </is>
      </c>
      <c r="B61" s="28" t="inlineStr">
        <is>
          <t>東亞合成</t>
        </is>
      </c>
      <c r="C61" s="665">
        <f>_xll.RssMarket("4045","高値")</f>
        <v/>
      </c>
      <c r="D61" s="666">
        <f>C61-E61</f>
        <v/>
      </c>
      <c r="E61" s="32" t="n">
        <v>1778</v>
      </c>
      <c r="F61" s="32" t="n">
        <v>1785.5</v>
      </c>
      <c r="G61" s="32" t="n">
        <v>1787.5</v>
      </c>
      <c r="H61" s="32" t="n">
        <v>1768.5</v>
      </c>
      <c r="I61" s="32" t="n">
        <v>1770</v>
      </c>
      <c r="J61" s="32" t="n">
        <v>1780</v>
      </c>
      <c r="K61" s="32" t="n">
        <v>1741.5</v>
      </c>
      <c r="L61" s="32" t="n">
        <v>1709</v>
      </c>
      <c r="M61" s="32" t="n">
        <v>1713.5</v>
      </c>
      <c r="N61" s="32" t="n">
        <v>1726</v>
      </c>
      <c r="O61" s="32" t="n">
        <v>1758</v>
      </c>
      <c r="P61" s="32" t="n">
        <v>1752.5</v>
      </c>
      <c r="Q61" s="32" t="n">
        <v>1768</v>
      </c>
      <c r="R61" s="32" t="n">
        <v>1742.5</v>
      </c>
      <c r="S61" s="32" t="n">
        <v>1782.5</v>
      </c>
      <c r="T61" s="32" t="n">
        <v>1748</v>
      </c>
      <c r="U61" s="32" t="n">
        <v>1749</v>
      </c>
      <c r="V61" s="32" t="n">
        <v>1745</v>
      </c>
      <c r="W61" s="32" t="n">
        <v>1719</v>
      </c>
      <c r="X61" s="32" t="n">
        <v>1724</v>
      </c>
      <c r="Y61" s="32" t="n">
        <v>1711</v>
      </c>
      <c r="Z61" s="32" t="n">
        <v>1765</v>
      </c>
      <c r="AA61" s="32" t="n">
        <v>1753.5</v>
      </c>
      <c r="AB61" s="32" t="n">
        <v>1765</v>
      </c>
      <c r="AC61" s="32" t="n">
        <v>1769</v>
      </c>
      <c r="AD61" s="32" t="n">
        <v>1747.5</v>
      </c>
      <c r="AE61" s="32" t="n">
        <v>1745</v>
      </c>
      <c r="AF61" s="32" t="n">
        <v>1731.5</v>
      </c>
      <c r="AG61" s="32" t="n">
        <v>1735.5</v>
      </c>
      <c r="AH61" s="32" t="n">
        <v>1767</v>
      </c>
      <c r="AI61" s="32" t="n">
        <v>1727</v>
      </c>
      <c r="AJ61" s="32" t="n">
        <v>1702.5</v>
      </c>
      <c r="AK61" s="32" t="n">
        <v>1747</v>
      </c>
      <c r="AL61" s="32" t="n">
        <v>1744</v>
      </c>
      <c r="AM61" s="32" t="n">
        <v>1799</v>
      </c>
      <c r="AN61" s="32" t="n">
        <v>1804</v>
      </c>
      <c r="AO61" s="32" t="n">
        <v>1802</v>
      </c>
      <c r="AP61" s="32" t="n">
        <v>1801.5</v>
      </c>
      <c r="AQ61" s="32" t="n">
        <v>1812</v>
      </c>
      <c r="AR61" s="32" t="n">
        <v>1809.5</v>
      </c>
      <c r="AS61" s="32" t="n">
        <v>1808</v>
      </c>
      <c r="AT61" s="32" t="n">
        <v>1804</v>
      </c>
      <c r="AU61" s="32" t="n">
        <v>1789</v>
      </c>
      <c r="AV61" s="32" t="n">
        <v>1793</v>
      </c>
      <c r="AW61" s="32" t="n">
        <v>1801</v>
      </c>
      <c r="AX61" s="32" t="n">
        <v>1803.5</v>
      </c>
      <c r="AY61" s="32" t="n">
        <v>1814</v>
      </c>
      <c r="AZ61" s="32" t="n">
        <v>1759.5</v>
      </c>
      <c r="BA61" s="32" t="n">
        <v>1746.5</v>
      </c>
      <c r="BB61" s="32" t="n">
        <v>1747.5</v>
      </c>
      <c r="BC61" s="32" t="n">
        <v>1773.5</v>
      </c>
      <c r="BD61" s="32" t="n">
        <v>1760</v>
      </c>
      <c r="BE61" s="32" t="n">
        <v>1734</v>
      </c>
      <c r="BF61" s="32" t="n">
        <v>1719</v>
      </c>
      <c r="BG61" s="32" t="n">
        <v>1739.5</v>
      </c>
      <c r="BH61" s="32" t="n">
        <v>1738.5</v>
      </c>
      <c r="BI61" s="32" t="n">
        <v>1742</v>
      </c>
      <c r="BJ61" s="32" t="n">
        <v>1702</v>
      </c>
      <c r="BK61" s="32" t="n">
        <v>1670</v>
      </c>
      <c r="BL61" s="33" t="n">
        <v>1746.5</v>
      </c>
    </row>
    <row r="62" ht="15.95" customHeight="1" s="574">
      <c r="A62" s="68" t="inlineStr">
        <is>
          <t>5857</t>
        </is>
      </c>
      <c r="B62" s="28" t="inlineStr">
        <is>
          <t>ＡＲＥホールディングス</t>
        </is>
      </c>
      <c r="C62" s="665">
        <f>_xll.RssMarket("5857","高値")</f>
        <v/>
      </c>
      <c r="D62" s="666">
        <f>C62-E62</f>
        <v/>
      </c>
      <c r="E62" s="32" t="n">
        <v>3245</v>
      </c>
      <c r="F62" s="32" t="n">
        <v>3220</v>
      </c>
      <c r="G62" s="32" t="n">
        <v>3265</v>
      </c>
      <c r="H62" s="32" t="n">
        <v>3320</v>
      </c>
      <c r="I62" s="32" t="n">
        <v>3245</v>
      </c>
      <c r="J62" s="32" t="n">
        <v>3240</v>
      </c>
      <c r="K62" s="32" t="n">
        <v>3065</v>
      </c>
      <c r="L62" s="32" t="n">
        <v>2941</v>
      </c>
      <c r="M62" s="32" t="n">
        <v>3065</v>
      </c>
      <c r="N62" s="32" t="n">
        <v>3115</v>
      </c>
      <c r="O62" s="32" t="n">
        <v>3210</v>
      </c>
      <c r="P62" s="32" t="n">
        <v>3215</v>
      </c>
      <c r="Q62" s="32" t="n">
        <v>3305</v>
      </c>
      <c r="R62" s="32" t="n">
        <v>3285</v>
      </c>
      <c r="S62" s="32" t="n">
        <v>3400</v>
      </c>
      <c r="T62" s="32" t="n">
        <v>3325</v>
      </c>
      <c r="U62" s="32" t="n">
        <v>3490</v>
      </c>
      <c r="V62" s="32" t="n">
        <v>3630</v>
      </c>
      <c r="W62" s="32" t="n">
        <v>3560</v>
      </c>
      <c r="X62" s="32" t="n">
        <v>3510</v>
      </c>
      <c r="Y62" s="32" t="n">
        <v>3575</v>
      </c>
      <c r="Z62" s="32" t="n">
        <v>3780</v>
      </c>
      <c r="AA62" s="32" t="n">
        <v>3870</v>
      </c>
      <c r="AB62" s="32" t="n">
        <v>4110</v>
      </c>
      <c r="AC62" s="32" t="n">
        <v>4070</v>
      </c>
      <c r="AD62" s="32" t="n">
        <v>4060</v>
      </c>
      <c r="AE62" s="32" t="n">
        <v>3970</v>
      </c>
      <c r="AF62" s="32" t="n">
        <v>4130</v>
      </c>
      <c r="AG62" s="32" t="n">
        <v>4105</v>
      </c>
      <c r="AH62" s="32" t="n">
        <v>4030</v>
      </c>
      <c r="AI62" s="32" t="n">
        <v>3575</v>
      </c>
      <c r="AJ62" s="32" t="n">
        <v>3600</v>
      </c>
      <c r="AK62" s="32" t="n">
        <v>3685</v>
      </c>
      <c r="AL62" s="32" t="n">
        <v>3675</v>
      </c>
      <c r="AM62" s="32" t="n">
        <v>3710</v>
      </c>
      <c r="AN62" s="32" t="n">
        <v>3790</v>
      </c>
      <c r="AO62" s="32" t="n">
        <v>3935</v>
      </c>
      <c r="AP62" s="32" t="n">
        <v>4045</v>
      </c>
      <c r="AQ62" s="32" t="n">
        <v>3835</v>
      </c>
      <c r="AR62" s="32" t="n">
        <v>3865</v>
      </c>
      <c r="AS62" s="32" t="n">
        <v>3875</v>
      </c>
      <c r="AT62" s="32" t="n">
        <v>3870</v>
      </c>
      <c r="AU62" s="32" t="n">
        <v>3780</v>
      </c>
      <c r="AV62" s="32" t="n">
        <v>3720</v>
      </c>
      <c r="AW62" s="32" t="n">
        <v>3805</v>
      </c>
      <c r="AX62" s="32" t="n">
        <v>3790</v>
      </c>
      <c r="AY62" s="32" t="n">
        <v>3805</v>
      </c>
      <c r="AZ62" s="32" t="n">
        <v>3620</v>
      </c>
      <c r="BA62" s="32" t="n">
        <v>3610</v>
      </c>
      <c r="BB62" s="32" t="n">
        <v>3615</v>
      </c>
      <c r="BC62" s="32" t="n">
        <v>3700</v>
      </c>
      <c r="BD62" s="32" t="n">
        <v>3535</v>
      </c>
      <c r="BE62" s="32" t="n">
        <v>3445</v>
      </c>
      <c r="BF62" s="32" t="n">
        <v>3425</v>
      </c>
      <c r="BG62" s="32" t="n">
        <v>3600</v>
      </c>
      <c r="BH62" s="32" t="n">
        <v>3610</v>
      </c>
      <c r="BI62" s="32" t="n">
        <v>3620</v>
      </c>
      <c r="BJ62" s="32" t="n">
        <v>3485</v>
      </c>
      <c r="BK62" s="32" t="n">
        <v>3425</v>
      </c>
      <c r="BL62" s="33" t="n">
        <v>3720</v>
      </c>
    </row>
    <row r="63" ht="15.95" customHeight="1" s="574">
      <c r="A63" s="68" t="inlineStr">
        <is>
          <t>8281</t>
        </is>
      </c>
      <c r="B63" s="28" t="inlineStr">
        <is>
          <t>ゼビオホールディングス</t>
        </is>
      </c>
      <c r="C63" s="665">
        <f>_xll.RssMarket("8281","高値")</f>
        <v/>
      </c>
      <c r="D63" s="666">
        <f>C63-E63</f>
        <v/>
      </c>
      <c r="E63" s="32" t="n">
        <v>1047</v>
      </c>
      <c r="F63" s="32" t="n">
        <v>1048</v>
      </c>
      <c r="G63" s="32" t="n">
        <v>1059</v>
      </c>
      <c r="H63" s="32" t="n">
        <v>1065</v>
      </c>
      <c r="I63" s="32" t="n">
        <v>1069</v>
      </c>
      <c r="J63" s="32" t="n">
        <v>1080</v>
      </c>
      <c r="K63" s="32" t="n">
        <v>1072</v>
      </c>
      <c r="L63" s="32" t="n">
        <v>1073</v>
      </c>
      <c r="M63" s="32" t="n">
        <v>1067</v>
      </c>
      <c r="N63" s="32" t="n">
        <v>1038</v>
      </c>
      <c r="O63" s="32" t="n">
        <v>1028</v>
      </c>
      <c r="P63" s="32" t="n">
        <v>1019</v>
      </c>
      <c r="Q63" s="32" t="n">
        <v>1042</v>
      </c>
      <c r="R63" s="32" t="n">
        <v>1039</v>
      </c>
      <c r="S63" s="32" t="n">
        <v>1072</v>
      </c>
      <c r="T63" s="32" t="n">
        <v>1057</v>
      </c>
      <c r="U63" s="32" t="n">
        <v>1049</v>
      </c>
      <c r="V63" s="32" t="n">
        <v>1055</v>
      </c>
      <c r="W63" s="32" t="n">
        <v>1059</v>
      </c>
      <c r="X63" s="32" t="n">
        <v>1064</v>
      </c>
      <c r="Y63" s="32" t="n">
        <v>1059</v>
      </c>
      <c r="Z63" s="32" t="n">
        <v>1050</v>
      </c>
      <c r="AA63" s="32" t="n">
        <v>1028</v>
      </c>
      <c r="AB63" s="32" t="n">
        <v>1039</v>
      </c>
      <c r="AC63" s="32" t="n">
        <v>966</v>
      </c>
      <c r="AD63" s="32" t="n">
        <v>973</v>
      </c>
      <c r="AE63" s="32" t="n">
        <v>966</v>
      </c>
      <c r="AF63" s="32" t="n">
        <v>973</v>
      </c>
      <c r="AG63" s="32" t="n">
        <v>993</v>
      </c>
      <c r="AH63" s="32" t="n">
        <v>996</v>
      </c>
      <c r="AI63" s="32" t="n">
        <v>999</v>
      </c>
      <c r="AJ63" s="32" t="n">
        <v>999</v>
      </c>
      <c r="AK63" s="32" t="n">
        <v>998</v>
      </c>
      <c r="AL63" s="32" t="n">
        <v>1002</v>
      </c>
      <c r="AM63" s="32" t="n">
        <v>1005</v>
      </c>
      <c r="AN63" s="32" t="n">
        <v>1026</v>
      </c>
      <c r="AO63" s="32" t="n">
        <v>1037</v>
      </c>
      <c r="AP63" s="32" t="n">
        <v>1032</v>
      </c>
      <c r="AQ63" s="32" t="n">
        <v>1024</v>
      </c>
      <c r="AR63" s="32" t="n">
        <v>1028</v>
      </c>
      <c r="AS63" s="32" t="n">
        <v>1023</v>
      </c>
      <c r="AT63" s="32" t="n">
        <v>1018</v>
      </c>
      <c r="AU63" s="32" t="n">
        <v>1013</v>
      </c>
      <c r="AV63" s="32" t="n">
        <v>1029</v>
      </c>
      <c r="AW63" s="32" t="n">
        <v>1045</v>
      </c>
      <c r="AX63" s="32" t="n">
        <v>1044</v>
      </c>
      <c r="AY63" s="32" t="n">
        <v>1035</v>
      </c>
      <c r="AZ63" s="32" t="n">
        <v>1022</v>
      </c>
      <c r="BA63" s="32" t="n">
        <v>1021</v>
      </c>
      <c r="BB63" s="32" t="n">
        <v>1021</v>
      </c>
      <c r="BC63" s="32" t="n">
        <v>1013</v>
      </c>
      <c r="BD63" s="32" t="n">
        <v>1004</v>
      </c>
      <c r="BE63" s="32" t="n">
        <v>990</v>
      </c>
      <c r="BF63" s="32" t="n">
        <v>1027</v>
      </c>
      <c r="BG63" s="32" t="n">
        <v>1020</v>
      </c>
      <c r="BH63" s="32" t="n">
        <v>1016</v>
      </c>
      <c r="BI63" s="32" t="n">
        <v>1007</v>
      </c>
      <c r="BJ63" s="32" t="n">
        <v>1008</v>
      </c>
      <c r="BK63" s="32" t="n">
        <v>1042</v>
      </c>
      <c r="BL63" s="33" t="n">
        <v>1053</v>
      </c>
    </row>
    <row r="64" ht="15.95" customHeight="1" s="574">
      <c r="A64" s="68" t="inlineStr">
        <is>
          <t>4540</t>
        </is>
      </c>
      <c r="B64" s="28" t="inlineStr">
        <is>
          <t>ツムラ</t>
        </is>
      </c>
      <c r="C64" s="665">
        <f>_xll.RssMarket("4540","高値")</f>
        <v/>
      </c>
      <c r="D64" s="666">
        <f>C64-E64</f>
        <v/>
      </c>
      <c r="E64" s="32" t="n">
        <v>3759</v>
      </c>
      <c r="F64" s="32" t="n">
        <v>3754</v>
      </c>
      <c r="G64" s="32" t="n">
        <v>3776</v>
      </c>
      <c r="H64" s="32" t="n">
        <v>3784</v>
      </c>
      <c r="I64" s="32" t="n">
        <v>3764</v>
      </c>
      <c r="J64" s="32" t="n">
        <v>3757</v>
      </c>
      <c r="K64" s="32" t="n">
        <v>3763</v>
      </c>
      <c r="L64" s="32" t="n">
        <v>3777</v>
      </c>
      <c r="M64" s="32" t="n">
        <v>3758</v>
      </c>
      <c r="N64" s="32" t="n">
        <v>3752</v>
      </c>
      <c r="O64" s="32" t="n">
        <v>3771</v>
      </c>
      <c r="P64" s="32" t="n">
        <v>3760</v>
      </c>
      <c r="Q64" s="32" t="n">
        <v>3739</v>
      </c>
      <c r="R64" s="32" t="n">
        <v>3743</v>
      </c>
      <c r="S64" s="32" t="n">
        <v>3857</v>
      </c>
      <c r="T64" s="32" t="n">
        <v>3860</v>
      </c>
      <c r="U64" s="32" t="n">
        <v>3861</v>
      </c>
      <c r="V64" s="32" t="n">
        <v>3795</v>
      </c>
      <c r="W64" s="32" t="n">
        <v>3888</v>
      </c>
      <c r="X64" s="32" t="n">
        <v>3982</v>
      </c>
      <c r="Y64" s="32" t="n">
        <v>4015</v>
      </c>
      <c r="Z64" s="32" t="n">
        <v>3934</v>
      </c>
      <c r="AA64" s="32" t="n">
        <v>3837</v>
      </c>
      <c r="AB64" s="32" t="n">
        <v>3819</v>
      </c>
      <c r="AC64" s="32" t="n">
        <v>3789</v>
      </c>
      <c r="AD64" s="32" t="n">
        <v>3719</v>
      </c>
      <c r="AE64" s="32" t="n">
        <v>3565</v>
      </c>
      <c r="AF64" s="32" t="n">
        <v>3588</v>
      </c>
      <c r="AG64" s="32" t="n">
        <v>3641</v>
      </c>
      <c r="AH64" s="32" t="n">
        <v>3644</v>
      </c>
      <c r="AI64" s="32" t="n">
        <v>3653</v>
      </c>
      <c r="AJ64" s="32" t="n">
        <v>3681</v>
      </c>
      <c r="AK64" s="32" t="n">
        <v>3728</v>
      </c>
      <c r="AL64" s="32" t="n">
        <v>3717</v>
      </c>
      <c r="AM64" s="32" t="n">
        <v>3703</v>
      </c>
      <c r="AN64" s="32" t="n">
        <v>3700</v>
      </c>
      <c r="AO64" s="32" t="n">
        <v>3722</v>
      </c>
      <c r="AP64" s="32" t="n">
        <v>3750</v>
      </c>
      <c r="AQ64" s="32" t="n">
        <v>3791</v>
      </c>
      <c r="AR64" s="32" t="n">
        <v>3780</v>
      </c>
      <c r="AS64" s="32" t="n">
        <v>3807</v>
      </c>
      <c r="AT64" s="32" t="n">
        <v>3782</v>
      </c>
      <c r="AU64" s="32" t="n">
        <v>3790</v>
      </c>
      <c r="AV64" s="32" t="n">
        <v>3792</v>
      </c>
      <c r="AW64" s="32" t="n">
        <v>3834</v>
      </c>
      <c r="AX64" s="32" t="n">
        <v>3870</v>
      </c>
      <c r="AY64" s="32" t="n">
        <v>3898</v>
      </c>
      <c r="AZ64" s="32" t="n">
        <v>3866</v>
      </c>
      <c r="BA64" s="32" t="n">
        <v>3860</v>
      </c>
      <c r="BB64" s="32" t="n">
        <v>3868</v>
      </c>
      <c r="BC64" s="32" t="n">
        <v>3870</v>
      </c>
      <c r="BD64" s="32" t="n">
        <v>3835</v>
      </c>
      <c r="BE64" s="32" t="n">
        <v>3790</v>
      </c>
      <c r="BF64" s="32" t="n">
        <v>3756</v>
      </c>
      <c r="BG64" s="32" t="n">
        <v>3890</v>
      </c>
      <c r="BH64" s="32" t="n">
        <v>3854</v>
      </c>
      <c r="BI64" s="32" t="n">
        <v>3847</v>
      </c>
      <c r="BJ64" s="32" t="n">
        <v>3798</v>
      </c>
      <c r="BK64" s="32" t="n">
        <v>3776</v>
      </c>
      <c r="BL64" s="33" t="n">
        <v>3840</v>
      </c>
    </row>
    <row r="65" ht="15.95" customHeight="1" s="574">
      <c r="A65" s="68" t="inlineStr">
        <is>
          <t>9984</t>
        </is>
      </c>
      <c r="B65" s="28" t="inlineStr">
        <is>
          <t>ソフトバンクグループ</t>
        </is>
      </c>
      <c r="C65" s="665">
        <f>_xll.RssMarket("9984","高値")</f>
        <v/>
      </c>
      <c r="D65" s="666">
        <f>C65-E65</f>
        <v/>
      </c>
      <c r="E65" s="32" t="n">
        <v>7394</v>
      </c>
      <c r="F65" s="32" t="n">
        <v>7562</v>
      </c>
      <c r="G65" s="32" t="n">
        <v>7294</v>
      </c>
      <c r="H65" s="32" t="n">
        <v>6948</v>
      </c>
      <c r="I65" s="32" t="n">
        <v>7188</v>
      </c>
      <c r="J65" s="32" t="n">
        <v>7327</v>
      </c>
      <c r="K65" s="32" t="n">
        <v>6797</v>
      </c>
      <c r="L65" s="32" t="n">
        <v>6529</v>
      </c>
      <c r="M65" s="32" t="n">
        <v>6730</v>
      </c>
      <c r="N65" s="32" t="n">
        <v>7022</v>
      </c>
      <c r="O65" s="32" t="n">
        <v>7583</v>
      </c>
      <c r="P65" s="32" t="n">
        <v>8099</v>
      </c>
      <c r="Q65" s="32" t="n">
        <v>8800</v>
      </c>
      <c r="R65" s="32" t="n">
        <v>9074</v>
      </c>
      <c r="S65" s="32" t="n">
        <v>7710</v>
      </c>
      <c r="T65" s="32" t="n">
        <v>7220</v>
      </c>
      <c r="U65" s="32" t="n">
        <v>8038</v>
      </c>
      <c r="V65" s="32" t="n">
        <v>7276</v>
      </c>
      <c r="W65" s="32" t="n">
        <v>6881</v>
      </c>
      <c r="X65" s="32" t="n">
        <v>6039</v>
      </c>
      <c r="Y65" s="32" t="n">
        <v>5349</v>
      </c>
      <c r="Z65" s="32" t="n">
        <v>5777</v>
      </c>
      <c r="AA65" s="32" t="n">
        <v>5720</v>
      </c>
      <c r="AB65" s="32" t="n">
        <v>6020</v>
      </c>
      <c r="AC65" s="32" t="n">
        <v>6204</v>
      </c>
      <c r="AD65" s="32" t="n">
        <v>6084</v>
      </c>
      <c r="AE65" s="32" t="n">
        <v>6008</v>
      </c>
      <c r="AF65" s="32" t="n">
        <v>6292</v>
      </c>
      <c r="AG65" s="32" t="n">
        <v>6242</v>
      </c>
      <c r="AH65" s="32" t="n">
        <v>6424</v>
      </c>
      <c r="AI65" s="32" t="n">
        <v>5466</v>
      </c>
      <c r="AJ65" s="32" t="n">
        <v>5399</v>
      </c>
      <c r="AK65" s="32" t="n">
        <v>5751</v>
      </c>
      <c r="AL65" s="32" t="n">
        <v>6121</v>
      </c>
      <c r="AM65" s="32" t="n">
        <v>6000</v>
      </c>
      <c r="AN65" s="32" t="n">
        <v>6160</v>
      </c>
      <c r="AO65" s="32" t="n">
        <v>5727</v>
      </c>
      <c r="AP65" s="32" t="n">
        <v>5187</v>
      </c>
      <c r="AQ65" s="32" t="n">
        <v>4818</v>
      </c>
      <c r="AR65" s="32" t="n">
        <v>4689</v>
      </c>
      <c r="AS65" s="32" t="n">
        <v>4772</v>
      </c>
      <c r="AT65" s="32" t="n">
        <v>4525</v>
      </c>
      <c r="AU65" s="32" t="n">
        <v>4263</v>
      </c>
      <c r="AV65" s="32" t="n">
        <v>3767</v>
      </c>
      <c r="AW65" s="32" t="n">
        <v>3820</v>
      </c>
      <c r="AX65" s="32" t="n">
        <v>3823</v>
      </c>
      <c r="AY65" s="32" t="n">
        <v>3854</v>
      </c>
      <c r="AZ65" s="32" t="n">
        <v>3686</v>
      </c>
      <c r="BA65" s="32" t="n">
        <v>3697</v>
      </c>
      <c r="BB65" s="32" t="n">
        <v>3676</v>
      </c>
      <c r="BC65" s="32" t="n">
        <v>3982</v>
      </c>
      <c r="BD65" s="32" t="n">
        <v>3840</v>
      </c>
      <c r="BE65" s="32" t="n">
        <v>3683</v>
      </c>
      <c r="BF65" s="32" t="n">
        <v>3718</v>
      </c>
      <c r="BG65" s="32" t="n">
        <v>4010</v>
      </c>
      <c r="BH65" s="32" t="n">
        <v>4088</v>
      </c>
      <c r="BI65" s="32" t="n">
        <v>3860</v>
      </c>
      <c r="BJ65" s="32" t="n">
        <v>3620</v>
      </c>
      <c r="BK65" s="32" t="n">
        <v>3553</v>
      </c>
      <c r="BL65" s="33" t="n">
        <v>3647</v>
      </c>
    </row>
    <row r="66" ht="15.95" customHeight="1" s="574">
      <c r="A66" s="68" t="inlineStr">
        <is>
          <t>4063</t>
        </is>
      </c>
      <c r="B66" s="28" t="inlineStr">
        <is>
          <t>信越化学</t>
        </is>
      </c>
      <c r="C66" s="667">
        <f>_xll.RssMarket("4063","高値")</f>
        <v/>
      </c>
      <c r="D66" s="666">
        <f>C66-E66</f>
        <v/>
      </c>
      <c r="E66" s="32" t="n">
        <v>7377</v>
      </c>
      <c r="F66" s="32" t="n">
        <v>7528</v>
      </c>
      <c r="G66" s="32" t="n">
        <v>7736</v>
      </c>
      <c r="H66" s="32" t="n">
        <v>7595</v>
      </c>
      <c r="I66" s="32" t="n">
        <v>7589</v>
      </c>
      <c r="J66" s="32" t="n">
        <v>7567</v>
      </c>
      <c r="K66" s="32" t="n">
        <v>7218</v>
      </c>
      <c r="L66" s="32" t="n">
        <v>6858</v>
      </c>
      <c r="M66" s="32" t="n">
        <v>6830</v>
      </c>
      <c r="N66" s="32" t="n">
        <v>7056</v>
      </c>
      <c r="O66" s="32" t="n">
        <v>7539</v>
      </c>
      <c r="P66" s="32" t="n">
        <v>7730</v>
      </c>
      <c r="Q66" s="32" t="n">
        <v>7818</v>
      </c>
      <c r="R66" s="32" t="n">
        <v>7600</v>
      </c>
      <c r="S66" s="32" t="n">
        <v>7904</v>
      </c>
      <c r="T66" s="32" t="n">
        <v>7480</v>
      </c>
      <c r="U66" s="32" t="n">
        <v>7572</v>
      </c>
      <c r="V66" s="32" t="n">
        <v>7194</v>
      </c>
      <c r="W66" s="32" t="n">
        <v>7065</v>
      </c>
      <c r="X66" s="32" t="n">
        <v>7014</v>
      </c>
      <c r="Y66" s="32" t="n">
        <v>6975</v>
      </c>
      <c r="Z66" s="32" t="n">
        <v>7071</v>
      </c>
      <c r="AA66" s="32" t="n">
        <v>7157</v>
      </c>
      <c r="AB66" s="32" t="n">
        <v>7464</v>
      </c>
      <c r="AC66" s="32" t="n">
        <v>7593</v>
      </c>
      <c r="AD66" s="32" t="n">
        <v>7466</v>
      </c>
      <c r="AE66" s="32" t="n">
        <v>7604</v>
      </c>
      <c r="AF66" s="32" t="n">
        <v>7668</v>
      </c>
      <c r="AG66" s="32" t="n">
        <v>7653</v>
      </c>
      <c r="AH66" s="32" t="n">
        <v>7883</v>
      </c>
      <c r="AI66" s="32" t="n">
        <v>7285</v>
      </c>
      <c r="AJ66" s="32" t="n">
        <v>7351</v>
      </c>
      <c r="AK66" s="32" t="n">
        <v>7082</v>
      </c>
      <c r="AL66" s="32" t="n">
        <v>7018</v>
      </c>
      <c r="AM66" s="32" t="n">
        <v>6847</v>
      </c>
      <c r="AN66" s="32" t="n">
        <v>6784</v>
      </c>
      <c r="AO66" s="32" t="n">
        <v>6742</v>
      </c>
      <c r="AP66" s="32" t="n">
        <v>6912</v>
      </c>
      <c r="AQ66" s="32" t="n">
        <v>6886</v>
      </c>
      <c r="AR66" s="32" t="n">
        <v>6996</v>
      </c>
      <c r="AS66" s="32" t="n">
        <v>6944</v>
      </c>
      <c r="AT66" s="32" t="n">
        <v>6863</v>
      </c>
      <c r="AU66" s="32" t="n">
        <v>6696</v>
      </c>
      <c r="AV66" s="32" t="n">
        <v>6694</v>
      </c>
      <c r="AW66" s="32" t="n">
        <v>6614</v>
      </c>
      <c r="AX66" s="32" t="n">
        <v>6558</v>
      </c>
      <c r="AY66" s="32" t="n">
        <v>6733</v>
      </c>
      <c r="AZ66" s="32" t="n">
        <v>6652</v>
      </c>
      <c r="BA66" s="32" t="n">
        <v>6613</v>
      </c>
      <c r="BB66" s="32" t="n">
        <v>6471</v>
      </c>
      <c r="BC66" s="32" t="n">
        <v>6545</v>
      </c>
      <c r="BD66" s="32" t="n">
        <v>6505</v>
      </c>
      <c r="BE66" s="32" t="n">
        <v>6390</v>
      </c>
      <c r="BF66" s="32" t="n">
        <v>6219</v>
      </c>
      <c r="BG66" s="32" t="n">
        <v>6245</v>
      </c>
      <c r="BH66" s="32" t="n">
        <v>6384</v>
      </c>
      <c r="BI66" s="32" t="n">
        <v>6404</v>
      </c>
      <c r="BJ66" s="32" t="n">
        <v>6297</v>
      </c>
      <c r="BK66" s="32" t="n">
        <v>6116</v>
      </c>
      <c r="BL66" s="33" t="n">
        <v>6641</v>
      </c>
    </row>
    <row r="67" ht="15.95" customHeight="1" s="574">
      <c r="A67" s="68" t="inlineStr">
        <is>
          <t>4536</t>
        </is>
      </c>
      <c r="B67" s="28" t="inlineStr">
        <is>
          <t>参天製薬</t>
        </is>
      </c>
      <c r="C67" s="665">
        <f>_xll.RssMarket("4536","高値")</f>
        <v/>
      </c>
      <c r="D67" s="666">
        <f>C67-E67</f>
        <v/>
      </c>
      <c r="E67" s="32" t="n">
        <v>1951.5</v>
      </c>
      <c r="F67" s="32" t="n">
        <v>1876</v>
      </c>
      <c r="G67" s="32" t="n">
        <v>1904</v>
      </c>
      <c r="H67" s="32" t="n">
        <v>1935.5</v>
      </c>
      <c r="I67" s="32" t="n">
        <v>1940</v>
      </c>
      <c r="J67" s="32" t="n">
        <v>1950</v>
      </c>
      <c r="K67" s="32" t="n">
        <v>1937.5</v>
      </c>
      <c r="L67" s="32" t="n">
        <v>1954</v>
      </c>
      <c r="M67" s="32" t="n">
        <v>1983</v>
      </c>
      <c r="N67" s="32" t="n">
        <v>2043</v>
      </c>
      <c r="O67" s="32" t="n">
        <v>1952</v>
      </c>
      <c r="P67" s="32" t="n">
        <v>1881</v>
      </c>
      <c r="Q67" s="32" t="n">
        <v>1872</v>
      </c>
      <c r="R67" s="32" t="n">
        <v>1886.5</v>
      </c>
      <c r="S67" s="32" t="n">
        <v>1939</v>
      </c>
      <c r="T67" s="32" t="n">
        <v>1918.5</v>
      </c>
      <c r="U67" s="32" t="n">
        <v>1941</v>
      </c>
      <c r="V67" s="32" t="n">
        <v>1969.5</v>
      </c>
      <c r="W67" s="32" t="n">
        <v>1927.5</v>
      </c>
      <c r="X67" s="32" t="n">
        <v>1934.5</v>
      </c>
      <c r="Y67" s="32" t="n">
        <v>1959.5</v>
      </c>
      <c r="Z67" s="32" t="n">
        <v>1898.5</v>
      </c>
      <c r="AA67" s="32" t="n">
        <v>1869.5</v>
      </c>
      <c r="AB67" s="32" t="n">
        <v>1879.5</v>
      </c>
      <c r="AC67" s="32" t="n">
        <v>1909</v>
      </c>
      <c r="AD67" s="32" t="n">
        <v>1815</v>
      </c>
      <c r="AE67" s="32" t="n">
        <v>1622</v>
      </c>
      <c r="AF67" s="32" t="n">
        <v>1629.5</v>
      </c>
      <c r="AG67" s="32" t="n">
        <v>1628</v>
      </c>
      <c r="AH67" s="32" t="n">
        <v>1646.5</v>
      </c>
      <c r="AI67" s="32" t="n">
        <v>1649</v>
      </c>
      <c r="AJ67" s="32" t="n">
        <v>1637</v>
      </c>
      <c r="AK67" s="32" t="n">
        <v>1652</v>
      </c>
      <c r="AL67" s="32" t="n">
        <v>1673.5</v>
      </c>
      <c r="AM67" s="32" t="n">
        <v>1695.5</v>
      </c>
      <c r="AN67" s="32" t="n">
        <v>1675.5</v>
      </c>
      <c r="AO67" s="32" t="n">
        <v>1723.5</v>
      </c>
      <c r="AP67" s="32" t="n">
        <v>1740</v>
      </c>
      <c r="AQ67" s="32" t="n">
        <v>1798</v>
      </c>
      <c r="AR67" s="32" t="n">
        <v>1802.5</v>
      </c>
      <c r="AS67" s="32" t="n">
        <v>1816.5</v>
      </c>
      <c r="AT67" s="32" t="n">
        <v>1809.5</v>
      </c>
      <c r="AU67" s="32" t="n">
        <v>1818.5</v>
      </c>
      <c r="AV67" s="32" t="n">
        <v>1827.5</v>
      </c>
      <c r="AW67" s="32" t="n">
        <v>1894</v>
      </c>
      <c r="AX67" s="32" t="n">
        <v>1937.5</v>
      </c>
      <c r="AY67" s="32" t="n">
        <v>1939</v>
      </c>
      <c r="AZ67" s="32" t="n">
        <v>1891.5</v>
      </c>
      <c r="BA67" s="32" t="n">
        <v>1884</v>
      </c>
      <c r="BB67" s="32" t="n">
        <v>1833</v>
      </c>
      <c r="BC67" s="32" t="n">
        <v>1857.5</v>
      </c>
      <c r="BD67" s="32" t="n">
        <v>1849.5</v>
      </c>
      <c r="BE67" s="32" t="n">
        <v>1793</v>
      </c>
      <c r="BF67" s="32" t="n">
        <v>1776.5</v>
      </c>
      <c r="BG67" s="32" t="n">
        <v>1792</v>
      </c>
      <c r="BH67" s="32" t="n">
        <v>1762</v>
      </c>
      <c r="BI67" s="32" t="n">
        <v>1747</v>
      </c>
      <c r="BJ67" s="32" t="n">
        <v>1719</v>
      </c>
      <c r="BK67" s="32" t="n">
        <v>1672</v>
      </c>
      <c r="BL67" s="33" t="n">
        <v>1704</v>
      </c>
    </row>
    <row r="68" ht="15.95" customHeight="1" s="574">
      <c r="A68" s="68" t="inlineStr">
        <is>
          <t>6503</t>
        </is>
      </c>
      <c r="B68" s="28" t="inlineStr">
        <is>
          <t>三菱電機</t>
        </is>
      </c>
      <c r="C68" s="665">
        <f>_xll.RssMarket("6503","高値")</f>
        <v/>
      </c>
      <c r="D68" s="666">
        <f>C68-E68</f>
        <v/>
      </c>
      <c r="E68" s="32" t="n">
        <v>6253</v>
      </c>
      <c r="F68" s="32" t="n">
        <v>6166</v>
      </c>
      <c r="G68" s="32" t="n">
        <v>6230</v>
      </c>
      <c r="H68" s="32" t="n">
        <v>5925</v>
      </c>
      <c r="I68" s="32" t="n">
        <v>6009</v>
      </c>
      <c r="J68" s="32" t="n">
        <v>5903</v>
      </c>
      <c r="K68" s="32" t="n">
        <v>5661</v>
      </c>
      <c r="L68" s="32" t="n">
        <v>5446</v>
      </c>
      <c r="M68" s="32" t="n">
        <v>5767</v>
      </c>
      <c r="N68" s="32" t="n">
        <v>5707</v>
      </c>
      <c r="O68" s="32" t="n">
        <v>6043</v>
      </c>
      <c r="P68" s="32" t="n">
        <v>6084</v>
      </c>
      <c r="Q68" s="32" t="n">
        <v>6177</v>
      </c>
      <c r="R68" s="32" t="n">
        <v>6133</v>
      </c>
      <c r="S68" s="32" t="n">
        <v>6641</v>
      </c>
      <c r="T68" s="32" t="n">
        <v>6565</v>
      </c>
      <c r="U68" s="32" t="n">
        <v>6686</v>
      </c>
      <c r="V68" s="32" t="n">
        <v>6614</v>
      </c>
      <c r="W68" s="32" t="n">
        <v>6359</v>
      </c>
      <c r="X68" s="32" t="n">
        <v>6124</v>
      </c>
      <c r="Y68" s="32" t="n">
        <v>5895</v>
      </c>
      <c r="Z68" s="32" t="n">
        <v>6330</v>
      </c>
      <c r="AA68" s="32" t="n">
        <v>6394</v>
      </c>
      <c r="AB68" s="32" t="n">
        <v>6662</v>
      </c>
      <c r="AC68" s="32" t="n">
        <v>6512</v>
      </c>
      <c r="AD68" s="32" t="n">
        <v>6495</v>
      </c>
      <c r="AE68" s="32" t="n">
        <v>6667</v>
      </c>
      <c r="AF68" s="32" t="n">
        <v>6615</v>
      </c>
      <c r="AG68" s="32" t="n">
        <v>6591</v>
      </c>
      <c r="AH68" s="32" t="n">
        <v>6636</v>
      </c>
      <c r="AI68" s="32" t="n">
        <v>6330</v>
      </c>
      <c r="AJ68" s="32" t="n">
        <v>6490</v>
      </c>
      <c r="AK68" s="32" t="n">
        <v>6231</v>
      </c>
      <c r="AL68" s="32" t="n">
        <v>6129</v>
      </c>
      <c r="AM68" s="32" t="n">
        <v>6010</v>
      </c>
      <c r="AN68" s="32" t="n">
        <v>5905</v>
      </c>
      <c r="AO68" s="32" t="n">
        <v>5938</v>
      </c>
      <c r="AP68" s="32" t="n">
        <v>6160</v>
      </c>
      <c r="AQ68" s="32" t="n">
        <v>6107</v>
      </c>
      <c r="AR68" s="32" t="n">
        <v>5944</v>
      </c>
      <c r="AS68" s="32" t="n">
        <v>5981</v>
      </c>
      <c r="AT68" s="32" t="n">
        <v>5998</v>
      </c>
      <c r="AU68" s="32" t="n">
        <v>5921</v>
      </c>
      <c r="AV68" s="32" t="n">
        <v>5867</v>
      </c>
      <c r="AW68" s="32" t="n">
        <v>5853</v>
      </c>
      <c r="AX68" s="32" t="n">
        <v>5710</v>
      </c>
      <c r="AY68" s="32" t="n">
        <v>5648</v>
      </c>
      <c r="AZ68" s="32" t="n">
        <v>5391</v>
      </c>
      <c r="BA68" s="32" t="n">
        <v>5406</v>
      </c>
      <c r="BB68" s="32" t="n">
        <v>5377</v>
      </c>
      <c r="BC68" s="32" t="n">
        <v>5465</v>
      </c>
      <c r="BD68" s="32" t="n">
        <v>5337</v>
      </c>
      <c r="BE68" s="32" t="n">
        <v>5101</v>
      </c>
      <c r="BF68" s="32" t="n">
        <v>5081</v>
      </c>
      <c r="BG68" s="32" t="n">
        <v>5415</v>
      </c>
      <c r="BH68" s="32" t="n">
        <v>5709</v>
      </c>
      <c r="BI68" s="32" t="n">
        <v>5557</v>
      </c>
      <c r="BJ68" s="32" t="n">
        <v>5319</v>
      </c>
      <c r="BK68" s="32" t="n">
        <v>5237</v>
      </c>
      <c r="BL68" s="33" t="n">
        <v>5597</v>
      </c>
    </row>
    <row r="69" ht="15.95" customHeight="1" s="574">
      <c r="A69" s="68" t="inlineStr">
        <is>
          <t>4980</t>
        </is>
      </c>
      <c r="B69" s="28" t="inlineStr">
        <is>
          <t>デクセリアルズ</t>
        </is>
      </c>
      <c r="C69" s="665">
        <f>_xll.RssMarket("4980","高値")</f>
        <v/>
      </c>
      <c r="D69" s="666">
        <f>C69-E69</f>
        <v/>
      </c>
      <c r="E69" s="32" t="n">
        <v>5099</v>
      </c>
      <c r="F69" s="32" t="n">
        <v>4894</v>
      </c>
      <c r="G69" s="32" t="n">
        <v>4787</v>
      </c>
      <c r="H69" s="32" t="n">
        <v>4694</v>
      </c>
      <c r="I69" s="32" t="n">
        <v>4609</v>
      </c>
      <c r="J69" s="32" t="n">
        <v>4316</v>
      </c>
      <c r="K69" s="32" t="n">
        <v>4122</v>
      </c>
      <c r="L69" s="32" t="n">
        <v>3813</v>
      </c>
      <c r="M69" s="32" t="n">
        <v>3968</v>
      </c>
      <c r="N69" s="32" t="n">
        <v>4070</v>
      </c>
      <c r="O69" s="32" t="n">
        <v>4432</v>
      </c>
      <c r="P69" s="32" t="n">
        <v>4525</v>
      </c>
      <c r="Q69" s="32" t="n">
        <v>4859</v>
      </c>
      <c r="R69" s="32" t="n">
        <v>4560</v>
      </c>
      <c r="S69" s="32" t="n">
        <v>4133</v>
      </c>
      <c r="T69" s="32" t="n">
        <v>4214</v>
      </c>
      <c r="U69" s="32" t="n">
        <v>4290</v>
      </c>
      <c r="V69" s="32" t="n">
        <v>4473</v>
      </c>
      <c r="W69" s="32" t="n">
        <v>4313</v>
      </c>
      <c r="X69" s="32" t="n">
        <v>4236</v>
      </c>
      <c r="Y69" s="32" t="n">
        <v>4062</v>
      </c>
      <c r="Z69" s="32" t="n">
        <v>4217</v>
      </c>
      <c r="AA69" s="32" t="n">
        <v>4486</v>
      </c>
      <c r="AB69" s="32" t="n">
        <v>3849</v>
      </c>
      <c r="AC69" s="32" t="n">
        <v>3149</v>
      </c>
      <c r="AD69" s="32" t="n">
        <v>2682.5</v>
      </c>
      <c r="AE69" s="32" t="n">
        <v>2755</v>
      </c>
      <c r="AF69" s="32" t="n">
        <v>2800</v>
      </c>
      <c r="AG69" s="32" t="n">
        <v>2739</v>
      </c>
      <c r="AH69" s="32" t="n">
        <v>2657</v>
      </c>
      <c r="AI69" s="32" t="n">
        <v>2508.5</v>
      </c>
      <c r="AJ69" s="32" t="n">
        <v>2478.5</v>
      </c>
      <c r="AK69" s="32" t="n">
        <v>2516.5</v>
      </c>
      <c r="AL69" s="32" t="n">
        <v>2540.5</v>
      </c>
      <c r="AM69" s="32" t="n">
        <v>2458</v>
      </c>
      <c r="AN69" s="32" t="n">
        <v>2487.5</v>
      </c>
      <c r="AO69" s="32" t="n">
        <v>2481</v>
      </c>
      <c r="AP69" s="32" t="n">
        <v>2484</v>
      </c>
      <c r="AQ69" s="32" t="n">
        <v>2484</v>
      </c>
      <c r="AR69" s="32" t="n">
        <v>2473</v>
      </c>
      <c r="AS69" s="32" t="n">
        <v>2427.5</v>
      </c>
      <c r="AT69" s="32" t="n">
        <v>2442</v>
      </c>
      <c r="AU69" s="32" t="n">
        <v>2408</v>
      </c>
      <c r="AV69" s="32" t="n">
        <v>2390</v>
      </c>
      <c r="AW69" s="32" t="n">
        <v>2400</v>
      </c>
      <c r="AX69" s="32" t="n">
        <v>2355</v>
      </c>
      <c r="AY69" s="32" t="n">
        <v>2365</v>
      </c>
      <c r="AZ69" s="32" t="n">
        <v>2239.5</v>
      </c>
      <c r="BA69" s="32" t="n">
        <v>2227.5</v>
      </c>
      <c r="BB69" s="32" t="n">
        <v>2199.5</v>
      </c>
      <c r="BC69" s="32" t="n">
        <v>2252</v>
      </c>
      <c r="BD69" s="32" t="n">
        <v>2243</v>
      </c>
      <c r="BE69" s="32" t="n">
        <v>2155</v>
      </c>
      <c r="BF69" s="32" t="n">
        <v>2139</v>
      </c>
      <c r="BG69" s="32" t="n">
        <v>2280</v>
      </c>
      <c r="BH69" s="32" t="n">
        <v>2288</v>
      </c>
      <c r="BI69" s="32" t="n">
        <v>2273</v>
      </c>
      <c r="BJ69" s="32" t="n">
        <v>2229</v>
      </c>
      <c r="BK69" s="32" t="n">
        <v>2197.5</v>
      </c>
      <c r="BL69" s="33" t="n">
        <v>2359</v>
      </c>
    </row>
    <row r="70" ht="15.95" customHeight="1" s="574">
      <c r="A70" s="68" t="inlineStr">
        <is>
          <t>9424</t>
        </is>
      </c>
      <c r="B70" s="28" t="inlineStr">
        <is>
          <t>日本通信</t>
        </is>
      </c>
      <c r="C70" s="665">
        <f>_xll.RssMarket("9424","高値")</f>
        <v/>
      </c>
      <c r="D70" s="666">
        <f>C70-E70</f>
        <v/>
      </c>
      <c r="E70" s="32" t="n">
        <v>115</v>
      </c>
      <c r="F70" s="32" t="n">
        <v>116</v>
      </c>
      <c r="G70" s="32" t="n">
        <v>117</v>
      </c>
      <c r="H70" s="32" t="n">
        <v>115</v>
      </c>
      <c r="I70" s="32" t="n">
        <v>114</v>
      </c>
      <c r="J70" s="32" t="n">
        <v>115</v>
      </c>
      <c r="K70" s="32" t="n">
        <v>119</v>
      </c>
      <c r="L70" s="32" t="n">
        <v>116</v>
      </c>
      <c r="M70" s="32" t="n">
        <v>117</v>
      </c>
      <c r="N70" s="32" t="n">
        <v>114</v>
      </c>
      <c r="O70" s="32" t="n">
        <v>117</v>
      </c>
      <c r="P70" s="32" t="n">
        <v>125</v>
      </c>
      <c r="Q70" s="32" t="n">
        <v>124</v>
      </c>
      <c r="R70" s="32" t="n">
        <v>125</v>
      </c>
      <c r="S70" s="32" t="n">
        <v>126</v>
      </c>
      <c r="T70" s="32" t="n">
        <v>127</v>
      </c>
      <c r="U70" s="32" t="n">
        <v>126</v>
      </c>
      <c r="V70" s="32" t="n">
        <v>128</v>
      </c>
      <c r="W70" s="32" t="n">
        <v>129</v>
      </c>
      <c r="X70" s="32" t="n">
        <v>131</v>
      </c>
      <c r="Y70" s="32" t="n">
        <v>127</v>
      </c>
      <c r="Z70" s="32" t="n">
        <v>126</v>
      </c>
      <c r="AA70" s="32" t="n">
        <v>125</v>
      </c>
      <c r="AB70" s="32" t="n">
        <v>126</v>
      </c>
      <c r="AC70" s="32" t="n">
        <v>127</v>
      </c>
      <c r="AD70" s="32" t="n">
        <v>128</v>
      </c>
      <c r="AE70" s="32" t="n">
        <v>131</v>
      </c>
      <c r="AF70" s="32" t="n">
        <v>132</v>
      </c>
      <c r="AG70" s="32" t="n">
        <v>131</v>
      </c>
      <c r="AH70" s="32" t="n">
        <v>133</v>
      </c>
      <c r="AI70" s="32" t="n">
        <v>132</v>
      </c>
      <c r="AJ70" s="32" t="n">
        <v>131</v>
      </c>
      <c r="AK70" s="32" t="n">
        <v>126</v>
      </c>
      <c r="AL70" s="32" t="n">
        <v>127</v>
      </c>
      <c r="AM70" s="32" t="n">
        <v>130</v>
      </c>
      <c r="AN70" s="32" t="n">
        <v>132</v>
      </c>
      <c r="AO70" s="32" t="n">
        <v>131</v>
      </c>
      <c r="AP70" s="32" t="n">
        <v>130</v>
      </c>
      <c r="AQ70" s="32" t="n">
        <v>130</v>
      </c>
      <c r="AR70" s="32" t="n">
        <v>131</v>
      </c>
      <c r="AS70" s="32" t="n">
        <v>133</v>
      </c>
      <c r="AT70" s="32" t="n">
        <v>132</v>
      </c>
      <c r="AU70" s="32" t="n">
        <v>131</v>
      </c>
      <c r="AV70" s="32" t="n">
        <v>131</v>
      </c>
      <c r="AW70" s="32" t="n">
        <v>133</v>
      </c>
      <c r="AX70" s="32" t="n">
        <v>133</v>
      </c>
      <c r="AY70" s="32" t="n">
        <v>133</v>
      </c>
      <c r="AZ70" s="32" t="n">
        <v>130</v>
      </c>
      <c r="BA70" s="32" t="n">
        <v>128</v>
      </c>
      <c r="BB70" s="32" t="n">
        <v>134</v>
      </c>
      <c r="BC70" s="32" t="n">
        <v>134</v>
      </c>
      <c r="BD70" s="32" t="n">
        <v>132</v>
      </c>
      <c r="BE70" s="32" t="n">
        <v>131</v>
      </c>
      <c r="BF70" s="32" t="n">
        <v>131</v>
      </c>
      <c r="BG70" s="32" t="n">
        <v>134</v>
      </c>
      <c r="BH70" s="32" t="n">
        <v>139</v>
      </c>
      <c r="BI70" s="32" t="n">
        <v>138</v>
      </c>
      <c r="BJ70" s="32" t="n">
        <v>134</v>
      </c>
      <c r="BK70" s="32" t="n">
        <v>138</v>
      </c>
      <c r="BL70" s="33" t="n">
        <v>139</v>
      </c>
    </row>
    <row r="71" ht="15.95" customHeight="1" s="574">
      <c r="A71" s="68" t="inlineStr">
        <is>
          <t>3854</t>
        </is>
      </c>
      <c r="B71" s="28" t="inlineStr">
        <is>
          <t>アイル</t>
        </is>
      </c>
      <c r="C71" s="665">
        <f>_xll.RssMarket("3854","高値")</f>
        <v/>
      </c>
      <c r="D71" s="666">
        <f>C71-E71</f>
        <v/>
      </c>
      <c r="E71" s="32" t="n">
        <v>2204</v>
      </c>
      <c r="F71" s="32" t="n">
        <v>2205</v>
      </c>
      <c r="G71" s="32" t="n">
        <v>2210</v>
      </c>
      <c r="H71" s="32" t="n">
        <v>2206</v>
      </c>
      <c r="I71" s="32" t="n">
        <v>2221</v>
      </c>
      <c r="J71" s="32" t="n">
        <v>2261</v>
      </c>
      <c r="K71" s="32" t="n">
        <v>2320</v>
      </c>
      <c r="L71" s="32" t="n">
        <v>2414</v>
      </c>
      <c r="M71" s="32" t="n">
        <v>2465</v>
      </c>
      <c r="N71" s="32" t="n">
        <v>2524</v>
      </c>
      <c r="O71" s="32" t="n">
        <v>2550</v>
      </c>
      <c r="P71" s="32" t="n">
        <v>2588</v>
      </c>
      <c r="Q71" s="32" t="n">
        <v>2653</v>
      </c>
      <c r="R71" s="32" t="n">
        <v>2640</v>
      </c>
      <c r="S71" s="32" t="n">
        <v>2635</v>
      </c>
      <c r="T71" s="32" t="n">
        <v>2580</v>
      </c>
      <c r="U71" s="32" t="n">
        <v>2525</v>
      </c>
      <c r="V71" s="32" t="n">
        <v>2615</v>
      </c>
      <c r="W71" s="32" t="n">
        <v>2575</v>
      </c>
      <c r="X71" s="32" t="n">
        <v>2484</v>
      </c>
      <c r="Y71" s="32" t="n">
        <v>2467</v>
      </c>
      <c r="Z71" s="32" t="n">
        <v>2475</v>
      </c>
      <c r="AA71" s="32" t="n">
        <v>2423</v>
      </c>
      <c r="AB71" s="32" t="n">
        <v>2359</v>
      </c>
      <c r="AC71" s="32" t="n">
        <v>2380</v>
      </c>
      <c r="AD71" s="32" t="n">
        <v>2396</v>
      </c>
      <c r="AE71" s="32" t="n">
        <v>2400</v>
      </c>
      <c r="AF71" s="32" t="n">
        <v>2434</v>
      </c>
      <c r="AG71" s="32" t="n">
        <v>2430</v>
      </c>
      <c r="AH71" s="32" t="n">
        <v>2384</v>
      </c>
      <c r="AI71" s="32" t="n">
        <v>2365</v>
      </c>
      <c r="AJ71" s="32" t="n">
        <v>2397</v>
      </c>
      <c r="AK71" s="32" t="n">
        <v>2422</v>
      </c>
      <c r="AL71" s="32" t="n">
        <v>2422</v>
      </c>
      <c r="AM71" s="32" t="n">
        <v>2427</v>
      </c>
      <c r="AN71" s="32" t="n">
        <v>2471</v>
      </c>
      <c r="AO71" s="32" t="n">
        <v>2476</v>
      </c>
      <c r="AP71" s="32" t="n">
        <v>2481</v>
      </c>
      <c r="AQ71" s="32" t="n">
        <v>2460</v>
      </c>
      <c r="AR71" s="32" t="n">
        <v>2447</v>
      </c>
      <c r="AS71" s="32" t="n">
        <v>2471</v>
      </c>
      <c r="AT71" s="32" t="n">
        <v>2428</v>
      </c>
      <c r="AU71" s="32" t="n">
        <v>2421</v>
      </c>
      <c r="AV71" s="32" t="n">
        <v>2360</v>
      </c>
      <c r="AW71" s="32" t="n">
        <v>2434</v>
      </c>
      <c r="AX71" s="32" t="n">
        <v>2432</v>
      </c>
      <c r="AY71" s="32" t="n">
        <v>2459</v>
      </c>
      <c r="AZ71" s="32" t="n">
        <v>2438</v>
      </c>
      <c r="BA71" s="32" t="n">
        <v>2440</v>
      </c>
      <c r="BB71" s="32" t="n">
        <v>2409</v>
      </c>
      <c r="BC71" s="32" t="n">
        <v>2431</v>
      </c>
      <c r="BD71" s="32" t="n">
        <v>2427</v>
      </c>
      <c r="BE71" s="32" t="n">
        <v>2421</v>
      </c>
      <c r="BF71" s="32" t="n">
        <v>2397</v>
      </c>
      <c r="BG71" s="32" t="n">
        <v>2427</v>
      </c>
      <c r="BH71" s="32" t="n">
        <v>2400</v>
      </c>
      <c r="BI71" s="32" t="n">
        <v>2437</v>
      </c>
      <c r="BJ71" s="32" t="n">
        <v>2388</v>
      </c>
      <c r="BK71" s="32" t="n">
        <v>2348</v>
      </c>
      <c r="BL71" s="33" t="n">
        <v>2400</v>
      </c>
    </row>
    <row r="72" ht="15.95" customHeight="1" s="574">
      <c r="A72" s="68" t="inlineStr">
        <is>
          <t>6027</t>
        </is>
      </c>
      <c r="B72" s="28" t="inlineStr">
        <is>
          <t>弁護士ドットコム</t>
        </is>
      </c>
      <c r="C72" s="665">
        <f>_xll.RssMarket("6027","高値")</f>
        <v/>
      </c>
      <c r="D72" s="666">
        <f>C72-E72</f>
        <v/>
      </c>
      <c r="E72" s="32" t="n">
        <v>2232</v>
      </c>
      <c r="F72" s="32" t="n">
        <v>2236</v>
      </c>
      <c r="G72" s="32" t="n">
        <v>2149</v>
      </c>
      <c r="H72" s="32" t="n">
        <v>2174</v>
      </c>
      <c r="I72" s="32" t="n">
        <v>2130</v>
      </c>
      <c r="J72" s="32" t="n">
        <v>2157</v>
      </c>
      <c r="K72" s="32" t="n">
        <v>2192</v>
      </c>
      <c r="L72" s="32" t="n">
        <v>2154</v>
      </c>
      <c r="M72" s="32" t="n">
        <v>2192</v>
      </c>
      <c r="N72" s="32" t="n">
        <v>2258</v>
      </c>
      <c r="O72" s="32" t="n">
        <v>2307</v>
      </c>
      <c r="P72" s="32" t="n">
        <v>2262</v>
      </c>
      <c r="Q72" s="32" t="n">
        <v>2295</v>
      </c>
      <c r="R72" s="32" t="n">
        <v>2384</v>
      </c>
      <c r="S72" s="32" t="n">
        <v>2460</v>
      </c>
      <c r="T72" s="32" t="n">
        <v>2461</v>
      </c>
      <c r="U72" s="32" t="n">
        <v>2501</v>
      </c>
      <c r="V72" s="32" t="n">
        <v>2578</v>
      </c>
      <c r="W72" s="32" t="n">
        <v>2590</v>
      </c>
      <c r="X72" s="32" t="n">
        <v>2615</v>
      </c>
      <c r="Y72" s="32" t="n">
        <v>2766</v>
      </c>
      <c r="Z72" s="32" t="n">
        <v>2836</v>
      </c>
      <c r="AA72" s="32" t="n">
        <v>2798</v>
      </c>
      <c r="AB72" s="32" t="n">
        <v>2745</v>
      </c>
      <c r="AC72" s="32" t="n">
        <v>2777</v>
      </c>
      <c r="AD72" s="32" t="n">
        <v>2750</v>
      </c>
      <c r="AE72" s="32" t="n">
        <v>2726</v>
      </c>
      <c r="AF72" s="32" t="n">
        <v>2788</v>
      </c>
      <c r="AG72" s="32" t="n">
        <v>2758</v>
      </c>
      <c r="AH72" s="32" t="n">
        <v>2677</v>
      </c>
      <c r="AI72" s="32" t="n">
        <v>2528</v>
      </c>
      <c r="AJ72" s="32" t="n">
        <v>2500</v>
      </c>
      <c r="AK72" s="32" t="n">
        <v>2499</v>
      </c>
      <c r="AL72" s="32" t="n">
        <v>2494</v>
      </c>
      <c r="AM72" s="32" t="n">
        <v>2552</v>
      </c>
      <c r="AN72" s="32" t="n">
        <v>2617</v>
      </c>
      <c r="AO72" s="32" t="n">
        <v>2630</v>
      </c>
      <c r="AP72" s="32" t="n">
        <v>2609</v>
      </c>
      <c r="AQ72" s="32" t="n">
        <v>2586</v>
      </c>
      <c r="AR72" s="32" t="n">
        <v>2653</v>
      </c>
      <c r="AS72" s="32" t="n">
        <v>2750</v>
      </c>
      <c r="AT72" s="32" t="n">
        <v>2734</v>
      </c>
      <c r="AU72" s="32" t="n">
        <v>2625</v>
      </c>
      <c r="AV72" s="32" t="n">
        <v>2578</v>
      </c>
      <c r="AW72" s="32" t="n">
        <v>2795</v>
      </c>
      <c r="AX72" s="32" t="n">
        <v>2842</v>
      </c>
      <c r="AY72" s="32" t="n">
        <v>2958</v>
      </c>
      <c r="AZ72" s="32" t="n">
        <v>2911</v>
      </c>
      <c r="BA72" s="32" t="n">
        <v>2885</v>
      </c>
      <c r="BB72" s="32" t="n">
        <v>2889</v>
      </c>
      <c r="BC72" s="32" t="n">
        <v>2938</v>
      </c>
      <c r="BD72" s="32" t="n">
        <v>2955</v>
      </c>
      <c r="BE72" s="32" t="n">
        <v>2873</v>
      </c>
      <c r="BF72" s="32" t="n">
        <v>2845</v>
      </c>
      <c r="BG72" s="32" t="n">
        <v>2987</v>
      </c>
      <c r="BH72" s="32" t="n">
        <v>2904</v>
      </c>
      <c r="BI72" s="32" t="n">
        <v>2889</v>
      </c>
      <c r="BJ72" s="32" t="n">
        <v>2860</v>
      </c>
      <c r="BK72" s="32" t="n">
        <v>2790</v>
      </c>
      <c r="BL72" s="33" t="n">
        <v>2850</v>
      </c>
    </row>
    <row r="73" ht="15.95" customHeight="1" s="574">
      <c r="A73" s="68" t="inlineStr">
        <is>
          <t>7806</t>
        </is>
      </c>
      <c r="B73" s="28" t="inlineStr">
        <is>
          <t>ＭＴＧ</t>
        </is>
      </c>
      <c r="C73" s="665">
        <f>_xll.RssMarket("7806","高値")</f>
        <v/>
      </c>
      <c r="D73" s="666">
        <f>C73-E73</f>
        <v/>
      </c>
      <c r="E73" s="32" t="n">
        <v>7740</v>
      </c>
      <c r="F73" s="32" t="n">
        <v>7780</v>
      </c>
      <c r="G73" s="32" t="n">
        <v>7790</v>
      </c>
      <c r="H73" s="32" t="n">
        <v>7410</v>
      </c>
      <c r="I73" s="32" t="n">
        <v>7260</v>
      </c>
      <c r="J73" s="32" t="n">
        <v>7110</v>
      </c>
      <c r="K73" s="32" t="n">
        <v>7350</v>
      </c>
      <c r="L73" s="32" t="n">
        <v>7200</v>
      </c>
      <c r="M73" s="32" t="n">
        <v>7140</v>
      </c>
      <c r="N73" s="32" t="n">
        <v>6860</v>
      </c>
      <c r="O73" s="32" t="n">
        <v>7020</v>
      </c>
      <c r="P73" s="32" t="n">
        <v>7170</v>
      </c>
      <c r="Q73" s="32" t="n">
        <v>7260</v>
      </c>
      <c r="R73" s="32" t="n">
        <v>7500</v>
      </c>
      <c r="S73" s="32" t="n">
        <v>7600</v>
      </c>
      <c r="T73" s="32" t="n">
        <v>7490</v>
      </c>
      <c r="U73" s="32" t="n">
        <v>7310</v>
      </c>
      <c r="V73" s="32" t="n">
        <v>6390</v>
      </c>
      <c r="W73" s="32" t="n">
        <v>6420</v>
      </c>
      <c r="X73" s="32" t="n">
        <v>6560</v>
      </c>
      <c r="Y73" s="32" t="n">
        <v>6790</v>
      </c>
      <c r="Z73" s="32" t="n">
        <v>6650</v>
      </c>
      <c r="AA73" s="32" t="n">
        <v>6720</v>
      </c>
      <c r="AB73" s="32" t="n">
        <v>7200</v>
      </c>
      <c r="AC73" s="32" t="n">
        <v>7310</v>
      </c>
      <c r="AD73" s="32" t="n">
        <v>6930</v>
      </c>
      <c r="AE73" s="32" t="n">
        <v>6820</v>
      </c>
      <c r="AF73" s="32" t="n">
        <v>6530</v>
      </c>
      <c r="AG73" s="32" t="n">
        <v>6400</v>
      </c>
      <c r="AH73" s="32" t="n">
        <v>6360</v>
      </c>
      <c r="AI73" s="32" t="n">
        <v>6120</v>
      </c>
      <c r="AJ73" s="32" t="n">
        <v>5890</v>
      </c>
      <c r="AK73" s="32" t="n">
        <v>5990</v>
      </c>
      <c r="AL73" s="32" t="n">
        <v>6210</v>
      </c>
      <c r="AM73" s="32" t="n">
        <v>6380</v>
      </c>
      <c r="AN73" s="32" t="n">
        <v>6600</v>
      </c>
      <c r="AO73" s="32" t="n">
        <v>6600</v>
      </c>
      <c r="AP73" s="32" t="n">
        <v>6700</v>
      </c>
      <c r="AQ73" s="32" t="n">
        <v>6700</v>
      </c>
      <c r="AR73" s="32" t="n">
        <v>6620</v>
      </c>
      <c r="AS73" s="32" t="n">
        <v>6490</v>
      </c>
      <c r="AT73" s="32" t="n">
        <v>6580</v>
      </c>
      <c r="AU73" s="32" t="n">
        <v>6350</v>
      </c>
      <c r="AV73" s="32" t="n">
        <v>6180</v>
      </c>
      <c r="AW73" s="32" t="n">
        <v>6100</v>
      </c>
      <c r="AX73" s="32" t="n">
        <v>6220</v>
      </c>
      <c r="AY73" s="32" t="n">
        <v>6350</v>
      </c>
      <c r="AZ73" s="32" t="n">
        <v>6200</v>
      </c>
      <c r="BA73" s="32" t="n">
        <v>6320</v>
      </c>
      <c r="BB73" s="32" t="n">
        <v>6490</v>
      </c>
      <c r="BC73" s="32" t="n">
        <v>6490</v>
      </c>
      <c r="BD73" s="32" t="n">
        <v>6380</v>
      </c>
      <c r="BE73" s="32" t="n">
        <v>6360</v>
      </c>
      <c r="BF73" s="32" t="n">
        <v>6280</v>
      </c>
      <c r="BG73" s="32" t="n">
        <v>6500</v>
      </c>
      <c r="BH73" s="32" t="n">
        <v>6220</v>
      </c>
      <c r="BI73" s="32" t="n">
        <v>6190</v>
      </c>
      <c r="BJ73" s="32" t="n">
        <v>5980</v>
      </c>
      <c r="BK73" s="32" t="n">
        <v>6030</v>
      </c>
      <c r="BL73" s="33" t="n">
        <v>6380</v>
      </c>
    </row>
    <row r="74" ht="15.95" customHeight="1" s="574">
      <c r="A74" s="68" t="inlineStr">
        <is>
          <t>9202</t>
        </is>
      </c>
      <c r="B74" s="28" t="inlineStr">
        <is>
          <t>ＡＮＡホールディングス</t>
        </is>
      </c>
      <c r="C74" s="665">
        <f>_xll.RssMarket("9202","高値")</f>
        <v/>
      </c>
      <c r="D74" s="666">
        <f>C74-E74</f>
        <v/>
      </c>
      <c r="E74" s="32" t="n">
        <v>2963</v>
      </c>
      <c r="F74" s="32" t="n">
        <v>2987</v>
      </c>
      <c r="G74" s="32" t="n">
        <v>3033</v>
      </c>
      <c r="H74" s="32" t="n">
        <v>3076</v>
      </c>
      <c r="I74" s="32" t="n">
        <v>3043</v>
      </c>
      <c r="J74" s="32" t="n">
        <v>3013</v>
      </c>
      <c r="K74" s="32" t="n">
        <v>2842</v>
      </c>
      <c r="L74" s="32" t="n">
        <v>2810</v>
      </c>
      <c r="M74" s="32" t="n">
        <v>2823</v>
      </c>
      <c r="N74" s="32" t="n">
        <v>2868.5</v>
      </c>
      <c r="O74" s="32" t="n">
        <v>2858</v>
      </c>
      <c r="P74" s="32" t="n">
        <v>2837</v>
      </c>
      <c r="Q74" s="32" t="n">
        <v>2850</v>
      </c>
      <c r="R74" s="32" t="n">
        <v>2891</v>
      </c>
      <c r="S74" s="32" t="n">
        <v>3022</v>
      </c>
      <c r="T74" s="32" t="n">
        <v>2921</v>
      </c>
      <c r="U74" s="32" t="n">
        <v>2892</v>
      </c>
      <c r="V74" s="32" t="n">
        <v>2883</v>
      </c>
      <c r="W74" s="32" t="n">
        <v>2804.5</v>
      </c>
      <c r="X74" s="32" t="n">
        <v>2796</v>
      </c>
      <c r="Y74" s="32" t="n">
        <v>2759</v>
      </c>
      <c r="Z74" s="32" t="n">
        <v>2762.5</v>
      </c>
      <c r="AA74" s="32" t="n">
        <v>2779</v>
      </c>
      <c r="AB74" s="32" t="n">
        <v>2772</v>
      </c>
      <c r="AC74" s="32" t="n">
        <v>2793.5</v>
      </c>
      <c r="AD74" s="32" t="n">
        <v>2821</v>
      </c>
      <c r="AE74" s="32" t="n">
        <v>2817.5</v>
      </c>
      <c r="AF74" s="32" t="n">
        <v>2851.5</v>
      </c>
      <c r="AG74" s="32" t="n">
        <v>2876</v>
      </c>
      <c r="AH74" s="32" t="n">
        <v>2853</v>
      </c>
      <c r="AI74" s="32" t="n">
        <v>2720</v>
      </c>
      <c r="AJ74" s="32" t="n">
        <v>2651</v>
      </c>
      <c r="AK74" s="32" t="n">
        <v>2646.5</v>
      </c>
      <c r="AL74" s="32" t="n">
        <v>2700.5</v>
      </c>
      <c r="AM74" s="32" t="n">
        <v>2729.5</v>
      </c>
      <c r="AN74" s="32" t="n">
        <v>2805</v>
      </c>
      <c r="AO74" s="32" t="n">
        <v>2847.5</v>
      </c>
      <c r="AP74" s="32" t="n">
        <v>2881</v>
      </c>
      <c r="AQ74" s="32" t="n">
        <v>2884.5</v>
      </c>
      <c r="AR74" s="32" t="n">
        <v>2861</v>
      </c>
      <c r="AS74" s="32" t="n">
        <v>2899.5</v>
      </c>
      <c r="AT74" s="32" t="n">
        <v>2898</v>
      </c>
      <c r="AU74" s="32" t="n">
        <v>2882.5</v>
      </c>
      <c r="AV74" s="32" t="n">
        <v>2891</v>
      </c>
      <c r="AW74" s="32" t="n">
        <v>2909</v>
      </c>
      <c r="AX74" s="32" t="n">
        <v>2964.5</v>
      </c>
      <c r="AY74" s="32" t="n">
        <v>3008</v>
      </c>
      <c r="AZ74" s="32" t="n">
        <v>2939.5</v>
      </c>
      <c r="BA74" s="32" t="n">
        <v>2954</v>
      </c>
      <c r="BB74" s="32" t="n">
        <v>2943</v>
      </c>
      <c r="BC74" s="32" t="n">
        <v>2976</v>
      </c>
      <c r="BD74" s="32" t="n">
        <v>2910.5</v>
      </c>
      <c r="BE74" s="32" t="n">
        <v>2867</v>
      </c>
      <c r="BF74" s="32" t="n">
        <v>2873</v>
      </c>
      <c r="BG74" s="32" t="n">
        <v>3007</v>
      </c>
      <c r="BH74" s="32" t="n">
        <v>2990</v>
      </c>
      <c r="BI74" s="32" t="n">
        <v>2991</v>
      </c>
      <c r="BJ74" s="32" t="n">
        <v>2951</v>
      </c>
      <c r="BK74" s="32" t="n">
        <v>2891.5</v>
      </c>
      <c r="BL74" s="33" t="n">
        <v>2989</v>
      </c>
    </row>
    <row r="75" ht="15.95" customHeight="1" s="574">
      <c r="A75" s="68" t="inlineStr">
        <is>
          <t>7846</t>
        </is>
      </c>
      <c r="B75" s="28" t="inlineStr">
        <is>
          <t>パイロットコーポレーション</t>
        </is>
      </c>
      <c r="C75" s="665">
        <f>_xll.RssMarket("7846","高値")</f>
        <v/>
      </c>
      <c r="D75" s="666">
        <f>C75-E75</f>
        <v/>
      </c>
      <c r="E75" s="32" t="n">
        <v>4992</v>
      </c>
      <c r="F75" s="32" t="n">
        <v>4961</v>
      </c>
      <c r="G75" s="32" t="n">
        <v>5006</v>
      </c>
      <c r="H75" s="32" t="n">
        <v>5009</v>
      </c>
      <c r="I75" s="32" t="n">
        <v>4973</v>
      </c>
      <c r="J75" s="32" t="n">
        <v>4946</v>
      </c>
      <c r="K75" s="32" t="n">
        <v>4914</v>
      </c>
      <c r="L75" s="32" t="n">
        <v>4963</v>
      </c>
      <c r="M75" s="32" t="n">
        <v>4955</v>
      </c>
      <c r="N75" s="32" t="n">
        <v>4907</v>
      </c>
      <c r="O75" s="32" t="n">
        <v>4868</v>
      </c>
      <c r="P75" s="32" t="n">
        <v>4940</v>
      </c>
      <c r="Q75" s="32" t="n">
        <v>4884</v>
      </c>
      <c r="R75" s="32" t="n">
        <v>4994</v>
      </c>
      <c r="S75" s="32" t="n">
        <v>4947</v>
      </c>
      <c r="T75" s="32" t="n">
        <v>4938</v>
      </c>
      <c r="U75" s="32" t="n">
        <v>4948</v>
      </c>
      <c r="V75" s="32" t="n">
        <v>4968</v>
      </c>
      <c r="W75" s="32" t="n">
        <v>4981</v>
      </c>
      <c r="X75" s="32" t="n">
        <v>4879</v>
      </c>
      <c r="Y75" s="32" t="n">
        <v>4803</v>
      </c>
      <c r="Z75" s="32" t="n">
        <v>4673</v>
      </c>
      <c r="AA75" s="32" t="n">
        <v>4664</v>
      </c>
      <c r="AB75" s="32" t="n">
        <v>4586</v>
      </c>
      <c r="AC75" s="32" t="n">
        <v>4569</v>
      </c>
      <c r="AD75" s="32" t="n">
        <v>4674</v>
      </c>
      <c r="AE75" s="32" t="n">
        <v>4823</v>
      </c>
      <c r="AF75" s="32" t="n">
        <v>4832</v>
      </c>
      <c r="AG75" s="32" t="n">
        <v>4891</v>
      </c>
      <c r="AH75" s="32" t="n">
        <v>4818</v>
      </c>
      <c r="AI75" s="32" t="n">
        <v>4816</v>
      </c>
      <c r="AJ75" s="32" t="n">
        <v>4843</v>
      </c>
      <c r="AK75" s="32" t="n">
        <v>4827</v>
      </c>
      <c r="AL75" s="32" t="n">
        <v>4847</v>
      </c>
      <c r="AM75" s="32" t="n">
        <v>4812</v>
      </c>
      <c r="AN75" s="32" t="n">
        <v>4836</v>
      </c>
      <c r="AO75" s="32" t="n">
        <v>4830</v>
      </c>
      <c r="AP75" s="32" t="n">
        <v>4870</v>
      </c>
      <c r="AQ75" s="32" t="n">
        <v>4865</v>
      </c>
      <c r="AR75" s="32" t="n">
        <v>4893</v>
      </c>
      <c r="AS75" s="32" t="n">
        <v>4869</v>
      </c>
      <c r="AT75" s="32" t="n">
        <v>4890</v>
      </c>
      <c r="AU75" s="32" t="n">
        <v>4912</v>
      </c>
      <c r="AV75" s="32" t="n">
        <v>4990</v>
      </c>
      <c r="AW75" s="32" t="n">
        <v>5020</v>
      </c>
      <c r="AX75" s="32" t="n">
        <v>4980</v>
      </c>
      <c r="AY75" s="32" t="n">
        <v>4956</v>
      </c>
      <c r="AZ75" s="32" t="n">
        <v>4913</v>
      </c>
      <c r="BA75" s="32" t="n">
        <v>4869</v>
      </c>
      <c r="BB75" s="32" t="n">
        <v>4936</v>
      </c>
      <c r="BC75" s="32" t="n">
        <v>4883</v>
      </c>
      <c r="BD75" s="32" t="n">
        <v>4715</v>
      </c>
      <c r="BE75" s="32" t="n">
        <v>4717</v>
      </c>
      <c r="BF75" s="32" t="n">
        <v>4815</v>
      </c>
      <c r="BG75" s="32" t="n">
        <v>4836</v>
      </c>
      <c r="BH75" s="32" t="n">
        <v>4815</v>
      </c>
      <c r="BI75" s="32" t="n">
        <v>4743</v>
      </c>
      <c r="BJ75" s="32" t="n">
        <v>4608</v>
      </c>
      <c r="BK75" s="32" t="n">
        <v>4661</v>
      </c>
      <c r="BL75" s="33" t="n">
        <v>4618</v>
      </c>
    </row>
    <row r="76" ht="15.95" customHeight="1" s="574">
      <c r="A76" s="68" t="inlineStr">
        <is>
          <t>2802</t>
        </is>
      </c>
      <c r="B76" s="28" t="inlineStr">
        <is>
          <t>味の素</t>
        </is>
      </c>
      <c r="C76" s="665">
        <f>_xll.RssMarket("2802","高値")</f>
        <v/>
      </c>
      <c r="D76" s="666">
        <f>C76-E76</f>
        <v/>
      </c>
      <c r="E76" s="32" t="n">
        <v>6166</v>
      </c>
      <c r="F76" s="32" t="n">
        <v>5933</v>
      </c>
      <c r="G76" s="32" t="n">
        <v>5843</v>
      </c>
      <c r="H76" s="32" t="n">
        <v>5350</v>
      </c>
      <c r="I76" s="32" t="n">
        <v>5175</v>
      </c>
      <c r="J76" s="32" t="n">
        <v>5501</v>
      </c>
      <c r="K76" s="32" t="n">
        <v>5257</v>
      </c>
      <c r="L76" s="32" t="n">
        <v>5203</v>
      </c>
      <c r="M76" s="32" t="n">
        <v>4865</v>
      </c>
      <c r="N76" s="32" t="n">
        <v>4907</v>
      </c>
      <c r="O76" s="32" t="n">
        <v>5070</v>
      </c>
      <c r="P76" s="32" t="n">
        <v>5194</v>
      </c>
      <c r="Q76" s="32" t="n">
        <v>5298</v>
      </c>
      <c r="R76" s="32" t="n">
        <v>5351</v>
      </c>
      <c r="S76" s="32" t="n">
        <v>5204</v>
      </c>
      <c r="T76" s="32" t="n">
        <v>5275</v>
      </c>
      <c r="U76" s="32" t="n">
        <v>5425</v>
      </c>
      <c r="V76" s="32" t="n">
        <v>5505</v>
      </c>
      <c r="W76" s="32" t="n">
        <v>5332</v>
      </c>
      <c r="X76" s="32" t="n">
        <v>5328</v>
      </c>
      <c r="Y76" s="32" t="n">
        <v>5296</v>
      </c>
      <c r="Z76" s="32" t="n">
        <v>5330</v>
      </c>
      <c r="AA76" s="32" t="n">
        <v>5311</v>
      </c>
      <c r="AB76" s="32" t="n">
        <v>5580</v>
      </c>
      <c r="AC76" s="32" t="n">
        <v>5716</v>
      </c>
      <c r="AD76" s="32" t="n">
        <v>5590</v>
      </c>
      <c r="AE76" s="32" t="n">
        <v>5739</v>
      </c>
      <c r="AF76" s="32" t="n">
        <v>5652</v>
      </c>
      <c r="AG76" s="32" t="n">
        <v>5030</v>
      </c>
      <c r="AH76" s="32" t="n">
        <v>5070</v>
      </c>
      <c r="AI76" s="32" t="n">
        <v>4936</v>
      </c>
      <c r="AJ76" s="32" t="n">
        <v>5090</v>
      </c>
      <c r="AK76" s="32" t="n">
        <v>4813</v>
      </c>
      <c r="AL76" s="32" t="n">
        <v>4823</v>
      </c>
      <c r="AM76" s="32" t="n">
        <v>4877</v>
      </c>
      <c r="AN76" s="32" t="n">
        <v>4672</v>
      </c>
      <c r="AO76" s="32" t="n">
        <v>4715</v>
      </c>
      <c r="AP76" s="32" t="n">
        <v>4730</v>
      </c>
      <c r="AQ76" s="32" t="n">
        <v>4640</v>
      </c>
      <c r="AR76" s="32" t="n">
        <v>4682</v>
      </c>
      <c r="AS76" s="32" t="n">
        <v>4712</v>
      </c>
      <c r="AT76" s="32" t="n">
        <v>4683</v>
      </c>
      <c r="AU76" s="32" t="n">
        <v>4692</v>
      </c>
      <c r="AV76" s="32" t="n">
        <v>4655</v>
      </c>
      <c r="AW76" s="32" t="n">
        <v>4724</v>
      </c>
      <c r="AX76" s="32" t="n">
        <v>4811</v>
      </c>
      <c r="AY76" s="32" t="n">
        <v>4814</v>
      </c>
      <c r="AZ76" s="32" t="n">
        <v>4674</v>
      </c>
      <c r="BA76" s="32" t="n">
        <v>4697</v>
      </c>
      <c r="BB76" s="32" t="n">
        <v>4714</v>
      </c>
      <c r="BC76" s="32" t="n">
        <v>4683</v>
      </c>
      <c r="BD76" s="32" t="n">
        <v>4622</v>
      </c>
      <c r="BE76" s="32" t="n">
        <v>4562</v>
      </c>
      <c r="BF76" s="32" t="n">
        <v>4447</v>
      </c>
      <c r="BG76" s="32" t="n">
        <v>4549</v>
      </c>
      <c r="BH76" s="32" t="n">
        <v>4517</v>
      </c>
      <c r="BI76" s="32" t="n">
        <v>4481</v>
      </c>
      <c r="BJ76" s="32" t="n">
        <v>4317</v>
      </c>
      <c r="BK76" s="32" t="n">
        <v>4243</v>
      </c>
      <c r="BL76" s="33" t="n">
        <v>4445</v>
      </c>
    </row>
    <row r="77" ht="15.95" customHeight="1" s="574">
      <c r="A77" s="68" t="inlineStr">
        <is>
          <t>7203</t>
        </is>
      </c>
      <c r="B77" s="28" t="inlineStr">
        <is>
          <t>トヨタ自動車</t>
        </is>
      </c>
      <c r="C77" s="665">
        <f>_xll.RssMarket("7203","高値")</f>
        <v/>
      </c>
      <c r="D77" s="666">
        <f>C77-E77</f>
        <v/>
      </c>
      <c r="E77" s="32" t="n">
        <v>2802</v>
      </c>
      <c r="F77" s="32" t="n">
        <v>2793</v>
      </c>
      <c r="G77" s="32" t="n">
        <v>2807</v>
      </c>
      <c r="H77" s="32" t="n">
        <v>2863.5</v>
      </c>
      <c r="I77" s="32" t="n">
        <v>2894</v>
      </c>
      <c r="J77" s="32" t="n">
        <v>2934.5</v>
      </c>
      <c r="K77" s="32" t="n">
        <v>2798.5</v>
      </c>
      <c r="L77" s="32" t="n">
        <v>2782.5</v>
      </c>
      <c r="M77" s="32" t="n">
        <v>2840.5</v>
      </c>
      <c r="N77" s="32" t="n">
        <v>2862</v>
      </c>
      <c r="O77" s="32" t="n">
        <v>2885.5</v>
      </c>
      <c r="P77" s="32" t="n">
        <v>2879.5</v>
      </c>
      <c r="Q77" s="32" t="n">
        <v>2920</v>
      </c>
      <c r="R77" s="32" t="n">
        <v>2863.5</v>
      </c>
      <c r="S77" s="32" t="n">
        <v>3082</v>
      </c>
      <c r="T77" s="32" t="n">
        <v>3072</v>
      </c>
      <c r="U77" s="32" t="n">
        <v>3039</v>
      </c>
      <c r="V77" s="32" t="n">
        <v>3108</v>
      </c>
      <c r="W77" s="32" t="n">
        <v>3022</v>
      </c>
      <c r="X77" s="32" t="n">
        <v>3027</v>
      </c>
      <c r="Y77" s="32" t="n">
        <v>2979</v>
      </c>
      <c r="Z77" s="32" t="n">
        <v>3013</v>
      </c>
      <c r="AA77" s="32" t="n">
        <v>3086</v>
      </c>
      <c r="AB77" s="32" t="n">
        <v>3010</v>
      </c>
      <c r="AC77" s="32" t="n">
        <v>2945</v>
      </c>
      <c r="AD77" s="32" t="n">
        <v>2886.5</v>
      </c>
      <c r="AE77" s="32" t="n">
        <v>2888</v>
      </c>
      <c r="AF77" s="32" t="n">
        <v>3088</v>
      </c>
      <c r="AG77" s="32" t="n">
        <v>3047</v>
      </c>
      <c r="AH77" s="32" t="n">
        <v>3022</v>
      </c>
      <c r="AI77" s="32" t="n">
        <v>3071</v>
      </c>
      <c r="AJ77" s="32" t="n">
        <v>3135</v>
      </c>
      <c r="AK77" s="32" t="n">
        <v>3133</v>
      </c>
      <c r="AL77" s="32" t="n">
        <v>3205</v>
      </c>
      <c r="AM77" s="32" t="n">
        <v>3235</v>
      </c>
      <c r="AN77" s="32" t="n">
        <v>3356</v>
      </c>
      <c r="AO77" s="32" t="n">
        <v>3413</v>
      </c>
      <c r="AP77" s="32" t="n">
        <v>3400</v>
      </c>
      <c r="AQ77" s="32" t="n">
        <v>3468</v>
      </c>
      <c r="AR77" s="32" t="n">
        <v>3386</v>
      </c>
      <c r="AS77" s="32" t="n">
        <v>3355</v>
      </c>
      <c r="AT77" s="32" t="n">
        <v>3337</v>
      </c>
      <c r="AU77" s="32" t="n">
        <v>3363</v>
      </c>
      <c r="AV77" s="32" t="n">
        <v>3399</v>
      </c>
      <c r="AW77" s="32" t="n">
        <v>3418</v>
      </c>
      <c r="AX77" s="32" t="n">
        <v>3264</v>
      </c>
      <c r="AY77" s="32" t="n">
        <v>3297</v>
      </c>
      <c r="AZ77" s="32" t="n">
        <v>3316</v>
      </c>
      <c r="BA77" s="32" t="n">
        <v>3384</v>
      </c>
      <c r="BB77" s="32" t="n">
        <v>3311</v>
      </c>
      <c r="BC77" s="32" t="n">
        <v>3252</v>
      </c>
      <c r="BD77" s="32" t="n">
        <v>3237</v>
      </c>
      <c r="BE77" s="32" t="n">
        <v>3434</v>
      </c>
      <c r="BF77" s="32" t="n">
        <v>3388</v>
      </c>
      <c r="BG77" s="32" t="n">
        <v>3420</v>
      </c>
      <c r="BH77" s="32" t="n">
        <v>3336</v>
      </c>
      <c r="BI77" s="32" t="n">
        <v>3280</v>
      </c>
      <c r="BJ77" s="32" t="n">
        <v>3374</v>
      </c>
      <c r="BK77" s="32" t="n">
        <v>3424</v>
      </c>
      <c r="BL77" s="33" t="n">
        <v>3394</v>
      </c>
    </row>
    <row r="78" ht="15.95" customHeight="1" s="574">
      <c r="A78" s="68" t="inlineStr">
        <is>
          <t>6954</t>
        </is>
      </c>
      <c r="B78" s="28" t="inlineStr">
        <is>
          <t>ファナック</t>
        </is>
      </c>
      <c r="C78" s="665">
        <f>_xll.RssMarket("6954","高値")</f>
        <v/>
      </c>
      <c r="D78" s="666">
        <f>C78-E78</f>
        <v/>
      </c>
      <c r="E78" s="32" t="n">
        <v>8164</v>
      </c>
      <c r="F78" s="32" t="n">
        <v>7702</v>
      </c>
      <c r="G78" s="32" t="n">
        <v>7704</v>
      </c>
      <c r="H78" s="32" t="n">
        <v>7515</v>
      </c>
      <c r="I78" s="32" t="n">
        <v>7490</v>
      </c>
      <c r="J78" s="32" t="n">
        <v>7353</v>
      </c>
      <c r="K78" s="32" t="n">
        <v>7122</v>
      </c>
      <c r="L78" s="32" t="n">
        <v>6778</v>
      </c>
      <c r="M78" s="32" t="n">
        <v>6997</v>
      </c>
      <c r="N78" s="32" t="n">
        <v>7248</v>
      </c>
      <c r="O78" s="32" t="n">
        <v>7690</v>
      </c>
      <c r="P78" s="32" t="n">
        <v>7922</v>
      </c>
      <c r="Q78" s="32" t="n">
        <v>8080</v>
      </c>
      <c r="R78" s="32" t="n">
        <v>8010</v>
      </c>
      <c r="S78" s="32" t="n">
        <v>8149</v>
      </c>
      <c r="T78" s="32" t="n">
        <v>8100</v>
      </c>
      <c r="U78" s="32" t="n">
        <v>8703</v>
      </c>
      <c r="V78" s="32" t="n">
        <v>8562</v>
      </c>
      <c r="W78" s="32" t="n">
        <v>8278</v>
      </c>
      <c r="X78" s="32" t="n">
        <v>7741</v>
      </c>
      <c r="Y78" s="32" t="n">
        <v>7650</v>
      </c>
      <c r="Z78" s="32" t="n">
        <v>8015</v>
      </c>
      <c r="AA78" s="32" t="n">
        <v>8439</v>
      </c>
      <c r="AB78" s="32" t="n">
        <v>8720</v>
      </c>
      <c r="AC78" s="32" t="n">
        <v>8880</v>
      </c>
      <c r="AD78" s="32" t="n">
        <v>7680</v>
      </c>
      <c r="AE78" s="32" t="n">
        <v>7852</v>
      </c>
      <c r="AF78" s="32" t="n">
        <v>7639</v>
      </c>
      <c r="AG78" s="32" t="n">
        <v>7654</v>
      </c>
      <c r="AH78" s="32" t="n">
        <v>7300</v>
      </c>
      <c r="AI78" s="32" t="n">
        <v>6918</v>
      </c>
      <c r="AJ78" s="32" t="n">
        <v>6957</v>
      </c>
      <c r="AK78" s="32" t="n">
        <v>7270</v>
      </c>
      <c r="AL78" s="32" t="n">
        <v>7256</v>
      </c>
      <c r="AM78" s="32" t="n">
        <v>6367</v>
      </c>
      <c r="AN78" s="32" t="n">
        <v>6467</v>
      </c>
      <c r="AO78" s="32" t="n">
        <v>6552</v>
      </c>
      <c r="AP78" s="32" t="n">
        <v>6575</v>
      </c>
      <c r="AQ78" s="32" t="n">
        <v>6564</v>
      </c>
      <c r="AR78" s="32" t="n">
        <v>6331</v>
      </c>
      <c r="AS78" s="32" t="n">
        <v>6364</v>
      </c>
      <c r="AT78" s="32" t="n">
        <v>6280</v>
      </c>
      <c r="AU78" s="32" t="n">
        <v>6301</v>
      </c>
      <c r="AV78" s="32" t="n">
        <v>6271</v>
      </c>
      <c r="AW78" s="32" t="n">
        <v>6303</v>
      </c>
      <c r="AX78" s="32" t="n">
        <v>6029</v>
      </c>
      <c r="AY78" s="32" t="n">
        <v>5924</v>
      </c>
      <c r="AZ78" s="32" t="n">
        <v>5525</v>
      </c>
      <c r="BA78" s="32" t="n">
        <v>5576</v>
      </c>
      <c r="BB78" s="32" t="n">
        <v>5571</v>
      </c>
      <c r="BC78" s="32" t="n">
        <v>5802</v>
      </c>
      <c r="BD78" s="32" t="n">
        <v>5732</v>
      </c>
      <c r="BE78" s="32" t="n">
        <v>5493</v>
      </c>
      <c r="BF78" s="32" t="n">
        <v>5486</v>
      </c>
      <c r="BG78" s="32" t="n">
        <v>5788</v>
      </c>
      <c r="BH78" s="32" t="n">
        <v>5961</v>
      </c>
      <c r="BI78" s="32" t="n">
        <v>5993</v>
      </c>
      <c r="BJ78" s="32" t="n">
        <v>5854</v>
      </c>
      <c r="BK78" s="32" t="n">
        <v>5694</v>
      </c>
      <c r="BL78" s="33" t="n">
        <v>6005</v>
      </c>
    </row>
    <row r="79" ht="15.95" customHeight="1" s="574">
      <c r="A79" s="68" t="inlineStr">
        <is>
          <t>6479</t>
        </is>
      </c>
      <c r="B79" s="28" t="inlineStr">
        <is>
          <t>ミネベアミツミ</t>
        </is>
      </c>
      <c r="C79" s="665">
        <f>_xll.RssMarket("6479","高値")</f>
        <v/>
      </c>
      <c r="D79" s="666">
        <f>C79-E79</f>
        <v/>
      </c>
      <c r="E79" s="32" t="n">
        <v>5132</v>
      </c>
      <c r="F79" s="32" t="n">
        <v>4726</v>
      </c>
      <c r="G79" s="32" t="n">
        <v>4745</v>
      </c>
      <c r="H79" s="32" t="n">
        <v>4720</v>
      </c>
      <c r="I79" s="32" t="n">
        <v>4723</v>
      </c>
      <c r="J79" s="32" t="n">
        <v>4532</v>
      </c>
      <c r="K79" s="32" t="n">
        <v>4477</v>
      </c>
      <c r="L79" s="32" t="n">
        <v>4338</v>
      </c>
      <c r="M79" s="32" t="n">
        <v>4640</v>
      </c>
      <c r="N79" s="32" t="n">
        <v>4733</v>
      </c>
      <c r="O79" s="32" t="n">
        <v>5088</v>
      </c>
      <c r="P79" s="32" t="n">
        <v>5005</v>
      </c>
      <c r="Q79" s="32" t="n">
        <v>4967</v>
      </c>
      <c r="R79" s="32" t="n">
        <v>4740</v>
      </c>
      <c r="S79" s="32" t="n">
        <v>4617</v>
      </c>
      <c r="T79" s="32" t="n">
        <v>4328</v>
      </c>
      <c r="U79" s="32" t="n">
        <v>4393</v>
      </c>
      <c r="V79" s="32" t="n">
        <v>4246</v>
      </c>
      <c r="W79" s="32" t="n">
        <v>4057</v>
      </c>
      <c r="X79" s="32" t="n">
        <v>3944</v>
      </c>
      <c r="Y79" s="32" t="n">
        <v>3898</v>
      </c>
      <c r="Z79" s="32" t="n">
        <v>3882</v>
      </c>
      <c r="AA79" s="32" t="n">
        <v>3990</v>
      </c>
      <c r="AB79" s="32" t="n">
        <v>4087</v>
      </c>
      <c r="AC79" s="32" t="n">
        <v>4088</v>
      </c>
      <c r="AD79" s="32" t="n">
        <v>3915</v>
      </c>
      <c r="AE79" s="32" t="n">
        <v>3604</v>
      </c>
      <c r="AF79" s="32" t="n">
        <v>3458</v>
      </c>
      <c r="AG79" s="32" t="n">
        <v>3384</v>
      </c>
      <c r="AH79" s="32" t="n">
        <v>3319</v>
      </c>
      <c r="AI79" s="32" t="n">
        <v>3152</v>
      </c>
      <c r="AJ79" s="32" t="n">
        <v>3150</v>
      </c>
      <c r="AK79" s="32" t="n">
        <v>3124</v>
      </c>
      <c r="AL79" s="32" t="n">
        <v>3150</v>
      </c>
      <c r="AM79" s="32" t="n">
        <v>3100</v>
      </c>
      <c r="AN79" s="32" t="n">
        <v>3130</v>
      </c>
      <c r="AO79" s="32" t="n">
        <v>3149</v>
      </c>
      <c r="AP79" s="32" t="n">
        <v>3135</v>
      </c>
      <c r="AQ79" s="32" t="n">
        <v>3120</v>
      </c>
      <c r="AR79" s="32" t="n">
        <v>3009</v>
      </c>
      <c r="AS79" s="32" t="n">
        <v>3033</v>
      </c>
      <c r="AT79" s="32" t="n">
        <v>2898.5</v>
      </c>
      <c r="AU79" s="32" t="n">
        <v>2918.5</v>
      </c>
      <c r="AV79" s="32" t="n">
        <v>2905.5</v>
      </c>
      <c r="AW79" s="32" t="n">
        <v>2883</v>
      </c>
      <c r="AX79" s="32" t="n">
        <v>2784.5</v>
      </c>
      <c r="AY79" s="32" t="n">
        <v>2797</v>
      </c>
      <c r="AZ79" s="32" t="n">
        <v>2647.5</v>
      </c>
      <c r="BA79" s="32" t="n">
        <v>2633.5</v>
      </c>
      <c r="BB79" s="32" t="n">
        <v>2631.5</v>
      </c>
      <c r="BC79" s="32" t="n">
        <v>2714.5</v>
      </c>
      <c r="BD79" s="32" t="n">
        <v>2685</v>
      </c>
      <c r="BE79" s="32" t="n">
        <v>2618.5</v>
      </c>
      <c r="BF79" s="32" t="n">
        <v>2615.5</v>
      </c>
      <c r="BG79" s="32" t="n">
        <v>2727</v>
      </c>
      <c r="BH79" s="32" t="n">
        <v>2773.5</v>
      </c>
      <c r="BI79" s="32" t="n">
        <v>2732</v>
      </c>
      <c r="BJ79" s="32" t="n">
        <v>2660.5</v>
      </c>
      <c r="BK79" s="32" t="n">
        <v>2578</v>
      </c>
      <c r="BL79" s="33" t="n">
        <v>2740</v>
      </c>
    </row>
    <row r="80" ht="15.95" customHeight="1" s="574">
      <c r="A80" s="68" t="inlineStr">
        <is>
          <t>1833</t>
        </is>
      </c>
      <c r="B80" s="28" t="inlineStr">
        <is>
          <t>奥村組</t>
        </is>
      </c>
      <c r="C80" s="665">
        <f>_xll.RssMarket("1833","高値")</f>
        <v/>
      </c>
      <c r="D80" s="666">
        <f>C80-E80</f>
        <v/>
      </c>
      <c r="E80" s="32" t="n">
        <v>5720</v>
      </c>
      <c r="F80" s="32" t="n">
        <v>5850</v>
      </c>
      <c r="G80" s="32" t="n">
        <v>5790</v>
      </c>
      <c r="H80" s="32" t="n">
        <v>5870</v>
      </c>
      <c r="I80" s="32" t="n">
        <v>5700</v>
      </c>
      <c r="J80" s="32" t="n">
        <v>5590</v>
      </c>
      <c r="K80" s="32" t="n">
        <v>5580</v>
      </c>
      <c r="L80" s="32" t="n">
        <v>5560</v>
      </c>
      <c r="M80" s="32" t="n">
        <v>5630</v>
      </c>
      <c r="N80" s="32" t="n">
        <v>5560</v>
      </c>
      <c r="O80" s="32" t="n">
        <v>5600</v>
      </c>
      <c r="P80" s="32" t="n">
        <v>5570</v>
      </c>
      <c r="Q80" s="32" t="n">
        <v>5630</v>
      </c>
      <c r="R80" s="32" t="n">
        <v>5660</v>
      </c>
      <c r="S80" s="32" t="n">
        <v>5620</v>
      </c>
      <c r="T80" s="32" t="n">
        <v>5610</v>
      </c>
      <c r="U80" s="32" t="n">
        <v>5700</v>
      </c>
      <c r="V80" s="32" t="n">
        <v>5730</v>
      </c>
      <c r="W80" s="32" t="n">
        <v>5820</v>
      </c>
      <c r="X80" s="32" t="n">
        <v>5790</v>
      </c>
      <c r="Y80" s="32" t="n">
        <v>6070</v>
      </c>
      <c r="Z80" s="32" t="n">
        <v>6160</v>
      </c>
      <c r="AA80" s="32" t="n">
        <v>6340</v>
      </c>
      <c r="AB80" s="32" t="n">
        <v>6400</v>
      </c>
      <c r="AC80" s="32" t="n">
        <v>6280</v>
      </c>
      <c r="AD80" s="32" t="n">
        <v>6180</v>
      </c>
      <c r="AE80" s="32" t="n">
        <v>6290</v>
      </c>
      <c r="AF80" s="32" t="n">
        <v>6180</v>
      </c>
      <c r="AG80" s="32" t="n">
        <v>6160</v>
      </c>
      <c r="AH80" s="32" t="n">
        <v>6140</v>
      </c>
      <c r="AI80" s="32" t="n">
        <v>6010</v>
      </c>
      <c r="AJ80" s="32" t="n">
        <v>6150</v>
      </c>
      <c r="AK80" s="32" t="n">
        <v>6090</v>
      </c>
      <c r="AL80" s="32" t="n">
        <v>6090</v>
      </c>
      <c r="AM80" s="32" t="n">
        <v>6150</v>
      </c>
      <c r="AN80" s="32" t="n">
        <v>6170</v>
      </c>
      <c r="AO80" s="32" t="n">
        <v>6210</v>
      </c>
      <c r="AP80" s="32" t="n">
        <v>6270</v>
      </c>
      <c r="AQ80" s="32" t="n">
        <v>6340</v>
      </c>
      <c r="AR80" s="32" t="n">
        <v>6290</v>
      </c>
      <c r="AS80" s="32" t="n">
        <v>6360</v>
      </c>
      <c r="AT80" s="32" t="n">
        <v>6440</v>
      </c>
      <c r="AU80" s="32" t="n">
        <v>6550</v>
      </c>
      <c r="AV80" s="32" t="n">
        <v>6540</v>
      </c>
      <c r="AW80" s="32" t="n">
        <v>6420</v>
      </c>
      <c r="AX80" s="32" t="n">
        <v>6470</v>
      </c>
      <c r="AY80" s="32" t="n">
        <v>6530</v>
      </c>
      <c r="AZ80" s="32" t="n">
        <v>6640</v>
      </c>
      <c r="BA80" s="32" t="n">
        <v>6560</v>
      </c>
      <c r="BB80" s="32" t="n">
        <v>6390</v>
      </c>
      <c r="BC80" s="32" t="n">
        <v>6360</v>
      </c>
      <c r="BD80" s="32" t="n">
        <v>6570</v>
      </c>
      <c r="BE80" s="32" t="n">
        <v>6680</v>
      </c>
      <c r="BF80" s="32" t="n">
        <v>6700</v>
      </c>
      <c r="BG80" s="32" t="n">
        <v>6510</v>
      </c>
      <c r="BH80" s="32" t="n">
        <v>6410</v>
      </c>
      <c r="BI80" s="32" t="n">
        <v>6660</v>
      </c>
      <c r="BJ80" s="32" t="n">
        <v>6750</v>
      </c>
      <c r="BK80" s="32" t="n">
        <v>6630</v>
      </c>
      <c r="BL80" s="33" t="n">
        <v>6580</v>
      </c>
    </row>
    <row r="81" ht="15.95" customHeight="1" s="574">
      <c r="A81" s="68" t="inlineStr">
        <is>
          <t>6841</t>
        </is>
      </c>
      <c r="B81" s="28" t="inlineStr">
        <is>
          <t>横河電機</t>
        </is>
      </c>
      <c r="C81" s="665">
        <f>_xll.RssMarket("6841","高値")</f>
        <v/>
      </c>
      <c r="D81" s="666">
        <f>C81-E81</f>
        <v/>
      </c>
      <c r="E81" s="32" t="n">
        <v>5740</v>
      </c>
      <c r="F81" s="32" t="n">
        <v>5481</v>
      </c>
      <c r="G81" s="32" t="n">
        <v>5503</v>
      </c>
      <c r="H81" s="32" t="n">
        <v>5413</v>
      </c>
      <c r="I81" s="32" t="n">
        <v>5271</v>
      </c>
      <c r="J81" s="32" t="n">
        <v>5195</v>
      </c>
      <c r="K81" s="32" t="n">
        <v>5191</v>
      </c>
      <c r="L81" s="32" t="n">
        <v>4809</v>
      </c>
      <c r="M81" s="32" t="n">
        <v>4930</v>
      </c>
      <c r="N81" s="32" t="n">
        <v>5129</v>
      </c>
      <c r="O81" s="32" t="n">
        <v>5347</v>
      </c>
      <c r="P81" s="32" t="n">
        <v>5388</v>
      </c>
      <c r="Q81" s="32" t="n">
        <v>5412</v>
      </c>
      <c r="R81" s="32" t="n">
        <v>5174</v>
      </c>
      <c r="S81" s="32" t="n">
        <v>5052</v>
      </c>
      <c r="T81" s="32" t="n">
        <v>4939</v>
      </c>
      <c r="U81" s="32" t="n">
        <v>4980</v>
      </c>
      <c r="V81" s="32" t="n">
        <v>5045</v>
      </c>
      <c r="W81" s="32" t="n">
        <v>4907</v>
      </c>
      <c r="X81" s="32" t="n">
        <v>4841</v>
      </c>
      <c r="Y81" s="32" t="n">
        <v>4746</v>
      </c>
      <c r="Z81" s="32" t="n">
        <v>4936</v>
      </c>
      <c r="AA81" s="32" t="n">
        <v>5000</v>
      </c>
      <c r="AB81" s="32" t="n">
        <v>5174</v>
      </c>
      <c r="AC81" s="32" t="n">
        <v>5403</v>
      </c>
      <c r="AD81" s="32" t="n">
        <v>5283</v>
      </c>
      <c r="AE81" s="32" t="n">
        <v>5339</v>
      </c>
      <c r="AF81" s="32" t="n">
        <v>5371</v>
      </c>
      <c r="AG81" s="32" t="n">
        <v>5446</v>
      </c>
      <c r="AH81" s="32" t="n">
        <v>5796</v>
      </c>
      <c r="AI81" s="32" t="n">
        <v>5500</v>
      </c>
      <c r="AJ81" s="32" t="n">
        <v>5508</v>
      </c>
      <c r="AK81" s="32" t="n">
        <v>5493</v>
      </c>
      <c r="AL81" s="32" t="n">
        <v>5507</v>
      </c>
      <c r="AM81" s="32" t="n">
        <v>5332</v>
      </c>
      <c r="AN81" s="32" t="n">
        <v>5432</v>
      </c>
      <c r="AO81" s="32" t="n">
        <v>5578</v>
      </c>
      <c r="AP81" s="32" t="n">
        <v>5669</v>
      </c>
      <c r="AQ81" s="32" t="n">
        <v>5518</v>
      </c>
      <c r="AR81" s="32" t="n">
        <v>5518</v>
      </c>
      <c r="AS81" s="32" t="n">
        <v>5469</v>
      </c>
      <c r="AT81" s="32" t="n">
        <v>5622</v>
      </c>
      <c r="AU81" s="32" t="n">
        <v>5726</v>
      </c>
      <c r="AV81" s="32" t="n">
        <v>5635</v>
      </c>
      <c r="AW81" s="32" t="n">
        <v>5697</v>
      </c>
      <c r="AX81" s="32" t="n">
        <v>5698</v>
      </c>
      <c r="AY81" s="32" t="n">
        <v>5434</v>
      </c>
      <c r="AZ81" s="32" t="n">
        <v>5025</v>
      </c>
      <c r="BA81" s="32" t="n">
        <v>5001</v>
      </c>
      <c r="BB81" s="32" t="n">
        <v>5045</v>
      </c>
      <c r="BC81" s="32" t="n">
        <v>5160</v>
      </c>
      <c r="BD81" s="32" t="n">
        <v>5054</v>
      </c>
      <c r="BE81" s="32" t="n">
        <v>4921</v>
      </c>
      <c r="BF81" s="32" t="n">
        <v>4864</v>
      </c>
      <c r="BG81" s="32" t="n">
        <v>5097</v>
      </c>
      <c r="BH81" s="32" t="n">
        <v>5230</v>
      </c>
      <c r="BI81" s="32" t="n">
        <v>5183</v>
      </c>
      <c r="BJ81" s="32" t="n">
        <v>5054</v>
      </c>
      <c r="BK81" s="32" t="n">
        <v>5008</v>
      </c>
      <c r="BL81" s="33" t="n">
        <v>5566</v>
      </c>
    </row>
    <row r="82" ht="15.95" customHeight="1" s="574">
      <c r="A82" s="68" t="inlineStr">
        <is>
          <t>7167</t>
        </is>
      </c>
      <c r="B82" s="28" t="inlineStr">
        <is>
          <t>めぶきフィナンシャルＧ</t>
        </is>
      </c>
      <c r="C82" s="665">
        <f>_xll.RssMarket("7167","高値")</f>
        <v/>
      </c>
      <c r="D82" s="666">
        <f>C82-E82</f>
        <v/>
      </c>
      <c r="E82" s="32" t="n">
        <v>1435.5</v>
      </c>
      <c r="F82" s="32" t="n">
        <v>1444.5</v>
      </c>
      <c r="G82" s="32" t="n">
        <v>1439.5</v>
      </c>
      <c r="H82" s="32" t="n">
        <v>1446.5</v>
      </c>
      <c r="I82" s="32" t="n">
        <v>1417</v>
      </c>
      <c r="J82" s="32" t="n">
        <v>1456.5</v>
      </c>
      <c r="K82" s="32" t="n">
        <v>1423</v>
      </c>
      <c r="L82" s="32" t="n">
        <v>1380</v>
      </c>
      <c r="M82" s="32" t="n">
        <v>1423.5</v>
      </c>
      <c r="N82" s="32" t="n">
        <v>1357</v>
      </c>
      <c r="O82" s="32" t="n">
        <v>1376</v>
      </c>
      <c r="P82" s="32" t="n">
        <v>1359</v>
      </c>
      <c r="Q82" s="32" t="n">
        <v>1343.5</v>
      </c>
      <c r="R82" s="32" t="n">
        <v>1325.5</v>
      </c>
      <c r="S82" s="32" t="n">
        <v>1369.5</v>
      </c>
      <c r="T82" s="32" t="n">
        <v>1374</v>
      </c>
      <c r="U82" s="32" t="n">
        <v>1386.5</v>
      </c>
      <c r="V82" s="32" t="n">
        <v>1406.5</v>
      </c>
      <c r="W82" s="32" t="n">
        <v>1429</v>
      </c>
      <c r="X82" s="32" t="n">
        <v>1433.5</v>
      </c>
      <c r="Y82" s="32" t="n">
        <v>1406</v>
      </c>
      <c r="Z82" s="32" t="n">
        <v>1393.5</v>
      </c>
      <c r="AA82" s="32" t="n">
        <v>1390</v>
      </c>
      <c r="AB82" s="32" t="n">
        <v>1403</v>
      </c>
      <c r="AC82" s="32" t="n">
        <v>1386</v>
      </c>
      <c r="AD82" s="32" t="n">
        <v>1399.5</v>
      </c>
      <c r="AE82" s="32" t="n">
        <v>1369</v>
      </c>
      <c r="AF82" s="32" t="n">
        <v>1341.5</v>
      </c>
      <c r="AG82" s="32" t="n">
        <v>1326.5</v>
      </c>
      <c r="AH82" s="32" t="n">
        <v>1361</v>
      </c>
      <c r="AI82" s="32" t="n">
        <v>1309</v>
      </c>
      <c r="AJ82" s="32" t="n">
        <v>1300</v>
      </c>
      <c r="AK82" s="32" t="n">
        <v>1319.5</v>
      </c>
      <c r="AL82" s="32" t="n">
        <v>1238.5</v>
      </c>
      <c r="AM82" s="32" t="n">
        <v>1235.5</v>
      </c>
      <c r="AN82" s="32" t="n">
        <v>1241.5</v>
      </c>
      <c r="AO82" s="32" t="n">
        <v>1284.5</v>
      </c>
      <c r="AP82" s="32" t="n">
        <v>1321</v>
      </c>
      <c r="AQ82" s="32" t="n">
        <v>1357</v>
      </c>
      <c r="AR82" s="32" t="n">
        <v>1363.5</v>
      </c>
      <c r="AS82" s="32" t="n">
        <v>1370.5</v>
      </c>
      <c r="AT82" s="32" t="n">
        <v>1376.5</v>
      </c>
      <c r="AU82" s="32" t="n">
        <v>1353</v>
      </c>
      <c r="AV82" s="32" t="n">
        <v>1360.5</v>
      </c>
      <c r="AW82" s="32" t="n">
        <v>1381</v>
      </c>
      <c r="AX82" s="32" t="n">
        <v>1363.5</v>
      </c>
      <c r="AY82" s="32" t="n">
        <v>1399</v>
      </c>
      <c r="AZ82" s="32" t="n">
        <v>1326</v>
      </c>
      <c r="BA82" s="32" t="n">
        <v>1306.5</v>
      </c>
      <c r="BB82" s="32" t="n">
        <v>1299</v>
      </c>
      <c r="BC82" s="32" t="n">
        <v>1340</v>
      </c>
      <c r="BD82" s="32" t="n">
        <v>1308</v>
      </c>
      <c r="BE82" s="32" t="n">
        <v>1234.5</v>
      </c>
      <c r="BF82" s="32" t="n">
        <v>1223.5</v>
      </c>
      <c r="BG82" s="32" t="n">
        <v>1268</v>
      </c>
      <c r="BH82" s="32" t="n">
        <v>1257</v>
      </c>
      <c r="BI82" s="32" t="n">
        <v>1255.5</v>
      </c>
      <c r="BJ82" s="32" t="n">
        <v>1225</v>
      </c>
      <c r="BK82" s="32" t="n">
        <v>1169</v>
      </c>
      <c r="BL82" s="33" t="n">
        <v>1214</v>
      </c>
    </row>
    <row r="83" ht="15.95" customHeight="1" s="574">
      <c r="A83" s="68" t="inlineStr">
        <is>
          <t>1925</t>
        </is>
      </c>
      <c r="B83" s="28" t="inlineStr">
        <is>
          <t>大和ハウス</t>
        </is>
      </c>
      <c r="C83" s="665">
        <f>_xll.RssMarket("1925","高値")</f>
        <v/>
      </c>
      <c r="D83" s="666">
        <f>C83-E83</f>
        <v/>
      </c>
      <c r="E83" s="32" t="n">
        <v>4309</v>
      </c>
      <c r="F83" s="32" t="n">
        <v>4378</v>
      </c>
      <c r="G83" s="32" t="n">
        <v>4380</v>
      </c>
      <c r="H83" s="32" t="n">
        <v>4435</v>
      </c>
      <c r="I83" s="32" t="n">
        <v>4373</v>
      </c>
      <c r="J83" s="32" t="n">
        <v>4422</v>
      </c>
      <c r="K83" s="32" t="n">
        <v>4345</v>
      </c>
      <c r="L83" s="32" t="n">
        <v>4374</v>
      </c>
      <c r="M83" s="32" t="n">
        <v>4381</v>
      </c>
      <c r="N83" s="32" t="n">
        <v>4262</v>
      </c>
      <c r="O83" s="32" t="n">
        <v>4270</v>
      </c>
      <c r="P83" s="32" t="n">
        <v>4276</v>
      </c>
      <c r="Q83" s="32" t="n">
        <v>4287</v>
      </c>
      <c r="R83" s="32" t="n">
        <v>4194</v>
      </c>
      <c r="S83" s="32" t="n">
        <v>4421</v>
      </c>
      <c r="T83" s="32" t="n">
        <v>4429</v>
      </c>
      <c r="U83" s="32" t="n">
        <v>4434</v>
      </c>
      <c r="V83" s="32" t="n">
        <v>4489</v>
      </c>
      <c r="W83" s="32" t="n">
        <v>4472</v>
      </c>
      <c r="X83" s="32" t="n">
        <v>4548</v>
      </c>
      <c r="Y83" s="32" t="n">
        <v>4582</v>
      </c>
      <c r="Z83" s="32" t="n">
        <v>4576</v>
      </c>
      <c r="AA83" s="32" t="n">
        <v>4551</v>
      </c>
      <c r="AB83" s="32" t="n">
        <v>4570</v>
      </c>
      <c r="AC83" s="32" t="n">
        <v>4693</v>
      </c>
      <c r="AD83" s="32" t="n">
        <v>4831</v>
      </c>
      <c r="AE83" s="32" t="n">
        <v>4809</v>
      </c>
      <c r="AF83" s="32" t="n">
        <v>4800</v>
      </c>
      <c r="AG83" s="32" t="n">
        <v>4835</v>
      </c>
      <c r="AH83" s="32" t="n">
        <v>4825</v>
      </c>
      <c r="AI83" s="32" t="n">
        <v>4795</v>
      </c>
      <c r="AJ83" s="32" t="n">
        <v>4828</v>
      </c>
      <c r="AK83" s="32" t="n">
        <v>4884</v>
      </c>
      <c r="AL83" s="32" t="n">
        <v>4799</v>
      </c>
      <c r="AM83" s="32" t="n">
        <v>4823</v>
      </c>
      <c r="AN83" s="32" t="n">
        <v>4851</v>
      </c>
      <c r="AO83" s="32" t="n">
        <v>4899</v>
      </c>
      <c r="AP83" s="32" t="n">
        <v>4929</v>
      </c>
      <c r="AQ83" s="32" t="n">
        <v>4914</v>
      </c>
      <c r="AR83" s="32" t="n">
        <v>4916</v>
      </c>
      <c r="AS83" s="32" t="n">
        <v>4949</v>
      </c>
      <c r="AT83" s="32" t="n">
        <v>4939</v>
      </c>
      <c r="AU83" s="32" t="n">
        <v>4938</v>
      </c>
      <c r="AV83" s="32" t="n">
        <v>4973</v>
      </c>
      <c r="AW83" s="32" t="n">
        <v>5009</v>
      </c>
      <c r="AX83" s="32" t="n">
        <v>5098</v>
      </c>
      <c r="AY83" s="32" t="n">
        <v>5070</v>
      </c>
      <c r="AZ83" s="32" t="n">
        <v>5022</v>
      </c>
      <c r="BA83" s="32" t="n">
        <v>5042</v>
      </c>
      <c r="BB83" s="32" t="n">
        <v>5038</v>
      </c>
      <c r="BC83" s="32" t="n">
        <v>5069</v>
      </c>
      <c r="BD83" s="32" t="n">
        <v>5002</v>
      </c>
      <c r="BE83" s="32" t="n">
        <v>4977</v>
      </c>
      <c r="BF83" s="32" t="n">
        <v>4974</v>
      </c>
      <c r="BG83" s="32" t="n">
        <v>5073</v>
      </c>
      <c r="BH83" s="32" t="n">
        <v>5086</v>
      </c>
      <c r="BI83" s="32" t="n">
        <v>5185</v>
      </c>
      <c r="BJ83" s="32" t="n">
        <v>5105</v>
      </c>
      <c r="BK83" s="32" t="n">
        <v>5136</v>
      </c>
      <c r="BL83" s="33" t="n">
        <v>5245</v>
      </c>
    </row>
    <row r="84" ht="15.95" customHeight="1" s="574">
      <c r="A84" s="68" t="inlineStr">
        <is>
          <t>5411</t>
        </is>
      </c>
      <c r="B84" s="28" t="inlineStr">
        <is>
          <t>ＪＦＥホールディングス</t>
        </is>
      </c>
      <c r="C84" s="665">
        <f>_xll.RssMarket("5411","高値")</f>
        <v/>
      </c>
      <c r="D84" s="666">
        <f>C84-E84</f>
        <v/>
      </c>
      <c r="E84" s="32" t="n">
        <v>1617</v>
      </c>
      <c r="F84" s="32" t="n">
        <v>1642</v>
      </c>
      <c r="G84" s="32" t="n">
        <v>1658.5</v>
      </c>
      <c r="H84" s="32" t="n">
        <v>1653</v>
      </c>
      <c r="I84" s="32" t="n">
        <v>1659</v>
      </c>
      <c r="J84" s="32" t="n">
        <v>1653.5</v>
      </c>
      <c r="K84" s="32" t="n">
        <v>1622.5</v>
      </c>
      <c r="L84" s="32" t="n">
        <v>1577.5</v>
      </c>
      <c r="M84" s="32" t="n">
        <v>1587</v>
      </c>
      <c r="N84" s="32" t="n">
        <v>1623</v>
      </c>
      <c r="O84" s="32" t="n">
        <v>1620</v>
      </c>
      <c r="P84" s="32" t="n">
        <v>1610</v>
      </c>
      <c r="Q84" s="32" t="n">
        <v>1612</v>
      </c>
      <c r="R84" s="32" t="n">
        <v>1618</v>
      </c>
      <c r="S84" s="32" t="n">
        <v>1723.5</v>
      </c>
      <c r="T84" s="32" t="n">
        <v>1687</v>
      </c>
      <c r="U84" s="32" t="n">
        <v>1686</v>
      </c>
      <c r="V84" s="32" t="n">
        <v>1654</v>
      </c>
      <c r="W84" s="32" t="n">
        <v>1661.5</v>
      </c>
      <c r="X84" s="32" t="n">
        <v>1664.5</v>
      </c>
      <c r="Y84" s="32" t="n">
        <v>1672.5</v>
      </c>
      <c r="Z84" s="32" t="n">
        <v>1684</v>
      </c>
      <c r="AA84" s="32" t="n">
        <v>1674.5</v>
      </c>
      <c r="AB84" s="32" t="n">
        <v>1707.5</v>
      </c>
      <c r="AC84" s="32" t="n">
        <v>1724.5</v>
      </c>
      <c r="AD84" s="32" t="n">
        <v>1731</v>
      </c>
      <c r="AE84" s="32" t="n">
        <v>1705.5</v>
      </c>
      <c r="AF84" s="32" t="n">
        <v>1747</v>
      </c>
      <c r="AG84" s="32" t="n">
        <v>1814.5</v>
      </c>
      <c r="AH84" s="32" t="n">
        <v>1747</v>
      </c>
      <c r="AI84" s="32" t="n">
        <v>1723.5</v>
      </c>
      <c r="AJ84" s="32" t="n">
        <v>1718.5</v>
      </c>
      <c r="AK84" s="32" t="n">
        <v>1700.5</v>
      </c>
      <c r="AL84" s="32" t="n">
        <v>1691.5</v>
      </c>
      <c r="AM84" s="32" t="n">
        <v>1707</v>
      </c>
      <c r="AN84" s="32" t="n">
        <v>1731</v>
      </c>
      <c r="AO84" s="32" t="n">
        <v>1746</v>
      </c>
      <c r="AP84" s="32" t="n">
        <v>1767</v>
      </c>
      <c r="AQ84" s="32" t="n">
        <v>1807.5</v>
      </c>
      <c r="AR84" s="32" t="n">
        <v>1824</v>
      </c>
      <c r="AS84" s="32" t="n">
        <v>1830</v>
      </c>
      <c r="AT84" s="32" t="n">
        <v>1838.5</v>
      </c>
      <c r="AU84" s="32" t="n">
        <v>1859.5</v>
      </c>
      <c r="AV84" s="32" t="n">
        <v>1867.5</v>
      </c>
      <c r="AW84" s="32" t="n">
        <v>1877.5</v>
      </c>
      <c r="AX84" s="32" t="n">
        <v>1890</v>
      </c>
      <c r="AY84" s="32" t="n">
        <v>1894</v>
      </c>
      <c r="AZ84" s="32" t="n">
        <v>1844</v>
      </c>
      <c r="BA84" s="32" t="n">
        <v>1856.5</v>
      </c>
      <c r="BB84" s="32" t="n">
        <v>1863.5</v>
      </c>
      <c r="BC84" s="32" t="n">
        <v>1881</v>
      </c>
      <c r="BD84" s="32" t="n">
        <v>1873</v>
      </c>
      <c r="BE84" s="32" t="n">
        <v>1850.5</v>
      </c>
      <c r="BF84" s="32" t="n">
        <v>1830</v>
      </c>
      <c r="BG84" s="32" t="n">
        <v>1901</v>
      </c>
      <c r="BH84" s="32" t="n">
        <v>1907.5</v>
      </c>
      <c r="BI84" s="32" t="n">
        <v>1937.5</v>
      </c>
      <c r="BJ84" s="32" t="n">
        <v>1913</v>
      </c>
      <c r="BK84" s="32" t="n">
        <v>1879</v>
      </c>
      <c r="BL84" s="33" t="n">
        <v>1928.5</v>
      </c>
    </row>
    <row r="85" ht="15.95" customHeight="1" s="574">
      <c r="A85" s="68" t="inlineStr">
        <is>
          <t>7182</t>
        </is>
      </c>
      <c r="B85" s="28" t="inlineStr">
        <is>
          <t>ゆうちょ銀行</t>
        </is>
      </c>
      <c r="C85" s="665">
        <f>_xll.RssMarket("7182","高値")</f>
        <v/>
      </c>
      <c r="D85" s="666">
        <f>C85-E85</f>
        <v/>
      </c>
      <c r="E85" s="32" t="n">
        <v>3286</v>
      </c>
      <c r="F85" s="32" t="n">
        <v>3287</v>
      </c>
      <c r="G85" s="32" t="n">
        <v>3296</v>
      </c>
      <c r="H85" s="32" t="n">
        <v>3235</v>
      </c>
      <c r="I85" s="32" t="n">
        <v>3183</v>
      </c>
      <c r="J85" s="32" t="n">
        <v>3308</v>
      </c>
      <c r="K85" s="32" t="n">
        <v>3255</v>
      </c>
      <c r="L85" s="32" t="n">
        <v>3113</v>
      </c>
      <c r="M85" s="32" t="n">
        <v>3248</v>
      </c>
      <c r="N85" s="32" t="n">
        <v>3145</v>
      </c>
      <c r="O85" s="32" t="n">
        <v>3277</v>
      </c>
      <c r="P85" s="32" t="n">
        <v>3234</v>
      </c>
      <c r="Q85" s="32" t="n">
        <v>3175</v>
      </c>
      <c r="R85" s="32" t="n">
        <v>3066</v>
      </c>
      <c r="S85" s="32" t="n">
        <v>3072</v>
      </c>
      <c r="T85" s="32" t="n">
        <v>2977</v>
      </c>
      <c r="U85" s="32" t="n">
        <v>3033</v>
      </c>
      <c r="V85" s="32" t="n">
        <v>3137</v>
      </c>
      <c r="W85" s="32" t="n">
        <v>3200</v>
      </c>
      <c r="X85" s="32" t="n">
        <v>3208</v>
      </c>
      <c r="Y85" s="32" t="n">
        <v>3165</v>
      </c>
      <c r="Z85" s="32" t="n">
        <v>3060</v>
      </c>
      <c r="AA85" s="32" t="n">
        <v>2990</v>
      </c>
      <c r="AB85" s="32" t="n">
        <v>2861.5</v>
      </c>
      <c r="AC85" s="32" t="n">
        <v>2864</v>
      </c>
      <c r="AD85" s="32" t="n">
        <v>2876.5</v>
      </c>
      <c r="AE85" s="32" t="n">
        <v>2876</v>
      </c>
      <c r="AF85" s="32" t="n">
        <v>2797</v>
      </c>
      <c r="AG85" s="32" t="n">
        <v>2770</v>
      </c>
      <c r="AH85" s="32" t="n">
        <v>2823.5</v>
      </c>
      <c r="AI85" s="32" t="n">
        <v>2704.5</v>
      </c>
      <c r="AJ85" s="32" t="n">
        <v>2699</v>
      </c>
      <c r="AK85" s="32" t="n">
        <v>2696.5</v>
      </c>
      <c r="AL85" s="32" t="n">
        <v>2549.5</v>
      </c>
      <c r="AM85" s="32" t="n">
        <v>2535</v>
      </c>
      <c r="AN85" s="32" t="n">
        <v>2558.5</v>
      </c>
      <c r="AO85" s="32" t="n">
        <v>2611</v>
      </c>
      <c r="AP85" s="32" t="n">
        <v>2710</v>
      </c>
      <c r="AQ85" s="32" t="n">
        <v>2759</v>
      </c>
      <c r="AR85" s="32" t="n">
        <v>2798.5</v>
      </c>
      <c r="AS85" s="32" t="n">
        <v>2811</v>
      </c>
      <c r="AT85" s="32" t="n">
        <v>2787.5</v>
      </c>
      <c r="AU85" s="32" t="n">
        <v>2751</v>
      </c>
      <c r="AV85" s="32" t="n">
        <v>2749.5</v>
      </c>
      <c r="AW85" s="32" t="n">
        <v>2747</v>
      </c>
      <c r="AX85" s="32" t="n">
        <v>2816.5</v>
      </c>
      <c r="AY85" s="32" t="n">
        <v>2808.5</v>
      </c>
      <c r="AZ85" s="32" t="n">
        <v>2690.5</v>
      </c>
      <c r="BA85" s="32" t="n">
        <v>2698.5</v>
      </c>
      <c r="BB85" s="32" t="n">
        <v>2654</v>
      </c>
      <c r="BC85" s="32" t="n">
        <v>2752</v>
      </c>
      <c r="BD85" s="32" t="n">
        <v>2717</v>
      </c>
      <c r="BE85" s="32" t="n">
        <v>2559.5</v>
      </c>
      <c r="BF85" s="32" t="n">
        <v>2519</v>
      </c>
      <c r="BG85" s="32" t="n">
        <v>2653</v>
      </c>
      <c r="BH85" s="32" t="n">
        <v>2678</v>
      </c>
      <c r="BI85" s="32" t="n">
        <v>2678</v>
      </c>
      <c r="BJ85" s="32" t="n">
        <v>2585</v>
      </c>
      <c r="BK85" s="32" t="n">
        <v>2511</v>
      </c>
      <c r="BL85" s="33" t="n">
        <v>2632.5</v>
      </c>
    </row>
    <row r="86" ht="15.95" customHeight="1" s="574">
      <c r="A86" s="68" t="inlineStr">
        <is>
          <t>1963</t>
        </is>
      </c>
      <c r="B86" s="28" t="inlineStr">
        <is>
          <t>日揮ホールディングス</t>
        </is>
      </c>
      <c r="C86" s="665">
        <f>_xll.RssMarket("1963","高値")</f>
        <v/>
      </c>
      <c r="D86" s="666">
        <f>C86-E86</f>
        <v/>
      </c>
      <c r="E86" s="32" t="n">
        <v>2650.5</v>
      </c>
      <c r="F86" s="32" t="n">
        <v>2813.5</v>
      </c>
      <c r="G86" s="32" t="n">
        <v>2834</v>
      </c>
      <c r="H86" s="32" t="n">
        <v>2806.5</v>
      </c>
      <c r="I86" s="32" t="n">
        <v>2704.5</v>
      </c>
      <c r="J86" s="32" t="n">
        <v>2825</v>
      </c>
      <c r="K86" s="32" t="n">
        <v>2584</v>
      </c>
      <c r="L86" s="32" t="n">
        <v>2494</v>
      </c>
      <c r="M86" s="32" t="n">
        <v>2576</v>
      </c>
      <c r="N86" s="32" t="n">
        <v>2601.5</v>
      </c>
      <c r="O86" s="32" t="n">
        <v>2664</v>
      </c>
      <c r="P86" s="32" t="n">
        <v>2647</v>
      </c>
      <c r="Q86" s="32" t="n">
        <v>2683</v>
      </c>
      <c r="R86" s="32" t="n">
        <v>2654.5</v>
      </c>
      <c r="S86" s="32" t="n">
        <v>2753</v>
      </c>
      <c r="T86" s="32" t="n">
        <v>2858</v>
      </c>
      <c r="U86" s="32" t="n">
        <v>2873.5</v>
      </c>
      <c r="V86" s="32" t="n">
        <v>2927.5</v>
      </c>
      <c r="W86" s="32" t="n">
        <v>2832.5</v>
      </c>
      <c r="X86" s="32" t="n">
        <v>2745</v>
      </c>
      <c r="Y86" s="32" t="n">
        <v>2711.5</v>
      </c>
      <c r="Z86" s="32" t="n">
        <v>2655.5</v>
      </c>
      <c r="AA86" s="32" t="n">
        <v>2699</v>
      </c>
      <c r="AB86" s="32" t="n">
        <v>2809</v>
      </c>
      <c r="AC86" s="32" t="n">
        <v>2452</v>
      </c>
      <c r="AD86" s="32" t="n">
        <v>2472.5</v>
      </c>
      <c r="AE86" s="32" t="n">
        <v>2489.5</v>
      </c>
      <c r="AF86" s="32" t="n">
        <v>2555</v>
      </c>
      <c r="AG86" s="32" t="n">
        <v>2518</v>
      </c>
      <c r="AH86" s="32" t="n">
        <v>2484.5</v>
      </c>
      <c r="AI86" s="32" t="n">
        <v>2413</v>
      </c>
      <c r="AJ86" s="32" t="n">
        <v>2448</v>
      </c>
      <c r="AK86" s="32" t="n">
        <v>2468</v>
      </c>
      <c r="AL86" s="32" t="n">
        <v>2405</v>
      </c>
      <c r="AM86" s="32" t="n">
        <v>2410</v>
      </c>
      <c r="AN86" s="32" t="n">
        <v>2368</v>
      </c>
      <c r="AO86" s="32" t="n">
        <v>2372.5</v>
      </c>
      <c r="AP86" s="32" t="n">
        <v>2439</v>
      </c>
      <c r="AQ86" s="32" t="n">
        <v>2531.5</v>
      </c>
      <c r="AR86" s="32" t="n">
        <v>2557</v>
      </c>
      <c r="AS86" s="32" t="n">
        <v>2575.5</v>
      </c>
      <c r="AT86" s="32" t="n">
        <v>2692</v>
      </c>
      <c r="AU86" s="32" t="n">
        <v>2724</v>
      </c>
      <c r="AV86" s="32" t="n">
        <v>2807.5</v>
      </c>
      <c r="AW86" s="32" t="n">
        <v>2850</v>
      </c>
      <c r="AX86" s="32" t="n">
        <v>2862</v>
      </c>
      <c r="AY86" s="32" t="n">
        <v>2727</v>
      </c>
      <c r="AZ86" s="32" t="n">
        <v>2594</v>
      </c>
      <c r="BA86" s="32" t="n">
        <v>2583</v>
      </c>
      <c r="BB86" s="32" t="n">
        <v>2581</v>
      </c>
      <c r="BC86" s="32" t="n">
        <v>2607.5</v>
      </c>
      <c r="BD86" s="32" t="n">
        <v>2483.5</v>
      </c>
      <c r="BE86" s="32" t="n">
        <v>2356.5</v>
      </c>
      <c r="BF86" s="32" t="n">
        <v>2316</v>
      </c>
      <c r="BG86" s="32" t="n">
        <v>2213</v>
      </c>
      <c r="BH86" s="32" t="n">
        <v>2240</v>
      </c>
      <c r="BI86" s="32" t="n">
        <v>2239</v>
      </c>
      <c r="BJ86" s="32" t="n">
        <v>2136</v>
      </c>
      <c r="BK86" s="32" t="n">
        <v>2056.5</v>
      </c>
      <c r="BL86" s="33" t="n">
        <v>2220</v>
      </c>
    </row>
    <row r="87" ht="15.95" customHeight="1" s="574">
      <c r="A87" s="68" t="inlineStr">
        <is>
          <t>2914</t>
        </is>
      </c>
      <c r="B87" s="28" t="inlineStr">
        <is>
          <t>日本たばこ産業</t>
        </is>
      </c>
      <c r="C87" s="665">
        <f>_xll.RssMarket("2914","高値")</f>
        <v/>
      </c>
      <c r="D87" s="666">
        <f>C87-E87</f>
        <v/>
      </c>
      <c r="E87" s="32" t="n">
        <v>6038</v>
      </c>
      <c r="F87" s="32" t="n">
        <v>6088</v>
      </c>
      <c r="G87" s="32" t="n">
        <v>6094</v>
      </c>
      <c r="H87" s="32" t="n">
        <v>6160</v>
      </c>
      <c r="I87" s="32" t="n">
        <v>6099</v>
      </c>
      <c r="J87" s="32" t="n">
        <v>6215</v>
      </c>
      <c r="K87" s="32" t="n">
        <v>6363</v>
      </c>
      <c r="L87" s="32" t="n">
        <v>6338</v>
      </c>
      <c r="M87" s="32" t="n">
        <v>6164</v>
      </c>
      <c r="N87" s="32" t="n">
        <v>6135</v>
      </c>
      <c r="O87" s="32" t="n">
        <v>6067</v>
      </c>
      <c r="P87" s="32" t="n">
        <v>6109</v>
      </c>
      <c r="Q87" s="32" t="n">
        <v>6154</v>
      </c>
      <c r="R87" s="32" t="n">
        <v>6161</v>
      </c>
      <c r="S87" s="32" t="n">
        <v>6200</v>
      </c>
      <c r="T87" s="32" t="n">
        <v>6201</v>
      </c>
      <c r="U87" s="32" t="n">
        <v>6121</v>
      </c>
      <c r="V87" s="32" t="n">
        <v>6134</v>
      </c>
      <c r="W87" s="32" t="n">
        <v>6231</v>
      </c>
      <c r="X87" s="32" t="n">
        <v>6359</v>
      </c>
      <c r="Y87" s="32" t="n">
        <v>6455</v>
      </c>
      <c r="Z87" s="32" t="n">
        <v>6474</v>
      </c>
      <c r="AA87" s="32" t="n">
        <v>6396</v>
      </c>
      <c r="AB87" s="32" t="n">
        <v>6315</v>
      </c>
      <c r="AC87" s="32" t="n">
        <v>6278</v>
      </c>
      <c r="AD87" s="32" t="n">
        <v>6214</v>
      </c>
      <c r="AE87" s="32" t="n">
        <v>6136</v>
      </c>
      <c r="AF87" s="32" t="n">
        <v>6164</v>
      </c>
      <c r="AG87" s="32" t="n">
        <v>5863</v>
      </c>
      <c r="AH87" s="32" t="n">
        <v>5964</v>
      </c>
      <c r="AI87" s="32" t="n">
        <v>5905</v>
      </c>
      <c r="AJ87" s="32" t="n">
        <v>5865</v>
      </c>
      <c r="AK87" s="32" t="n">
        <v>5788</v>
      </c>
      <c r="AL87" s="32" t="n">
        <v>5821</v>
      </c>
      <c r="AM87" s="32" t="n">
        <v>5907</v>
      </c>
      <c r="AN87" s="32" t="n">
        <v>5866</v>
      </c>
      <c r="AO87" s="32" t="n">
        <v>5719</v>
      </c>
      <c r="AP87" s="32" t="n">
        <v>5808</v>
      </c>
      <c r="AQ87" s="32" t="n">
        <v>5835</v>
      </c>
      <c r="AR87" s="32" t="n">
        <v>5853</v>
      </c>
      <c r="AS87" s="32" t="n">
        <v>5880</v>
      </c>
      <c r="AT87" s="32" t="n">
        <v>5918</v>
      </c>
      <c r="AU87" s="32" t="n">
        <v>5961</v>
      </c>
      <c r="AV87" s="32" t="n">
        <v>6048</v>
      </c>
      <c r="AW87" s="32" t="n">
        <v>6047</v>
      </c>
      <c r="AX87" s="32" t="n">
        <v>6106</v>
      </c>
      <c r="AY87" s="32" t="n">
        <v>6175</v>
      </c>
      <c r="AZ87" s="32" t="n">
        <v>6165</v>
      </c>
      <c r="BA87" s="32" t="n">
        <v>6121</v>
      </c>
      <c r="BB87" s="32" t="n">
        <v>6139</v>
      </c>
      <c r="BC87" s="32" t="n">
        <v>6094</v>
      </c>
      <c r="BD87" s="32" t="n">
        <v>6079</v>
      </c>
      <c r="BE87" s="32" t="n">
        <v>6068</v>
      </c>
      <c r="BF87" s="32" t="n">
        <v>6075</v>
      </c>
      <c r="BG87" s="32" t="n">
        <v>5998</v>
      </c>
      <c r="BH87" s="32" t="n">
        <v>5983</v>
      </c>
      <c r="BI87" s="32" t="n">
        <v>5973</v>
      </c>
      <c r="BJ87" s="32" t="n">
        <v>5833</v>
      </c>
      <c r="BK87" s="32" t="n">
        <v>5787</v>
      </c>
      <c r="BL87" s="33" t="n">
        <v>5884</v>
      </c>
    </row>
    <row r="88" ht="15.95" customHeight="1" s="574">
      <c r="A88" s="68" t="inlineStr">
        <is>
          <t>3003</t>
        </is>
      </c>
      <c r="B88" s="28" t="inlineStr">
        <is>
          <t>ヒューリック</t>
        </is>
      </c>
      <c r="C88" s="665">
        <f>_xll.RssMarket("3003","高値")</f>
        <v/>
      </c>
      <c r="D88" s="666">
        <f>C88-E88</f>
        <v/>
      </c>
      <c r="E88" s="32" t="n">
        <v>1693</v>
      </c>
      <c r="F88" s="32" t="n">
        <v>1717</v>
      </c>
      <c r="G88" s="32" t="n">
        <v>1733</v>
      </c>
      <c r="H88" s="32" t="n">
        <v>1734.5</v>
      </c>
      <c r="I88" s="32" t="n">
        <v>1758</v>
      </c>
      <c r="J88" s="32" t="n">
        <v>1739.5</v>
      </c>
      <c r="K88" s="32" t="n">
        <v>1744</v>
      </c>
      <c r="L88" s="32" t="n">
        <v>1736.5</v>
      </c>
      <c r="M88" s="32" t="n">
        <v>1677</v>
      </c>
      <c r="N88" s="32" t="n">
        <v>1670.5</v>
      </c>
      <c r="O88" s="32" t="n">
        <v>1651.5</v>
      </c>
      <c r="P88" s="32" t="n">
        <v>1662</v>
      </c>
      <c r="Q88" s="32" t="n">
        <v>1652.5</v>
      </c>
      <c r="R88" s="32" t="n">
        <v>1709</v>
      </c>
      <c r="S88" s="32" t="n">
        <v>1670</v>
      </c>
      <c r="T88" s="32" t="n">
        <v>1687.5</v>
      </c>
      <c r="U88" s="32" t="n">
        <v>1679</v>
      </c>
      <c r="V88" s="32" t="n">
        <v>1667.5</v>
      </c>
      <c r="W88" s="32" t="n">
        <v>1744.5</v>
      </c>
      <c r="X88" s="32" t="n">
        <v>1748</v>
      </c>
      <c r="Y88" s="32" t="n">
        <v>1750</v>
      </c>
      <c r="Z88" s="32" t="n">
        <v>1767</v>
      </c>
      <c r="AA88" s="32" t="n">
        <v>1777.5</v>
      </c>
      <c r="AB88" s="32" t="n">
        <v>1789.5</v>
      </c>
      <c r="AC88" s="32" t="n">
        <v>1813.5</v>
      </c>
      <c r="AD88" s="32" t="n">
        <v>1808.5</v>
      </c>
      <c r="AE88" s="32" t="n">
        <v>1805</v>
      </c>
      <c r="AF88" s="32" t="n">
        <v>1815</v>
      </c>
      <c r="AG88" s="32" t="n">
        <v>1829.5</v>
      </c>
      <c r="AH88" s="32" t="n">
        <v>1804</v>
      </c>
      <c r="AI88" s="32" t="n">
        <v>1784</v>
      </c>
      <c r="AJ88" s="32" t="n">
        <v>1827</v>
      </c>
      <c r="AK88" s="32" t="n">
        <v>1856</v>
      </c>
      <c r="AL88" s="32" t="n">
        <v>1835.5</v>
      </c>
      <c r="AM88" s="32" t="n">
        <v>1831</v>
      </c>
      <c r="AN88" s="32" t="n">
        <v>1860</v>
      </c>
      <c r="AO88" s="32" t="n">
        <v>1899.5</v>
      </c>
      <c r="AP88" s="32" t="n">
        <v>1904.5</v>
      </c>
      <c r="AQ88" s="32" t="n">
        <v>1904</v>
      </c>
      <c r="AR88" s="32" t="n">
        <v>1902.5</v>
      </c>
      <c r="AS88" s="32" t="n">
        <v>1918</v>
      </c>
      <c r="AT88" s="32" t="n">
        <v>1904.5</v>
      </c>
      <c r="AU88" s="32" t="n">
        <v>1888.5</v>
      </c>
      <c r="AV88" s="32" t="n">
        <v>1896</v>
      </c>
      <c r="AW88" s="32" t="n">
        <v>1940</v>
      </c>
      <c r="AX88" s="32" t="n">
        <v>1948</v>
      </c>
      <c r="AY88" s="32" t="n">
        <v>1905.5</v>
      </c>
      <c r="AZ88" s="32" t="n">
        <v>1891.5</v>
      </c>
      <c r="BA88" s="32" t="n">
        <v>1889.5</v>
      </c>
      <c r="BB88" s="32" t="n">
        <v>1924</v>
      </c>
      <c r="BC88" s="32" t="n">
        <v>1875.5</v>
      </c>
      <c r="BD88" s="32" t="n">
        <v>1861</v>
      </c>
      <c r="BE88" s="32" t="n">
        <v>1845</v>
      </c>
      <c r="BF88" s="32" t="n">
        <v>1869.5</v>
      </c>
      <c r="BG88" s="32" t="n">
        <v>1869.5</v>
      </c>
      <c r="BH88" s="32" t="n">
        <v>1880</v>
      </c>
      <c r="BI88" s="32" t="n">
        <v>1848.5</v>
      </c>
      <c r="BJ88" s="32" t="n">
        <v>1829</v>
      </c>
      <c r="BK88" s="32" t="n">
        <v>1912.5</v>
      </c>
      <c r="BL88" s="33" t="n">
        <v>1917</v>
      </c>
    </row>
    <row r="89" ht="15.95" customHeight="1" s="574">
      <c r="A89" s="68" t="inlineStr">
        <is>
          <t>5892</t>
        </is>
      </c>
      <c r="B89" s="28" t="inlineStr">
        <is>
          <t>ＹＵＴＯＲＩ</t>
        </is>
      </c>
      <c r="C89" s="665">
        <f>_xll.RssMarket("5892","高値")</f>
        <v/>
      </c>
      <c r="D89" s="666">
        <f>C89-E89</f>
        <v/>
      </c>
      <c r="E89" s="32" t="n">
        <v>2115</v>
      </c>
      <c r="F89" s="32" t="n">
        <v>2122</v>
      </c>
      <c r="G89" s="32" t="n">
        <v>2144</v>
      </c>
      <c r="H89" s="32" t="n">
        <v>2214</v>
      </c>
      <c r="I89" s="32" t="n">
        <v>2040</v>
      </c>
      <c r="J89" s="32" t="n">
        <v>2020</v>
      </c>
      <c r="K89" s="32" t="n">
        <v>2121</v>
      </c>
      <c r="L89" s="32" t="n">
        <v>2160</v>
      </c>
      <c r="M89" s="32" t="n">
        <v>2260</v>
      </c>
      <c r="N89" s="32" t="n">
        <v>2328</v>
      </c>
      <c r="O89" s="32" t="n">
        <v>2420</v>
      </c>
      <c r="P89" s="32" t="n">
        <v>2227</v>
      </c>
      <c r="Q89" s="32" t="n">
        <v>2156</v>
      </c>
      <c r="R89" s="32" t="n">
        <v>2181</v>
      </c>
      <c r="S89" s="32" t="n">
        <v>2350</v>
      </c>
      <c r="T89" s="32" t="n">
        <v>2378</v>
      </c>
      <c r="U89" s="32" t="n">
        <v>2541</v>
      </c>
      <c r="V89" s="32" t="n">
        <v>2476</v>
      </c>
      <c r="W89" s="32" t="n">
        <v>2469</v>
      </c>
      <c r="X89" s="32" t="n">
        <v>2549</v>
      </c>
      <c r="Y89" s="32" t="n">
        <v>2677</v>
      </c>
      <c r="Z89" s="32" t="n">
        <v>2733</v>
      </c>
      <c r="AA89" s="32" t="n">
        <v>2640</v>
      </c>
      <c r="AB89" s="32" t="n">
        <v>2384</v>
      </c>
      <c r="AC89" s="32" t="n">
        <v>2093</v>
      </c>
      <c r="AD89" s="32" t="n">
        <v>2115</v>
      </c>
      <c r="AE89" s="32" t="n">
        <v>1948</v>
      </c>
      <c r="AF89" s="32" t="n">
        <v>1970</v>
      </c>
      <c r="AG89" s="32" t="n">
        <v>2042</v>
      </c>
      <c r="AH89" s="32" t="n">
        <v>2001</v>
      </c>
      <c r="AI89" s="32" t="n">
        <v>2028</v>
      </c>
      <c r="AJ89" s="32" t="n">
        <v>1989</v>
      </c>
      <c r="AK89" s="32" t="n">
        <v>2042</v>
      </c>
      <c r="AL89" s="32" t="n">
        <v>2090</v>
      </c>
      <c r="AM89" s="32" t="n">
        <v>2100</v>
      </c>
      <c r="AN89" s="32" t="n">
        <v>2187</v>
      </c>
      <c r="AO89" s="32" t="n">
        <v>2221</v>
      </c>
      <c r="AP89" s="32" t="n">
        <v>2277</v>
      </c>
      <c r="AQ89" s="32" t="n">
        <v>2254</v>
      </c>
      <c r="AR89" s="32" t="n">
        <v>2230</v>
      </c>
      <c r="AS89" s="32" t="n">
        <v>2291</v>
      </c>
      <c r="AT89" s="32" t="n">
        <v>2348</v>
      </c>
      <c r="AU89" s="32" t="n">
        <v>2392</v>
      </c>
      <c r="AV89" s="32" t="n">
        <v>2211</v>
      </c>
      <c r="AW89" s="32" t="n">
        <v>2216</v>
      </c>
      <c r="AX89" s="32" t="n">
        <v>2217</v>
      </c>
      <c r="AY89" s="32" t="n">
        <v>2182</v>
      </c>
      <c r="AZ89" s="32" t="n">
        <v>2111</v>
      </c>
      <c r="BA89" s="32" t="n">
        <v>2049</v>
      </c>
      <c r="BB89" s="32" t="n">
        <v>2080</v>
      </c>
      <c r="BC89" s="32" t="n">
        <v>2098</v>
      </c>
      <c r="BD89" s="32" t="n">
        <v>2128</v>
      </c>
      <c r="BE89" s="32" t="n">
        <v>2080</v>
      </c>
      <c r="BF89" s="32" t="n">
        <v>2011</v>
      </c>
      <c r="BG89" s="32" t="n">
        <v>2088</v>
      </c>
      <c r="BH89" s="32" t="n">
        <v>2091</v>
      </c>
      <c r="BI89" s="32" t="n">
        <v>2114</v>
      </c>
      <c r="BJ89" s="32" t="n">
        <v>2073</v>
      </c>
      <c r="BK89" s="32" t="n">
        <v>2044</v>
      </c>
      <c r="BL89" s="33" t="n">
        <v>2194</v>
      </c>
    </row>
    <row r="90" ht="15.95" customHeight="1" s="574">
      <c r="A90" s="68" t="inlineStr">
        <is>
          <t>6323</t>
        </is>
      </c>
      <c r="B90" s="28" t="inlineStr">
        <is>
          <t>ローツェ</t>
        </is>
      </c>
      <c r="C90" s="665">
        <f>_xll.RssMarket("6323","高値")</f>
        <v/>
      </c>
      <c r="D90" s="666">
        <f>C90-E90</f>
        <v/>
      </c>
      <c r="E90" s="32" t="n">
        <v>5148</v>
      </c>
      <c r="F90" s="32" t="n">
        <v>5048</v>
      </c>
      <c r="G90" s="32" t="n">
        <v>4883</v>
      </c>
      <c r="H90" s="32" t="n">
        <v>4580</v>
      </c>
      <c r="I90" s="32" t="n">
        <v>4555</v>
      </c>
      <c r="J90" s="32" t="n">
        <v>4519</v>
      </c>
      <c r="K90" s="32" t="n">
        <v>4219</v>
      </c>
      <c r="L90" s="32" t="n">
        <v>3872</v>
      </c>
      <c r="M90" s="32" t="n">
        <v>4019</v>
      </c>
      <c r="N90" s="32" t="n">
        <v>4084</v>
      </c>
      <c r="O90" s="32" t="n">
        <v>4289</v>
      </c>
      <c r="P90" s="32" t="n">
        <v>4590</v>
      </c>
      <c r="Q90" s="32" t="n">
        <v>4314</v>
      </c>
      <c r="R90" s="32" t="n">
        <v>3835</v>
      </c>
      <c r="S90" s="32" t="n">
        <v>4097</v>
      </c>
      <c r="T90" s="32" t="n">
        <v>3989</v>
      </c>
      <c r="U90" s="32" t="n">
        <v>4068</v>
      </c>
      <c r="V90" s="32" t="n">
        <v>4114</v>
      </c>
      <c r="W90" s="32" t="n">
        <v>3922</v>
      </c>
      <c r="X90" s="32" t="n">
        <v>3807</v>
      </c>
      <c r="Y90" s="32" t="n">
        <v>3625</v>
      </c>
      <c r="Z90" s="32" t="n">
        <v>3713</v>
      </c>
      <c r="AA90" s="32" t="n">
        <v>3816</v>
      </c>
      <c r="AB90" s="32" t="n">
        <v>4157</v>
      </c>
      <c r="AC90" s="32" t="n">
        <v>4127</v>
      </c>
      <c r="AD90" s="32" t="n">
        <v>3986</v>
      </c>
      <c r="AE90" s="32" t="n">
        <v>4210</v>
      </c>
      <c r="AF90" s="32" t="n">
        <v>4098</v>
      </c>
      <c r="AG90" s="32" t="n">
        <v>4024</v>
      </c>
      <c r="AH90" s="32" t="n">
        <v>3987</v>
      </c>
      <c r="AI90" s="32" t="n">
        <v>3816</v>
      </c>
      <c r="AJ90" s="32" t="n">
        <v>3810</v>
      </c>
      <c r="AK90" s="32" t="n">
        <v>3944</v>
      </c>
      <c r="AL90" s="32" t="n">
        <v>4000</v>
      </c>
      <c r="AM90" s="32" t="n">
        <v>3690</v>
      </c>
      <c r="AN90" s="32" t="n">
        <v>3736</v>
      </c>
      <c r="AO90" s="32" t="n">
        <v>3699</v>
      </c>
      <c r="AP90" s="32" t="n">
        <v>3784</v>
      </c>
      <c r="AQ90" s="32" t="n">
        <v>3769</v>
      </c>
      <c r="AR90" s="32" t="n">
        <v>3782</v>
      </c>
      <c r="AS90" s="32" t="n">
        <v>3878</v>
      </c>
      <c r="AT90" s="32" t="n">
        <v>4028</v>
      </c>
      <c r="AU90" s="32" t="n">
        <v>4090</v>
      </c>
      <c r="AV90" s="32" t="n">
        <v>4127</v>
      </c>
      <c r="AW90" s="32" t="n">
        <v>3969</v>
      </c>
      <c r="AX90" s="32" t="n">
        <v>3288</v>
      </c>
      <c r="AY90" s="32" t="n">
        <v>3228</v>
      </c>
      <c r="AZ90" s="32" t="n">
        <v>2904</v>
      </c>
      <c r="BA90" s="32" t="n">
        <v>2929</v>
      </c>
      <c r="BB90" s="32" t="n">
        <v>2727</v>
      </c>
      <c r="BC90" s="32" t="n">
        <v>2779.5</v>
      </c>
      <c r="BD90" s="32" t="n">
        <v>2748</v>
      </c>
      <c r="BE90" s="32" t="n">
        <v>2617</v>
      </c>
      <c r="BF90" s="32" t="n">
        <v>2578.5</v>
      </c>
      <c r="BG90" s="32" t="n">
        <v>2722</v>
      </c>
      <c r="BH90" s="32" t="n">
        <v>2844.5</v>
      </c>
      <c r="BI90" s="32" t="n">
        <v>2879</v>
      </c>
      <c r="BJ90" s="32" t="n">
        <v>2761</v>
      </c>
      <c r="BK90" s="32" t="n">
        <v>2707.5</v>
      </c>
      <c r="BL90" s="33" t="n">
        <v>2868.5</v>
      </c>
    </row>
    <row r="91" ht="15.95" customHeight="1" s="574">
      <c r="A91" s="68" t="inlineStr">
        <is>
          <t>6501</t>
        </is>
      </c>
      <c r="B91" s="28" t="inlineStr">
        <is>
          <t>日立</t>
        </is>
      </c>
      <c r="C91" s="665">
        <f>_xll.RssMarket("6501","高値")</f>
        <v/>
      </c>
      <c r="D91" s="666">
        <f>C91-E91</f>
        <v/>
      </c>
      <c r="E91" s="32" t="n">
        <v>4914</v>
      </c>
      <c r="F91" s="32" t="n">
        <v>4854</v>
      </c>
      <c r="G91" s="32" t="n">
        <v>4805</v>
      </c>
      <c r="H91" s="32" t="n">
        <v>4736</v>
      </c>
      <c r="I91" s="32" t="n">
        <v>4798</v>
      </c>
      <c r="J91" s="32" t="n">
        <v>4828</v>
      </c>
      <c r="K91" s="32" t="n">
        <v>4740</v>
      </c>
      <c r="L91" s="32" t="n">
        <v>4679</v>
      </c>
      <c r="M91" s="32" t="n">
        <v>4924</v>
      </c>
      <c r="N91" s="32" t="n">
        <v>5148</v>
      </c>
      <c r="O91" s="32" t="n">
        <v>5369</v>
      </c>
      <c r="P91" s="32" t="n">
        <v>5215</v>
      </c>
      <c r="Q91" s="32" t="n">
        <v>5375</v>
      </c>
      <c r="R91" s="32" t="n">
        <v>5140</v>
      </c>
      <c r="S91" s="32" t="n">
        <v>5375</v>
      </c>
      <c r="T91" s="32" t="n">
        <v>5194</v>
      </c>
      <c r="U91" s="32" t="n">
        <v>5108</v>
      </c>
      <c r="V91" s="32" t="n">
        <v>5102</v>
      </c>
      <c r="W91" s="32" t="n">
        <v>5153</v>
      </c>
      <c r="X91" s="32" t="n">
        <v>5123</v>
      </c>
      <c r="Y91" s="32" t="n">
        <v>4934</v>
      </c>
      <c r="Z91" s="32" t="n">
        <v>5019</v>
      </c>
      <c r="AA91" s="32" t="n">
        <v>4818</v>
      </c>
      <c r="AB91" s="32" t="n">
        <v>4845</v>
      </c>
      <c r="AC91" s="32" t="n">
        <v>4736</v>
      </c>
      <c r="AD91" s="32" t="n">
        <v>4844</v>
      </c>
      <c r="AE91" s="32" t="n">
        <v>4959</v>
      </c>
      <c r="AF91" s="32" t="n">
        <v>5012</v>
      </c>
      <c r="AG91" s="32" t="n">
        <v>4973</v>
      </c>
      <c r="AH91" s="32" t="n">
        <v>4981</v>
      </c>
      <c r="AI91" s="32" t="n">
        <v>4861</v>
      </c>
      <c r="AJ91" s="32" t="n">
        <v>5018</v>
      </c>
      <c r="AK91" s="32" t="n">
        <v>5202</v>
      </c>
      <c r="AL91" s="32" t="n">
        <v>5422</v>
      </c>
      <c r="AM91" s="32" t="n">
        <v>5235</v>
      </c>
      <c r="AN91" s="32" t="n">
        <v>5298</v>
      </c>
      <c r="AO91" s="32" t="n">
        <v>5138</v>
      </c>
      <c r="AP91" s="32" t="n">
        <v>5189</v>
      </c>
      <c r="AQ91" s="32" t="n">
        <v>5257</v>
      </c>
      <c r="AR91" s="32" t="n">
        <v>5210</v>
      </c>
      <c r="AS91" s="32" t="n">
        <v>5274</v>
      </c>
      <c r="AT91" s="32" t="n">
        <v>5233</v>
      </c>
      <c r="AU91" s="32" t="n">
        <v>4957</v>
      </c>
      <c r="AV91" s="32" t="n">
        <v>4945</v>
      </c>
      <c r="AW91" s="32" t="n">
        <v>4859</v>
      </c>
      <c r="AX91" s="32" t="n">
        <v>4946</v>
      </c>
      <c r="AY91" s="32" t="n">
        <v>4955</v>
      </c>
      <c r="AZ91" s="32" t="n">
        <v>4787</v>
      </c>
      <c r="BA91" s="32" t="n">
        <v>4811</v>
      </c>
      <c r="BB91" s="32" t="n">
        <v>4840</v>
      </c>
      <c r="BC91" s="32" t="n">
        <v>4844</v>
      </c>
      <c r="BD91" s="32" t="n">
        <v>4752</v>
      </c>
      <c r="BE91" s="32" t="n">
        <v>4580</v>
      </c>
      <c r="BF91" s="32" t="n">
        <v>4541</v>
      </c>
      <c r="BG91" s="32" t="n">
        <v>4763</v>
      </c>
      <c r="BH91" s="32" t="n">
        <v>4862</v>
      </c>
      <c r="BI91" s="32" t="n">
        <v>4906</v>
      </c>
      <c r="BJ91" s="32" t="n">
        <v>4917</v>
      </c>
      <c r="BK91" s="32" t="n">
        <v>4844</v>
      </c>
      <c r="BL91" s="33" t="n">
        <v>4907</v>
      </c>
    </row>
    <row r="92" ht="15.95" customHeight="1" s="574">
      <c r="A92" s="68" t="inlineStr">
        <is>
          <t>6134</t>
        </is>
      </c>
      <c r="B92" s="28" t="inlineStr">
        <is>
          <t>ＦＵＪＩ</t>
        </is>
      </c>
      <c r="C92" s="665">
        <f>_xll.RssMarket("6134","高値")</f>
        <v/>
      </c>
      <c r="D92" s="666">
        <f>C92-E92</f>
        <v/>
      </c>
      <c r="E92" s="32" t="n">
        <v>8740</v>
      </c>
      <c r="F92" s="32" t="n">
        <v>8737</v>
      </c>
      <c r="G92" s="32" t="n">
        <v>8700</v>
      </c>
      <c r="H92" s="32" t="n">
        <v>8377</v>
      </c>
      <c r="I92" s="32" t="n">
        <v>8382</v>
      </c>
      <c r="J92" s="32" t="n">
        <v>8324</v>
      </c>
      <c r="K92" s="32" t="n">
        <v>7848</v>
      </c>
      <c r="L92" s="32" t="n">
        <v>7494</v>
      </c>
      <c r="M92" s="32" t="n">
        <v>7600</v>
      </c>
      <c r="N92" s="32" t="n">
        <v>7291</v>
      </c>
      <c r="O92" s="32" t="n">
        <v>7835</v>
      </c>
      <c r="P92" s="32" t="n">
        <v>7860</v>
      </c>
      <c r="Q92" s="32" t="n">
        <v>8205</v>
      </c>
      <c r="R92" s="32" t="n">
        <v>8063</v>
      </c>
      <c r="S92" s="32" t="n">
        <v>8256</v>
      </c>
      <c r="T92" s="32" t="n">
        <v>8008</v>
      </c>
      <c r="U92" s="32" t="n">
        <v>8449</v>
      </c>
      <c r="V92" s="32" t="n">
        <v>8530</v>
      </c>
      <c r="W92" s="32" t="n">
        <v>8073</v>
      </c>
      <c r="X92" s="32" t="n">
        <v>7899</v>
      </c>
      <c r="Y92" s="32" t="n">
        <v>7653</v>
      </c>
      <c r="Z92" s="32" t="n">
        <v>7923</v>
      </c>
      <c r="AA92" s="32" t="n">
        <v>8146</v>
      </c>
      <c r="AB92" s="32" t="n">
        <v>8701</v>
      </c>
      <c r="AC92" s="32" t="n">
        <v>7538</v>
      </c>
      <c r="AD92" s="32" t="n">
        <v>7030</v>
      </c>
      <c r="AE92" s="32" t="n">
        <v>6987</v>
      </c>
      <c r="AF92" s="32" t="n">
        <v>6799</v>
      </c>
      <c r="AG92" s="32" t="n">
        <v>6635</v>
      </c>
      <c r="AH92" s="32" t="n">
        <v>6346</v>
      </c>
      <c r="AI92" s="32" t="n">
        <v>6134</v>
      </c>
      <c r="AJ92" s="32" t="n">
        <v>6084</v>
      </c>
      <c r="AK92" s="32" t="n">
        <v>6063</v>
      </c>
      <c r="AL92" s="32" t="n">
        <v>6083</v>
      </c>
      <c r="AM92" s="32" t="n">
        <v>5912</v>
      </c>
      <c r="AN92" s="32" t="n">
        <v>5931</v>
      </c>
      <c r="AO92" s="32" t="n">
        <v>5988</v>
      </c>
      <c r="AP92" s="32" t="n">
        <v>5980</v>
      </c>
      <c r="AQ92" s="32" t="n">
        <v>5809</v>
      </c>
      <c r="AR92" s="32" t="n">
        <v>5806</v>
      </c>
      <c r="AS92" s="32" t="n">
        <v>5867</v>
      </c>
      <c r="AT92" s="32" t="n">
        <v>5933</v>
      </c>
      <c r="AU92" s="32" t="n">
        <v>5810</v>
      </c>
      <c r="AV92" s="32" t="n">
        <v>5525</v>
      </c>
      <c r="AW92" s="32" t="n">
        <v>5508</v>
      </c>
      <c r="AX92" s="32" t="n">
        <v>5364</v>
      </c>
      <c r="AY92" s="32" t="n">
        <v>5342</v>
      </c>
      <c r="AZ92" s="32" t="n">
        <v>4972</v>
      </c>
      <c r="BA92" s="32" t="n">
        <v>4994</v>
      </c>
      <c r="BB92" s="32" t="n">
        <v>4961</v>
      </c>
      <c r="BC92" s="32" t="n">
        <v>5074</v>
      </c>
      <c r="BD92" s="32" t="n">
        <v>5013</v>
      </c>
      <c r="BE92" s="32" t="n">
        <v>4776</v>
      </c>
      <c r="BF92" s="32" t="n">
        <v>4766</v>
      </c>
      <c r="BG92" s="32" t="n">
        <v>5054</v>
      </c>
      <c r="BH92" s="32" t="n">
        <v>5265</v>
      </c>
      <c r="BI92" s="32" t="n">
        <v>5255</v>
      </c>
      <c r="BJ92" s="32" t="n">
        <v>5085</v>
      </c>
      <c r="BK92" s="32" t="n">
        <v>4950</v>
      </c>
      <c r="BL92" s="33" t="n">
        <v>5251</v>
      </c>
    </row>
    <row r="93" ht="15.95" customHeight="1" s="574">
      <c r="A93" s="68" t="inlineStr">
        <is>
          <t>7746</t>
        </is>
      </c>
      <c r="B93" s="28" t="inlineStr">
        <is>
          <t>岡本硝子</t>
        </is>
      </c>
      <c r="C93" s="665">
        <f>_xll.RssMarket("7746","高値")</f>
        <v/>
      </c>
      <c r="D93" s="666">
        <f>C93-E93</f>
        <v/>
      </c>
      <c r="E93" s="32" t="n">
        <v>822</v>
      </c>
      <c r="F93" s="32" t="n">
        <v>844</v>
      </c>
      <c r="G93" s="32" t="n">
        <v>857</v>
      </c>
      <c r="H93" s="32" t="n">
        <v>897</v>
      </c>
      <c r="I93" s="32" t="n">
        <v>856</v>
      </c>
      <c r="J93" s="32" t="n">
        <v>745</v>
      </c>
      <c r="K93" s="32" t="n">
        <v>782</v>
      </c>
      <c r="L93" s="32" t="n">
        <v>729</v>
      </c>
      <c r="M93" s="32" t="n">
        <v>769</v>
      </c>
      <c r="N93" s="32" t="n">
        <v>793</v>
      </c>
      <c r="O93" s="32" t="n">
        <v>786</v>
      </c>
      <c r="P93" s="32" t="n">
        <v>815</v>
      </c>
      <c r="Q93" s="32" t="n">
        <v>803</v>
      </c>
      <c r="R93" s="32" t="n">
        <v>900</v>
      </c>
      <c r="S93" s="32" t="n">
        <v>866</v>
      </c>
      <c r="T93" s="32" t="n">
        <v>909</v>
      </c>
      <c r="U93" s="32" t="n">
        <v>939</v>
      </c>
      <c r="V93" s="32" t="n">
        <v>918</v>
      </c>
      <c r="W93" s="32" t="n">
        <v>1034</v>
      </c>
      <c r="X93" s="32" t="n">
        <v>1090</v>
      </c>
      <c r="Y93" s="32" t="n">
        <v>1054</v>
      </c>
      <c r="Z93" s="32" t="n">
        <v>904</v>
      </c>
      <c r="AA93" s="32" t="n">
        <v>779</v>
      </c>
      <c r="AB93" s="32" t="n">
        <v>825</v>
      </c>
      <c r="AC93" s="32" t="n">
        <v>817</v>
      </c>
      <c r="AD93" s="32" t="n">
        <v>884</v>
      </c>
      <c r="AE93" s="32" t="n">
        <v>885</v>
      </c>
      <c r="AF93" s="32" t="n">
        <v>873</v>
      </c>
      <c r="AG93" s="32" t="n">
        <v>849</v>
      </c>
      <c r="AH93" s="32" t="n">
        <v>930</v>
      </c>
      <c r="AI93" s="32" t="n">
        <v>940</v>
      </c>
      <c r="AJ93" s="32" t="n">
        <v>955</v>
      </c>
      <c r="AK93" s="32" t="n">
        <v>983</v>
      </c>
      <c r="AL93" s="32" t="n">
        <v>1024</v>
      </c>
      <c r="AM93" s="32" t="n">
        <v>1008</v>
      </c>
      <c r="AN93" s="32" t="n">
        <v>1048</v>
      </c>
      <c r="AO93" s="32" t="n">
        <v>1082</v>
      </c>
      <c r="AP93" s="32" t="n">
        <v>962</v>
      </c>
      <c r="AQ93" s="32" t="n">
        <v>1000</v>
      </c>
      <c r="AR93" s="32" t="n">
        <v>1003</v>
      </c>
      <c r="AS93" s="32" t="n">
        <v>1003</v>
      </c>
      <c r="AT93" s="32" t="n">
        <v>1010</v>
      </c>
      <c r="AU93" s="32" t="n">
        <v>1062</v>
      </c>
      <c r="AV93" s="32" t="n">
        <v>1088</v>
      </c>
      <c r="AW93" s="32" t="n">
        <v>1149</v>
      </c>
      <c r="AX93" s="32" t="n">
        <v>1070</v>
      </c>
      <c r="AY93" s="32" t="n">
        <v>1019</v>
      </c>
      <c r="AZ93" s="32" t="n">
        <v>1059</v>
      </c>
      <c r="BA93" s="32" t="n">
        <v>1127</v>
      </c>
      <c r="BB93" s="32" t="n">
        <v>1170</v>
      </c>
      <c r="BC93" s="32" t="n">
        <v>1147</v>
      </c>
      <c r="BD93" s="32" t="n">
        <v>1080</v>
      </c>
      <c r="BE93" s="32" t="n">
        <v>967</v>
      </c>
      <c r="BF93" s="32" t="n">
        <v>1008</v>
      </c>
      <c r="BG93" s="32" t="n">
        <v>1025</v>
      </c>
      <c r="BH93" s="32" t="n">
        <v>1067</v>
      </c>
      <c r="BI93" s="32" t="n">
        <v>1150</v>
      </c>
      <c r="BJ93" s="32" t="n">
        <v>1118</v>
      </c>
      <c r="BK93" s="32" t="n">
        <v>1140</v>
      </c>
      <c r="BL93" s="33" t="n">
        <v>1190</v>
      </c>
    </row>
    <row r="94" ht="15.95" customHeight="1" s="574">
      <c r="A94" s="68" t="inlineStr">
        <is>
          <t>3407</t>
        </is>
      </c>
      <c r="B94" s="28" t="inlineStr">
        <is>
          <t>旭化成</t>
        </is>
      </c>
      <c r="C94" s="665">
        <f>_xll.RssMarket("3407","高値")</f>
        <v/>
      </c>
      <c r="D94" s="666">
        <f>C94-E94</f>
        <v/>
      </c>
      <c r="E94" s="32" t="n">
        <v>1837</v>
      </c>
      <c r="F94" s="32" t="n">
        <v>1813</v>
      </c>
      <c r="G94" s="32" t="n">
        <v>1811.5</v>
      </c>
      <c r="H94" s="32" t="n">
        <v>1790</v>
      </c>
      <c r="I94" s="32" t="n">
        <v>1768</v>
      </c>
      <c r="J94" s="32" t="n">
        <v>1834.5</v>
      </c>
      <c r="K94" s="32" t="n">
        <v>1812</v>
      </c>
      <c r="L94" s="32" t="n">
        <v>1770</v>
      </c>
      <c r="M94" s="32" t="n">
        <v>1785</v>
      </c>
      <c r="N94" s="32" t="n">
        <v>1803.5</v>
      </c>
      <c r="O94" s="32" t="n">
        <v>1787.5</v>
      </c>
      <c r="P94" s="32" t="n">
        <v>1783.5</v>
      </c>
      <c r="Q94" s="32" t="n">
        <v>1773.5</v>
      </c>
      <c r="R94" s="32" t="n">
        <v>1802.5</v>
      </c>
      <c r="S94" s="32" t="n">
        <v>1760</v>
      </c>
      <c r="T94" s="32" t="n">
        <v>1777.5</v>
      </c>
      <c r="U94" s="32" t="n">
        <v>1792</v>
      </c>
      <c r="V94" s="32" t="n">
        <v>1727</v>
      </c>
      <c r="W94" s="32" t="n">
        <v>1740</v>
      </c>
      <c r="X94" s="32" t="n">
        <v>1699</v>
      </c>
      <c r="Y94" s="32" t="n">
        <v>1703.5</v>
      </c>
      <c r="Z94" s="32" t="n">
        <v>1714</v>
      </c>
      <c r="AA94" s="32" t="n">
        <v>1742</v>
      </c>
      <c r="AB94" s="32" t="n">
        <v>1758.5</v>
      </c>
      <c r="AC94" s="32" t="n">
        <v>1759.5</v>
      </c>
      <c r="AD94" s="32" t="n">
        <v>1664</v>
      </c>
      <c r="AE94" s="32" t="n">
        <v>1546.5</v>
      </c>
      <c r="AF94" s="32" t="n">
        <v>1543</v>
      </c>
      <c r="AG94" s="32" t="n">
        <v>1581</v>
      </c>
      <c r="AH94" s="32" t="n">
        <v>1527.5</v>
      </c>
      <c r="AI94" s="32" t="n">
        <v>1538</v>
      </c>
      <c r="AJ94" s="32" t="n">
        <v>1549</v>
      </c>
      <c r="AK94" s="32" t="n">
        <v>1535.5</v>
      </c>
      <c r="AL94" s="32" t="n">
        <v>1545</v>
      </c>
      <c r="AM94" s="32" t="n">
        <v>1533</v>
      </c>
      <c r="AN94" s="32" t="n">
        <v>1551.5</v>
      </c>
      <c r="AO94" s="32" t="n">
        <v>1578</v>
      </c>
      <c r="AP94" s="32" t="n">
        <v>1605.5</v>
      </c>
      <c r="AQ94" s="32" t="n">
        <v>1618</v>
      </c>
      <c r="AR94" s="32" t="n">
        <v>1620</v>
      </c>
      <c r="AS94" s="32" t="n">
        <v>1630.5</v>
      </c>
      <c r="AT94" s="32" t="n">
        <v>1635</v>
      </c>
      <c r="AU94" s="32" t="n">
        <v>1635</v>
      </c>
      <c r="AV94" s="32" t="n">
        <v>1658.5</v>
      </c>
      <c r="AW94" s="32" t="n">
        <v>1667.5</v>
      </c>
      <c r="AX94" s="32" t="n">
        <v>1658</v>
      </c>
      <c r="AY94" s="32" t="n">
        <v>1556.5</v>
      </c>
      <c r="AZ94" s="32" t="n">
        <v>1565.5</v>
      </c>
      <c r="BA94" s="32" t="n">
        <v>1573</v>
      </c>
      <c r="BB94" s="32" t="n">
        <v>1602.5</v>
      </c>
      <c r="BC94" s="32" t="n">
        <v>1596.5</v>
      </c>
      <c r="BD94" s="32" t="n">
        <v>1540.5</v>
      </c>
      <c r="BE94" s="32" t="n">
        <v>1508.5</v>
      </c>
      <c r="BF94" s="32" t="n">
        <v>1569.5</v>
      </c>
      <c r="BG94" s="32" t="n">
        <v>1582</v>
      </c>
      <c r="BH94" s="32" t="n">
        <v>1583</v>
      </c>
      <c r="BI94" s="32" t="n">
        <v>1534.5</v>
      </c>
      <c r="BJ94" s="32" t="n">
        <v>1517</v>
      </c>
      <c r="BK94" s="32" t="n">
        <v>1581.5</v>
      </c>
      <c r="BL94" s="33" t="n">
        <v>1638</v>
      </c>
    </row>
    <row r="95" ht="15.95" customHeight="1" s="574">
      <c r="A95" s="68" t="inlineStr">
        <is>
          <t>4008</t>
        </is>
      </c>
      <c r="B95" s="28" t="inlineStr">
        <is>
          <t>住友精化</t>
        </is>
      </c>
      <c r="C95" s="665">
        <f>_xll.RssMarket("4008","高値")</f>
        <v/>
      </c>
      <c r="D95" s="666">
        <f>C95-E95</f>
        <v/>
      </c>
      <c r="E95" s="43" t="n">
        <v>1342</v>
      </c>
      <c r="F95" s="43" t="n">
        <v>1337</v>
      </c>
      <c r="G95" s="43" t="n">
        <v>1335</v>
      </c>
      <c r="H95" s="43" t="n">
        <v>1329</v>
      </c>
      <c r="I95" s="32" t="n">
        <v>1334</v>
      </c>
      <c r="J95" s="32" t="n">
        <v>1307</v>
      </c>
      <c r="K95" s="32" t="n">
        <v>1256</v>
      </c>
      <c r="L95" s="32" t="n">
        <v>1279</v>
      </c>
      <c r="M95" s="32" t="n">
        <v>1267</v>
      </c>
      <c r="N95" s="32" t="n">
        <v>1289</v>
      </c>
      <c r="O95" s="32" t="n">
        <v>1301</v>
      </c>
      <c r="P95" s="32" t="n">
        <v>1317</v>
      </c>
      <c r="Q95" s="32" t="n">
        <v>1292</v>
      </c>
      <c r="R95" s="32" t="n">
        <v>1346</v>
      </c>
      <c r="S95" s="32" t="n">
        <v>1326</v>
      </c>
      <c r="T95" s="32" t="n">
        <v>1319</v>
      </c>
      <c r="U95" s="32" t="n">
        <v>1307</v>
      </c>
      <c r="V95" s="32" t="n">
        <v>1286</v>
      </c>
      <c r="W95" s="32" t="n">
        <v>1256</v>
      </c>
      <c r="X95" s="32" t="n">
        <v>1223</v>
      </c>
      <c r="Y95" s="32" t="n">
        <v>1255</v>
      </c>
      <c r="Z95" s="32" t="n">
        <v>1283</v>
      </c>
      <c r="AA95" s="32" t="n">
        <v>1260</v>
      </c>
      <c r="AB95" s="32" t="n">
        <v>1266</v>
      </c>
      <c r="AC95" s="32" t="n">
        <v>1260</v>
      </c>
      <c r="AD95" s="32" t="n">
        <v>1250</v>
      </c>
      <c r="AE95" s="32" t="n">
        <v>1222</v>
      </c>
      <c r="AF95" s="32" t="n">
        <v>1215</v>
      </c>
      <c r="AG95" s="32" t="n">
        <v>1227</v>
      </c>
      <c r="AH95" s="32" t="n">
        <v>1201</v>
      </c>
      <c r="AI95" s="32" t="n">
        <v>1203</v>
      </c>
      <c r="AJ95" s="32" t="n">
        <v>1207</v>
      </c>
      <c r="AK95" s="32" t="n">
        <v>1198</v>
      </c>
      <c r="AL95" s="32" t="n">
        <v>1212</v>
      </c>
      <c r="AM95" s="32" t="n">
        <v>1200</v>
      </c>
      <c r="AN95" s="32" t="n">
        <v>1245</v>
      </c>
      <c r="AO95" s="32" t="n">
        <v>1277</v>
      </c>
      <c r="AP95" s="32" t="n">
        <v>1282</v>
      </c>
      <c r="AQ95" s="32" t="n">
        <v>1279</v>
      </c>
      <c r="AR95" s="32" t="n">
        <v>1290</v>
      </c>
      <c r="AS95" s="32" t="n">
        <v>1299</v>
      </c>
      <c r="AT95" s="32" t="n">
        <v>1276</v>
      </c>
      <c r="AU95" s="32" t="n">
        <v>1266</v>
      </c>
      <c r="AV95" s="32" t="n">
        <v>1265</v>
      </c>
      <c r="AW95" s="32" t="n">
        <v>1275</v>
      </c>
      <c r="AX95" s="32" t="n">
        <v>1270</v>
      </c>
      <c r="AY95" s="32" t="n">
        <v>1245</v>
      </c>
      <c r="AZ95" s="32" t="n">
        <v>1252</v>
      </c>
      <c r="BA95" s="32" t="n">
        <v>1227</v>
      </c>
      <c r="BB95" s="32" t="n">
        <v>1243</v>
      </c>
      <c r="BC95" s="32" t="n">
        <v>1233</v>
      </c>
      <c r="BD95" s="32" t="n">
        <v>1217</v>
      </c>
      <c r="BE95" s="32" t="n">
        <v>1228</v>
      </c>
      <c r="BF95" s="32" t="n">
        <v>1268</v>
      </c>
      <c r="BG95" s="32" t="n">
        <v>1278</v>
      </c>
      <c r="BH95" s="32" t="n">
        <v>1280</v>
      </c>
      <c r="BI95" s="32" t="n">
        <v>1252</v>
      </c>
      <c r="BJ95" s="32" t="n">
        <v>1232</v>
      </c>
      <c r="BK95" s="32" t="n">
        <v>1320</v>
      </c>
      <c r="BL95" s="33" t="n">
        <v>1336</v>
      </c>
    </row>
    <row r="96" ht="15.95" customHeight="1" s="574">
      <c r="A96" s="68" t="inlineStr">
        <is>
          <t>4062</t>
        </is>
      </c>
      <c r="B96" s="28" t="inlineStr">
        <is>
          <t>イビデン</t>
        </is>
      </c>
      <c r="C96" s="665">
        <f>_xll.RssMarket("4062","高値")</f>
        <v/>
      </c>
      <c r="D96" s="666">
        <f>C96-E96</f>
        <v/>
      </c>
      <c r="E96" s="37" t="n">
        <v>27285</v>
      </c>
      <c r="F96" s="37" t="n">
        <v>27020</v>
      </c>
      <c r="G96" s="32" t="n">
        <v>26390</v>
      </c>
      <c r="H96" s="32" t="n">
        <v>24080</v>
      </c>
      <c r="I96" s="32" t="n">
        <v>23640</v>
      </c>
      <c r="J96" s="32" t="n">
        <v>22800</v>
      </c>
      <c r="K96" s="32" t="n">
        <v>20050</v>
      </c>
      <c r="L96" s="32" t="n">
        <v>18410</v>
      </c>
      <c r="M96" s="32" t="n">
        <v>18375</v>
      </c>
      <c r="N96" s="32" t="n">
        <v>17550</v>
      </c>
      <c r="O96" s="32" t="n">
        <v>19165</v>
      </c>
      <c r="P96" s="32" t="n">
        <v>21865</v>
      </c>
      <c r="Q96" s="32" t="n">
        <v>22430</v>
      </c>
      <c r="R96" s="32" t="n">
        <v>22670</v>
      </c>
      <c r="S96" s="32" t="n">
        <v>23000</v>
      </c>
      <c r="T96" s="32" t="n">
        <v>20845</v>
      </c>
      <c r="U96" s="32" t="n">
        <v>21610</v>
      </c>
      <c r="V96" s="32" t="n">
        <v>21275</v>
      </c>
      <c r="W96" s="32" t="n">
        <v>19340</v>
      </c>
      <c r="X96" s="32" t="n">
        <v>18225</v>
      </c>
      <c r="Y96" s="32" t="n">
        <v>15665</v>
      </c>
      <c r="Z96" s="32" t="n">
        <v>16130</v>
      </c>
      <c r="AA96" s="32" t="n">
        <v>15710</v>
      </c>
      <c r="AB96" s="32" t="n">
        <v>17435</v>
      </c>
      <c r="AC96" s="32" t="n">
        <v>18000</v>
      </c>
      <c r="AD96" s="32" t="n">
        <v>17270</v>
      </c>
      <c r="AE96" s="32" t="n">
        <v>18365</v>
      </c>
      <c r="AF96" s="32" t="n">
        <v>16080</v>
      </c>
      <c r="AG96" s="32" t="n">
        <v>15605</v>
      </c>
      <c r="AH96" s="32" t="n">
        <v>16375</v>
      </c>
      <c r="AI96" s="32" t="n">
        <v>13640</v>
      </c>
      <c r="AJ96" s="32" t="n">
        <v>13870</v>
      </c>
      <c r="AK96" s="32" t="n">
        <v>12980</v>
      </c>
      <c r="AL96" s="32" t="n">
        <v>13130</v>
      </c>
      <c r="AM96" s="32" t="n">
        <v>12830</v>
      </c>
      <c r="AN96" s="32" t="n">
        <v>11515</v>
      </c>
      <c r="AO96" s="32" t="n">
        <v>11200</v>
      </c>
      <c r="AP96" s="32" t="n">
        <v>10560</v>
      </c>
      <c r="AQ96" s="32" t="n">
        <v>9624</v>
      </c>
      <c r="AR96" s="32" t="n">
        <v>9468</v>
      </c>
      <c r="AS96" s="32" t="n">
        <v>9648</v>
      </c>
      <c r="AT96" s="32" t="n">
        <v>10110</v>
      </c>
      <c r="AU96" s="32" t="n">
        <v>9997</v>
      </c>
      <c r="AV96" s="32" t="n">
        <v>9929</v>
      </c>
      <c r="AW96" s="32" t="n">
        <v>10050</v>
      </c>
      <c r="AX96" s="32" t="n">
        <v>9980</v>
      </c>
      <c r="AY96" s="32" t="n">
        <v>9794</v>
      </c>
      <c r="AZ96" s="32" t="n">
        <v>8898</v>
      </c>
      <c r="BA96" s="32" t="n">
        <v>8740</v>
      </c>
      <c r="BB96" s="32" t="n">
        <v>8227</v>
      </c>
      <c r="BC96" s="32" t="n">
        <v>8206</v>
      </c>
      <c r="BD96" s="32" t="n">
        <v>8088</v>
      </c>
      <c r="BE96" s="32" t="n">
        <v>7745</v>
      </c>
      <c r="BF96" s="32" t="n">
        <v>7781</v>
      </c>
      <c r="BG96" s="32" t="n">
        <v>8324</v>
      </c>
      <c r="BH96" s="32" t="n">
        <v>8639</v>
      </c>
      <c r="BI96" s="32" t="n">
        <v>8498</v>
      </c>
      <c r="BJ96" s="32" t="n">
        <v>8163</v>
      </c>
      <c r="BK96" s="32" t="n">
        <v>7909</v>
      </c>
      <c r="BL96" s="33" t="n">
        <v>8352</v>
      </c>
    </row>
    <row r="97" ht="15.95" customHeight="1" s="574">
      <c r="A97" s="68" t="inlineStr">
        <is>
          <t>4182</t>
        </is>
      </c>
      <c r="B97" s="28" t="inlineStr">
        <is>
          <t>三菱瓦斯化学</t>
        </is>
      </c>
      <c r="C97" s="665">
        <f>_xll.RssMarket("4182","高値")</f>
        <v/>
      </c>
      <c r="D97" s="666">
        <f>C97-E97</f>
        <v/>
      </c>
      <c r="E97" s="37" t="n">
        <v>5738</v>
      </c>
      <c r="F97" s="37" t="n">
        <v>5585</v>
      </c>
      <c r="G97" s="32" t="n">
        <v>5398</v>
      </c>
      <c r="H97" s="32" t="n">
        <v>5174</v>
      </c>
      <c r="I97" s="32" t="n">
        <v>5166</v>
      </c>
      <c r="J97" s="32" t="n">
        <v>5186</v>
      </c>
      <c r="K97" s="32" t="n">
        <v>5076</v>
      </c>
      <c r="L97" s="32" t="n">
        <v>4488</v>
      </c>
      <c r="M97" s="32" t="n">
        <v>4621</v>
      </c>
      <c r="N97" s="32" t="n">
        <v>4857</v>
      </c>
      <c r="O97" s="32" t="n">
        <v>5211</v>
      </c>
      <c r="P97" s="32" t="n">
        <v>5364</v>
      </c>
      <c r="Q97" s="32" t="n">
        <v>5492</v>
      </c>
      <c r="R97" s="32" t="n">
        <v>5414</v>
      </c>
      <c r="S97" s="32" t="n">
        <v>5626</v>
      </c>
      <c r="T97" s="32" t="n">
        <v>5453</v>
      </c>
      <c r="U97" s="32" t="n">
        <v>5521</v>
      </c>
      <c r="V97" s="32" t="n">
        <v>5392</v>
      </c>
      <c r="W97" s="32" t="n">
        <v>5147</v>
      </c>
      <c r="X97" s="32" t="n">
        <v>5081</v>
      </c>
      <c r="Y97" s="32" t="n">
        <v>4660</v>
      </c>
      <c r="Z97" s="32" t="n">
        <v>4668</v>
      </c>
      <c r="AA97" s="32" t="n">
        <v>4656</v>
      </c>
      <c r="AB97" s="32" t="n">
        <v>4943</v>
      </c>
      <c r="AC97" s="32" t="n">
        <v>5237</v>
      </c>
      <c r="AD97" s="32" t="n">
        <v>4933</v>
      </c>
      <c r="AE97" s="32" t="n">
        <v>4945</v>
      </c>
      <c r="AF97" s="32" t="n">
        <v>4739</v>
      </c>
      <c r="AG97" s="32" t="n">
        <v>4643</v>
      </c>
      <c r="AH97" s="32" t="n">
        <v>4732</v>
      </c>
      <c r="AI97" s="32" t="n">
        <v>4433</v>
      </c>
      <c r="AJ97" s="32" t="n">
        <v>4427</v>
      </c>
      <c r="AK97" s="32" t="n">
        <v>4410</v>
      </c>
      <c r="AL97" s="32" t="n">
        <v>4410</v>
      </c>
      <c r="AM97" s="32" t="n">
        <v>4445</v>
      </c>
      <c r="AN97" s="32" t="n">
        <v>4363</v>
      </c>
      <c r="AO97" s="32" t="n">
        <v>4367</v>
      </c>
      <c r="AP97" s="32" t="n">
        <v>4389</v>
      </c>
      <c r="AQ97" s="32" t="n">
        <v>4354</v>
      </c>
      <c r="AR97" s="32" t="n">
        <v>4249</v>
      </c>
      <c r="AS97" s="32" t="n">
        <v>4260</v>
      </c>
      <c r="AT97" s="32" t="n">
        <v>4335</v>
      </c>
      <c r="AU97" s="32" t="n">
        <v>4268</v>
      </c>
      <c r="AV97" s="32" t="n">
        <v>4212</v>
      </c>
      <c r="AW97" s="32" t="n">
        <v>4244</v>
      </c>
      <c r="AX97" s="32" t="n">
        <v>4215</v>
      </c>
      <c r="AY97" s="32" t="n">
        <v>4306</v>
      </c>
      <c r="AZ97" s="32" t="n">
        <v>3979</v>
      </c>
      <c r="BA97" s="32" t="n">
        <v>3937</v>
      </c>
      <c r="BB97" s="32" t="n">
        <v>3809</v>
      </c>
      <c r="BC97" s="32" t="n">
        <v>3899</v>
      </c>
      <c r="BD97" s="32" t="n">
        <v>3869</v>
      </c>
      <c r="BE97" s="32" t="n">
        <v>3657</v>
      </c>
      <c r="BF97" s="32" t="n">
        <v>3685</v>
      </c>
      <c r="BG97" s="32" t="n">
        <v>3896</v>
      </c>
      <c r="BH97" s="32" t="n">
        <v>4128</v>
      </c>
      <c r="BI97" s="32" t="n">
        <v>4068</v>
      </c>
      <c r="BJ97" s="32" t="n">
        <v>3969</v>
      </c>
      <c r="BK97" s="32" t="n">
        <v>3870</v>
      </c>
      <c r="BL97" s="33" t="n">
        <v>4073</v>
      </c>
    </row>
    <row r="98" ht="15.95" customHeight="1" s="574">
      <c r="A98" s="68" t="inlineStr">
        <is>
          <t>4188</t>
        </is>
      </c>
      <c r="B98" s="28" t="inlineStr">
        <is>
          <t>三菱ケミカルグループ</t>
        </is>
      </c>
      <c r="C98" s="665">
        <f>_xll.RssMarket("4188","高値")</f>
        <v/>
      </c>
      <c r="D98" s="666">
        <f>C98-E98</f>
        <v/>
      </c>
      <c r="E98" s="37" t="n">
        <v>1111</v>
      </c>
      <c r="F98" s="37" t="n">
        <v>1132.5</v>
      </c>
      <c r="G98" s="32" t="n">
        <v>1163</v>
      </c>
      <c r="H98" s="32" t="n">
        <v>1140</v>
      </c>
      <c r="I98" s="32" t="n">
        <v>1119</v>
      </c>
      <c r="J98" s="32" t="n">
        <v>1147</v>
      </c>
      <c r="K98" s="32" t="n">
        <v>1099</v>
      </c>
      <c r="L98" s="32" t="n">
        <v>1038</v>
      </c>
      <c r="M98" s="32" t="n">
        <v>1032.5</v>
      </c>
      <c r="N98" s="32" t="n">
        <v>1055.5</v>
      </c>
      <c r="O98" s="32" t="n">
        <v>1069.5</v>
      </c>
      <c r="P98" s="32" t="n">
        <v>1112.5</v>
      </c>
      <c r="Q98" s="32" t="n">
        <v>1112</v>
      </c>
      <c r="R98" s="32" t="n">
        <v>1091.5</v>
      </c>
      <c r="S98" s="32" t="n">
        <v>1163</v>
      </c>
      <c r="T98" s="32" t="n">
        <v>1125</v>
      </c>
      <c r="U98" s="32" t="n">
        <v>1145</v>
      </c>
      <c r="V98" s="32" t="n">
        <v>1124</v>
      </c>
      <c r="W98" s="32" t="n">
        <v>1032.5</v>
      </c>
      <c r="X98" s="32" t="n">
        <v>1027</v>
      </c>
      <c r="Y98" s="32" t="n">
        <v>1020</v>
      </c>
      <c r="Z98" s="32" t="n">
        <v>1033</v>
      </c>
      <c r="AA98" s="32" t="n">
        <v>1019</v>
      </c>
      <c r="AB98" s="32" t="n">
        <v>1025</v>
      </c>
      <c r="AC98" s="32" t="n">
        <v>1057</v>
      </c>
      <c r="AD98" s="32" t="n">
        <v>1074.5</v>
      </c>
      <c r="AE98" s="32" t="n">
        <v>942.6</v>
      </c>
      <c r="AF98" s="32" t="n">
        <v>930.2</v>
      </c>
      <c r="AG98" s="32" t="n">
        <v>929.6</v>
      </c>
      <c r="AH98" s="32" t="n">
        <v>947.5</v>
      </c>
      <c r="AI98" s="32" t="n">
        <v>915</v>
      </c>
      <c r="AJ98" s="32" t="n">
        <v>917.9</v>
      </c>
      <c r="AK98" s="32" t="n">
        <v>925.2</v>
      </c>
      <c r="AL98" s="32" t="n">
        <v>922</v>
      </c>
      <c r="AM98" s="32" t="n">
        <v>927.4</v>
      </c>
      <c r="AN98" s="32" t="n">
        <v>933</v>
      </c>
      <c r="AO98" s="32" t="n">
        <v>962.2</v>
      </c>
      <c r="AP98" s="32" t="n">
        <v>977.4</v>
      </c>
      <c r="AQ98" s="32" t="n">
        <v>995.5</v>
      </c>
      <c r="AR98" s="32" t="n">
        <v>995.5</v>
      </c>
      <c r="AS98" s="32" t="n">
        <v>1006.5</v>
      </c>
      <c r="AT98" s="32" t="n">
        <v>1006.5</v>
      </c>
      <c r="AU98" s="32" t="n">
        <v>988.6</v>
      </c>
      <c r="AV98" s="32" t="n">
        <v>991.8</v>
      </c>
      <c r="AW98" s="32" t="n">
        <v>1007</v>
      </c>
      <c r="AX98" s="32" t="n">
        <v>1015.5</v>
      </c>
      <c r="AY98" s="32" t="n">
        <v>1004.5</v>
      </c>
      <c r="AZ98" s="32" t="n">
        <v>926.8</v>
      </c>
      <c r="BA98" s="32" t="n">
        <v>930.7</v>
      </c>
      <c r="BB98" s="32" t="n">
        <v>921.4</v>
      </c>
      <c r="BC98" s="32" t="n">
        <v>957.5</v>
      </c>
      <c r="BD98" s="32" t="n">
        <v>946.1</v>
      </c>
      <c r="BE98" s="32" t="n">
        <v>917.2</v>
      </c>
      <c r="BF98" s="32" t="n">
        <v>906.3</v>
      </c>
      <c r="BG98" s="32" t="n">
        <v>946.8</v>
      </c>
      <c r="BH98" s="32" t="n">
        <v>947.7</v>
      </c>
      <c r="BI98" s="32" t="n">
        <v>943</v>
      </c>
      <c r="BJ98" s="32" t="n">
        <v>910</v>
      </c>
      <c r="BK98" s="32" t="n">
        <v>870.2</v>
      </c>
      <c r="BL98" s="33" t="n">
        <v>918.1</v>
      </c>
    </row>
    <row r="99" ht="15.95" customHeight="1" s="574">
      <c r="A99" s="68" t="inlineStr">
        <is>
          <t>4523</t>
        </is>
      </c>
      <c r="B99" s="28" t="inlineStr">
        <is>
          <t>エーザイ</t>
        </is>
      </c>
      <c r="C99" s="665">
        <f>_xll.RssMarket("4523","高値")</f>
        <v/>
      </c>
      <c r="D99" s="666">
        <f>C99-E99</f>
        <v/>
      </c>
      <c r="E99" s="37" t="n">
        <v>3908</v>
      </c>
      <c r="F99" s="37" t="n">
        <v>3944</v>
      </c>
      <c r="G99" s="32" t="n">
        <v>3976</v>
      </c>
      <c r="H99" s="32" t="n">
        <v>3886</v>
      </c>
      <c r="I99" s="32" t="n">
        <v>3799</v>
      </c>
      <c r="J99" s="32" t="n">
        <v>3840</v>
      </c>
      <c r="K99" s="32" t="n">
        <v>3790</v>
      </c>
      <c r="L99" s="32" t="n">
        <v>3739</v>
      </c>
      <c r="M99" s="32" t="n">
        <v>3749</v>
      </c>
      <c r="N99" s="32" t="n">
        <v>3866</v>
      </c>
      <c r="O99" s="32" t="n">
        <v>3856</v>
      </c>
      <c r="P99" s="32" t="n">
        <v>3853</v>
      </c>
      <c r="Q99" s="32" t="n">
        <v>3818</v>
      </c>
      <c r="R99" s="32" t="n">
        <v>3853</v>
      </c>
      <c r="S99" s="32" t="n">
        <v>3994</v>
      </c>
      <c r="T99" s="32" t="n">
        <v>4057</v>
      </c>
      <c r="U99" s="32" t="n">
        <v>4068</v>
      </c>
      <c r="V99" s="32" t="n">
        <v>4178</v>
      </c>
      <c r="W99" s="32" t="n">
        <v>4249</v>
      </c>
      <c r="X99" s="32" t="n">
        <v>4298</v>
      </c>
      <c r="Y99" s="32" t="n">
        <v>4470</v>
      </c>
      <c r="Z99" s="32" t="n">
        <v>4512</v>
      </c>
      <c r="AA99" s="32" t="n">
        <v>4529</v>
      </c>
      <c r="AB99" s="32" t="n">
        <v>4739</v>
      </c>
      <c r="AC99" s="32" t="n">
        <v>4748</v>
      </c>
      <c r="AD99" s="32" t="n">
        <v>4736</v>
      </c>
      <c r="AE99" s="32" t="n">
        <v>4737</v>
      </c>
      <c r="AF99" s="32" t="n">
        <v>4669</v>
      </c>
      <c r="AG99" s="32" t="n">
        <v>4761</v>
      </c>
      <c r="AH99" s="32" t="n">
        <v>4765</v>
      </c>
      <c r="AI99" s="32" t="n">
        <v>4694</v>
      </c>
      <c r="AJ99" s="32" t="n">
        <v>4705</v>
      </c>
      <c r="AK99" s="32" t="n">
        <v>4635</v>
      </c>
      <c r="AL99" s="32" t="n">
        <v>4653</v>
      </c>
      <c r="AM99" s="32" t="n">
        <v>4778</v>
      </c>
      <c r="AN99" s="32" t="n">
        <v>4821</v>
      </c>
      <c r="AO99" s="32" t="n">
        <v>4960</v>
      </c>
      <c r="AP99" s="32" t="n">
        <v>4901</v>
      </c>
      <c r="AQ99" s="32" t="n">
        <v>4924</v>
      </c>
      <c r="AR99" s="32" t="n">
        <v>5033</v>
      </c>
      <c r="AS99" s="32" t="n">
        <v>5077</v>
      </c>
      <c r="AT99" s="32" t="n">
        <v>5030</v>
      </c>
      <c r="AU99" s="32" t="n">
        <v>4955</v>
      </c>
      <c r="AV99" s="32" t="n">
        <v>4988</v>
      </c>
      <c r="AW99" s="32" t="n">
        <v>5165</v>
      </c>
      <c r="AX99" s="32" t="n">
        <v>5233</v>
      </c>
      <c r="AY99" s="32" t="n">
        <v>5229</v>
      </c>
      <c r="AZ99" s="32" t="n">
        <v>5163</v>
      </c>
      <c r="BA99" s="32" t="n">
        <v>5172</v>
      </c>
      <c r="BB99" s="32" t="n">
        <v>5065</v>
      </c>
      <c r="BC99" s="32" t="n">
        <v>5180</v>
      </c>
      <c r="BD99" s="32" t="n">
        <v>5115</v>
      </c>
      <c r="BE99" s="32" t="n">
        <v>4953</v>
      </c>
      <c r="BF99" s="32" t="n">
        <v>4880</v>
      </c>
      <c r="BG99" s="32" t="n">
        <v>4998</v>
      </c>
      <c r="BH99" s="32" t="n">
        <v>4930</v>
      </c>
      <c r="BI99" s="32" t="n">
        <v>4910</v>
      </c>
      <c r="BJ99" s="32" t="n">
        <v>4809</v>
      </c>
      <c r="BK99" s="32" t="n">
        <v>4718</v>
      </c>
      <c r="BL99" s="33" t="n">
        <v>4873</v>
      </c>
    </row>
    <row r="100" ht="15.95" customHeight="1" s="574">
      <c r="A100" s="68" t="inlineStr">
        <is>
          <t>4528</t>
        </is>
      </c>
      <c r="B100" s="28" t="inlineStr">
        <is>
          <t>小野薬品</t>
        </is>
      </c>
      <c r="C100" s="665">
        <f>_xll.RssMarket("4528","高値")</f>
        <v/>
      </c>
      <c r="D100" s="666">
        <f>C100-E100</f>
        <v/>
      </c>
      <c r="E100" s="37" t="n">
        <v>2390</v>
      </c>
      <c r="F100" s="37" t="n">
        <v>2249</v>
      </c>
      <c r="G100" s="32" t="n">
        <v>2290</v>
      </c>
      <c r="H100" s="32" t="n">
        <v>2277</v>
      </c>
      <c r="I100" s="32" t="n">
        <v>2289.5</v>
      </c>
      <c r="J100" s="32" t="n">
        <v>2310.5</v>
      </c>
      <c r="K100" s="32" t="n">
        <v>2246</v>
      </c>
      <c r="L100" s="32" t="n">
        <v>2232</v>
      </c>
      <c r="M100" s="32" t="n">
        <v>2273.5</v>
      </c>
      <c r="N100" s="32" t="n">
        <v>2234</v>
      </c>
      <c r="O100" s="32" t="n">
        <v>2228.5</v>
      </c>
      <c r="P100" s="32" t="n">
        <v>2204</v>
      </c>
      <c r="Q100" s="32" t="n">
        <v>2297</v>
      </c>
      <c r="R100" s="32" t="n">
        <v>2419.5</v>
      </c>
      <c r="S100" s="32" t="n">
        <v>2407.5</v>
      </c>
      <c r="T100" s="32" t="n">
        <v>2378</v>
      </c>
      <c r="U100" s="32" t="n">
        <v>2511</v>
      </c>
      <c r="V100" s="32" t="n">
        <v>2539</v>
      </c>
      <c r="W100" s="32" t="n">
        <v>2489</v>
      </c>
      <c r="X100" s="32" t="n">
        <v>2485.5</v>
      </c>
      <c r="Y100" s="32" t="n">
        <v>2439.5</v>
      </c>
      <c r="Z100" s="32" t="n">
        <v>2517</v>
      </c>
      <c r="AA100" s="32" t="n">
        <v>2565</v>
      </c>
      <c r="AB100" s="32" t="n">
        <v>2573.5</v>
      </c>
      <c r="AC100" s="32" t="n">
        <v>2556.5</v>
      </c>
      <c r="AD100" s="32" t="n">
        <v>2509.5</v>
      </c>
      <c r="AE100" s="32" t="n">
        <v>2523.5</v>
      </c>
      <c r="AF100" s="32" t="n">
        <v>2480.5</v>
      </c>
      <c r="AG100" s="32" t="n">
        <v>2362</v>
      </c>
      <c r="AH100" s="32" t="n">
        <v>2328</v>
      </c>
      <c r="AI100" s="32" t="n">
        <v>2315</v>
      </c>
      <c r="AJ100" s="32" t="n">
        <v>2316</v>
      </c>
      <c r="AK100" s="32" t="n">
        <v>2326.5</v>
      </c>
      <c r="AL100" s="32" t="n">
        <v>2350</v>
      </c>
      <c r="AM100" s="32" t="n">
        <v>2319.5</v>
      </c>
      <c r="AN100" s="32" t="n">
        <v>2345</v>
      </c>
      <c r="AO100" s="32" t="n">
        <v>2413.5</v>
      </c>
      <c r="AP100" s="32" t="n">
        <v>2429.5</v>
      </c>
      <c r="AQ100" s="32" t="n">
        <v>2468.5</v>
      </c>
      <c r="AR100" s="32" t="n">
        <v>2496</v>
      </c>
      <c r="AS100" s="32" t="n">
        <v>2495</v>
      </c>
      <c r="AT100" s="32" t="n">
        <v>2516</v>
      </c>
      <c r="AU100" s="32" t="n">
        <v>2528</v>
      </c>
      <c r="AV100" s="32" t="n">
        <v>2565</v>
      </c>
      <c r="AW100" s="32" t="n">
        <v>2589</v>
      </c>
      <c r="AX100" s="32" t="n">
        <v>2604</v>
      </c>
      <c r="AY100" s="32" t="n">
        <v>2549</v>
      </c>
      <c r="AZ100" s="32" t="n">
        <v>2565</v>
      </c>
      <c r="BA100" s="32" t="n">
        <v>2537</v>
      </c>
      <c r="BB100" s="32" t="n">
        <v>2599.5</v>
      </c>
      <c r="BC100" s="32" t="n">
        <v>2579.5</v>
      </c>
      <c r="BD100" s="32" t="n">
        <v>2541</v>
      </c>
      <c r="BE100" s="32" t="n">
        <v>2519.5</v>
      </c>
      <c r="BF100" s="32" t="n">
        <v>2549</v>
      </c>
      <c r="BG100" s="32" t="n">
        <v>2507.5</v>
      </c>
      <c r="BH100" s="32" t="n">
        <v>2478.5</v>
      </c>
      <c r="BI100" s="32" t="n">
        <v>2396.5</v>
      </c>
      <c r="BJ100" s="32" t="n">
        <v>2349.5</v>
      </c>
      <c r="BK100" s="32" t="n">
        <v>2396.5</v>
      </c>
      <c r="BL100" s="33" t="n">
        <v>2420</v>
      </c>
    </row>
    <row r="101" ht="15.95" customHeight="1" s="574">
      <c r="A101" s="68" t="inlineStr">
        <is>
          <t>4661</t>
        </is>
      </c>
      <c r="B101" s="28" t="inlineStr">
        <is>
          <t>オリエンタルランド</t>
        </is>
      </c>
      <c r="C101" s="665">
        <f>_xll.RssMarket("4661","高値")</f>
        <v/>
      </c>
      <c r="D101" s="666">
        <f>C101-E101</f>
        <v/>
      </c>
      <c r="E101" s="37" t="n">
        <v>2351.5</v>
      </c>
      <c r="F101" s="37" t="n">
        <v>2336.5</v>
      </c>
      <c r="G101" s="32" t="n">
        <v>2300</v>
      </c>
      <c r="H101" s="32" t="n">
        <v>2303.5</v>
      </c>
      <c r="I101" s="32" t="n">
        <v>2293.5</v>
      </c>
      <c r="J101" s="32" t="n">
        <v>2263.5</v>
      </c>
      <c r="K101" s="32" t="n">
        <v>2300</v>
      </c>
      <c r="L101" s="32" t="n">
        <v>2332</v>
      </c>
      <c r="M101" s="32" t="n">
        <v>2292.5</v>
      </c>
      <c r="N101" s="32" t="n">
        <v>2257.5</v>
      </c>
      <c r="O101" s="32" t="n">
        <v>2227.5</v>
      </c>
      <c r="P101" s="32" t="n">
        <v>2215.5</v>
      </c>
      <c r="Q101" s="32" t="n">
        <v>2231.5</v>
      </c>
      <c r="R101" s="32" t="n">
        <v>2238</v>
      </c>
      <c r="S101" s="32" t="n">
        <v>2327</v>
      </c>
      <c r="T101" s="32" t="n">
        <v>2259</v>
      </c>
      <c r="U101" s="32" t="n">
        <v>2200</v>
      </c>
      <c r="V101" s="32" t="n">
        <v>2141</v>
      </c>
      <c r="W101" s="32" t="n">
        <v>2149</v>
      </c>
      <c r="X101" s="32" t="n">
        <v>2202.5</v>
      </c>
      <c r="Y101" s="32" t="n">
        <v>2245.5</v>
      </c>
      <c r="Z101" s="32" t="n">
        <v>2232.5</v>
      </c>
      <c r="AA101" s="32" t="n">
        <v>2188</v>
      </c>
      <c r="AB101" s="32" t="n">
        <v>2166</v>
      </c>
      <c r="AC101" s="32" t="n">
        <v>2171</v>
      </c>
      <c r="AD101" s="32" t="n">
        <v>2223</v>
      </c>
      <c r="AE101" s="32" t="n">
        <v>2211</v>
      </c>
      <c r="AF101" s="32" t="n">
        <v>2234.5</v>
      </c>
      <c r="AG101" s="32" t="n">
        <v>2274</v>
      </c>
      <c r="AH101" s="32" t="n">
        <v>2247.5</v>
      </c>
      <c r="AI101" s="32" t="n">
        <v>2232</v>
      </c>
      <c r="AJ101" s="32" t="n">
        <v>2266.5</v>
      </c>
      <c r="AK101" s="32" t="n">
        <v>2434.5</v>
      </c>
      <c r="AL101" s="32" t="n">
        <v>2424</v>
      </c>
      <c r="AM101" s="32" t="n">
        <v>2470</v>
      </c>
      <c r="AN101" s="32" t="n">
        <v>2576</v>
      </c>
      <c r="AO101" s="32" t="n">
        <v>2626.5</v>
      </c>
      <c r="AP101" s="32" t="n">
        <v>2654</v>
      </c>
      <c r="AQ101" s="32" t="n">
        <v>2665</v>
      </c>
      <c r="AR101" s="32" t="n">
        <v>2658</v>
      </c>
      <c r="AS101" s="32" t="n">
        <v>2696</v>
      </c>
      <c r="AT101" s="32" t="n">
        <v>2647.5</v>
      </c>
      <c r="AU101" s="32" t="n">
        <v>2615</v>
      </c>
      <c r="AV101" s="32" t="n">
        <v>2615</v>
      </c>
      <c r="AW101" s="32" t="n">
        <v>2616</v>
      </c>
      <c r="AX101" s="32" t="n">
        <v>2691.5</v>
      </c>
      <c r="AY101" s="32" t="n">
        <v>2687</v>
      </c>
      <c r="AZ101" s="32" t="n">
        <v>2693.5</v>
      </c>
      <c r="BA101" s="32" t="n">
        <v>2730</v>
      </c>
      <c r="BB101" s="32" t="n">
        <v>2763</v>
      </c>
      <c r="BC101" s="32" t="n">
        <v>2768.5</v>
      </c>
      <c r="BD101" s="32" t="n">
        <v>2738</v>
      </c>
      <c r="BE101" s="32" t="n">
        <v>2729.5</v>
      </c>
      <c r="BF101" s="32" t="n">
        <v>2669</v>
      </c>
      <c r="BG101" s="32" t="n">
        <v>2748</v>
      </c>
      <c r="BH101" s="32" t="n">
        <v>2704</v>
      </c>
      <c r="BI101" s="32" t="n">
        <v>2722</v>
      </c>
      <c r="BJ101" s="32" t="n">
        <v>2703.5</v>
      </c>
      <c r="BK101" s="32" t="n">
        <v>2748</v>
      </c>
      <c r="BL101" s="33" t="n">
        <v>2799.5</v>
      </c>
    </row>
    <row r="102" ht="15.95" customHeight="1" s="574">
      <c r="A102" s="68" t="inlineStr">
        <is>
          <t>5802</t>
        </is>
      </c>
      <c r="B102" s="28" t="inlineStr">
        <is>
          <t>住友電工</t>
        </is>
      </c>
      <c r="C102" s="665">
        <f>_xll.RssMarket("5802","高値")</f>
        <v/>
      </c>
      <c r="D102" s="666">
        <f>C102-E102</f>
        <v/>
      </c>
      <c r="E102" s="37" t="n">
        <v>13940</v>
      </c>
      <c r="F102" s="37" t="n">
        <v>14305</v>
      </c>
      <c r="G102" s="32" t="n">
        <v>12470</v>
      </c>
      <c r="H102" s="32" t="n">
        <v>12415</v>
      </c>
      <c r="I102" s="32" t="n">
        <v>12605</v>
      </c>
      <c r="J102" s="32" t="n">
        <v>11640</v>
      </c>
      <c r="K102" s="32" t="n">
        <v>11280</v>
      </c>
      <c r="L102" s="32" t="n">
        <v>10470</v>
      </c>
      <c r="M102" s="32" t="n">
        <v>11585</v>
      </c>
      <c r="N102" s="32" t="n">
        <v>12395</v>
      </c>
      <c r="O102" s="32" t="n">
        <v>13300</v>
      </c>
      <c r="P102" s="32" t="n">
        <v>14135</v>
      </c>
      <c r="Q102" s="32" t="n">
        <v>14850</v>
      </c>
      <c r="R102" s="32" t="n">
        <v>13340</v>
      </c>
      <c r="S102" s="32" t="n">
        <v>12585</v>
      </c>
      <c r="T102" s="32" t="n">
        <v>12075</v>
      </c>
      <c r="U102" s="32" t="n">
        <v>12910</v>
      </c>
      <c r="V102" s="32" t="n">
        <v>12550</v>
      </c>
      <c r="W102" s="32" t="n">
        <v>11890</v>
      </c>
      <c r="X102" s="32" t="n">
        <v>10995</v>
      </c>
      <c r="Y102" s="32" t="n">
        <v>10770</v>
      </c>
      <c r="Z102" s="32" t="n">
        <v>11350</v>
      </c>
      <c r="AA102" s="32" t="n">
        <v>11735</v>
      </c>
      <c r="AB102" s="32" t="n">
        <v>12425</v>
      </c>
      <c r="AC102" s="32" t="n">
        <v>13030</v>
      </c>
      <c r="AD102" s="32" t="n">
        <v>12845</v>
      </c>
      <c r="AE102" s="32" t="n">
        <v>12745</v>
      </c>
      <c r="AF102" s="32" t="n">
        <v>11670</v>
      </c>
      <c r="AG102" s="32" t="n">
        <v>11310</v>
      </c>
      <c r="AH102" s="32" t="n">
        <v>11345</v>
      </c>
      <c r="AI102" s="32" t="n">
        <v>10320</v>
      </c>
      <c r="AJ102" s="32" t="n">
        <v>10270</v>
      </c>
      <c r="AK102" s="32" t="n">
        <v>10190</v>
      </c>
      <c r="AL102" s="32" t="n">
        <v>10190</v>
      </c>
      <c r="AM102" s="32" t="n">
        <v>10405</v>
      </c>
      <c r="AN102" s="32" t="n">
        <v>10845</v>
      </c>
      <c r="AO102" s="32" t="n">
        <v>10760</v>
      </c>
      <c r="AP102" s="32" t="n">
        <v>10560</v>
      </c>
      <c r="AQ102" s="32" t="n">
        <v>10315</v>
      </c>
      <c r="AR102" s="32" t="n">
        <v>10130</v>
      </c>
      <c r="AS102" s="32" t="n">
        <v>10150</v>
      </c>
      <c r="AT102" s="32" t="n">
        <v>10380</v>
      </c>
      <c r="AU102" s="32" t="n">
        <v>10230</v>
      </c>
      <c r="AV102" s="32" t="n">
        <v>10835</v>
      </c>
      <c r="AW102" s="32" t="n">
        <v>10615</v>
      </c>
      <c r="AX102" s="32" t="n">
        <v>10570</v>
      </c>
      <c r="AY102" s="32" t="n">
        <v>10400</v>
      </c>
      <c r="AZ102" s="32" t="n">
        <v>9557</v>
      </c>
      <c r="BA102" s="32" t="n">
        <v>9899</v>
      </c>
      <c r="BB102" s="32" t="n">
        <v>9650</v>
      </c>
      <c r="BC102" s="32" t="n">
        <v>9555</v>
      </c>
      <c r="BD102" s="32" t="n">
        <v>9269</v>
      </c>
      <c r="BE102" s="32" t="n">
        <v>8829</v>
      </c>
      <c r="BF102" s="32" t="n">
        <v>9034</v>
      </c>
      <c r="BG102" s="32" t="n">
        <v>9565</v>
      </c>
      <c r="BH102" s="32" t="n">
        <v>10320</v>
      </c>
      <c r="BI102" s="32" t="n">
        <v>10310</v>
      </c>
      <c r="BJ102" s="32" t="n">
        <v>9971</v>
      </c>
      <c r="BK102" s="32" t="n">
        <v>9362</v>
      </c>
      <c r="BL102" s="33" t="n">
        <v>10115</v>
      </c>
    </row>
    <row r="103" ht="15.95" customHeight="1" s="574">
      <c r="A103" s="68" t="inlineStr">
        <is>
          <t>5803</t>
        </is>
      </c>
      <c r="B103" s="28" t="inlineStr">
        <is>
          <t>フジクラ</t>
        </is>
      </c>
      <c r="C103" s="665">
        <f>_xll.RssMarket("5803","高値")</f>
        <v/>
      </c>
      <c r="D103" s="666">
        <f>C103-E103</f>
        <v/>
      </c>
      <c r="E103" s="37" t="n">
        <v>6161</v>
      </c>
      <c r="F103" s="37" t="n">
        <v>5161</v>
      </c>
      <c r="G103" s="32" t="n">
        <v>4910</v>
      </c>
      <c r="H103" s="32" t="n">
        <v>4763</v>
      </c>
      <c r="I103" s="32" t="n">
        <v>4829</v>
      </c>
      <c r="J103" s="32" t="n">
        <v>4492</v>
      </c>
      <c r="K103" s="32" t="n">
        <v>4357</v>
      </c>
      <c r="L103" s="32" t="n">
        <v>4162</v>
      </c>
      <c r="M103" s="32" t="n">
        <v>4412</v>
      </c>
      <c r="N103" s="32" t="n">
        <v>4525</v>
      </c>
      <c r="O103" s="32" t="n">
        <v>4825</v>
      </c>
      <c r="P103" s="32" t="n">
        <v>4866</v>
      </c>
      <c r="Q103" s="32" t="n">
        <v>5163</v>
      </c>
      <c r="R103" s="32" t="n">
        <v>4666</v>
      </c>
      <c r="S103" s="32" t="n">
        <v>5047</v>
      </c>
      <c r="T103" s="32" t="n">
        <v>5196</v>
      </c>
      <c r="U103" s="32" t="n">
        <v>5555</v>
      </c>
      <c r="V103" s="32" t="n">
        <v>5550</v>
      </c>
      <c r="W103" s="32" t="n">
        <v>5031</v>
      </c>
      <c r="X103" s="32" t="n">
        <v>4662</v>
      </c>
      <c r="Y103" s="32" t="n">
        <v>4516</v>
      </c>
      <c r="Z103" s="32" t="n">
        <v>5639</v>
      </c>
      <c r="AA103" s="32" t="n">
        <v>5969</v>
      </c>
      <c r="AB103" s="32" t="n">
        <v>6999</v>
      </c>
      <c r="AC103" s="32" t="n">
        <v>7933</v>
      </c>
      <c r="AD103" s="32" t="n">
        <v>7915</v>
      </c>
      <c r="AE103" s="32" t="n">
        <v>7770</v>
      </c>
      <c r="AF103" s="32" t="n">
        <v>6980</v>
      </c>
      <c r="AG103" s="32" t="n">
        <v>6582</v>
      </c>
      <c r="AH103" s="32" t="n">
        <v>6500</v>
      </c>
      <c r="AI103" s="32" t="n">
        <v>6027</v>
      </c>
      <c r="AJ103" s="32" t="n">
        <v>6083</v>
      </c>
      <c r="AK103" s="32" t="n">
        <v>6321</v>
      </c>
      <c r="AL103" s="32" t="n">
        <v>6397</v>
      </c>
      <c r="AM103" s="32" t="n">
        <v>6100</v>
      </c>
      <c r="AN103" s="32" t="n">
        <v>6218</v>
      </c>
      <c r="AO103" s="32" t="n">
        <v>5989</v>
      </c>
      <c r="AP103" s="32" t="n">
        <v>5889</v>
      </c>
      <c r="AQ103" s="32" t="n">
        <v>5898</v>
      </c>
      <c r="AR103" s="32" t="n">
        <v>5987</v>
      </c>
      <c r="AS103" s="32" t="n">
        <v>5959</v>
      </c>
      <c r="AT103" s="32" t="n">
        <v>6037</v>
      </c>
      <c r="AU103" s="32" t="n">
        <v>5985</v>
      </c>
      <c r="AV103" s="32" t="n">
        <v>6004</v>
      </c>
      <c r="AW103" s="32" t="n">
        <v>5644</v>
      </c>
      <c r="AX103" s="32" t="n">
        <v>5073</v>
      </c>
      <c r="AY103" s="32" t="n">
        <v>4888</v>
      </c>
      <c r="AZ103" s="32" t="n">
        <v>4600</v>
      </c>
      <c r="BA103" s="32" t="n">
        <v>4732</v>
      </c>
      <c r="BB103" s="32" t="n">
        <v>4654</v>
      </c>
      <c r="BC103" s="32" t="n">
        <v>4662</v>
      </c>
      <c r="BD103" s="32" t="n">
        <v>4470</v>
      </c>
      <c r="BE103" s="32" t="n">
        <v>4281</v>
      </c>
      <c r="BF103" s="32" t="n">
        <v>4526</v>
      </c>
      <c r="BG103" s="32" t="n">
        <v>4687.5</v>
      </c>
      <c r="BH103" s="32" t="n">
        <v>4847.5</v>
      </c>
      <c r="BI103" s="32" t="n">
        <v>4610.8</v>
      </c>
      <c r="BJ103" s="32" t="n">
        <v>4323.3</v>
      </c>
      <c r="BK103" s="32" t="n">
        <v>4135.8</v>
      </c>
      <c r="BL103" s="33" t="n">
        <v>4338.3</v>
      </c>
    </row>
    <row r="104" ht="15.95" customHeight="1" s="574">
      <c r="A104" s="68" t="inlineStr">
        <is>
          <t>6178</t>
        </is>
      </c>
      <c r="B104" s="28" t="inlineStr">
        <is>
          <t>日本郵政</t>
        </is>
      </c>
      <c r="C104" s="665">
        <f>_xll.RssMarket("6178","高値")</f>
        <v/>
      </c>
      <c r="D104" s="666">
        <f>C104-E104</f>
        <v/>
      </c>
      <c r="E104" s="37" t="n">
        <v>2241</v>
      </c>
      <c r="F104" s="37" t="n">
        <v>2263</v>
      </c>
      <c r="G104" s="32" t="n">
        <v>2249</v>
      </c>
      <c r="H104" s="32" t="n">
        <v>2279.5</v>
      </c>
      <c r="I104" s="32" t="n">
        <v>2264.5</v>
      </c>
      <c r="J104" s="32" t="n">
        <v>2344.5</v>
      </c>
      <c r="K104" s="32" t="n">
        <v>2361</v>
      </c>
      <c r="L104" s="32" t="n">
        <v>2252</v>
      </c>
      <c r="M104" s="32" t="n">
        <v>2246.5</v>
      </c>
      <c r="N104" s="32" t="n">
        <v>2147.5</v>
      </c>
      <c r="O104" s="32" t="n">
        <v>2177</v>
      </c>
      <c r="P104" s="32" t="n">
        <v>2145.5</v>
      </c>
      <c r="Q104" s="32" t="n">
        <v>2125</v>
      </c>
      <c r="R104" s="32" t="n">
        <v>2074</v>
      </c>
      <c r="S104" s="32" t="n">
        <v>2075</v>
      </c>
      <c r="T104" s="32" t="n">
        <v>2037.5</v>
      </c>
      <c r="U104" s="32" t="n">
        <v>2093</v>
      </c>
      <c r="V104" s="32" t="n">
        <v>2128</v>
      </c>
      <c r="W104" s="32" t="n">
        <v>2138.5</v>
      </c>
      <c r="X104" s="32" t="n">
        <v>2154.5</v>
      </c>
      <c r="Y104" s="32" t="n">
        <v>2139.5</v>
      </c>
      <c r="Z104" s="32" t="n">
        <v>2115.5</v>
      </c>
      <c r="AA104" s="32" t="n">
        <v>2068</v>
      </c>
      <c r="AB104" s="32" t="n">
        <v>1981.5</v>
      </c>
      <c r="AC104" s="32" t="n">
        <v>1956.5</v>
      </c>
      <c r="AD104" s="32" t="n">
        <v>1944.5</v>
      </c>
      <c r="AE104" s="32" t="n">
        <v>1911</v>
      </c>
      <c r="AF104" s="32" t="n">
        <v>1871.5</v>
      </c>
      <c r="AG104" s="32" t="n">
        <v>1859.5</v>
      </c>
      <c r="AH104" s="32" t="n">
        <v>1871.5</v>
      </c>
      <c r="AI104" s="32" t="n">
        <v>1819</v>
      </c>
      <c r="AJ104" s="32" t="n">
        <v>1829</v>
      </c>
      <c r="AK104" s="32" t="n">
        <v>1826.5</v>
      </c>
      <c r="AL104" s="32" t="n">
        <v>1773</v>
      </c>
      <c r="AM104" s="32" t="n">
        <v>1789</v>
      </c>
      <c r="AN104" s="32" t="n">
        <v>1789</v>
      </c>
      <c r="AO104" s="32" t="n">
        <v>1821.5</v>
      </c>
      <c r="AP104" s="32" t="n">
        <v>1861</v>
      </c>
      <c r="AQ104" s="32" t="n">
        <v>1885</v>
      </c>
      <c r="AR104" s="32" t="n">
        <v>1889.5</v>
      </c>
      <c r="AS104" s="32" t="n">
        <v>1903</v>
      </c>
      <c r="AT104" s="32" t="n">
        <v>1878</v>
      </c>
      <c r="AU104" s="32" t="n">
        <v>1882</v>
      </c>
      <c r="AV104" s="32" t="n">
        <v>1867.5</v>
      </c>
      <c r="AW104" s="32" t="n">
        <v>1893.5</v>
      </c>
      <c r="AX104" s="32" t="n">
        <v>1918</v>
      </c>
      <c r="AY104" s="32" t="n">
        <v>1925</v>
      </c>
      <c r="AZ104" s="32" t="n">
        <v>1874</v>
      </c>
      <c r="BA104" s="32" t="n">
        <v>1896.5</v>
      </c>
      <c r="BB104" s="32" t="n">
        <v>1845</v>
      </c>
      <c r="BC104" s="32" t="n">
        <v>1891</v>
      </c>
      <c r="BD104" s="32" t="n">
        <v>1883.5</v>
      </c>
      <c r="BE104" s="32" t="n">
        <v>1837</v>
      </c>
      <c r="BF104" s="32" t="n">
        <v>1804</v>
      </c>
      <c r="BG104" s="32" t="n">
        <v>1869</v>
      </c>
      <c r="BH104" s="32" t="n">
        <v>1864</v>
      </c>
      <c r="BI104" s="32" t="n">
        <v>1873.5</v>
      </c>
      <c r="BJ104" s="32" t="n">
        <v>1816</v>
      </c>
      <c r="BK104" s="32" t="n">
        <v>1777</v>
      </c>
      <c r="BL104" s="33" t="n">
        <v>1824</v>
      </c>
    </row>
    <row r="105" ht="15.95" customHeight="1" s="574">
      <c r="A105" s="68" t="inlineStr">
        <is>
          <t>6925</t>
        </is>
      </c>
      <c r="B105" s="28" t="inlineStr">
        <is>
          <t>ウシオ電機</t>
        </is>
      </c>
      <c r="C105" s="665">
        <f>_xll.RssMarket("6925","高値")</f>
        <v/>
      </c>
      <c r="D105" s="666">
        <f>C105-E105</f>
        <v/>
      </c>
      <c r="E105" s="37" t="n">
        <v>4890</v>
      </c>
      <c r="F105" s="37" t="n">
        <v>4830</v>
      </c>
      <c r="G105" s="32" t="n">
        <v>4733</v>
      </c>
      <c r="H105" s="32" t="n">
        <v>4620</v>
      </c>
      <c r="I105" s="32" t="n">
        <v>4340</v>
      </c>
      <c r="J105" s="32" t="n">
        <v>4284</v>
      </c>
      <c r="K105" s="32" t="n">
        <v>4196</v>
      </c>
      <c r="L105" s="32" t="n">
        <v>3956</v>
      </c>
      <c r="M105" s="32" t="n">
        <v>4085</v>
      </c>
      <c r="N105" s="32" t="n">
        <v>4082</v>
      </c>
      <c r="O105" s="32" t="n">
        <v>4328</v>
      </c>
      <c r="P105" s="32" t="n">
        <v>4310</v>
      </c>
      <c r="Q105" s="32" t="n">
        <v>4198</v>
      </c>
      <c r="R105" s="32" t="n">
        <v>4088</v>
      </c>
      <c r="S105" s="32" t="n">
        <v>4264</v>
      </c>
      <c r="T105" s="32" t="n">
        <v>4220</v>
      </c>
      <c r="U105" s="32" t="n">
        <v>4275</v>
      </c>
      <c r="V105" s="32" t="n">
        <v>4270</v>
      </c>
      <c r="W105" s="32" t="n">
        <v>4104</v>
      </c>
      <c r="X105" s="32" t="n">
        <v>4072</v>
      </c>
      <c r="Y105" s="32" t="n">
        <v>3938</v>
      </c>
      <c r="Z105" s="32" t="n">
        <v>4204</v>
      </c>
      <c r="AA105" s="32" t="n">
        <v>4416</v>
      </c>
      <c r="AB105" s="32" t="n">
        <v>4239</v>
      </c>
      <c r="AC105" s="32" t="n">
        <v>3591</v>
      </c>
      <c r="AD105" s="32" t="n">
        <v>3524</v>
      </c>
      <c r="AE105" s="32" t="n">
        <v>3530</v>
      </c>
      <c r="AF105" s="32" t="n">
        <v>3437</v>
      </c>
      <c r="AG105" s="32" t="n">
        <v>3390</v>
      </c>
      <c r="AH105" s="32" t="n">
        <v>3419</v>
      </c>
      <c r="AI105" s="32" t="n">
        <v>3205</v>
      </c>
      <c r="AJ105" s="32" t="n">
        <v>3183</v>
      </c>
      <c r="AK105" s="32" t="n">
        <v>3135</v>
      </c>
      <c r="AL105" s="32" t="n">
        <v>3224</v>
      </c>
      <c r="AM105" s="32" t="n">
        <v>3246</v>
      </c>
      <c r="AN105" s="32" t="n">
        <v>3162</v>
      </c>
      <c r="AO105" s="32" t="n">
        <v>3185</v>
      </c>
      <c r="AP105" s="32" t="n">
        <v>3234</v>
      </c>
      <c r="AQ105" s="32" t="n">
        <v>3222</v>
      </c>
      <c r="AR105" s="32" t="n">
        <v>3321</v>
      </c>
      <c r="AS105" s="32" t="n">
        <v>3337</v>
      </c>
      <c r="AT105" s="32" t="n">
        <v>3325</v>
      </c>
      <c r="AU105" s="32" t="n">
        <v>3301</v>
      </c>
      <c r="AV105" s="32" t="n">
        <v>3257</v>
      </c>
      <c r="AW105" s="32" t="n">
        <v>3270</v>
      </c>
      <c r="AX105" s="32" t="n">
        <v>3220</v>
      </c>
      <c r="AY105" s="32" t="n">
        <v>3178</v>
      </c>
      <c r="AZ105" s="32" t="n">
        <v>3091</v>
      </c>
      <c r="BA105" s="32" t="n">
        <v>3091</v>
      </c>
      <c r="BB105" s="32" t="n">
        <v>3132</v>
      </c>
      <c r="BC105" s="32" t="n">
        <v>3137</v>
      </c>
      <c r="BD105" s="32" t="n">
        <v>3065</v>
      </c>
      <c r="BE105" s="32" t="n">
        <v>2880.5</v>
      </c>
      <c r="BF105" s="32" t="n">
        <v>2844</v>
      </c>
      <c r="BG105" s="32" t="n">
        <v>2944</v>
      </c>
      <c r="BH105" s="32" t="n">
        <v>2978</v>
      </c>
      <c r="BI105" s="32" t="n">
        <v>2978.5</v>
      </c>
      <c r="BJ105" s="32" t="n">
        <v>2905.5</v>
      </c>
      <c r="BK105" s="32" t="n">
        <v>2807.5</v>
      </c>
      <c r="BL105" s="33" t="n">
        <v>2898.5</v>
      </c>
    </row>
    <row r="106" ht="15.95" customHeight="1" s="574">
      <c r="A106" s="68" t="inlineStr">
        <is>
          <t>7021</t>
        </is>
      </c>
      <c r="B106" s="28" t="inlineStr">
        <is>
          <t>ニッチツ</t>
        </is>
      </c>
      <c r="C106" s="665">
        <f>_xll.RssMarket("7021","高値")</f>
        <v/>
      </c>
      <c r="D106" s="666">
        <f>C106-E106</f>
        <v/>
      </c>
      <c r="E106" s="37" t="n">
        <v>1794</v>
      </c>
      <c r="F106" s="37" t="n">
        <v>1788</v>
      </c>
      <c r="G106" s="32" t="n">
        <v>1793</v>
      </c>
      <c r="H106" s="32" t="n">
        <v>1810</v>
      </c>
      <c r="I106" s="32" t="n">
        <v>1809</v>
      </c>
      <c r="J106" s="32" t="n">
        <v>1826</v>
      </c>
      <c r="K106" s="32" t="n">
        <v>1805</v>
      </c>
      <c r="L106" s="32" t="n">
        <v>1812</v>
      </c>
      <c r="M106" s="32" t="n">
        <v>1809</v>
      </c>
      <c r="N106" s="32" t="n">
        <v>1770</v>
      </c>
      <c r="O106" s="32" t="n">
        <v>1811</v>
      </c>
      <c r="P106" s="32" t="n">
        <v>1770</v>
      </c>
      <c r="Q106" s="32" t="n">
        <v>1827</v>
      </c>
      <c r="R106" s="32" t="n">
        <v>1803</v>
      </c>
      <c r="S106" s="32" t="n">
        <v>1854</v>
      </c>
      <c r="T106" s="32" t="n">
        <v>1894</v>
      </c>
      <c r="U106" s="32" t="n">
        <v>1828</v>
      </c>
      <c r="V106" s="32" t="n">
        <v>1823</v>
      </c>
      <c r="W106" s="32" t="n">
        <v>1868</v>
      </c>
      <c r="X106" s="32" t="n">
        <v>1881</v>
      </c>
      <c r="Y106" s="32" t="n">
        <v>1915</v>
      </c>
      <c r="Z106" s="32" t="n">
        <v>1980</v>
      </c>
      <c r="AA106" s="32" t="n">
        <v>2089</v>
      </c>
      <c r="AB106" s="32" t="n">
        <v>2193</v>
      </c>
      <c r="AC106" s="32" t="n">
        <v>2190</v>
      </c>
      <c r="AD106" s="32" t="n">
        <v>2188</v>
      </c>
      <c r="AE106" s="32" t="n">
        <v>2161</v>
      </c>
      <c r="AF106" s="32" t="n">
        <v>2170</v>
      </c>
      <c r="AG106" s="32" t="n">
        <v>2166</v>
      </c>
      <c r="AH106" s="32" t="n">
        <v>2175</v>
      </c>
      <c r="AI106" s="32" t="n">
        <v>2225</v>
      </c>
      <c r="AJ106" s="32" t="n">
        <v>2230</v>
      </c>
      <c r="AK106" s="32" t="n">
        <v>2259</v>
      </c>
      <c r="AL106" s="32" t="n">
        <v>2294</v>
      </c>
      <c r="AM106" s="32" t="n">
        <v>2299</v>
      </c>
      <c r="AN106" s="32" t="n">
        <v>2310</v>
      </c>
      <c r="AO106" s="32" t="n">
        <v>2364</v>
      </c>
      <c r="AP106" s="32" t="n">
        <v>2344</v>
      </c>
      <c r="AQ106" s="32" t="n">
        <v>2374</v>
      </c>
      <c r="AR106" s="32" t="n">
        <v>2368</v>
      </c>
      <c r="AS106" s="32" t="n">
        <v>2365</v>
      </c>
      <c r="AT106" s="32" t="n">
        <v>2350</v>
      </c>
      <c r="AU106" s="32" t="n">
        <v>2346</v>
      </c>
      <c r="AV106" s="32" t="n">
        <v>2324</v>
      </c>
      <c r="AW106" s="32" t="n">
        <v>2337</v>
      </c>
      <c r="AX106" s="32" t="n">
        <v>2325</v>
      </c>
      <c r="AY106" s="32" t="n">
        <v>2291</v>
      </c>
      <c r="AZ106" s="32" t="n">
        <v>2305</v>
      </c>
      <c r="BA106" s="32" t="n">
        <v>2319</v>
      </c>
      <c r="BB106" s="32" t="n">
        <v>2299</v>
      </c>
      <c r="BC106" s="32" t="n">
        <v>2265</v>
      </c>
      <c r="BD106" s="32" t="n">
        <v>2264</v>
      </c>
      <c r="BE106" s="32" t="n">
        <v>2219</v>
      </c>
      <c r="BF106" s="32" t="n">
        <v>2293</v>
      </c>
      <c r="BG106" s="32" t="n">
        <v>2276</v>
      </c>
      <c r="BH106" s="32" t="n">
        <v>2294</v>
      </c>
      <c r="BI106" s="32" t="n">
        <v>2288</v>
      </c>
      <c r="BJ106" s="32" t="n">
        <v>2264</v>
      </c>
      <c r="BK106" s="32" t="n">
        <v>2284</v>
      </c>
      <c r="BL106" s="33" t="n">
        <v>2314</v>
      </c>
    </row>
    <row r="107" ht="15.95" customHeight="1" s="574">
      <c r="A107" s="68" t="inlineStr">
        <is>
          <t>7729</t>
        </is>
      </c>
      <c r="B107" s="28" t="inlineStr">
        <is>
          <t>東京精密</t>
        </is>
      </c>
      <c r="C107" s="665">
        <f>_xll.RssMarket("7729","高値")</f>
        <v/>
      </c>
      <c r="D107" s="666">
        <f>C107-E107</f>
        <v/>
      </c>
      <c r="E107" s="37" t="n">
        <v>20415</v>
      </c>
      <c r="F107" s="37" t="n">
        <v>20845</v>
      </c>
      <c r="G107" s="32" t="n">
        <v>20485</v>
      </c>
      <c r="H107" s="32" t="n">
        <v>19530</v>
      </c>
      <c r="I107" s="32" t="n">
        <v>19880</v>
      </c>
      <c r="J107" s="32" t="n">
        <v>19840</v>
      </c>
      <c r="K107" s="32" t="n">
        <v>19220</v>
      </c>
      <c r="L107" s="32" t="n">
        <v>17865</v>
      </c>
      <c r="M107" s="32" t="n">
        <v>18280</v>
      </c>
      <c r="N107" s="32" t="n">
        <v>16810</v>
      </c>
      <c r="O107" s="32" t="n">
        <v>18085</v>
      </c>
      <c r="P107" s="32" t="n">
        <v>18765</v>
      </c>
      <c r="Q107" s="32" t="n">
        <v>17955</v>
      </c>
      <c r="R107" s="32" t="n">
        <v>16990</v>
      </c>
      <c r="S107" s="32" t="n">
        <v>17970</v>
      </c>
      <c r="T107" s="32" t="n">
        <v>17740</v>
      </c>
      <c r="U107" s="32" t="n">
        <v>18310</v>
      </c>
      <c r="V107" s="32" t="n">
        <v>18455</v>
      </c>
      <c r="W107" s="32" t="n">
        <v>17080</v>
      </c>
      <c r="X107" s="32" t="n">
        <v>16665</v>
      </c>
      <c r="Y107" s="32" t="n">
        <v>15905</v>
      </c>
      <c r="Z107" s="32" t="n">
        <v>16445</v>
      </c>
      <c r="AA107" s="32" t="n">
        <v>16590</v>
      </c>
      <c r="AB107" s="32" t="n">
        <v>18230</v>
      </c>
      <c r="AC107" s="32" t="n">
        <v>19320</v>
      </c>
      <c r="AD107" s="32" t="n">
        <v>19070</v>
      </c>
      <c r="AE107" s="32" t="n">
        <v>19365</v>
      </c>
      <c r="AF107" s="32" t="n">
        <v>19400</v>
      </c>
      <c r="AG107" s="32" t="n">
        <v>18765</v>
      </c>
      <c r="AH107" s="32" t="n">
        <v>18675</v>
      </c>
      <c r="AI107" s="32" t="n">
        <v>17430</v>
      </c>
      <c r="AJ107" s="32" t="n">
        <v>17635</v>
      </c>
      <c r="AK107" s="32" t="n">
        <v>17675</v>
      </c>
      <c r="AL107" s="32" t="n">
        <v>17800</v>
      </c>
      <c r="AM107" s="32" t="n">
        <v>17610</v>
      </c>
      <c r="AN107" s="32" t="n">
        <v>17295</v>
      </c>
      <c r="AO107" s="32" t="n">
        <v>16820</v>
      </c>
      <c r="AP107" s="32" t="n">
        <v>16720</v>
      </c>
      <c r="AQ107" s="32" t="n">
        <v>16665</v>
      </c>
      <c r="AR107" s="32" t="n">
        <v>16900</v>
      </c>
      <c r="AS107" s="32" t="n">
        <v>16995</v>
      </c>
      <c r="AT107" s="32" t="n">
        <v>16765</v>
      </c>
      <c r="AU107" s="32" t="n">
        <v>16315</v>
      </c>
      <c r="AV107" s="32" t="n">
        <v>15815</v>
      </c>
      <c r="AW107" s="32" t="n">
        <v>15925</v>
      </c>
      <c r="AX107" s="32" t="n">
        <v>15395</v>
      </c>
      <c r="AY107" s="32" t="n">
        <v>15260</v>
      </c>
      <c r="AZ107" s="32" t="n">
        <v>14335</v>
      </c>
      <c r="BA107" s="32" t="n">
        <v>14465</v>
      </c>
      <c r="BB107" s="32" t="n">
        <v>14250</v>
      </c>
      <c r="BC107" s="32" t="n">
        <v>14470</v>
      </c>
      <c r="BD107" s="32" t="n">
        <v>14165</v>
      </c>
      <c r="BE107" s="32" t="n">
        <v>13385</v>
      </c>
      <c r="BF107" s="32" t="n">
        <v>13510</v>
      </c>
      <c r="BG107" s="32" t="n">
        <v>14215</v>
      </c>
      <c r="BH107" s="32" t="n">
        <v>14705</v>
      </c>
      <c r="BI107" s="32" t="n">
        <v>14870</v>
      </c>
      <c r="BJ107" s="32" t="n">
        <v>14385</v>
      </c>
      <c r="BK107" s="32" t="n">
        <v>13915</v>
      </c>
      <c r="BL107" s="33" t="n">
        <v>14680</v>
      </c>
    </row>
    <row r="108" ht="15.95" customHeight="1" s="574">
      <c r="A108" s="68" t="inlineStr">
        <is>
          <t>8424</t>
        </is>
      </c>
      <c r="B108" s="28" t="inlineStr">
        <is>
          <t>芙蓉総合リース</t>
        </is>
      </c>
      <c r="C108" s="665">
        <f>_xll.RssMarket("8424","高値")</f>
        <v/>
      </c>
      <c r="D108" s="666">
        <f>C108-E108</f>
        <v/>
      </c>
      <c r="E108" s="37" t="n">
        <v>4249</v>
      </c>
      <c r="F108" s="37" t="n">
        <v>4289</v>
      </c>
      <c r="G108" s="32" t="n">
        <v>4265</v>
      </c>
      <c r="H108" s="32" t="n">
        <v>4333</v>
      </c>
      <c r="I108" s="32" t="n">
        <v>4300</v>
      </c>
      <c r="J108" s="32" t="n">
        <v>4347</v>
      </c>
      <c r="K108" s="32" t="n">
        <v>4299</v>
      </c>
      <c r="L108" s="32" t="n">
        <v>4318</v>
      </c>
      <c r="M108" s="32" t="n">
        <v>4338</v>
      </c>
      <c r="N108" s="32" t="n">
        <v>4192</v>
      </c>
      <c r="O108" s="32" t="n">
        <v>4170</v>
      </c>
      <c r="P108" s="32" t="n">
        <v>4097</v>
      </c>
      <c r="Q108" s="32" t="n">
        <v>4107</v>
      </c>
      <c r="R108" s="32" t="n">
        <v>4081</v>
      </c>
      <c r="S108" s="32" t="n">
        <v>4254</v>
      </c>
      <c r="T108" s="32" t="n">
        <v>4196</v>
      </c>
      <c r="U108" s="32" t="n">
        <v>4200</v>
      </c>
      <c r="V108" s="32" t="n">
        <v>4289</v>
      </c>
      <c r="W108" s="32" t="n">
        <v>4384</v>
      </c>
      <c r="X108" s="32" t="n">
        <v>4414</v>
      </c>
      <c r="Y108" s="32" t="n">
        <v>4398</v>
      </c>
      <c r="Z108" s="32" t="n">
        <v>4406</v>
      </c>
      <c r="AA108" s="32" t="n">
        <v>4388</v>
      </c>
      <c r="AB108" s="32" t="n">
        <v>4396</v>
      </c>
      <c r="AC108" s="32" t="n">
        <v>4394</v>
      </c>
      <c r="AD108" s="32" t="n">
        <v>4397</v>
      </c>
      <c r="AE108" s="32" t="n">
        <v>4460</v>
      </c>
      <c r="AF108" s="32" t="n">
        <v>4317</v>
      </c>
      <c r="AG108" s="32" t="n">
        <v>4343</v>
      </c>
      <c r="AH108" s="32" t="n">
        <v>4344</v>
      </c>
      <c r="AI108" s="32" t="n">
        <v>4315</v>
      </c>
      <c r="AJ108" s="32" t="n">
        <v>4337</v>
      </c>
      <c r="AK108" s="32" t="n">
        <v>4350</v>
      </c>
      <c r="AL108" s="32" t="n">
        <v>4294</v>
      </c>
      <c r="AM108" s="32" t="n">
        <v>4286</v>
      </c>
      <c r="AN108" s="32" t="n">
        <v>4268</v>
      </c>
      <c r="AO108" s="32" t="n">
        <v>4282</v>
      </c>
      <c r="AP108" s="32" t="n">
        <v>4316</v>
      </c>
      <c r="AQ108" s="32" t="n">
        <v>4367</v>
      </c>
      <c r="AR108" s="32" t="n">
        <v>4350</v>
      </c>
      <c r="AS108" s="32" t="n">
        <v>4383</v>
      </c>
      <c r="AT108" s="32" t="n">
        <v>4357</v>
      </c>
      <c r="AU108" s="32" t="n">
        <v>4360</v>
      </c>
      <c r="AV108" s="32" t="n">
        <v>4382</v>
      </c>
      <c r="AW108" s="32" t="n">
        <v>4440</v>
      </c>
      <c r="AX108" s="32" t="n">
        <v>4505</v>
      </c>
      <c r="AY108" s="32" t="n">
        <v>4453</v>
      </c>
      <c r="AZ108" s="32" t="n">
        <v>4402</v>
      </c>
      <c r="BA108" s="32" t="n">
        <v>4371</v>
      </c>
      <c r="BB108" s="32" t="n">
        <v>4388</v>
      </c>
      <c r="BC108" s="32" t="n">
        <v>4391</v>
      </c>
      <c r="BD108" s="32" t="n">
        <v>4341</v>
      </c>
      <c r="BE108" s="32" t="n">
        <v>4338</v>
      </c>
      <c r="BF108" s="32" t="n">
        <v>4286</v>
      </c>
      <c r="BG108" s="32" t="n">
        <v>4433</v>
      </c>
      <c r="BH108" s="32" t="n">
        <v>4446</v>
      </c>
      <c r="BI108" s="32" t="n">
        <v>4447</v>
      </c>
      <c r="BJ108" s="32" t="n">
        <v>4363</v>
      </c>
      <c r="BK108" s="32" t="n">
        <v>4363</v>
      </c>
      <c r="BL108" s="33" t="n">
        <v>4423</v>
      </c>
    </row>
    <row r="109" ht="15.95" customHeight="1" s="574">
      <c r="A109" s="68" t="inlineStr">
        <is>
          <t>9020</t>
        </is>
      </c>
      <c r="B109" s="28" t="inlineStr">
        <is>
          <t>東日本旅客鉄道</t>
        </is>
      </c>
      <c r="C109" s="665">
        <f>_xll.RssMarket("9020","高値")</f>
        <v/>
      </c>
      <c r="D109" s="666">
        <f>C109-E109</f>
        <v/>
      </c>
      <c r="E109" s="37" t="n">
        <v>3382</v>
      </c>
      <c r="F109" s="37" t="n">
        <v>3415</v>
      </c>
      <c r="G109" s="32" t="n">
        <v>3400</v>
      </c>
      <c r="H109" s="32" t="n">
        <v>3455</v>
      </c>
      <c r="I109" s="32" t="n">
        <v>3400</v>
      </c>
      <c r="J109" s="32" t="n">
        <v>3443</v>
      </c>
      <c r="K109" s="32" t="n">
        <v>3467</v>
      </c>
      <c r="L109" s="32" t="n">
        <v>3513</v>
      </c>
      <c r="M109" s="32" t="n">
        <v>3463</v>
      </c>
      <c r="N109" s="32" t="n">
        <v>3418</v>
      </c>
      <c r="O109" s="32" t="n">
        <v>3399</v>
      </c>
      <c r="P109" s="32" t="n">
        <v>3318</v>
      </c>
      <c r="Q109" s="32" t="n">
        <v>3333</v>
      </c>
      <c r="R109" s="32" t="n">
        <v>3365</v>
      </c>
      <c r="S109" s="32" t="n">
        <v>3500</v>
      </c>
      <c r="T109" s="32" t="n">
        <v>3531</v>
      </c>
      <c r="U109" s="32" t="n">
        <v>3535</v>
      </c>
      <c r="V109" s="32" t="n">
        <v>3597</v>
      </c>
      <c r="W109" s="32" t="n">
        <v>3670</v>
      </c>
      <c r="X109" s="32" t="n">
        <v>3844</v>
      </c>
      <c r="Y109" s="32" t="n">
        <v>3819</v>
      </c>
      <c r="Z109" s="32" t="n">
        <v>3796</v>
      </c>
      <c r="AA109" s="32" t="n">
        <v>3773</v>
      </c>
      <c r="AB109" s="32" t="n">
        <v>3724</v>
      </c>
      <c r="AC109" s="32" t="n">
        <v>3802</v>
      </c>
      <c r="AD109" s="32" t="n">
        <v>3698</v>
      </c>
      <c r="AE109" s="32" t="n">
        <v>3690</v>
      </c>
      <c r="AF109" s="32" t="n">
        <v>3666</v>
      </c>
      <c r="AG109" s="32" t="n">
        <v>3709</v>
      </c>
      <c r="AH109" s="32" t="n">
        <v>3785</v>
      </c>
      <c r="AI109" s="32" t="n">
        <v>3451</v>
      </c>
      <c r="AJ109" s="32" t="n">
        <v>3464</v>
      </c>
      <c r="AK109" s="32" t="n">
        <v>3461</v>
      </c>
      <c r="AL109" s="32" t="n">
        <v>3485</v>
      </c>
      <c r="AM109" s="32" t="n">
        <v>3512</v>
      </c>
      <c r="AN109" s="32" t="n">
        <v>3545</v>
      </c>
      <c r="AO109" s="32" t="n">
        <v>3544</v>
      </c>
      <c r="AP109" s="32" t="n">
        <v>3535</v>
      </c>
      <c r="AQ109" s="32" t="n">
        <v>3530</v>
      </c>
      <c r="AR109" s="32" t="n">
        <v>3590</v>
      </c>
      <c r="AS109" s="32" t="n">
        <v>3584</v>
      </c>
      <c r="AT109" s="32" t="n">
        <v>3584</v>
      </c>
      <c r="AU109" s="32" t="n">
        <v>3635</v>
      </c>
      <c r="AV109" s="32" t="n">
        <v>3617</v>
      </c>
      <c r="AW109" s="32" t="n">
        <v>3634</v>
      </c>
      <c r="AX109" s="32" t="n">
        <v>3637</v>
      </c>
      <c r="AY109" s="32" t="n">
        <v>3612</v>
      </c>
      <c r="AZ109" s="32" t="n">
        <v>3643</v>
      </c>
      <c r="BA109" s="32" t="n">
        <v>3657</v>
      </c>
      <c r="BB109" s="32" t="n">
        <v>3728</v>
      </c>
      <c r="BC109" s="32" t="n">
        <v>3690</v>
      </c>
      <c r="BD109" s="32" t="n">
        <v>3683</v>
      </c>
      <c r="BE109" s="32" t="n">
        <v>3651</v>
      </c>
      <c r="BF109" s="32" t="n">
        <v>3699</v>
      </c>
      <c r="BG109" s="32" t="n">
        <v>3661</v>
      </c>
      <c r="BH109" s="32" t="n">
        <v>3640</v>
      </c>
      <c r="BI109" s="32" t="n">
        <v>3618</v>
      </c>
      <c r="BJ109" s="32" t="n">
        <v>3611</v>
      </c>
      <c r="BK109" s="32" t="n">
        <v>3662</v>
      </c>
      <c r="BL109" s="33" t="n">
        <v>3759</v>
      </c>
    </row>
    <row r="110" ht="15.95" customHeight="1" s="574">
      <c r="A110" s="68" t="inlineStr">
        <is>
          <t>9069</t>
        </is>
      </c>
      <c r="B110" s="28" t="inlineStr">
        <is>
          <t>センコーグループＨＬＤＧＳ</t>
        </is>
      </c>
      <c r="C110" s="665">
        <f>_xll.RssMarket("9069","高値")</f>
        <v/>
      </c>
      <c r="D110" s="666">
        <f>C110-E110</f>
        <v/>
      </c>
      <c r="E110" s="37" t="n">
        <v>1911</v>
      </c>
      <c r="F110" s="37" t="n">
        <v>1902</v>
      </c>
      <c r="G110" s="32" t="n">
        <v>1917</v>
      </c>
      <c r="H110" s="32" t="n">
        <v>1952.5</v>
      </c>
      <c r="I110" s="32" t="n">
        <v>1956.5</v>
      </c>
      <c r="J110" s="32" t="n">
        <v>1993</v>
      </c>
      <c r="K110" s="32" t="n">
        <v>1956</v>
      </c>
      <c r="L110" s="32" t="n">
        <v>1961</v>
      </c>
      <c r="M110" s="32" t="n">
        <v>1965.5</v>
      </c>
      <c r="N110" s="32" t="n">
        <v>1959.5</v>
      </c>
      <c r="O110" s="32" t="n">
        <v>1930</v>
      </c>
      <c r="P110" s="32" t="n">
        <v>1912.5</v>
      </c>
      <c r="Q110" s="32" t="n">
        <v>1925</v>
      </c>
      <c r="R110" s="32" t="n">
        <v>1902.5</v>
      </c>
      <c r="S110" s="32" t="n">
        <v>1942.5</v>
      </c>
      <c r="T110" s="32" t="n">
        <v>1939</v>
      </c>
      <c r="U110" s="32" t="n">
        <v>1932</v>
      </c>
      <c r="V110" s="32" t="n">
        <v>1964</v>
      </c>
      <c r="W110" s="32" t="n">
        <v>2034</v>
      </c>
      <c r="X110" s="32" t="n">
        <v>2053</v>
      </c>
      <c r="Y110" s="32" t="n">
        <v>2027</v>
      </c>
      <c r="Z110" s="32" t="n">
        <v>2044.5</v>
      </c>
      <c r="AA110" s="32" t="n">
        <v>2022.5</v>
      </c>
      <c r="AB110" s="32" t="n">
        <v>2056</v>
      </c>
      <c r="AC110" s="32" t="n">
        <v>2029</v>
      </c>
      <c r="AD110" s="32" t="n">
        <v>1864</v>
      </c>
      <c r="AE110" s="32" t="n">
        <v>1867</v>
      </c>
      <c r="AF110" s="32" t="n">
        <v>1868.5</v>
      </c>
      <c r="AG110" s="32" t="n">
        <v>1874</v>
      </c>
      <c r="AH110" s="32" t="n">
        <v>1884</v>
      </c>
      <c r="AI110" s="32" t="n">
        <v>1855.5</v>
      </c>
      <c r="AJ110" s="32" t="n">
        <v>1861</v>
      </c>
      <c r="AK110" s="32" t="n">
        <v>1868</v>
      </c>
      <c r="AL110" s="32" t="n">
        <v>1840</v>
      </c>
      <c r="AM110" s="32" t="n">
        <v>1887</v>
      </c>
      <c r="AN110" s="32" t="n">
        <v>1909</v>
      </c>
      <c r="AO110" s="32" t="n">
        <v>1915</v>
      </c>
      <c r="AP110" s="32" t="n">
        <v>1920</v>
      </c>
      <c r="AQ110" s="32" t="n">
        <v>1908</v>
      </c>
      <c r="AR110" s="32" t="n">
        <v>1922.5</v>
      </c>
      <c r="AS110" s="32" t="n">
        <v>1924</v>
      </c>
      <c r="AT110" s="32" t="n">
        <v>1927</v>
      </c>
      <c r="AU110" s="32" t="n">
        <v>1884.5</v>
      </c>
      <c r="AV110" s="32" t="n">
        <v>1898</v>
      </c>
      <c r="AW110" s="32" t="n">
        <v>1939</v>
      </c>
      <c r="AX110" s="32" t="n">
        <v>1933.5</v>
      </c>
      <c r="AY110" s="32" t="n">
        <v>1921.5</v>
      </c>
      <c r="AZ110" s="32" t="n">
        <v>1875.5</v>
      </c>
      <c r="BA110" s="32" t="n">
        <v>1889</v>
      </c>
      <c r="BB110" s="32" t="n">
        <v>1891</v>
      </c>
      <c r="BC110" s="32" t="n">
        <v>1912.5</v>
      </c>
      <c r="BD110" s="32" t="n">
        <v>1869.5</v>
      </c>
      <c r="BE110" s="32" t="n">
        <v>1813</v>
      </c>
      <c r="BF110" s="32" t="n">
        <v>1787.5</v>
      </c>
      <c r="BG110" s="32" t="n">
        <v>1823.5</v>
      </c>
      <c r="BH110" s="32" t="n">
        <v>1816</v>
      </c>
      <c r="BI110" s="32" t="n">
        <v>1822</v>
      </c>
      <c r="BJ110" s="32" t="n">
        <v>1789.5</v>
      </c>
      <c r="BK110" s="32" t="n">
        <v>1754.5</v>
      </c>
      <c r="BL110" s="33" t="n">
        <v>1835</v>
      </c>
    </row>
    <row r="111" ht="15.95" customHeight="1" s="574">
      <c r="A111" s="68" t="inlineStr">
        <is>
          <t>9227</t>
        </is>
      </c>
      <c r="B111" s="28" t="inlineStr">
        <is>
          <t>マイクロ波化学</t>
        </is>
      </c>
      <c r="C111" s="665">
        <f>_xll.RssMarket("9227","高値")</f>
        <v/>
      </c>
      <c r="D111" s="666">
        <f>C111-E111</f>
        <v/>
      </c>
      <c r="E111" s="37" t="n">
        <v>957</v>
      </c>
      <c r="F111" s="37" t="n">
        <v>917</v>
      </c>
      <c r="G111" s="32" t="n">
        <v>903</v>
      </c>
      <c r="H111" s="32" t="n">
        <v>896</v>
      </c>
      <c r="I111" s="32" t="n">
        <v>906</v>
      </c>
      <c r="J111" s="32" t="n">
        <v>936</v>
      </c>
      <c r="K111" s="32" t="n">
        <v>890</v>
      </c>
      <c r="L111" s="32" t="n">
        <v>878</v>
      </c>
      <c r="M111" s="32" t="n">
        <v>920</v>
      </c>
      <c r="N111" s="32" t="n">
        <v>928</v>
      </c>
      <c r="O111" s="32" t="n">
        <v>944</v>
      </c>
      <c r="P111" s="32" t="n">
        <v>912</v>
      </c>
      <c r="Q111" s="32" t="n">
        <v>940</v>
      </c>
      <c r="R111" s="32" t="n">
        <v>960</v>
      </c>
      <c r="S111" s="32" t="n">
        <v>1103</v>
      </c>
      <c r="T111" s="32" t="n">
        <v>1268</v>
      </c>
      <c r="U111" s="32" t="n">
        <v>1415</v>
      </c>
      <c r="V111" s="32" t="n">
        <v>1093</v>
      </c>
      <c r="W111" s="32" t="n">
        <v>943</v>
      </c>
      <c r="X111" s="32" t="n">
        <v>806</v>
      </c>
      <c r="Y111" s="32" t="n">
        <v>801</v>
      </c>
      <c r="Z111" s="32" t="n">
        <v>857</v>
      </c>
      <c r="AA111" s="32" t="n">
        <v>840</v>
      </c>
      <c r="AB111" s="32" t="n">
        <v>855</v>
      </c>
      <c r="AC111" s="32" t="n">
        <v>854</v>
      </c>
      <c r="AD111" s="32" t="n">
        <v>876</v>
      </c>
      <c r="AE111" s="32" t="n">
        <v>1007</v>
      </c>
      <c r="AF111" s="32" t="n">
        <v>1015</v>
      </c>
      <c r="AG111" s="32" t="n">
        <v>1019</v>
      </c>
      <c r="AH111" s="32" t="n">
        <v>1047</v>
      </c>
      <c r="AI111" s="32" t="n">
        <v>1044</v>
      </c>
      <c r="AJ111" s="32" t="n">
        <v>1084</v>
      </c>
      <c r="AK111" s="32" t="n">
        <v>1125</v>
      </c>
      <c r="AL111" s="32" t="n">
        <v>1072</v>
      </c>
      <c r="AM111" s="32" t="n">
        <v>1121</v>
      </c>
      <c r="AN111" s="32" t="n">
        <v>1165</v>
      </c>
      <c r="AO111" s="32" t="n">
        <v>1180</v>
      </c>
      <c r="AP111" s="32" t="n">
        <v>1315</v>
      </c>
      <c r="AQ111" s="32" t="n">
        <v>1244</v>
      </c>
      <c r="AR111" s="32" t="n">
        <v>1064</v>
      </c>
      <c r="AS111" s="32" t="n">
        <v>1078</v>
      </c>
      <c r="AT111" s="32" t="n">
        <v>1048</v>
      </c>
      <c r="AU111" s="32" t="n">
        <v>1034</v>
      </c>
      <c r="AV111" s="32" t="n">
        <v>1000</v>
      </c>
      <c r="AW111" s="32" t="n">
        <v>984</v>
      </c>
      <c r="AX111" s="32" t="n">
        <v>1000</v>
      </c>
      <c r="AY111" s="32" t="n">
        <v>1000</v>
      </c>
      <c r="AZ111" s="32" t="n">
        <v>962</v>
      </c>
      <c r="BA111" s="32" t="n">
        <v>977</v>
      </c>
      <c r="BB111" s="32" t="n">
        <v>995</v>
      </c>
      <c r="BC111" s="32" t="n">
        <v>1034</v>
      </c>
      <c r="BD111" s="32" t="n">
        <v>1022</v>
      </c>
      <c r="BE111" s="32" t="n">
        <v>1018</v>
      </c>
      <c r="BF111" s="32" t="n">
        <v>972</v>
      </c>
      <c r="BG111" s="32" t="n">
        <v>992</v>
      </c>
      <c r="BH111" s="32" t="n">
        <v>1029</v>
      </c>
      <c r="BI111" s="32" t="n">
        <v>1040</v>
      </c>
      <c r="BJ111" s="32" t="n">
        <v>1027</v>
      </c>
      <c r="BK111" s="32" t="n">
        <v>1030</v>
      </c>
      <c r="BL111" s="33" t="n">
        <v>1180</v>
      </c>
    </row>
    <row r="112" ht="15.95" customHeight="1" s="574">
      <c r="A112" s="68" t="inlineStr">
        <is>
          <t>9348</t>
        </is>
      </c>
      <c r="B112" s="28" t="inlineStr">
        <is>
          <t>ｉｓｐａｃｅ</t>
        </is>
      </c>
      <c r="C112" s="665">
        <f>_xll.RssMarket("9348","高値")</f>
        <v/>
      </c>
      <c r="D112" s="666">
        <f>C112-E112</f>
        <v/>
      </c>
      <c r="E112" s="37" t="n">
        <v>465</v>
      </c>
      <c r="F112" s="37" t="n">
        <v>469</v>
      </c>
      <c r="G112" s="32" t="n">
        <v>482</v>
      </c>
      <c r="H112" s="32" t="n">
        <v>494</v>
      </c>
      <c r="I112" s="32" t="n">
        <v>512</v>
      </c>
      <c r="J112" s="32" t="n">
        <v>550</v>
      </c>
      <c r="K112" s="32" t="n">
        <v>603</v>
      </c>
      <c r="L112" s="32" t="n">
        <v>581</v>
      </c>
      <c r="M112" s="32" t="n">
        <v>589</v>
      </c>
      <c r="N112" s="32" t="n">
        <v>611</v>
      </c>
      <c r="O112" s="32" t="n">
        <v>633</v>
      </c>
      <c r="P112" s="32" t="n">
        <v>584</v>
      </c>
      <c r="Q112" s="32" t="n">
        <v>605</v>
      </c>
      <c r="R112" s="32" t="n">
        <v>589</v>
      </c>
      <c r="S112" s="32" t="n">
        <v>710</v>
      </c>
      <c r="T112" s="32" t="n">
        <v>700</v>
      </c>
      <c r="U112" s="32" t="n">
        <v>690</v>
      </c>
      <c r="V112" s="32" t="n">
        <v>627</v>
      </c>
      <c r="W112" s="32" t="n">
        <v>584</v>
      </c>
      <c r="X112" s="32" t="n">
        <v>521</v>
      </c>
      <c r="Y112" s="32" t="n">
        <v>536</v>
      </c>
      <c r="Z112" s="32" t="n">
        <v>541</v>
      </c>
      <c r="AA112" s="32" t="n">
        <v>506</v>
      </c>
      <c r="AB112" s="32" t="n">
        <v>522</v>
      </c>
      <c r="AC112" s="32" t="n">
        <v>518</v>
      </c>
      <c r="AD112" s="32" t="n">
        <v>498</v>
      </c>
      <c r="AE112" s="32" t="n">
        <v>511</v>
      </c>
      <c r="AF112" s="32" t="n">
        <v>520</v>
      </c>
      <c r="AG112" s="32" t="n">
        <v>504</v>
      </c>
      <c r="AH112" s="32" t="n">
        <v>489</v>
      </c>
      <c r="AI112" s="32" t="n">
        <v>475</v>
      </c>
      <c r="AJ112" s="32" t="n">
        <v>477</v>
      </c>
      <c r="AK112" s="32" t="n">
        <v>481</v>
      </c>
      <c r="AL112" s="32" t="n">
        <v>482</v>
      </c>
      <c r="AM112" s="32" t="n">
        <v>490</v>
      </c>
      <c r="AN112" s="32" t="n">
        <v>496</v>
      </c>
      <c r="AO112" s="32" t="n">
        <v>498</v>
      </c>
      <c r="AP112" s="32" t="n">
        <v>499</v>
      </c>
      <c r="AQ112" s="32" t="n">
        <v>511</v>
      </c>
      <c r="AR112" s="32" t="n">
        <v>505</v>
      </c>
      <c r="AS112" s="32" t="n">
        <v>518</v>
      </c>
      <c r="AT112" s="32" t="n">
        <v>522</v>
      </c>
      <c r="AU112" s="32" t="n">
        <v>514</v>
      </c>
      <c r="AV112" s="32" t="n">
        <v>521</v>
      </c>
      <c r="AW112" s="32" t="n">
        <v>529</v>
      </c>
      <c r="AX112" s="32" t="n">
        <v>467</v>
      </c>
      <c r="AY112" s="32" t="n">
        <v>457</v>
      </c>
      <c r="AZ112" s="32" t="n">
        <v>436</v>
      </c>
      <c r="BA112" s="32" t="n">
        <v>442</v>
      </c>
      <c r="BB112" s="32" t="n">
        <v>478</v>
      </c>
      <c r="BC112" s="32" t="n">
        <v>494</v>
      </c>
      <c r="BD112" s="32" t="n">
        <v>446</v>
      </c>
      <c r="BE112" s="32" t="n">
        <v>448</v>
      </c>
      <c r="BF112" s="32" t="n">
        <v>466</v>
      </c>
      <c r="BG112" s="32" t="n">
        <v>573</v>
      </c>
      <c r="BH112" s="32" t="n">
        <v>588</v>
      </c>
      <c r="BI112" s="32" t="n">
        <v>585</v>
      </c>
      <c r="BJ112" s="32" t="n">
        <v>557</v>
      </c>
      <c r="BK112" s="32" t="n">
        <v>569</v>
      </c>
      <c r="BL112" s="33" t="n">
        <v>597</v>
      </c>
    </row>
    <row r="113" ht="15.95" customHeight="1" s="574">
      <c r="A113" s="68" t="inlineStr">
        <is>
          <t>9449</t>
        </is>
      </c>
      <c r="B113" s="28" t="inlineStr">
        <is>
          <t>ＧＭＯインターネットグループ</t>
        </is>
      </c>
      <c r="C113" s="665">
        <f>_xll.RssMarket("9449","高値")</f>
        <v/>
      </c>
      <c r="D113" s="666">
        <f>C113-E113</f>
        <v/>
      </c>
      <c r="E113" s="37" t="n">
        <v>3576</v>
      </c>
      <c r="F113" s="37" t="n">
        <v>3112</v>
      </c>
      <c r="G113" s="32" t="n">
        <v>3149</v>
      </c>
      <c r="H113" s="32" t="n">
        <v>3128</v>
      </c>
      <c r="I113" s="32" t="n">
        <v>3101</v>
      </c>
      <c r="J113" s="32" t="n">
        <v>3137</v>
      </c>
      <c r="K113" s="32" t="n">
        <v>3145</v>
      </c>
      <c r="L113" s="32" t="n">
        <v>3180</v>
      </c>
      <c r="M113" s="32" t="n">
        <v>3208</v>
      </c>
      <c r="N113" s="32" t="n">
        <v>3196</v>
      </c>
      <c r="O113" s="32" t="n">
        <v>3274</v>
      </c>
      <c r="P113" s="32" t="n">
        <v>3332</v>
      </c>
      <c r="Q113" s="32" t="n">
        <v>3315</v>
      </c>
      <c r="R113" s="32" t="n">
        <v>3370</v>
      </c>
      <c r="S113" s="32" t="n">
        <v>3416</v>
      </c>
      <c r="T113" s="32" t="n">
        <v>3311</v>
      </c>
      <c r="U113" s="32" t="n">
        <v>3401</v>
      </c>
      <c r="V113" s="32" t="n">
        <v>3445</v>
      </c>
      <c r="W113" s="32" t="n">
        <v>3431</v>
      </c>
      <c r="X113" s="32" t="n">
        <v>3355</v>
      </c>
      <c r="Y113" s="32" t="n">
        <v>3378</v>
      </c>
      <c r="Z113" s="32" t="n">
        <v>3367</v>
      </c>
      <c r="AA113" s="32" t="n">
        <v>3345</v>
      </c>
      <c r="AB113" s="32" t="n">
        <v>3154</v>
      </c>
      <c r="AC113" s="32" t="n">
        <v>3172</v>
      </c>
      <c r="AD113" s="32" t="n">
        <v>3205</v>
      </c>
      <c r="AE113" s="32" t="n">
        <v>3220</v>
      </c>
      <c r="AF113" s="32" t="n">
        <v>3216</v>
      </c>
      <c r="AG113" s="32" t="n">
        <v>3189</v>
      </c>
      <c r="AH113" s="32" t="n">
        <v>3124</v>
      </c>
      <c r="AI113" s="32" t="n">
        <v>3068</v>
      </c>
      <c r="AJ113" s="32" t="n">
        <v>3086</v>
      </c>
      <c r="AK113" s="32" t="n">
        <v>3143</v>
      </c>
      <c r="AL113" s="32" t="n">
        <v>3157</v>
      </c>
      <c r="AM113" s="32" t="n">
        <v>3166</v>
      </c>
      <c r="AN113" s="32" t="n">
        <v>3246</v>
      </c>
      <c r="AO113" s="32" t="n">
        <v>3343</v>
      </c>
      <c r="AP113" s="32" t="n">
        <v>3334</v>
      </c>
      <c r="AQ113" s="32" t="n">
        <v>3287</v>
      </c>
      <c r="AR113" s="32" t="n">
        <v>3306</v>
      </c>
      <c r="AS113" s="32" t="n">
        <v>3302</v>
      </c>
      <c r="AT113" s="32" t="n">
        <v>3099</v>
      </c>
      <c r="AU113" s="32" t="n">
        <v>3065</v>
      </c>
      <c r="AV113" s="32" t="n">
        <v>2980.5</v>
      </c>
      <c r="AW113" s="32" t="n">
        <v>3032</v>
      </c>
      <c r="AX113" s="32" t="n">
        <v>3122</v>
      </c>
      <c r="AY113" s="32" t="n">
        <v>3131</v>
      </c>
      <c r="AZ113" s="32" t="n">
        <v>3071</v>
      </c>
      <c r="BA113" s="32" t="n">
        <v>3027</v>
      </c>
      <c r="BB113" s="32" t="n">
        <v>2998.5</v>
      </c>
      <c r="BC113" s="32" t="n">
        <v>3013</v>
      </c>
      <c r="BD113" s="32" t="n">
        <v>2988</v>
      </c>
      <c r="BE113" s="32" t="n">
        <v>2913.5</v>
      </c>
      <c r="BF113" s="32" t="n">
        <v>2809</v>
      </c>
      <c r="BG113" s="32" t="n">
        <v>2893.5</v>
      </c>
      <c r="BH113" s="32" t="n">
        <v>2870.5</v>
      </c>
      <c r="BI113" s="32" t="n">
        <v>2876</v>
      </c>
      <c r="BJ113" s="32" t="n">
        <v>2840.5</v>
      </c>
      <c r="BK113" s="32" t="n">
        <v>2789.5</v>
      </c>
      <c r="BL113" s="33" t="n">
        <v>2900.5</v>
      </c>
    </row>
    <row r="114" ht="15.95" customHeight="1" s="574">
      <c r="A114" s="68" t="inlineStr">
        <is>
          <t>9501</t>
        </is>
      </c>
      <c r="B114" s="28" t="inlineStr">
        <is>
          <t>東京電力ＨＤ</t>
        </is>
      </c>
      <c r="C114" s="665">
        <f>_xll.RssMarket("9501","高値")</f>
        <v/>
      </c>
      <c r="D114" s="666">
        <f>C114-E114</f>
        <v/>
      </c>
      <c r="E114" s="37" t="n">
        <v>524</v>
      </c>
      <c r="F114" s="37" t="n">
        <v>526</v>
      </c>
      <c r="G114" s="32" t="n">
        <v>516.8</v>
      </c>
      <c r="H114" s="32" t="n">
        <v>523.5</v>
      </c>
      <c r="I114" s="32" t="n">
        <v>530</v>
      </c>
      <c r="J114" s="32" t="n">
        <v>536.6</v>
      </c>
      <c r="K114" s="32" t="n">
        <v>511.6</v>
      </c>
      <c r="L114" s="32" t="n">
        <v>509.3</v>
      </c>
      <c r="M114" s="32" t="n">
        <v>524.2</v>
      </c>
      <c r="N114" s="32" t="n">
        <v>536.3</v>
      </c>
      <c r="O114" s="32" t="n">
        <v>555.6</v>
      </c>
      <c r="P114" s="32" t="n">
        <v>571.5</v>
      </c>
      <c r="Q114" s="32" t="n">
        <v>580.7</v>
      </c>
      <c r="R114" s="32" t="n">
        <v>565.7</v>
      </c>
      <c r="S114" s="32" t="n">
        <v>573.4</v>
      </c>
      <c r="T114" s="32" t="n">
        <v>570.5</v>
      </c>
      <c r="U114" s="32" t="n">
        <v>592.9</v>
      </c>
      <c r="V114" s="32" t="n">
        <v>573.9</v>
      </c>
      <c r="W114" s="32" t="n">
        <v>567.2</v>
      </c>
      <c r="X114" s="32" t="n">
        <v>561.8</v>
      </c>
      <c r="Y114" s="32" t="n">
        <v>578</v>
      </c>
      <c r="Z114" s="32" t="n">
        <v>592.9</v>
      </c>
      <c r="AA114" s="32" t="n">
        <v>598.3</v>
      </c>
      <c r="AB114" s="32" t="n">
        <v>615.8</v>
      </c>
      <c r="AC114" s="32" t="n">
        <v>631.9</v>
      </c>
      <c r="AD114" s="32" t="n">
        <v>642.4</v>
      </c>
      <c r="AE114" s="32" t="n">
        <v>663</v>
      </c>
      <c r="AF114" s="32" t="n">
        <v>654.9</v>
      </c>
      <c r="AG114" s="32" t="n">
        <v>632.8</v>
      </c>
      <c r="AH114" s="32" t="n">
        <v>627.8</v>
      </c>
      <c r="AI114" s="32" t="n">
        <v>615.9</v>
      </c>
      <c r="AJ114" s="32" t="n">
        <v>603.9</v>
      </c>
      <c r="AK114" s="32" t="n">
        <v>613.7</v>
      </c>
      <c r="AL114" s="32" t="n">
        <v>589.7</v>
      </c>
      <c r="AM114" s="32" t="n">
        <v>593.4</v>
      </c>
      <c r="AN114" s="32" t="n">
        <v>623</v>
      </c>
      <c r="AO114" s="32" t="n">
        <v>629.9</v>
      </c>
      <c r="AP114" s="32" t="n">
        <v>618.3</v>
      </c>
      <c r="AQ114" s="32" t="n">
        <v>622</v>
      </c>
      <c r="AR114" s="32" t="n">
        <v>644.3</v>
      </c>
      <c r="AS114" s="32" t="n">
        <v>639.9</v>
      </c>
      <c r="AT114" s="32" t="n">
        <v>660.9</v>
      </c>
      <c r="AU114" s="32" t="n">
        <v>657.4</v>
      </c>
      <c r="AV114" s="32" t="n">
        <v>660</v>
      </c>
      <c r="AW114" s="32" t="n">
        <v>701.2</v>
      </c>
      <c r="AX114" s="32" t="n">
        <v>662.6</v>
      </c>
      <c r="AY114" s="32" t="n">
        <v>650.8</v>
      </c>
      <c r="AZ114" s="32" t="n">
        <v>647</v>
      </c>
      <c r="BA114" s="32" t="n">
        <v>653.7</v>
      </c>
      <c r="BB114" s="32" t="n">
        <v>661</v>
      </c>
      <c r="BC114" s="32" t="n">
        <v>677.6</v>
      </c>
      <c r="BD114" s="32" t="n">
        <v>661.3</v>
      </c>
      <c r="BE114" s="32" t="n">
        <v>654.9</v>
      </c>
      <c r="BF114" s="32" t="n">
        <v>639</v>
      </c>
      <c r="BG114" s="32" t="n">
        <v>638.4</v>
      </c>
      <c r="BH114" s="32" t="n">
        <v>640.1</v>
      </c>
      <c r="BI114" s="32" t="n">
        <v>649</v>
      </c>
      <c r="BJ114" s="32" t="n">
        <v>637.6</v>
      </c>
      <c r="BK114" s="32" t="n">
        <v>655.9</v>
      </c>
      <c r="BL114" s="33" t="n">
        <v>697.9</v>
      </c>
    </row>
    <row r="115" ht="15.95" customHeight="1" s="574">
      <c r="A115" s="68" t="inlineStr">
        <is>
          <t>9531</t>
        </is>
      </c>
      <c r="B115" s="28" t="inlineStr">
        <is>
          <t>東京瓦斯</t>
        </is>
      </c>
      <c r="C115" s="665">
        <f>_xll.RssMarket("9531","高値")</f>
        <v/>
      </c>
      <c r="D115" s="666">
        <f>C115-E115</f>
        <v/>
      </c>
      <c r="E115" s="37" t="n">
        <v>6251</v>
      </c>
      <c r="F115" s="37" t="n">
        <v>6208</v>
      </c>
      <c r="G115" s="32" t="n">
        <v>6226</v>
      </c>
      <c r="H115" s="32" t="n">
        <v>6300</v>
      </c>
      <c r="I115" s="32" t="n">
        <v>6269</v>
      </c>
      <c r="J115" s="32" t="n">
        <v>6382</v>
      </c>
      <c r="K115" s="32" t="n">
        <v>6471</v>
      </c>
      <c r="L115" s="32" t="n">
        <v>6395</v>
      </c>
      <c r="M115" s="32" t="n">
        <v>6462</v>
      </c>
      <c r="N115" s="32" t="n">
        <v>6319</v>
      </c>
      <c r="O115" s="32" t="n">
        <v>6295</v>
      </c>
      <c r="P115" s="32" t="n">
        <v>6365</v>
      </c>
      <c r="Q115" s="32" t="n">
        <v>6353</v>
      </c>
      <c r="R115" s="32" t="n">
        <v>6255</v>
      </c>
      <c r="S115" s="32" t="n">
        <v>6432</v>
      </c>
      <c r="T115" s="32" t="n">
        <v>6481</v>
      </c>
      <c r="U115" s="32" t="n">
        <v>6536</v>
      </c>
      <c r="V115" s="32" t="n">
        <v>6600</v>
      </c>
      <c r="W115" s="32" t="n">
        <v>6698</v>
      </c>
      <c r="X115" s="32" t="n">
        <v>6724</v>
      </c>
      <c r="Y115" s="32" t="n">
        <v>6825</v>
      </c>
      <c r="Z115" s="32" t="n">
        <v>6765</v>
      </c>
      <c r="AA115" s="32" t="n">
        <v>6832</v>
      </c>
      <c r="AB115" s="32" t="n">
        <v>6779</v>
      </c>
      <c r="AC115" s="32" t="n">
        <v>6640</v>
      </c>
      <c r="AD115" s="32" t="n">
        <v>6702</v>
      </c>
      <c r="AE115" s="32" t="n">
        <v>6795</v>
      </c>
      <c r="AF115" s="32" t="n">
        <v>6747</v>
      </c>
      <c r="AG115" s="32" t="n">
        <v>6786</v>
      </c>
      <c r="AH115" s="32" t="n">
        <v>6842</v>
      </c>
      <c r="AI115" s="32" t="n">
        <v>6753</v>
      </c>
      <c r="AJ115" s="32" t="n">
        <v>6774</v>
      </c>
      <c r="AK115" s="32" t="n">
        <v>6979</v>
      </c>
      <c r="AL115" s="32" t="n">
        <v>6533</v>
      </c>
      <c r="AM115" s="32" t="n">
        <v>6552</v>
      </c>
      <c r="AN115" s="32" t="n">
        <v>6489</v>
      </c>
      <c r="AO115" s="32" t="n">
        <v>6596</v>
      </c>
      <c r="AP115" s="32" t="n">
        <v>6667</v>
      </c>
      <c r="AQ115" s="32" t="n">
        <v>6924</v>
      </c>
      <c r="AR115" s="32" t="n">
        <v>7128</v>
      </c>
      <c r="AS115" s="32" t="n">
        <v>7146</v>
      </c>
      <c r="AT115" s="32" t="n">
        <v>7072</v>
      </c>
      <c r="AU115" s="32" t="n">
        <v>7085</v>
      </c>
      <c r="AV115" s="32" t="n">
        <v>7286</v>
      </c>
      <c r="AW115" s="32" t="n">
        <v>7406</v>
      </c>
      <c r="AX115" s="32" t="n">
        <v>7426</v>
      </c>
      <c r="AY115" s="32" t="n">
        <v>7519</v>
      </c>
      <c r="AZ115" s="32" t="n">
        <v>7404</v>
      </c>
      <c r="BA115" s="32" t="n">
        <v>7371</v>
      </c>
      <c r="BB115" s="32" t="n">
        <v>7391</v>
      </c>
      <c r="BC115" s="32" t="n">
        <v>7620</v>
      </c>
      <c r="BD115" s="32" t="n">
        <v>7645</v>
      </c>
      <c r="BE115" s="32" t="n">
        <v>7648</v>
      </c>
      <c r="BF115" s="32" t="n">
        <v>7841</v>
      </c>
      <c r="BG115" s="32" t="n">
        <v>7817</v>
      </c>
      <c r="BH115" s="32" t="n">
        <v>7636</v>
      </c>
      <c r="BI115" s="32" t="n">
        <v>7584</v>
      </c>
      <c r="BJ115" s="32" t="n">
        <v>7267</v>
      </c>
      <c r="BK115" s="32" t="n">
        <v>7144</v>
      </c>
      <c r="BL115" s="33" t="n">
        <v>7644</v>
      </c>
    </row>
    <row r="116" ht="15.95" customHeight="1" s="574">
      <c r="A116" s="68" t="inlineStr">
        <is>
          <t>9882</t>
        </is>
      </c>
      <c r="B116" s="28" t="inlineStr">
        <is>
          <t>イエローハット</t>
        </is>
      </c>
      <c r="C116" s="665">
        <f>_xll.RssMarket("9882","高値")</f>
        <v/>
      </c>
      <c r="D116" s="666">
        <f>C116-E116</f>
        <v/>
      </c>
      <c r="E116" s="37" t="n">
        <v>1770</v>
      </c>
      <c r="F116" s="37" t="n">
        <v>1773</v>
      </c>
      <c r="G116" s="32" t="n">
        <v>1778</v>
      </c>
      <c r="H116" s="32" t="n">
        <v>1757</v>
      </c>
      <c r="I116" s="32" t="n">
        <v>1744</v>
      </c>
      <c r="J116" s="32" t="n">
        <v>1748</v>
      </c>
      <c r="K116" s="32" t="n">
        <v>1728</v>
      </c>
      <c r="L116" s="32" t="n">
        <v>1733</v>
      </c>
      <c r="M116" s="32" t="n">
        <v>1692</v>
      </c>
      <c r="N116" s="32" t="n">
        <v>1675</v>
      </c>
      <c r="O116" s="32" t="n">
        <v>1687</v>
      </c>
      <c r="P116" s="32" t="n">
        <v>1688</v>
      </c>
      <c r="Q116" s="32" t="n">
        <v>1640</v>
      </c>
      <c r="R116" s="32" t="n">
        <v>1663</v>
      </c>
      <c r="S116" s="32" t="n">
        <v>1637</v>
      </c>
      <c r="T116" s="32" t="n">
        <v>1633</v>
      </c>
      <c r="U116" s="32" t="n">
        <v>1627</v>
      </c>
      <c r="V116" s="32" t="n">
        <v>1632</v>
      </c>
      <c r="W116" s="32" t="n">
        <v>1650</v>
      </c>
      <c r="X116" s="32" t="n">
        <v>1646</v>
      </c>
      <c r="Y116" s="32" t="n">
        <v>1652</v>
      </c>
      <c r="Z116" s="32" t="n">
        <v>1649</v>
      </c>
      <c r="AA116" s="32" t="n">
        <v>1637</v>
      </c>
      <c r="AB116" s="32" t="n">
        <v>1629</v>
      </c>
      <c r="AC116" s="32" t="n">
        <v>1638</v>
      </c>
      <c r="AD116" s="32" t="n">
        <v>1670</v>
      </c>
      <c r="AE116" s="32" t="n">
        <v>1679</v>
      </c>
      <c r="AF116" s="32" t="n">
        <v>1510</v>
      </c>
      <c r="AG116" s="32" t="n">
        <v>1519</v>
      </c>
      <c r="AH116" s="32" t="n">
        <v>1513</v>
      </c>
      <c r="AI116" s="32" t="n">
        <v>1521</v>
      </c>
      <c r="AJ116" s="32" t="n">
        <v>1515</v>
      </c>
      <c r="AK116" s="32" t="n">
        <v>1521</v>
      </c>
      <c r="AL116" s="32" t="n">
        <v>1525</v>
      </c>
      <c r="AM116" s="32" t="n">
        <v>1534</v>
      </c>
      <c r="AN116" s="32" t="n">
        <v>1577</v>
      </c>
      <c r="AO116" s="32" t="n">
        <v>1579</v>
      </c>
      <c r="AP116" s="32" t="n">
        <v>1575</v>
      </c>
      <c r="AQ116" s="32" t="n">
        <v>1564</v>
      </c>
      <c r="AR116" s="32" t="n">
        <v>1570</v>
      </c>
      <c r="AS116" s="32" t="n">
        <v>1585</v>
      </c>
      <c r="AT116" s="32" t="n">
        <v>1580</v>
      </c>
      <c r="AU116" s="32" t="n">
        <v>1596</v>
      </c>
      <c r="AV116" s="32" t="n">
        <v>1612</v>
      </c>
      <c r="AW116" s="32" t="n">
        <v>1638</v>
      </c>
      <c r="AX116" s="32" t="n">
        <v>1635</v>
      </c>
      <c r="AY116" s="32" t="n">
        <v>1605</v>
      </c>
      <c r="AZ116" s="32" t="n">
        <v>1572</v>
      </c>
      <c r="BA116" s="32" t="n">
        <v>1561</v>
      </c>
      <c r="BB116" s="32" t="n">
        <v>1582</v>
      </c>
      <c r="BC116" s="32" t="n">
        <v>1573</v>
      </c>
      <c r="BD116" s="32" t="n">
        <v>1573</v>
      </c>
      <c r="BE116" s="32" t="n">
        <v>1540</v>
      </c>
      <c r="BF116" s="32" t="n">
        <v>1602</v>
      </c>
      <c r="BG116" s="32" t="n">
        <v>1590</v>
      </c>
      <c r="BH116" s="32" t="n">
        <v>1590</v>
      </c>
      <c r="BI116" s="32" t="n">
        <v>1558</v>
      </c>
      <c r="BJ116" s="32" t="n">
        <v>1530</v>
      </c>
      <c r="BK116" s="32" t="n">
        <v>1589</v>
      </c>
      <c r="BL116" s="33" t="n">
        <v>1598</v>
      </c>
    </row>
    <row r="117" ht="15.95" customHeight="1" s="574">
      <c r="A117" s="68" t="inlineStr">
        <is>
          <t>5838</t>
        </is>
      </c>
      <c r="B117" s="28" t="inlineStr">
        <is>
          <t>楽天銀行</t>
        </is>
      </c>
      <c r="C117" s="665">
        <f>_xll.RssMarket("5838","高値")</f>
        <v/>
      </c>
      <c r="D117" s="666">
        <f>C117-E117</f>
        <v/>
      </c>
      <c r="E117" s="37" t="n">
        <v>5148</v>
      </c>
      <c r="F117" s="37" t="n">
        <v>5286</v>
      </c>
      <c r="G117" s="32" t="n">
        <v>5356</v>
      </c>
      <c r="H117" s="32" t="n">
        <v>5311</v>
      </c>
      <c r="I117" s="32" t="n">
        <v>5335</v>
      </c>
      <c r="J117" s="32" t="n">
        <v>5416</v>
      </c>
      <c r="K117" s="32" t="n">
        <v>5279</v>
      </c>
      <c r="L117" s="32" t="n">
        <v>5218</v>
      </c>
      <c r="M117" s="32" t="n">
        <v>5154</v>
      </c>
      <c r="N117" s="32" t="n">
        <v>4980</v>
      </c>
      <c r="O117" s="32" t="n">
        <v>5174</v>
      </c>
      <c r="P117" s="32" t="n">
        <v>5060</v>
      </c>
      <c r="Q117" s="32" t="n">
        <v>4965</v>
      </c>
      <c r="R117" s="32" t="n">
        <v>4575</v>
      </c>
      <c r="S117" s="32" t="n">
        <v>4938</v>
      </c>
      <c r="T117" s="32" t="n">
        <v>4907</v>
      </c>
      <c r="U117" s="32" t="n">
        <v>4965</v>
      </c>
      <c r="V117" s="32" t="n">
        <v>5110</v>
      </c>
      <c r="W117" s="32" t="n">
        <v>5350</v>
      </c>
      <c r="X117" s="32" t="n">
        <v>5642</v>
      </c>
      <c r="Y117" s="32" t="n">
        <v>6896</v>
      </c>
      <c r="Z117" s="32" t="n">
        <v>7026</v>
      </c>
      <c r="AA117" s="32" t="n">
        <v>6665</v>
      </c>
      <c r="AB117" s="32" t="n">
        <v>6078</v>
      </c>
      <c r="AC117" s="32" t="n">
        <v>6204</v>
      </c>
      <c r="AD117" s="32" t="n">
        <v>6219</v>
      </c>
      <c r="AE117" s="32" t="n">
        <v>6422</v>
      </c>
      <c r="AF117" s="32" t="n">
        <v>6341</v>
      </c>
      <c r="AG117" s="32" t="n">
        <v>6327</v>
      </c>
      <c r="AH117" s="32" t="n">
        <v>6380</v>
      </c>
      <c r="AI117" s="32" t="n">
        <v>6345</v>
      </c>
      <c r="AJ117" s="32" t="n">
        <v>6386</v>
      </c>
      <c r="AK117" s="32" t="n">
        <v>6439</v>
      </c>
      <c r="AL117" s="32" t="n">
        <v>6194</v>
      </c>
      <c r="AM117" s="32" t="n">
        <v>6231</v>
      </c>
      <c r="AN117" s="32" t="n">
        <v>6290</v>
      </c>
      <c r="AO117" s="32" t="n">
        <v>6308</v>
      </c>
      <c r="AP117" s="32" t="n">
        <v>6490</v>
      </c>
      <c r="AQ117" s="32" t="n">
        <v>6582</v>
      </c>
      <c r="AR117" s="32" t="n">
        <v>6746</v>
      </c>
      <c r="AS117" s="32" t="n">
        <v>6799</v>
      </c>
      <c r="AT117" s="32" t="n">
        <v>6838</v>
      </c>
      <c r="AU117" s="32" t="n">
        <v>6880</v>
      </c>
      <c r="AV117" s="32" t="n">
        <v>6854</v>
      </c>
      <c r="AW117" s="32" t="n">
        <v>6865</v>
      </c>
      <c r="AX117" s="32" t="n">
        <v>6755</v>
      </c>
      <c r="AY117" s="32" t="n">
        <v>6559</v>
      </c>
      <c r="AZ117" s="32" t="n">
        <v>6274</v>
      </c>
      <c r="BA117" s="32" t="n">
        <v>6146</v>
      </c>
      <c r="BB117" s="32" t="n">
        <v>6076</v>
      </c>
      <c r="BC117" s="32" t="n">
        <v>6212</v>
      </c>
      <c r="BD117" s="32" t="n">
        <v>6119</v>
      </c>
      <c r="BE117" s="32" t="n">
        <v>5752</v>
      </c>
      <c r="BF117" s="32" t="n">
        <v>5960</v>
      </c>
      <c r="BG117" s="32" t="n">
        <v>6115</v>
      </c>
      <c r="BH117" s="32" t="n">
        <v>6221</v>
      </c>
      <c r="BI117" s="32" t="n">
        <v>6321</v>
      </c>
      <c r="BJ117" s="32" t="n">
        <v>6205</v>
      </c>
      <c r="BK117" s="32" t="n">
        <v>6137</v>
      </c>
      <c r="BL117" s="33" t="n">
        <v>6265</v>
      </c>
    </row>
    <row r="118" ht="15.95" customHeight="1" s="574">
      <c r="A118" s="68" t="inlineStr">
        <is>
          <t>5844</t>
        </is>
      </c>
      <c r="B118" s="28" t="inlineStr">
        <is>
          <t>京都フィナンシャルＧ</t>
        </is>
      </c>
      <c r="C118" s="665">
        <f>_xll.RssMarket("5844","高値")</f>
        <v/>
      </c>
      <c r="D118" s="666">
        <f>C118-E118</f>
        <v/>
      </c>
      <c r="E118" s="37" t="n">
        <v>4882</v>
      </c>
      <c r="F118" s="37" t="n">
        <v>4808</v>
      </c>
      <c r="G118" s="32" t="n">
        <v>4668</v>
      </c>
      <c r="H118" s="32" t="n">
        <v>4733</v>
      </c>
      <c r="I118" s="32" t="n">
        <v>4669</v>
      </c>
      <c r="J118" s="32" t="n">
        <v>4583</v>
      </c>
      <c r="K118" s="32" t="n">
        <v>4529</v>
      </c>
      <c r="L118" s="32" t="n">
        <v>4498</v>
      </c>
      <c r="M118" s="32" t="n">
        <v>4755</v>
      </c>
      <c r="N118" s="32" t="n">
        <v>4612</v>
      </c>
      <c r="O118" s="32" t="n">
        <v>4694</v>
      </c>
      <c r="P118" s="32" t="n">
        <v>4527</v>
      </c>
      <c r="Q118" s="32" t="n">
        <v>4396</v>
      </c>
      <c r="R118" s="32" t="n">
        <v>4384</v>
      </c>
      <c r="S118" s="32" t="n">
        <v>4484</v>
      </c>
      <c r="T118" s="32" t="n">
        <v>4540</v>
      </c>
      <c r="U118" s="32" t="n">
        <v>4530</v>
      </c>
      <c r="V118" s="32" t="n">
        <v>4605</v>
      </c>
      <c r="W118" s="32" t="n">
        <v>4519</v>
      </c>
      <c r="X118" s="32" t="n">
        <v>4547</v>
      </c>
      <c r="Y118" s="32" t="n">
        <v>4494</v>
      </c>
      <c r="Z118" s="32" t="n">
        <v>4453</v>
      </c>
      <c r="AA118" s="32" t="n">
        <v>4428</v>
      </c>
      <c r="AB118" s="32" t="n">
        <v>4534</v>
      </c>
      <c r="AC118" s="32" t="n">
        <v>4483</v>
      </c>
      <c r="AD118" s="32" t="n">
        <v>4491</v>
      </c>
      <c r="AE118" s="32" t="n">
        <v>4467</v>
      </c>
      <c r="AF118" s="32" t="n">
        <v>4441</v>
      </c>
      <c r="AG118" s="32" t="n">
        <v>4420</v>
      </c>
      <c r="AH118" s="32" t="n">
        <v>4521</v>
      </c>
      <c r="AI118" s="32" t="n">
        <v>4402</v>
      </c>
      <c r="AJ118" s="32" t="n">
        <v>4344</v>
      </c>
      <c r="AK118" s="32" t="n">
        <v>4362</v>
      </c>
      <c r="AL118" s="32" t="n">
        <v>4231</v>
      </c>
      <c r="AM118" s="32" t="n">
        <v>4327</v>
      </c>
      <c r="AN118" s="32" t="n">
        <v>4280</v>
      </c>
      <c r="AO118" s="32" t="n">
        <v>4367</v>
      </c>
      <c r="AP118" s="32" t="n">
        <v>4384</v>
      </c>
      <c r="AQ118" s="32" t="n">
        <v>4459</v>
      </c>
      <c r="AR118" s="32" t="n">
        <v>4435</v>
      </c>
      <c r="AS118" s="32" t="n">
        <v>4467</v>
      </c>
      <c r="AT118" s="32" t="n">
        <v>4421</v>
      </c>
      <c r="AU118" s="32" t="n">
        <v>4418</v>
      </c>
      <c r="AV118" s="32" t="n">
        <v>4387</v>
      </c>
      <c r="AW118" s="32" t="n">
        <v>4472</v>
      </c>
      <c r="AX118" s="32" t="n">
        <v>4506</v>
      </c>
      <c r="AY118" s="32" t="n">
        <v>4585</v>
      </c>
      <c r="AZ118" s="32" t="n">
        <v>4450</v>
      </c>
      <c r="BA118" s="32" t="n">
        <v>4428</v>
      </c>
      <c r="BB118" s="32" t="n">
        <v>4352</v>
      </c>
      <c r="BC118" s="32" t="n">
        <v>4447</v>
      </c>
      <c r="BD118" s="32" t="n">
        <v>4376</v>
      </c>
      <c r="BE118" s="32" t="n">
        <v>4245</v>
      </c>
      <c r="BF118" s="32" t="n">
        <v>4242</v>
      </c>
      <c r="BG118" s="32" t="n">
        <v>4513</v>
      </c>
      <c r="BH118" s="32" t="n">
        <v>4448</v>
      </c>
      <c r="BI118" s="32" t="n">
        <v>4422</v>
      </c>
      <c r="BJ118" s="32" t="n">
        <v>4457</v>
      </c>
      <c r="BK118" s="32" t="n">
        <v>4370</v>
      </c>
      <c r="BL118" s="33" t="n">
        <v>4461</v>
      </c>
    </row>
    <row r="119" ht="15.95" customHeight="1" s="574">
      <c r="A119" s="68" t="inlineStr">
        <is>
          <t>9404</t>
        </is>
      </c>
      <c r="B119" s="28" t="inlineStr">
        <is>
          <t>日本テレビＨＬＤＳ</t>
        </is>
      </c>
      <c r="C119" s="665">
        <f>_xll.RssMarket("9404","高値")</f>
        <v/>
      </c>
      <c r="D119" s="666">
        <f>C119-E119</f>
        <v/>
      </c>
      <c r="E119" s="37" t="n">
        <v>2787</v>
      </c>
      <c r="F119" s="37" t="n">
        <v>2847.5</v>
      </c>
      <c r="G119" s="32" t="n">
        <v>2875.5</v>
      </c>
      <c r="H119" s="32" t="n">
        <v>2900</v>
      </c>
      <c r="I119" s="32" t="n">
        <v>2884</v>
      </c>
      <c r="J119" s="32" t="n">
        <v>2856.5</v>
      </c>
      <c r="K119" s="32" t="n">
        <v>2871.5</v>
      </c>
      <c r="L119" s="32" t="n">
        <v>2914.5</v>
      </c>
      <c r="M119" s="32" t="n">
        <v>2904.5</v>
      </c>
      <c r="N119" s="32" t="n">
        <v>2897</v>
      </c>
      <c r="O119" s="32" t="n">
        <v>2888</v>
      </c>
      <c r="P119" s="32" t="n">
        <v>2800</v>
      </c>
      <c r="Q119" s="32" t="n">
        <v>2794</v>
      </c>
      <c r="R119" s="32" t="n">
        <v>2820</v>
      </c>
      <c r="S119" s="32" t="n">
        <v>2888.5</v>
      </c>
      <c r="T119" s="32" t="n">
        <v>2883</v>
      </c>
      <c r="U119" s="32" t="n">
        <v>2887</v>
      </c>
      <c r="V119" s="32" t="n">
        <v>2919.5</v>
      </c>
      <c r="W119" s="32" t="n">
        <v>2933.5</v>
      </c>
      <c r="X119" s="32" t="n">
        <v>2983.5</v>
      </c>
      <c r="Y119" s="32" t="n">
        <v>2982.5</v>
      </c>
      <c r="Z119" s="32" t="n">
        <v>2959.5</v>
      </c>
      <c r="AA119" s="32" t="n">
        <v>2949.5</v>
      </c>
      <c r="AB119" s="32" t="n">
        <v>2941</v>
      </c>
      <c r="AC119" s="32" t="n">
        <v>2944</v>
      </c>
      <c r="AD119" s="32" t="n">
        <v>2996.5</v>
      </c>
      <c r="AE119" s="32" t="n">
        <v>2957.5</v>
      </c>
      <c r="AF119" s="32" t="n">
        <v>2976.5</v>
      </c>
      <c r="AG119" s="32" t="n">
        <v>3019</v>
      </c>
      <c r="AH119" s="32" t="n">
        <v>3006</v>
      </c>
      <c r="AI119" s="32" t="n">
        <v>3005</v>
      </c>
      <c r="AJ119" s="32" t="n">
        <v>2994.5</v>
      </c>
      <c r="AK119" s="32" t="n">
        <v>3045</v>
      </c>
      <c r="AL119" s="32" t="n">
        <v>3059</v>
      </c>
      <c r="AM119" s="32" t="n">
        <v>2992.5</v>
      </c>
      <c r="AN119" s="32" t="n">
        <v>3058</v>
      </c>
      <c r="AO119" s="32" t="n">
        <v>3152</v>
      </c>
      <c r="AP119" s="32" t="n">
        <v>3177</v>
      </c>
      <c r="AQ119" s="32" t="n">
        <v>3220</v>
      </c>
      <c r="AR119" s="32" t="n">
        <v>3202</v>
      </c>
      <c r="AS119" s="32" t="n">
        <v>3199</v>
      </c>
      <c r="AT119" s="32" t="n">
        <v>3196</v>
      </c>
      <c r="AU119" s="32" t="n">
        <v>3174</v>
      </c>
      <c r="AV119" s="32" t="n">
        <v>3139</v>
      </c>
      <c r="AW119" s="32" t="n">
        <v>3175</v>
      </c>
      <c r="AX119" s="32" t="n">
        <v>3198</v>
      </c>
      <c r="AY119" s="32" t="n">
        <v>3194</v>
      </c>
      <c r="AZ119" s="32" t="n">
        <v>3134</v>
      </c>
      <c r="BA119" s="32" t="n">
        <v>3123</v>
      </c>
      <c r="BB119" s="32" t="n">
        <v>3135</v>
      </c>
      <c r="BC119" s="32" t="n">
        <v>3223</v>
      </c>
      <c r="BD119" s="32" t="n">
        <v>3226</v>
      </c>
      <c r="BE119" s="32" t="n">
        <v>3208</v>
      </c>
      <c r="BF119" s="32" t="n">
        <v>3178</v>
      </c>
      <c r="BG119" s="32" t="n">
        <v>3270</v>
      </c>
      <c r="BH119" s="32" t="n">
        <v>3220</v>
      </c>
      <c r="BI119" s="32" t="n">
        <v>3238</v>
      </c>
      <c r="BJ119" s="32" t="n">
        <v>3188</v>
      </c>
      <c r="BK119" s="32" t="n">
        <v>3150</v>
      </c>
      <c r="BL119" s="33" t="n">
        <v>3170</v>
      </c>
    </row>
    <row r="120" ht="15.95" customHeight="1" s="574">
      <c r="A120" s="68" t="inlineStr">
        <is>
          <t>6744</t>
        </is>
      </c>
      <c r="B120" s="28" t="inlineStr">
        <is>
          <t>能美防災</t>
        </is>
      </c>
      <c r="C120" s="665">
        <f>_xll.RssMarket("6744","高値")</f>
        <v/>
      </c>
      <c r="D120" s="666">
        <f>C120-E120</f>
        <v/>
      </c>
      <c r="E120" s="37" t="n">
        <v>4285</v>
      </c>
      <c r="F120" s="37" t="n">
        <v>4295</v>
      </c>
      <c r="G120" s="32" t="n">
        <v>4275</v>
      </c>
      <c r="H120" s="32" t="n">
        <v>4230</v>
      </c>
      <c r="I120" s="32" t="n">
        <v>4225</v>
      </c>
      <c r="J120" s="32" t="n">
        <v>4330</v>
      </c>
      <c r="K120" s="32" t="n">
        <v>4275</v>
      </c>
      <c r="L120" s="32" t="n">
        <v>4290</v>
      </c>
      <c r="M120" s="32" t="n">
        <v>4385</v>
      </c>
      <c r="N120" s="32" t="n">
        <v>4420</v>
      </c>
      <c r="O120" s="32" t="n">
        <v>4590</v>
      </c>
      <c r="P120" s="32" t="n">
        <v>4725</v>
      </c>
      <c r="Q120" s="32" t="n">
        <v>4685</v>
      </c>
      <c r="R120" s="32" t="n">
        <v>4940</v>
      </c>
      <c r="S120" s="32" t="n">
        <v>4840</v>
      </c>
      <c r="T120" s="32" t="n">
        <v>5000</v>
      </c>
      <c r="U120" s="32" t="n">
        <v>4875</v>
      </c>
      <c r="V120" s="32" t="n">
        <v>4670</v>
      </c>
      <c r="W120" s="32" t="n">
        <v>4675</v>
      </c>
      <c r="X120" s="32" t="n">
        <v>4615</v>
      </c>
      <c r="Y120" s="32" t="n">
        <v>4800</v>
      </c>
      <c r="Z120" s="32" t="n">
        <v>4725</v>
      </c>
      <c r="AA120" s="32" t="n">
        <v>4815</v>
      </c>
      <c r="AB120" s="32" t="n">
        <v>4600</v>
      </c>
      <c r="AC120" s="32" t="n">
        <v>4395</v>
      </c>
      <c r="AD120" s="32" t="n">
        <v>4450</v>
      </c>
      <c r="AE120" s="32" t="n">
        <v>4490</v>
      </c>
      <c r="AF120" s="32" t="n">
        <v>4360</v>
      </c>
      <c r="AG120" s="32" t="n">
        <v>4420</v>
      </c>
      <c r="AH120" s="32" t="n">
        <v>4325</v>
      </c>
      <c r="AI120" s="32" t="n">
        <v>4130</v>
      </c>
      <c r="AJ120" s="32" t="n">
        <v>4055</v>
      </c>
      <c r="AK120" s="32" t="n">
        <v>4000</v>
      </c>
      <c r="AL120" s="32" t="n">
        <v>3965</v>
      </c>
      <c r="AM120" s="32" t="n">
        <v>4000</v>
      </c>
      <c r="AN120" s="32" t="n">
        <v>4040</v>
      </c>
      <c r="AO120" s="32" t="n">
        <v>4115</v>
      </c>
      <c r="AP120" s="32" t="n">
        <v>4140</v>
      </c>
      <c r="AQ120" s="32" t="n">
        <v>4210</v>
      </c>
      <c r="AR120" s="32" t="n">
        <v>4280</v>
      </c>
      <c r="AS120" s="32" t="n">
        <v>4440</v>
      </c>
      <c r="AT120" s="32" t="n">
        <v>4440</v>
      </c>
      <c r="AU120" s="32" t="n">
        <v>4425</v>
      </c>
      <c r="AV120" s="32" t="n">
        <v>4430</v>
      </c>
      <c r="AW120" s="32" t="n">
        <v>4440</v>
      </c>
      <c r="AX120" s="32" t="n">
        <v>4425</v>
      </c>
      <c r="AY120" s="32" t="n">
        <v>4320</v>
      </c>
      <c r="AZ120" s="32" t="n">
        <v>4255</v>
      </c>
      <c r="BA120" s="32" t="n">
        <v>4220</v>
      </c>
      <c r="BB120" s="32" t="n">
        <v>4320</v>
      </c>
      <c r="BC120" s="32" t="n">
        <v>4285</v>
      </c>
      <c r="BD120" s="32" t="n">
        <v>4155</v>
      </c>
      <c r="BE120" s="32" t="n">
        <v>4195</v>
      </c>
      <c r="BF120" s="32" t="n">
        <v>4310</v>
      </c>
      <c r="BG120" s="32" t="n">
        <v>4400</v>
      </c>
      <c r="BH120" s="32" t="n">
        <v>4420</v>
      </c>
      <c r="BI120" s="32" t="n">
        <v>4305</v>
      </c>
      <c r="BJ120" s="32" t="n">
        <v>4320</v>
      </c>
      <c r="BK120" s="32" t="n">
        <v>4485</v>
      </c>
      <c r="BL120" s="33" t="n">
        <v>4520</v>
      </c>
    </row>
    <row r="121" ht="15.95" customHeight="1" s="574">
      <c r="A121" s="68" t="inlineStr">
        <is>
          <t>7685</t>
        </is>
      </c>
      <c r="B121" s="28" t="inlineStr">
        <is>
          <t>ＢＵＹＳＥＬＬＴＥＣＨ</t>
        </is>
      </c>
      <c r="C121" s="665">
        <f>_xll.RssMarket("7685","高値")</f>
        <v/>
      </c>
      <c r="D121" s="666">
        <f>C121-E121</f>
        <v/>
      </c>
      <c r="E121" s="37" t="n">
        <v>3510</v>
      </c>
      <c r="F121" s="37" t="n">
        <v>3595</v>
      </c>
      <c r="G121" s="32" t="n">
        <v>3670</v>
      </c>
      <c r="H121" s="32" t="n">
        <v>3725</v>
      </c>
      <c r="I121" s="32" t="n">
        <v>3740</v>
      </c>
      <c r="J121" s="32" t="n">
        <v>3770</v>
      </c>
      <c r="K121" s="32" t="n">
        <v>3935</v>
      </c>
      <c r="L121" s="32" t="n">
        <v>3850</v>
      </c>
      <c r="M121" s="32" t="n">
        <v>4035</v>
      </c>
      <c r="N121" s="32" t="n">
        <v>3715</v>
      </c>
      <c r="O121" s="32" t="n">
        <v>3790</v>
      </c>
      <c r="P121" s="32" t="n">
        <v>3870</v>
      </c>
      <c r="Q121" s="32" t="n">
        <v>3975</v>
      </c>
      <c r="R121" s="32" t="n">
        <v>4085</v>
      </c>
      <c r="S121" s="32" t="n">
        <v>4155</v>
      </c>
      <c r="T121" s="32" t="n">
        <v>4025</v>
      </c>
      <c r="U121" s="32" t="n">
        <v>3995</v>
      </c>
      <c r="V121" s="32" t="n">
        <v>3855</v>
      </c>
      <c r="W121" s="32" t="n">
        <v>3840</v>
      </c>
      <c r="X121" s="32" t="n">
        <v>3700</v>
      </c>
      <c r="Y121" s="32" t="n">
        <v>3875</v>
      </c>
      <c r="Z121" s="32" t="n">
        <v>3770</v>
      </c>
      <c r="AA121" s="32" t="n">
        <v>3475</v>
      </c>
      <c r="AB121" s="32" t="n">
        <v>3700</v>
      </c>
      <c r="AC121" s="32" t="n">
        <v>3500</v>
      </c>
      <c r="AD121" s="32" t="n">
        <v>3345</v>
      </c>
      <c r="AE121" s="32" t="n">
        <v>3340</v>
      </c>
      <c r="AF121" s="32" t="n">
        <v>3445</v>
      </c>
      <c r="AG121" s="32" t="n">
        <v>3290</v>
      </c>
      <c r="AH121" s="32" t="n">
        <v>3205</v>
      </c>
      <c r="AI121" s="32" t="n">
        <v>3300</v>
      </c>
      <c r="AJ121" s="32" t="n">
        <v>3385</v>
      </c>
      <c r="AK121" s="32" t="n">
        <v>3225</v>
      </c>
      <c r="AL121" s="32" t="n">
        <v>3190</v>
      </c>
      <c r="AM121" s="32" t="n">
        <v>3255</v>
      </c>
      <c r="AN121" s="32" t="n">
        <v>3345</v>
      </c>
      <c r="AO121" s="32" t="n">
        <v>3470</v>
      </c>
      <c r="AP121" s="32" t="n">
        <v>3500</v>
      </c>
      <c r="AQ121" s="32" t="n">
        <v>3510</v>
      </c>
      <c r="AR121" s="32" t="n">
        <v>3660</v>
      </c>
      <c r="AS121" s="32" t="n">
        <v>3700</v>
      </c>
      <c r="AT121" s="32" t="n">
        <v>3680</v>
      </c>
      <c r="AU121" s="32" t="n">
        <v>3580</v>
      </c>
      <c r="AV121" s="32" t="n">
        <v>3525</v>
      </c>
      <c r="AW121" s="32" t="n">
        <v>3470</v>
      </c>
      <c r="AX121" s="32" t="n">
        <v>3500</v>
      </c>
      <c r="AY121" s="32" t="n">
        <v>3495</v>
      </c>
      <c r="AZ121" s="32" t="n">
        <v>3395</v>
      </c>
      <c r="BA121" s="32" t="n">
        <v>3320</v>
      </c>
      <c r="BB121" s="32" t="n">
        <v>3200</v>
      </c>
      <c r="BC121" s="32" t="n">
        <v>3275</v>
      </c>
      <c r="BD121" s="32" t="n">
        <v>3245</v>
      </c>
      <c r="BE121" s="32" t="n">
        <v>3080</v>
      </c>
      <c r="BF121" s="32" t="n">
        <v>3085</v>
      </c>
      <c r="BG121" s="32" t="n">
        <v>3190</v>
      </c>
      <c r="BH121" s="32" t="n">
        <v>3200</v>
      </c>
      <c r="BI121" s="32" t="n">
        <v>3140</v>
      </c>
      <c r="BJ121" s="32" t="n">
        <v>3130</v>
      </c>
      <c r="BK121" s="32" t="n">
        <v>3190</v>
      </c>
      <c r="BL121" s="33" t="n">
        <v>3405</v>
      </c>
    </row>
    <row r="122" ht="15.95" customHeight="1" s="574">
      <c r="A122" s="68" t="inlineStr">
        <is>
          <t>8334</t>
        </is>
      </c>
      <c r="B122" s="28" t="inlineStr">
        <is>
          <t>群馬銀行</t>
        </is>
      </c>
      <c r="C122" s="665">
        <f>_xll.RssMarket("8334","高値")</f>
        <v/>
      </c>
      <c r="D122" s="666">
        <f>C122-E122</f>
        <v/>
      </c>
      <c r="E122" s="37" t="n">
        <v>2357.5</v>
      </c>
      <c r="F122" s="37" t="n">
        <v>2342</v>
      </c>
      <c r="G122" s="32" t="n">
        <v>2346</v>
      </c>
      <c r="H122" s="32" t="n">
        <v>2384</v>
      </c>
      <c r="I122" s="32" t="n">
        <v>2333.5</v>
      </c>
      <c r="J122" s="32" t="n">
        <v>2425</v>
      </c>
      <c r="K122" s="32" t="n">
        <v>2364</v>
      </c>
      <c r="L122" s="32" t="n">
        <v>2329</v>
      </c>
      <c r="M122" s="32" t="n">
        <v>2403</v>
      </c>
      <c r="N122" s="32" t="n">
        <v>2265.5</v>
      </c>
      <c r="O122" s="32" t="n">
        <v>2300</v>
      </c>
      <c r="P122" s="32" t="n">
        <v>2260</v>
      </c>
      <c r="Q122" s="32" t="n">
        <v>2199</v>
      </c>
      <c r="R122" s="32" t="n">
        <v>2177.5</v>
      </c>
      <c r="S122" s="32" t="n">
        <v>2284</v>
      </c>
      <c r="T122" s="32" t="n">
        <v>2279.5</v>
      </c>
      <c r="U122" s="32" t="n">
        <v>2291</v>
      </c>
      <c r="V122" s="32" t="n">
        <v>2336</v>
      </c>
      <c r="W122" s="32" t="n">
        <v>2375</v>
      </c>
      <c r="X122" s="32" t="n">
        <v>2392</v>
      </c>
      <c r="Y122" s="32" t="n">
        <v>2332.5</v>
      </c>
      <c r="Z122" s="32" t="n">
        <v>2323</v>
      </c>
      <c r="AA122" s="32" t="n">
        <v>2269</v>
      </c>
      <c r="AB122" s="32" t="n">
        <v>2234.5</v>
      </c>
      <c r="AC122" s="32" t="n">
        <v>2209</v>
      </c>
      <c r="AD122" s="32" t="n">
        <v>2221</v>
      </c>
      <c r="AE122" s="32" t="n">
        <v>2232</v>
      </c>
      <c r="AF122" s="32" t="n">
        <v>2240</v>
      </c>
      <c r="AG122" s="32" t="n">
        <v>2204.5</v>
      </c>
      <c r="AH122" s="32" t="n">
        <v>2247</v>
      </c>
      <c r="AI122" s="32" t="n">
        <v>2165</v>
      </c>
      <c r="AJ122" s="32" t="n">
        <v>2200</v>
      </c>
      <c r="AK122" s="32" t="n">
        <v>2215.5</v>
      </c>
      <c r="AL122" s="32" t="n">
        <v>2026.5</v>
      </c>
      <c r="AM122" s="32" t="n">
        <v>2060.5</v>
      </c>
      <c r="AN122" s="32" t="n">
        <v>2054</v>
      </c>
      <c r="AO122" s="32" t="n">
        <v>2135</v>
      </c>
      <c r="AP122" s="32" t="n">
        <v>2195</v>
      </c>
      <c r="AQ122" s="32" t="n">
        <v>2265</v>
      </c>
      <c r="AR122" s="32" t="n">
        <v>2272</v>
      </c>
      <c r="AS122" s="32" t="n">
        <v>2295</v>
      </c>
      <c r="AT122" s="32" t="n">
        <v>2292.5</v>
      </c>
      <c r="AU122" s="32" t="n">
        <v>2292.5</v>
      </c>
      <c r="AV122" s="32" t="n">
        <v>2304</v>
      </c>
      <c r="AW122" s="32" t="n">
        <v>2338.5</v>
      </c>
      <c r="AX122" s="32" t="n">
        <v>2325</v>
      </c>
      <c r="AY122" s="32" t="n">
        <v>2343</v>
      </c>
      <c r="AZ122" s="32" t="n">
        <v>2251.5</v>
      </c>
      <c r="BA122" s="32" t="n">
        <v>2248</v>
      </c>
      <c r="BB122" s="32" t="n">
        <v>2246.5</v>
      </c>
      <c r="BC122" s="32" t="n">
        <v>2284</v>
      </c>
      <c r="BD122" s="32" t="n">
        <v>2227</v>
      </c>
      <c r="BE122" s="32" t="n">
        <v>2181.5</v>
      </c>
      <c r="BF122" s="32" t="n">
        <v>2202.5</v>
      </c>
      <c r="BG122" s="32" t="n">
        <v>2317.5</v>
      </c>
      <c r="BH122" s="32" t="n">
        <v>2188.5</v>
      </c>
      <c r="BI122" s="32" t="n">
        <v>2195</v>
      </c>
      <c r="BJ122" s="32" t="n">
        <v>2118.5</v>
      </c>
      <c r="BK122" s="32" t="n">
        <v>2052</v>
      </c>
      <c r="BL122" s="33" t="n">
        <v>2150</v>
      </c>
    </row>
    <row r="123" ht="15.95" customHeight="1" s="574">
      <c r="A123" s="68" t="inlineStr">
        <is>
          <t>8359</t>
        </is>
      </c>
      <c r="B123" s="28" t="inlineStr">
        <is>
          <t>八十二長野銀行</t>
        </is>
      </c>
      <c r="C123" s="665">
        <f>_xll.RssMarket("8359","高値")</f>
        <v/>
      </c>
      <c r="D123" s="666">
        <f>C123-E123</f>
        <v/>
      </c>
      <c r="E123" s="37" t="n">
        <v>2412.5</v>
      </c>
      <c r="F123" s="37" t="n">
        <v>2354.5</v>
      </c>
      <c r="G123" s="32" t="n">
        <v>2357</v>
      </c>
      <c r="H123" s="32" t="n">
        <v>2397</v>
      </c>
      <c r="I123" s="32" t="n">
        <v>2360.5</v>
      </c>
      <c r="J123" s="32" t="n">
        <v>2465</v>
      </c>
      <c r="K123" s="32" t="n">
        <v>2379.5</v>
      </c>
      <c r="L123" s="32" t="n">
        <v>2354.5</v>
      </c>
      <c r="M123" s="32" t="n">
        <v>2470.5</v>
      </c>
      <c r="N123" s="32" t="n">
        <v>2358</v>
      </c>
      <c r="O123" s="32" t="n">
        <v>2442.5</v>
      </c>
      <c r="P123" s="32" t="n">
        <v>2376.5</v>
      </c>
      <c r="Q123" s="32" t="n">
        <v>2351</v>
      </c>
      <c r="R123" s="32" t="n">
        <v>2319.5</v>
      </c>
      <c r="S123" s="32" t="n">
        <v>2348</v>
      </c>
      <c r="T123" s="32" t="n">
        <v>2299</v>
      </c>
      <c r="U123" s="32" t="n">
        <v>2316</v>
      </c>
      <c r="V123" s="32" t="n">
        <v>2381</v>
      </c>
      <c r="W123" s="32" t="n">
        <v>2378.5</v>
      </c>
      <c r="X123" s="32" t="n">
        <v>2384.5</v>
      </c>
      <c r="Y123" s="32" t="n">
        <v>2323.5</v>
      </c>
      <c r="Z123" s="32" t="n">
        <v>2299</v>
      </c>
      <c r="AA123" s="32" t="n">
        <v>2374.5</v>
      </c>
      <c r="AB123" s="32" t="n">
        <v>2403</v>
      </c>
      <c r="AC123" s="32" t="n">
        <v>2357</v>
      </c>
      <c r="AD123" s="32" t="n">
        <v>2361.5</v>
      </c>
      <c r="AE123" s="32" t="n">
        <v>2350.5</v>
      </c>
      <c r="AF123" s="32" t="n">
        <v>2301.5</v>
      </c>
      <c r="AG123" s="32" t="n">
        <v>2245</v>
      </c>
      <c r="AH123" s="32" t="n">
        <v>2307.5</v>
      </c>
      <c r="AI123" s="32" t="n">
        <v>2123</v>
      </c>
      <c r="AJ123" s="32" t="n">
        <v>2150.5</v>
      </c>
      <c r="AK123" s="32" t="n">
        <v>2168</v>
      </c>
      <c r="AL123" s="32" t="n">
        <v>2025.5</v>
      </c>
      <c r="AM123" s="32" t="n">
        <v>2047.5</v>
      </c>
      <c r="AN123" s="32" t="n">
        <v>2029</v>
      </c>
      <c r="AO123" s="32" t="n">
        <v>2046</v>
      </c>
      <c r="AP123" s="32" t="n">
        <v>2094.5</v>
      </c>
      <c r="AQ123" s="32" t="n">
        <v>2129</v>
      </c>
      <c r="AR123" s="32" t="n">
        <v>2117.5</v>
      </c>
      <c r="AS123" s="32" t="n">
        <v>2128.5</v>
      </c>
      <c r="AT123" s="32" t="n">
        <v>2120</v>
      </c>
      <c r="AU123" s="32" t="n">
        <v>2098</v>
      </c>
      <c r="AV123" s="32" t="n">
        <v>2122.5</v>
      </c>
      <c r="AW123" s="32" t="n">
        <v>2152.5</v>
      </c>
      <c r="AX123" s="32" t="n">
        <v>2147</v>
      </c>
      <c r="AY123" s="32" t="n">
        <v>2158</v>
      </c>
      <c r="AZ123" s="32" t="n">
        <v>2091.5</v>
      </c>
      <c r="BA123" s="32" t="n">
        <v>2070</v>
      </c>
      <c r="BB123" s="32" t="n">
        <v>2059.5</v>
      </c>
      <c r="BC123" s="32" t="n">
        <v>2115</v>
      </c>
      <c r="BD123" s="32" t="n">
        <v>2069</v>
      </c>
      <c r="BE123" s="32" t="n">
        <v>1986</v>
      </c>
      <c r="BF123" s="32" t="n">
        <v>1967.5</v>
      </c>
      <c r="BG123" s="32" t="n">
        <v>2078.5</v>
      </c>
      <c r="BH123" s="32" t="n">
        <v>2110</v>
      </c>
      <c r="BI123" s="32" t="n">
        <v>2102</v>
      </c>
      <c r="BJ123" s="32" t="n">
        <v>2033.5</v>
      </c>
      <c r="BK123" s="32" t="n">
        <v>1960</v>
      </c>
      <c r="BL123" s="33" t="n">
        <v>1985.5</v>
      </c>
    </row>
    <row r="124" ht="15.95" customHeight="1" s="574">
      <c r="A124" s="68" t="inlineStr">
        <is>
          <t>8801</t>
        </is>
      </c>
      <c r="B124" s="28" t="inlineStr">
        <is>
          <t>三井不動産</t>
        </is>
      </c>
      <c r="C124" s="665">
        <f>_xll.RssMarket("8801","高値")</f>
        <v/>
      </c>
      <c r="D124" s="666">
        <f>C124-E124</f>
        <v/>
      </c>
      <c r="E124" s="37" t="n">
        <v>1497.5</v>
      </c>
      <c r="F124" s="37" t="n">
        <v>1510.5</v>
      </c>
      <c r="G124" s="32" t="n">
        <v>1528</v>
      </c>
      <c r="H124" s="32" t="n">
        <v>1554.5</v>
      </c>
      <c r="I124" s="32" t="n">
        <v>1572.5</v>
      </c>
      <c r="J124" s="32" t="n">
        <v>1593.5</v>
      </c>
      <c r="K124" s="32" t="n">
        <v>1578.5</v>
      </c>
      <c r="L124" s="32" t="n">
        <v>1597</v>
      </c>
      <c r="M124" s="32" t="n">
        <v>1551</v>
      </c>
      <c r="N124" s="32" t="n">
        <v>1475.5</v>
      </c>
      <c r="O124" s="32" t="n">
        <v>1506.5</v>
      </c>
      <c r="P124" s="32" t="n">
        <v>1493.5</v>
      </c>
      <c r="Q124" s="32" t="n">
        <v>1520</v>
      </c>
      <c r="R124" s="32" t="n">
        <v>1516</v>
      </c>
      <c r="S124" s="32" t="n">
        <v>1543</v>
      </c>
      <c r="T124" s="32" t="n">
        <v>1539</v>
      </c>
      <c r="U124" s="32" t="n">
        <v>1557.5</v>
      </c>
      <c r="V124" s="32" t="n">
        <v>1547.5</v>
      </c>
      <c r="W124" s="32" t="n">
        <v>1503</v>
      </c>
      <c r="X124" s="32" t="n">
        <v>1557</v>
      </c>
      <c r="Y124" s="32" t="n">
        <v>1531.5</v>
      </c>
      <c r="Z124" s="32" t="n">
        <v>1545</v>
      </c>
      <c r="AA124" s="32" t="n">
        <v>1565.5</v>
      </c>
      <c r="AB124" s="32" t="n">
        <v>1557.5</v>
      </c>
      <c r="AC124" s="32" t="n">
        <v>1606</v>
      </c>
      <c r="AD124" s="32" t="n">
        <v>1697.5</v>
      </c>
      <c r="AE124" s="32" t="n">
        <v>1688</v>
      </c>
      <c r="AF124" s="32" t="n">
        <v>1679</v>
      </c>
      <c r="AG124" s="32" t="n">
        <v>1700</v>
      </c>
      <c r="AH124" s="32" t="n">
        <v>1736.5</v>
      </c>
      <c r="AI124" s="32" t="n">
        <v>1705</v>
      </c>
      <c r="AJ124" s="32" t="n">
        <v>1724</v>
      </c>
      <c r="AK124" s="32" t="n">
        <v>1732</v>
      </c>
      <c r="AL124" s="32" t="n">
        <v>1728.5</v>
      </c>
      <c r="AM124" s="32" t="n">
        <v>1722.5</v>
      </c>
      <c r="AN124" s="32" t="n">
        <v>1767.5</v>
      </c>
      <c r="AO124" s="32" t="n">
        <v>1741</v>
      </c>
      <c r="AP124" s="32" t="n">
        <v>1770</v>
      </c>
      <c r="AQ124" s="32" t="n">
        <v>1776.5</v>
      </c>
      <c r="AR124" s="32" t="n">
        <v>1757.5</v>
      </c>
      <c r="AS124" s="32" t="n">
        <v>1783.5</v>
      </c>
      <c r="AT124" s="32" t="n">
        <v>1825.5</v>
      </c>
      <c r="AU124" s="32" t="n">
        <v>1803</v>
      </c>
      <c r="AV124" s="32" t="n">
        <v>1732</v>
      </c>
      <c r="AW124" s="32" t="n">
        <v>1735.5</v>
      </c>
      <c r="AX124" s="32" t="n">
        <v>1785</v>
      </c>
      <c r="AY124" s="32" t="n">
        <v>1779</v>
      </c>
      <c r="AZ124" s="32" t="n">
        <v>1676</v>
      </c>
      <c r="BA124" s="32" t="n">
        <v>1704</v>
      </c>
      <c r="BB124" s="32" t="n">
        <v>1713</v>
      </c>
      <c r="BC124" s="32" t="n">
        <v>1750</v>
      </c>
      <c r="BD124" s="32" t="n">
        <v>1713</v>
      </c>
      <c r="BE124" s="32" t="n">
        <v>1688</v>
      </c>
      <c r="BF124" s="32" t="n">
        <v>1665</v>
      </c>
      <c r="BG124" s="32" t="n">
        <v>1726.5</v>
      </c>
      <c r="BH124" s="32" t="n">
        <v>1761.5</v>
      </c>
      <c r="BI124" s="32" t="n">
        <v>1784.5</v>
      </c>
      <c r="BJ124" s="32" t="n">
        <v>1743.5</v>
      </c>
      <c r="BK124" s="32" t="n">
        <v>1758.5</v>
      </c>
      <c r="BL124" s="33" t="n">
        <v>1840</v>
      </c>
    </row>
    <row r="125" ht="15.95" customHeight="1" s="574">
      <c r="A125" s="68" t="inlineStr">
        <is>
          <t>8934</t>
        </is>
      </c>
      <c r="B125" s="28" t="inlineStr">
        <is>
          <t>サンフロンティア不動産</t>
        </is>
      </c>
      <c r="C125" s="665">
        <f>_xll.RssMarket("8934","高値")</f>
        <v/>
      </c>
      <c r="D125" s="666">
        <f>C125-E125</f>
        <v/>
      </c>
      <c r="E125" s="37" t="n">
        <v>2363</v>
      </c>
      <c r="F125" s="37" t="n">
        <v>2380</v>
      </c>
      <c r="G125" s="32" t="n">
        <v>2366</v>
      </c>
      <c r="H125" s="32" t="n">
        <v>2395</v>
      </c>
      <c r="I125" s="32" t="n">
        <v>2393</v>
      </c>
      <c r="J125" s="32" t="n">
        <v>2416</v>
      </c>
      <c r="K125" s="32" t="n">
        <v>2384</v>
      </c>
      <c r="L125" s="32" t="n">
        <v>2392</v>
      </c>
      <c r="M125" s="32" t="n">
        <v>2410</v>
      </c>
      <c r="N125" s="32" t="n">
        <v>2331</v>
      </c>
      <c r="O125" s="32" t="n">
        <v>2341</v>
      </c>
      <c r="P125" s="32" t="n">
        <v>2305</v>
      </c>
      <c r="Q125" s="32" t="n">
        <v>2287</v>
      </c>
      <c r="R125" s="32" t="n">
        <v>2266</v>
      </c>
      <c r="S125" s="32" t="n">
        <v>2425</v>
      </c>
      <c r="T125" s="32" t="n">
        <v>2360</v>
      </c>
      <c r="U125" s="32" t="n">
        <v>2371</v>
      </c>
      <c r="V125" s="32" t="n">
        <v>2380</v>
      </c>
      <c r="W125" s="32" t="n">
        <v>2388</v>
      </c>
      <c r="X125" s="32" t="n">
        <v>2420</v>
      </c>
      <c r="Y125" s="32" t="n">
        <v>2422</v>
      </c>
      <c r="Z125" s="32" t="n">
        <v>2461</v>
      </c>
      <c r="AA125" s="32" t="n">
        <v>2470</v>
      </c>
      <c r="AB125" s="32" t="n">
        <v>2473</v>
      </c>
      <c r="AC125" s="32" t="n">
        <v>2468</v>
      </c>
      <c r="AD125" s="32" t="n">
        <v>2464</v>
      </c>
      <c r="AE125" s="32" t="n">
        <v>2549</v>
      </c>
      <c r="AF125" s="32" t="n">
        <v>2601</v>
      </c>
      <c r="AG125" s="32" t="n">
        <v>2625</v>
      </c>
      <c r="AH125" s="32" t="n">
        <v>2680</v>
      </c>
      <c r="AI125" s="32" t="n">
        <v>2695</v>
      </c>
      <c r="AJ125" s="32" t="n">
        <v>2729</v>
      </c>
      <c r="AK125" s="32" t="n">
        <v>2702</v>
      </c>
      <c r="AL125" s="32" t="n">
        <v>2685</v>
      </c>
      <c r="AM125" s="32" t="n">
        <v>2697</v>
      </c>
      <c r="AN125" s="32" t="n">
        <v>2737</v>
      </c>
      <c r="AO125" s="32" t="n">
        <v>2750</v>
      </c>
      <c r="AP125" s="32" t="n">
        <v>2773</v>
      </c>
      <c r="AQ125" s="32" t="n">
        <v>2802</v>
      </c>
      <c r="AR125" s="32" t="n">
        <v>2804</v>
      </c>
      <c r="AS125" s="32" t="n">
        <v>2838</v>
      </c>
      <c r="AT125" s="32" t="n">
        <v>2865</v>
      </c>
      <c r="AU125" s="32" t="n">
        <v>2858</v>
      </c>
      <c r="AV125" s="32" t="n">
        <v>2885</v>
      </c>
      <c r="AW125" s="32" t="n">
        <v>2812</v>
      </c>
      <c r="AX125" s="32" t="n">
        <v>2815</v>
      </c>
      <c r="AY125" s="32" t="n">
        <v>2757</v>
      </c>
      <c r="AZ125" s="32" t="n">
        <v>2720</v>
      </c>
      <c r="BA125" s="32" t="n">
        <v>2720</v>
      </c>
      <c r="BB125" s="32" t="n">
        <v>2685</v>
      </c>
      <c r="BC125" s="32" t="n">
        <v>2721</v>
      </c>
      <c r="BD125" s="32" t="n">
        <v>2695</v>
      </c>
      <c r="BE125" s="32" t="n">
        <v>2663</v>
      </c>
      <c r="BF125" s="32" t="n">
        <v>2660</v>
      </c>
      <c r="BG125" s="32" t="n">
        <v>2709</v>
      </c>
      <c r="BH125" s="32" t="n">
        <v>2686</v>
      </c>
      <c r="BI125" s="32" t="n">
        <v>2700</v>
      </c>
      <c r="BJ125" s="32" t="n">
        <v>2687</v>
      </c>
      <c r="BK125" s="32" t="n">
        <v>2691</v>
      </c>
      <c r="BL125" s="33" t="n">
        <v>2727</v>
      </c>
    </row>
    <row r="126" ht="15.95" customHeight="1" s="574">
      <c r="A126" s="68" t="inlineStr">
        <is>
          <t>9416</t>
        </is>
      </c>
      <c r="B126" s="28" t="inlineStr">
        <is>
          <t>ビジョン</t>
        </is>
      </c>
      <c r="C126" s="665">
        <f>_xll.RssMarket("9416","高値")</f>
        <v/>
      </c>
      <c r="D126" s="666">
        <f>C126-E126</f>
        <v/>
      </c>
      <c r="E126" s="37" t="n">
        <v>1023</v>
      </c>
      <c r="F126" s="37" t="n">
        <v>1037</v>
      </c>
      <c r="G126" s="32" t="n">
        <v>1026</v>
      </c>
      <c r="H126" s="32" t="n">
        <v>1020</v>
      </c>
      <c r="I126" s="32" t="n">
        <v>1030</v>
      </c>
      <c r="J126" s="32" t="n">
        <v>1020</v>
      </c>
      <c r="K126" s="32" t="n">
        <v>1017</v>
      </c>
      <c r="L126" s="32" t="n">
        <v>1015</v>
      </c>
      <c r="M126" s="32" t="n">
        <v>1034</v>
      </c>
      <c r="N126" s="32" t="n">
        <v>1036</v>
      </c>
      <c r="O126" s="32" t="n">
        <v>1018</v>
      </c>
      <c r="P126" s="32" t="n">
        <v>1023</v>
      </c>
      <c r="Q126" s="32" t="n">
        <v>1027</v>
      </c>
      <c r="R126" s="32" t="n">
        <v>1080</v>
      </c>
      <c r="S126" s="32" t="n">
        <v>1063</v>
      </c>
      <c r="T126" s="32" t="n">
        <v>1064</v>
      </c>
      <c r="U126" s="32" t="n">
        <v>1104</v>
      </c>
      <c r="V126" s="32" t="n">
        <v>1021</v>
      </c>
      <c r="W126" s="32" t="n">
        <v>1033</v>
      </c>
      <c r="X126" s="32" t="n">
        <v>1032</v>
      </c>
      <c r="Y126" s="32" t="n">
        <v>1028</v>
      </c>
      <c r="Z126" s="32" t="n">
        <v>1045</v>
      </c>
      <c r="AA126" s="32" t="n">
        <v>1039</v>
      </c>
      <c r="AB126" s="32" t="n">
        <v>1140</v>
      </c>
      <c r="AC126" s="32" t="n">
        <v>1105</v>
      </c>
      <c r="AD126" s="32" t="n">
        <v>1115</v>
      </c>
      <c r="AE126" s="32" t="n">
        <v>1116</v>
      </c>
      <c r="AF126" s="32" t="n">
        <v>1114</v>
      </c>
      <c r="AG126" s="32" t="n">
        <v>1099</v>
      </c>
      <c r="AH126" s="32" t="n">
        <v>1103</v>
      </c>
      <c r="AI126" s="32" t="n">
        <v>1106</v>
      </c>
      <c r="AJ126" s="32" t="n">
        <v>1099</v>
      </c>
      <c r="AK126" s="32" t="n">
        <v>1111</v>
      </c>
      <c r="AL126" s="32" t="n">
        <v>1112</v>
      </c>
      <c r="AM126" s="32" t="n">
        <v>1146</v>
      </c>
      <c r="AN126" s="32" t="n">
        <v>1179</v>
      </c>
      <c r="AO126" s="32" t="n">
        <v>1186</v>
      </c>
      <c r="AP126" s="32" t="n">
        <v>1202</v>
      </c>
      <c r="AQ126" s="32" t="n">
        <v>1218</v>
      </c>
      <c r="AR126" s="32" t="n">
        <v>1212</v>
      </c>
      <c r="AS126" s="32" t="n">
        <v>1203</v>
      </c>
      <c r="AT126" s="32" t="n">
        <v>1208</v>
      </c>
      <c r="AU126" s="32" t="n">
        <v>1208</v>
      </c>
      <c r="AV126" s="32" t="n">
        <v>1206</v>
      </c>
      <c r="AW126" s="32" t="n">
        <v>1209</v>
      </c>
      <c r="AX126" s="32" t="n">
        <v>1195</v>
      </c>
      <c r="AY126" s="32" t="n">
        <v>1178</v>
      </c>
      <c r="AZ126" s="32" t="n">
        <v>1175</v>
      </c>
      <c r="BA126" s="32" t="n">
        <v>1181</v>
      </c>
      <c r="BB126" s="32" t="n">
        <v>1165</v>
      </c>
      <c r="BC126" s="32" t="n">
        <v>1153</v>
      </c>
      <c r="BD126" s="32" t="n">
        <v>1145</v>
      </c>
      <c r="BE126" s="32" t="n">
        <v>1176</v>
      </c>
      <c r="BF126" s="32" t="n">
        <v>1164</v>
      </c>
      <c r="BG126" s="32" t="n">
        <v>1174</v>
      </c>
      <c r="BH126" s="32" t="n">
        <v>1157</v>
      </c>
      <c r="BI126" s="32" t="n">
        <v>1139</v>
      </c>
      <c r="BJ126" s="32" t="n">
        <v>1173</v>
      </c>
      <c r="BK126" s="32" t="n">
        <v>1187</v>
      </c>
      <c r="BL126" s="33" t="n">
        <v>1193</v>
      </c>
    </row>
    <row r="127" ht="15.95" customHeight="1" s="574">
      <c r="A127" s="68" t="inlineStr">
        <is>
          <t>9532</t>
        </is>
      </c>
      <c r="B127" s="28" t="inlineStr">
        <is>
          <t>大阪瓦斯</t>
        </is>
      </c>
      <c r="C127" s="665">
        <f>_xll.RssMarket("9532","高値")</f>
        <v/>
      </c>
      <c r="D127" s="666">
        <f>C127-E127</f>
        <v/>
      </c>
      <c r="E127" s="37" t="n">
        <v>5451</v>
      </c>
      <c r="F127" s="37" t="n">
        <v>5411</v>
      </c>
      <c r="G127" s="32" t="n">
        <v>5502</v>
      </c>
      <c r="H127" s="32" t="n">
        <v>5543</v>
      </c>
      <c r="I127" s="32" t="n">
        <v>5526</v>
      </c>
      <c r="J127" s="32" t="n">
        <v>5644</v>
      </c>
      <c r="K127" s="32" t="n">
        <v>5776</v>
      </c>
      <c r="L127" s="32" t="n">
        <v>5675</v>
      </c>
      <c r="M127" s="32" t="n">
        <v>5557</v>
      </c>
      <c r="N127" s="32" t="n">
        <v>5516</v>
      </c>
      <c r="O127" s="32" t="n">
        <v>5564</v>
      </c>
      <c r="P127" s="32" t="n">
        <v>5628</v>
      </c>
      <c r="Q127" s="32" t="n">
        <v>5648</v>
      </c>
      <c r="R127" s="32" t="n">
        <v>5403</v>
      </c>
      <c r="S127" s="32" t="n">
        <v>5412</v>
      </c>
      <c r="T127" s="32" t="n">
        <v>5485</v>
      </c>
      <c r="U127" s="32" t="n">
        <v>5593</v>
      </c>
      <c r="V127" s="32" t="n">
        <v>5694</v>
      </c>
      <c r="W127" s="32" t="n">
        <v>5770</v>
      </c>
      <c r="X127" s="32" t="n">
        <v>5779</v>
      </c>
      <c r="Y127" s="32" t="n">
        <v>5879</v>
      </c>
      <c r="Z127" s="32" t="n">
        <v>5814</v>
      </c>
      <c r="AA127" s="32" t="n">
        <v>5762</v>
      </c>
      <c r="AB127" s="32" t="n">
        <v>5770</v>
      </c>
      <c r="AC127" s="32" t="n">
        <v>5778</v>
      </c>
      <c r="AD127" s="32" t="n">
        <v>5805</v>
      </c>
      <c r="AE127" s="32" t="n">
        <v>5699</v>
      </c>
      <c r="AF127" s="32" t="n">
        <v>5809</v>
      </c>
      <c r="AG127" s="32" t="n">
        <v>5850</v>
      </c>
      <c r="AH127" s="32" t="n">
        <v>5825</v>
      </c>
      <c r="AI127" s="32" t="n">
        <v>5769</v>
      </c>
      <c r="AJ127" s="32" t="n">
        <v>5950</v>
      </c>
      <c r="AK127" s="32" t="n">
        <v>5984</v>
      </c>
      <c r="AL127" s="32" t="n">
        <v>5838</v>
      </c>
      <c r="AM127" s="32" t="n">
        <v>5967</v>
      </c>
      <c r="AN127" s="32" t="n">
        <v>5856</v>
      </c>
      <c r="AO127" s="32" t="n">
        <v>5905</v>
      </c>
      <c r="AP127" s="32" t="n">
        <v>6005</v>
      </c>
      <c r="AQ127" s="32" t="n">
        <v>6154</v>
      </c>
      <c r="AR127" s="32" t="n">
        <v>6261</v>
      </c>
      <c r="AS127" s="32" t="n">
        <v>6261</v>
      </c>
      <c r="AT127" s="32" t="n">
        <v>6290</v>
      </c>
      <c r="AU127" s="32" t="n">
        <v>6316</v>
      </c>
      <c r="AV127" s="32" t="n">
        <v>6400</v>
      </c>
      <c r="AW127" s="32" t="n">
        <v>6636</v>
      </c>
      <c r="AX127" s="32" t="n">
        <v>6632</v>
      </c>
      <c r="AY127" s="32" t="n">
        <v>6705</v>
      </c>
      <c r="AZ127" s="32" t="n">
        <v>6591</v>
      </c>
      <c r="BA127" s="32" t="n">
        <v>6520</v>
      </c>
      <c r="BB127" s="32" t="n">
        <v>6512</v>
      </c>
      <c r="BC127" s="32" t="n">
        <v>6594</v>
      </c>
      <c r="BD127" s="32" t="n">
        <v>6560</v>
      </c>
      <c r="BE127" s="32" t="n">
        <v>6522</v>
      </c>
      <c r="BF127" s="32" t="n">
        <v>6523</v>
      </c>
      <c r="BG127" s="32" t="n">
        <v>6511</v>
      </c>
      <c r="BH127" s="32" t="n">
        <v>6431</v>
      </c>
      <c r="BI127" s="32" t="n">
        <v>6544</v>
      </c>
      <c r="BJ127" s="32" t="n">
        <v>6330</v>
      </c>
      <c r="BK127" s="32" t="n">
        <v>6280</v>
      </c>
      <c r="BL127" s="33" t="n">
        <v>6567</v>
      </c>
    </row>
    <row r="128" ht="15.95" customHeight="1" s="574">
      <c r="A128" s="68" t="inlineStr">
        <is>
          <t>6330</t>
        </is>
      </c>
      <c r="B128" s="28" t="inlineStr">
        <is>
          <t>東洋エンジニア</t>
        </is>
      </c>
      <c r="C128" s="665">
        <f>_xll.RssMarket("6330","高値")</f>
        <v/>
      </c>
      <c r="D128" s="666">
        <f>C128-E128</f>
        <v/>
      </c>
      <c r="E128" s="37" t="n">
        <v>2071</v>
      </c>
      <c r="F128" s="37" t="n">
        <v>2147</v>
      </c>
      <c r="G128" s="32" t="n">
        <v>2237</v>
      </c>
      <c r="H128" s="32" t="n">
        <v>2266</v>
      </c>
      <c r="I128" s="32" t="n">
        <v>2097</v>
      </c>
      <c r="J128" s="32" t="n">
        <v>2095</v>
      </c>
      <c r="K128" s="32" t="n">
        <v>1937</v>
      </c>
      <c r="L128" s="32" t="n">
        <v>1853</v>
      </c>
      <c r="M128" s="32" t="n">
        <v>1987</v>
      </c>
      <c r="N128" s="32" t="n">
        <v>2045</v>
      </c>
      <c r="O128" s="32" t="n">
        <v>2093</v>
      </c>
      <c r="P128" s="32" t="n">
        <v>2007</v>
      </c>
      <c r="Q128" s="32" t="n">
        <v>2050</v>
      </c>
      <c r="R128" s="32" t="n">
        <v>1944</v>
      </c>
      <c r="S128" s="32" t="n">
        <v>2153</v>
      </c>
      <c r="T128" s="32" t="n">
        <v>2154</v>
      </c>
      <c r="U128" s="32" t="n">
        <v>2206</v>
      </c>
      <c r="V128" s="32" t="n">
        <v>2285</v>
      </c>
      <c r="W128" s="32" t="n">
        <v>2187</v>
      </c>
      <c r="X128" s="32" t="n">
        <v>2083</v>
      </c>
      <c r="Y128" s="32" t="n">
        <v>2085</v>
      </c>
      <c r="Z128" s="32" t="n">
        <v>2167</v>
      </c>
      <c r="AA128" s="32" t="n">
        <v>2149</v>
      </c>
      <c r="AB128" s="32" t="n">
        <v>2203</v>
      </c>
      <c r="AC128" s="32" t="n">
        <v>2485</v>
      </c>
      <c r="AD128" s="32" t="n">
        <v>2217</v>
      </c>
      <c r="AE128" s="32" t="n">
        <v>2305</v>
      </c>
      <c r="AF128" s="32" t="n">
        <v>2352</v>
      </c>
      <c r="AG128" s="32" t="n">
        <v>2350</v>
      </c>
      <c r="AH128" s="32" t="n">
        <v>2335</v>
      </c>
      <c r="AI128" s="32" t="n">
        <v>2339</v>
      </c>
      <c r="AJ128" s="32" t="n">
        <v>2375</v>
      </c>
      <c r="AK128" s="32" t="n">
        <v>2423</v>
      </c>
      <c r="AL128" s="32" t="n">
        <v>2380</v>
      </c>
      <c r="AM128" s="32" t="n">
        <v>2461</v>
      </c>
      <c r="AN128" s="32" t="n">
        <v>2505</v>
      </c>
      <c r="AO128" s="32" t="n">
        <v>2545</v>
      </c>
      <c r="AP128" s="32" t="n">
        <v>2697</v>
      </c>
      <c r="AQ128" s="32" t="n">
        <v>2797</v>
      </c>
      <c r="AR128" s="32" t="n">
        <v>2680</v>
      </c>
      <c r="AS128" s="32" t="n">
        <v>2493</v>
      </c>
      <c r="AT128" s="32" t="n">
        <v>2409</v>
      </c>
      <c r="AU128" s="32" t="n">
        <v>2384</v>
      </c>
      <c r="AV128" s="32" t="n">
        <v>2373</v>
      </c>
      <c r="AW128" s="32" t="n">
        <v>2379</v>
      </c>
      <c r="AX128" s="32" t="n">
        <v>2375</v>
      </c>
      <c r="AY128" s="32" t="n">
        <v>2433</v>
      </c>
      <c r="AZ128" s="32" t="n">
        <v>2236</v>
      </c>
      <c r="BA128" s="32" t="n">
        <v>2278</v>
      </c>
      <c r="BB128" s="32" t="n">
        <v>2618</v>
      </c>
      <c r="BC128" s="32" t="n">
        <v>2768</v>
      </c>
      <c r="BD128" s="32" t="n">
        <v>2769</v>
      </c>
      <c r="BE128" s="32" t="n">
        <v>2685</v>
      </c>
      <c r="BF128" s="32" t="n">
        <v>2785</v>
      </c>
      <c r="BG128" s="32" t="n">
        <v>2709</v>
      </c>
      <c r="BH128" s="32" t="n">
        <v>2835</v>
      </c>
      <c r="BI128" s="32" t="n">
        <v>2866</v>
      </c>
      <c r="BJ128" s="32" t="n">
        <v>3000</v>
      </c>
      <c r="BK128" s="32" t="n">
        <v>3285</v>
      </c>
      <c r="BL128" s="33" t="n">
        <v>3620</v>
      </c>
    </row>
    <row r="129" ht="15.95" customHeight="1" s="574">
      <c r="A129" s="68" t="inlineStr">
        <is>
          <t>4082</t>
        </is>
      </c>
      <c r="B129" s="28" t="inlineStr">
        <is>
          <t>第一稀元素化学工</t>
        </is>
      </c>
      <c r="C129" s="665">
        <f>_xll.RssMarket("4082","高値")</f>
        <v/>
      </c>
      <c r="D129" s="666">
        <f>C129-E129</f>
        <v/>
      </c>
      <c r="E129" s="37" t="n">
        <v>2146</v>
      </c>
      <c r="F129" s="37" t="n">
        <v>2128</v>
      </c>
      <c r="G129" s="32" t="n">
        <v>2148</v>
      </c>
      <c r="H129" s="32" t="n">
        <v>2130</v>
      </c>
      <c r="I129" s="32" t="n">
        <v>2026</v>
      </c>
      <c r="J129" s="32" t="n">
        <v>2000</v>
      </c>
      <c r="K129" s="32" t="n">
        <v>1924</v>
      </c>
      <c r="L129" s="32" t="n">
        <v>1875</v>
      </c>
      <c r="M129" s="32" t="n">
        <v>1963</v>
      </c>
      <c r="N129" s="32" t="n">
        <v>2039</v>
      </c>
      <c r="O129" s="32" t="n">
        <v>2138</v>
      </c>
      <c r="P129" s="32" t="n">
        <v>2172</v>
      </c>
      <c r="Q129" s="32" t="n">
        <v>2282</v>
      </c>
      <c r="R129" s="32" t="n">
        <v>2225</v>
      </c>
      <c r="S129" s="32" t="n">
        <v>2463</v>
      </c>
      <c r="T129" s="32" t="n">
        <v>2264</v>
      </c>
      <c r="U129" s="32" t="n">
        <v>2340</v>
      </c>
      <c r="V129" s="32" t="n">
        <v>2141</v>
      </c>
      <c r="W129" s="32" t="n">
        <v>2048</v>
      </c>
      <c r="X129" s="32" t="n">
        <v>1998</v>
      </c>
      <c r="Y129" s="32" t="n">
        <v>2113</v>
      </c>
      <c r="Z129" s="32" t="n">
        <v>2215</v>
      </c>
      <c r="AA129" s="32" t="n">
        <v>2222</v>
      </c>
      <c r="AB129" s="32" t="n">
        <v>2288</v>
      </c>
      <c r="AC129" s="32" t="n">
        <v>2658</v>
      </c>
      <c r="AD129" s="32" t="n">
        <v>2830</v>
      </c>
      <c r="AE129" s="32" t="n">
        <v>2746</v>
      </c>
      <c r="AF129" s="32" t="n">
        <v>2541</v>
      </c>
      <c r="AG129" s="32" t="n">
        <v>2382</v>
      </c>
      <c r="AH129" s="32" t="n">
        <v>2358</v>
      </c>
      <c r="AI129" s="32" t="n">
        <v>2367</v>
      </c>
      <c r="AJ129" s="32" t="n">
        <v>2357</v>
      </c>
      <c r="AK129" s="32" t="n">
        <v>2283</v>
      </c>
      <c r="AL129" s="32" t="n">
        <v>2474</v>
      </c>
      <c r="AM129" s="32" t="n">
        <v>2331</v>
      </c>
      <c r="AN129" s="32" t="n">
        <v>2384</v>
      </c>
      <c r="AO129" s="32" t="n">
        <v>2565</v>
      </c>
      <c r="AP129" s="32" t="n">
        <v>2625</v>
      </c>
      <c r="AQ129" s="32" t="n">
        <v>2396</v>
      </c>
      <c r="AR129" s="32" t="n">
        <v>2268</v>
      </c>
      <c r="AS129" s="32" t="n">
        <v>2140</v>
      </c>
      <c r="AT129" s="32" t="n">
        <v>2110</v>
      </c>
      <c r="AU129" s="32" t="n">
        <v>2081</v>
      </c>
      <c r="AV129" s="32" t="n">
        <v>2160</v>
      </c>
      <c r="AW129" s="32" t="n">
        <v>2178</v>
      </c>
      <c r="AX129" s="32" t="n">
        <v>2214</v>
      </c>
      <c r="AY129" s="32" t="n">
        <v>2140</v>
      </c>
      <c r="AZ129" s="32" t="n">
        <v>2109</v>
      </c>
      <c r="BA129" s="32" t="n">
        <v>2235</v>
      </c>
      <c r="BB129" s="32" t="n">
        <v>2392</v>
      </c>
      <c r="BC129" s="32" t="n">
        <v>2368</v>
      </c>
      <c r="BD129" s="32" t="n">
        <v>2374</v>
      </c>
      <c r="BE129" s="32" t="n">
        <v>2425</v>
      </c>
      <c r="BF129" s="32" t="n">
        <v>2455</v>
      </c>
      <c r="BG129" s="32" t="n">
        <v>2443</v>
      </c>
      <c r="BH129" s="32" t="n">
        <v>2448</v>
      </c>
      <c r="BI129" s="32" t="n">
        <v>2384</v>
      </c>
      <c r="BJ129" s="32" t="n">
        <v>2413</v>
      </c>
      <c r="BK129" s="32" t="n">
        <v>2552</v>
      </c>
      <c r="BL129" s="33" t="n">
        <v>2639</v>
      </c>
    </row>
    <row r="130" ht="15.95" customHeight="1" s="574">
      <c r="A130" s="68" t="inlineStr">
        <is>
          <t>4519</t>
        </is>
      </c>
      <c r="B130" s="28" t="inlineStr">
        <is>
          <t>中外製薬</t>
        </is>
      </c>
      <c r="C130" s="665">
        <f>_xll.RssMarket("4519","高値")</f>
        <v/>
      </c>
      <c r="D130" s="666">
        <f>C130-E130</f>
        <v/>
      </c>
      <c r="E130" s="37" t="n">
        <v>7583</v>
      </c>
      <c r="F130" s="37" t="n">
        <v>7550</v>
      </c>
      <c r="G130" s="32" t="n">
        <v>7678</v>
      </c>
      <c r="H130" s="32" t="n">
        <v>7689</v>
      </c>
      <c r="I130" s="32" t="n">
        <v>7719</v>
      </c>
      <c r="J130" s="32" t="n">
        <v>7567</v>
      </c>
      <c r="K130" s="32" t="n">
        <v>7506</v>
      </c>
      <c r="L130" s="32" t="n">
        <v>7472</v>
      </c>
      <c r="M130" s="32" t="n">
        <v>7560</v>
      </c>
      <c r="N130" s="32" t="n">
        <v>7599</v>
      </c>
      <c r="O130" s="32" t="n">
        <v>7658</v>
      </c>
      <c r="P130" s="32" t="n">
        <v>7595</v>
      </c>
      <c r="Q130" s="32" t="n">
        <v>7629</v>
      </c>
      <c r="R130" s="32" t="n">
        <v>7624</v>
      </c>
      <c r="S130" s="32" t="n">
        <v>7944</v>
      </c>
      <c r="T130" s="32" t="n">
        <v>7936</v>
      </c>
      <c r="U130" s="32" t="n">
        <v>7888</v>
      </c>
      <c r="V130" s="32" t="n">
        <v>8215</v>
      </c>
      <c r="W130" s="32" t="n">
        <v>8090</v>
      </c>
      <c r="X130" s="32" t="n">
        <v>8151</v>
      </c>
      <c r="Y130" s="32" t="n">
        <v>8047</v>
      </c>
      <c r="Z130" s="32" t="n">
        <v>8022</v>
      </c>
      <c r="AA130" s="32" t="n">
        <v>8013</v>
      </c>
      <c r="AB130" s="32" t="n">
        <v>8111</v>
      </c>
      <c r="AC130" s="32" t="n">
        <v>8096</v>
      </c>
      <c r="AD130" s="32" t="n">
        <v>7841</v>
      </c>
      <c r="AE130" s="32" t="n">
        <v>7961</v>
      </c>
      <c r="AF130" s="32" t="n">
        <v>7996</v>
      </c>
      <c r="AG130" s="32" t="n">
        <v>8248</v>
      </c>
      <c r="AH130" s="32" t="n">
        <v>8148</v>
      </c>
      <c r="AI130" s="32" t="n">
        <v>8893</v>
      </c>
      <c r="AJ130" s="32" t="n">
        <v>8236</v>
      </c>
      <c r="AK130" s="32" t="n">
        <v>7948</v>
      </c>
      <c r="AL130" s="32" t="n">
        <v>8034</v>
      </c>
      <c r="AM130" s="32" t="n">
        <v>9013</v>
      </c>
      <c r="AN130" s="32" t="n">
        <v>8984</v>
      </c>
      <c r="AO130" s="32" t="n">
        <v>8888</v>
      </c>
      <c r="AP130" s="32" t="n">
        <v>8788</v>
      </c>
      <c r="AQ130" s="32" t="n">
        <v>8920</v>
      </c>
      <c r="AR130" s="32" t="n">
        <v>8462</v>
      </c>
      <c r="AS130" s="32" t="n">
        <v>8777</v>
      </c>
      <c r="AT130" s="32" t="n">
        <v>8693</v>
      </c>
      <c r="AU130" s="32" t="n">
        <v>8656</v>
      </c>
      <c r="AV130" s="32" t="n">
        <v>8675</v>
      </c>
      <c r="AW130" s="32" t="n">
        <v>8816</v>
      </c>
      <c r="AX130" s="32" t="n">
        <v>8952</v>
      </c>
      <c r="AY130" s="32" t="n">
        <v>9080</v>
      </c>
      <c r="AZ130" s="32" t="n">
        <v>8882</v>
      </c>
      <c r="BA130" s="32" t="n">
        <v>9012</v>
      </c>
      <c r="BB130" s="32" t="n">
        <v>9220</v>
      </c>
      <c r="BC130" s="32" t="n">
        <v>9344</v>
      </c>
      <c r="BD130" s="32" t="n">
        <v>9000</v>
      </c>
      <c r="BE130" s="32" t="n">
        <v>8732</v>
      </c>
      <c r="BF130" s="32" t="n">
        <v>8705</v>
      </c>
      <c r="BG130" s="32" t="n">
        <v>8553</v>
      </c>
      <c r="BH130" s="32" t="n">
        <v>8478</v>
      </c>
      <c r="BI130" s="32" t="n">
        <v>8543</v>
      </c>
      <c r="BJ130" s="32" t="n">
        <v>8224</v>
      </c>
      <c r="BK130" s="32" t="n">
        <v>8400</v>
      </c>
      <c r="BL130" s="33" t="n">
        <v>8865</v>
      </c>
    </row>
    <row r="131" ht="15.95" customHeight="1" s="574">
      <c r="A131" s="68" t="inlineStr">
        <is>
          <t>2160</t>
        </is>
      </c>
      <c r="B131" s="28" t="inlineStr">
        <is>
          <t>ジーエヌアイグループ</t>
        </is>
      </c>
      <c r="C131" s="665">
        <f>_xll.RssMarket("2160","高値")</f>
        <v/>
      </c>
      <c r="D131" s="666">
        <f>C131-E131</f>
        <v/>
      </c>
      <c r="E131" s="37" t="n">
        <v>2587</v>
      </c>
      <c r="F131" s="37" t="n">
        <v>2632</v>
      </c>
      <c r="G131" s="32" t="n">
        <v>2643</v>
      </c>
      <c r="H131" s="32" t="n">
        <v>2595</v>
      </c>
      <c r="I131" s="32" t="n">
        <v>2560</v>
      </c>
      <c r="J131" s="32" t="n">
        <v>2554</v>
      </c>
      <c r="K131" s="32" t="n">
        <v>2735</v>
      </c>
      <c r="L131" s="32" t="n">
        <v>2704</v>
      </c>
      <c r="M131" s="32" t="n">
        <v>2799</v>
      </c>
      <c r="N131" s="32" t="n">
        <v>3090</v>
      </c>
      <c r="O131" s="32" t="n">
        <v>2940</v>
      </c>
      <c r="P131" s="32" t="n">
        <v>2740</v>
      </c>
      <c r="Q131" s="32" t="n">
        <v>2643</v>
      </c>
      <c r="R131" s="32" t="n">
        <v>2630</v>
      </c>
      <c r="S131" s="32" t="n">
        <v>2680</v>
      </c>
      <c r="T131" s="32" t="n">
        <v>2679</v>
      </c>
      <c r="U131" s="32" t="n">
        <v>2739</v>
      </c>
      <c r="V131" s="32" t="n">
        <v>2860</v>
      </c>
      <c r="W131" s="32" t="n">
        <v>2923</v>
      </c>
      <c r="X131" s="32" t="n">
        <v>2866</v>
      </c>
      <c r="Y131" s="32" t="n">
        <v>2832</v>
      </c>
      <c r="Z131" s="32" t="n">
        <v>2848</v>
      </c>
      <c r="AA131" s="32" t="n">
        <v>2999</v>
      </c>
      <c r="AB131" s="32" t="n">
        <v>3050</v>
      </c>
      <c r="AC131" s="32" t="n">
        <v>3115</v>
      </c>
      <c r="AD131" s="32" t="n">
        <v>3345</v>
      </c>
      <c r="AE131" s="32" t="n">
        <v>3050</v>
      </c>
      <c r="AF131" s="32" t="n">
        <v>3005</v>
      </c>
      <c r="AG131" s="32" t="n">
        <v>3080</v>
      </c>
      <c r="AH131" s="32" t="n">
        <v>3130</v>
      </c>
      <c r="AI131" s="32" t="n">
        <v>3040</v>
      </c>
      <c r="AJ131" s="32" t="n">
        <v>3055</v>
      </c>
      <c r="AK131" s="32" t="n">
        <v>3170</v>
      </c>
      <c r="AL131" s="32" t="n">
        <v>3160</v>
      </c>
      <c r="AM131" s="32" t="n">
        <v>3185</v>
      </c>
      <c r="AN131" s="32" t="n">
        <v>3275</v>
      </c>
      <c r="AO131" s="32" t="n">
        <v>3395</v>
      </c>
      <c r="AP131" s="32" t="n">
        <v>3455</v>
      </c>
      <c r="AQ131" s="32" t="n">
        <v>3515</v>
      </c>
      <c r="AR131" s="32" t="n">
        <v>3405</v>
      </c>
      <c r="AS131" s="32" t="n">
        <v>3410</v>
      </c>
      <c r="AT131" s="32" t="n">
        <v>3340</v>
      </c>
      <c r="AU131" s="32" t="n">
        <v>3270</v>
      </c>
      <c r="AV131" s="32" t="n">
        <v>3140</v>
      </c>
      <c r="AW131" s="32" t="n">
        <v>3250</v>
      </c>
      <c r="AX131" s="32" t="n">
        <v>3175</v>
      </c>
      <c r="AY131" s="32" t="n">
        <v>3270</v>
      </c>
      <c r="AZ131" s="32" t="n">
        <v>3150</v>
      </c>
      <c r="BA131" s="32" t="n">
        <v>3175</v>
      </c>
      <c r="BB131" s="32" t="n">
        <v>3165</v>
      </c>
      <c r="BC131" s="32" t="n">
        <v>3250</v>
      </c>
      <c r="BD131" s="32" t="n">
        <v>3200</v>
      </c>
      <c r="BE131" s="32" t="n">
        <v>3090</v>
      </c>
      <c r="BF131" s="32" t="n">
        <v>3140</v>
      </c>
      <c r="BG131" s="32" t="n">
        <v>3255</v>
      </c>
      <c r="BH131" s="32" t="n">
        <v>3140</v>
      </c>
      <c r="BI131" s="32" t="n">
        <v>3140</v>
      </c>
      <c r="BJ131" s="32" t="n">
        <v>2989</v>
      </c>
      <c r="BK131" s="32" t="n">
        <v>2781</v>
      </c>
      <c r="BL131" s="33" t="n">
        <v>2966</v>
      </c>
    </row>
    <row r="132" ht="15.95" customHeight="1" s="574">
      <c r="A132" s="68" t="inlineStr">
        <is>
          <t>6227</t>
        </is>
      </c>
      <c r="B132" s="28" t="inlineStr">
        <is>
          <t>ＡＩメカテック</t>
        </is>
      </c>
      <c r="C132" s="665">
        <f>_xll.RssMarket("6227","高値")</f>
        <v/>
      </c>
      <c r="D132" s="666">
        <f>C132-E132</f>
        <v/>
      </c>
      <c r="E132" s="37" t="n">
        <v>7970</v>
      </c>
      <c r="F132" s="37" t="n">
        <v>7740</v>
      </c>
      <c r="G132" s="32" t="n">
        <v>8390</v>
      </c>
      <c r="H132" s="32" t="n">
        <v>8830</v>
      </c>
      <c r="I132" s="32" t="n">
        <v>8490</v>
      </c>
      <c r="J132" s="32" t="n">
        <v>9190</v>
      </c>
      <c r="K132" s="32" t="n">
        <v>7850</v>
      </c>
      <c r="L132" s="32" t="n">
        <v>7080</v>
      </c>
      <c r="M132" s="32" t="n">
        <v>7620</v>
      </c>
      <c r="N132" s="32" t="n">
        <v>7440</v>
      </c>
      <c r="O132" s="32" t="n">
        <v>7490</v>
      </c>
      <c r="P132" s="32" t="n">
        <v>6750</v>
      </c>
      <c r="Q132" s="32" t="n">
        <v>6410</v>
      </c>
      <c r="R132" s="32" t="n">
        <v>6300</v>
      </c>
      <c r="S132" s="32" t="n">
        <v>5790</v>
      </c>
      <c r="T132" s="32" t="n">
        <v>5650</v>
      </c>
      <c r="U132" s="32" t="n">
        <v>6280</v>
      </c>
      <c r="V132" s="32" t="n">
        <v>6470</v>
      </c>
      <c r="W132" s="32" t="n">
        <v>6230</v>
      </c>
      <c r="X132" s="32" t="n">
        <v>7160</v>
      </c>
      <c r="Y132" s="32" t="n">
        <v>7170</v>
      </c>
      <c r="Z132" s="32" t="n">
        <v>7310</v>
      </c>
      <c r="AA132" s="32" t="n">
        <v>7250</v>
      </c>
      <c r="AB132" s="32" t="n">
        <v>6930</v>
      </c>
      <c r="AC132" s="32" t="n">
        <v>7150</v>
      </c>
      <c r="AD132" s="32" t="n">
        <v>6780</v>
      </c>
      <c r="AE132" s="32" t="n">
        <v>7220</v>
      </c>
      <c r="AF132" s="32" t="n">
        <v>6940</v>
      </c>
      <c r="AG132" s="32" t="n">
        <v>6840</v>
      </c>
      <c r="AH132" s="32" t="n">
        <v>6920</v>
      </c>
      <c r="AI132" s="32" t="n">
        <v>6330</v>
      </c>
      <c r="AJ132" s="32" t="n">
        <v>6560</v>
      </c>
      <c r="AK132" s="32" t="n">
        <v>6530</v>
      </c>
      <c r="AL132" s="32" t="n">
        <v>6690</v>
      </c>
      <c r="AM132" s="32" t="n">
        <v>6700</v>
      </c>
      <c r="AN132" s="32" t="n">
        <v>7060</v>
      </c>
      <c r="AO132" s="32" t="n">
        <v>7190</v>
      </c>
      <c r="AP132" s="32" t="n">
        <v>7610</v>
      </c>
      <c r="AQ132" s="32" t="n">
        <v>8290</v>
      </c>
      <c r="AR132" s="32" t="n">
        <v>8220</v>
      </c>
      <c r="AS132" s="32" t="n">
        <v>8680</v>
      </c>
      <c r="AT132" s="32" t="n">
        <v>8800</v>
      </c>
      <c r="AU132" s="32" t="n">
        <v>7700</v>
      </c>
      <c r="AV132" s="32" t="n">
        <v>6780</v>
      </c>
      <c r="AW132" s="32" t="n">
        <v>6270</v>
      </c>
      <c r="AX132" s="32" t="n">
        <v>6000</v>
      </c>
      <c r="AY132" s="32" t="n">
        <v>6320</v>
      </c>
      <c r="AZ132" s="32" t="n">
        <v>5990</v>
      </c>
      <c r="BA132" s="32" t="n">
        <v>6300</v>
      </c>
      <c r="BB132" s="32" t="n">
        <v>5560</v>
      </c>
      <c r="BC132" s="32" t="n">
        <v>5780</v>
      </c>
      <c r="BD132" s="32" t="n">
        <v>5800</v>
      </c>
      <c r="BE132" s="32" t="n">
        <v>5510</v>
      </c>
      <c r="BF132" s="32" t="n">
        <v>5790</v>
      </c>
      <c r="BG132" s="32" t="n">
        <v>6260</v>
      </c>
      <c r="BH132" s="32" t="n">
        <v>7046.6</v>
      </c>
      <c r="BI132" s="32" t="n">
        <v>7080</v>
      </c>
      <c r="BJ132" s="32" t="n">
        <v>6456.6</v>
      </c>
      <c r="BK132" s="32" t="n">
        <v>6583.3</v>
      </c>
      <c r="BL132" s="33" t="n">
        <v>7026.6</v>
      </c>
    </row>
    <row r="133" ht="15.95" customHeight="1" s="574">
      <c r="A133" s="68" t="inlineStr">
        <is>
          <t>6327</t>
        </is>
      </c>
      <c r="B133" s="28" t="inlineStr">
        <is>
          <t>北川精機</t>
        </is>
      </c>
      <c r="C133" s="665">
        <f>_xll.RssMarket("6327","高値")</f>
        <v/>
      </c>
      <c r="D133" s="666">
        <f>C133-E133</f>
        <v/>
      </c>
      <c r="E133" s="37" t="n">
        <v>6190</v>
      </c>
      <c r="F133" s="37" t="n">
        <v>7150</v>
      </c>
      <c r="G133" s="32" t="n">
        <v>6150</v>
      </c>
      <c r="H133" s="32" t="n">
        <v>5150</v>
      </c>
      <c r="I133" s="32" t="n">
        <v>4445</v>
      </c>
      <c r="J133" s="32" t="n">
        <v>3745</v>
      </c>
      <c r="K133" s="32" t="n">
        <v>3400</v>
      </c>
      <c r="L133" s="32" t="n">
        <v>3225</v>
      </c>
      <c r="M133" s="32" t="n">
        <v>3400</v>
      </c>
      <c r="N133" s="32" t="n">
        <v>3720</v>
      </c>
      <c r="O133" s="32" t="n">
        <v>4090</v>
      </c>
      <c r="P133" s="32" t="n">
        <v>4220</v>
      </c>
      <c r="Q133" s="32" t="n">
        <v>5580</v>
      </c>
      <c r="R133" s="32" t="n">
        <v>5230</v>
      </c>
      <c r="S133" s="32" t="n">
        <v>6000</v>
      </c>
      <c r="T133" s="32" t="n">
        <v>5000</v>
      </c>
      <c r="U133" s="32" t="n">
        <v>4300</v>
      </c>
      <c r="V133" s="32" t="n">
        <v>3415</v>
      </c>
      <c r="W133" s="32" t="n">
        <v>2914</v>
      </c>
      <c r="X133" s="32" t="n">
        <v>2484</v>
      </c>
      <c r="Y133" s="32" t="n">
        <v>2375</v>
      </c>
      <c r="Z133" s="32" t="n">
        <v>2622</v>
      </c>
      <c r="AA133" s="32" t="n">
        <v>2657</v>
      </c>
      <c r="AB133" s="32" t="n">
        <v>2716</v>
      </c>
      <c r="AC133" s="32" t="n">
        <v>2800</v>
      </c>
      <c r="AD133" s="32" t="n">
        <v>2889</v>
      </c>
      <c r="AE133" s="32" t="n">
        <v>3460</v>
      </c>
      <c r="AF133" s="32" t="n">
        <v>3595</v>
      </c>
      <c r="AG133" s="32" t="n">
        <v>3620</v>
      </c>
      <c r="AH133" s="32" t="n">
        <v>3400</v>
      </c>
      <c r="AI133" s="32" t="n">
        <v>2971</v>
      </c>
      <c r="AJ133" s="32" t="n">
        <v>3090</v>
      </c>
      <c r="AK133" s="32" t="n">
        <v>2685</v>
      </c>
      <c r="AL133" s="32" t="n">
        <v>2185</v>
      </c>
      <c r="AM133" s="32" t="n">
        <v>2118</v>
      </c>
      <c r="AN133" s="32" t="n">
        <v>2176</v>
      </c>
      <c r="AO133" s="32" t="n">
        <v>2240</v>
      </c>
      <c r="AP133" s="32" t="n">
        <v>2250</v>
      </c>
      <c r="AQ133" s="32" t="n">
        <v>2120</v>
      </c>
      <c r="AR133" s="32" t="n">
        <v>2141</v>
      </c>
      <c r="AS133" s="32" t="n">
        <v>2128</v>
      </c>
      <c r="AT133" s="32" t="n">
        <v>2160</v>
      </c>
      <c r="AU133" s="32" t="n">
        <v>2107</v>
      </c>
      <c r="AV133" s="32" t="n">
        <v>2025</v>
      </c>
      <c r="AW133" s="32" t="n">
        <v>1998</v>
      </c>
      <c r="AX133" s="32" t="n">
        <v>1970</v>
      </c>
      <c r="AY133" s="32" t="n">
        <v>1890</v>
      </c>
      <c r="AZ133" s="32" t="n">
        <v>1699</v>
      </c>
      <c r="BA133" s="32" t="n">
        <v>1696</v>
      </c>
      <c r="BB133" s="32" t="n">
        <v>1578</v>
      </c>
      <c r="BC133" s="32" t="n">
        <v>1551</v>
      </c>
      <c r="BD133" s="32" t="n">
        <v>1543</v>
      </c>
      <c r="BE133" s="32" t="n">
        <v>1450</v>
      </c>
      <c r="BF133" s="32" t="n">
        <v>1520</v>
      </c>
      <c r="BG133" s="32" t="n">
        <v>1627</v>
      </c>
      <c r="BH133" s="32" t="n">
        <v>1731</v>
      </c>
      <c r="BI133" s="32" t="n">
        <v>1687</v>
      </c>
      <c r="BJ133" s="32" t="n">
        <v>1602</v>
      </c>
      <c r="BK133" s="32" t="n">
        <v>1575</v>
      </c>
      <c r="BL133" s="33" t="n">
        <v>1765</v>
      </c>
    </row>
    <row r="134" ht="15.95" customHeight="1" s="574">
      <c r="A134" s="68" t="inlineStr">
        <is>
          <t>3110</t>
        </is>
      </c>
      <c r="B134" s="28" t="inlineStr">
        <is>
          <t>日東紡績</t>
        </is>
      </c>
      <c r="C134" s="665">
        <f>_xll.RssMarket("3110","高値")</f>
        <v/>
      </c>
      <c r="D134" s="666">
        <f>C134-E134</f>
        <v/>
      </c>
      <c r="E134" s="37" t="n">
        <v>21530</v>
      </c>
      <c r="F134" s="37" t="n">
        <v>19790</v>
      </c>
      <c r="G134" s="32" t="n">
        <v>21340</v>
      </c>
      <c r="H134" s="32" t="n">
        <v>21630</v>
      </c>
      <c r="I134" s="32" t="n">
        <v>22490</v>
      </c>
      <c r="J134" s="32" t="n">
        <v>20180</v>
      </c>
      <c r="K134" s="32" t="n">
        <v>19310</v>
      </c>
      <c r="L134" s="32" t="n">
        <v>17630</v>
      </c>
      <c r="M134" s="32" t="n">
        <v>18070</v>
      </c>
      <c r="N134" s="32" t="n">
        <v>18700</v>
      </c>
      <c r="O134" s="32" t="n">
        <v>20370</v>
      </c>
      <c r="P134" s="32" t="n">
        <v>21210</v>
      </c>
      <c r="Q134" s="32" t="n">
        <v>22840</v>
      </c>
      <c r="R134" s="32" t="n">
        <v>22810</v>
      </c>
      <c r="S134" s="32" t="n">
        <v>23020</v>
      </c>
      <c r="T134" s="32" t="n">
        <v>23220</v>
      </c>
      <c r="U134" s="32" t="n">
        <v>25890</v>
      </c>
      <c r="V134" s="32" t="n">
        <v>28590</v>
      </c>
      <c r="W134" s="32" t="n">
        <v>26390</v>
      </c>
      <c r="X134" s="32" t="n">
        <v>22840</v>
      </c>
      <c r="Y134" s="32" t="n">
        <v>22040</v>
      </c>
      <c r="Z134" s="32" t="n">
        <v>22070</v>
      </c>
      <c r="AA134" s="32" t="n">
        <v>24080</v>
      </c>
      <c r="AB134" s="32" t="n">
        <v>26550</v>
      </c>
      <c r="AC134" s="32" t="n">
        <v>27630</v>
      </c>
      <c r="AD134" s="32" t="n">
        <v>27350</v>
      </c>
      <c r="AE134" s="32" t="n">
        <v>30400</v>
      </c>
      <c r="AF134" s="32" t="n">
        <v>30500</v>
      </c>
      <c r="AG134" s="32" t="n">
        <v>30950</v>
      </c>
      <c r="AH134" s="32" t="n">
        <v>32900</v>
      </c>
      <c r="AI134" s="32" t="n">
        <v>29120</v>
      </c>
      <c r="AJ134" s="32" t="n">
        <v>28990</v>
      </c>
      <c r="AK134" s="32" t="n">
        <v>28300</v>
      </c>
      <c r="AL134" s="32" t="n">
        <v>27940</v>
      </c>
      <c r="AM134" s="32" t="n">
        <v>27820</v>
      </c>
      <c r="AN134" s="32" t="n">
        <v>28150</v>
      </c>
      <c r="AO134" s="32" t="n">
        <v>27510</v>
      </c>
      <c r="AP134" s="32" t="n">
        <v>27690</v>
      </c>
      <c r="AQ134" s="32" t="n">
        <v>27850</v>
      </c>
      <c r="AR134" s="32" t="n">
        <v>27970</v>
      </c>
      <c r="AS134" s="32" t="n">
        <v>27440</v>
      </c>
      <c r="AT134" s="32" t="n">
        <v>30100</v>
      </c>
      <c r="AU134" s="32" t="n">
        <v>30950</v>
      </c>
      <c r="AV134" s="32" t="n">
        <v>29230</v>
      </c>
      <c r="AW134" s="32" t="n">
        <v>27590</v>
      </c>
      <c r="AX134" s="32" t="n">
        <v>26290</v>
      </c>
      <c r="AY134" s="32" t="n">
        <v>24930</v>
      </c>
      <c r="AZ134" s="32" t="n">
        <v>22120</v>
      </c>
      <c r="BA134" s="32" t="n">
        <v>21280</v>
      </c>
      <c r="BB134" s="32" t="n">
        <v>20850</v>
      </c>
      <c r="BC134" s="32" t="n">
        <v>21120</v>
      </c>
      <c r="BD134" s="32" t="n">
        <v>20870</v>
      </c>
      <c r="BE134" s="32" t="n">
        <v>19230</v>
      </c>
      <c r="BF134" s="32" t="n">
        <v>20240</v>
      </c>
      <c r="BG134" s="32" t="n">
        <v>21580</v>
      </c>
      <c r="BH134" s="32" t="n">
        <v>23030</v>
      </c>
      <c r="BI134" s="32" t="n">
        <v>22490</v>
      </c>
      <c r="BJ134" s="32" t="n">
        <v>21030</v>
      </c>
      <c r="BK134" s="32" t="n">
        <v>21080</v>
      </c>
      <c r="BL134" s="33" t="n">
        <v>22200</v>
      </c>
    </row>
    <row r="135" ht="15.95" customHeight="1" s="574">
      <c r="A135" s="68" t="inlineStr">
        <is>
          <t>6232</t>
        </is>
      </c>
      <c r="B135" s="28" t="inlineStr">
        <is>
          <t>ＡＣＳＬ</t>
        </is>
      </c>
      <c r="C135" s="665">
        <f>_xll.RssMarket("6232","高値")</f>
        <v/>
      </c>
      <c r="D135" s="666">
        <f>C135-E135</f>
        <v/>
      </c>
      <c r="E135" s="37" t="n">
        <v>2050</v>
      </c>
      <c r="F135" s="37" t="n">
        <v>1934</v>
      </c>
      <c r="G135" s="32" t="n">
        <v>1887</v>
      </c>
      <c r="H135" s="32" t="n">
        <v>1895</v>
      </c>
      <c r="I135" s="32" t="n">
        <v>1879</v>
      </c>
      <c r="J135" s="32" t="n">
        <v>1831</v>
      </c>
      <c r="K135" s="32" t="n">
        <v>1888</v>
      </c>
      <c r="L135" s="32" t="n">
        <v>1878</v>
      </c>
      <c r="M135" s="32" t="n">
        <v>2076</v>
      </c>
      <c r="N135" s="32" t="n">
        <v>2108</v>
      </c>
      <c r="O135" s="32" t="n">
        <v>2169</v>
      </c>
      <c r="P135" s="32" t="n">
        <v>2009</v>
      </c>
      <c r="Q135" s="32" t="n">
        <v>2085</v>
      </c>
      <c r="R135" s="32" t="n">
        <v>2150</v>
      </c>
      <c r="S135" s="32" t="n">
        <v>2547</v>
      </c>
      <c r="T135" s="32" t="n">
        <v>2508</v>
      </c>
      <c r="U135" s="32" t="n">
        <v>2495</v>
      </c>
      <c r="V135" s="32" t="n">
        <v>2911</v>
      </c>
      <c r="W135" s="32" t="n">
        <v>2927</v>
      </c>
      <c r="X135" s="32" t="n">
        <v>2915</v>
      </c>
      <c r="Y135" s="32" t="n">
        <v>3220</v>
      </c>
      <c r="Z135" s="32" t="n">
        <v>3570</v>
      </c>
      <c r="AA135" s="32" t="n">
        <v>3330</v>
      </c>
      <c r="AB135" s="32" t="n">
        <v>3435</v>
      </c>
      <c r="AC135" s="32" t="n">
        <v>3140</v>
      </c>
      <c r="AD135" s="32" t="n">
        <v>3225</v>
      </c>
      <c r="AE135" s="32" t="n">
        <v>4130</v>
      </c>
      <c r="AF135" s="32" t="n">
        <v>3430</v>
      </c>
      <c r="AG135" s="32" t="n">
        <v>2927</v>
      </c>
      <c r="AH135" s="32" t="n">
        <v>2637</v>
      </c>
      <c r="AI135" s="32" t="n">
        <v>2722</v>
      </c>
      <c r="AJ135" s="32" t="n">
        <v>2478</v>
      </c>
      <c r="AK135" s="32" t="n">
        <v>2380</v>
      </c>
      <c r="AL135" s="32" t="n">
        <v>2598</v>
      </c>
      <c r="AM135" s="32" t="n">
        <v>2747</v>
      </c>
      <c r="AN135" s="32" t="n">
        <v>2397</v>
      </c>
      <c r="AO135" s="32" t="n">
        <v>2122</v>
      </c>
      <c r="AP135" s="32" t="n">
        <v>1802</v>
      </c>
      <c r="AQ135" s="32" t="n">
        <v>1810</v>
      </c>
      <c r="AR135" s="32" t="n">
        <v>1794</v>
      </c>
      <c r="AS135" s="32" t="n">
        <v>1921</v>
      </c>
      <c r="AT135" s="32" t="n">
        <v>1916</v>
      </c>
      <c r="AU135" s="32" t="n">
        <v>1889</v>
      </c>
      <c r="AV135" s="32" t="n">
        <v>1817</v>
      </c>
      <c r="AW135" s="32" t="n">
        <v>1630</v>
      </c>
      <c r="AX135" s="32" t="n">
        <v>1630</v>
      </c>
      <c r="AY135" s="32" t="n">
        <v>1678</v>
      </c>
      <c r="AZ135" s="32" t="n">
        <v>1538</v>
      </c>
      <c r="BA135" s="32" t="n">
        <v>1498</v>
      </c>
      <c r="BB135" s="32" t="n">
        <v>1586</v>
      </c>
      <c r="BC135" s="32" t="n">
        <v>1606</v>
      </c>
      <c r="BD135" s="32" t="n">
        <v>1525</v>
      </c>
      <c r="BE135" s="32" t="n">
        <v>1440</v>
      </c>
      <c r="BF135" s="32" t="n">
        <v>1524</v>
      </c>
      <c r="BG135" s="32" t="n">
        <v>1570</v>
      </c>
      <c r="BH135" s="32" t="n">
        <v>1605</v>
      </c>
      <c r="BI135" s="32" t="n">
        <v>1603</v>
      </c>
      <c r="BJ135" s="32" t="n">
        <v>1565</v>
      </c>
      <c r="BK135" s="32" t="n">
        <v>1502</v>
      </c>
      <c r="BL135" s="33" t="n">
        <v>1643</v>
      </c>
    </row>
    <row r="136" ht="15.95" customHeight="1" s="574">
      <c r="A136" s="68" t="inlineStr">
        <is>
          <t>7794</t>
        </is>
      </c>
      <c r="B136" s="28" t="inlineStr">
        <is>
          <t>イーディーピー</t>
        </is>
      </c>
      <c r="C136" s="665">
        <f>_xll.RssMarket("7794","高値")</f>
        <v/>
      </c>
      <c r="D136" s="666">
        <f>C136-E136</f>
        <v/>
      </c>
      <c r="E136" s="37" t="n">
        <v>1209</v>
      </c>
      <c r="F136" s="37" t="n">
        <v>1130</v>
      </c>
      <c r="G136" s="32" t="n">
        <v>1112</v>
      </c>
      <c r="H136" s="32" t="n">
        <v>1098</v>
      </c>
      <c r="I136" s="32" t="n">
        <v>1095</v>
      </c>
      <c r="J136" s="32" t="n">
        <v>1144</v>
      </c>
      <c r="K136" s="32" t="n">
        <v>1114</v>
      </c>
      <c r="L136" s="32" t="n">
        <v>1090</v>
      </c>
      <c r="M136" s="32" t="n">
        <v>1118</v>
      </c>
      <c r="N136" s="32" t="n">
        <v>1155</v>
      </c>
      <c r="O136" s="32" t="n">
        <v>1113</v>
      </c>
      <c r="P136" s="32" t="n">
        <v>1071</v>
      </c>
      <c r="Q136" s="32" t="n">
        <v>1130</v>
      </c>
      <c r="R136" s="32" t="n">
        <v>1160</v>
      </c>
      <c r="S136" s="32" t="n">
        <v>1250</v>
      </c>
      <c r="T136" s="32" t="n">
        <v>1394</v>
      </c>
      <c r="U136" s="32" t="n">
        <v>1137</v>
      </c>
      <c r="V136" s="32" t="n">
        <v>1184</v>
      </c>
      <c r="W136" s="32" t="n">
        <v>1148</v>
      </c>
      <c r="X136" s="32" t="n">
        <v>1103</v>
      </c>
      <c r="Y136" s="32" t="n">
        <v>1122</v>
      </c>
      <c r="Z136" s="32" t="n">
        <v>1158</v>
      </c>
      <c r="AA136" s="32" t="n">
        <v>1165</v>
      </c>
      <c r="AB136" s="32" t="n">
        <v>1170</v>
      </c>
      <c r="AC136" s="32" t="n">
        <v>1240</v>
      </c>
      <c r="AD136" s="32" t="n">
        <v>1364</v>
      </c>
      <c r="AE136" s="32" t="n">
        <v>1408</v>
      </c>
      <c r="AF136" s="32" t="n">
        <v>1475</v>
      </c>
      <c r="AG136" s="32" t="n">
        <v>1387</v>
      </c>
      <c r="AH136" s="32" t="n">
        <v>1342</v>
      </c>
      <c r="AI136" s="32" t="n">
        <v>1350</v>
      </c>
      <c r="AJ136" s="32" t="n">
        <v>1388</v>
      </c>
      <c r="AK136" s="32" t="n">
        <v>1344</v>
      </c>
      <c r="AL136" s="32" t="n">
        <v>1429</v>
      </c>
      <c r="AM136" s="32" t="n">
        <v>1520</v>
      </c>
      <c r="AN136" s="32" t="n">
        <v>1516</v>
      </c>
      <c r="AO136" s="32" t="n">
        <v>1678</v>
      </c>
      <c r="AP136" s="32" t="n">
        <v>1621</v>
      </c>
      <c r="AQ136" s="32" t="n">
        <v>1584</v>
      </c>
      <c r="AR136" s="32" t="n">
        <v>1287</v>
      </c>
      <c r="AS136" s="32" t="n">
        <v>1245</v>
      </c>
      <c r="AT136" s="32" t="n">
        <v>1236</v>
      </c>
      <c r="AU136" s="32" t="n">
        <v>1227</v>
      </c>
      <c r="AV136" s="32" t="n">
        <v>1216</v>
      </c>
      <c r="AW136" s="32" t="n">
        <v>1230</v>
      </c>
      <c r="AX136" s="32" t="n">
        <v>1229</v>
      </c>
      <c r="AY136" s="32" t="n">
        <v>1241</v>
      </c>
      <c r="AZ136" s="32" t="n">
        <v>1232</v>
      </c>
      <c r="BA136" s="32" t="n">
        <v>1227</v>
      </c>
      <c r="BB136" s="32" t="n">
        <v>1265</v>
      </c>
      <c r="BC136" s="32" t="n">
        <v>1299</v>
      </c>
      <c r="BD136" s="32" t="n">
        <v>1330</v>
      </c>
      <c r="BE136" s="32" t="n">
        <v>1331</v>
      </c>
      <c r="BF136" s="32" t="n">
        <v>1455</v>
      </c>
      <c r="BG136" s="32" t="n">
        <v>1314</v>
      </c>
      <c r="BH136" s="32" t="n">
        <v>1101</v>
      </c>
      <c r="BI136" s="32" t="n">
        <v>1127</v>
      </c>
      <c r="BJ136" s="32" t="n">
        <v>1174</v>
      </c>
      <c r="BK136" s="32" t="n">
        <v>1170</v>
      </c>
      <c r="BL136" s="33" t="n">
        <v>1300</v>
      </c>
    </row>
    <row r="137" ht="15.95" customHeight="1" s="574">
      <c r="A137" s="68" t="inlineStr">
        <is>
          <t>6085</t>
        </is>
      </c>
      <c r="B137" s="28" t="inlineStr">
        <is>
          <t>アーキテクツＳＪ</t>
        </is>
      </c>
      <c r="C137" s="665">
        <f>_xll.RssMarket("6085","高値")</f>
        <v/>
      </c>
      <c r="D137" s="666">
        <f>C137-E137</f>
        <v/>
      </c>
      <c r="E137" s="37" t="n">
        <v>382</v>
      </c>
      <c r="F137" s="37" t="n">
        <v>331</v>
      </c>
      <c r="G137" s="32" t="n">
        <v>350</v>
      </c>
      <c r="H137" s="32" t="n">
        <v>327</v>
      </c>
      <c r="I137" s="32" t="n">
        <v>320</v>
      </c>
      <c r="J137" s="32" t="n">
        <v>361</v>
      </c>
      <c r="K137" s="32" t="n">
        <v>424</v>
      </c>
      <c r="L137" s="32" t="n">
        <v>413</v>
      </c>
      <c r="M137" s="32" t="n">
        <v>450</v>
      </c>
      <c r="N137" s="32" t="n">
        <v>329</v>
      </c>
      <c r="O137" s="32" t="n">
        <v>323</v>
      </c>
      <c r="P137" s="32" t="n">
        <v>267</v>
      </c>
      <c r="Q137" s="32" t="n">
        <v>275</v>
      </c>
      <c r="R137" s="32" t="n">
        <v>380</v>
      </c>
      <c r="S137" s="32" t="n">
        <v>347</v>
      </c>
      <c r="T137" s="32" t="n">
        <v>434</v>
      </c>
      <c r="U137" s="32" t="n">
        <v>514</v>
      </c>
      <c r="V137" s="32" t="n">
        <v>544</v>
      </c>
      <c r="W137" s="32" t="n">
        <v>488</v>
      </c>
      <c r="X137" s="32" t="n">
        <v>472</v>
      </c>
      <c r="Y137" s="32" t="n">
        <v>463</v>
      </c>
      <c r="Z137" s="32" t="n">
        <v>584</v>
      </c>
      <c r="AA137" s="32" t="n">
        <v>585</v>
      </c>
      <c r="AB137" s="32" t="n">
        <v>536</v>
      </c>
      <c r="AC137" s="32" t="n">
        <v>562</v>
      </c>
      <c r="AD137" s="32" t="n">
        <v>541</v>
      </c>
      <c r="AE137" s="32" t="n">
        <v>586</v>
      </c>
      <c r="AF137" s="32" t="n">
        <v>604</v>
      </c>
      <c r="AG137" s="32" t="n">
        <v>647</v>
      </c>
      <c r="AH137" s="32" t="n">
        <v>615</v>
      </c>
      <c r="AI137" s="32" t="n">
        <v>648</v>
      </c>
      <c r="AJ137" s="32" t="n">
        <v>720</v>
      </c>
      <c r="AK137" s="32" t="n">
        <v>640</v>
      </c>
      <c r="AL137" s="32" t="n">
        <v>609</v>
      </c>
      <c r="AM137" s="32" t="n">
        <v>521</v>
      </c>
      <c r="AN137" s="32" t="n">
        <v>480</v>
      </c>
      <c r="AO137" s="32" t="n">
        <v>460</v>
      </c>
      <c r="AP137" s="32" t="n">
        <v>399</v>
      </c>
      <c r="AQ137" s="32" t="n">
        <v>399</v>
      </c>
      <c r="AR137" s="32" t="n">
        <v>372</v>
      </c>
      <c r="AS137" s="32" t="n">
        <v>336.5</v>
      </c>
      <c r="AT137" s="32" t="n">
        <v>300</v>
      </c>
      <c r="AU137" s="32" t="n">
        <v>320</v>
      </c>
      <c r="AV137" s="32" t="n">
        <v>314.5</v>
      </c>
      <c r="AW137" s="32" t="n">
        <v>275</v>
      </c>
      <c r="AX137" s="32" t="n">
        <v>259.9</v>
      </c>
      <c r="AY137" s="32" t="n">
        <v>264.9</v>
      </c>
      <c r="AZ137" s="32" t="n">
        <v>257.3</v>
      </c>
      <c r="BA137" s="32" t="n">
        <v>287.6</v>
      </c>
      <c r="BB137" s="32" t="n">
        <v>294.8</v>
      </c>
      <c r="BC137" s="32" t="n">
        <v>312</v>
      </c>
      <c r="BD137" s="32" t="n">
        <v>314</v>
      </c>
      <c r="BE137" s="32" t="n">
        <v>331</v>
      </c>
      <c r="BF137" s="32" t="n">
        <v>324.5</v>
      </c>
      <c r="BG137" s="32" t="n">
        <v>354</v>
      </c>
      <c r="BH137" s="32" t="n">
        <v>334</v>
      </c>
      <c r="BI137" s="32" t="n">
        <v>287.9</v>
      </c>
      <c r="BJ137" s="32" t="n">
        <v>305</v>
      </c>
      <c r="BK137" s="32" t="n">
        <v>305</v>
      </c>
      <c r="BL137" s="33" t="n">
        <v>260</v>
      </c>
    </row>
    <row r="138" ht="15.95" customHeight="1" s="574">
      <c r="A138" s="68" t="inlineStr">
        <is>
          <t>3103</t>
        </is>
      </c>
      <c r="B138" s="28" t="inlineStr">
        <is>
          <t>ユニチカ</t>
        </is>
      </c>
      <c r="C138" s="665">
        <f>_xll.RssMarket("3103","高値")</f>
        <v/>
      </c>
      <c r="D138" s="666">
        <f>C138-E138</f>
        <v/>
      </c>
      <c r="E138" s="37" t="n">
        <v>1329</v>
      </c>
      <c r="F138" s="37" t="n">
        <v>1156</v>
      </c>
      <c r="G138" s="32" t="n">
        <v>1298</v>
      </c>
      <c r="H138" s="32" t="n">
        <v>1260</v>
      </c>
      <c r="I138" s="32" t="n">
        <v>1183</v>
      </c>
      <c r="J138" s="32" t="n">
        <v>1212</v>
      </c>
      <c r="K138" s="32" t="n">
        <v>1154</v>
      </c>
      <c r="L138" s="32" t="n">
        <v>1197</v>
      </c>
      <c r="M138" s="32" t="n">
        <v>1269</v>
      </c>
      <c r="N138" s="32" t="n">
        <v>1240</v>
      </c>
      <c r="O138" s="32" t="n">
        <v>1273</v>
      </c>
      <c r="P138" s="32" t="n">
        <v>1258</v>
      </c>
      <c r="Q138" s="32" t="n">
        <v>1320</v>
      </c>
      <c r="R138" s="32" t="n">
        <v>1317</v>
      </c>
      <c r="S138" s="32" t="n">
        <v>1411</v>
      </c>
      <c r="T138" s="32" t="n">
        <v>1453</v>
      </c>
      <c r="U138" s="32" t="n">
        <v>1710</v>
      </c>
      <c r="V138" s="32" t="n">
        <v>1858</v>
      </c>
      <c r="W138" s="32" t="n">
        <v>1574</v>
      </c>
      <c r="X138" s="32" t="n">
        <v>1370</v>
      </c>
      <c r="Y138" s="32" t="n">
        <v>1424</v>
      </c>
      <c r="Z138" s="32" t="n">
        <v>1520</v>
      </c>
      <c r="AA138" s="32" t="n">
        <v>1630</v>
      </c>
      <c r="AB138" s="32" t="n">
        <v>1415</v>
      </c>
      <c r="AC138" s="32" t="n">
        <v>2448</v>
      </c>
      <c r="AD138" s="32" t="n">
        <v>2419</v>
      </c>
      <c r="AE138" s="32" t="n">
        <v>2407</v>
      </c>
      <c r="AF138" s="32" t="n">
        <v>2583</v>
      </c>
      <c r="AG138" s="32" t="n">
        <v>2667</v>
      </c>
      <c r="AH138" s="32" t="n">
        <v>2549</v>
      </c>
      <c r="AI138" s="32" t="n">
        <v>2610</v>
      </c>
      <c r="AJ138" s="32" t="n">
        <v>2588</v>
      </c>
      <c r="AK138" s="32" t="n">
        <v>2737</v>
      </c>
      <c r="AL138" s="32" t="n">
        <v>2692</v>
      </c>
      <c r="AM138" s="32" t="n">
        <v>2959</v>
      </c>
      <c r="AN138" s="32" t="n">
        <v>3335</v>
      </c>
      <c r="AO138" s="32" t="n">
        <v>3400</v>
      </c>
      <c r="AP138" s="32" t="n">
        <v>4380</v>
      </c>
      <c r="AQ138" s="32" t="n">
        <v>3785</v>
      </c>
      <c r="AR138" s="32" t="n">
        <v>3085</v>
      </c>
      <c r="AS138" s="32" t="n">
        <v>2581</v>
      </c>
      <c r="AT138" s="32" t="n">
        <v>2535</v>
      </c>
      <c r="AU138" s="32" t="n">
        <v>2163</v>
      </c>
      <c r="AV138" s="32" t="n">
        <v>1763</v>
      </c>
      <c r="AW138" s="32" t="n">
        <v>1463</v>
      </c>
      <c r="AX138" s="32" t="n">
        <v>1170</v>
      </c>
      <c r="AY138" s="32" t="n">
        <v>1188</v>
      </c>
      <c r="AZ138" s="32" t="n">
        <v>1117</v>
      </c>
      <c r="BA138" s="32" t="n">
        <v>1168</v>
      </c>
      <c r="BB138" s="32" t="n">
        <v>1217</v>
      </c>
      <c r="BC138" s="32" t="n">
        <v>1332</v>
      </c>
      <c r="BD138" s="32" t="n">
        <v>1259</v>
      </c>
      <c r="BE138" s="32" t="n">
        <v>1225</v>
      </c>
      <c r="BF138" s="32" t="n">
        <v>1228</v>
      </c>
      <c r="BG138" s="32" t="n">
        <v>1249</v>
      </c>
      <c r="BH138" s="32" t="n">
        <v>1345</v>
      </c>
      <c r="BI138" s="32" t="n">
        <v>1448</v>
      </c>
      <c r="BJ138" s="32" t="n">
        <v>1446</v>
      </c>
      <c r="BK138" s="32" t="n">
        <v>1433</v>
      </c>
      <c r="BL138" s="33" t="n">
        <v>1524</v>
      </c>
    </row>
    <row r="139" ht="15.95" customHeight="1" s="574">
      <c r="A139" s="68" t="inlineStr">
        <is>
          <t>4422</t>
        </is>
      </c>
      <c r="B139" s="28" t="inlineStr">
        <is>
          <t>ＶＡＬＵＥＮＥＸ</t>
        </is>
      </c>
      <c r="C139" s="665">
        <f>_xll.RssMarket("4422","高値")</f>
        <v/>
      </c>
      <c r="D139" s="666">
        <f>C139-E139</f>
        <v/>
      </c>
      <c r="E139" s="37" t="n">
        <v>617</v>
      </c>
      <c r="F139" s="37" t="n">
        <v>636</v>
      </c>
      <c r="G139" s="32" t="n">
        <v>632</v>
      </c>
      <c r="H139" s="32" t="n">
        <v>703</v>
      </c>
      <c r="I139" s="32" t="n">
        <v>651</v>
      </c>
      <c r="J139" s="32" t="n">
        <v>678</v>
      </c>
      <c r="K139" s="32" t="n">
        <v>738</v>
      </c>
      <c r="L139" s="32" t="n">
        <v>803</v>
      </c>
      <c r="M139" s="32" t="n">
        <v>795</v>
      </c>
      <c r="N139" s="32" t="n">
        <v>915</v>
      </c>
      <c r="O139" s="32" t="n">
        <v>765</v>
      </c>
      <c r="P139" s="32" t="n">
        <v>674</v>
      </c>
      <c r="Q139" s="32" t="n">
        <v>687</v>
      </c>
      <c r="R139" s="32" t="n">
        <v>698</v>
      </c>
      <c r="S139" s="32" t="n">
        <v>732</v>
      </c>
      <c r="T139" s="32" t="n">
        <v>764</v>
      </c>
      <c r="U139" s="32" t="n">
        <v>804</v>
      </c>
      <c r="V139" s="32" t="n">
        <v>885</v>
      </c>
      <c r="W139" s="32" t="n">
        <v>806</v>
      </c>
      <c r="X139" s="32" t="n">
        <v>832</v>
      </c>
      <c r="Y139" s="32" t="n">
        <v>807</v>
      </c>
      <c r="Z139" s="32" t="n">
        <v>869</v>
      </c>
      <c r="AA139" s="32" t="n">
        <v>873</v>
      </c>
      <c r="AB139" s="32" t="n">
        <v>903</v>
      </c>
      <c r="AC139" s="32" t="n">
        <v>952</v>
      </c>
      <c r="AD139" s="32" t="n">
        <v>1064</v>
      </c>
      <c r="AE139" s="32" t="n">
        <v>1082</v>
      </c>
      <c r="AF139" s="32" t="n">
        <v>1034</v>
      </c>
      <c r="AG139" s="32" t="n">
        <v>1037</v>
      </c>
      <c r="AH139" s="32" t="n">
        <v>1062</v>
      </c>
      <c r="AI139" s="32" t="n">
        <v>1089</v>
      </c>
      <c r="AJ139" s="32" t="n">
        <v>1196</v>
      </c>
      <c r="AK139" s="32" t="n">
        <v>1233</v>
      </c>
      <c r="AL139" s="32" t="n">
        <v>1397</v>
      </c>
      <c r="AM139" s="32" t="n">
        <v>1630</v>
      </c>
      <c r="AN139" s="32" t="n">
        <v>1434</v>
      </c>
      <c r="AO139" s="32" t="n">
        <v>1277</v>
      </c>
      <c r="AP139" s="32" t="n">
        <v>1524</v>
      </c>
      <c r="AQ139" s="32" t="n">
        <v>1599</v>
      </c>
      <c r="AR139" s="32" t="n">
        <v>1397</v>
      </c>
      <c r="AS139" s="32" t="n">
        <v>1097</v>
      </c>
      <c r="AT139" s="32" t="n">
        <v>1116</v>
      </c>
      <c r="AU139" s="32" t="n">
        <v>1243</v>
      </c>
      <c r="AV139" s="32" t="n">
        <v>1050</v>
      </c>
      <c r="AW139" s="32" t="n">
        <v>999</v>
      </c>
      <c r="AX139" s="32" t="n">
        <v>1041</v>
      </c>
      <c r="AY139" s="32" t="n">
        <v>891</v>
      </c>
      <c r="AZ139" s="32" t="n">
        <v>741</v>
      </c>
      <c r="BA139" s="32" t="n">
        <v>641</v>
      </c>
      <c r="BB139" s="32" t="n">
        <v>541</v>
      </c>
      <c r="BC139" s="32" t="n">
        <v>485</v>
      </c>
      <c r="BD139" s="32" t="n">
        <v>491</v>
      </c>
      <c r="BE139" s="32" t="n">
        <v>497</v>
      </c>
      <c r="BF139" s="32" t="n">
        <v>522</v>
      </c>
      <c r="BG139" s="32" t="n">
        <v>523</v>
      </c>
      <c r="BH139" s="32" t="n">
        <v>654</v>
      </c>
      <c r="BI139" s="32" t="n">
        <v>622</v>
      </c>
      <c r="BJ139" s="32" t="n">
        <v>522</v>
      </c>
      <c r="BK139" s="32" t="n">
        <v>464</v>
      </c>
      <c r="BL139" s="33" t="n">
        <v>558</v>
      </c>
    </row>
    <row r="140" ht="15.95" customHeight="1" s="574">
      <c r="A140" s="68" t="inlineStr">
        <is>
          <t>6740</t>
        </is>
      </c>
      <c r="B140" s="28" t="inlineStr">
        <is>
          <t>ジャパンディスプレイ</t>
        </is>
      </c>
      <c r="C140" s="665">
        <f>_xll.RssMarket("6740","高値")</f>
        <v/>
      </c>
      <c r="D140" s="666">
        <f>C140-E140</f>
        <v/>
      </c>
      <c r="E140" s="37" t="n">
        <v>62</v>
      </c>
      <c r="F140" s="37" t="n">
        <v>55</v>
      </c>
      <c r="G140" s="32" t="n">
        <v>54</v>
      </c>
      <c r="H140" s="32" t="n">
        <v>53</v>
      </c>
      <c r="I140" s="32" t="n">
        <v>47</v>
      </c>
      <c r="J140" s="32" t="n">
        <v>54</v>
      </c>
      <c r="K140" s="32" t="n">
        <v>55</v>
      </c>
      <c r="L140" s="32" t="n">
        <v>59</v>
      </c>
      <c r="M140" s="32" t="n">
        <v>55</v>
      </c>
      <c r="N140" s="32" t="n">
        <v>57</v>
      </c>
      <c r="O140" s="32" t="n">
        <v>55</v>
      </c>
      <c r="P140" s="32" t="n">
        <v>56</v>
      </c>
      <c r="Q140" s="32" t="n">
        <v>57</v>
      </c>
      <c r="R140" s="32" t="n">
        <v>60</v>
      </c>
      <c r="S140" s="32" t="n">
        <v>56</v>
      </c>
      <c r="T140" s="32" t="n">
        <v>59</v>
      </c>
      <c r="U140" s="32" t="n">
        <v>69</v>
      </c>
      <c r="V140" s="32" t="n">
        <v>65</v>
      </c>
      <c r="W140" s="32" t="n">
        <v>68</v>
      </c>
      <c r="X140" s="32" t="n">
        <v>72</v>
      </c>
      <c r="Y140" s="32" t="n">
        <v>74</v>
      </c>
      <c r="Z140" s="32" t="n">
        <v>81</v>
      </c>
      <c r="AA140" s="32" t="n">
        <v>76</v>
      </c>
      <c r="AB140" s="32" t="n">
        <v>78</v>
      </c>
      <c r="AC140" s="32" t="n">
        <v>81</v>
      </c>
      <c r="AD140" s="32" t="n">
        <v>82</v>
      </c>
      <c r="AE140" s="32" t="n">
        <v>86</v>
      </c>
      <c r="AF140" s="32" t="n">
        <v>92</v>
      </c>
      <c r="AG140" s="32" t="n">
        <v>102</v>
      </c>
      <c r="AH140" s="32" t="n">
        <v>124</v>
      </c>
      <c r="AI140" s="32" t="n">
        <v>96</v>
      </c>
      <c r="AJ140" s="32" t="n">
        <v>101</v>
      </c>
      <c r="AK140" s="32" t="n">
        <v>102</v>
      </c>
      <c r="AL140" s="32" t="n">
        <v>102</v>
      </c>
      <c r="AM140" s="32" t="n">
        <v>112</v>
      </c>
      <c r="AN140" s="32" t="n">
        <v>124</v>
      </c>
      <c r="AO140" s="32" t="n">
        <v>123</v>
      </c>
      <c r="AP140" s="32" t="n">
        <v>115</v>
      </c>
      <c r="AQ140" s="32" t="n">
        <v>109</v>
      </c>
      <c r="AR140" s="32" t="n">
        <v>99</v>
      </c>
      <c r="AS140" s="32" t="n">
        <v>91</v>
      </c>
      <c r="AT140" s="32" t="n">
        <v>85</v>
      </c>
      <c r="AU140" s="32" t="n">
        <v>94</v>
      </c>
      <c r="AV140" s="32" t="n">
        <v>90</v>
      </c>
      <c r="AW140" s="32" t="n">
        <v>92</v>
      </c>
      <c r="AX140" s="32" t="n">
        <v>89</v>
      </c>
      <c r="AY140" s="32" t="n">
        <v>96</v>
      </c>
      <c r="AZ140" s="32" t="n">
        <v>110</v>
      </c>
      <c r="BA140" s="32" t="n">
        <v>113</v>
      </c>
      <c r="BB140" s="32" t="n">
        <v>99</v>
      </c>
      <c r="BC140" s="32" t="n">
        <v>79</v>
      </c>
      <c r="BD140" s="32" t="n">
        <v>82</v>
      </c>
      <c r="BE140" s="32" t="n">
        <v>79</v>
      </c>
      <c r="BF140" s="32" t="n">
        <v>96</v>
      </c>
      <c r="BG140" s="32" t="n">
        <v>72</v>
      </c>
      <c r="BH140" s="32" t="n">
        <v>73</v>
      </c>
      <c r="BI140" s="32" t="n">
        <v>65</v>
      </c>
      <c r="BJ140" s="32" t="n">
        <v>112</v>
      </c>
      <c r="BK140" s="32" t="n">
        <v>141</v>
      </c>
      <c r="BL140" s="33" t="n">
        <v>164</v>
      </c>
    </row>
    <row r="141" ht="15.95" customHeight="1" s="574">
      <c r="A141" s="68" t="inlineStr">
        <is>
          <t>6613</t>
        </is>
      </c>
      <c r="B141" s="28" t="inlineStr">
        <is>
          <t>ＱＤレーザ</t>
        </is>
      </c>
      <c r="C141" s="665">
        <f>_xll.RssMarket("6613","高値")</f>
        <v/>
      </c>
      <c r="D141" s="666">
        <f>C141-E141</f>
        <v/>
      </c>
      <c r="E141" s="37" t="n">
        <v>3020</v>
      </c>
      <c r="F141" s="37" t="n">
        <v>2648</v>
      </c>
      <c r="G141" s="32" t="n">
        <v>2588</v>
      </c>
      <c r="H141" s="32" t="n">
        <v>2530</v>
      </c>
      <c r="I141" s="32" t="n">
        <v>2838</v>
      </c>
      <c r="J141" s="32" t="n">
        <v>2958</v>
      </c>
      <c r="K141" s="32" t="n">
        <v>2737</v>
      </c>
      <c r="L141" s="32" t="n">
        <v>2580</v>
      </c>
      <c r="M141" s="32" t="n">
        <v>2594</v>
      </c>
      <c r="N141" s="32" t="n">
        <v>2570</v>
      </c>
      <c r="O141" s="32" t="n">
        <v>2614</v>
      </c>
      <c r="P141" s="32" t="n">
        <v>2650</v>
      </c>
      <c r="Q141" s="32" t="n">
        <v>2835</v>
      </c>
      <c r="R141" s="32" t="n">
        <v>2923</v>
      </c>
      <c r="S141" s="32" t="n">
        <v>2790</v>
      </c>
      <c r="T141" s="32" t="n">
        <v>2820</v>
      </c>
      <c r="U141" s="32" t="n">
        <v>3220</v>
      </c>
      <c r="V141" s="32" t="n">
        <v>3620</v>
      </c>
      <c r="W141" s="32" t="n">
        <v>3100</v>
      </c>
      <c r="X141" s="32" t="n">
        <v>2868</v>
      </c>
      <c r="Y141" s="32" t="n">
        <v>2627</v>
      </c>
      <c r="Z141" s="32" t="n">
        <v>2127</v>
      </c>
      <c r="AA141" s="32" t="n">
        <v>1886</v>
      </c>
      <c r="AB141" s="32" t="n">
        <v>1667</v>
      </c>
      <c r="AC141" s="32" t="n">
        <v>1659</v>
      </c>
      <c r="AD141" s="32" t="n">
        <v>1775</v>
      </c>
      <c r="AE141" s="32" t="n">
        <v>2048</v>
      </c>
      <c r="AF141" s="32" t="n">
        <v>1895</v>
      </c>
      <c r="AG141" s="32" t="n">
        <v>1610</v>
      </c>
      <c r="AH141" s="32" t="n">
        <v>1535</v>
      </c>
      <c r="AI141" s="32" t="n">
        <v>1503</v>
      </c>
      <c r="AJ141" s="32" t="n">
        <v>1552</v>
      </c>
      <c r="AK141" s="32" t="n">
        <v>1550</v>
      </c>
      <c r="AL141" s="32" t="n">
        <v>1574</v>
      </c>
      <c r="AM141" s="32" t="n">
        <v>1687</v>
      </c>
      <c r="AN141" s="32" t="n">
        <v>1596</v>
      </c>
      <c r="AO141" s="32" t="n">
        <v>1877</v>
      </c>
      <c r="AP141" s="32" t="n">
        <v>1585</v>
      </c>
      <c r="AQ141" s="32" t="n">
        <v>1379</v>
      </c>
      <c r="AR141" s="32" t="n">
        <v>1447</v>
      </c>
      <c r="AS141" s="32" t="n">
        <v>1489</v>
      </c>
      <c r="AT141" s="32" t="n">
        <v>1485</v>
      </c>
      <c r="AU141" s="32" t="n">
        <v>1269</v>
      </c>
      <c r="AV141" s="32" t="n">
        <v>1132</v>
      </c>
      <c r="AW141" s="32" t="n">
        <v>1115</v>
      </c>
      <c r="AX141" s="32" t="n">
        <v>1152</v>
      </c>
      <c r="AY141" s="32" t="n">
        <v>1113</v>
      </c>
      <c r="AZ141" s="32" t="n">
        <v>1118</v>
      </c>
      <c r="BA141" s="32" t="n">
        <v>1111</v>
      </c>
      <c r="BB141" s="32" t="n">
        <v>1224</v>
      </c>
      <c r="BC141" s="32" t="n">
        <v>1317</v>
      </c>
      <c r="BD141" s="32" t="n">
        <v>1331</v>
      </c>
      <c r="BE141" s="32" t="n">
        <v>1295</v>
      </c>
      <c r="BF141" s="32" t="n">
        <v>1225</v>
      </c>
      <c r="BG141" s="32" t="n">
        <v>1380</v>
      </c>
      <c r="BH141" s="32" t="n">
        <v>1515</v>
      </c>
      <c r="BI141" s="32" t="n">
        <v>1520</v>
      </c>
      <c r="BJ141" s="32" t="n">
        <v>1510</v>
      </c>
      <c r="BK141" s="32" t="n">
        <v>1707</v>
      </c>
      <c r="BL141" s="33" t="n">
        <v>1721</v>
      </c>
    </row>
    <row r="142" ht="15.95" customHeight="1" s="574">
      <c r="A142" s="68" t="inlineStr">
        <is>
          <t>4568</t>
        </is>
      </c>
      <c r="B142" s="28">
        <f>銘柄管理!C142</f>
        <v/>
      </c>
      <c r="C142" s="665">
        <f>_xll.RssMarket("4568","高値")</f>
        <v/>
      </c>
      <c r="D142" s="666" t="n"/>
      <c r="E142" s="37" t="n">
        <v>2577</v>
      </c>
      <c r="F142" s="37" t="n">
        <v>2662</v>
      </c>
      <c r="G142" s="32" t="n">
        <v>2706</v>
      </c>
      <c r="H142" s="32" t="n">
        <v>2632</v>
      </c>
      <c r="I142" s="32" t="n">
        <v>2546.5</v>
      </c>
      <c r="J142" s="32" t="n">
        <v>2573.5</v>
      </c>
      <c r="K142" s="32" t="n">
        <v>2524.5</v>
      </c>
      <c r="L142" s="32" t="n">
        <v>2519.5</v>
      </c>
      <c r="M142" s="32" t="n">
        <v>2510.5</v>
      </c>
      <c r="N142" s="32" t="n">
        <v>2540</v>
      </c>
      <c r="O142" s="32" t="n">
        <v>2504</v>
      </c>
      <c r="P142" s="32" t="n">
        <v>2453.5</v>
      </c>
      <c r="Q142" s="32" t="n">
        <v>2535</v>
      </c>
      <c r="R142" s="32" t="n">
        <v>2635.5</v>
      </c>
      <c r="S142" s="32" t="n">
        <v>2765.5</v>
      </c>
      <c r="T142" s="32" t="n">
        <v>2753</v>
      </c>
      <c r="U142" s="32" t="n">
        <v>2790</v>
      </c>
      <c r="V142" s="32" t="n">
        <v>2773</v>
      </c>
      <c r="W142" s="32" t="n">
        <v>2680.5</v>
      </c>
      <c r="X142" s="32" t="n">
        <v>2682.5</v>
      </c>
      <c r="Y142" s="32" t="n">
        <v>2636</v>
      </c>
      <c r="Z142" s="32" t="n">
        <v>2674</v>
      </c>
      <c r="AA142" s="32" t="n">
        <v>2646.5</v>
      </c>
      <c r="AB142" s="32" t="n">
        <v>2593.5</v>
      </c>
      <c r="AC142" s="32" t="n">
        <v>2672</v>
      </c>
      <c r="AD142" s="32" t="n">
        <v>2745.5</v>
      </c>
      <c r="AE142" s="32" t="n">
        <v>2758.5</v>
      </c>
      <c r="AF142" s="32" t="n">
        <v>2704</v>
      </c>
      <c r="AG142" s="32" t="n">
        <v>2674.5</v>
      </c>
      <c r="AH142" s="32" t="n">
        <v>2621.5</v>
      </c>
      <c r="AI142" s="32" t="n">
        <v>2649.5</v>
      </c>
      <c r="AJ142" s="32" t="n">
        <v>2692</v>
      </c>
      <c r="AK142" s="32" t="n">
        <v>2670</v>
      </c>
      <c r="AL142" s="32" t="n">
        <v>2629.5</v>
      </c>
      <c r="AM142" s="32" t="n">
        <v>2682</v>
      </c>
      <c r="AN142" s="32" t="n">
        <v>2830</v>
      </c>
      <c r="AO142" s="32" t="n">
        <v>2890.5</v>
      </c>
      <c r="AP142" s="32" t="n">
        <v>2989.5</v>
      </c>
      <c r="AQ142" s="32" t="n">
        <v>3016</v>
      </c>
      <c r="AR142" s="32" t="n">
        <v>2967.5</v>
      </c>
      <c r="AS142" s="32" t="n">
        <v>2949</v>
      </c>
      <c r="AT142" s="32" t="n">
        <v>2893</v>
      </c>
      <c r="AU142" s="32" t="n">
        <v>2761</v>
      </c>
      <c r="AV142" s="32" t="n">
        <v>2762</v>
      </c>
      <c r="AW142" s="32" t="n">
        <v>2790.5</v>
      </c>
      <c r="AX142" s="32" t="n">
        <v>2840</v>
      </c>
      <c r="AY142" s="32" t="n">
        <v>2940.5</v>
      </c>
      <c r="AZ142" s="32" t="n">
        <v>2905</v>
      </c>
      <c r="BA142" s="32" t="n">
        <v>2895</v>
      </c>
      <c r="BB142" s="32" t="n">
        <v>2901.5</v>
      </c>
      <c r="BC142" s="32" t="n">
        <v>2940.5</v>
      </c>
      <c r="BD142" s="32" t="n">
        <v>2893.5</v>
      </c>
      <c r="BE142" s="32" t="n">
        <v>2825</v>
      </c>
      <c r="BF142" s="32" t="n">
        <v>2823.5</v>
      </c>
      <c r="BG142" s="32" t="n">
        <v>2930</v>
      </c>
      <c r="BH142" s="32" t="n">
        <v>2913.5</v>
      </c>
      <c r="BI142" s="32" t="n">
        <v>3065</v>
      </c>
      <c r="BJ142" s="32" t="n">
        <v>3020</v>
      </c>
      <c r="BK142" s="32" t="n">
        <v>2971</v>
      </c>
      <c r="BL142" s="33" t="n">
        <v>2980.5</v>
      </c>
    </row>
    <row r="143" ht="15.95" customHeight="1" s="574">
      <c r="A143" s="68" t="inlineStr">
        <is>
          <t>6522</t>
        </is>
      </c>
      <c r="B143" s="28" t="inlineStr">
        <is>
          <t>アスタリスク</t>
        </is>
      </c>
      <c r="C143" s="665">
        <f>_xll.RssMarket("6522","高値")</f>
        <v/>
      </c>
      <c r="D143" s="666">
        <f>C143-E143</f>
        <v/>
      </c>
      <c r="E143" s="37" t="n">
        <v>1279</v>
      </c>
      <c r="F143" s="37" t="n">
        <v>1031</v>
      </c>
      <c r="G143" s="32" t="n">
        <v>881</v>
      </c>
      <c r="H143" s="32" t="n">
        <v>740</v>
      </c>
      <c r="I143" s="32" t="n">
        <v>727</v>
      </c>
      <c r="J143" s="32" t="n">
        <v>735</v>
      </c>
      <c r="K143" s="32" t="n">
        <v>754</v>
      </c>
      <c r="L143" s="32" t="n">
        <v>748</v>
      </c>
      <c r="M143" s="32" t="n">
        <v>771</v>
      </c>
      <c r="N143" s="32" t="n">
        <v>755</v>
      </c>
      <c r="O143" s="32" t="n">
        <v>793</v>
      </c>
      <c r="P143" s="32" t="n">
        <v>796</v>
      </c>
      <c r="Q143" s="32" t="n">
        <v>849</v>
      </c>
      <c r="R143" s="32" t="n">
        <v>903</v>
      </c>
      <c r="S143" s="32" t="n">
        <v>852</v>
      </c>
      <c r="T143" s="32" t="n">
        <v>844</v>
      </c>
      <c r="U143" s="32" t="n">
        <v>920</v>
      </c>
      <c r="V143" s="32" t="n">
        <v>991</v>
      </c>
      <c r="W143" s="32" t="n">
        <v>995</v>
      </c>
      <c r="X143" s="32" t="n">
        <v>966</v>
      </c>
      <c r="Y143" s="32" t="n">
        <v>1010</v>
      </c>
      <c r="Z143" s="32" t="n">
        <v>1037</v>
      </c>
      <c r="AA143" s="32" t="n">
        <v>1016</v>
      </c>
      <c r="AB143" s="32" t="n">
        <v>1053</v>
      </c>
      <c r="AC143" s="32" t="n">
        <v>1074</v>
      </c>
      <c r="AD143" s="32" t="n">
        <v>1076</v>
      </c>
      <c r="AE143" s="32" t="n">
        <v>1190</v>
      </c>
      <c r="AF143" s="32" t="n">
        <v>1247</v>
      </c>
      <c r="AG143" s="32" t="n">
        <v>1266</v>
      </c>
      <c r="AH143" s="32" t="n">
        <v>1229</v>
      </c>
      <c r="AI143" s="32" t="n">
        <v>1260</v>
      </c>
      <c r="AJ143" s="32" t="n">
        <v>1210</v>
      </c>
      <c r="AK143" s="32" t="n">
        <v>1230</v>
      </c>
      <c r="AL143" s="32" t="n">
        <v>1340</v>
      </c>
      <c r="AM143" s="32" t="n">
        <v>1360</v>
      </c>
      <c r="AN143" s="32" t="n">
        <v>1371</v>
      </c>
      <c r="AO143" s="32" t="n">
        <v>1599</v>
      </c>
      <c r="AP143" s="32" t="n">
        <v>1336</v>
      </c>
      <c r="AQ143" s="32" t="n">
        <v>1138</v>
      </c>
      <c r="AR143" s="32" t="n">
        <v>1116</v>
      </c>
      <c r="AS143" s="32" t="n">
        <v>1086</v>
      </c>
      <c r="AT143" s="32" t="n">
        <v>1195</v>
      </c>
      <c r="AU143" s="32" t="n">
        <v>1070</v>
      </c>
      <c r="AV143" s="32" t="n">
        <v>1025</v>
      </c>
      <c r="AW143" s="32" t="n">
        <v>1034</v>
      </c>
      <c r="AX143" s="32" t="n">
        <v>1061</v>
      </c>
      <c r="AY143" s="32" t="n">
        <v>1188</v>
      </c>
      <c r="AZ143" s="32" t="n">
        <v>1120</v>
      </c>
      <c r="BA143" s="32" t="n">
        <v>1121</v>
      </c>
      <c r="BB143" s="32" t="n">
        <v>1300</v>
      </c>
      <c r="BC143" s="32" t="n">
        <v>1187</v>
      </c>
      <c r="BD143" s="32" t="n">
        <v>1256</v>
      </c>
      <c r="BE143" s="32" t="n">
        <v>1483</v>
      </c>
      <c r="BF143" s="32" t="n">
        <v>1573</v>
      </c>
      <c r="BG143" s="32" t="n">
        <v>1699</v>
      </c>
      <c r="BH143" s="32" t="n">
        <v>1600</v>
      </c>
      <c r="BI143" s="32" t="n">
        <v>1300</v>
      </c>
      <c r="BJ143" s="32" t="n">
        <v>1286</v>
      </c>
      <c r="BK143" s="32" t="n">
        <v>1004</v>
      </c>
      <c r="BL143" s="33" t="n">
        <v>957</v>
      </c>
    </row>
    <row r="144" ht="15.95" customHeight="1" s="574">
      <c r="A144" s="68" t="inlineStr">
        <is>
          <t>6777</t>
        </is>
      </c>
      <c r="B144" s="28" t="inlineStr">
        <is>
          <t>ＳＡＮＴＥＣＨＯＬＤＩＮＧＳ</t>
        </is>
      </c>
      <c r="C144" s="665">
        <f>_xll.RssMarket("6777","高値")</f>
        <v/>
      </c>
      <c r="D144" s="666">
        <f>C144-E144</f>
        <v/>
      </c>
      <c r="E144" s="37" t="n">
        <v>30300</v>
      </c>
      <c r="F144" s="37" t="n">
        <v>29830</v>
      </c>
      <c r="G144" s="32" t="n">
        <v>27990</v>
      </c>
      <c r="H144" s="32" t="n">
        <v>27580</v>
      </c>
      <c r="I144" s="32" t="n">
        <v>27700</v>
      </c>
      <c r="J144" s="32" t="n">
        <v>25460</v>
      </c>
      <c r="K144" s="32" t="n">
        <v>24100</v>
      </c>
      <c r="L144" s="32" t="n">
        <v>23410</v>
      </c>
      <c r="M144" s="32" t="n">
        <v>25350</v>
      </c>
      <c r="N144" s="32" t="n">
        <v>23630</v>
      </c>
      <c r="O144" s="32" t="n">
        <v>25820</v>
      </c>
      <c r="P144" s="32" t="n">
        <v>26320</v>
      </c>
      <c r="Q144" s="32" t="n">
        <v>28460</v>
      </c>
      <c r="R144" s="32" t="n">
        <v>26190</v>
      </c>
      <c r="S144" s="32" t="n">
        <v>25930</v>
      </c>
      <c r="T144" s="32" t="n">
        <v>25490</v>
      </c>
      <c r="U144" s="32" t="n">
        <v>26800</v>
      </c>
      <c r="V144" s="32" t="n">
        <v>31450</v>
      </c>
      <c r="W144" s="32" t="n">
        <v>28060</v>
      </c>
      <c r="X144" s="32" t="n">
        <v>28130</v>
      </c>
      <c r="Y144" s="32" t="n">
        <v>28700</v>
      </c>
      <c r="Z144" s="32" t="n">
        <v>31600</v>
      </c>
      <c r="AA144" s="32" t="n">
        <v>34550</v>
      </c>
      <c r="AB144" s="32" t="n">
        <v>32500</v>
      </c>
      <c r="AC144" s="32" t="n">
        <v>34700</v>
      </c>
      <c r="AD144" s="32" t="n">
        <v>33300</v>
      </c>
      <c r="AE144" s="32" t="n">
        <v>31950</v>
      </c>
      <c r="AF144" s="32" t="n">
        <v>29280</v>
      </c>
      <c r="AG144" s="32" t="n">
        <v>27830</v>
      </c>
      <c r="AH144" s="32" t="n">
        <v>30300</v>
      </c>
      <c r="AI144" s="32" t="n">
        <v>28470</v>
      </c>
      <c r="AJ144" s="32" t="n">
        <v>29410</v>
      </c>
      <c r="AK144" s="32" t="n">
        <v>29200</v>
      </c>
      <c r="AL144" s="32" t="n">
        <v>29720</v>
      </c>
      <c r="AM144" s="32" t="n">
        <v>30550</v>
      </c>
      <c r="AN144" s="32" t="n">
        <v>34300</v>
      </c>
      <c r="AO144" s="32" t="n">
        <v>30300</v>
      </c>
      <c r="AP144" s="32" t="n">
        <v>30400</v>
      </c>
      <c r="AQ144" s="32" t="n">
        <v>30150</v>
      </c>
      <c r="AR144" s="32" t="n">
        <v>26940</v>
      </c>
      <c r="AS144" s="32" t="n">
        <v>25310</v>
      </c>
      <c r="AT144" s="32" t="n">
        <v>26750</v>
      </c>
      <c r="AU144" s="32" t="n">
        <v>25390</v>
      </c>
      <c r="AV144" s="32" t="n">
        <v>23760</v>
      </c>
      <c r="AW144" s="32" t="n">
        <v>22250</v>
      </c>
      <c r="AX144" s="32" t="n">
        <v>21480</v>
      </c>
      <c r="AY144" s="32" t="n">
        <v>21490</v>
      </c>
      <c r="AZ144" s="32" t="n">
        <v>20040</v>
      </c>
      <c r="BA144" s="32" t="n">
        <v>20130</v>
      </c>
      <c r="BB144" s="32" t="n">
        <v>19190</v>
      </c>
      <c r="BC144" s="32" t="n">
        <v>18460</v>
      </c>
      <c r="BD144" s="32" t="n">
        <v>18050</v>
      </c>
      <c r="BE144" s="32" t="n">
        <v>16950</v>
      </c>
      <c r="BF144" s="32" t="n">
        <v>17580</v>
      </c>
      <c r="BG144" s="32" t="n">
        <v>18700</v>
      </c>
      <c r="BH144" s="32" t="n">
        <v>20060</v>
      </c>
      <c r="BI144" s="32" t="n">
        <v>20410</v>
      </c>
      <c r="BJ144" s="32" t="n">
        <v>19570</v>
      </c>
      <c r="BK144" s="32" t="n">
        <v>19330</v>
      </c>
      <c r="BL144" s="33" t="n">
        <v>20830</v>
      </c>
    </row>
    <row r="145" ht="15.95" customHeight="1" s="574">
      <c r="A145" s="68" t="inlineStr">
        <is>
          <t>6787</t>
        </is>
      </c>
      <c r="B145" s="28" t="inlineStr">
        <is>
          <t>メイコー</t>
        </is>
      </c>
      <c r="C145" s="665">
        <f>_xll.RssMarket("6787","高値")</f>
        <v/>
      </c>
      <c r="D145" s="666">
        <f>C145-E145</f>
        <v/>
      </c>
      <c r="E145" s="37" t="n">
        <v>39900</v>
      </c>
      <c r="F145" s="37" t="n">
        <v>40900</v>
      </c>
      <c r="G145" s="32" t="n">
        <v>37550</v>
      </c>
      <c r="H145" s="32" t="n">
        <v>36600</v>
      </c>
      <c r="I145" s="32" t="n">
        <v>37250</v>
      </c>
      <c r="J145" s="32" t="n">
        <v>32950</v>
      </c>
      <c r="K145" s="32" t="n">
        <v>32050</v>
      </c>
      <c r="L145" s="32" t="n">
        <v>31500</v>
      </c>
      <c r="M145" s="32" t="n">
        <v>32850</v>
      </c>
      <c r="N145" s="32" t="n">
        <v>34600</v>
      </c>
      <c r="O145" s="32" t="n">
        <v>36200</v>
      </c>
      <c r="P145" s="32" t="n">
        <v>37350</v>
      </c>
      <c r="Q145" s="32" t="n">
        <v>40550</v>
      </c>
      <c r="R145" s="32" t="n">
        <v>40400</v>
      </c>
      <c r="S145" s="32" t="n">
        <v>40700</v>
      </c>
      <c r="T145" s="32" t="n">
        <v>38850</v>
      </c>
      <c r="U145" s="32" t="n">
        <v>40550</v>
      </c>
      <c r="V145" s="32" t="n">
        <v>45300</v>
      </c>
      <c r="W145" s="32" t="n">
        <v>44250</v>
      </c>
      <c r="X145" s="32" t="n">
        <v>41900</v>
      </c>
      <c r="Y145" s="32" t="n">
        <v>36300</v>
      </c>
      <c r="Z145" s="32" t="n">
        <v>40150</v>
      </c>
      <c r="AA145" s="32" t="n">
        <v>40700</v>
      </c>
      <c r="AB145" s="32" t="n">
        <v>40950</v>
      </c>
      <c r="AC145" s="32" t="n">
        <v>38650</v>
      </c>
      <c r="AD145" s="32" t="n">
        <v>31650</v>
      </c>
      <c r="AE145" s="32" t="n">
        <v>32950</v>
      </c>
      <c r="AF145" s="32" t="n">
        <v>33800</v>
      </c>
      <c r="AG145" s="32" t="n">
        <v>33600</v>
      </c>
      <c r="AH145" s="32" t="n">
        <v>32000</v>
      </c>
      <c r="AI145" s="32" t="n">
        <v>30750</v>
      </c>
      <c r="AJ145" s="32" t="n">
        <v>32100</v>
      </c>
      <c r="AK145" s="32" t="n">
        <v>32400</v>
      </c>
      <c r="AL145" s="32" t="n">
        <v>31400</v>
      </c>
      <c r="AM145" s="32" t="n">
        <v>29610</v>
      </c>
      <c r="AN145" s="32" t="n">
        <v>30150</v>
      </c>
      <c r="AO145" s="32" t="n">
        <v>29590</v>
      </c>
      <c r="AP145" s="32" t="n">
        <v>28510</v>
      </c>
      <c r="AQ145" s="32" t="n">
        <v>28680</v>
      </c>
      <c r="AR145" s="32" t="n">
        <v>29620</v>
      </c>
      <c r="AS145" s="32" t="n">
        <v>29870</v>
      </c>
      <c r="AT145" s="32" t="n">
        <v>29870</v>
      </c>
      <c r="AU145" s="32" t="n">
        <v>30050</v>
      </c>
      <c r="AV145" s="32" t="n">
        <v>27070</v>
      </c>
      <c r="AW145" s="32" t="n">
        <v>28450</v>
      </c>
      <c r="AX145" s="32" t="n">
        <v>27650</v>
      </c>
      <c r="AY145" s="32" t="n">
        <v>26820</v>
      </c>
      <c r="AZ145" s="32" t="n">
        <v>25680</v>
      </c>
      <c r="BA145" s="32" t="n">
        <v>27110</v>
      </c>
      <c r="BB145" s="32" t="n">
        <v>27210</v>
      </c>
      <c r="BC145" s="32" t="n">
        <v>28550</v>
      </c>
      <c r="BD145" s="32" t="n">
        <v>28890</v>
      </c>
      <c r="BE145" s="32" t="n">
        <v>26350</v>
      </c>
      <c r="BF145" s="32" t="n">
        <v>27500</v>
      </c>
      <c r="BG145" s="32" t="n">
        <v>28720</v>
      </c>
      <c r="BH145" s="32" t="n">
        <v>30850</v>
      </c>
      <c r="BI145" s="32" t="n">
        <v>28470</v>
      </c>
      <c r="BJ145" s="32" t="n">
        <v>27330</v>
      </c>
      <c r="BK145" s="32" t="n">
        <v>26390</v>
      </c>
      <c r="BL145" s="33" t="n">
        <v>25990</v>
      </c>
    </row>
    <row r="146" ht="15.95" customHeight="1" s="574">
      <c r="A146" s="68" t="inlineStr">
        <is>
          <t>4888</t>
        </is>
      </c>
      <c r="B146" s="28" t="inlineStr">
        <is>
          <t>ステラファーマ</t>
        </is>
      </c>
      <c r="C146" s="665">
        <f>_xll.RssMarket("4888","高値")</f>
        <v/>
      </c>
      <c r="D146" s="666">
        <f>C146-E146</f>
        <v/>
      </c>
      <c r="E146" s="37" t="n">
        <v>351</v>
      </c>
      <c r="F146" s="37" t="n">
        <v>393</v>
      </c>
      <c r="G146" s="32" t="n">
        <v>426</v>
      </c>
      <c r="H146" s="32" t="n">
        <v>361</v>
      </c>
      <c r="I146" s="32" t="n">
        <v>339</v>
      </c>
      <c r="J146" s="32" t="n">
        <v>342</v>
      </c>
      <c r="K146" s="32" t="n">
        <v>336</v>
      </c>
      <c r="L146" s="32" t="n">
        <v>319</v>
      </c>
      <c r="M146" s="32" t="n">
        <v>320</v>
      </c>
      <c r="N146" s="32" t="n">
        <v>312</v>
      </c>
      <c r="O146" s="32" t="n">
        <v>352</v>
      </c>
      <c r="P146" s="32" t="n">
        <v>353</v>
      </c>
      <c r="Q146" s="32" t="n">
        <v>349</v>
      </c>
      <c r="R146" s="32" t="n">
        <v>339</v>
      </c>
      <c r="S146" s="32" t="n">
        <v>384</v>
      </c>
      <c r="T146" s="32" t="n">
        <v>397</v>
      </c>
      <c r="U146" s="32" t="n">
        <v>422</v>
      </c>
      <c r="V146" s="32" t="n">
        <v>449</v>
      </c>
      <c r="W146" s="32" t="n">
        <v>462</v>
      </c>
      <c r="X146" s="32" t="n">
        <v>452</v>
      </c>
      <c r="Y146" s="32" t="n">
        <v>434</v>
      </c>
      <c r="Z146" s="32" t="n">
        <v>456</v>
      </c>
      <c r="AA146" s="32" t="n">
        <v>469</v>
      </c>
      <c r="AB146" s="32" t="n">
        <v>445</v>
      </c>
      <c r="AC146" s="32" t="n">
        <v>440</v>
      </c>
      <c r="AD146" s="32" t="n">
        <v>505</v>
      </c>
      <c r="AE146" s="32" t="n">
        <v>502</v>
      </c>
      <c r="AF146" s="32" t="n">
        <v>541</v>
      </c>
      <c r="AG146" s="32" t="n">
        <v>543</v>
      </c>
      <c r="AH146" s="32" t="n">
        <v>555</v>
      </c>
      <c r="AI146" s="32" t="n">
        <v>541</v>
      </c>
      <c r="AJ146" s="32" t="n">
        <v>530</v>
      </c>
      <c r="AK146" s="32" t="n">
        <v>552</v>
      </c>
      <c r="AL146" s="32" t="n">
        <v>565</v>
      </c>
      <c r="AM146" s="32" t="n">
        <v>562</v>
      </c>
      <c r="AN146" s="32" t="n">
        <v>573</v>
      </c>
      <c r="AO146" s="32" t="n">
        <v>618</v>
      </c>
      <c r="AP146" s="32" t="n">
        <v>719</v>
      </c>
      <c r="AQ146" s="32" t="n">
        <v>749</v>
      </c>
      <c r="AR146" s="32" t="n">
        <v>793</v>
      </c>
      <c r="AS146" s="32" t="n">
        <v>750</v>
      </c>
      <c r="AT146" s="32" t="n">
        <v>703</v>
      </c>
      <c r="AU146" s="32" t="n">
        <v>742</v>
      </c>
      <c r="AV146" s="32" t="n">
        <v>745</v>
      </c>
      <c r="AW146" s="32" t="n">
        <v>807</v>
      </c>
      <c r="AX146" s="32" t="n">
        <v>709</v>
      </c>
      <c r="AY146" s="32" t="n">
        <v>698</v>
      </c>
      <c r="AZ146" s="32" t="n">
        <v>670</v>
      </c>
      <c r="BA146" s="32" t="n">
        <v>604</v>
      </c>
      <c r="BB146" s="32" t="n">
        <v>680</v>
      </c>
      <c r="BC146" s="32" t="n">
        <v>719</v>
      </c>
      <c r="BD146" s="32" t="n">
        <v>805</v>
      </c>
      <c r="BE146" s="32" t="n">
        <v>797</v>
      </c>
      <c r="BF146" s="32" t="n">
        <v>851</v>
      </c>
      <c r="BG146" s="32" t="n">
        <v>928</v>
      </c>
      <c r="BH146" s="32" t="n">
        <v>882</v>
      </c>
      <c r="BI146" s="32" t="n">
        <v>995</v>
      </c>
      <c r="BJ146" s="32" t="n">
        <v>855</v>
      </c>
      <c r="BK146" s="32" t="n">
        <v>705</v>
      </c>
      <c r="BL146" s="33" t="n">
        <v>646</v>
      </c>
    </row>
    <row r="147" ht="15.95" customHeight="1" s="574">
      <c r="A147" s="68" t="inlineStr">
        <is>
          <t>6387</t>
        </is>
      </c>
      <c r="B147" s="28" t="inlineStr">
        <is>
          <t>サムコ</t>
        </is>
      </c>
      <c r="C147" s="665">
        <f>_xll.RssMarket("6387","高値")</f>
        <v/>
      </c>
      <c r="D147" s="666">
        <f>C147-E147</f>
        <v/>
      </c>
      <c r="E147" s="37" t="n">
        <v>16190</v>
      </c>
      <c r="F147" s="37" t="n">
        <v>15950</v>
      </c>
      <c r="G147" s="32" t="n">
        <v>16030</v>
      </c>
      <c r="H147" s="32" t="n">
        <v>16300</v>
      </c>
      <c r="I147" s="32" t="n">
        <v>16930</v>
      </c>
      <c r="J147" s="32" t="n">
        <v>15200</v>
      </c>
      <c r="K147" s="32" t="n">
        <v>12480</v>
      </c>
      <c r="L147" s="32" t="n">
        <v>11580</v>
      </c>
      <c r="M147" s="32" t="n">
        <v>12320</v>
      </c>
      <c r="N147" s="32" t="n">
        <v>12290</v>
      </c>
      <c r="O147" s="32" t="n">
        <v>12700</v>
      </c>
      <c r="P147" s="32" t="n">
        <v>13150</v>
      </c>
      <c r="Q147" s="32" t="n">
        <v>13400</v>
      </c>
      <c r="R147" s="32" t="n">
        <v>12090</v>
      </c>
      <c r="S147" s="32" t="n">
        <v>10590</v>
      </c>
      <c r="T147" s="32" t="n">
        <v>10470</v>
      </c>
      <c r="U147" s="32" t="n">
        <v>11670</v>
      </c>
      <c r="V147" s="32" t="n">
        <v>12320</v>
      </c>
      <c r="W147" s="32" t="n">
        <v>11970</v>
      </c>
      <c r="X147" s="32" t="n">
        <v>11340</v>
      </c>
      <c r="Y147" s="32" t="n">
        <v>11150</v>
      </c>
      <c r="Z147" s="32" t="n">
        <v>12120</v>
      </c>
      <c r="AA147" s="32" t="n">
        <v>12630</v>
      </c>
      <c r="AB147" s="32" t="n">
        <v>13450</v>
      </c>
      <c r="AC147" s="32" t="n">
        <v>14100</v>
      </c>
      <c r="AD147" s="32" t="n">
        <v>13290</v>
      </c>
      <c r="AE147" s="32" t="n">
        <v>13340</v>
      </c>
      <c r="AF147" s="32" t="n">
        <v>14000</v>
      </c>
      <c r="AG147" s="32" t="n">
        <v>13920</v>
      </c>
      <c r="AH147" s="32" t="n">
        <v>14470</v>
      </c>
      <c r="AI147" s="32" t="n">
        <v>11790</v>
      </c>
      <c r="AJ147" s="32" t="n">
        <v>11780</v>
      </c>
      <c r="AK147" s="32" t="n">
        <v>11300</v>
      </c>
      <c r="AL147" s="32" t="n">
        <v>11540</v>
      </c>
      <c r="AM147" s="32" t="n">
        <v>11380</v>
      </c>
      <c r="AN147" s="32" t="n">
        <v>11040</v>
      </c>
      <c r="AO147" s="32" t="n">
        <v>10440</v>
      </c>
      <c r="AP147" s="32" t="n">
        <v>9880</v>
      </c>
      <c r="AQ147" s="32" t="n">
        <v>9820</v>
      </c>
      <c r="AR147" s="32" t="n">
        <v>9920</v>
      </c>
      <c r="AS147" s="32" t="n">
        <v>10400</v>
      </c>
      <c r="AT147" s="32" t="n">
        <v>10470</v>
      </c>
      <c r="AU147" s="32" t="n">
        <v>10760</v>
      </c>
      <c r="AV147" s="32" t="n">
        <v>9820</v>
      </c>
      <c r="AW147" s="32" t="n">
        <v>9520</v>
      </c>
      <c r="AX147" s="32" t="n">
        <v>9340</v>
      </c>
      <c r="AY147" s="32" t="n">
        <v>9330</v>
      </c>
      <c r="AZ147" s="32" t="n">
        <v>8520</v>
      </c>
      <c r="BA147" s="32" t="n">
        <v>8640</v>
      </c>
      <c r="BB147" s="32" t="n">
        <v>8630</v>
      </c>
      <c r="BC147" s="32" t="n">
        <v>8900</v>
      </c>
      <c r="BD147" s="32" t="n">
        <v>9040</v>
      </c>
      <c r="BE147" s="32" t="n">
        <v>8520</v>
      </c>
      <c r="BF147" s="32" t="n">
        <v>8310</v>
      </c>
      <c r="BG147" s="32" t="n">
        <v>8680</v>
      </c>
      <c r="BH147" s="32" t="n">
        <v>9150</v>
      </c>
      <c r="BI147" s="32" t="n">
        <v>8360</v>
      </c>
      <c r="BJ147" s="32" t="n">
        <v>8110</v>
      </c>
      <c r="BK147" s="32" t="n">
        <v>7560</v>
      </c>
      <c r="BL147" s="33" t="n">
        <v>8000</v>
      </c>
    </row>
    <row r="148" ht="15.95" customHeight="1" s="574">
      <c r="A148" s="68" t="inlineStr">
        <is>
          <t>6838</t>
        </is>
      </c>
      <c r="B148" s="28" t="inlineStr">
        <is>
          <t>多摩川ホールディングス</t>
        </is>
      </c>
      <c r="C148" s="665">
        <f>_xll.RssMarket("6838","高値")</f>
        <v/>
      </c>
      <c r="D148" s="666">
        <f>C148-E148</f>
        <v/>
      </c>
      <c r="E148" s="37" t="n">
        <v>2141</v>
      </c>
      <c r="F148" s="37" t="n">
        <v>2262</v>
      </c>
      <c r="G148" s="32" t="n">
        <v>2265</v>
      </c>
      <c r="H148" s="32" t="n">
        <v>2490</v>
      </c>
      <c r="I148" s="32" t="n">
        <v>2280</v>
      </c>
      <c r="J148" s="32" t="n">
        <v>1895</v>
      </c>
      <c r="K148" s="32" t="n">
        <v>1856</v>
      </c>
      <c r="L148" s="32" t="n">
        <v>1813</v>
      </c>
      <c r="M148" s="32" t="n">
        <v>1933</v>
      </c>
      <c r="N148" s="32" t="n">
        <v>2285</v>
      </c>
      <c r="O148" s="32" t="n">
        <v>2483</v>
      </c>
      <c r="P148" s="32" t="n">
        <v>2463</v>
      </c>
      <c r="Q148" s="32" t="n">
        <v>2496</v>
      </c>
      <c r="R148" s="32" t="n">
        <v>2348</v>
      </c>
      <c r="S148" s="32" t="n">
        <v>2286</v>
      </c>
      <c r="T148" s="32" t="n">
        <v>2244</v>
      </c>
      <c r="U148" s="32" t="n">
        <v>2440</v>
      </c>
      <c r="V148" s="32" t="n">
        <v>2199</v>
      </c>
      <c r="W148" s="32" t="n">
        <v>2134</v>
      </c>
      <c r="X148" s="32" t="n">
        <v>1971</v>
      </c>
      <c r="Y148" s="32" t="n">
        <v>2044</v>
      </c>
      <c r="Z148" s="32" t="n">
        <v>2183</v>
      </c>
      <c r="AA148" s="32" t="n">
        <v>2192</v>
      </c>
      <c r="AB148" s="32" t="n">
        <v>2098</v>
      </c>
      <c r="AC148" s="32" t="n">
        <v>2044</v>
      </c>
      <c r="AD148" s="32" t="n">
        <v>2091</v>
      </c>
      <c r="AE148" s="32" t="n">
        <v>2150</v>
      </c>
      <c r="AF148" s="32" t="n">
        <v>2326</v>
      </c>
      <c r="AG148" s="32" t="n">
        <v>1958</v>
      </c>
      <c r="AH148" s="32" t="n">
        <v>1783</v>
      </c>
      <c r="AI148" s="32" t="n">
        <v>1686</v>
      </c>
      <c r="AJ148" s="32" t="n">
        <v>1736</v>
      </c>
      <c r="AK148" s="32" t="n">
        <v>1658</v>
      </c>
      <c r="AL148" s="32" t="n">
        <v>1728</v>
      </c>
      <c r="AM148" s="32" t="n">
        <v>1820</v>
      </c>
      <c r="AN148" s="32" t="n">
        <v>1927</v>
      </c>
      <c r="AO148" s="32" t="n">
        <v>1841</v>
      </c>
      <c r="AP148" s="32" t="n">
        <v>1899</v>
      </c>
      <c r="AQ148" s="32" t="n">
        <v>1787</v>
      </c>
      <c r="AR148" s="32" t="n">
        <v>1560</v>
      </c>
      <c r="AS148" s="32" t="n">
        <v>1398</v>
      </c>
      <c r="AT148" s="32" t="n">
        <v>1348</v>
      </c>
      <c r="AU148" s="32" t="n">
        <v>1334</v>
      </c>
      <c r="AV148" s="32" t="n">
        <v>1321</v>
      </c>
      <c r="AW148" s="32" t="n">
        <v>1387</v>
      </c>
      <c r="AX148" s="32" t="n">
        <v>1398</v>
      </c>
      <c r="AY148" s="32" t="n">
        <v>1400</v>
      </c>
      <c r="AZ148" s="32" t="n">
        <v>1400</v>
      </c>
      <c r="BA148" s="32" t="n">
        <v>1450</v>
      </c>
      <c r="BB148" s="32" t="n">
        <v>1403</v>
      </c>
      <c r="BC148" s="32" t="n">
        <v>1322</v>
      </c>
      <c r="BD148" s="32" t="n">
        <v>1268</v>
      </c>
      <c r="BE148" s="32" t="n">
        <v>1271</v>
      </c>
      <c r="BF148" s="32" t="n">
        <v>1284</v>
      </c>
      <c r="BG148" s="32" t="n">
        <v>1355</v>
      </c>
      <c r="BH148" s="32" t="n">
        <v>1489</v>
      </c>
      <c r="BI148" s="32" t="n">
        <v>1410</v>
      </c>
      <c r="BJ148" s="32" t="n">
        <v>1435</v>
      </c>
      <c r="BK148" s="32" t="n">
        <v>1450</v>
      </c>
      <c r="BL148" s="33" t="n">
        <v>1660</v>
      </c>
    </row>
    <row r="149" ht="15.95" customHeight="1" s="574">
      <c r="A149" s="68" t="inlineStr">
        <is>
          <t>7375</t>
        </is>
      </c>
      <c r="B149" s="28" t="inlineStr">
        <is>
          <t>リファインバースグループ</t>
        </is>
      </c>
      <c r="C149" s="665">
        <f>_xll.RssMarket("7375","高値")</f>
        <v/>
      </c>
      <c r="D149" s="666">
        <f>C149-E149</f>
        <v/>
      </c>
      <c r="E149" s="37" t="n">
        <v>1450</v>
      </c>
      <c r="F149" s="37" t="n">
        <v>1385</v>
      </c>
      <c r="G149" s="32" t="n">
        <v>1388</v>
      </c>
      <c r="H149" s="32" t="n">
        <v>1369</v>
      </c>
      <c r="I149" s="32" t="n">
        <v>1346</v>
      </c>
      <c r="J149" s="32" t="n">
        <v>1288</v>
      </c>
      <c r="K149" s="32" t="n">
        <v>1314</v>
      </c>
      <c r="L149" s="32" t="n">
        <v>1448</v>
      </c>
      <c r="M149" s="32" t="n">
        <v>1391</v>
      </c>
      <c r="N149" s="32" t="n">
        <v>1433</v>
      </c>
      <c r="O149" s="32" t="n">
        <v>1442</v>
      </c>
      <c r="P149" s="32" t="n">
        <v>1479</v>
      </c>
      <c r="Q149" s="32" t="n">
        <v>1460</v>
      </c>
      <c r="R149" s="32" t="n">
        <v>1517</v>
      </c>
      <c r="S149" s="32" t="n">
        <v>1562</v>
      </c>
      <c r="T149" s="32" t="n">
        <v>1665</v>
      </c>
      <c r="U149" s="32" t="n">
        <v>1684</v>
      </c>
      <c r="V149" s="32" t="n">
        <v>2048</v>
      </c>
      <c r="W149" s="32" t="n">
        <v>2095</v>
      </c>
      <c r="X149" s="32" t="n">
        <v>1860</v>
      </c>
      <c r="Y149" s="32" t="n">
        <v>1950</v>
      </c>
      <c r="Z149" s="32" t="n">
        <v>2130</v>
      </c>
      <c r="AA149" s="32" t="n">
        <v>1940</v>
      </c>
      <c r="AB149" s="32" t="n">
        <v>1590</v>
      </c>
      <c r="AC149" s="32" t="n">
        <v>1617</v>
      </c>
      <c r="AD149" s="32" t="n">
        <v>1792</v>
      </c>
      <c r="AE149" s="32" t="n">
        <v>1730</v>
      </c>
      <c r="AF149" s="32" t="n">
        <v>1725</v>
      </c>
      <c r="AG149" s="32" t="n">
        <v>1843</v>
      </c>
      <c r="AH149" s="32" t="n">
        <v>1818</v>
      </c>
      <c r="AI149" s="32" t="n">
        <v>2008</v>
      </c>
      <c r="AJ149" s="32" t="n">
        <v>2369</v>
      </c>
      <c r="AK149" s="32" t="n">
        <v>2235</v>
      </c>
      <c r="AL149" s="32" t="n">
        <v>2034</v>
      </c>
      <c r="AM149" s="32" t="n">
        <v>2254</v>
      </c>
      <c r="AN149" s="32" t="n">
        <v>2399</v>
      </c>
      <c r="AO149" s="32" t="n">
        <v>2660</v>
      </c>
      <c r="AP149" s="32" t="n">
        <v>2262</v>
      </c>
      <c r="AQ149" s="32" t="n">
        <v>2067</v>
      </c>
      <c r="AR149" s="32" t="n">
        <v>2190</v>
      </c>
      <c r="AS149" s="32" t="n">
        <v>2400</v>
      </c>
      <c r="AT149" s="32" t="n">
        <v>2127</v>
      </c>
      <c r="AU149" s="32" t="n">
        <v>1890</v>
      </c>
      <c r="AV149" s="32" t="n">
        <v>1644</v>
      </c>
      <c r="AW149" s="32" t="n">
        <v>1504</v>
      </c>
      <c r="AX149" s="32" t="n">
        <v>1750</v>
      </c>
      <c r="AY149" s="32" t="n">
        <v>1663</v>
      </c>
      <c r="AZ149" s="32" t="n">
        <v>2199</v>
      </c>
      <c r="BA149" s="32" t="n">
        <v>1930</v>
      </c>
      <c r="BB149" s="32" t="n">
        <v>1881</v>
      </c>
      <c r="BC149" s="32" t="n">
        <v>1618</v>
      </c>
      <c r="BD149" s="32" t="n">
        <v>1448</v>
      </c>
      <c r="BE149" s="32" t="n">
        <v>1459</v>
      </c>
      <c r="BF149" s="32" t="n">
        <v>1496</v>
      </c>
      <c r="BG149" s="32" t="n">
        <v>1568</v>
      </c>
      <c r="BH149" s="32" t="n">
        <v>1387</v>
      </c>
      <c r="BI149" s="32" t="n">
        <v>1117</v>
      </c>
      <c r="BJ149" s="32" t="n">
        <v>1178</v>
      </c>
      <c r="BK149" s="32" t="n">
        <v>1270</v>
      </c>
      <c r="BL149" s="33" t="n">
        <v>1298</v>
      </c>
    </row>
    <row r="150" ht="15.95" customHeight="1" s="574">
      <c r="A150" s="68" t="inlineStr">
        <is>
          <t>4307</t>
        </is>
      </c>
      <c r="B150" s="28" t="inlineStr">
        <is>
          <t>野村総合研究所</t>
        </is>
      </c>
      <c r="C150" s="665">
        <f>_xll.RssMarket("4307","高値")</f>
        <v/>
      </c>
      <c r="D150" s="666">
        <f>C150-E150</f>
        <v/>
      </c>
      <c r="E150" s="37" t="n">
        <v>4332</v>
      </c>
      <c r="F150" s="37" t="n">
        <v>4534</v>
      </c>
      <c r="G150" s="32" t="n">
        <v>4687</v>
      </c>
      <c r="H150" s="32" t="n">
        <v>4649</v>
      </c>
      <c r="I150" s="32" t="n">
        <v>4517</v>
      </c>
      <c r="J150" s="32" t="n">
        <v>4712</v>
      </c>
      <c r="K150" s="32" t="n">
        <v>4610</v>
      </c>
      <c r="L150" s="32" t="n">
        <v>4694</v>
      </c>
      <c r="M150" s="32" t="n">
        <v>4685</v>
      </c>
      <c r="N150" s="32" t="n">
        <v>4912</v>
      </c>
      <c r="O150" s="32" t="n">
        <v>4930</v>
      </c>
      <c r="P150" s="32" t="n">
        <v>4800</v>
      </c>
      <c r="Q150" s="32" t="n">
        <v>4971</v>
      </c>
      <c r="R150" s="32" t="n">
        <v>5329</v>
      </c>
      <c r="S150" s="32" t="n">
        <v>5117</v>
      </c>
      <c r="T150" s="32" t="n">
        <v>4859</v>
      </c>
      <c r="U150" s="32" t="n">
        <v>4755</v>
      </c>
      <c r="V150" s="32" t="n">
        <v>4695</v>
      </c>
      <c r="W150" s="32" t="n">
        <v>4704</v>
      </c>
      <c r="X150" s="32" t="n">
        <v>4758</v>
      </c>
      <c r="Y150" s="32" t="n">
        <v>4849</v>
      </c>
      <c r="Z150" s="32" t="n">
        <v>4848</v>
      </c>
      <c r="AA150" s="32" t="n">
        <v>4595</v>
      </c>
      <c r="AB150" s="32" t="n">
        <v>4362</v>
      </c>
      <c r="AC150" s="32" t="n">
        <v>4275</v>
      </c>
      <c r="AD150" s="32" t="n">
        <v>4367</v>
      </c>
      <c r="AE150" s="32" t="n">
        <v>4248</v>
      </c>
      <c r="AF150" s="32" t="n">
        <v>4402</v>
      </c>
      <c r="AG150" s="32" t="n">
        <v>4469</v>
      </c>
      <c r="AH150" s="32" t="n">
        <v>4273</v>
      </c>
      <c r="AI150" s="32" t="n">
        <v>4216</v>
      </c>
      <c r="AJ150" s="32" t="n">
        <v>4300</v>
      </c>
      <c r="AK150" s="32" t="n">
        <v>4592</v>
      </c>
      <c r="AL150" s="32" t="n">
        <v>4874</v>
      </c>
      <c r="AM150" s="32" t="n">
        <v>5224</v>
      </c>
      <c r="AN150" s="32" t="n">
        <v>5148</v>
      </c>
      <c r="AO150" s="32" t="n">
        <v>5171</v>
      </c>
      <c r="AP150" s="32" t="n">
        <v>5078</v>
      </c>
      <c r="AQ150" s="32" t="n">
        <v>5008</v>
      </c>
      <c r="AR150" s="32" t="n">
        <v>5018</v>
      </c>
      <c r="AS150" s="32" t="n">
        <v>5014</v>
      </c>
      <c r="AT150" s="32" t="n">
        <v>4908</v>
      </c>
      <c r="AU150" s="32" t="n">
        <v>4706</v>
      </c>
      <c r="AV150" s="32" t="n">
        <v>4559</v>
      </c>
      <c r="AW150" s="32" t="n">
        <v>4469</v>
      </c>
      <c r="AX150" s="32" t="n">
        <v>4584</v>
      </c>
      <c r="AY150" s="32" t="n">
        <v>4560</v>
      </c>
      <c r="AZ150" s="32" t="n">
        <v>4534</v>
      </c>
      <c r="BA150" s="32" t="n">
        <v>4496</v>
      </c>
      <c r="BB150" s="32" t="n">
        <v>4474</v>
      </c>
      <c r="BC150" s="32" t="n">
        <v>4611</v>
      </c>
      <c r="BD150" s="32" t="n">
        <v>4635</v>
      </c>
      <c r="BE150" s="32" t="n">
        <v>4393</v>
      </c>
      <c r="BF150" s="32" t="n">
        <v>4253</v>
      </c>
      <c r="BG150" s="32" t="n">
        <v>4307</v>
      </c>
      <c r="BH150" s="32" t="n">
        <v>4260</v>
      </c>
      <c r="BI150" s="32" t="n">
        <v>4253</v>
      </c>
      <c r="BJ150" s="32" t="n">
        <v>4341</v>
      </c>
      <c r="BK150" s="32" t="n">
        <v>4272</v>
      </c>
      <c r="BL150" s="33" t="n">
        <v>4389</v>
      </c>
    </row>
    <row r="151" ht="15.95" customHeight="1" s="574">
      <c r="A151" s="68" t="inlineStr">
        <is>
          <t>6516</t>
        </is>
      </c>
      <c r="B151" s="28" t="inlineStr">
        <is>
          <t>山洋電気</t>
        </is>
      </c>
      <c r="C151" s="665">
        <f>_xll.RssMarket("6516","高値")</f>
        <v/>
      </c>
      <c r="D151" s="666">
        <f>C151-E151</f>
        <v/>
      </c>
      <c r="E151" s="37" t="n">
        <v>7100</v>
      </c>
      <c r="F151" s="37" t="n">
        <v>6910</v>
      </c>
      <c r="G151" s="32" t="n">
        <v>6900</v>
      </c>
      <c r="H151" s="32" t="n">
        <v>6810</v>
      </c>
      <c r="I151" s="32" t="n">
        <v>6720</v>
      </c>
      <c r="J151" s="32" t="n">
        <v>6580</v>
      </c>
      <c r="K151" s="32" t="n">
        <v>6450</v>
      </c>
      <c r="L151" s="32" t="n">
        <v>6300</v>
      </c>
      <c r="M151" s="32" t="n">
        <v>6460</v>
      </c>
      <c r="N151" s="32" t="n">
        <v>6480</v>
      </c>
      <c r="O151" s="32" t="n">
        <v>6770</v>
      </c>
      <c r="P151" s="32" t="n">
        <v>6830</v>
      </c>
      <c r="Q151" s="32" t="n">
        <v>6770</v>
      </c>
      <c r="R151" s="32" t="n">
        <v>6690</v>
      </c>
      <c r="S151" s="32" t="n">
        <v>6920</v>
      </c>
      <c r="T151" s="32" t="n">
        <v>6820</v>
      </c>
      <c r="U151" s="32" t="n">
        <v>7080</v>
      </c>
      <c r="V151" s="32" t="n">
        <v>7260</v>
      </c>
      <c r="W151" s="32" t="n">
        <v>7290</v>
      </c>
      <c r="X151" s="32" t="n">
        <v>7270</v>
      </c>
      <c r="Y151" s="32" t="n">
        <v>6990</v>
      </c>
      <c r="Z151" s="32" t="n">
        <v>7330</v>
      </c>
      <c r="AA151" s="32" t="n">
        <v>7480</v>
      </c>
      <c r="AB151" s="32" t="n">
        <v>7870</v>
      </c>
      <c r="AC151" s="32" t="n">
        <v>7810</v>
      </c>
      <c r="AD151" s="32" t="n">
        <v>7640</v>
      </c>
      <c r="AE151" s="32" t="n">
        <v>7880</v>
      </c>
      <c r="AF151" s="32" t="n">
        <v>7800</v>
      </c>
      <c r="AG151" s="32" t="n">
        <v>7500</v>
      </c>
      <c r="AH151" s="32" t="n">
        <v>7380</v>
      </c>
      <c r="AI151" s="32" t="n">
        <v>6880</v>
      </c>
      <c r="AJ151" s="32" t="n">
        <v>7200</v>
      </c>
      <c r="AK151" s="32" t="n">
        <v>7300</v>
      </c>
      <c r="AL151" s="32" t="n">
        <v>6640</v>
      </c>
      <c r="AM151" s="32" t="n">
        <v>5750</v>
      </c>
      <c r="AN151" s="32" t="n">
        <v>5310</v>
      </c>
      <c r="AO151" s="32" t="n">
        <v>5430</v>
      </c>
      <c r="AP151" s="32" t="n">
        <v>5280</v>
      </c>
      <c r="AQ151" s="32" t="n">
        <v>5200</v>
      </c>
      <c r="AR151" s="32" t="n">
        <v>5220</v>
      </c>
      <c r="AS151" s="32" t="n">
        <v>5300</v>
      </c>
      <c r="AT151" s="32" t="n">
        <v>5430</v>
      </c>
      <c r="AU151" s="32" t="n">
        <v>5360</v>
      </c>
      <c r="AV151" s="32" t="n">
        <v>5100</v>
      </c>
      <c r="AW151" s="32" t="n">
        <v>5080</v>
      </c>
      <c r="AX151" s="32" t="n">
        <v>4910</v>
      </c>
      <c r="AY151" s="32" t="n">
        <v>4855</v>
      </c>
      <c r="AZ151" s="32" t="n">
        <v>4630</v>
      </c>
      <c r="BA151" s="32" t="n">
        <v>4635</v>
      </c>
      <c r="BB151" s="32" t="n">
        <v>4575</v>
      </c>
      <c r="BC151" s="32" t="n">
        <v>4730</v>
      </c>
      <c r="BD151" s="32" t="n">
        <v>4595</v>
      </c>
      <c r="BE151" s="32" t="n">
        <v>4435</v>
      </c>
      <c r="BF151" s="32" t="n">
        <v>4380</v>
      </c>
      <c r="BG151" s="32" t="n">
        <v>4520</v>
      </c>
      <c r="BH151" s="32" t="n">
        <v>4590</v>
      </c>
      <c r="BI151" s="32" t="n">
        <v>4600</v>
      </c>
      <c r="BJ151" s="32" t="n">
        <v>4470</v>
      </c>
      <c r="BK151" s="32" t="n">
        <v>4460</v>
      </c>
      <c r="BL151" s="33" t="n">
        <v>4725</v>
      </c>
    </row>
    <row r="152" ht="15.95" customHeight="1" s="574">
      <c r="A152" s="68" t="inlineStr">
        <is>
          <t>7381</t>
        </is>
      </c>
      <c r="B152" s="28" t="inlineStr">
        <is>
          <t>ＣＣＩグループ</t>
        </is>
      </c>
      <c r="C152" s="665">
        <f>_xll.RssMarket("7381","高値")</f>
        <v/>
      </c>
      <c r="D152" s="666">
        <f>C152-E152</f>
        <v/>
      </c>
      <c r="E152" s="37" t="n">
        <v>976</v>
      </c>
      <c r="F152" s="37" t="n">
        <v>987</v>
      </c>
      <c r="G152" s="32" t="n">
        <v>998</v>
      </c>
      <c r="H152" s="32" t="n">
        <v>1019</v>
      </c>
      <c r="I152" s="32" t="n">
        <v>1006</v>
      </c>
      <c r="J152" s="32" t="n">
        <v>1023</v>
      </c>
      <c r="K152" s="32" t="n">
        <v>1004</v>
      </c>
      <c r="L152" s="32" t="n">
        <v>992</v>
      </c>
      <c r="M152" s="32" t="n">
        <v>1010</v>
      </c>
      <c r="N152" s="32" t="n">
        <v>1029</v>
      </c>
      <c r="O152" s="32" t="n">
        <v>1052</v>
      </c>
      <c r="P152" s="32" t="n">
        <v>1039</v>
      </c>
      <c r="Q152" s="32" t="n">
        <v>1035</v>
      </c>
      <c r="R152" s="32" t="n">
        <v>1018</v>
      </c>
      <c r="S152" s="32" t="n">
        <v>1060</v>
      </c>
      <c r="T152" s="32" t="n">
        <v>1052</v>
      </c>
      <c r="U152" s="32" t="n">
        <v>1067</v>
      </c>
      <c r="V152" s="32" t="n">
        <v>1063</v>
      </c>
      <c r="W152" s="32" t="n">
        <v>1089</v>
      </c>
      <c r="X152" s="32" t="n">
        <v>1094</v>
      </c>
      <c r="Y152" s="32" t="n">
        <v>1038</v>
      </c>
      <c r="Z152" s="32" t="n">
        <v>1054</v>
      </c>
      <c r="AA152" s="32" t="n">
        <v>1052</v>
      </c>
      <c r="AB152" s="32" t="n">
        <v>1071</v>
      </c>
      <c r="AC152" s="32" t="n">
        <v>1050</v>
      </c>
      <c r="AD152" s="32" t="n">
        <v>1034</v>
      </c>
      <c r="AE152" s="32" t="n">
        <v>1023</v>
      </c>
      <c r="AF152" s="32" t="n">
        <v>1032</v>
      </c>
      <c r="AG152" s="32" t="n">
        <v>1019</v>
      </c>
      <c r="AH152" s="32" t="n">
        <v>1038</v>
      </c>
      <c r="AI152" s="32" t="n">
        <v>973</v>
      </c>
      <c r="AJ152" s="32" t="n">
        <v>949</v>
      </c>
      <c r="AK152" s="32" t="n">
        <v>984</v>
      </c>
      <c r="AL152" s="32" t="n">
        <v>922</v>
      </c>
      <c r="AM152" s="32" t="n">
        <v>927</v>
      </c>
      <c r="AN152" s="32" t="n">
        <v>926</v>
      </c>
      <c r="AO152" s="32" t="n">
        <v>971</v>
      </c>
      <c r="AP152" s="32" t="n">
        <v>1002</v>
      </c>
      <c r="AQ152" s="32" t="n">
        <v>1022</v>
      </c>
      <c r="AR152" s="32" t="n">
        <v>1038</v>
      </c>
      <c r="AS152" s="32" t="n">
        <v>1053</v>
      </c>
      <c r="AT152" s="32" t="n">
        <v>1049</v>
      </c>
      <c r="AU152" s="32" t="n">
        <v>1029</v>
      </c>
      <c r="AV152" s="32" t="n">
        <v>1032</v>
      </c>
      <c r="AW152" s="32" t="n">
        <v>1050</v>
      </c>
      <c r="AX152" s="32" t="n">
        <v>1052</v>
      </c>
      <c r="AY152" s="32" t="n">
        <v>1055</v>
      </c>
      <c r="AZ152" s="32" t="n">
        <v>1027</v>
      </c>
      <c r="BA152" s="32" t="n">
        <v>1007</v>
      </c>
      <c r="BB152" s="32" t="n">
        <v>998</v>
      </c>
      <c r="BC152" s="32" t="n">
        <v>1018</v>
      </c>
      <c r="BD152" s="32" t="n">
        <v>990</v>
      </c>
      <c r="BE152" s="32" t="n">
        <v>959</v>
      </c>
      <c r="BF152" s="32" t="n">
        <v>952</v>
      </c>
      <c r="BG152" s="32" t="n">
        <v>996</v>
      </c>
      <c r="BH152" s="32" t="n">
        <v>980</v>
      </c>
      <c r="BI152" s="32" t="n">
        <v>989</v>
      </c>
      <c r="BJ152" s="32" t="n">
        <v>957</v>
      </c>
      <c r="BK152" s="32" t="n">
        <v>934</v>
      </c>
      <c r="BL152" s="33" t="n">
        <v>985</v>
      </c>
    </row>
    <row r="153" ht="15.95" customHeight="1" s="574">
      <c r="A153" s="68" t="inlineStr">
        <is>
          <t>4417</t>
        </is>
      </c>
      <c r="B153" s="28" t="inlineStr">
        <is>
          <t>グローバルセキュ</t>
        </is>
      </c>
      <c r="C153" s="665">
        <f>_xll.RssMarket("4417","高値")</f>
        <v/>
      </c>
      <c r="D153" s="666">
        <f>C153-E153</f>
        <v/>
      </c>
      <c r="E153" s="37" t="n">
        <v>3305</v>
      </c>
      <c r="F153" s="37" t="n">
        <v>3335</v>
      </c>
      <c r="G153" s="32" t="n">
        <v>3350</v>
      </c>
      <c r="H153" s="32" t="n">
        <v>3260</v>
      </c>
      <c r="I153" s="32" t="n">
        <v>3140</v>
      </c>
      <c r="J153" s="32" t="n">
        <v>3135</v>
      </c>
      <c r="K153" s="32" t="n">
        <v>3100</v>
      </c>
      <c r="L153" s="32" t="n">
        <v>3090</v>
      </c>
      <c r="M153" s="32" t="n">
        <v>3220</v>
      </c>
      <c r="N153" s="32" t="n">
        <v>3170</v>
      </c>
      <c r="O153" s="32" t="n">
        <v>3205</v>
      </c>
      <c r="P153" s="32" t="n">
        <v>3095</v>
      </c>
      <c r="Q153" s="32" t="n">
        <v>3420</v>
      </c>
      <c r="R153" s="32" t="n">
        <v>3380</v>
      </c>
      <c r="S153" s="32" t="n">
        <v>3575</v>
      </c>
      <c r="T153" s="32" t="n">
        <v>3285</v>
      </c>
      <c r="U153" s="32" t="n">
        <v>3385</v>
      </c>
      <c r="V153" s="32" t="n">
        <v>3270</v>
      </c>
      <c r="W153" s="32" t="n">
        <v>3140</v>
      </c>
      <c r="X153" s="32" t="n">
        <v>2995</v>
      </c>
      <c r="Y153" s="32" t="n">
        <v>2914</v>
      </c>
      <c r="Z153" s="32" t="n">
        <v>2809</v>
      </c>
      <c r="AA153" s="32" t="n">
        <v>2945</v>
      </c>
      <c r="AB153" s="32" t="n">
        <v>3040</v>
      </c>
      <c r="AC153" s="32" t="n">
        <v>3095</v>
      </c>
      <c r="AD153" s="32" t="n">
        <v>2920</v>
      </c>
      <c r="AE153" s="32" t="n">
        <v>2936</v>
      </c>
      <c r="AF153" s="32" t="n">
        <v>2870</v>
      </c>
      <c r="AG153" s="32" t="n">
        <v>2890</v>
      </c>
      <c r="AH153" s="32" t="n">
        <v>2527</v>
      </c>
      <c r="AI153" s="32" t="n">
        <v>2511</v>
      </c>
      <c r="AJ153" s="32" t="n">
        <v>2529</v>
      </c>
      <c r="AK153" s="32" t="n">
        <v>2513</v>
      </c>
      <c r="AL153" s="32" t="n">
        <v>2501</v>
      </c>
      <c r="AM153" s="32" t="n">
        <v>2528</v>
      </c>
      <c r="AN153" s="32" t="n">
        <v>2471</v>
      </c>
      <c r="AO153" s="32" t="n">
        <v>2528</v>
      </c>
      <c r="AP153" s="32" t="n">
        <v>2525</v>
      </c>
      <c r="AQ153" s="32" t="n">
        <v>2525</v>
      </c>
      <c r="AR153" s="32" t="n">
        <v>2377</v>
      </c>
      <c r="AS153" s="32" t="n">
        <v>2340</v>
      </c>
      <c r="AT153" s="32" t="n">
        <v>2395</v>
      </c>
      <c r="AU153" s="32" t="n">
        <v>2524</v>
      </c>
      <c r="AV153" s="32" t="n">
        <v>2589</v>
      </c>
      <c r="AW153" s="32" t="n">
        <v>2620</v>
      </c>
      <c r="AX153" s="32" t="n">
        <v>2578</v>
      </c>
      <c r="AY153" s="32" t="n">
        <v>2547</v>
      </c>
      <c r="AZ153" s="32" t="n">
        <v>2530</v>
      </c>
      <c r="BA153" s="32" t="n">
        <v>2575</v>
      </c>
      <c r="BB153" s="32" t="n">
        <v>2554</v>
      </c>
      <c r="BC153" s="32" t="n">
        <v>2365</v>
      </c>
      <c r="BD153" s="32" t="n">
        <v>2267</v>
      </c>
      <c r="BE153" s="32" t="n">
        <v>2386</v>
      </c>
      <c r="BF153" s="32" t="n">
        <v>2451</v>
      </c>
      <c r="BG153" s="32" t="n">
        <v>2446</v>
      </c>
      <c r="BH153" s="32" t="n">
        <v>2410</v>
      </c>
      <c r="BI153" s="32" t="n">
        <v>2373</v>
      </c>
      <c r="BJ153" s="32" t="n">
        <v>2500</v>
      </c>
      <c r="BK153" s="32" t="n">
        <v>2505</v>
      </c>
      <c r="BL153" s="33" t="n">
        <v>2440</v>
      </c>
    </row>
    <row r="154" ht="15.95" customHeight="1" s="574">
      <c r="A154" s="68" t="inlineStr">
        <is>
          <t>6981</t>
        </is>
      </c>
      <c r="B154" s="28" t="inlineStr">
        <is>
          <t>村田製作所</t>
        </is>
      </c>
      <c r="C154" s="665">
        <f>_xll.RssMarket("6981","高値")</f>
        <v/>
      </c>
      <c r="D154" s="666">
        <f>C154-E154</f>
        <v/>
      </c>
      <c r="E154" s="37" t="n">
        <v>12895</v>
      </c>
      <c r="F154" s="37" t="n">
        <v>12410</v>
      </c>
      <c r="G154" s="32" t="n">
        <v>12850</v>
      </c>
      <c r="H154" s="32" t="n">
        <v>11095</v>
      </c>
      <c r="I154" s="32" t="n">
        <v>10995</v>
      </c>
      <c r="J154" s="32" t="n">
        <v>10060</v>
      </c>
      <c r="K154" s="32" t="n">
        <v>9665</v>
      </c>
      <c r="L154" s="32" t="n">
        <v>9018</v>
      </c>
      <c r="M154" s="32" t="n">
        <v>9580</v>
      </c>
      <c r="N154" s="32" t="n">
        <v>9285</v>
      </c>
      <c r="O154" s="32" t="n">
        <v>10035</v>
      </c>
      <c r="P154" s="32" t="n">
        <v>10380</v>
      </c>
      <c r="Q154" s="32" t="n">
        <v>10940</v>
      </c>
      <c r="R154" s="32" t="n">
        <v>11040</v>
      </c>
      <c r="S154" s="32" t="n">
        <v>10040</v>
      </c>
      <c r="T154" s="32" t="n">
        <v>8899</v>
      </c>
      <c r="U154" s="32" t="n">
        <v>8383</v>
      </c>
      <c r="V154" s="32" t="n">
        <v>8413</v>
      </c>
      <c r="W154" s="32" t="n">
        <v>7226</v>
      </c>
      <c r="X154" s="32" t="n">
        <v>6788</v>
      </c>
      <c r="Y154" s="32" t="n">
        <v>6200</v>
      </c>
      <c r="Z154" s="32" t="n">
        <v>6323</v>
      </c>
      <c r="AA154" s="32" t="n">
        <v>6292</v>
      </c>
      <c r="AB154" s="32" t="n">
        <v>6541</v>
      </c>
      <c r="AC154" s="32" t="n">
        <v>6508</v>
      </c>
      <c r="AD154" s="32" t="n">
        <v>6118</v>
      </c>
      <c r="AE154" s="32" t="n">
        <v>6311</v>
      </c>
      <c r="AF154" s="32" t="n">
        <v>6018</v>
      </c>
      <c r="AG154" s="32" t="n">
        <v>5910</v>
      </c>
      <c r="AH154" s="32" t="n">
        <v>5716</v>
      </c>
      <c r="AI154" s="32" t="n">
        <v>5253</v>
      </c>
      <c r="AJ154" s="32" t="n">
        <v>5265</v>
      </c>
      <c r="AK154" s="32" t="n">
        <v>4995</v>
      </c>
      <c r="AL154" s="32" t="n">
        <v>5013</v>
      </c>
      <c r="AM154" s="32" t="n">
        <v>5016</v>
      </c>
      <c r="AN154" s="32" t="n">
        <v>4867</v>
      </c>
      <c r="AO154" s="32" t="n">
        <v>4977</v>
      </c>
      <c r="AP154" s="32" t="n">
        <v>4852</v>
      </c>
      <c r="AQ154" s="32" t="n">
        <v>4813</v>
      </c>
      <c r="AR154" s="32" t="n">
        <v>4796</v>
      </c>
      <c r="AS154" s="32" t="n">
        <v>4878</v>
      </c>
      <c r="AT154" s="32" t="n">
        <v>4525</v>
      </c>
      <c r="AU154" s="32" t="n">
        <v>4353</v>
      </c>
      <c r="AV154" s="32" t="n">
        <v>4196</v>
      </c>
      <c r="AW154" s="32" t="n">
        <v>4165</v>
      </c>
      <c r="AX154" s="32" t="n">
        <v>3990</v>
      </c>
      <c r="AY154" s="32" t="n">
        <v>4037</v>
      </c>
      <c r="AZ154" s="32" t="n">
        <v>3869</v>
      </c>
      <c r="BA154" s="32" t="n">
        <v>3913</v>
      </c>
      <c r="BB154" s="32" t="n">
        <v>3789</v>
      </c>
      <c r="BC154" s="32" t="n">
        <v>3714</v>
      </c>
      <c r="BD154" s="32" t="n">
        <v>3674</v>
      </c>
      <c r="BE154" s="32" t="n">
        <v>3505</v>
      </c>
      <c r="BF154" s="32" t="n">
        <v>3534</v>
      </c>
      <c r="BG154" s="32" t="n">
        <v>3754</v>
      </c>
      <c r="BH154" s="32" t="n">
        <v>3782</v>
      </c>
      <c r="BI154" s="32" t="n">
        <v>3679</v>
      </c>
      <c r="BJ154" s="32" t="n">
        <v>3639</v>
      </c>
      <c r="BK154" s="32" t="n">
        <v>3535</v>
      </c>
      <c r="BL154" s="33" t="n">
        <v>3782</v>
      </c>
    </row>
    <row r="155" ht="15.95" customHeight="1" s="574">
      <c r="A155" s="68" t="inlineStr">
        <is>
          <t>6754</t>
        </is>
      </c>
      <c r="B155" s="28" t="inlineStr">
        <is>
          <t>アンリツ</t>
        </is>
      </c>
      <c r="C155" s="665">
        <f>_xll.RssMarket("6754","高値")</f>
        <v/>
      </c>
      <c r="D155" s="666">
        <f>C155-E155</f>
        <v/>
      </c>
      <c r="E155" s="37" t="n">
        <v>4396</v>
      </c>
      <c r="F155" s="37" t="n">
        <v>4392</v>
      </c>
      <c r="G155" s="32" t="n">
        <v>4186</v>
      </c>
      <c r="H155" s="32" t="n">
        <v>4123</v>
      </c>
      <c r="I155" s="32" t="n">
        <v>4156</v>
      </c>
      <c r="J155" s="32" t="n">
        <v>4073</v>
      </c>
      <c r="K155" s="32" t="n">
        <v>4030</v>
      </c>
      <c r="L155" s="32" t="n">
        <v>3879</v>
      </c>
      <c r="M155" s="32" t="n">
        <v>4151</v>
      </c>
      <c r="N155" s="32" t="n">
        <v>4350</v>
      </c>
      <c r="O155" s="32" t="n">
        <v>4730</v>
      </c>
      <c r="P155" s="32" t="n">
        <v>4732</v>
      </c>
      <c r="Q155" s="32" t="n">
        <v>4855</v>
      </c>
      <c r="R155" s="32" t="n">
        <v>4710</v>
      </c>
      <c r="S155" s="32" t="n">
        <v>4658</v>
      </c>
      <c r="T155" s="32" t="n">
        <v>4606</v>
      </c>
      <c r="U155" s="32" t="n">
        <v>4728</v>
      </c>
      <c r="V155" s="32" t="n">
        <v>4848</v>
      </c>
      <c r="W155" s="32" t="n">
        <v>4630</v>
      </c>
      <c r="X155" s="32" t="n">
        <v>4545</v>
      </c>
      <c r="Y155" s="32" t="n">
        <v>4425</v>
      </c>
      <c r="Z155" s="32" t="n">
        <v>4233</v>
      </c>
      <c r="AA155" s="32" t="n">
        <v>4272</v>
      </c>
      <c r="AB155" s="32" t="n">
        <v>4386</v>
      </c>
      <c r="AC155" s="32" t="n">
        <v>4313</v>
      </c>
      <c r="AD155" s="32" t="n">
        <v>4209</v>
      </c>
      <c r="AE155" s="32" t="n">
        <v>4242</v>
      </c>
      <c r="AF155" s="32" t="n">
        <v>4328</v>
      </c>
      <c r="AG155" s="32" t="n">
        <v>4263</v>
      </c>
      <c r="AH155" s="32" t="n">
        <v>4137</v>
      </c>
      <c r="AI155" s="32" t="n">
        <v>3968</v>
      </c>
      <c r="AJ155" s="32" t="n">
        <v>4229</v>
      </c>
      <c r="AK155" s="32" t="n">
        <v>4235</v>
      </c>
      <c r="AL155" s="32" t="n">
        <v>3806</v>
      </c>
      <c r="AM155" s="32" t="n">
        <v>3634</v>
      </c>
      <c r="AN155" s="32" t="n">
        <v>3649</v>
      </c>
      <c r="AO155" s="32" t="n">
        <v>3646</v>
      </c>
      <c r="AP155" s="32" t="n">
        <v>3679</v>
      </c>
      <c r="AQ155" s="32" t="n">
        <v>3514</v>
      </c>
      <c r="AR155" s="32" t="n">
        <v>3465</v>
      </c>
      <c r="AS155" s="32" t="n">
        <v>3453</v>
      </c>
      <c r="AT155" s="32" t="n">
        <v>3530</v>
      </c>
      <c r="AU155" s="32" t="n">
        <v>3454</v>
      </c>
      <c r="AV155" s="32" t="n">
        <v>3478</v>
      </c>
      <c r="AW155" s="32" t="n">
        <v>3422</v>
      </c>
      <c r="AX155" s="32" t="n">
        <v>3305</v>
      </c>
      <c r="AY155" s="32" t="n">
        <v>3299</v>
      </c>
      <c r="AZ155" s="32" t="n">
        <v>3059</v>
      </c>
      <c r="BA155" s="32" t="n">
        <v>3076</v>
      </c>
      <c r="BB155" s="32" t="n">
        <v>3002</v>
      </c>
      <c r="BC155" s="32" t="n">
        <v>3010</v>
      </c>
      <c r="BD155" s="32" t="n">
        <v>2988.5</v>
      </c>
      <c r="BE155" s="32" t="n">
        <v>2815.5</v>
      </c>
      <c r="BF155" s="32" t="n">
        <v>2829</v>
      </c>
      <c r="BG155" s="32" t="n">
        <v>2847</v>
      </c>
      <c r="BH155" s="32" t="n">
        <v>3009</v>
      </c>
      <c r="BI155" s="32" t="n">
        <v>2988</v>
      </c>
      <c r="BJ155" s="32" t="n">
        <v>2869</v>
      </c>
      <c r="BK155" s="32" t="n">
        <v>2696</v>
      </c>
      <c r="BL155" s="33" t="n">
        <v>2881</v>
      </c>
    </row>
    <row r="156" ht="15.95" customHeight="1" s="574">
      <c r="A156" s="68" t="inlineStr">
        <is>
          <t>4088</t>
        </is>
      </c>
      <c r="B156" s="28" t="inlineStr">
        <is>
          <t>エア・ウォーター</t>
        </is>
      </c>
      <c r="C156" s="665">
        <f>_xll.RssMarket("4088","高値")</f>
        <v/>
      </c>
      <c r="D156" s="666">
        <f>C156-E156</f>
        <v/>
      </c>
      <c r="E156" s="37" t="n">
        <v>2510</v>
      </c>
      <c r="F156" s="37" t="n">
        <v>2525</v>
      </c>
      <c r="G156" s="32" t="n">
        <v>2520</v>
      </c>
      <c r="H156" s="32" t="n">
        <v>2530</v>
      </c>
      <c r="I156" s="32" t="n">
        <v>2580</v>
      </c>
      <c r="J156" s="32" t="n">
        <v>2568</v>
      </c>
      <c r="K156" s="32" t="n">
        <v>2480</v>
      </c>
      <c r="L156" s="32" t="n">
        <v>2468</v>
      </c>
      <c r="M156" s="32" t="n">
        <v>2487</v>
      </c>
      <c r="N156" s="32" t="n">
        <v>2470</v>
      </c>
      <c r="O156" s="32" t="n">
        <v>2481</v>
      </c>
      <c r="P156" s="32" t="n">
        <v>2536</v>
      </c>
      <c r="Q156" s="32" t="n">
        <v>2508</v>
      </c>
      <c r="R156" s="32" t="n">
        <v>2495</v>
      </c>
      <c r="S156" s="32" t="n">
        <v>2627</v>
      </c>
      <c r="T156" s="32" t="n">
        <v>2630</v>
      </c>
      <c r="U156" s="32" t="n">
        <v>2674</v>
      </c>
      <c r="V156" s="32" t="n">
        <v>2663</v>
      </c>
      <c r="W156" s="32" t="n">
        <v>2648</v>
      </c>
      <c r="X156" s="32" t="n">
        <v>2589</v>
      </c>
      <c r="Y156" s="32" t="n">
        <v>2678</v>
      </c>
      <c r="Z156" s="32" t="n">
        <v>2554</v>
      </c>
      <c r="AA156" s="32" t="n">
        <v>2331</v>
      </c>
      <c r="AB156" s="32" t="n">
        <v>2310</v>
      </c>
      <c r="AC156" s="32" t="n">
        <v>2192</v>
      </c>
      <c r="AD156" s="32" t="n">
        <v>2103</v>
      </c>
      <c r="AE156" s="32" t="n">
        <v>2078</v>
      </c>
      <c r="AF156" s="32" t="n">
        <v>2040</v>
      </c>
      <c r="AG156" s="32" t="n">
        <v>1948.5</v>
      </c>
      <c r="AH156" s="32" t="n">
        <v>1968.5</v>
      </c>
      <c r="AI156" s="32" t="n">
        <v>2045</v>
      </c>
      <c r="AJ156" s="32" t="n">
        <v>2243.5</v>
      </c>
      <c r="AK156" s="32" t="n">
        <v>2261</v>
      </c>
      <c r="AL156" s="32" t="n">
        <v>2244.5</v>
      </c>
      <c r="AM156" s="32" t="n">
        <v>2236.5</v>
      </c>
      <c r="AN156" s="32" t="n">
        <v>2215.5</v>
      </c>
      <c r="AO156" s="32" t="n">
        <v>2259</v>
      </c>
      <c r="AP156" s="32" t="n">
        <v>2282</v>
      </c>
      <c r="AQ156" s="32" t="n">
        <v>2289.5</v>
      </c>
      <c r="AR156" s="32" t="n">
        <v>2302</v>
      </c>
      <c r="AS156" s="32" t="n">
        <v>2314</v>
      </c>
      <c r="AT156" s="32" t="n">
        <v>2338</v>
      </c>
      <c r="AU156" s="32" t="n">
        <v>2271</v>
      </c>
      <c r="AV156" s="32" t="n">
        <v>2245</v>
      </c>
      <c r="AW156" s="32" t="n">
        <v>2265</v>
      </c>
      <c r="AX156" s="32" t="n">
        <v>2296</v>
      </c>
      <c r="AY156" s="32" t="n">
        <v>2326</v>
      </c>
      <c r="AZ156" s="32" t="n">
        <v>2279.5</v>
      </c>
      <c r="BA156" s="32" t="n">
        <v>2229</v>
      </c>
      <c r="BB156" s="32" t="n">
        <v>2207</v>
      </c>
      <c r="BC156" s="32" t="n">
        <v>2213.5</v>
      </c>
      <c r="BD156" s="32" t="n">
        <v>2202.5</v>
      </c>
      <c r="BE156" s="32" t="n">
        <v>2163</v>
      </c>
      <c r="BF156" s="32" t="n">
        <v>2142</v>
      </c>
      <c r="BG156" s="32" t="n">
        <v>2178</v>
      </c>
      <c r="BH156" s="32" t="n">
        <v>2171.5</v>
      </c>
      <c r="BI156" s="32" t="n">
        <v>2165.5</v>
      </c>
      <c r="BJ156" s="32" t="n">
        <v>2098.5</v>
      </c>
      <c r="BK156" s="32" t="n">
        <v>2069.5</v>
      </c>
      <c r="BL156" s="33" t="n">
        <v>2143.5</v>
      </c>
    </row>
    <row r="157" ht="15.95" customHeight="1" s="574">
      <c r="A157" s="68" t="inlineStr">
        <is>
          <t>4091</t>
        </is>
      </c>
      <c r="B157" s="28" t="inlineStr">
        <is>
          <t>日本酸素ＨＬＤＧＳ</t>
        </is>
      </c>
      <c r="C157" s="665">
        <f>_xll.RssMarket("4091","高値")</f>
        <v/>
      </c>
      <c r="D157" s="666">
        <f>C157-E157</f>
        <v/>
      </c>
      <c r="E157" s="37" t="n">
        <v>5557</v>
      </c>
      <c r="F157" s="37" t="n">
        <v>5649</v>
      </c>
      <c r="G157" s="32" t="n">
        <v>5652</v>
      </c>
      <c r="H157" s="32" t="n">
        <v>5615</v>
      </c>
      <c r="I157" s="32" t="n">
        <v>5611</v>
      </c>
      <c r="J157" s="32" t="n">
        <v>5757</v>
      </c>
      <c r="K157" s="32" t="n">
        <v>5435</v>
      </c>
      <c r="L157" s="32" t="n">
        <v>5299</v>
      </c>
      <c r="M157" s="32" t="n">
        <v>5388</v>
      </c>
      <c r="N157" s="32" t="n">
        <v>5607</v>
      </c>
      <c r="O157" s="32" t="n">
        <v>5674</v>
      </c>
      <c r="P157" s="32" t="n">
        <v>5684</v>
      </c>
      <c r="Q157" s="32" t="n">
        <v>5771</v>
      </c>
      <c r="R157" s="32" t="n">
        <v>5824</v>
      </c>
      <c r="S157" s="32" t="n">
        <v>6406</v>
      </c>
      <c r="T157" s="32" t="n">
        <v>6377</v>
      </c>
      <c r="U157" s="32" t="n">
        <v>6509</v>
      </c>
      <c r="V157" s="32" t="n">
        <v>6429</v>
      </c>
      <c r="W157" s="32" t="n">
        <v>6278</v>
      </c>
      <c r="X157" s="32" t="n">
        <v>5959</v>
      </c>
      <c r="Y157" s="32" t="n">
        <v>5888</v>
      </c>
      <c r="Z157" s="32" t="n">
        <v>6101</v>
      </c>
      <c r="AA157" s="32" t="n">
        <v>6108</v>
      </c>
      <c r="AB157" s="32" t="n">
        <v>6231</v>
      </c>
      <c r="AC157" s="32" t="n">
        <v>6108</v>
      </c>
      <c r="AD157" s="32" t="n">
        <v>5925</v>
      </c>
      <c r="AE157" s="32" t="n">
        <v>6162</v>
      </c>
      <c r="AF157" s="32" t="n">
        <v>6225</v>
      </c>
      <c r="AG157" s="32" t="n">
        <v>5800</v>
      </c>
      <c r="AH157" s="32" t="n">
        <v>5782</v>
      </c>
      <c r="AI157" s="32" t="n">
        <v>5621</v>
      </c>
      <c r="AJ157" s="32" t="n">
        <v>5675</v>
      </c>
      <c r="AK157" s="32" t="n">
        <v>5691</v>
      </c>
      <c r="AL157" s="32" t="n">
        <v>5711</v>
      </c>
      <c r="AM157" s="32" t="n">
        <v>5753</v>
      </c>
      <c r="AN157" s="32" t="n">
        <v>5694</v>
      </c>
      <c r="AO157" s="32" t="n">
        <v>5740</v>
      </c>
      <c r="AP157" s="32" t="n">
        <v>5942</v>
      </c>
      <c r="AQ157" s="32" t="n">
        <v>5875</v>
      </c>
      <c r="AR157" s="32" t="n">
        <v>6076</v>
      </c>
      <c r="AS157" s="32" t="n">
        <v>6044</v>
      </c>
      <c r="AT157" s="32" t="n">
        <v>5891</v>
      </c>
      <c r="AU157" s="32" t="n">
        <v>6009</v>
      </c>
      <c r="AV157" s="32" t="n">
        <v>5907</v>
      </c>
      <c r="AW157" s="32" t="n">
        <v>5979</v>
      </c>
      <c r="AX157" s="32" t="n">
        <v>5942</v>
      </c>
      <c r="AY157" s="32" t="n">
        <v>5976</v>
      </c>
      <c r="AZ157" s="32" t="n">
        <v>5860</v>
      </c>
      <c r="BA157" s="32" t="n">
        <v>5860</v>
      </c>
      <c r="BB157" s="32" t="n">
        <v>5890</v>
      </c>
      <c r="BC157" s="32" t="n">
        <v>5884</v>
      </c>
      <c r="BD157" s="32" t="n">
        <v>5779</v>
      </c>
      <c r="BE157" s="32" t="n">
        <v>5793</v>
      </c>
      <c r="BF157" s="32" t="n">
        <v>5830</v>
      </c>
      <c r="BG157" s="32" t="n">
        <v>5926</v>
      </c>
      <c r="BH157" s="32" t="n">
        <v>6054</v>
      </c>
      <c r="BI157" s="32" t="n">
        <v>6078</v>
      </c>
      <c r="BJ157" s="32" t="n">
        <v>5970</v>
      </c>
      <c r="BK157" s="32" t="n">
        <v>5890</v>
      </c>
      <c r="BL157" s="33" t="n">
        <v>6278</v>
      </c>
    </row>
    <row r="158" ht="15.95" customHeight="1" s="574">
      <c r="A158" s="68" t="inlineStr">
        <is>
          <t>6857</t>
        </is>
      </c>
      <c r="B158" s="28" t="inlineStr">
        <is>
          <t>アドバンテスト</t>
        </is>
      </c>
      <c r="C158" s="665">
        <f>_xll.RssMarket("6857","高値")</f>
        <v/>
      </c>
      <c r="D158" s="666">
        <f>C158-E158</f>
        <v/>
      </c>
      <c r="E158" s="37" t="n">
        <v>32600</v>
      </c>
      <c r="F158" s="37" t="n">
        <v>32000</v>
      </c>
      <c r="G158" s="32" t="n">
        <v>30670</v>
      </c>
      <c r="H158" s="32" t="n">
        <v>31170</v>
      </c>
      <c r="I158" s="32" t="n">
        <v>31280</v>
      </c>
      <c r="J158" s="32" t="n">
        <v>29620</v>
      </c>
      <c r="K158" s="32" t="n">
        <v>27800</v>
      </c>
      <c r="L158" s="32" t="n">
        <v>25475</v>
      </c>
      <c r="M158" s="32" t="n">
        <v>26035</v>
      </c>
      <c r="N158" s="32" t="n">
        <v>25780</v>
      </c>
      <c r="O158" s="32" t="n">
        <v>27590</v>
      </c>
      <c r="P158" s="32" t="n">
        <v>28435</v>
      </c>
      <c r="Q158" s="32" t="n">
        <v>27970</v>
      </c>
      <c r="R158" s="32" t="n">
        <v>26350</v>
      </c>
      <c r="S158" s="32" t="n">
        <v>26605</v>
      </c>
      <c r="T158" s="32" t="n">
        <v>27195</v>
      </c>
      <c r="U158" s="32" t="n">
        <v>27780</v>
      </c>
      <c r="V158" s="32" t="n">
        <v>28515</v>
      </c>
      <c r="W158" s="32" t="n">
        <v>27120</v>
      </c>
      <c r="X158" s="32" t="n">
        <v>27020</v>
      </c>
      <c r="Y158" s="32" t="n">
        <v>26145</v>
      </c>
      <c r="Z158" s="32" t="n">
        <v>26420</v>
      </c>
      <c r="AA158" s="32" t="n">
        <v>26580</v>
      </c>
      <c r="AB158" s="32" t="n">
        <v>29020</v>
      </c>
      <c r="AC158" s="32" t="n">
        <v>29940</v>
      </c>
      <c r="AD158" s="32" t="n">
        <v>28340</v>
      </c>
      <c r="AE158" s="32" t="n">
        <v>29405</v>
      </c>
      <c r="AF158" s="32" t="n">
        <v>30580</v>
      </c>
      <c r="AG158" s="32" t="n">
        <v>30070</v>
      </c>
      <c r="AH158" s="32" t="n">
        <v>30260</v>
      </c>
      <c r="AI158" s="32" t="n">
        <v>29160</v>
      </c>
      <c r="AJ158" s="32" t="n">
        <v>29700</v>
      </c>
      <c r="AK158" s="32" t="n">
        <v>30710</v>
      </c>
      <c r="AL158" s="32" t="n">
        <v>32400</v>
      </c>
      <c r="AM158" s="32" t="n">
        <v>29460</v>
      </c>
      <c r="AN158" s="32" t="n">
        <v>29070</v>
      </c>
      <c r="AO158" s="32" t="n">
        <v>28360</v>
      </c>
      <c r="AP158" s="32" t="n">
        <v>27895</v>
      </c>
      <c r="AQ158" s="32" t="n">
        <v>28055</v>
      </c>
      <c r="AR158" s="32" t="n">
        <v>29050</v>
      </c>
      <c r="AS158" s="32" t="n">
        <v>28800</v>
      </c>
      <c r="AT158" s="32" t="n">
        <v>28610</v>
      </c>
      <c r="AU158" s="32" t="n">
        <v>27130</v>
      </c>
      <c r="AV158" s="32" t="n">
        <v>25245</v>
      </c>
      <c r="AW158" s="32" t="n">
        <v>25800</v>
      </c>
      <c r="AX158" s="32" t="n">
        <v>25010</v>
      </c>
      <c r="AY158" s="32" t="n">
        <v>25220</v>
      </c>
      <c r="AZ158" s="32" t="n">
        <v>22435</v>
      </c>
      <c r="BA158" s="32" t="n">
        <v>22385</v>
      </c>
      <c r="BB158" s="32" t="n">
        <v>21735</v>
      </c>
      <c r="BC158" s="32" t="n">
        <v>22445</v>
      </c>
      <c r="BD158" s="32" t="n">
        <v>22550</v>
      </c>
      <c r="BE158" s="32" t="n">
        <v>20870</v>
      </c>
      <c r="BF158" s="32" t="n">
        <v>20960</v>
      </c>
      <c r="BG158" s="32" t="n">
        <v>22425</v>
      </c>
      <c r="BH158" s="32" t="n">
        <v>23385</v>
      </c>
      <c r="BI158" s="32" t="n">
        <v>23565</v>
      </c>
      <c r="BJ158" s="32" t="n">
        <v>23315</v>
      </c>
      <c r="BK158" s="32" t="n">
        <v>22940</v>
      </c>
      <c r="BL158" s="33" t="n">
        <v>24195</v>
      </c>
    </row>
    <row r="159" ht="15.95" customHeight="1" s="574">
      <c r="A159" s="68" t="inlineStr">
        <is>
          <t>3891</t>
        </is>
      </c>
      <c r="B159" s="28" t="inlineStr">
        <is>
          <t>ニッポン高度紙工業</t>
        </is>
      </c>
      <c r="C159" s="665">
        <f>_xll.RssMarket("3891","高値")</f>
        <v/>
      </c>
      <c r="D159" s="666">
        <f>C159-E159</f>
        <v/>
      </c>
      <c r="E159" s="37" t="n">
        <v>10750</v>
      </c>
      <c r="F159" s="37" t="n">
        <v>11100</v>
      </c>
      <c r="G159" s="32" t="n">
        <v>11110</v>
      </c>
      <c r="H159" s="32" t="n">
        <v>10110</v>
      </c>
      <c r="I159" s="32" t="n">
        <v>9140</v>
      </c>
      <c r="J159" s="32" t="n">
        <v>9040</v>
      </c>
      <c r="K159" s="32" t="n">
        <v>9650</v>
      </c>
      <c r="L159" s="32" t="n">
        <v>9140</v>
      </c>
      <c r="M159" s="32" t="n">
        <v>9750</v>
      </c>
      <c r="N159" s="32" t="n">
        <v>9490</v>
      </c>
      <c r="O159" s="32" t="n">
        <v>9180</v>
      </c>
      <c r="P159" s="32" t="n">
        <v>8640</v>
      </c>
      <c r="Q159" s="32" t="n">
        <v>8620</v>
      </c>
      <c r="R159" s="32" t="n">
        <v>8250</v>
      </c>
      <c r="S159" s="32" t="n">
        <v>7650</v>
      </c>
      <c r="T159" s="32" t="n">
        <v>7110</v>
      </c>
      <c r="U159" s="32" t="n">
        <v>7590</v>
      </c>
      <c r="V159" s="32" t="n">
        <v>7810</v>
      </c>
      <c r="W159" s="32" t="n">
        <v>7510</v>
      </c>
      <c r="X159" s="32" t="n">
        <v>7140</v>
      </c>
      <c r="Y159" s="32" t="n">
        <v>6900</v>
      </c>
      <c r="Z159" s="32" t="n">
        <v>6680</v>
      </c>
      <c r="AA159" s="32" t="n">
        <v>6490</v>
      </c>
      <c r="AB159" s="32" t="n">
        <v>6540</v>
      </c>
      <c r="AC159" s="32" t="n">
        <v>6590</v>
      </c>
      <c r="AD159" s="32" t="n">
        <v>6550</v>
      </c>
      <c r="AE159" s="32" t="n">
        <v>6740</v>
      </c>
      <c r="AF159" s="32" t="n">
        <v>6660</v>
      </c>
      <c r="AG159" s="32" t="n">
        <v>6460</v>
      </c>
      <c r="AH159" s="32" t="n">
        <v>6600</v>
      </c>
      <c r="AI159" s="32" t="n">
        <v>6570</v>
      </c>
      <c r="AJ159" s="32" t="n">
        <v>6150</v>
      </c>
      <c r="AK159" s="32" t="n">
        <v>5150</v>
      </c>
      <c r="AL159" s="32" t="n">
        <v>4555</v>
      </c>
      <c r="AM159" s="32" t="n">
        <v>4645</v>
      </c>
      <c r="AN159" s="32" t="n">
        <v>4670</v>
      </c>
      <c r="AO159" s="32" t="n">
        <v>4465</v>
      </c>
      <c r="AP159" s="32" t="n">
        <v>4490</v>
      </c>
      <c r="AQ159" s="32" t="n">
        <v>4645</v>
      </c>
      <c r="AR159" s="32" t="n">
        <v>4560</v>
      </c>
      <c r="AS159" s="32" t="n">
        <v>4340</v>
      </c>
      <c r="AT159" s="32" t="n">
        <v>4165</v>
      </c>
      <c r="AU159" s="32" t="n">
        <v>4130</v>
      </c>
      <c r="AV159" s="32" t="n">
        <v>4105</v>
      </c>
      <c r="AW159" s="32" t="n">
        <v>4175</v>
      </c>
      <c r="AX159" s="32" t="n">
        <v>3865</v>
      </c>
      <c r="AY159" s="32" t="n">
        <v>3800</v>
      </c>
      <c r="AZ159" s="32" t="n">
        <v>3735</v>
      </c>
      <c r="BA159" s="32" t="n">
        <v>3775</v>
      </c>
      <c r="BB159" s="32" t="n">
        <v>3715</v>
      </c>
      <c r="BC159" s="32" t="n">
        <v>3520</v>
      </c>
      <c r="BD159" s="32" t="n">
        <v>3520</v>
      </c>
      <c r="BE159" s="32" t="n">
        <v>3730</v>
      </c>
      <c r="BF159" s="32" t="n">
        <v>3875</v>
      </c>
      <c r="BG159" s="32" t="n">
        <v>3860</v>
      </c>
      <c r="BH159" s="32" t="n">
        <v>3725</v>
      </c>
      <c r="BI159" s="32" t="n">
        <v>3555</v>
      </c>
      <c r="BJ159" s="32" t="n">
        <v>3970</v>
      </c>
      <c r="BK159" s="32" t="n">
        <v>4105</v>
      </c>
      <c r="BL159" s="33" t="n">
        <v>4070</v>
      </c>
    </row>
    <row r="160" ht="15.95" customHeight="1" s="574">
      <c r="A160" s="68" t="inlineStr">
        <is>
          <t>4373</t>
        </is>
      </c>
      <c r="B160" s="28" t="inlineStr">
        <is>
          <t>シンプレクスＨＤ</t>
        </is>
      </c>
      <c r="C160" s="665">
        <f>_xll.RssMarket("4373","高値")</f>
        <v/>
      </c>
      <c r="D160" s="666">
        <f>C160-E160</f>
        <v/>
      </c>
      <c r="E160" s="37" t="n">
        <v>952</v>
      </c>
      <c r="F160" s="37" t="n">
        <v>942</v>
      </c>
      <c r="G160" s="32" t="n">
        <v>966</v>
      </c>
      <c r="H160" s="32" t="n">
        <v>974</v>
      </c>
      <c r="I160" s="32" t="n">
        <v>962</v>
      </c>
      <c r="J160" s="32" t="n">
        <v>996</v>
      </c>
      <c r="K160" s="32" t="n">
        <v>1004</v>
      </c>
      <c r="L160" s="32" t="n">
        <v>1039</v>
      </c>
      <c r="M160" s="32" t="n">
        <v>1066</v>
      </c>
      <c r="N160" s="32" t="n">
        <v>1090</v>
      </c>
      <c r="O160" s="32" t="n">
        <v>1113</v>
      </c>
      <c r="P160" s="32" t="n">
        <v>1118</v>
      </c>
      <c r="Q160" s="32" t="n">
        <v>1128</v>
      </c>
      <c r="R160" s="32" t="n">
        <v>1158</v>
      </c>
      <c r="S160" s="32" t="n">
        <v>1104</v>
      </c>
      <c r="T160" s="32" t="n">
        <v>1056</v>
      </c>
      <c r="U160" s="32" t="n">
        <v>1042</v>
      </c>
      <c r="V160" s="32" t="n">
        <v>1044</v>
      </c>
      <c r="W160" s="32" t="n">
        <v>1046</v>
      </c>
      <c r="X160" s="32" t="n">
        <v>1030</v>
      </c>
      <c r="Y160" s="32" t="n">
        <v>1027</v>
      </c>
      <c r="Z160" s="32" t="n">
        <v>1070</v>
      </c>
      <c r="AA160" s="32" t="n">
        <v>965</v>
      </c>
      <c r="AB160" s="32" t="n">
        <v>954</v>
      </c>
      <c r="AC160" s="32" t="n">
        <v>962</v>
      </c>
      <c r="AD160" s="32" t="n">
        <v>979</v>
      </c>
      <c r="AE160" s="32" t="n">
        <v>965</v>
      </c>
      <c r="AF160" s="32" t="n">
        <v>952</v>
      </c>
      <c r="AG160" s="32" t="n">
        <v>939</v>
      </c>
      <c r="AH160" s="32" t="n">
        <v>924</v>
      </c>
      <c r="AI160" s="32" t="n">
        <v>938</v>
      </c>
      <c r="AJ160" s="32" t="n">
        <v>892</v>
      </c>
      <c r="AK160" s="32" t="n">
        <v>888</v>
      </c>
      <c r="AL160" s="32" t="n">
        <v>921</v>
      </c>
      <c r="AM160" s="32" t="n">
        <v>926</v>
      </c>
      <c r="AN160" s="32" t="n">
        <v>953</v>
      </c>
      <c r="AO160" s="32" t="n">
        <v>967</v>
      </c>
      <c r="AP160" s="32" t="n">
        <v>959</v>
      </c>
      <c r="AQ160" s="32" t="n">
        <v>952</v>
      </c>
      <c r="AR160" s="32" t="n">
        <v>949</v>
      </c>
      <c r="AS160" s="32" t="n">
        <v>936</v>
      </c>
      <c r="AT160" s="32" t="n">
        <v>922</v>
      </c>
      <c r="AU160" s="32" t="n">
        <v>852</v>
      </c>
      <c r="AV160" s="32" t="n">
        <v>819</v>
      </c>
      <c r="AW160" s="32" t="n">
        <v>830</v>
      </c>
      <c r="AX160" s="32" t="n">
        <v>850</v>
      </c>
      <c r="AY160" s="32" t="n">
        <v>856</v>
      </c>
      <c r="AZ160" s="32" t="n">
        <v>854</v>
      </c>
      <c r="BA160" s="32" t="n">
        <v>842</v>
      </c>
      <c r="BB160" s="32" t="n">
        <v>832</v>
      </c>
      <c r="BC160" s="32" t="n">
        <v>826</v>
      </c>
      <c r="BD160" s="32" t="n">
        <v>824</v>
      </c>
      <c r="BE160" s="32" t="n">
        <v>811</v>
      </c>
      <c r="BF160" s="32" t="n">
        <v>778</v>
      </c>
      <c r="BG160" s="32" t="n">
        <v>819</v>
      </c>
      <c r="BH160" s="32" t="n">
        <v>811</v>
      </c>
      <c r="BI160" s="32" t="n">
        <v>823</v>
      </c>
      <c r="BJ160" s="32" t="n">
        <v>822</v>
      </c>
      <c r="BK160" s="32" t="n">
        <v>812</v>
      </c>
      <c r="BL160" s="33" t="n">
        <v>839</v>
      </c>
    </row>
    <row r="161" ht="15.95" customHeight="1" s="574">
      <c r="A161" s="68" t="inlineStr">
        <is>
          <t>8892</t>
        </is>
      </c>
      <c r="B161" s="28" t="inlineStr">
        <is>
          <t>エスコン</t>
        </is>
      </c>
      <c r="C161" s="665">
        <f>_xll.RssMarket("8892","高値")</f>
        <v/>
      </c>
      <c r="D161" s="666">
        <f>C161-E161</f>
        <v/>
      </c>
      <c r="E161" s="37" t="n">
        <v>1069</v>
      </c>
      <c r="F161" s="37" t="n">
        <v>1077</v>
      </c>
      <c r="G161" s="32" t="n">
        <v>1086</v>
      </c>
      <c r="H161" s="32" t="n">
        <v>1105</v>
      </c>
      <c r="I161" s="32" t="n">
        <v>1123</v>
      </c>
      <c r="J161" s="32" t="n">
        <v>1110</v>
      </c>
      <c r="K161" s="32" t="n">
        <v>1109</v>
      </c>
      <c r="L161" s="32" t="n">
        <v>1106</v>
      </c>
      <c r="M161" s="32" t="n">
        <v>1097</v>
      </c>
      <c r="N161" s="32" t="n">
        <v>1096</v>
      </c>
      <c r="O161" s="32" t="n">
        <v>1075</v>
      </c>
      <c r="P161" s="32" t="n">
        <v>1084</v>
      </c>
      <c r="Q161" s="32" t="n">
        <v>1083</v>
      </c>
      <c r="R161" s="32" t="n">
        <v>1109</v>
      </c>
      <c r="S161" s="32" t="n">
        <v>1107</v>
      </c>
      <c r="T161" s="32" t="n">
        <v>1109</v>
      </c>
      <c r="U161" s="32" t="n">
        <v>1122</v>
      </c>
      <c r="V161" s="32" t="n">
        <v>1138</v>
      </c>
      <c r="W161" s="32" t="n">
        <v>1142</v>
      </c>
      <c r="X161" s="32" t="n">
        <v>1145</v>
      </c>
      <c r="Y161" s="32" t="n">
        <v>1159</v>
      </c>
      <c r="Z161" s="32" t="n">
        <v>1125</v>
      </c>
      <c r="AA161" s="32" t="n">
        <v>1154</v>
      </c>
      <c r="AB161" s="32" t="n">
        <v>1160</v>
      </c>
      <c r="AC161" s="32" t="n">
        <v>1176</v>
      </c>
      <c r="AD161" s="32" t="n">
        <v>1185</v>
      </c>
      <c r="AE161" s="32" t="n">
        <v>1168</v>
      </c>
      <c r="AF161" s="32" t="n">
        <v>1171</v>
      </c>
      <c r="AG161" s="32" t="n">
        <v>1178</v>
      </c>
      <c r="AH161" s="32" t="n">
        <v>1176</v>
      </c>
      <c r="AI161" s="32" t="n">
        <v>1183</v>
      </c>
      <c r="AJ161" s="32" t="n">
        <v>1206</v>
      </c>
      <c r="AK161" s="32" t="n">
        <v>1223</v>
      </c>
      <c r="AL161" s="32" t="n">
        <v>1142</v>
      </c>
      <c r="AM161" s="32" t="n">
        <v>1131</v>
      </c>
      <c r="AN161" s="32" t="n">
        <v>1141</v>
      </c>
      <c r="AO161" s="32" t="n">
        <v>1163</v>
      </c>
      <c r="AP161" s="32" t="n">
        <v>1148</v>
      </c>
      <c r="AQ161" s="32" t="n">
        <v>1139</v>
      </c>
      <c r="AR161" s="32" t="n">
        <v>1152</v>
      </c>
      <c r="AS161" s="32" t="n">
        <v>1149</v>
      </c>
      <c r="AT161" s="32" t="n">
        <v>1143</v>
      </c>
      <c r="AU161" s="32" t="n">
        <v>1136</v>
      </c>
      <c r="AV161" s="32" t="n">
        <v>1138</v>
      </c>
      <c r="AW161" s="32" t="n">
        <v>1139</v>
      </c>
      <c r="AX161" s="32" t="n">
        <v>1143</v>
      </c>
      <c r="AY161" s="32" t="n">
        <v>1128</v>
      </c>
      <c r="AZ161" s="32" t="n">
        <v>1122</v>
      </c>
      <c r="BA161" s="32" t="n">
        <v>1120</v>
      </c>
      <c r="BB161" s="32" t="n">
        <v>1135</v>
      </c>
      <c r="BC161" s="32" t="n">
        <v>1119</v>
      </c>
      <c r="BD161" s="32" t="n">
        <v>1093</v>
      </c>
      <c r="BE161" s="32" t="n">
        <v>1083</v>
      </c>
      <c r="BF161" s="32" t="n">
        <v>1144</v>
      </c>
      <c r="BG161" s="32" t="n">
        <v>1147</v>
      </c>
      <c r="BH161" s="32" t="n">
        <v>1138</v>
      </c>
      <c r="BI161" s="32" t="n">
        <v>1127</v>
      </c>
      <c r="BJ161" s="32" t="n">
        <v>1119</v>
      </c>
      <c r="BK161" s="32" t="n">
        <v>1143</v>
      </c>
      <c r="BL161" s="33" t="n">
        <v>1136</v>
      </c>
    </row>
    <row r="162" ht="15.95" customHeight="1" s="574">
      <c r="A162" s="68" t="inlineStr">
        <is>
          <t>9687</t>
        </is>
      </c>
      <c r="B162" s="28" t="inlineStr">
        <is>
          <t>ＫＳＫ</t>
        </is>
      </c>
      <c r="C162" s="665">
        <f>_xll.RssMarket("9687","高値")</f>
        <v/>
      </c>
      <c r="D162" s="666">
        <f>C162-E162</f>
        <v/>
      </c>
      <c r="E162" s="37" t="n">
        <v>4350</v>
      </c>
      <c r="F162" s="37" t="n">
        <v>4355</v>
      </c>
      <c r="G162" s="32" t="n">
        <v>4350</v>
      </c>
      <c r="H162" s="32" t="n">
        <v>4335</v>
      </c>
      <c r="I162" s="32" t="n">
        <v>4350</v>
      </c>
      <c r="J162" s="32" t="n">
        <v>4345</v>
      </c>
      <c r="K162" s="32" t="n">
        <v>4340</v>
      </c>
      <c r="L162" s="32" t="n">
        <v>4330</v>
      </c>
      <c r="M162" s="32" t="n">
        <v>4345</v>
      </c>
      <c r="N162" s="32" t="n">
        <v>4335</v>
      </c>
      <c r="O162" s="32" t="n">
        <v>4350</v>
      </c>
      <c r="P162" s="32" t="n">
        <v>4335</v>
      </c>
      <c r="Q162" s="32" t="n">
        <v>4350</v>
      </c>
      <c r="R162" s="32" t="n">
        <v>4370</v>
      </c>
      <c r="S162" s="32" t="n">
        <v>4380</v>
      </c>
      <c r="T162" s="32" t="n">
        <v>4370</v>
      </c>
      <c r="U162" s="32" t="n">
        <v>4380</v>
      </c>
      <c r="V162" s="32" t="n">
        <v>4385</v>
      </c>
      <c r="W162" s="32" t="n">
        <v>4390</v>
      </c>
      <c r="X162" s="32" t="n">
        <v>4365</v>
      </c>
      <c r="Y162" s="32" t="n">
        <v>4350</v>
      </c>
      <c r="Z162" s="32" t="n">
        <v>4395</v>
      </c>
      <c r="AA162" s="32" t="n">
        <v>4380</v>
      </c>
      <c r="AB162" s="32" t="n">
        <v>4400</v>
      </c>
      <c r="AC162" s="32" t="n">
        <v>4420</v>
      </c>
      <c r="AD162" s="32" t="n">
        <v>4400</v>
      </c>
      <c r="AE162" s="32" t="n">
        <v>4440</v>
      </c>
      <c r="AF162" s="32" t="n">
        <v>4610</v>
      </c>
      <c r="AG162" s="32" t="n">
        <v>4415</v>
      </c>
      <c r="AH162" s="32" t="n">
        <v>4385</v>
      </c>
      <c r="AI162" s="32" t="n">
        <v>4350</v>
      </c>
      <c r="AJ162" s="32" t="n">
        <v>4375</v>
      </c>
      <c r="AK162" s="32" t="n">
        <v>4375</v>
      </c>
      <c r="AL162" s="32" t="n">
        <v>4385</v>
      </c>
      <c r="AM162" s="32" t="n">
        <v>4385</v>
      </c>
      <c r="AN162" s="32" t="n">
        <v>4445</v>
      </c>
      <c r="AO162" s="32" t="n">
        <v>4385</v>
      </c>
      <c r="AP162" s="32" t="n">
        <v>4375</v>
      </c>
      <c r="AQ162" s="32" t="n">
        <v>4355</v>
      </c>
      <c r="AR162" s="32" t="n">
        <v>4390</v>
      </c>
      <c r="AS162" s="32" t="n">
        <v>4435</v>
      </c>
      <c r="AT162" s="32" t="n">
        <v>4455</v>
      </c>
      <c r="AU162" s="32" t="n">
        <v>4455</v>
      </c>
      <c r="AV162" s="32" t="n">
        <v>4390</v>
      </c>
      <c r="AW162" s="32" t="n">
        <v>4390</v>
      </c>
      <c r="AX162" s="32" t="n">
        <v>4405</v>
      </c>
      <c r="AY162" s="32" t="n">
        <v>4405</v>
      </c>
      <c r="AZ162" s="32" t="n">
        <v>4365</v>
      </c>
      <c r="BA162" s="32" t="n">
        <v>4410</v>
      </c>
      <c r="BB162" s="32" t="n">
        <v>4340</v>
      </c>
      <c r="BC162" s="32" t="n">
        <v>4500</v>
      </c>
      <c r="BD162" s="32" t="n">
        <v>4515</v>
      </c>
      <c r="BE162" s="32" t="n">
        <v>4505</v>
      </c>
      <c r="BF162" s="32" t="n">
        <v>4470</v>
      </c>
      <c r="BG162" s="32" t="n">
        <v>4415</v>
      </c>
      <c r="BH162" s="32" t="n">
        <v>4450</v>
      </c>
      <c r="BI162" s="32" t="n">
        <v>4505</v>
      </c>
      <c r="BJ162" s="32" t="n">
        <v>4570</v>
      </c>
      <c r="BK162" s="32" t="n">
        <v>4420</v>
      </c>
      <c r="BL162" s="33" t="n">
        <v>4500</v>
      </c>
    </row>
    <row r="163" ht="15.95" customHeight="1" s="574">
      <c r="A163" s="68" t="inlineStr">
        <is>
          <t>1930</t>
        </is>
      </c>
      <c r="B163" s="28" t="inlineStr">
        <is>
          <t>北陸電気工事</t>
        </is>
      </c>
      <c r="C163" s="665">
        <f>_xll.RssMarket("1930","高値")</f>
        <v/>
      </c>
      <c r="D163" s="666">
        <f>C163-E163</f>
        <v/>
      </c>
      <c r="E163" s="37" t="n">
        <v>1725</v>
      </c>
      <c r="F163" s="37" t="n">
        <v>1769</v>
      </c>
      <c r="G163" s="32" t="n">
        <v>1749</v>
      </c>
      <c r="H163" s="32" t="n">
        <v>1701</v>
      </c>
      <c r="I163" s="32" t="n">
        <v>1715</v>
      </c>
      <c r="J163" s="32" t="n">
        <v>1712</v>
      </c>
      <c r="K163" s="32" t="n">
        <v>1621</v>
      </c>
      <c r="L163" s="32" t="n">
        <v>1586</v>
      </c>
      <c r="M163" s="32" t="n">
        <v>1610</v>
      </c>
      <c r="N163" s="32" t="n">
        <v>1615</v>
      </c>
      <c r="O163" s="32" t="n">
        <v>1624</v>
      </c>
      <c r="P163" s="32" t="n">
        <v>1578</v>
      </c>
      <c r="Q163" s="32" t="n">
        <v>1594</v>
      </c>
      <c r="R163" s="32" t="n">
        <v>1619</v>
      </c>
      <c r="S163" s="32" t="n">
        <v>1721</v>
      </c>
      <c r="T163" s="32" t="n">
        <v>1709</v>
      </c>
      <c r="U163" s="32" t="n">
        <v>1740</v>
      </c>
      <c r="V163" s="32" t="n">
        <v>1683</v>
      </c>
      <c r="W163" s="32" t="n">
        <v>1608</v>
      </c>
      <c r="X163" s="32" t="n">
        <v>1630</v>
      </c>
      <c r="Y163" s="32" t="n">
        <v>1645</v>
      </c>
      <c r="Z163" s="32" t="n">
        <v>1658</v>
      </c>
      <c r="AA163" s="32" t="n">
        <v>1651</v>
      </c>
      <c r="AB163" s="32" t="n">
        <v>1720</v>
      </c>
      <c r="AC163" s="32" t="n">
        <v>1750</v>
      </c>
      <c r="AD163" s="32" t="n">
        <v>1782</v>
      </c>
      <c r="AE163" s="32" t="n">
        <v>1777</v>
      </c>
      <c r="AF163" s="32" t="n">
        <v>1743</v>
      </c>
      <c r="AG163" s="32" t="n">
        <v>1684</v>
      </c>
      <c r="AH163" s="32" t="n">
        <v>1740</v>
      </c>
      <c r="AI163" s="32" t="n">
        <v>1744</v>
      </c>
      <c r="AJ163" s="32" t="n">
        <v>1717</v>
      </c>
      <c r="AK163" s="32" t="n">
        <v>1510</v>
      </c>
      <c r="AL163" s="32" t="n">
        <v>1463</v>
      </c>
      <c r="AM163" s="32" t="n">
        <v>1464</v>
      </c>
      <c r="AN163" s="32" t="n">
        <v>1447</v>
      </c>
      <c r="AO163" s="32" t="n">
        <v>1472</v>
      </c>
      <c r="AP163" s="32" t="n">
        <v>1486</v>
      </c>
      <c r="AQ163" s="32" t="n">
        <v>1477</v>
      </c>
      <c r="AR163" s="32" t="n">
        <v>1479</v>
      </c>
      <c r="AS163" s="32" t="n">
        <v>1473</v>
      </c>
      <c r="AT163" s="32" t="n">
        <v>1478</v>
      </c>
      <c r="AU163" s="32" t="n">
        <v>1456</v>
      </c>
      <c r="AV163" s="32" t="n">
        <v>1474</v>
      </c>
      <c r="AW163" s="32" t="n">
        <v>1504</v>
      </c>
      <c r="AX163" s="32" t="n">
        <v>1522</v>
      </c>
      <c r="AY163" s="32" t="n">
        <v>1522</v>
      </c>
      <c r="AZ163" s="32" t="n">
        <v>1483</v>
      </c>
      <c r="BA163" s="32" t="n">
        <v>1466</v>
      </c>
      <c r="BB163" s="32" t="n">
        <v>1478</v>
      </c>
      <c r="BC163" s="32" t="n">
        <v>1503</v>
      </c>
      <c r="BD163" s="32" t="n">
        <v>1479</v>
      </c>
      <c r="BE163" s="32" t="n">
        <v>1457</v>
      </c>
      <c r="BF163" s="32" t="n">
        <v>1448</v>
      </c>
      <c r="BG163" s="32" t="n">
        <v>1512</v>
      </c>
      <c r="BH163" s="32" t="n">
        <v>1527</v>
      </c>
      <c r="BI163" s="32" t="n">
        <v>1525</v>
      </c>
      <c r="BJ163" s="32" t="n">
        <v>1506</v>
      </c>
      <c r="BK163" s="32" t="n">
        <v>1494</v>
      </c>
      <c r="BL163" s="33" t="n">
        <v>1596</v>
      </c>
    </row>
    <row r="164" ht="15.95" customHeight="1" s="574">
      <c r="A164" s="68" t="inlineStr">
        <is>
          <t>8704</t>
        </is>
      </c>
      <c r="B164" s="28" t="inlineStr">
        <is>
          <t>トレイダーズＨＬＤＧＳ</t>
        </is>
      </c>
      <c r="C164" s="665">
        <f>_xll.RssMarket("8704","高値")</f>
        <v/>
      </c>
      <c r="D164" s="666">
        <f>C164-E164</f>
        <v/>
      </c>
      <c r="E164" s="37" t="n">
        <v>1221</v>
      </c>
      <c r="F164" s="37" t="n">
        <v>1172</v>
      </c>
      <c r="G164" s="32" t="n">
        <v>1198</v>
      </c>
      <c r="H164" s="32" t="n">
        <v>1175</v>
      </c>
      <c r="I164" s="32" t="n">
        <v>1166</v>
      </c>
      <c r="J164" s="32" t="n">
        <v>1191</v>
      </c>
      <c r="K164" s="32" t="n">
        <v>1158</v>
      </c>
      <c r="L164" s="32" t="n">
        <v>1111</v>
      </c>
      <c r="M164" s="32" t="n">
        <v>1140</v>
      </c>
      <c r="N164" s="32" t="n">
        <v>1137</v>
      </c>
      <c r="O164" s="32" t="n">
        <v>1147</v>
      </c>
      <c r="P164" s="32" t="n">
        <v>1162</v>
      </c>
      <c r="Q164" s="32" t="n">
        <v>1210</v>
      </c>
      <c r="R164" s="32" t="n">
        <v>1200</v>
      </c>
      <c r="S164" s="32" t="n">
        <v>1206</v>
      </c>
      <c r="T164" s="32" t="n">
        <v>1151</v>
      </c>
      <c r="U164" s="32" t="n">
        <v>1166</v>
      </c>
      <c r="V164" s="32" t="n">
        <v>1152</v>
      </c>
      <c r="W164" s="32" t="n">
        <v>1141</v>
      </c>
      <c r="X164" s="32" t="n">
        <v>1147</v>
      </c>
      <c r="Y164" s="32" t="n">
        <v>1126</v>
      </c>
      <c r="Z164" s="32" t="n">
        <v>1180</v>
      </c>
      <c r="AA164" s="32" t="n">
        <v>1174</v>
      </c>
      <c r="AB164" s="32" t="n">
        <v>1205</v>
      </c>
      <c r="AC164" s="32" t="n">
        <v>1210</v>
      </c>
      <c r="AD164" s="32" t="n">
        <v>1222</v>
      </c>
      <c r="AE164" s="32" t="n">
        <v>1236</v>
      </c>
      <c r="AF164" s="32" t="n">
        <v>1243</v>
      </c>
      <c r="AG164" s="32" t="n">
        <v>1241</v>
      </c>
      <c r="AH164" s="32" t="n">
        <v>1200</v>
      </c>
      <c r="AI164" s="32" t="n">
        <v>1165</v>
      </c>
      <c r="AJ164" s="32" t="n">
        <v>1078</v>
      </c>
      <c r="AK164" s="32" t="n">
        <v>1081</v>
      </c>
      <c r="AL164" s="32" t="n">
        <v>1035</v>
      </c>
      <c r="AM164" s="32" t="n">
        <v>1042</v>
      </c>
      <c r="AN164" s="32" t="n">
        <v>1042</v>
      </c>
      <c r="AO164" s="32" t="n">
        <v>1063</v>
      </c>
      <c r="AP164" s="32" t="n">
        <v>1071</v>
      </c>
      <c r="AQ164" s="32" t="n">
        <v>1059</v>
      </c>
      <c r="AR164" s="32" t="n">
        <v>1062</v>
      </c>
      <c r="AS164" s="32" t="n">
        <v>1065</v>
      </c>
      <c r="AT164" s="32" t="n">
        <v>1057</v>
      </c>
      <c r="AU164" s="32" t="n">
        <v>1059</v>
      </c>
      <c r="AV164" s="32" t="n">
        <v>1047</v>
      </c>
      <c r="AW164" s="32" t="n">
        <v>1064</v>
      </c>
      <c r="AX164" s="32" t="n">
        <v>1078</v>
      </c>
      <c r="AY164" s="32" t="n">
        <v>1080</v>
      </c>
      <c r="AZ164" s="32" t="n">
        <v>1056</v>
      </c>
      <c r="BA164" s="32" t="n">
        <v>1046</v>
      </c>
      <c r="BB164" s="32" t="n">
        <v>1055</v>
      </c>
      <c r="BC164" s="32" t="n">
        <v>1059</v>
      </c>
      <c r="BD164" s="32" t="n">
        <v>1050</v>
      </c>
      <c r="BE164" s="32" t="n">
        <v>1040</v>
      </c>
      <c r="BF164" s="32" t="n">
        <v>1027</v>
      </c>
      <c r="BG164" s="32" t="n">
        <v>1059</v>
      </c>
      <c r="BH164" s="32" t="n">
        <v>1078</v>
      </c>
      <c r="BI164" s="32" t="n">
        <v>1074</v>
      </c>
      <c r="BJ164" s="32" t="n">
        <v>1037</v>
      </c>
      <c r="BK164" s="32" t="n">
        <v>1017</v>
      </c>
      <c r="BL164" s="33" t="n">
        <v>1052</v>
      </c>
    </row>
    <row r="165" ht="15.95" customHeight="1" s="574">
      <c r="A165" s="68" t="inlineStr">
        <is>
          <t>4733</t>
        </is>
      </c>
      <c r="B165" s="28" t="inlineStr">
        <is>
          <t>オービックビジネスＣ</t>
        </is>
      </c>
      <c r="C165" s="665">
        <f>_xll.RssMarket("4733","高値")</f>
        <v/>
      </c>
      <c r="D165" s="666">
        <f>C165-E165</f>
        <v/>
      </c>
      <c r="E165" s="37" t="n">
        <v>5760</v>
      </c>
      <c r="F165" s="37" t="n">
        <v>5914</v>
      </c>
      <c r="G165" s="32" t="n">
        <v>5947</v>
      </c>
      <c r="H165" s="32" t="n">
        <v>5939</v>
      </c>
      <c r="I165" s="32" t="n">
        <v>5871</v>
      </c>
      <c r="J165" s="32" t="n">
        <v>5973</v>
      </c>
      <c r="K165" s="32" t="n">
        <v>5949</v>
      </c>
      <c r="L165" s="32" t="n">
        <v>5976</v>
      </c>
      <c r="M165" s="32" t="n">
        <v>5980</v>
      </c>
      <c r="N165" s="32" t="n">
        <v>6113</v>
      </c>
      <c r="O165" s="32" t="n">
        <v>6086</v>
      </c>
      <c r="P165" s="32" t="n">
        <v>6115</v>
      </c>
      <c r="Q165" s="32" t="n">
        <v>6312</v>
      </c>
      <c r="R165" s="32" t="n">
        <v>6509</v>
      </c>
      <c r="S165" s="32" t="n">
        <v>6277</v>
      </c>
      <c r="T165" s="32" t="n">
        <v>6180</v>
      </c>
      <c r="U165" s="32" t="n">
        <v>6173</v>
      </c>
      <c r="V165" s="32" t="n">
        <v>6091</v>
      </c>
      <c r="W165" s="32" t="n">
        <v>6147</v>
      </c>
      <c r="X165" s="32" t="n">
        <v>6163</v>
      </c>
      <c r="Y165" s="32" t="n">
        <v>6241</v>
      </c>
      <c r="Z165" s="32" t="n">
        <v>6249</v>
      </c>
      <c r="AA165" s="32" t="n">
        <v>6183</v>
      </c>
      <c r="AB165" s="32" t="n">
        <v>6057</v>
      </c>
      <c r="AC165" s="32" t="n">
        <v>6142</v>
      </c>
      <c r="AD165" s="32" t="n">
        <v>6153</v>
      </c>
      <c r="AE165" s="32" t="n">
        <v>6123</v>
      </c>
      <c r="AF165" s="32" t="n">
        <v>6332</v>
      </c>
      <c r="AG165" s="32" t="n">
        <v>6344</v>
      </c>
      <c r="AH165" s="32" t="n">
        <v>6159</v>
      </c>
      <c r="AI165" s="32" t="n">
        <v>6191</v>
      </c>
      <c r="AJ165" s="32" t="n">
        <v>6263</v>
      </c>
      <c r="AK165" s="32" t="n">
        <v>6353</v>
      </c>
      <c r="AL165" s="32" t="n">
        <v>6337</v>
      </c>
      <c r="AM165" s="32" t="n">
        <v>6395</v>
      </c>
      <c r="AN165" s="32" t="n">
        <v>6636</v>
      </c>
      <c r="AO165" s="32" t="n">
        <v>6906</v>
      </c>
      <c r="AP165" s="32" t="n">
        <v>6775</v>
      </c>
      <c r="AQ165" s="32" t="n">
        <v>6780</v>
      </c>
      <c r="AR165" s="32" t="n">
        <v>6731</v>
      </c>
      <c r="AS165" s="32" t="n">
        <v>6913</v>
      </c>
      <c r="AT165" s="32" t="n">
        <v>6750</v>
      </c>
      <c r="AU165" s="32" t="n">
        <v>6664</v>
      </c>
      <c r="AV165" s="32" t="n">
        <v>6309</v>
      </c>
      <c r="AW165" s="32" t="n">
        <v>6293</v>
      </c>
      <c r="AX165" s="32" t="n">
        <v>6397</v>
      </c>
      <c r="AY165" s="32" t="n">
        <v>6526</v>
      </c>
      <c r="AZ165" s="32" t="n">
        <v>6421</v>
      </c>
      <c r="BA165" s="32" t="n">
        <v>6381</v>
      </c>
      <c r="BB165" s="32" t="n">
        <v>6400</v>
      </c>
      <c r="BC165" s="32" t="n">
        <v>6410</v>
      </c>
      <c r="BD165" s="32" t="n">
        <v>6383</v>
      </c>
      <c r="BE165" s="32" t="n">
        <v>6360</v>
      </c>
      <c r="BF165" s="32" t="n">
        <v>6164</v>
      </c>
      <c r="BG165" s="32" t="n">
        <v>6289</v>
      </c>
      <c r="BH165" s="32" t="n">
        <v>6218</v>
      </c>
      <c r="BI165" s="32" t="n">
        <v>6222</v>
      </c>
      <c r="BJ165" s="32" t="n">
        <v>6261</v>
      </c>
      <c r="BK165" s="32" t="n">
        <v>6168</v>
      </c>
      <c r="BL165" s="33" t="n">
        <v>6259</v>
      </c>
    </row>
    <row r="166" ht="15.95" customHeight="1" s="574">
      <c r="A166" s="68" t="inlineStr">
        <is>
          <t>9733</t>
        </is>
      </c>
      <c r="B166" s="28" t="inlineStr">
        <is>
          <t>ナガセ</t>
        </is>
      </c>
      <c r="C166" s="665">
        <f>_xll.RssMarket("9733","高値")</f>
        <v/>
      </c>
      <c r="D166" s="666">
        <f>C166-E166</f>
        <v/>
      </c>
      <c r="E166" s="37" t="n">
        <v>2221</v>
      </c>
      <c r="F166" s="37" t="n">
        <v>2219</v>
      </c>
      <c r="G166" s="32" t="n">
        <v>2214</v>
      </c>
      <c r="H166" s="32" t="n">
        <v>2238</v>
      </c>
      <c r="I166" s="32" t="n">
        <v>2235</v>
      </c>
      <c r="J166" s="32" t="n">
        <v>2260</v>
      </c>
      <c r="K166" s="32" t="n">
        <v>2238</v>
      </c>
      <c r="L166" s="32" t="n">
        <v>2246</v>
      </c>
      <c r="M166" s="32" t="n">
        <v>2251</v>
      </c>
      <c r="N166" s="32" t="n">
        <v>2217</v>
      </c>
      <c r="O166" s="32" t="n">
        <v>2223</v>
      </c>
      <c r="P166" s="32" t="n">
        <v>2211</v>
      </c>
      <c r="Q166" s="32" t="n">
        <v>2220</v>
      </c>
      <c r="R166" s="32" t="n">
        <v>2240</v>
      </c>
      <c r="S166" s="32" t="n">
        <v>2303</v>
      </c>
      <c r="T166" s="32" t="n">
        <v>2270</v>
      </c>
      <c r="U166" s="32" t="n">
        <v>2266</v>
      </c>
      <c r="V166" s="32" t="n">
        <v>2337</v>
      </c>
      <c r="W166" s="32" t="n">
        <v>2313</v>
      </c>
      <c r="X166" s="32" t="n">
        <v>2329</v>
      </c>
      <c r="Y166" s="32" t="n">
        <v>2320</v>
      </c>
      <c r="Z166" s="32" t="n">
        <v>2316</v>
      </c>
      <c r="AA166" s="32" t="n">
        <v>2295</v>
      </c>
      <c r="AB166" s="32" t="n">
        <v>2284</v>
      </c>
      <c r="AC166" s="32" t="n">
        <v>2295</v>
      </c>
      <c r="AD166" s="32" t="n">
        <v>2300</v>
      </c>
      <c r="AE166" s="32" t="n">
        <v>2307</v>
      </c>
      <c r="AF166" s="32" t="n">
        <v>2302</v>
      </c>
      <c r="AG166" s="32" t="n">
        <v>2290</v>
      </c>
      <c r="AH166" s="32" t="n">
        <v>2348</v>
      </c>
      <c r="AI166" s="32" t="n">
        <v>2334</v>
      </c>
      <c r="AJ166" s="32" t="n">
        <v>2340</v>
      </c>
      <c r="AK166" s="32" t="n">
        <v>2335</v>
      </c>
      <c r="AL166" s="32" t="n">
        <v>2318</v>
      </c>
      <c r="AM166" s="32" t="n">
        <v>2354</v>
      </c>
      <c r="AN166" s="32" t="n">
        <v>2381</v>
      </c>
      <c r="AO166" s="32" t="n">
        <v>2381</v>
      </c>
      <c r="AP166" s="32" t="n">
        <v>2416</v>
      </c>
      <c r="AQ166" s="32" t="n">
        <v>2469</v>
      </c>
      <c r="AR166" s="32" t="n">
        <v>2479</v>
      </c>
      <c r="AS166" s="32" t="n">
        <v>2465</v>
      </c>
      <c r="AT166" s="32" t="n">
        <v>2491</v>
      </c>
      <c r="AU166" s="32" t="n">
        <v>2512</v>
      </c>
      <c r="AV166" s="32" t="n">
        <v>2545</v>
      </c>
      <c r="AW166" s="32" t="n">
        <v>2535</v>
      </c>
      <c r="AX166" s="32" t="n">
        <v>2584</v>
      </c>
      <c r="AY166" s="32" t="n">
        <v>2562</v>
      </c>
      <c r="AZ166" s="32" t="n">
        <v>2532</v>
      </c>
      <c r="BA166" s="32" t="n">
        <v>2543</v>
      </c>
      <c r="BB166" s="32" t="n">
        <v>2474</v>
      </c>
      <c r="BC166" s="32" t="n">
        <v>2478</v>
      </c>
      <c r="BD166" s="32" t="n">
        <v>2473</v>
      </c>
      <c r="BE166" s="32" t="n">
        <v>2561</v>
      </c>
      <c r="BF166" s="32" t="n">
        <v>2611</v>
      </c>
      <c r="BG166" s="32" t="n">
        <v>2877</v>
      </c>
      <c r="BH166" s="32" t="n">
        <v>2867</v>
      </c>
      <c r="BI166" s="32" t="n">
        <v>2837</v>
      </c>
      <c r="BJ166" s="32" t="n">
        <v>2763</v>
      </c>
      <c r="BK166" s="32" t="n">
        <v>2750</v>
      </c>
      <c r="BL166" s="33" t="n">
        <v>2805</v>
      </c>
    </row>
    <row r="167" ht="15.95" customHeight="1" s="574">
      <c r="A167" s="68" t="inlineStr">
        <is>
          <t>9551</t>
        </is>
      </c>
      <c r="B167" s="28" t="inlineStr">
        <is>
          <t>メタウォーター</t>
        </is>
      </c>
      <c r="C167" s="665">
        <f>_xll.RssMarket("9551","高値")</f>
        <v/>
      </c>
      <c r="D167" s="666">
        <f>C167-E167</f>
        <v/>
      </c>
      <c r="E167" s="37" t="n">
        <v>3535</v>
      </c>
      <c r="F167" s="37" t="n">
        <v>3540</v>
      </c>
      <c r="G167" s="32" t="n">
        <v>3485</v>
      </c>
      <c r="H167" s="32" t="n">
        <v>3435</v>
      </c>
      <c r="I167" s="32" t="n">
        <v>3380</v>
      </c>
      <c r="J167" s="32" t="n">
        <v>3330</v>
      </c>
      <c r="K167" s="32" t="n">
        <v>3185</v>
      </c>
      <c r="L167" s="32" t="n">
        <v>3125</v>
      </c>
      <c r="M167" s="32" t="n">
        <v>3235</v>
      </c>
      <c r="N167" s="32" t="n">
        <v>3255</v>
      </c>
      <c r="O167" s="32" t="n">
        <v>3320</v>
      </c>
      <c r="P167" s="32" t="n">
        <v>3300</v>
      </c>
      <c r="Q167" s="32" t="n">
        <v>3325</v>
      </c>
      <c r="R167" s="32" t="n">
        <v>3320</v>
      </c>
      <c r="S167" s="32" t="n">
        <v>3675</v>
      </c>
      <c r="T167" s="32" t="n">
        <v>3275</v>
      </c>
      <c r="U167" s="32" t="n">
        <v>3345</v>
      </c>
      <c r="V167" s="32" t="n">
        <v>3350</v>
      </c>
      <c r="W167" s="32" t="n">
        <v>3310</v>
      </c>
      <c r="X167" s="32" t="n">
        <v>3305</v>
      </c>
      <c r="Y167" s="32" t="n">
        <v>3270</v>
      </c>
      <c r="Z167" s="32" t="n">
        <v>3410</v>
      </c>
      <c r="AA167" s="32" t="n">
        <v>3490</v>
      </c>
      <c r="AB167" s="32" t="n">
        <v>3545</v>
      </c>
      <c r="AC167" s="32" t="n">
        <v>3455</v>
      </c>
      <c r="AD167" s="32" t="n">
        <v>3475</v>
      </c>
      <c r="AE167" s="32" t="n">
        <v>3420</v>
      </c>
      <c r="AF167" s="32" t="n">
        <v>3465</v>
      </c>
      <c r="AG167" s="32" t="n">
        <v>3470</v>
      </c>
      <c r="AH167" s="32" t="n">
        <v>3480</v>
      </c>
      <c r="AI167" s="32" t="n">
        <v>3440</v>
      </c>
      <c r="AJ167" s="32" t="n">
        <v>3435</v>
      </c>
      <c r="AK167" s="32" t="n">
        <v>3420</v>
      </c>
      <c r="AL167" s="32" t="n">
        <v>3410</v>
      </c>
      <c r="AM167" s="32" t="n">
        <v>3695</v>
      </c>
      <c r="AN167" s="32" t="n">
        <v>3645</v>
      </c>
      <c r="AO167" s="32" t="n">
        <v>3690</v>
      </c>
      <c r="AP167" s="32" t="n">
        <v>3705</v>
      </c>
      <c r="AQ167" s="32" t="n">
        <v>3735</v>
      </c>
      <c r="AR167" s="32" t="n">
        <v>3730</v>
      </c>
      <c r="AS167" s="32" t="n">
        <v>3715</v>
      </c>
      <c r="AT167" s="32" t="n">
        <v>3755</v>
      </c>
      <c r="AU167" s="32" t="n">
        <v>3730</v>
      </c>
      <c r="AV167" s="32" t="n">
        <v>3705</v>
      </c>
      <c r="AW167" s="32" t="n">
        <v>3775</v>
      </c>
      <c r="AX167" s="32" t="n">
        <v>3750</v>
      </c>
      <c r="AY167" s="32" t="n">
        <v>3740</v>
      </c>
      <c r="AZ167" s="32" t="n">
        <v>3610</v>
      </c>
      <c r="BA167" s="32" t="n">
        <v>3600</v>
      </c>
      <c r="BB167" s="32" t="n">
        <v>3585</v>
      </c>
      <c r="BC167" s="32" t="n">
        <v>3635</v>
      </c>
      <c r="BD167" s="32" t="n">
        <v>3640</v>
      </c>
      <c r="BE167" s="32" t="n">
        <v>3450</v>
      </c>
      <c r="BF167" s="32" t="n">
        <v>3435</v>
      </c>
      <c r="BG167" s="32" t="n">
        <v>3555</v>
      </c>
      <c r="BH167" s="32" t="n">
        <v>3580</v>
      </c>
      <c r="BI167" s="32" t="n">
        <v>3580</v>
      </c>
      <c r="BJ167" s="32" t="n">
        <v>3470</v>
      </c>
      <c r="BK167" s="32" t="n">
        <v>3435</v>
      </c>
      <c r="BL167" s="33" t="n">
        <v>3685</v>
      </c>
    </row>
    <row r="168" ht="15.95" customHeight="1" s="574">
      <c r="A168" s="68" t="inlineStr">
        <is>
          <t>2359</t>
        </is>
      </c>
      <c r="B168" s="28" t="inlineStr">
        <is>
          <t>コア</t>
        </is>
      </c>
      <c r="C168" s="665">
        <f>_xll.RssMarket("2359","高値")</f>
        <v/>
      </c>
      <c r="D168" s="666">
        <f>C168-E168</f>
        <v/>
      </c>
      <c r="E168" s="37" t="n">
        <v>2065</v>
      </c>
      <c r="F168" s="37" t="n">
        <v>2048</v>
      </c>
      <c r="G168" s="32" t="n">
        <v>2039</v>
      </c>
      <c r="H168" s="32" t="n">
        <v>2030</v>
      </c>
      <c r="I168" s="32" t="n">
        <v>2011</v>
      </c>
      <c r="J168" s="32" t="n">
        <v>2025</v>
      </c>
      <c r="K168" s="32" t="n">
        <v>2009</v>
      </c>
      <c r="L168" s="32" t="n">
        <v>2027</v>
      </c>
      <c r="M168" s="32" t="n">
        <v>2039</v>
      </c>
      <c r="N168" s="32" t="n">
        <v>2069</v>
      </c>
      <c r="O168" s="32" t="n">
        <v>2104</v>
      </c>
      <c r="P168" s="32" t="n">
        <v>2098</v>
      </c>
      <c r="Q168" s="32" t="n">
        <v>2053</v>
      </c>
      <c r="R168" s="32" t="n">
        <v>2043</v>
      </c>
      <c r="S168" s="32" t="n">
        <v>2085</v>
      </c>
      <c r="T168" s="32" t="n">
        <v>2060</v>
      </c>
      <c r="U168" s="32" t="n">
        <v>2120</v>
      </c>
      <c r="V168" s="32" t="n">
        <v>2149</v>
      </c>
      <c r="W168" s="32" t="n">
        <v>2125</v>
      </c>
      <c r="X168" s="32" t="n">
        <v>2136</v>
      </c>
      <c r="Y168" s="32" t="n">
        <v>2100</v>
      </c>
      <c r="Z168" s="32" t="n">
        <v>2099</v>
      </c>
      <c r="AA168" s="32" t="n">
        <v>2062</v>
      </c>
      <c r="AB168" s="32" t="n">
        <v>2064</v>
      </c>
      <c r="AC168" s="32" t="n">
        <v>2069</v>
      </c>
      <c r="AD168" s="32" t="n">
        <v>2052</v>
      </c>
      <c r="AE168" s="32" t="n">
        <v>2023</v>
      </c>
      <c r="AF168" s="32" t="n">
        <v>2028</v>
      </c>
      <c r="AG168" s="32" t="n">
        <v>2037</v>
      </c>
      <c r="AH168" s="32" t="n">
        <v>2045</v>
      </c>
      <c r="AI168" s="32" t="n">
        <v>2075</v>
      </c>
      <c r="AJ168" s="32" t="n">
        <v>2079</v>
      </c>
      <c r="AK168" s="32" t="n">
        <v>2230</v>
      </c>
      <c r="AL168" s="32" t="n">
        <v>2246</v>
      </c>
      <c r="AM168" s="32" t="n">
        <v>2167</v>
      </c>
      <c r="AN168" s="32" t="n">
        <v>2200</v>
      </c>
      <c r="AO168" s="32" t="n">
        <v>2253</v>
      </c>
      <c r="AP168" s="32" t="n">
        <v>2257</v>
      </c>
      <c r="AQ168" s="32" t="n">
        <v>2260</v>
      </c>
      <c r="AR168" s="32" t="n">
        <v>2270</v>
      </c>
      <c r="AS168" s="32" t="n">
        <v>2249</v>
      </c>
      <c r="AT168" s="32" t="n">
        <v>2267</v>
      </c>
      <c r="AU168" s="32" t="n">
        <v>2260</v>
      </c>
      <c r="AV168" s="32" t="n">
        <v>2250</v>
      </c>
      <c r="AW168" s="32" t="n">
        <v>2282</v>
      </c>
      <c r="AX168" s="32" t="n">
        <v>2312</v>
      </c>
      <c r="AY168" s="32" t="n">
        <v>2330</v>
      </c>
      <c r="AZ168" s="32" t="n">
        <v>2298</v>
      </c>
      <c r="BA168" s="32" t="n">
        <v>2289</v>
      </c>
      <c r="BB168" s="32" t="n">
        <v>2296</v>
      </c>
      <c r="BC168" s="32" t="n">
        <v>2292</v>
      </c>
      <c r="BD168" s="32" t="n">
        <v>2280</v>
      </c>
      <c r="BE168" s="32" t="n">
        <v>2263</v>
      </c>
      <c r="BF168" s="32" t="n">
        <v>2230</v>
      </c>
      <c r="BG168" s="32" t="n">
        <v>2323</v>
      </c>
      <c r="BH168" s="32" t="n">
        <v>2318</v>
      </c>
      <c r="BI168" s="32" t="n">
        <v>2298</v>
      </c>
      <c r="BJ168" s="32" t="n">
        <v>2182</v>
      </c>
      <c r="BK168" s="32" t="n">
        <v>2172</v>
      </c>
      <c r="BL168" s="33" t="n">
        <v>2213</v>
      </c>
    </row>
    <row r="169" ht="15.95" customHeight="1" s="574">
      <c r="A169" s="68" t="inlineStr">
        <is>
          <t>8103</t>
        </is>
      </c>
      <c r="B169" s="28" t="inlineStr">
        <is>
          <t>明和産業</t>
        </is>
      </c>
      <c r="C169" s="665">
        <f>_xll.RssMarket("8103","高値")</f>
        <v/>
      </c>
      <c r="D169" s="666">
        <f>C169-E169</f>
        <v/>
      </c>
      <c r="E169" s="37" t="n">
        <v>884</v>
      </c>
      <c r="F169" s="37" t="n">
        <v>874</v>
      </c>
      <c r="G169" s="32" t="n">
        <v>884</v>
      </c>
      <c r="H169" s="32" t="n">
        <v>886</v>
      </c>
      <c r="I169" s="32" t="n">
        <v>880</v>
      </c>
      <c r="J169" s="32" t="n">
        <v>888</v>
      </c>
      <c r="K169" s="32" t="n">
        <v>871</v>
      </c>
      <c r="L169" s="32" t="n">
        <v>867</v>
      </c>
      <c r="M169" s="32" t="n">
        <v>880</v>
      </c>
      <c r="N169" s="32" t="n">
        <v>888</v>
      </c>
      <c r="O169" s="32" t="n">
        <v>892</v>
      </c>
      <c r="P169" s="32" t="n">
        <v>888</v>
      </c>
      <c r="Q169" s="32" t="n">
        <v>893</v>
      </c>
      <c r="R169" s="32" t="n">
        <v>881</v>
      </c>
      <c r="S169" s="32" t="n">
        <v>896</v>
      </c>
      <c r="T169" s="32" t="n">
        <v>893</v>
      </c>
      <c r="U169" s="32" t="n">
        <v>903</v>
      </c>
      <c r="V169" s="32" t="n">
        <v>917</v>
      </c>
      <c r="W169" s="32" t="n">
        <v>910</v>
      </c>
      <c r="X169" s="32" t="n">
        <v>901</v>
      </c>
      <c r="Y169" s="32" t="n">
        <v>908</v>
      </c>
      <c r="Z169" s="32" t="n">
        <v>913</v>
      </c>
      <c r="AA169" s="32" t="n">
        <v>903</v>
      </c>
      <c r="AB169" s="32" t="n">
        <v>914</v>
      </c>
      <c r="AC169" s="32" t="n">
        <v>915</v>
      </c>
      <c r="AD169" s="32" t="n">
        <v>905</v>
      </c>
      <c r="AE169" s="32" t="n">
        <v>896</v>
      </c>
      <c r="AF169" s="32" t="n">
        <v>904</v>
      </c>
      <c r="AG169" s="32" t="n">
        <v>910</v>
      </c>
      <c r="AH169" s="32" t="n">
        <v>867</v>
      </c>
      <c r="AI169" s="32" t="n">
        <v>846</v>
      </c>
      <c r="AJ169" s="32" t="n">
        <v>773</v>
      </c>
      <c r="AK169" s="32" t="n">
        <v>770</v>
      </c>
      <c r="AL169" s="32" t="n">
        <v>773</v>
      </c>
      <c r="AM169" s="32" t="n">
        <v>772</v>
      </c>
      <c r="AN169" s="32" t="n">
        <v>780</v>
      </c>
      <c r="AO169" s="32" t="n">
        <v>782</v>
      </c>
      <c r="AP169" s="32" t="n">
        <v>787</v>
      </c>
      <c r="AQ169" s="32" t="n">
        <v>787</v>
      </c>
      <c r="AR169" s="32" t="n">
        <v>784</v>
      </c>
      <c r="AS169" s="32" t="n">
        <v>789</v>
      </c>
      <c r="AT169" s="32" t="n">
        <v>792</v>
      </c>
      <c r="AU169" s="32" t="n">
        <v>801</v>
      </c>
      <c r="AV169" s="32" t="n">
        <v>810</v>
      </c>
      <c r="AW169" s="32" t="n">
        <v>811</v>
      </c>
      <c r="AX169" s="32" t="n">
        <v>808</v>
      </c>
      <c r="AY169" s="32" t="n">
        <v>799</v>
      </c>
      <c r="AZ169" s="32" t="n">
        <v>793</v>
      </c>
      <c r="BA169" s="32" t="n">
        <v>796</v>
      </c>
      <c r="BB169" s="32" t="n">
        <v>809</v>
      </c>
      <c r="BC169" s="32" t="n">
        <v>804</v>
      </c>
      <c r="BD169" s="32" t="n">
        <v>794</v>
      </c>
      <c r="BE169" s="32" t="n">
        <v>786</v>
      </c>
      <c r="BF169" s="32" t="n">
        <v>832</v>
      </c>
      <c r="BG169" s="32" t="n">
        <v>830</v>
      </c>
      <c r="BH169" s="32" t="n">
        <v>832</v>
      </c>
      <c r="BI169" s="32" t="n">
        <v>822</v>
      </c>
      <c r="BJ169" s="32" t="n">
        <v>809</v>
      </c>
      <c r="BK169" s="32" t="n">
        <v>830</v>
      </c>
      <c r="BL169" s="33" t="n">
        <v>840</v>
      </c>
    </row>
    <row r="170" ht="15.95" customHeight="1" s="574">
      <c r="A170" s="68" t="inlineStr">
        <is>
          <t>4709</t>
        </is>
      </c>
      <c r="B170" s="28" t="inlineStr">
        <is>
          <t>ＩＤホールディングス</t>
        </is>
      </c>
      <c r="C170" s="665">
        <f>_xll.RssMarket("4709","高値")</f>
        <v/>
      </c>
      <c r="D170" s="666">
        <f>C170-E170</f>
        <v/>
      </c>
      <c r="E170" s="37" t="n">
        <v>1071</v>
      </c>
      <c r="F170" s="37" t="n">
        <v>1072</v>
      </c>
      <c r="G170" s="32" t="n">
        <v>1101</v>
      </c>
      <c r="H170" s="32" t="n">
        <v>1134</v>
      </c>
      <c r="I170" s="32" t="n">
        <v>1110</v>
      </c>
      <c r="J170" s="32" t="n">
        <v>1082</v>
      </c>
      <c r="K170" s="32" t="n">
        <v>1063</v>
      </c>
      <c r="L170" s="32" t="n">
        <v>1098</v>
      </c>
      <c r="M170" s="32" t="n">
        <v>1089</v>
      </c>
      <c r="N170" s="32" t="n">
        <v>1024</v>
      </c>
      <c r="O170" s="32" t="n">
        <v>1012</v>
      </c>
      <c r="P170" s="32" t="n">
        <v>1000</v>
      </c>
      <c r="Q170" s="32" t="n">
        <v>1024</v>
      </c>
      <c r="R170" s="32" t="n">
        <v>1032</v>
      </c>
      <c r="S170" s="32" t="n">
        <v>1053</v>
      </c>
      <c r="T170" s="32" t="n">
        <v>1028</v>
      </c>
      <c r="U170" s="32" t="n">
        <v>1015</v>
      </c>
      <c r="V170" s="32" t="n">
        <v>1049</v>
      </c>
      <c r="W170" s="32" t="n">
        <v>1046</v>
      </c>
      <c r="X170" s="32" t="n">
        <v>1058</v>
      </c>
      <c r="Y170" s="32" t="n">
        <v>1055</v>
      </c>
      <c r="Z170" s="32" t="n">
        <v>1053</v>
      </c>
      <c r="AA170" s="32" t="n">
        <v>1038</v>
      </c>
      <c r="AB170" s="32" t="n">
        <v>1035</v>
      </c>
      <c r="AC170" s="32" t="n">
        <v>1067</v>
      </c>
      <c r="AD170" s="32" t="n">
        <v>1076</v>
      </c>
      <c r="AE170" s="32" t="n">
        <v>1074</v>
      </c>
      <c r="AF170" s="32" t="n">
        <v>1035</v>
      </c>
      <c r="AG170" s="32" t="n">
        <v>1055</v>
      </c>
      <c r="AH170" s="32" t="n">
        <v>1069</v>
      </c>
      <c r="AI170" s="32" t="n">
        <v>1015</v>
      </c>
      <c r="AJ170" s="32" t="n">
        <v>902</v>
      </c>
      <c r="AK170" s="32" t="n">
        <v>902</v>
      </c>
      <c r="AL170" s="32" t="n">
        <v>896</v>
      </c>
      <c r="AM170" s="32" t="n">
        <v>905</v>
      </c>
      <c r="AN170" s="32" t="n">
        <v>921</v>
      </c>
      <c r="AO170" s="32" t="n">
        <v>930</v>
      </c>
      <c r="AP170" s="32" t="n">
        <v>949</v>
      </c>
      <c r="AQ170" s="32" t="n">
        <v>943</v>
      </c>
      <c r="AR170" s="32" t="n">
        <v>946</v>
      </c>
      <c r="AS170" s="32" t="n">
        <v>933</v>
      </c>
      <c r="AT170" s="32" t="n">
        <v>930</v>
      </c>
      <c r="AU170" s="32" t="n">
        <v>925</v>
      </c>
      <c r="AV170" s="32" t="n">
        <v>939</v>
      </c>
      <c r="AW170" s="32" t="n">
        <v>956</v>
      </c>
      <c r="AX170" s="32" t="n">
        <v>969</v>
      </c>
      <c r="AY170" s="32" t="n">
        <v>959</v>
      </c>
      <c r="AZ170" s="32" t="n">
        <v>953</v>
      </c>
      <c r="BA170" s="32" t="n">
        <v>952</v>
      </c>
      <c r="BB170" s="32" t="n">
        <v>968</v>
      </c>
      <c r="BC170" s="32" t="n">
        <v>958</v>
      </c>
      <c r="BD170" s="32" t="n">
        <v>943</v>
      </c>
      <c r="BE170" s="32" t="n">
        <v>945</v>
      </c>
      <c r="BF170" s="32" t="n">
        <v>963</v>
      </c>
      <c r="BG170" s="32" t="n">
        <v>960</v>
      </c>
      <c r="BH170" s="32" t="n">
        <v>953.5</v>
      </c>
      <c r="BI170" s="32" t="n">
        <v>940</v>
      </c>
      <c r="BJ170" s="32" t="n">
        <v>940</v>
      </c>
      <c r="BK170" s="32" t="n">
        <v>959</v>
      </c>
      <c r="BL170" s="33" t="n">
        <v>965.5</v>
      </c>
    </row>
    <row r="171" ht="15.95" customHeight="1" s="574">
      <c r="A171" s="68" t="inlineStr">
        <is>
          <t>7981</t>
        </is>
      </c>
      <c r="B171" s="28" t="inlineStr">
        <is>
          <t>タカラスタンダ－ド</t>
        </is>
      </c>
      <c r="C171" s="665">
        <f>_xll.RssMarket("7981","高値")</f>
        <v/>
      </c>
      <c r="D171" s="666">
        <f>C171-E171</f>
        <v/>
      </c>
      <c r="E171" s="37" t="n">
        <v>3075</v>
      </c>
      <c r="F171" s="37" t="n">
        <v>3070</v>
      </c>
      <c r="G171" s="32" t="n">
        <v>3055</v>
      </c>
      <c r="H171" s="32" t="n">
        <v>3020</v>
      </c>
      <c r="I171" s="32" t="n">
        <v>3060</v>
      </c>
      <c r="J171" s="32" t="n">
        <v>3015</v>
      </c>
      <c r="K171" s="32" t="n">
        <v>2961</v>
      </c>
      <c r="L171" s="32" t="n">
        <v>3000</v>
      </c>
      <c r="M171" s="32" t="n">
        <v>2960</v>
      </c>
      <c r="N171" s="32" t="n">
        <v>2981</v>
      </c>
      <c r="O171" s="32" t="n">
        <v>2944</v>
      </c>
      <c r="P171" s="32" t="n">
        <v>2975</v>
      </c>
      <c r="Q171" s="32" t="n">
        <v>2941</v>
      </c>
      <c r="R171" s="32" t="n">
        <v>3030</v>
      </c>
      <c r="S171" s="32" t="n">
        <v>2981</v>
      </c>
      <c r="T171" s="32" t="n">
        <v>2989</v>
      </c>
      <c r="U171" s="32" t="n">
        <v>3055</v>
      </c>
      <c r="V171" s="32" t="n">
        <v>2925</v>
      </c>
      <c r="W171" s="32" t="n">
        <v>2953</v>
      </c>
      <c r="X171" s="32" t="n">
        <v>2945</v>
      </c>
      <c r="Y171" s="32" t="n">
        <v>2969</v>
      </c>
      <c r="Z171" s="32" t="n">
        <v>3000</v>
      </c>
      <c r="AA171" s="32" t="n">
        <v>3030</v>
      </c>
      <c r="AB171" s="32" t="n">
        <v>3035</v>
      </c>
      <c r="AC171" s="32" t="n">
        <v>3045</v>
      </c>
      <c r="AD171" s="32" t="n">
        <v>3130</v>
      </c>
      <c r="AE171" s="32" t="n">
        <v>3100</v>
      </c>
      <c r="AF171" s="32" t="n">
        <v>3200</v>
      </c>
      <c r="AG171" s="32" t="n">
        <v>3265</v>
      </c>
      <c r="AH171" s="32" t="n">
        <v>3135</v>
      </c>
      <c r="AI171" s="32" t="n">
        <v>3180</v>
      </c>
      <c r="AJ171" s="32" t="n">
        <v>2829</v>
      </c>
      <c r="AK171" s="32" t="n">
        <v>2747</v>
      </c>
      <c r="AL171" s="32" t="n">
        <v>2668</v>
      </c>
      <c r="AM171" s="32" t="n">
        <v>2668</v>
      </c>
      <c r="AN171" s="32" t="n">
        <v>2682</v>
      </c>
      <c r="AO171" s="32" t="n">
        <v>2714</v>
      </c>
      <c r="AP171" s="32" t="n">
        <v>2749</v>
      </c>
      <c r="AQ171" s="32" t="n">
        <v>2783</v>
      </c>
      <c r="AR171" s="32" t="n">
        <v>2782</v>
      </c>
      <c r="AS171" s="32" t="n">
        <v>2738</v>
      </c>
      <c r="AT171" s="32" t="n">
        <v>2775</v>
      </c>
      <c r="AU171" s="32" t="n">
        <v>2922</v>
      </c>
      <c r="AV171" s="32" t="n">
        <v>3000</v>
      </c>
      <c r="AW171" s="32" t="n">
        <v>2979</v>
      </c>
      <c r="AX171" s="32" t="n">
        <v>2928</v>
      </c>
      <c r="AY171" s="32" t="n">
        <v>2853</v>
      </c>
      <c r="AZ171" s="32" t="n">
        <v>2822</v>
      </c>
      <c r="BA171" s="32" t="n">
        <v>2803</v>
      </c>
      <c r="BB171" s="32" t="n">
        <v>2850</v>
      </c>
      <c r="BC171" s="32" t="n">
        <v>2833</v>
      </c>
      <c r="BD171" s="32" t="n">
        <v>2777</v>
      </c>
      <c r="BE171" s="32" t="n">
        <v>2762</v>
      </c>
      <c r="BF171" s="32" t="n">
        <v>2870</v>
      </c>
      <c r="BG171" s="32" t="n">
        <v>2869</v>
      </c>
      <c r="BH171" s="32" t="n">
        <v>2875</v>
      </c>
      <c r="BI171" s="32" t="n">
        <v>2807</v>
      </c>
      <c r="BJ171" s="32" t="n">
        <v>2776</v>
      </c>
      <c r="BK171" s="32" t="n">
        <v>2866</v>
      </c>
      <c r="BL171" s="33" t="n">
        <v>2937</v>
      </c>
    </row>
    <row r="172" ht="15.95" customHeight="1" s="574">
      <c r="A172" s="68" t="inlineStr">
        <is>
          <t>8303</t>
        </is>
      </c>
      <c r="B172" s="28" t="inlineStr">
        <is>
          <t>ＳＢＩ新生銀行</t>
        </is>
      </c>
      <c r="C172" s="665">
        <f>_xll.RssMarket("8303","高値")</f>
        <v/>
      </c>
      <c r="D172" s="666">
        <f>C172-E172</f>
        <v/>
      </c>
      <c r="E172" s="37" t="n">
        <v>1452.5</v>
      </c>
      <c r="F172" s="37" t="n">
        <v>1495</v>
      </c>
      <c r="G172" s="32" t="n">
        <v>1494</v>
      </c>
      <c r="H172" s="32" t="n">
        <v>1496</v>
      </c>
      <c r="I172" s="32" t="n">
        <v>1509</v>
      </c>
      <c r="J172" s="32" t="n">
        <v>1526</v>
      </c>
      <c r="K172" s="32" t="n">
        <v>1461.5</v>
      </c>
      <c r="L172" s="32" t="n">
        <v>1463</v>
      </c>
      <c r="M172" s="32" t="n">
        <v>1551</v>
      </c>
      <c r="N172" s="32" t="n">
        <v>1413.5</v>
      </c>
      <c r="O172" s="32" t="n">
        <v>1455.5</v>
      </c>
      <c r="P172" s="32" t="n">
        <v>1442</v>
      </c>
      <c r="Q172" s="32" t="n">
        <v>1412</v>
      </c>
      <c r="R172" s="32" t="n">
        <v>1378</v>
      </c>
      <c r="S172" s="32" t="n">
        <v>1412</v>
      </c>
      <c r="T172" s="32" t="n">
        <v>1406</v>
      </c>
      <c r="U172" s="32" t="n">
        <v>1423</v>
      </c>
      <c r="V172" s="32" t="n">
        <v>1485</v>
      </c>
      <c r="W172" s="32" t="n">
        <v>1538.5</v>
      </c>
      <c r="X172" s="32" t="n">
        <v>1588.5</v>
      </c>
      <c r="Y172" s="32" t="n">
        <v>1607.5</v>
      </c>
      <c r="Z172" s="32" t="n">
        <v>1651.5</v>
      </c>
      <c r="AA172" s="32" t="n">
        <v>1658.5</v>
      </c>
      <c r="AB172" s="32" t="n">
        <v>1648.5</v>
      </c>
      <c r="AC172" s="32" t="n">
        <v>1652.5</v>
      </c>
      <c r="AD172" s="32" t="n">
        <v>1673.5</v>
      </c>
      <c r="AE172" s="32" t="n">
        <v>1671.5</v>
      </c>
      <c r="AF172" s="32" t="n">
        <v>1670</v>
      </c>
      <c r="AG172" s="32" t="n">
        <v>1701.5</v>
      </c>
      <c r="AH172" s="32" t="n">
        <v>1727</v>
      </c>
      <c r="AI172" s="32" t="n">
        <v>1867.5</v>
      </c>
      <c r="AJ172" s="32" t="n">
        <v>1835.5</v>
      </c>
      <c r="AK172" s="32" t="n">
        <v>1821.5</v>
      </c>
      <c r="AL172" s="32" t="n">
        <v>1727</v>
      </c>
      <c r="AM172" s="32" t="n">
        <v>1732.5</v>
      </c>
      <c r="AN172" s="32" t="n">
        <v>1764.5</v>
      </c>
      <c r="AO172" s="32" t="n">
        <v>1661.5</v>
      </c>
      <c r="AP172" s="32" t="n">
        <v>1679</v>
      </c>
      <c r="AQ172" s="32" t="n">
        <v>1697</v>
      </c>
      <c r="AR172" s="32" t="n">
        <v>1718.5</v>
      </c>
      <c r="AS172" s="32" t="n">
        <v>1729</v>
      </c>
      <c r="AT172" s="32" t="n">
        <v>1699</v>
      </c>
      <c r="AU172" s="32" t="n">
        <v>1697.5</v>
      </c>
      <c r="AV172" s="32" t="n">
        <v>1703</v>
      </c>
      <c r="AW172" s="32" t="n">
        <v>1742.5</v>
      </c>
      <c r="AX172" s="32" t="n">
        <v>1764</v>
      </c>
      <c r="AY172" s="32" t="n">
        <v>1828</v>
      </c>
      <c r="AZ172" s="32" t="n">
        <v>1793</v>
      </c>
      <c r="BA172" s="32" t="n">
        <v>1783.5</v>
      </c>
      <c r="BB172" s="32" t="n">
        <v>1737.5</v>
      </c>
      <c r="BC172" s="32" t="n">
        <v>1774</v>
      </c>
      <c r="BD172" s="32" t="n">
        <v>1759.5</v>
      </c>
      <c r="BE172" s="32" t="n">
        <v>1729</v>
      </c>
      <c r="BF172" s="32" t="n">
        <v>1688.5</v>
      </c>
      <c r="BG172" s="32" t="n">
        <v>1732.5</v>
      </c>
      <c r="BH172" s="32" t="n">
        <v>1715</v>
      </c>
      <c r="BI172" s="32" t="n">
        <v>1731</v>
      </c>
      <c r="BJ172" s="32" t="n">
        <v>1698</v>
      </c>
      <c r="BK172" s="32" t="n">
        <v>1666</v>
      </c>
      <c r="BL172" s="33" t="n">
        <v>1689</v>
      </c>
    </row>
    <row r="173" ht="15.95" customHeight="1" s="574">
      <c r="A173" s="68" t="inlineStr">
        <is>
          <t>4382</t>
        </is>
      </c>
      <c r="B173" s="28" t="inlineStr">
        <is>
          <t>ＨＥＲＯＺ</t>
        </is>
      </c>
      <c r="C173" s="665">
        <f>_xll.RssMarket("4382","高値")</f>
        <v/>
      </c>
      <c r="D173" s="666">
        <f>C173-E173</f>
        <v/>
      </c>
      <c r="E173" s="37" t="n">
        <v>762</v>
      </c>
      <c r="F173" s="37" t="n">
        <v>770</v>
      </c>
      <c r="G173" s="32" t="n">
        <v>795</v>
      </c>
      <c r="H173" s="32" t="n">
        <v>800</v>
      </c>
      <c r="I173" s="32" t="n">
        <v>805</v>
      </c>
      <c r="J173" s="32" t="n">
        <v>850</v>
      </c>
      <c r="K173" s="32" t="n">
        <v>815</v>
      </c>
      <c r="L173" s="32" t="n">
        <v>778</v>
      </c>
      <c r="M173" s="32" t="n">
        <v>815</v>
      </c>
      <c r="N173" s="32" t="n">
        <v>715</v>
      </c>
      <c r="O173" s="32" t="n">
        <v>720</v>
      </c>
      <c r="P173" s="32" t="n">
        <v>699</v>
      </c>
      <c r="Q173" s="32" t="n">
        <v>704</v>
      </c>
      <c r="R173" s="32" t="n">
        <v>710</v>
      </c>
      <c r="S173" s="32" t="n">
        <v>727</v>
      </c>
      <c r="T173" s="32" t="n">
        <v>747</v>
      </c>
      <c r="U173" s="32" t="n">
        <v>755</v>
      </c>
      <c r="V173" s="32" t="n">
        <v>771</v>
      </c>
      <c r="W173" s="32" t="n">
        <v>774</v>
      </c>
      <c r="X173" s="32" t="n">
        <v>766</v>
      </c>
      <c r="Y173" s="32" t="n">
        <v>774</v>
      </c>
      <c r="Z173" s="32" t="n">
        <v>768</v>
      </c>
      <c r="AA173" s="32" t="n">
        <v>784</v>
      </c>
      <c r="AB173" s="32" t="n">
        <v>782</v>
      </c>
      <c r="AC173" s="32" t="n">
        <v>790</v>
      </c>
      <c r="AD173" s="32" t="n">
        <v>796</v>
      </c>
      <c r="AE173" s="32" t="n">
        <v>805</v>
      </c>
      <c r="AF173" s="32" t="n">
        <v>812</v>
      </c>
      <c r="AG173" s="32" t="n">
        <v>822</v>
      </c>
      <c r="AH173" s="32" t="n">
        <v>820</v>
      </c>
      <c r="AI173" s="32" t="n">
        <v>811</v>
      </c>
      <c r="AJ173" s="32" t="n">
        <v>823</v>
      </c>
      <c r="AK173" s="32" t="n">
        <v>872</v>
      </c>
      <c r="AL173" s="32" t="n">
        <v>850</v>
      </c>
      <c r="AM173" s="32" t="n">
        <v>854</v>
      </c>
      <c r="AN173" s="32" t="n">
        <v>860</v>
      </c>
      <c r="AO173" s="32" t="n">
        <v>873</v>
      </c>
      <c r="AP173" s="32" t="n">
        <v>881</v>
      </c>
      <c r="AQ173" s="32" t="n">
        <v>916</v>
      </c>
      <c r="AR173" s="32" t="n">
        <v>900</v>
      </c>
      <c r="AS173" s="32" t="n">
        <v>896</v>
      </c>
      <c r="AT173" s="32" t="n">
        <v>873</v>
      </c>
      <c r="AU173" s="32" t="n">
        <v>864</v>
      </c>
      <c r="AV173" s="32" t="n">
        <v>868</v>
      </c>
      <c r="AW173" s="32" t="n">
        <v>881</v>
      </c>
      <c r="AX173" s="32" t="n">
        <v>890</v>
      </c>
      <c r="AY173" s="32" t="n">
        <v>883</v>
      </c>
      <c r="AZ173" s="32" t="n">
        <v>874</v>
      </c>
      <c r="BA173" s="32" t="n">
        <v>867</v>
      </c>
      <c r="BB173" s="32" t="n">
        <v>868</v>
      </c>
      <c r="BC173" s="32" t="n">
        <v>859</v>
      </c>
      <c r="BD173" s="32" t="n">
        <v>854</v>
      </c>
      <c r="BE173" s="32" t="n">
        <v>826</v>
      </c>
      <c r="BF173" s="32" t="n">
        <v>840</v>
      </c>
      <c r="BG173" s="32" t="n">
        <v>830</v>
      </c>
      <c r="BH173" s="32" t="n">
        <v>825</v>
      </c>
      <c r="BI173" s="32" t="n">
        <v>814</v>
      </c>
      <c r="BJ173" s="32" t="n">
        <v>825</v>
      </c>
      <c r="BK173" s="32" t="n">
        <v>861</v>
      </c>
      <c r="BL173" s="33" t="n">
        <v>869</v>
      </c>
    </row>
    <row r="174" ht="15.95" customHeight="1" s="574">
      <c r="A174" s="68" t="inlineStr">
        <is>
          <t>2327</t>
        </is>
      </c>
      <c r="B174" s="28" t="inlineStr">
        <is>
          <t>日鉄ソリューションズ</t>
        </is>
      </c>
      <c r="C174" s="665">
        <f>_xll.RssMarket("2327","高値")</f>
        <v/>
      </c>
      <c r="D174" s="666">
        <f>C174-E174</f>
        <v/>
      </c>
      <c r="E174" s="37" t="n">
        <v>3300</v>
      </c>
      <c r="F174" s="37" t="n">
        <v>3247</v>
      </c>
      <c r="G174" s="32" t="n">
        <v>3193</v>
      </c>
      <c r="H174" s="32" t="n">
        <v>3167</v>
      </c>
      <c r="I174" s="32" t="n">
        <v>3225</v>
      </c>
      <c r="J174" s="32" t="n">
        <v>3291</v>
      </c>
      <c r="K174" s="32" t="n">
        <v>3267</v>
      </c>
      <c r="L174" s="32" t="n">
        <v>3279</v>
      </c>
      <c r="M174" s="32" t="n">
        <v>3315</v>
      </c>
      <c r="N174" s="32" t="n">
        <v>3397</v>
      </c>
      <c r="O174" s="32" t="n">
        <v>3484</v>
      </c>
      <c r="P174" s="32" t="n">
        <v>3448</v>
      </c>
      <c r="Q174" s="32" t="n">
        <v>3590</v>
      </c>
      <c r="R174" s="32" t="n">
        <v>3620</v>
      </c>
      <c r="S174" s="32" t="n">
        <v>3587</v>
      </c>
      <c r="T174" s="32" t="n">
        <v>3593</v>
      </c>
      <c r="U174" s="32" t="n">
        <v>3610</v>
      </c>
      <c r="V174" s="32" t="n">
        <v>3658</v>
      </c>
      <c r="W174" s="32" t="n">
        <v>3596</v>
      </c>
      <c r="X174" s="32" t="n">
        <v>3605</v>
      </c>
      <c r="Y174" s="32" t="n">
        <v>3600</v>
      </c>
      <c r="Z174" s="32" t="n">
        <v>3590</v>
      </c>
      <c r="AA174" s="32" t="n">
        <v>3566</v>
      </c>
      <c r="AB174" s="32" t="n">
        <v>3531</v>
      </c>
      <c r="AC174" s="32" t="n">
        <v>3584</v>
      </c>
      <c r="AD174" s="32" t="n">
        <v>3646</v>
      </c>
      <c r="AE174" s="32" t="n">
        <v>3715</v>
      </c>
      <c r="AF174" s="32" t="n">
        <v>3663</v>
      </c>
      <c r="AG174" s="32" t="n">
        <v>3673</v>
      </c>
      <c r="AH174" s="32" t="n">
        <v>3655</v>
      </c>
      <c r="AI174" s="32" t="n">
        <v>3642</v>
      </c>
      <c r="AJ174" s="32" t="n">
        <v>3679</v>
      </c>
      <c r="AK174" s="32" t="n">
        <v>3725</v>
      </c>
      <c r="AL174" s="32" t="n">
        <v>3723</v>
      </c>
      <c r="AM174" s="32" t="n">
        <v>3711</v>
      </c>
      <c r="AN174" s="32" t="n">
        <v>3867</v>
      </c>
      <c r="AO174" s="32" t="n">
        <v>3930</v>
      </c>
      <c r="AP174" s="32" t="n">
        <v>3894</v>
      </c>
      <c r="AQ174" s="32" t="n">
        <v>3897</v>
      </c>
      <c r="AR174" s="32" t="n">
        <v>3935</v>
      </c>
      <c r="AS174" s="32" t="n">
        <v>3957</v>
      </c>
      <c r="AT174" s="32" t="n">
        <v>3877</v>
      </c>
      <c r="AU174" s="32" t="n">
        <v>3811</v>
      </c>
      <c r="AV174" s="32" t="n">
        <v>3790</v>
      </c>
      <c r="AW174" s="32" t="n">
        <v>3808</v>
      </c>
      <c r="AX174" s="32" t="n">
        <v>3859</v>
      </c>
      <c r="AY174" s="32" t="n">
        <v>3942</v>
      </c>
      <c r="AZ174" s="32" t="n">
        <v>3916</v>
      </c>
      <c r="BA174" s="32" t="n">
        <v>3875</v>
      </c>
      <c r="BB174" s="32" t="n">
        <v>3840</v>
      </c>
      <c r="BC174" s="32" t="n">
        <v>3716</v>
      </c>
      <c r="BD174" s="32" t="n">
        <v>3771</v>
      </c>
      <c r="BE174" s="32" t="n">
        <v>3711</v>
      </c>
      <c r="BF174" s="32" t="n">
        <v>3705</v>
      </c>
      <c r="BG174" s="32" t="n">
        <v>3720</v>
      </c>
      <c r="BH174" s="32" t="n">
        <v>3680</v>
      </c>
      <c r="BI174" s="32" t="n">
        <v>3701</v>
      </c>
      <c r="BJ174" s="32" t="n">
        <v>3720</v>
      </c>
      <c r="BK174" s="32" t="n">
        <v>3713</v>
      </c>
      <c r="BL174" s="33" t="n">
        <v>3773</v>
      </c>
    </row>
    <row r="175" ht="15.95" customHeight="1" s="574">
      <c r="A175" s="68" t="inlineStr">
        <is>
          <t>1942</t>
        </is>
      </c>
      <c r="B175" s="28" t="inlineStr">
        <is>
          <t>関電工</t>
        </is>
      </c>
      <c r="C175" s="665">
        <f>_xll.RssMarket("1942","高値")</f>
        <v/>
      </c>
      <c r="D175" s="666">
        <f>C175-E175</f>
        <v/>
      </c>
      <c r="E175" s="37" t="n">
        <v>6848</v>
      </c>
      <c r="F175" s="37" t="n">
        <v>6829</v>
      </c>
      <c r="G175" s="32" t="n">
        <v>6670</v>
      </c>
      <c r="H175" s="32" t="n">
        <v>6500</v>
      </c>
      <c r="I175" s="32" t="n">
        <v>6320</v>
      </c>
      <c r="J175" s="32" t="n">
        <v>6396</v>
      </c>
      <c r="K175" s="32" t="n">
        <v>5944</v>
      </c>
      <c r="L175" s="32" t="n">
        <v>5886</v>
      </c>
      <c r="M175" s="32" t="n">
        <v>6087</v>
      </c>
      <c r="N175" s="32" t="n">
        <v>5865</v>
      </c>
      <c r="O175" s="32" t="n">
        <v>5914</v>
      </c>
      <c r="P175" s="32" t="n">
        <v>5909</v>
      </c>
      <c r="Q175" s="32" t="n">
        <v>6032</v>
      </c>
      <c r="R175" s="32" t="n">
        <v>6127</v>
      </c>
      <c r="S175" s="32" t="n">
        <v>6648</v>
      </c>
      <c r="T175" s="32" t="n">
        <v>6626</v>
      </c>
      <c r="U175" s="32" t="n">
        <v>6710</v>
      </c>
      <c r="V175" s="32" t="n">
        <v>6442</v>
      </c>
      <c r="W175" s="32" t="n">
        <v>6129</v>
      </c>
      <c r="X175" s="32" t="n">
        <v>6252</v>
      </c>
      <c r="Y175" s="32" t="n">
        <v>6355</v>
      </c>
      <c r="Z175" s="32" t="n">
        <v>6587</v>
      </c>
      <c r="AA175" s="32" t="n">
        <v>6823</v>
      </c>
      <c r="AB175" s="32" t="n">
        <v>7047</v>
      </c>
      <c r="AC175" s="32" t="n">
        <v>7250</v>
      </c>
      <c r="AD175" s="32" t="n">
        <v>7372</v>
      </c>
      <c r="AE175" s="32" t="n">
        <v>7460</v>
      </c>
      <c r="AF175" s="32" t="n">
        <v>7198</v>
      </c>
      <c r="AG175" s="32" t="n">
        <v>7054</v>
      </c>
      <c r="AH175" s="32" t="n">
        <v>7025</v>
      </c>
      <c r="AI175" s="32" t="n">
        <v>7029</v>
      </c>
      <c r="AJ175" s="32" t="n">
        <v>6838</v>
      </c>
      <c r="AK175" s="32" t="n">
        <v>6797</v>
      </c>
      <c r="AL175" s="32" t="n">
        <v>6110</v>
      </c>
      <c r="AM175" s="32" t="n">
        <v>6109</v>
      </c>
      <c r="AN175" s="32" t="n">
        <v>6092</v>
      </c>
      <c r="AO175" s="32" t="n">
        <v>6140</v>
      </c>
      <c r="AP175" s="32" t="n">
        <v>6198</v>
      </c>
      <c r="AQ175" s="32" t="n">
        <v>6217</v>
      </c>
      <c r="AR175" s="32" t="n">
        <v>6195</v>
      </c>
      <c r="AS175" s="32" t="n">
        <v>6202</v>
      </c>
      <c r="AT175" s="32" t="n">
        <v>6427</v>
      </c>
      <c r="AU175" s="32" t="n">
        <v>6379</v>
      </c>
      <c r="AV175" s="32" t="n">
        <v>6368</v>
      </c>
      <c r="AW175" s="32" t="n">
        <v>6453</v>
      </c>
      <c r="AX175" s="32" t="n">
        <v>6408</v>
      </c>
      <c r="AY175" s="32" t="n">
        <v>6361</v>
      </c>
      <c r="AZ175" s="32" t="n">
        <v>6119</v>
      </c>
      <c r="BA175" s="32" t="n">
        <v>6162</v>
      </c>
      <c r="BB175" s="32" t="n">
        <v>6139</v>
      </c>
      <c r="BC175" s="32" t="n">
        <v>6306</v>
      </c>
      <c r="BD175" s="32" t="n">
        <v>6200</v>
      </c>
      <c r="BE175" s="32" t="n">
        <v>5985</v>
      </c>
      <c r="BF175" s="32" t="n">
        <v>6010</v>
      </c>
      <c r="BG175" s="32" t="n">
        <v>6241</v>
      </c>
      <c r="BH175" s="32" t="n">
        <v>6400</v>
      </c>
      <c r="BI175" s="32" t="n">
        <v>6352</v>
      </c>
      <c r="BJ175" s="32" t="n">
        <v>6119</v>
      </c>
      <c r="BK175" s="32" t="n">
        <v>6017</v>
      </c>
      <c r="BL175" s="33" t="n">
        <v>6227</v>
      </c>
    </row>
    <row r="176" ht="15.95" customHeight="1" s="574">
      <c r="A176" s="68" t="inlineStr">
        <is>
          <t>1938</t>
        </is>
      </c>
      <c r="B176" s="28" t="inlineStr">
        <is>
          <t>日本リーテック</t>
        </is>
      </c>
      <c r="C176" s="665">
        <f>_xll.RssMarket("1938","高値")</f>
        <v/>
      </c>
      <c r="D176" s="666">
        <f>C176-E176</f>
        <v/>
      </c>
      <c r="E176" s="37" t="n">
        <v>2804</v>
      </c>
      <c r="F176" s="37" t="n">
        <v>2892</v>
      </c>
      <c r="G176" s="32" t="n">
        <v>2865</v>
      </c>
      <c r="H176" s="32" t="n">
        <v>2841</v>
      </c>
      <c r="I176" s="32" t="n">
        <v>2791</v>
      </c>
      <c r="J176" s="32" t="n">
        <v>2821</v>
      </c>
      <c r="K176" s="32" t="n">
        <v>2738</v>
      </c>
      <c r="L176" s="32" t="n">
        <v>2712</v>
      </c>
      <c r="M176" s="32" t="n">
        <v>2754</v>
      </c>
      <c r="N176" s="32" t="n">
        <v>2745</v>
      </c>
      <c r="O176" s="32" t="n">
        <v>2822</v>
      </c>
      <c r="P176" s="32" t="n">
        <v>2788</v>
      </c>
      <c r="Q176" s="32" t="n">
        <v>2772</v>
      </c>
      <c r="R176" s="32" t="n">
        <v>2736</v>
      </c>
      <c r="S176" s="32" t="n">
        <v>2870</v>
      </c>
      <c r="T176" s="32" t="n">
        <v>2840</v>
      </c>
      <c r="U176" s="32" t="n">
        <v>2850</v>
      </c>
      <c r="V176" s="32" t="n">
        <v>2830</v>
      </c>
      <c r="W176" s="32" t="n">
        <v>2668</v>
      </c>
      <c r="X176" s="32" t="n">
        <v>2756</v>
      </c>
      <c r="Y176" s="32" t="n">
        <v>2773</v>
      </c>
      <c r="Z176" s="32" t="n">
        <v>2899</v>
      </c>
      <c r="AA176" s="32" t="n">
        <v>2883</v>
      </c>
      <c r="AB176" s="32" t="n">
        <v>3030</v>
      </c>
      <c r="AC176" s="32" t="n">
        <v>3015</v>
      </c>
      <c r="AD176" s="32" t="n">
        <v>3220</v>
      </c>
      <c r="AE176" s="32" t="n">
        <v>3125</v>
      </c>
      <c r="AF176" s="32" t="n">
        <v>3040</v>
      </c>
      <c r="AG176" s="32" t="n">
        <v>2926</v>
      </c>
      <c r="AH176" s="32" t="n">
        <v>2924</v>
      </c>
      <c r="AI176" s="32" t="n">
        <v>2833</v>
      </c>
      <c r="AJ176" s="32" t="n">
        <v>2718</v>
      </c>
      <c r="AK176" s="32" t="n">
        <v>2749</v>
      </c>
      <c r="AL176" s="32" t="n">
        <v>2558</v>
      </c>
      <c r="AM176" s="32" t="n">
        <v>2606</v>
      </c>
      <c r="AN176" s="32" t="n">
        <v>2575</v>
      </c>
      <c r="AO176" s="32" t="n">
        <v>2570</v>
      </c>
      <c r="AP176" s="32" t="n">
        <v>2617</v>
      </c>
      <c r="AQ176" s="32" t="n">
        <v>2554</v>
      </c>
      <c r="AR176" s="32" t="n">
        <v>2585</v>
      </c>
      <c r="AS176" s="32" t="n">
        <v>2632</v>
      </c>
      <c r="AT176" s="32" t="n">
        <v>2687</v>
      </c>
      <c r="AU176" s="32" t="n">
        <v>2735</v>
      </c>
      <c r="AV176" s="32" t="n">
        <v>2711</v>
      </c>
      <c r="AW176" s="32" t="n">
        <v>2708</v>
      </c>
      <c r="AX176" s="32" t="n">
        <v>2726</v>
      </c>
      <c r="AY176" s="32" t="n">
        <v>2700</v>
      </c>
      <c r="AZ176" s="32" t="n">
        <v>2597</v>
      </c>
      <c r="BA176" s="32" t="n">
        <v>2560</v>
      </c>
      <c r="BB176" s="32" t="n">
        <v>2549</v>
      </c>
      <c r="BC176" s="32" t="n">
        <v>2608</v>
      </c>
      <c r="BD176" s="32" t="n">
        <v>2588</v>
      </c>
      <c r="BE176" s="32" t="n">
        <v>2552</v>
      </c>
      <c r="BF176" s="32" t="n">
        <v>2547</v>
      </c>
      <c r="BG176" s="32" t="n">
        <v>2672</v>
      </c>
      <c r="BH176" s="32" t="n">
        <v>2732</v>
      </c>
      <c r="BI176" s="32" t="n">
        <v>2742</v>
      </c>
      <c r="BJ176" s="32" t="n">
        <v>2604</v>
      </c>
      <c r="BK176" s="32" t="n">
        <v>2612</v>
      </c>
      <c r="BL176" s="33" t="n">
        <v>2728</v>
      </c>
    </row>
    <row r="177" ht="15.95" customHeight="1" s="574">
      <c r="A177" s="68" t="inlineStr">
        <is>
          <t>7236</t>
        </is>
      </c>
      <c r="B177" s="28" t="inlineStr">
        <is>
          <t>ティラド</t>
        </is>
      </c>
      <c r="C177" s="665">
        <f>_xll.RssMarket("7236","高値")</f>
        <v/>
      </c>
      <c r="D177" s="666">
        <f>C177-E177</f>
        <v/>
      </c>
      <c r="E177" s="37" t="n">
        <v>15050</v>
      </c>
      <c r="F177" s="37" t="n">
        <v>14550</v>
      </c>
      <c r="G177" s="32" t="n">
        <v>14580</v>
      </c>
      <c r="H177" s="32" t="n">
        <v>14520</v>
      </c>
      <c r="I177" s="32" t="n">
        <v>14430</v>
      </c>
      <c r="J177" s="32" t="n">
        <v>14730</v>
      </c>
      <c r="K177" s="32" t="n">
        <v>14340</v>
      </c>
      <c r="L177" s="32" t="n">
        <v>14200</v>
      </c>
      <c r="M177" s="32" t="n">
        <v>14630</v>
      </c>
      <c r="N177" s="32" t="n">
        <v>14180</v>
      </c>
      <c r="O177" s="32" t="n">
        <v>14410</v>
      </c>
      <c r="P177" s="32" t="n">
        <v>14300</v>
      </c>
      <c r="Q177" s="32" t="n">
        <v>15160</v>
      </c>
      <c r="R177" s="32" t="n">
        <v>15180</v>
      </c>
      <c r="S177" s="32" t="n">
        <v>15240</v>
      </c>
      <c r="T177" s="32" t="n">
        <v>14910</v>
      </c>
      <c r="U177" s="32" t="n">
        <v>15400</v>
      </c>
      <c r="V177" s="32" t="n">
        <v>15810</v>
      </c>
      <c r="W177" s="32" t="n">
        <v>14960</v>
      </c>
      <c r="X177" s="32" t="n">
        <v>14360</v>
      </c>
      <c r="Y177" s="32" t="n">
        <v>13800</v>
      </c>
      <c r="Z177" s="32" t="n">
        <v>13950</v>
      </c>
      <c r="AA177" s="32" t="n">
        <v>14320</v>
      </c>
      <c r="AB177" s="32" t="n">
        <v>14690</v>
      </c>
      <c r="AC177" s="32" t="n">
        <v>14800</v>
      </c>
      <c r="AD177" s="32" t="n">
        <v>14790</v>
      </c>
      <c r="AE177" s="32" t="n">
        <v>15220</v>
      </c>
      <c r="AF177" s="32" t="n">
        <v>15090</v>
      </c>
      <c r="AG177" s="32" t="n">
        <v>15290</v>
      </c>
      <c r="AH177" s="32" t="n">
        <v>15900</v>
      </c>
      <c r="AI177" s="32" t="n">
        <v>11110</v>
      </c>
      <c r="AJ177" s="32" t="n">
        <v>9610</v>
      </c>
      <c r="AK177" s="32" t="n">
        <v>8180</v>
      </c>
      <c r="AL177" s="32" t="n">
        <v>8810</v>
      </c>
      <c r="AM177" s="32" t="n">
        <v>8790</v>
      </c>
      <c r="AN177" s="32" t="n">
        <v>9140</v>
      </c>
      <c r="AO177" s="32" t="n">
        <v>9260</v>
      </c>
      <c r="AP177" s="32" t="n">
        <v>9230</v>
      </c>
      <c r="AQ177" s="32" t="n">
        <v>9140</v>
      </c>
      <c r="AR177" s="32" t="n">
        <v>9140</v>
      </c>
      <c r="AS177" s="32" t="n">
        <v>8550</v>
      </c>
      <c r="AT177" s="32" t="n">
        <v>8400</v>
      </c>
      <c r="AU177" s="32" t="n">
        <v>8350</v>
      </c>
      <c r="AV177" s="32" t="n">
        <v>8400</v>
      </c>
      <c r="AW177" s="32" t="n">
        <v>8400</v>
      </c>
      <c r="AX177" s="32" t="n">
        <v>8530</v>
      </c>
      <c r="AY177" s="32" t="n">
        <v>8200</v>
      </c>
      <c r="AZ177" s="32" t="n">
        <v>8200</v>
      </c>
      <c r="BA177" s="32" t="n">
        <v>8230</v>
      </c>
      <c r="BB177" s="32" t="n">
        <v>8340</v>
      </c>
      <c r="BC177" s="32" t="n">
        <v>8230</v>
      </c>
      <c r="BD177" s="32" t="n">
        <v>7980</v>
      </c>
      <c r="BE177" s="32" t="n">
        <v>7980</v>
      </c>
      <c r="BF177" s="32" t="n">
        <v>8400</v>
      </c>
      <c r="BG177" s="32" t="n">
        <v>8700</v>
      </c>
      <c r="BH177" s="32" t="n">
        <v>8820</v>
      </c>
      <c r="BI177" s="32" t="n">
        <v>8630</v>
      </c>
      <c r="BJ177" s="32" t="n">
        <v>8580</v>
      </c>
      <c r="BK177" s="32" t="n">
        <v>9090</v>
      </c>
      <c r="BL177" s="33" t="n">
        <v>9320</v>
      </c>
    </row>
    <row r="178" ht="15.95" customHeight="1" s="574">
      <c r="A178" s="68" t="inlineStr">
        <is>
          <t>6436</t>
        </is>
      </c>
      <c r="B178" s="28" t="inlineStr">
        <is>
          <t>アマノ</t>
        </is>
      </c>
      <c r="C178" s="665">
        <f>_xll.RssMarket("6436","高値")</f>
        <v/>
      </c>
      <c r="D178" s="666">
        <f>C178-E178</f>
        <v/>
      </c>
      <c r="E178" s="37" t="n">
        <v>3597</v>
      </c>
      <c r="F178" s="37" t="n">
        <v>3581</v>
      </c>
      <c r="G178" s="32" t="n">
        <v>3599</v>
      </c>
      <c r="H178" s="32" t="n">
        <v>3578</v>
      </c>
      <c r="I178" s="32" t="n">
        <v>3640</v>
      </c>
      <c r="J178" s="32" t="n">
        <v>3637</v>
      </c>
      <c r="K178" s="32" t="n">
        <v>3646</v>
      </c>
      <c r="L178" s="32" t="n">
        <v>3642</v>
      </c>
      <c r="M178" s="32" t="n">
        <v>3577</v>
      </c>
      <c r="N178" s="32" t="n">
        <v>3555</v>
      </c>
      <c r="O178" s="32" t="n">
        <v>3526</v>
      </c>
      <c r="P178" s="32" t="n">
        <v>3543</v>
      </c>
      <c r="Q178" s="32" t="n">
        <v>3544</v>
      </c>
      <c r="R178" s="32" t="n">
        <v>3618</v>
      </c>
      <c r="S178" s="32" t="n">
        <v>3585</v>
      </c>
      <c r="T178" s="32" t="n">
        <v>3574</v>
      </c>
      <c r="U178" s="32" t="n">
        <v>3660</v>
      </c>
      <c r="V178" s="32" t="n">
        <v>3635</v>
      </c>
      <c r="W178" s="32" t="n">
        <v>3669</v>
      </c>
      <c r="X178" s="32" t="n">
        <v>3696</v>
      </c>
      <c r="Y178" s="32" t="n">
        <v>3717</v>
      </c>
      <c r="Z178" s="32" t="n">
        <v>3687</v>
      </c>
      <c r="AA178" s="32" t="n">
        <v>3705</v>
      </c>
      <c r="AB178" s="32" t="n">
        <v>3689</v>
      </c>
      <c r="AC178" s="32" t="n">
        <v>3682</v>
      </c>
      <c r="AD178" s="32" t="n">
        <v>3702</v>
      </c>
      <c r="AE178" s="32" t="n">
        <v>3711</v>
      </c>
      <c r="AF178" s="32" t="n">
        <v>3687</v>
      </c>
      <c r="AG178" s="32" t="n">
        <v>3627</v>
      </c>
      <c r="AH178" s="32" t="n">
        <v>3623</v>
      </c>
      <c r="AI178" s="32" t="n">
        <v>3717</v>
      </c>
      <c r="AJ178" s="32" t="n">
        <v>3762</v>
      </c>
      <c r="AK178" s="32" t="n">
        <v>3929</v>
      </c>
      <c r="AL178" s="32" t="n">
        <v>3845</v>
      </c>
      <c r="AM178" s="32" t="n">
        <v>3850</v>
      </c>
      <c r="AN178" s="32" t="n">
        <v>3876</v>
      </c>
      <c r="AO178" s="32" t="n">
        <v>3877</v>
      </c>
      <c r="AP178" s="32" t="n">
        <v>3969</v>
      </c>
      <c r="AQ178" s="32" t="n">
        <v>3927</v>
      </c>
      <c r="AR178" s="32" t="n">
        <v>3912</v>
      </c>
      <c r="AS178" s="32" t="n">
        <v>3894</v>
      </c>
      <c r="AT178" s="32" t="n">
        <v>3910</v>
      </c>
      <c r="AU178" s="32" t="n">
        <v>3910</v>
      </c>
      <c r="AV178" s="32" t="n">
        <v>3954</v>
      </c>
      <c r="AW178" s="32" t="n">
        <v>3968</v>
      </c>
      <c r="AX178" s="32" t="n">
        <v>3939</v>
      </c>
      <c r="AY178" s="32" t="n">
        <v>3911</v>
      </c>
      <c r="AZ178" s="32" t="n">
        <v>3895</v>
      </c>
      <c r="BA178" s="32" t="n">
        <v>3861</v>
      </c>
      <c r="BB178" s="32" t="n">
        <v>3891</v>
      </c>
      <c r="BC178" s="32" t="n">
        <v>3865</v>
      </c>
      <c r="BD178" s="32" t="n">
        <v>3830</v>
      </c>
      <c r="BE178" s="32" t="n">
        <v>3765</v>
      </c>
      <c r="BF178" s="32" t="n">
        <v>3909</v>
      </c>
      <c r="BG178" s="32" t="n">
        <v>3906</v>
      </c>
      <c r="BH178" s="32" t="n">
        <v>3916</v>
      </c>
      <c r="BI178" s="32" t="n">
        <v>3867</v>
      </c>
      <c r="BJ178" s="32" t="n">
        <v>3827</v>
      </c>
      <c r="BK178" s="32" t="n">
        <v>3909</v>
      </c>
      <c r="BL178" s="33" t="n">
        <v>3916</v>
      </c>
    </row>
    <row r="179" ht="15.95" customHeight="1" s="574">
      <c r="A179" s="68" t="inlineStr">
        <is>
          <t>5410</t>
        </is>
      </c>
      <c r="B179" s="28" t="inlineStr">
        <is>
          <t>合同製鐵</t>
        </is>
      </c>
      <c r="C179" s="665">
        <f>_xll.RssMarket("5410","高値")</f>
        <v/>
      </c>
      <c r="D179" s="666">
        <f>C179-E179</f>
        <v/>
      </c>
      <c r="E179" s="37" t="n">
        <v>2625</v>
      </c>
      <c r="F179" s="37" t="n">
        <v>2633</v>
      </c>
      <c r="G179" s="32" t="n">
        <v>2624</v>
      </c>
      <c r="H179" s="32" t="n">
        <v>2668</v>
      </c>
      <c r="I179" s="32" t="n">
        <v>2623</v>
      </c>
      <c r="J179" s="32" t="n">
        <v>2656</v>
      </c>
      <c r="K179" s="32" t="n">
        <v>2609</v>
      </c>
      <c r="L179" s="32" t="n">
        <v>2555</v>
      </c>
      <c r="M179" s="32" t="n">
        <v>2553</v>
      </c>
      <c r="N179" s="32" t="n">
        <v>2588</v>
      </c>
      <c r="O179" s="32" t="n">
        <v>2593</v>
      </c>
      <c r="P179" s="32" t="n">
        <v>2579</v>
      </c>
      <c r="Q179" s="32" t="n">
        <v>2617</v>
      </c>
      <c r="R179" s="32" t="n">
        <v>2601</v>
      </c>
      <c r="S179" s="32" t="n">
        <v>2776</v>
      </c>
      <c r="T179" s="32" t="n">
        <v>2733</v>
      </c>
      <c r="U179" s="32" t="n">
        <v>2722</v>
      </c>
      <c r="V179" s="32" t="n">
        <v>2693</v>
      </c>
      <c r="W179" s="32" t="n">
        <v>2725</v>
      </c>
      <c r="X179" s="32" t="n">
        <v>2729</v>
      </c>
      <c r="Y179" s="32" t="n">
        <v>2762</v>
      </c>
      <c r="Z179" s="32" t="n">
        <v>2816</v>
      </c>
      <c r="AA179" s="32" t="n">
        <v>2838</v>
      </c>
      <c r="AB179" s="32" t="n">
        <v>2875</v>
      </c>
      <c r="AC179" s="32" t="n">
        <v>2871</v>
      </c>
      <c r="AD179" s="32" t="n">
        <v>2880</v>
      </c>
      <c r="AE179" s="32" t="n">
        <v>2875</v>
      </c>
      <c r="AF179" s="32" t="n">
        <v>2886</v>
      </c>
      <c r="AG179" s="32" t="n">
        <v>2892</v>
      </c>
      <c r="AH179" s="32" t="n">
        <v>2919</v>
      </c>
      <c r="AI179" s="32" t="n">
        <v>2896</v>
      </c>
      <c r="AJ179" s="32" t="n">
        <v>2926</v>
      </c>
      <c r="AK179" s="32" t="n">
        <v>3035</v>
      </c>
      <c r="AL179" s="32" t="n">
        <v>3635</v>
      </c>
      <c r="AM179" s="32" t="n">
        <v>3460</v>
      </c>
      <c r="AN179" s="32" t="n">
        <v>3510</v>
      </c>
      <c r="AO179" s="32" t="n">
        <v>3545</v>
      </c>
      <c r="AP179" s="32" t="n">
        <v>3570</v>
      </c>
      <c r="AQ179" s="32" t="n">
        <v>3575</v>
      </c>
      <c r="AR179" s="32" t="n">
        <v>3575</v>
      </c>
      <c r="AS179" s="32" t="n">
        <v>3580</v>
      </c>
      <c r="AT179" s="32" t="n">
        <v>3605</v>
      </c>
      <c r="AU179" s="32" t="n">
        <v>3580</v>
      </c>
      <c r="AV179" s="32" t="n">
        <v>3620</v>
      </c>
      <c r="AW179" s="32" t="n">
        <v>3660</v>
      </c>
      <c r="AX179" s="32" t="n">
        <v>3720</v>
      </c>
      <c r="AY179" s="32" t="n">
        <v>3760</v>
      </c>
      <c r="AZ179" s="32" t="n">
        <v>3720</v>
      </c>
      <c r="BA179" s="32" t="n">
        <v>3715</v>
      </c>
      <c r="BB179" s="32" t="n">
        <v>3720</v>
      </c>
      <c r="BC179" s="32" t="n">
        <v>3755</v>
      </c>
      <c r="BD179" s="32" t="n">
        <v>3725</v>
      </c>
      <c r="BE179" s="32" t="n">
        <v>3685</v>
      </c>
      <c r="BF179" s="32" t="n">
        <v>3645</v>
      </c>
      <c r="BG179" s="32" t="n">
        <v>3760</v>
      </c>
      <c r="BH179" s="32" t="n">
        <v>3745</v>
      </c>
      <c r="BI179" s="32" t="n">
        <v>3760</v>
      </c>
      <c r="BJ179" s="32" t="n">
        <v>3700</v>
      </c>
      <c r="BK179" s="32" t="n">
        <v>3645</v>
      </c>
      <c r="BL179" s="33" t="n">
        <v>3765</v>
      </c>
    </row>
    <row r="180" ht="15.95" customHeight="1" s="574">
      <c r="A180" s="68" t="inlineStr">
        <is>
          <t>5440</t>
        </is>
      </c>
      <c r="B180" s="28" t="inlineStr">
        <is>
          <t>共英製鋼</t>
        </is>
      </c>
      <c r="C180" s="665">
        <f>_xll.RssMarket("5440","高値")</f>
        <v/>
      </c>
      <c r="D180" s="666">
        <f>C180-E180</f>
        <v/>
      </c>
      <c r="E180" s="37" t="n">
        <v>1767</v>
      </c>
      <c r="F180" s="37" t="n">
        <v>1756</v>
      </c>
      <c r="G180" s="32" t="n">
        <v>1787</v>
      </c>
      <c r="H180" s="32" t="n">
        <v>1772</v>
      </c>
      <c r="I180" s="32" t="n">
        <v>1788</v>
      </c>
      <c r="J180" s="32" t="n">
        <v>1771</v>
      </c>
      <c r="K180" s="32" t="n">
        <v>1721</v>
      </c>
      <c r="L180" s="32" t="n">
        <v>1727</v>
      </c>
      <c r="M180" s="32" t="n">
        <v>1743</v>
      </c>
      <c r="N180" s="32" t="n">
        <v>1766</v>
      </c>
      <c r="O180" s="32" t="n">
        <v>1754</v>
      </c>
      <c r="P180" s="32" t="n">
        <v>1757</v>
      </c>
      <c r="Q180" s="32" t="n">
        <v>1750</v>
      </c>
      <c r="R180" s="32" t="n">
        <v>1839</v>
      </c>
      <c r="S180" s="32" t="n">
        <v>1837</v>
      </c>
      <c r="T180" s="32" t="n">
        <v>1836</v>
      </c>
      <c r="U180" s="32" t="n">
        <v>1880</v>
      </c>
      <c r="V180" s="32" t="n">
        <v>1862</v>
      </c>
      <c r="W180" s="32" t="n">
        <v>1865</v>
      </c>
      <c r="X180" s="32" t="n">
        <v>1831</v>
      </c>
      <c r="Y180" s="32" t="n">
        <v>1865</v>
      </c>
      <c r="Z180" s="32" t="n">
        <v>1875</v>
      </c>
      <c r="AA180" s="32" t="n">
        <v>1883</v>
      </c>
      <c r="AB180" s="32" t="n">
        <v>1890</v>
      </c>
      <c r="AC180" s="32" t="n">
        <v>1841</v>
      </c>
      <c r="AD180" s="32" t="n">
        <v>1847</v>
      </c>
      <c r="AE180" s="32" t="n">
        <v>1840</v>
      </c>
      <c r="AF180" s="32" t="n">
        <v>1828</v>
      </c>
      <c r="AG180" s="32" t="n">
        <v>1847</v>
      </c>
      <c r="AH180" s="32" t="n">
        <v>1915</v>
      </c>
      <c r="AI180" s="32" t="n">
        <v>2267</v>
      </c>
      <c r="AJ180" s="32" t="n">
        <v>2185</v>
      </c>
      <c r="AK180" s="32" t="n">
        <v>2240</v>
      </c>
      <c r="AL180" s="32" t="n">
        <v>2254</v>
      </c>
      <c r="AM180" s="32" t="n">
        <v>2276</v>
      </c>
      <c r="AN180" s="32" t="n">
        <v>2280</v>
      </c>
      <c r="AO180" s="32" t="n">
        <v>2334</v>
      </c>
      <c r="AP180" s="32" t="n">
        <v>2313</v>
      </c>
      <c r="AQ180" s="32" t="n">
        <v>2313</v>
      </c>
      <c r="AR180" s="32" t="n">
        <v>2347</v>
      </c>
      <c r="AS180" s="32" t="n">
        <v>2373</v>
      </c>
      <c r="AT180" s="32" t="n">
        <v>2373</v>
      </c>
      <c r="AU180" s="32" t="n">
        <v>2388</v>
      </c>
      <c r="AV180" s="32" t="n">
        <v>2415</v>
      </c>
      <c r="AW180" s="32" t="n">
        <v>2439</v>
      </c>
      <c r="AX180" s="32" t="n">
        <v>2436</v>
      </c>
      <c r="AY180" s="32" t="n">
        <v>2396</v>
      </c>
      <c r="AZ180" s="32" t="n">
        <v>2414</v>
      </c>
      <c r="BA180" s="32" t="n">
        <v>2413</v>
      </c>
      <c r="BB180" s="32" t="n">
        <v>2417</v>
      </c>
      <c r="BC180" s="32" t="n">
        <v>2414</v>
      </c>
      <c r="BD180" s="32" t="n">
        <v>2366</v>
      </c>
      <c r="BE180" s="32" t="n">
        <v>2338</v>
      </c>
      <c r="BF180" s="32" t="n">
        <v>2433</v>
      </c>
      <c r="BG180" s="32" t="n">
        <v>2404</v>
      </c>
      <c r="BH180" s="32" t="n">
        <v>2426</v>
      </c>
      <c r="BI180" s="32" t="n">
        <v>2373</v>
      </c>
      <c r="BJ180" s="32" t="n">
        <v>2313</v>
      </c>
      <c r="BK180" s="32" t="n">
        <v>2409</v>
      </c>
      <c r="BL180" s="33" t="n">
        <v>2446</v>
      </c>
    </row>
    <row r="181" ht="15.95" customHeight="1" s="574">
      <c r="A181" s="68" t="inlineStr">
        <is>
          <t>9505</t>
        </is>
      </c>
      <c r="B181" s="28" t="inlineStr">
        <is>
          <t>北陸電力</t>
        </is>
      </c>
      <c r="C181" s="665">
        <f>_xll.RssMarket("9505","高値")</f>
        <v/>
      </c>
      <c r="D181" s="666">
        <f>C181-E181</f>
        <v/>
      </c>
      <c r="E181" s="37" t="n">
        <v>849.7</v>
      </c>
      <c r="F181" s="37" t="n">
        <v>854.6</v>
      </c>
      <c r="G181" s="32" t="n">
        <v>863.8</v>
      </c>
      <c r="H181" s="32" t="n">
        <v>859.5</v>
      </c>
      <c r="I181" s="32" t="n">
        <v>873.2</v>
      </c>
      <c r="J181" s="32" t="n">
        <v>888</v>
      </c>
      <c r="K181" s="32" t="n">
        <v>866.5</v>
      </c>
      <c r="L181" s="32" t="n">
        <v>869</v>
      </c>
      <c r="M181" s="32" t="n">
        <v>857.8</v>
      </c>
      <c r="N181" s="32" t="n">
        <v>833.3</v>
      </c>
      <c r="O181" s="32" t="n">
        <v>827.2</v>
      </c>
      <c r="P181" s="32" t="n">
        <v>813</v>
      </c>
      <c r="Q181" s="32" t="n">
        <v>827.1</v>
      </c>
      <c r="R181" s="32" t="n">
        <v>811.7</v>
      </c>
      <c r="S181" s="32" t="n">
        <v>843.6</v>
      </c>
      <c r="T181" s="32" t="n">
        <v>861.2</v>
      </c>
      <c r="U181" s="32" t="n">
        <v>867.7</v>
      </c>
      <c r="V181" s="32" t="n">
        <v>870.4</v>
      </c>
      <c r="W181" s="32" t="n">
        <v>882.5</v>
      </c>
      <c r="X181" s="32" t="n">
        <v>881.5</v>
      </c>
      <c r="Y181" s="32" t="n">
        <v>886.7</v>
      </c>
      <c r="Z181" s="32" t="n">
        <v>879.7</v>
      </c>
      <c r="AA181" s="32" t="n">
        <v>901</v>
      </c>
      <c r="AB181" s="32" t="n">
        <v>921.8</v>
      </c>
      <c r="AC181" s="32" t="n">
        <v>922</v>
      </c>
      <c r="AD181" s="32" t="n">
        <v>927.7</v>
      </c>
      <c r="AE181" s="32" t="n">
        <v>921.2</v>
      </c>
      <c r="AF181" s="32" t="n">
        <v>905.1</v>
      </c>
      <c r="AG181" s="32" t="n">
        <v>914.7</v>
      </c>
      <c r="AH181" s="32" t="n">
        <v>900.5</v>
      </c>
      <c r="AI181" s="32" t="n">
        <v>871.7</v>
      </c>
      <c r="AJ181" s="32" t="n">
        <v>916.6</v>
      </c>
      <c r="AK181" s="32" t="n">
        <v>1005</v>
      </c>
      <c r="AL181" s="32" t="n">
        <v>994</v>
      </c>
      <c r="AM181" s="32" t="n">
        <v>1006.5</v>
      </c>
      <c r="AN181" s="32" t="n">
        <v>998.3</v>
      </c>
      <c r="AO181" s="32" t="n">
        <v>1011.5</v>
      </c>
      <c r="AP181" s="32" t="n">
        <v>1032</v>
      </c>
      <c r="AQ181" s="32" t="n">
        <v>1064</v>
      </c>
      <c r="AR181" s="32" t="n">
        <v>1080</v>
      </c>
      <c r="AS181" s="32" t="n">
        <v>1090</v>
      </c>
      <c r="AT181" s="32" t="n">
        <v>1097</v>
      </c>
      <c r="AU181" s="32" t="n">
        <v>1096.5</v>
      </c>
      <c r="AV181" s="32" t="n">
        <v>1114.5</v>
      </c>
      <c r="AW181" s="32" t="n">
        <v>1134</v>
      </c>
      <c r="AX181" s="32" t="n">
        <v>1118</v>
      </c>
      <c r="AY181" s="32" t="n">
        <v>1130</v>
      </c>
      <c r="AZ181" s="32" t="n">
        <v>1127</v>
      </c>
      <c r="BA181" s="32" t="n">
        <v>1115</v>
      </c>
      <c r="BB181" s="32" t="n">
        <v>1120.5</v>
      </c>
      <c r="BC181" s="32" t="n">
        <v>1129</v>
      </c>
      <c r="BD181" s="32" t="n">
        <v>1106.5</v>
      </c>
      <c r="BE181" s="32" t="n">
        <v>1098</v>
      </c>
      <c r="BF181" s="32" t="n">
        <v>1094</v>
      </c>
      <c r="BG181" s="32" t="n">
        <v>1107</v>
      </c>
      <c r="BH181" s="32" t="n">
        <v>1094</v>
      </c>
      <c r="BI181" s="32" t="n">
        <v>1085.5</v>
      </c>
      <c r="BJ181" s="32" t="n">
        <v>1064</v>
      </c>
      <c r="BK181" s="32" t="n">
        <v>1063.5</v>
      </c>
      <c r="BL181" s="33" t="n">
        <v>1120</v>
      </c>
    </row>
    <row r="182" ht="15.95" customHeight="1" s="574">
      <c r="A182" s="68" t="inlineStr">
        <is>
          <t>8091</t>
        </is>
      </c>
      <c r="B182" s="28" t="inlineStr">
        <is>
          <t>ニチモウ</t>
        </is>
      </c>
      <c r="C182" s="665">
        <f>_xll.RssMarket("8091","高値")</f>
        <v/>
      </c>
      <c r="D182" s="666">
        <f>C182-E182</f>
        <v/>
      </c>
      <c r="E182" s="37" t="n">
        <v>2294</v>
      </c>
      <c r="F182" s="37" t="n">
        <v>2300</v>
      </c>
      <c r="G182" s="32" t="n">
        <v>2261</v>
      </c>
      <c r="H182" s="32" t="n">
        <v>2240</v>
      </c>
      <c r="I182" s="32" t="n">
        <v>2214</v>
      </c>
      <c r="J182" s="32" t="n">
        <v>2228</v>
      </c>
      <c r="K182" s="32" t="n">
        <v>2200</v>
      </c>
      <c r="L182" s="32" t="n">
        <v>2211</v>
      </c>
      <c r="M182" s="32" t="n">
        <v>2206</v>
      </c>
      <c r="N182" s="32" t="n">
        <v>2210</v>
      </c>
      <c r="O182" s="32" t="n">
        <v>2228</v>
      </c>
      <c r="P182" s="32" t="n">
        <v>2181</v>
      </c>
      <c r="Q182" s="32" t="n">
        <v>2147</v>
      </c>
      <c r="R182" s="32" t="n">
        <v>2135</v>
      </c>
      <c r="S182" s="32" t="n">
        <v>2186</v>
      </c>
      <c r="T182" s="32" t="n">
        <v>2175</v>
      </c>
      <c r="U182" s="32" t="n">
        <v>2149</v>
      </c>
      <c r="V182" s="32" t="n">
        <v>2146</v>
      </c>
      <c r="W182" s="32" t="n">
        <v>2169</v>
      </c>
      <c r="X182" s="32" t="n">
        <v>2177</v>
      </c>
      <c r="Y182" s="32" t="n">
        <v>2190</v>
      </c>
      <c r="Z182" s="32" t="n">
        <v>2197</v>
      </c>
      <c r="AA182" s="32" t="n">
        <v>2206</v>
      </c>
      <c r="AB182" s="32" t="n">
        <v>2311</v>
      </c>
      <c r="AC182" s="32" t="n">
        <v>2285</v>
      </c>
      <c r="AD182" s="32" t="n">
        <v>2281</v>
      </c>
      <c r="AE182" s="32" t="n">
        <v>2278</v>
      </c>
      <c r="AF182" s="32" t="n">
        <v>2285</v>
      </c>
      <c r="AG182" s="32" t="n">
        <v>2256</v>
      </c>
      <c r="AH182" s="32" t="n">
        <v>2262</v>
      </c>
      <c r="AI182" s="32" t="n">
        <v>2253</v>
      </c>
      <c r="AJ182" s="32" t="n">
        <v>2270</v>
      </c>
      <c r="AK182" s="32" t="n">
        <v>2307</v>
      </c>
      <c r="AL182" s="32" t="n">
        <v>2397</v>
      </c>
      <c r="AM182" s="32" t="n">
        <v>2452</v>
      </c>
      <c r="AN182" s="32" t="n">
        <v>2478</v>
      </c>
      <c r="AO182" s="32" t="n">
        <v>2495</v>
      </c>
      <c r="AP182" s="32" t="n">
        <v>2507</v>
      </c>
      <c r="AQ182" s="32" t="n">
        <v>2522</v>
      </c>
      <c r="AR182" s="32" t="n">
        <v>2530</v>
      </c>
      <c r="AS182" s="32" t="n">
        <v>2545</v>
      </c>
      <c r="AT182" s="32" t="n">
        <v>2553</v>
      </c>
      <c r="AU182" s="32" t="n">
        <v>2556</v>
      </c>
      <c r="AV182" s="32" t="n">
        <v>2550</v>
      </c>
      <c r="AW182" s="32" t="n">
        <v>2577</v>
      </c>
      <c r="AX182" s="32" t="n">
        <v>2625</v>
      </c>
      <c r="AY182" s="32" t="n">
        <v>2598</v>
      </c>
      <c r="AZ182" s="32" t="n">
        <v>2570</v>
      </c>
      <c r="BA182" s="32" t="n">
        <v>2605</v>
      </c>
      <c r="BB182" s="32" t="n">
        <v>2571</v>
      </c>
      <c r="BC182" s="32" t="n">
        <v>2596</v>
      </c>
      <c r="BD182" s="32" t="n">
        <v>2550</v>
      </c>
      <c r="BE182" s="32" t="n">
        <v>2523</v>
      </c>
      <c r="BF182" s="32" t="n">
        <v>2535</v>
      </c>
      <c r="BG182" s="32" t="n">
        <v>2593</v>
      </c>
      <c r="BH182" s="32" t="n">
        <v>2579</v>
      </c>
      <c r="BI182" s="32" t="n">
        <v>2580</v>
      </c>
      <c r="BJ182" s="32" t="n">
        <v>2548</v>
      </c>
      <c r="BK182" s="32" t="n">
        <v>2530</v>
      </c>
      <c r="BL182" s="33" t="n">
        <v>2613</v>
      </c>
    </row>
    <row r="183" ht="15.95" customHeight="1" s="574">
      <c r="A183" s="68" t="inlineStr">
        <is>
          <t>6507</t>
        </is>
      </c>
      <c r="B183" s="28" t="inlineStr">
        <is>
          <t>シンフォニアテクノロジー</t>
        </is>
      </c>
      <c r="C183" s="665">
        <f>_xll.RssMarket("6507","高値")</f>
        <v/>
      </c>
      <c r="D183" s="666">
        <f>C183-E183</f>
        <v/>
      </c>
      <c r="E183" s="37" t="n">
        <v>16890</v>
      </c>
      <c r="F183" s="37" t="n">
        <v>16770</v>
      </c>
      <c r="G183" s="32" t="n">
        <v>16460</v>
      </c>
      <c r="H183" s="32" t="n">
        <v>15880</v>
      </c>
      <c r="I183" s="32" t="n">
        <v>14800</v>
      </c>
      <c r="J183" s="32" t="n">
        <v>14160</v>
      </c>
      <c r="K183" s="32" t="n">
        <v>13900</v>
      </c>
      <c r="L183" s="32" t="n">
        <v>13310</v>
      </c>
      <c r="M183" s="32" t="n">
        <v>13900</v>
      </c>
      <c r="N183" s="32" t="n">
        <v>14610</v>
      </c>
      <c r="O183" s="32" t="n">
        <v>15480</v>
      </c>
      <c r="P183" s="32" t="n">
        <v>15340</v>
      </c>
      <c r="Q183" s="32" t="n">
        <v>14490</v>
      </c>
      <c r="R183" s="32" t="n">
        <v>14420</v>
      </c>
      <c r="S183" s="32" t="n">
        <v>14300</v>
      </c>
      <c r="T183" s="32" t="n">
        <v>14450</v>
      </c>
      <c r="U183" s="32" t="n">
        <v>15310</v>
      </c>
      <c r="V183" s="32" t="n">
        <v>14610</v>
      </c>
      <c r="W183" s="32" t="n">
        <v>14240</v>
      </c>
      <c r="X183" s="32" t="n">
        <v>13800</v>
      </c>
      <c r="Y183" s="32" t="n">
        <v>13290</v>
      </c>
      <c r="Z183" s="32" t="n">
        <v>15720</v>
      </c>
      <c r="AA183" s="32" t="n">
        <v>15460</v>
      </c>
      <c r="AB183" s="32" t="n">
        <v>16900</v>
      </c>
      <c r="AC183" s="32" t="n">
        <v>16110</v>
      </c>
      <c r="AD183" s="32" t="n">
        <v>14820</v>
      </c>
      <c r="AE183" s="32" t="n">
        <v>15290</v>
      </c>
      <c r="AF183" s="32" t="n">
        <v>15200</v>
      </c>
      <c r="AG183" s="32" t="n">
        <v>14950</v>
      </c>
      <c r="AH183" s="32" t="n">
        <v>15640</v>
      </c>
      <c r="AI183" s="32" t="n">
        <v>14640</v>
      </c>
      <c r="AJ183" s="32" t="n">
        <v>14430</v>
      </c>
      <c r="AK183" s="32" t="n">
        <v>14150</v>
      </c>
      <c r="AL183" s="32" t="n">
        <v>13900</v>
      </c>
      <c r="AM183" s="32" t="n">
        <v>13470</v>
      </c>
      <c r="AN183" s="32" t="n">
        <v>13600</v>
      </c>
      <c r="AO183" s="32" t="n">
        <v>13480</v>
      </c>
      <c r="AP183" s="32" t="n">
        <v>13720</v>
      </c>
      <c r="AQ183" s="32" t="n">
        <v>13920</v>
      </c>
      <c r="AR183" s="32" t="n">
        <v>13890</v>
      </c>
      <c r="AS183" s="32" t="n">
        <v>14060</v>
      </c>
      <c r="AT183" s="32" t="n">
        <v>13550</v>
      </c>
      <c r="AU183" s="32" t="n">
        <v>13700</v>
      </c>
      <c r="AV183" s="32" t="n">
        <v>13590</v>
      </c>
      <c r="AW183" s="32" t="n">
        <v>13540</v>
      </c>
      <c r="AX183" s="32" t="n">
        <v>13030</v>
      </c>
      <c r="AY183" s="32" t="n">
        <v>13050</v>
      </c>
      <c r="AZ183" s="32" t="n">
        <v>12280</v>
      </c>
      <c r="BA183" s="32" t="n">
        <v>12280</v>
      </c>
      <c r="BB183" s="32" t="n">
        <v>12250</v>
      </c>
      <c r="BC183" s="32" t="n">
        <v>12390</v>
      </c>
      <c r="BD183" s="32" t="n">
        <v>11380</v>
      </c>
      <c r="BE183" s="32" t="n">
        <v>10820</v>
      </c>
      <c r="BF183" s="32" t="n">
        <v>10850</v>
      </c>
      <c r="BG183" s="32" t="n">
        <v>11690</v>
      </c>
      <c r="BH183" s="32" t="n">
        <v>12380</v>
      </c>
      <c r="BI183" s="32" t="n">
        <v>12440</v>
      </c>
      <c r="BJ183" s="32" t="n">
        <v>12100</v>
      </c>
      <c r="BK183" s="32" t="n">
        <v>12000</v>
      </c>
      <c r="BL183" s="33" t="n">
        <v>12830</v>
      </c>
    </row>
    <row r="184" ht="15.95" customHeight="1" s="574">
      <c r="A184" s="68" t="inlineStr">
        <is>
          <t>9022</t>
        </is>
      </c>
      <c r="B184" s="28" t="inlineStr">
        <is>
          <t>東海旅客鉄道</t>
        </is>
      </c>
      <c r="C184" s="665">
        <f>_xll.RssMarket("9022","高値")</f>
        <v/>
      </c>
      <c r="D184" s="666">
        <f>C184-E184</f>
        <v/>
      </c>
      <c r="E184" s="37" t="n">
        <v>3259</v>
      </c>
      <c r="F184" s="37" t="n">
        <v>3269</v>
      </c>
      <c r="G184" s="32" t="n">
        <v>3352</v>
      </c>
      <c r="H184" s="32" t="n">
        <v>3371</v>
      </c>
      <c r="I184" s="32" t="n">
        <v>3351</v>
      </c>
      <c r="J184" s="32" t="n">
        <v>3428</v>
      </c>
      <c r="K184" s="32" t="n">
        <v>3410</v>
      </c>
      <c r="L184" s="32" t="n">
        <v>3516</v>
      </c>
      <c r="M184" s="32" t="n">
        <v>3509</v>
      </c>
      <c r="N184" s="32" t="n">
        <v>3394</v>
      </c>
      <c r="O184" s="32" t="n">
        <v>3390</v>
      </c>
      <c r="P184" s="32" t="n">
        <v>3323</v>
      </c>
      <c r="Q184" s="32" t="n">
        <v>3348</v>
      </c>
      <c r="R184" s="32" t="n">
        <v>3398</v>
      </c>
      <c r="S184" s="32" t="n">
        <v>3532</v>
      </c>
      <c r="T184" s="32" t="n">
        <v>3526</v>
      </c>
      <c r="U184" s="32" t="n">
        <v>3540</v>
      </c>
      <c r="V184" s="32" t="n">
        <v>3553</v>
      </c>
      <c r="W184" s="32" t="n">
        <v>3573</v>
      </c>
      <c r="X184" s="32" t="n">
        <v>3601</v>
      </c>
      <c r="Y184" s="32" t="n">
        <v>3609</v>
      </c>
      <c r="Z184" s="32" t="n">
        <v>3634</v>
      </c>
      <c r="AA184" s="32" t="n">
        <v>3627</v>
      </c>
      <c r="AB184" s="32" t="n">
        <v>3641</v>
      </c>
      <c r="AC184" s="32" t="n">
        <v>3659</v>
      </c>
      <c r="AD184" s="32" t="n">
        <v>3663</v>
      </c>
      <c r="AE184" s="32" t="n">
        <v>3613</v>
      </c>
      <c r="AF184" s="32" t="n">
        <v>3647</v>
      </c>
      <c r="AG184" s="32" t="n">
        <v>3715</v>
      </c>
      <c r="AH184" s="32" t="n">
        <v>3721</v>
      </c>
      <c r="AI184" s="32" t="n">
        <v>3707</v>
      </c>
      <c r="AJ184" s="32" t="n">
        <v>3833</v>
      </c>
      <c r="AK184" s="32" t="n">
        <v>4161</v>
      </c>
      <c r="AL184" s="32" t="n">
        <v>4102</v>
      </c>
      <c r="AM184" s="32" t="n">
        <v>4122</v>
      </c>
      <c r="AN184" s="32" t="n">
        <v>4101</v>
      </c>
      <c r="AO184" s="32" t="n">
        <v>4200</v>
      </c>
      <c r="AP184" s="32" t="n">
        <v>4290</v>
      </c>
      <c r="AQ184" s="32" t="n">
        <v>4275</v>
      </c>
      <c r="AR184" s="32" t="n">
        <v>4290</v>
      </c>
      <c r="AS184" s="32" t="n">
        <v>4341</v>
      </c>
      <c r="AT184" s="32" t="n">
        <v>4430</v>
      </c>
      <c r="AU184" s="32" t="n">
        <v>4261</v>
      </c>
      <c r="AV184" s="32" t="n">
        <v>4247</v>
      </c>
      <c r="AW184" s="32" t="n">
        <v>4283</v>
      </c>
      <c r="AX184" s="32" t="n">
        <v>4278</v>
      </c>
      <c r="AY184" s="32" t="n">
        <v>4223</v>
      </c>
      <c r="AZ184" s="32" t="n">
        <v>4119</v>
      </c>
      <c r="BA184" s="32" t="n">
        <v>4159</v>
      </c>
      <c r="BB184" s="32" t="n">
        <v>4205</v>
      </c>
      <c r="BC184" s="32" t="n">
        <v>4245</v>
      </c>
      <c r="BD184" s="32" t="n">
        <v>4204</v>
      </c>
      <c r="BE184" s="32" t="n">
        <v>4144</v>
      </c>
      <c r="BF184" s="32" t="n">
        <v>4183</v>
      </c>
      <c r="BG184" s="32" t="n">
        <v>4258</v>
      </c>
      <c r="BH184" s="32" t="n">
        <v>4302</v>
      </c>
      <c r="BI184" s="32" t="n">
        <v>4293</v>
      </c>
      <c r="BJ184" s="32" t="n">
        <v>4207</v>
      </c>
      <c r="BK184" s="32" t="n">
        <v>4192</v>
      </c>
      <c r="BL184" s="33" t="n">
        <v>4314</v>
      </c>
    </row>
    <row r="185" ht="15.95" customHeight="1" s="574">
      <c r="A185" s="68" t="inlineStr">
        <is>
          <t>9536</t>
        </is>
      </c>
      <c r="B185" s="28" t="inlineStr">
        <is>
          <t>西部ガスＨＬＤＧＳ</t>
        </is>
      </c>
      <c r="C185" s="665">
        <f>_xll.RssMarket("9536","高値")</f>
        <v/>
      </c>
      <c r="D185" s="666">
        <f>C185-E185</f>
        <v/>
      </c>
      <c r="E185" s="37" t="n">
        <v>2231</v>
      </c>
      <c r="F185" s="37" t="n">
        <v>2254</v>
      </c>
      <c r="G185" s="32" t="n">
        <v>2253</v>
      </c>
      <c r="H185" s="32" t="n">
        <v>2262</v>
      </c>
      <c r="I185" s="32" t="n">
        <v>2278</v>
      </c>
      <c r="J185" s="32" t="n">
        <v>2275</v>
      </c>
      <c r="K185" s="32" t="n">
        <v>2248</v>
      </c>
      <c r="L185" s="32" t="n">
        <v>2244</v>
      </c>
      <c r="M185" s="32" t="n">
        <v>2245</v>
      </c>
      <c r="N185" s="32" t="n">
        <v>2210</v>
      </c>
      <c r="O185" s="32" t="n">
        <v>2230</v>
      </c>
      <c r="P185" s="32" t="n">
        <v>2191</v>
      </c>
      <c r="Q185" s="32" t="n">
        <v>2193</v>
      </c>
      <c r="R185" s="32" t="n">
        <v>2181</v>
      </c>
      <c r="S185" s="32" t="n">
        <v>2227</v>
      </c>
      <c r="T185" s="32" t="n">
        <v>2210</v>
      </c>
      <c r="U185" s="32" t="n">
        <v>2225</v>
      </c>
      <c r="V185" s="32" t="n">
        <v>2228</v>
      </c>
      <c r="W185" s="32" t="n">
        <v>2233</v>
      </c>
      <c r="X185" s="32" t="n">
        <v>2225</v>
      </c>
      <c r="Y185" s="32" t="n">
        <v>2233</v>
      </c>
      <c r="Z185" s="32" t="n">
        <v>2249</v>
      </c>
      <c r="AA185" s="32" t="n">
        <v>2250</v>
      </c>
      <c r="AB185" s="32" t="n">
        <v>2264</v>
      </c>
      <c r="AC185" s="32" t="n">
        <v>2254</v>
      </c>
      <c r="AD185" s="32" t="n">
        <v>2240</v>
      </c>
      <c r="AE185" s="32" t="n">
        <v>2266</v>
      </c>
      <c r="AF185" s="32" t="n">
        <v>2255</v>
      </c>
      <c r="AG185" s="32" t="n">
        <v>2256</v>
      </c>
      <c r="AH185" s="32" t="n">
        <v>2278</v>
      </c>
      <c r="AI185" s="32" t="n">
        <v>2246</v>
      </c>
      <c r="AJ185" s="32" t="n">
        <v>2358</v>
      </c>
      <c r="AK185" s="32" t="n">
        <v>2457</v>
      </c>
      <c r="AL185" s="32" t="n">
        <v>2470</v>
      </c>
      <c r="AM185" s="32" t="n">
        <v>2478</v>
      </c>
      <c r="AN185" s="32" t="n">
        <v>2460</v>
      </c>
      <c r="AO185" s="32" t="n">
        <v>2519</v>
      </c>
      <c r="AP185" s="32" t="n">
        <v>2562</v>
      </c>
      <c r="AQ185" s="32" t="n">
        <v>2588</v>
      </c>
      <c r="AR185" s="32" t="n">
        <v>2629</v>
      </c>
      <c r="AS185" s="32" t="n">
        <v>2616</v>
      </c>
      <c r="AT185" s="32" t="n">
        <v>2602</v>
      </c>
      <c r="AU185" s="32" t="n">
        <v>2582</v>
      </c>
      <c r="AV185" s="32" t="n">
        <v>2582</v>
      </c>
      <c r="AW185" s="32" t="n">
        <v>2595</v>
      </c>
      <c r="AX185" s="32" t="n">
        <v>2634</v>
      </c>
      <c r="AY185" s="32" t="n">
        <v>2634</v>
      </c>
      <c r="AZ185" s="32" t="n">
        <v>2617</v>
      </c>
      <c r="BA185" s="32" t="n">
        <v>2581</v>
      </c>
      <c r="BB185" s="32" t="n">
        <v>2585</v>
      </c>
      <c r="BC185" s="32" t="n">
        <v>2615</v>
      </c>
      <c r="BD185" s="32" t="n">
        <v>2582</v>
      </c>
      <c r="BE185" s="32" t="n">
        <v>2574</v>
      </c>
      <c r="BF185" s="32" t="n">
        <v>2579</v>
      </c>
      <c r="BG185" s="32" t="n">
        <v>2605</v>
      </c>
      <c r="BH185" s="32" t="n">
        <v>2603</v>
      </c>
      <c r="BI185" s="32" t="n">
        <v>2601</v>
      </c>
      <c r="BJ185" s="32" t="n">
        <v>2531</v>
      </c>
      <c r="BK185" s="32" t="n">
        <v>2460</v>
      </c>
      <c r="BL185" s="33" t="n">
        <v>2560</v>
      </c>
    </row>
    <row r="186" ht="15.95" customHeight="1" s="574">
      <c r="A186" s="68" t="inlineStr">
        <is>
          <t>9506</t>
        </is>
      </c>
      <c r="B186" s="28" t="inlineStr">
        <is>
          <t>東北電力</t>
        </is>
      </c>
      <c r="C186" s="665">
        <f>_xll.RssMarket("9506","高値")</f>
        <v/>
      </c>
      <c r="D186" s="666">
        <f>C186-E186</f>
        <v/>
      </c>
      <c r="E186" s="37" t="n">
        <v>1049</v>
      </c>
      <c r="F186" s="37" t="n">
        <v>1055.5</v>
      </c>
      <c r="G186" s="32" t="n">
        <v>1063.5</v>
      </c>
      <c r="H186" s="32" t="n">
        <v>1053</v>
      </c>
      <c r="I186" s="32" t="n">
        <v>1066</v>
      </c>
      <c r="J186" s="32" t="n">
        <v>1067</v>
      </c>
      <c r="K186" s="32" t="n">
        <v>1033.5</v>
      </c>
      <c r="L186" s="32" t="n">
        <v>1034.5</v>
      </c>
      <c r="M186" s="32" t="n">
        <v>1020</v>
      </c>
      <c r="N186" s="32" t="n">
        <v>1006.5</v>
      </c>
      <c r="O186" s="32" t="n">
        <v>1014</v>
      </c>
      <c r="P186" s="32" t="n">
        <v>1005.5</v>
      </c>
      <c r="Q186" s="32" t="n">
        <v>1016</v>
      </c>
      <c r="R186" s="32" t="n">
        <v>990.6</v>
      </c>
      <c r="S186" s="32" t="n">
        <v>1011.5</v>
      </c>
      <c r="T186" s="32" t="n">
        <v>1001.5</v>
      </c>
      <c r="U186" s="32" t="n">
        <v>1020.5</v>
      </c>
      <c r="V186" s="32" t="n">
        <v>1019.5</v>
      </c>
      <c r="W186" s="32" t="n">
        <v>1033.5</v>
      </c>
      <c r="X186" s="32" t="n">
        <v>1034.5</v>
      </c>
      <c r="Y186" s="32" t="n">
        <v>1024</v>
      </c>
      <c r="Z186" s="32" t="n">
        <v>1053</v>
      </c>
      <c r="AA186" s="32" t="n">
        <v>1066</v>
      </c>
      <c r="AB186" s="32" t="n">
        <v>1061.5</v>
      </c>
      <c r="AC186" s="32" t="n">
        <v>1077</v>
      </c>
      <c r="AD186" s="32" t="n">
        <v>1073.5</v>
      </c>
      <c r="AE186" s="32" t="n">
        <v>1068.5</v>
      </c>
      <c r="AF186" s="32" t="n">
        <v>1104.5</v>
      </c>
      <c r="AG186" s="32" t="n">
        <v>1111.5</v>
      </c>
      <c r="AH186" s="32" t="n">
        <v>1095</v>
      </c>
      <c r="AI186" s="32" t="n">
        <v>1140.5</v>
      </c>
      <c r="AJ186" s="32" t="n">
        <v>1157</v>
      </c>
      <c r="AK186" s="32" t="n">
        <v>1131</v>
      </c>
      <c r="AL186" s="32" t="n">
        <v>1149</v>
      </c>
      <c r="AM186" s="32" t="n">
        <v>1128</v>
      </c>
      <c r="AN186" s="32" t="n">
        <v>1153</v>
      </c>
      <c r="AO186" s="32" t="n">
        <v>1168</v>
      </c>
      <c r="AP186" s="32" t="n">
        <v>1194.5</v>
      </c>
      <c r="AQ186" s="32" t="n">
        <v>1193</v>
      </c>
      <c r="AR186" s="32" t="n">
        <v>1185</v>
      </c>
      <c r="AS186" s="32" t="n">
        <v>1191</v>
      </c>
      <c r="AT186" s="32" t="n">
        <v>1175.5</v>
      </c>
      <c r="AU186" s="32" t="n">
        <v>1175.5</v>
      </c>
      <c r="AV186" s="32" t="n">
        <v>1192</v>
      </c>
      <c r="AW186" s="32" t="n">
        <v>1192</v>
      </c>
      <c r="AX186" s="32" t="n">
        <v>1200</v>
      </c>
      <c r="AY186" s="32" t="n">
        <v>1194.5</v>
      </c>
      <c r="AZ186" s="32" t="n">
        <v>1195</v>
      </c>
      <c r="BA186" s="32" t="n">
        <v>1197.5</v>
      </c>
      <c r="BB186" s="32" t="n">
        <v>1227</v>
      </c>
      <c r="BC186" s="32" t="n">
        <v>1200</v>
      </c>
      <c r="BD186" s="32" t="n">
        <v>1192</v>
      </c>
      <c r="BE186" s="32" t="n">
        <v>1194</v>
      </c>
      <c r="BF186" s="32" t="n">
        <v>1212.5</v>
      </c>
      <c r="BG186" s="32" t="n">
        <v>1196.5</v>
      </c>
      <c r="BH186" s="32" t="n">
        <v>1173.5</v>
      </c>
      <c r="BI186" s="32" t="n">
        <v>1153</v>
      </c>
      <c r="BJ186" s="32" t="n">
        <v>1126</v>
      </c>
      <c r="BK186" s="32" t="n">
        <v>1187.5</v>
      </c>
      <c r="BL186" s="33" t="n">
        <v>1198</v>
      </c>
    </row>
    <row r="187" ht="15.95" customHeight="1" s="574">
      <c r="A187" s="68" t="inlineStr">
        <is>
          <t>2127</t>
        </is>
      </c>
      <c r="B187" s="28" t="inlineStr">
        <is>
          <t>日本Ｍ＆Ａセンターホールデ</t>
        </is>
      </c>
      <c r="C187" s="665">
        <f>_xll.RssMarket("2127","高値")</f>
        <v/>
      </c>
      <c r="D187" s="666">
        <f>C187-E187</f>
        <v/>
      </c>
      <c r="E187" s="37" t="n">
        <v>643.7</v>
      </c>
      <c r="F187" s="37" t="n">
        <v>658.2</v>
      </c>
      <c r="G187" s="32" t="n">
        <v>668.5</v>
      </c>
      <c r="H187" s="32" t="n">
        <v>653.4</v>
      </c>
      <c r="I187" s="32" t="n">
        <v>640.8</v>
      </c>
      <c r="J187" s="32" t="n">
        <v>647.5</v>
      </c>
      <c r="K187" s="32" t="n">
        <v>653</v>
      </c>
      <c r="L187" s="32" t="n">
        <v>644.7</v>
      </c>
      <c r="M187" s="32" t="n">
        <v>642.9</v>
      </c>
      <c r="N187" s="32" t="n">
        <v>641.8</v>
      </c>
      <c r="O187" s="32" t="n">
        <v>645.8</v>
      </c>
      <c r="P187" s="32" t="n">
        <v>628.4</v>
      </c>
      <c r="Q187" s="32" t="n">
        <v>648.2</v>
      </c>
      <c r="R187" s="32" t="n">
        <v>659</v>
      </c>
      <c r="S187" s="32" t="n">
        <v>661.8</v>
      </c>
      <c r="T187" s="32" t="n">
        <v>660</v>
      </c>
      <c r="U187" s="32" t="n">
        <v>672.6</v>
      </c>
      <c r="V187" s="32" t="n">
        <v>666.3</v>
      </c>
      <c r="W187" s="32" t="n">
        <v>664.5</v>
      </c>
      <c r="X187" s="32" t="n">
        <v>662.8</v>
      </c>
      <c r="Y187" s="32" t="n">
        <v>653.7</v>
      </c>
      <c r="Z187" s="32" t="n">
        <v>660.2</v>
      </c>
      <c r="AA187" s="32" t="n">
        <v>643.6</v>
      </c>
      <c r="AB187" s="32" t="n">
        <v>643.9</v>
      </c>
      <c r="AC187" s="32" t="n">
        <v>644.5</v>
      </c>
      <c r="AD187" s="32" t="n">
        <v>644.8</v>
      </c>
      <c r="AE187" s="32" t="n">
        <v>654.8</v>
      </c>
      <c r="AF187" s="32" t="n">
        <v>659</v>
      </c>
      <c r="AG187" s="32" t="n">
        <v>656.3</v>
      </c>
      <c r="AH187" s="32" t="n">
        <v>652.6</v>
      </c>
      <c r="AI187" s="32" t="n">
        <v>636.4</v>
      </c>
      <c r="AJ187" s="32" t="n">
        <v>682.3</v>
      </c>
      <c r="AK187" s="32" t="n">
        <v>696.9</v>
      </c>
      <c r="AL187" s="32" t="n">
        <v>679.7</v>
      </c>
      <c r="AM187" s="32" t="n">
        <v>688.5</v>
      </c>
      <c r="AN187" s="32" t="n">
        <v>688</v>
      </c>
      <c r="AO187" s="32" t="n">
        <v>702.5</v>
      </c>
      <c r="AP187" s="32" t="n">
        <v>698</v>
      </c>
      <c r="AQ187" s="32" t="n">
        <v>691.5</v>
      </c>
      <c r="AR187" s="32" t="n">
        <v>695</v>
      </c>
      <c r="AS187" s="32" t="n">
        <v>690.8</v>
      </c>
      <c r="AT187" s="32" t="n">
        <v>677</v>
      </c>
      <c r="AU187" s="32" t="n">
        <v>670.5</v>
      </c>
      <c r="AV187" s="32" t="n">
        <v>659</v>
      </c>
      <c r="AW187" s="32" t="n">
        <v>665.6</v>
      </c>
      <c r="AX187" s="32" t="n">
        <v>672.6</v>
      </c>
      <c r="AY187" s="32" t="n">
        <v>672.6</v>
      </c>
      <c r="AZ187" s="32" t="n">
        <v>660.4</v>
      </c>
      <c r="BA187" s="32" t="n">
        <v>656.4</v>
      </c>
      <c r="BB187" s="32" t="n">
        <v>653.4</v>
      </c>
      <c r="BC187" s="32" t="n">
        <v>658.9</v>
      </c>
      <c r="BD187" s="32" t="n">
        <v>648.6</v>
      </c>
      <c r="BE187" s="32" t="n">
        <v>636.3</v>
      </c>
      <c r="BF187" s="32" t="n">
        <v>624</v>
      </c>
      <c r="BG187" s="32" t="n">
        <v>655.1</v>
      </c>
      <c r="BH187" s="32" t="n">
        <v>653.8</v>
      </c>
      <c r="BI187" s="32" t="n">
        <v>651.7</v>
      </c>
      <c r="BJ187" s="32" t="n">
        <v>640</v>
      </c>
      <c r="BK187" s="32" t="n">
        <v>630</v>
      </c>
      <c r="BL187" s="33" t="n">
        <v>643.9</v>
      </c>
    </row>
    <row r="188" ht="15.95" customHeight="1" s="574">
      <c r="A188" s="68" t="inlineStr">
        <is>
          <t>6753</t>
        </is>
      </c>
      <c r="B188" s="28" t="inlineStr">
        <is>
          <t>シャープ</t>
        </is>
      </c>
      <c r="C188" s="665">
        <f>_xll.RssMarket("6753","高値")</f>
        <v/>
      </c>
      <c r="D188" s="666">
        <f>C188-E188</f>
        <v/>
      </c>
      <c r="E188" s="37" t="n">
        <v>591.9</v>
      </c>
      <c r="F188" s="37" t="n">
        <v>596.9</v>
      </c>
      <c r="G188" s="32" t="n">
        <v>600.6</v>
      </c>
      <c r="H188" s="32" t="n">
        <v>601</v>
      </c>
      <c r="I188" s="32" t="n">
        <v>610</v>
      </c>
      <c r="J188" s="32" t="n">
        <v>625.9</v>
      </c>
      <c r="K188" s="32" t="n">
        <v>631.9</v>
      </c>
      <c r="L188" s="32" t="n">
        <v>628.5</v>
      </c>
      <c r="M188" s="32" t="n">
        <v>652.8</v>
      </c>
      <c r="N188" s="32" t="n">
        <v>673</v>
      </c>
      <c r="O188" s="32" t="n">
        <v>681.6</v>
      </c>
      <c r="P188" s="32" t="n">
        <v>675</v>
      </c>
      <c r="Q188" s="32" t="n">
        <v>673.8</v>
      </c>
      <c r="R188" s="32" t="n">
        <v>652.7</v>
      </c>
      <c r="S188" s="32" t="n">
        <v>626.1</v>
      </c>
      <c r="T188" s="32" t="n">
        <v>624.8</v>
      </c>
      <c r="U188" s="32" t="n">
        <v>631.3</v>
      </c>
      <c r="V188" s="32" t="n">
        <v>647.9</v>
      </c>
      <c r="W188" s="32" t="n">
        <v>641.6</v>
      </c>
      <c r="X188" s="32" t="n">
        <v>615.3</v>
      </c>
      <c r="Y188" s="32" t="n">
        <v>636</v>
      </c>
      <c r="Z188" s="32" t="n">
        <v>642.9</v>
      </c>
      <c r="AA188" s="32" t="n">
        <v>624.9</v>
      </c>
      <c r="AB188" s="32" t="n">
        <v>610.8</v>
      </c>
      <c r="AC188" s="32" t="n">
        <v>585</v>
      </c>
      <c r="AD188" s="32" t="n">
        <v>615.1</v>
      </c>
      <c r="AE188" s="32" t="n">
        <v>592.8</v>
      </c>
      <c r="AF188" s="32" t="n">
        <v>576.5</v>
      </c>
      <c r="AG188" s="32" t="n">
        <v>568.1</v>
      </c>
      <c r="AH188" s="32" t="n">
        <v>591</v>
      </c>
      <c r="AI188" s="32" t="n">
        <v>587.4</v>
      </c>
      <c r="AJ188" s="32" t="n">
        <v>566.1</v>
      </c>
      <c r="AK188" s="32" t="n">
        <v>566.1</v>
      </c>
      <c r="AL188" s="32" t="n">
        <v>551.7</v>
      </c>
      <c r="AM188" s="32" t="n">
        <v>583</v>
      </c>
      <c r="AN188" s="32" t="n">
        <v>607.7</v>
      </c>
      <c r="AO188" s="32" t="n">
        <v>612.8</v>
      </c>
      <c r="AP188" s="32" t="n">
        <v>617</v>
      </c>
      <c r="AQ188" s="32" t="n">
        <v>622.1</v>
      </c>
      <c r="AR188" s="32" t="n">
        <v>622.6</v>
      </c>
      <c r="AS188" s="32" t="n">
        <v>607.7</v>
      </c>
      <c r="AT188" s="32" t="n">
        <v>603.9</v>
      </c>
      <c r="AU188" s="32" t="n">
        <v>597</v>
      </c>
      <c r="AV188" s="32" t="n">
        <v>598</v>
      </c>
      <c r="AW188" s="32" t="n">
        <v>610.8</v>
      </c>
      <c r="AX188" s="32" t="n">
        <v>629.8</v>
      </c>
      <c r="AY188" s="32" t="n">
        <v>643.8</v>
      </c>
      <c r="AZ188" s="32" t="n">
        <v>643.1</v>
      </c>
      <c r="BA188" s="32" t="n">
        <v>669.5</v>
      </c>
      <c r="BB188" s="32" t="n">
        <v>641.1</v>
      </c>
      <c r="BC188" s="32" t="n">
        <v>616.9</v>
      </c>
      <c r="BD188" s="32" t="n">
        <v>605.5</v>
      </c>
      <c r="BE188" s="32" t="n">
        <v>587.8</v>
      </c>
      <c r="BF188" s="32" t="n">
        <v>571.6</v>
      </c>
      <c r="BG188" s="32" t="n">
        <v>593</v>
      </c>
      <c r="BH188" s="32" t="n">
        <v>587.8</v>
      </c>
      <c r="BI188" s="32" t="n">
        <v>591.2</v>
      </c>
      <c r="BJ188" s="32" t="n">
        <v>582.4</v>
      </c>
      <c r="BK188" s="32" t="n">
        <v>569.8</v>
      </c>
      <c r="BL188" s="33" t="n">
        <v>590.3</v>
      </c>
    </row>
    <row r="189" ht="15.95" customHeight="1" s="574">
      <c r="A189" s="68" t="inlineStr">
        <is>
          <t>9064</t>
        </is>
      </c>
      <c r="B189" s="28">
        <f>銘柄管理!C189</f>
        <v/>
      </c>
      <c r="C189" s="665">
        <f>_xll.RssMarket("9064","高値")</f>
        <v/>
      </c>
      <c r="D189" s="666" t="n"/>
      <c r="E189" s="37" t="n">
        <v>1771.5</v>
      </c>
      <c r="F189" s="37" t="n">
        <v>1779</v>
      </c>
      <c r="G189" s="32" t="n">
        <v>1775</v>
      </c>
      <c r="H189" s="32" t="n">
        <v>1780</v>
      </c>
      <c r="I189" s="32" t="n">
        <v>1780.5</v>
      </c>
      <c r="J189" s="32" t="n">
        <v>1808</v>
      </c>
      <c r="K189" s="32" t="n">
        <v>1836</v>
      </c>
      <c r="L189" s="32" t="n">
        <v>1821.5</v>
      </c>
      <c r="M189" s="32" t="n">
        <v>1808.5</v>
      </c>
      <c r="N189" s="32" t="n">
        <v>1816.5</v>
      </c>
      <c r="O189" s="32" t="n">
        <v>1828.5</v>
      </c>
      <c r="P189" s="32" t="n">
        <v>1830</v>
      </c>
      <c r="Q189" s="32" t="n">
        <v>1833.5</v>
      </c>
      <c r="R189" s="32" t="n">
        <v>1816</v>
      </c>
      <c r="S189" s="32" t="n">
        <v>1839</v>
      </c>
      <c r="T189" s="32" t="n">
        <v>1795</v>
      </c>
      <c r="U189" s="32" t="n">
        <v>1794</v>
      </c>
      <c r="V189" s="32" t="n">
        <v>1787.5</v>
      </c>
      <c r="W189" s="32" t="n">
        <v>1780.5</v>
      </c>
      <c r="X189" s="32" t="n">
        <v>1792</v>
      </c>
      <c r="Y189" s="32" t="n">
        <v>1767.5</v>
      </c>
      <c r="Z189" s="32" t="n">
        <v>1795.5</v>
      </c>
      <c r="AA189" s="32" t="n">
        <v>1749.5</v>
      </c>
      <c r="AB189" s="32" t="n">
        <v>1754</v>
      </c>
      <c r="AC189" s="32" t="n">
        <v>1786</v>
      </c>
      <c r="AD189" s="32" t="n">
        <v>1763</v>
      </c>
      <c r="AE189" s="32" t="n">
        <v>1749</v>
      </c>
      <c r="AF189" s="32" t="n">
        <v>1790</v>
      </c>
      <c r="AG189" s="32" t="n">
        <v>1833</v>
      </c>
      <c r="AH189" s="32" t="n">
        <v>1824</v>
      </c>
      <c r="AI189" s="32" t="n">
        <v>1764.5</v>
      </c>
      <c r="AJ189" s="32" t="n">
        <v>1792</v>
      </c>
      <c r="AK189" s="32" t="n">
        <v>1805</v>
      </c>
      <c r="AL189" s="32" t="n">
        <v>1798</v>
      </c>
      <c r="AM189" s="32" t="n">
        <v>1782</v>
      </c>
      <c r="AN189" s="32" t="n">
        <v>1796</v>
      </c>
      <c r="AO189" s="32" t="n">
        <v>1827.5</v>
      </c>
      <c r="AP189" s="32" t="n">
        <v>1843.5</v>
      </c>
      <c r="AQ189" s="32" t="n">
        <v>1855</v>
      </c>
      <c r="AR189" s="32" t="n">
        <v>1867</v>
      </c>
      <c r="AS189" s="32" t="n">
        <v>1875</v>
      </c>
      <c r="AT189" s="32" t="n">
        <v>1883</v>
      </c>
      <c r="AU189" s="32" t="n">
        <v>1866.5</v>
      </c>
      <c r="AV189" s="32" t="n">
        <v>1854</v>
      </c>
      <c r="AW189" s="32" t="n">
        <v>1875</v>
      </c>
      <c r="AX189" s="32" t="n">
        <v>1899</v>
      </c>
      <c r="AY189" s="32" t="n">
        <v>1872</v>
      </c>
      <c r="AZ189" s="32" t="n">
        <v>1829.5</v>
      </c>
      <c r="BA189" s="32" t="n">
        <v>1801.5</v>
      </c>
      <c r="BB189" s="32" t="n">
        <v>1786.5</v>
      </c>
      <c r="BC189" s="32" t="n">
        <v>1794.5</v>
      </c>
      <c r="BD189" s="32" t="n">
        <v>1759.5</v>
      </c>
      <c r="BE189" s="32" t="n">
        <v>1762</v>
      </c>
      <c r="BF189" s="32" t="n">
        <v>1746</v>
      </c>
      <c r="BG189" s="32" t="n">
        <v>1783.5</v>
      </c>
      <c r="BH189" s="32" t="n">
        <v>1767.5</v>
      </c>
      <c r="BI189" s="32" t="n">
        <v>1768.5</v>
      </c>
      <c r="BJ189" s="32" t="n">
        <v>1748</v>
      </c>
      <c r="BK189" s="32" t="n">
        <v>1728</v>
      </c>
      <c r="BL189" s="33" t="n">
        <v>1767</v>
      </c>
    </row>
    <row r="190" ht="15.95" customHeight="1" s="574">
      <c r="A190" s="68" t="inlineStr">
        <is>
          <t>7181</t>
        </is>
      </c>
      <c r="B190" s="28" t="inlineStr">
        <is>
          <t>かんぽ生命保険</t>
        </is>
      </c>
      <c r="C190" s="665">
        <f>_xll.RssMarket("7181","高値")</f>
        <v/>
      </c>
      <c r="D190" s="666">
        <f>C190-E190</f>
        <v/>
      </c>
      <c r="E190" s="37" t="n">
        <v>1528</v>
      </c>
      <c r="F190" s="37" t="n">
        <v>1553.5</v>
      </c>
      <c r="G190" s="32" t="n">
        <v>1551</v>
      </c>
      <c r="H190" s="32" t="n">
        <v>1596</v>
      </c>
      <c r="I190" s="32" t="n">
        <v>1561</v>
      </c>
      <c r="J190" s="32" t="n">
        <v>1588.5</v>
      </c>
      <c r="K190" s="32" t="n">
        <v>1562.5</v>
      </c>
      <c r="L190" s="32" t="n">
        <v>1587.5</v>
      </c>
      <c r="M190" s="32" t="n">
        <v>1615</v>
      </c>
      <c r="N190" s="32" t="n">
        <v>1455</v>
      </c>
      <c r="O190" s="32" t="n">
        <v>1457.5</v>
      </c>
      <c r="P190" s="32" t="n">
        <v>1414</v>
      </c>
      <c r="Q190" s="32" t="n">
        <v>1452.5</v>
      </c>
      <c r="R190" s="32" t="n">
        <v>1409.5</v>
      </c>
      <c r="S190" s="32" t="n">
        <v>1441.5</v>
      </c>
      <c r="T190" s="32" t="n">
        <v>1465</v>
      </c>
      <c r="U190" s="32" t="n">
        <v>1495.5</v>
      </c>
      <c r="V190" s="32" t="n">
        <v>1518.5</v>
      </c>
      <c r="W190" s="32" t="n">
        <v>1559.5</v>
      </c>
      <c r="X190" s="32" t="n">
        <v>1564</v>
      </c>
      <c r="Y190" s="32" t="n">
        <v>1558</v>
      </c>
      <c r="Z190" s="32" t="n">
        <v>1525</v>
      </c>
      <c r="AA190" s="32" t="n">
        <v>1556</v>
      </c>
      <c r="AB190" s="32" t="n">
        <v>1650</v>
      </c>
      <c r="AC190" s="32" t="n">
        <v>1618</v>
      </c>
      <c r="AD190" s="32" t="n">
        <v>1628.5</v>
      </c>
      <c r="AE190" s="32" t="n">
        <v>1572</v>
      </c>
      <c r="AF190" s="32" t="n">
        <v>1553.5</v>
      </c>
      <c r="AG190" s="32" t="n">
        <v>1573</v>
      </c>
      <c r="AH190" s="32" t="n">
        <v>1585</v>
      </c>
      <c r="AI190" s="32" t="n">
        <v>1544</v>
      </c>
      <c r="AJ190" s="32" t="n">
        <v>1533</v>
      </c>
      <c r="AK190" s="32" t="n">
        <v>1526</v>
      </c>
      <c r="AL190" s="32" t="n">
        <v>1493.5</v>
      </c>
      <c r="AM190" s="32" t="n">
        <v>1513</v>
      </c>
      <c r="AN190" s="32" t="n">
        <v>1513.5</v>
      </c>
      <c r="AO190" s="32" t="n">
        <v>1545</v>
      </c>
      <c r="AP190" s="32" t="n">
        <v>1579.5</v>
      </c>
      <c r="AQ190" s="32" t="n">
        <v>1615</v>
      </c>
      <c r="AR190" s="32" t="n">
        <v>1669</v>
      </c>
      <c r="AS190" s="32" t="n">
        <v>1676.5</v>
      </c>
      <c r="AT190" s="32" t="n">
        <v>1669.5</v>
      </c>
      <c r="AU190" s="32" t="n">
        <v>1636.5</v>
      </c>
      <c r="AV190" s="32" t="n">
        <v>1608</v>
      </c>
      <c r="AW190" s="32" t="n">
        <v>1608</v>
      </c>
      <c r="AX190" s="32" t="n">
        <v>1632.5</v>
      </c>
      <c r="AY190" s="32" t="n">
        <v>1657.5</v>
      </c>
      <c r="AZ190" s="32" t="n">
        <v>1618</v>
      </c>
      <c r="BA190" s="32" t="n">
        <v>1624</v>
      </c>
      <c r="BB190" s="32" t="n">
        <v>1637</v>
      </c>
      <c r="BC190" s="32" t="n">
        <v>1671</v>
      </c>
      <c r="BD190" s="32" t="n">
        <v>1650.5</v>
      </c>
      <c r="BE190" s="32" t="n">
        <v>1632</v>
      </c>
      <c r="BF190" s="32" t="n">
        <v>1605.5</v>
      </c>
      <c r="BG190" s="32" t="n">
        <v>1642.6</v>
      </c>
      <c r="BH190" s="32" t="n">
        <v>1631</v>
      </c>
      <c r="BI190" s="32" t="n">
        <v>1637.3</v>
      </c>
      <c r="BJ190" s="32" t="n">
        <v>1586</v>
      </c>
      <c r="BK190" s="32" t="n">
        <v>1555</v>
      </c>
      <c r="BL190" s="33" t="n">
        <v>1591.6</v>
      </c>
    </row>
    <row r="191" ht="15.95" customHeight="1" s="574">
      <c r="A191" s="68" t="inlineStr">
        <is>
          <t>6485</t>
        </is>
      </c>
      <c r="B191" s="28">
        <f>銘柄管理!C191</f>
        <v/>
      </c>
      <c r="C191" s="665">
        <f>_xll.RssMarket("6485","高値")</f>
        <v/>
      </c>
      <c r="D191" s="666" t="n"/>
      <c r="E191" s="37" t="n">
        <v>1490</v>
      </c>
      <c r="F191" s="37" t="n">
        <v>1488</v>
      </c>
      <c r="G191" s="32" t="n">
        <v>1479</v>
      </c>
      <c r="H191" s="32" t="n">
        <v>1469</v>
      </c>
      <c r="I191" s="32" t="n">
        <v>1450</v>
      </c>
      <c r="J191" s="32" t="n">
        <v>1449</v>
      </c>
      <c r="K191" s="32" t="n">
        <v>1433</v>
      </c>
      <c r="L191" s="32" t="n">
        <v>1437</v>
      </c>
      <c r="M191" s="32" t="n">
        <v>1439</v>
      </c>
      <c r="N191" s="32" t="n">
        <v>1434</v>
      </c>
      <c r="O191" s="32" t="n">
        <v>1443</v>
      </c>
      <c r="P191" s="32" t="n">
        <v>1421</v>
      </c>
      <c r="Q191" s="32" t="n">
        <v>1402</v>
      </c>
      <c r="R191" s="32" t="n">
        <v>1399</v>
      </c>
      <c r="S191" s="32" t="n">
        <v>1439</v>
      </c>
      <c r="T191" s="32" t="n">
        <v>1429</v>
      </c>
      <c r="U191" s="32" t="n">
        <v>1425</v>
      </c>
      <c r="V191" s="32" t="n">
        <v>1432</v>
      </c>
      <c r="W191" s="32" t="n">
        <v>1421</v>
      </c>
      <c r="X191" s="32" t="n">
        <v>1435</v>
      </c>
      <c r="Y191" s="32" t="n">
        <v>1452</v>
      </c>
      <c r="Z191" s="32" t="n">
        <v>1478</v>
      </c>
      <c r="AA191" s="32" t="n">
        <v>1482</v>
      </c>
      <c r="AB191" s="32" t="n">
        <v>1508</v>
      </c>
      <c r="AC191" s="32" t="n">
        <v>1496</v>
      </c>
      <c r="AD191" s="32" t="n">
        <v>1518</v>
      </c>
      <c r="AE191" s="32" t="n">
        <v>1530</v>
      </c>
      <c r="AF191" s="32" t="n">
        <v>1529</v>
      </c>
      <c r="AG191" s="32" t="n">
        <v>1518</v>
      </c>
      <c r="AH191" s="32" t="n">
        <v>1521</v>
      </c>
      <c r="AI191" s="32" t="n">
        <v>1505</v>
      </c>
      <c r="AJ191" s="32" t="n">
        <v>1523</v>
      </c>
      <c r="AK191" s="32" t="n">
        <v>1555</v>
      </c>
      <c r="AL191" s="32" t="n">
        <v>1519</v>
      </c>
      <c r="AM191" s="32" t="n">
        <v>1528</v>
      </c>
      <c r="AN191" s="32" t="n">
        <v>1527</v>
      </c>
      <c r="AO191" s="32" t="n">
        <v>1554</v>
      </c>
      <c r="AP191" s="32" t="n">
        <v>1566</v>
      </c>
      <c r="AQ191" s="32" t="n">
        <v>1565</v>
      </c>
      <c r="AR191" s="32" t="n">
        <v>1569</v>
      </c>
      <c r="AS191" s="32" t="n">
        <v>1586</v>
      </c>
      <c r="AT191" s="32" t="n">
        <v>1605</v>
      </c>
      <c r="AU191" s="32" t="n">
        <v>1604</v>
      </c>
      <c r="AV191" s="32" t="n">
        <v>1617</v>
      </c>
      <c r="AW191" s="32" t="n">
        <v>1634</v>
      </c>
      <c r="AX191" s="32" t="n">
        <v>1638</v>
      </c>
      <c r="AY191" s="32" t="n">
        <v>1636</v>
      </c>
      <c r="AZ191" s="32" t="n">
        <v>1608</v>
      </c>
      <c r="BA191" s="32" t="n">
        <v>1596</v>
      </c>
      <c r="BB191" s="32" t="n">
        <v>1594</v>
      </c>
      <c r="BC191" s="32" t="n">
        <v>1609</v>
      </c>
      <c r="BD191" s="32" t="n">
        <v>1593</v>
      </c>
      <c r="BE191" s="32" t="n">
        <v>1561</v>
      </c>
      <c r="BF191" s="32" t="n">
        <v>1582</v>
      </c>
      <c r="BG191" s="32" t="n">
        <v>1634</v>
      </c>
      <c r="BH191" s="32" t="n">
        <v>1609</v>
      </c>
      <c r="BI191" s="32" t="n">
        <v>1620</v>
      </c>
      <c r="BJ191" s="32" t="n">
        <v>1589</v>
      </c>
      <c r="BK191" s="32" t="n">
        <v>1604</v>
      </c>
      <c r="BL191" s="33" t="n">
        <v>1662</v>
      </c>
    </row>
    <row r="192" ht="15.95" customHeight="1" s="574">
      <c r="A192" s="68" t="inlineStr">
        <is>
          <t>4887</t>
        </is>
      </c>
      <c r="B192" s="28" t="inlineStr">
        <is>
          <t>サワイグループＨＤ</t>
        </is>
      </c>
      <c r="C192" s="665">
        <f>_xll.RssMarket("4887","高値")</f>
        <v/>
      </c>
      <c r="D192" s="666">
        <f>C192-E192</f>
        <v/>
      </c>
      <c r="E192" s="37" t="n">
        <v>1645.5</v>
      </c>
      <c r="F192" s="37" t="n">
        <v>1643.5</v>
      </c>
      <c r="G192" s="32" t="n">
        <v>1676.5</v>
      </c>
      <c r="H192" s="32" t="n">
        <v>1683</v>
      </c>
      <c r="I192" s="32" t="n">
        <v>1674</v>
      </c>
      <c r="J192" s="32" t="n">
        <v>1710</v>
      </c>
      <c r="K192" s="32" t="n">
        <v>1714.5</v>
      </c>
      <c r="L192" s="32" t="n">
        <v>1719</v>
      </c>
      <c r="M192" s="32" t="n">
        <v>1734</v>
      </c>
      <c r="N192" s="32" t="n">
        <v>1715</v>
      </c>
      <c r="O192" s="32" t="n">
        <v>1736.5</v>
      </c>
      <c r="P192" s="32" t="n">
        <v>1738.5</v>
      </c>
      <c r="Q192" s="32" t="n">
        <v>1731.5</v>
      </c>
      <c r="R192" s="32" t="n">
        <v>1722.5</v>
      </c>
      <c r="S192" s="32" t="n">
        <v>1766</v>
      </c>
      <c r="T192" s="32" t="n">
        <v>1778</v>
      </c>
      <c r="U192" s="32" t="n">
        <v>1773.5</v>
      </c>
      <c r="V192" s="32" t="n">
        <v>1803</v>
      </c>
      <c r="W192" s="32" t="n">
        <v>1768</v>
      </c>
      <c r="X192" s="32" t="n">
        <v>1824</v>
      </c>
      <c r="Y192" s="32" t="n">
        <v>1823</v>
      </c>
      <c r="Z192" s="32" t="n">
        <v>1821.5</v>
      </c>
      <c r="AA192" s="32" t="n">
        <v>1797</v>
      </c>
      <c r="AB192" s="32" t="n">
        <v>2126</v>
      </c>
      <c r="AC192" s="32" t="n">
        <v>2099</v>
      </c>
      <c r="AD192" s="32" t="n">
        <v>2088</v>
      </c>
      <c r="AE192" s="32" t="n">
        <v>2110.5</v>
      </c>
      <c r="AF192" s="32" t="n">
        <v>2134</v>
      </c>
      <c r="AG192" s="32" t="n">
        <v>2137</v>
      </c>
      <c r="AH192" s="32" t="n">
        <v>2146.5</v>
      </c>
      <c r="AI192" s="32" t="n">
        <v>2105.5</v>
      </c>
      <c r="AJ192" s="32" t="n">
        <v>2110.5</v>
      </c>
      <c r="AK192" s="32" t="n">
        <v>2112.5</v>
      </c>
      <c r="AL192" s="32" t="n">
        <v>2100</v>
      </c>
      <c r="AM192" s="32" t="n">
        <v>2123.5</v>
      </c>
      <c r="AN192" s="32" t="n">
        <v>2111.5</v>
      </c>
      <c r="AO192" s="32" t="n">
        <v>2162</v>
      </c>
      <c r="AP192" s="32" t="n">
        <v>2179.5</v>
      </c>
      <c r="AQ192" s="32" t="n">
        <v>2225</v>
      </c>
      <c r="AR192" s="32" t="n">
        <v>2249.5</v>
      </c>
      <c r="AS192" s="32" t="n">
        <v>2257</v>
      </c>
      <c r="AT192" s="32" t="n">
        <v>2222</v>
      </c>
      <c r="AU192" s="32" t="n">
        <v>2251</v>
      </c>
      <c r="AV192" s="32" t="n">
        <v>2269</v>
      </c>
      <c r="AW192" s="32" t="n">
        <v>2262.5</v>
      </c>
      <c r="AX192" s="32" t="n">
        <v>2286</v>
      </c>
      <c r="AY192" s="32" t="n">
        <v>2314.5</v>
      </c>
      <c r="AZ192" s="32" t="n">
        <v>2298</v>
      </c>
      <c r="BA192" s="32" t="n">
        <v>2318.5</v>
      </c>
      <c r="BB192" s="32" t="n">
        <v>2323</v>
      </c>
      <c r="BC192" s="32" t="n">
        <v>2268</v>
      </c>
      <c r="BD192" s="32" t="n">
        <v>2275</v>
      </c>
      <c r="BE192" s="32" t="n">
        <v>2252</v>
      </c>
      <c r="BF192" s="32" t="n">
        <v>2263.5</v>
      </c>
      <c r="BG192" s="32" t="n">
        <v>2329.5</v>
      </c>
      <c r="BH192" s="32" t="n">
        <v>2285.5</v>
      </c>
      <c r="BI192" s="32" t="n">
        <v>2269</v>
      </c>
      <c r="BJ192" s="32" t="n">
        <v>2198</v>
      </c>
      <c r="BK192" s="32" t="n">
        <v>2128</v>
      </c>
      <c r="BL192" s="33" t="n">
        <v>2199.5</v>
      </c>
    </row>
    <row r="193" ht="15.95" customHeight="1" s="574">
      <c r="A193" s="68" t="inlineStr">
        <is>
          <t>5243</t>
        </is>
      </c>
      <c r="B193" s="28" t="inlineStr">
        <is>
          <t>ＮＯＴＥ</t>
        </is>
      </c>
      <c r="C193" s="665">
        <f>_xll.RssMarket("5243","高値")</f>
        <v/>
      </c>
      <c r="D193" s="666">
        <f>C193-E193</f>
        <v/>
      </c>
      <c r="E193" s="37" t="n">
        <v>1819</v>
      </c>
      <c r="F193" s="37" t="n">
        <v>1889</v>
      </c>
      <c r="G193" s="32" t="n">
        <v>1895</v>
      </c>
      <c r="H193" s="32" t="n">
        <v>1855</v>
      </c>
      <c r="I193" s="32" t="n">
        <v>1750</v>
      </c>
      <c r="J193" s="32" t="n">
        <v>1702</v>
      </c>
      <c r="K193" s="32" t="n">
        <v>1719</v>
      </c>
      <c r="L193" s="32" t="n">
        <v>1685</v>
      </c>
      <c r="M193" s="32" t="n">
        <v>1737</v>
      </c>
      <c r="N193" s="32" t="n">
        <v>1831</v>
      </c>
      <c r="O193" s="32" t="n">
        <v>1886</v>
      </c>
      <c r="P193" s="32" t="n">
        <v>1883</v>
      </c>
      <c r="Q193" s="32" t="n">
        <v>1995</v>
      </c>
      <c r="R193" s="32" t="n">
        <v>2010</v>
      </c>
      <c r="S193" s="32" t="n">
        <v>2120</v>
      </c>
      <c r="T193" s="32" t="n">
        <v>2147</v>
      </c>
      <c r="U193" s="32" t="n">
        <v>2220</v>
      </c>
      <c r="V193" s="32" t="n">
        <v>2281</v>
      </c>
      <c r="W193" s="32" t="n">
        <v>2262</v>
      </c>
      <c r="X193" s="32" t="n">
        <v>2227</v>
      </c>
      <c r="Y193" s="32" t="n">
        <v>2236</v>
      </c>
      <c r="Z193" s="32" t="n">
        <v>2347</v>
      </c>
      <c r="AA193" s="32" t="n">
        <v>2274</v>
      </c>
      <c r="AB193" s="32" t="n">
        <v>2345</v>
      </c>
      <c r="AC193" s="32" t="n">
        <v>2413</v>
      </c>
      <c r="AD193" s="32" t="n">
        <v>2410</v>
      </c>
      <c r="AE193" s="32" t="n">
        <v>2284</v>
      </c>
      <c r="AF193" s="32" t="n">
        <v>2202</v>
      </c>
      <c r="AG193" s="32" t="n">
        <v>2302</v>
      </c>
      <c r="AH193" s="32" t="n">
        <v>2359</v>
      </c>
      <c r="AI193" s="32" t="n">
        <v>2434</v>
      </c>
      <c r="AJ193" s="32" t="n">
        <v>2481</v>
      </c>
      <c r="AK193" s="32" t="n">
        <v>2505</v>
      </c>
      <c r="AL193" s="32" t="n">
        <v>2390</v>
      </c>
      <c r="AM193" s="32" t="n">
        <v>2489</v>
      </c>
      <c r="AN193" s="32" t="n">
        <v>2625</v>
      </c>
      <c r="AO193" s="32" t="n">
        <v>2727</v>
      </c>
      <c r="AP193" s="32" t="n">
        <v>2743</v>
      </c>
      <c r="AQ193" s="32" t="n">
        <v>2658</v>
      </c>
      <c r="AR193" s="32" t="n">
        <v>2730</v>
      </c>
      <c r="AS193" s="32" t="n">
        <v>2842</v>
      </c>
      <c r="AT193" s="32" t="n">
        <v>3405</v>
      </c>
      <c r="AU193" s="32" t="n">
        <v>3030</v>
      </c>
      <c r="AV193" s="32" t="n">
        <v>2966</v>
      </c>
      <c r="AW193" s="32" t="n">
        <v>2736</v>
      </c>
      <c r="AX193" s="32" t="n">
        <v>2710</v>
      </c>
      <c r="AY193" s="32" t="n">
        <v>2752</v>
      </c>
      <c r="AZ193" s="32" t="n">
        <v>2625</v>
      </c>
      <c r="BA193" s="32" t="n">
        <v>2580</v>
      </c>
      <c r="BB193" s="32" t="n">
        <v>2618</v>
      </c>
      <c r="BC193" s="32" t="n">
        <v>2629</v>
      </c>
      <c r="BD193" s="32" t="n">
        <v>2569</v>
      </c>
      <c r="BE193" s="32" t="n">
        <v>2510</v>
      </c>
      <c r="BF193" s="32" t="n">
        <v>2510</v>
      </c>
      <c r="BG193" s="32" t="n">
        <v>2550</v>
      </c>
      <c r="BH193" s="32" t="n">
        <v>2578</v>
      </c>
      <c r="BI193" s="32" t="n">
        <v>2547</v>
      </c>
      <c r="BJ193" s="32" t="n">
        <v>2260</v>
      </c>
      <c r="BK193" s="32" t="n">
        <v>2174</v>
      </c>
      <c r="BL193" s="33" t="n">
        <v>2258</v>
      </c>
    </row>
    <row r="194" ht="15.95" customHeight="1" s="574">
      <c r="A194" s="68" t="inlineStr">
        <is>
          <t>2702</t>
        </is>
      </c>
      <c r="B194" s="28" t="inlineStr">
        <is>
          <t>日本マクドナルドＨＬＤＧ</t>
        </is>
      </c>
      <c r="C194" s="665">
        <f>_xll.RssMarket("2702","高値")</f>
        <v/>
      </c>
      <c r="D194" s="666">
        <f>C194-E194</f>
        <v/>
      </c>
      <c r="E194" s="37" t="n">
        <v>7300</v>
      </c>
      <c r="F194" s="37" t="n">
        <v>7360</v>
      </c>
      <c r="G194" s="32" t="n">
        <v>7430</v>
      </c>
      <c r="H194" s="32" t="n">
        <v>7490</v>
      </c>
      <c r="I194" s="32" t="n">
        <v>7480</v>
      </c>
      <c r="J194" s="32" t="n">
        <v>7590</v>
      </c>
      <c r="K194" s="32" t="n">
        <v>7500</v>
      </c>
      <c r="L194" s="32" t="n">
        <v>7480</v>
      </c>
      <c r="M194" s="32" t="n">
        <v>7380</v>
      </c>
      <c r="N194" s="32" t="n">
        <v>7490</v>
      </c>
      <c r="O194" s="32" t="n">
        <v>7530</v>
      </c>
      <c r="P194" s="32" t="n">
        <v>7590</v>
      </c>
      <c r="Q194" s="32" t="n">
        <v>7710</v>
      </c>
      <c r="R194" s="32" t="n">
        <v>7860</v>
      </c>
      <c r="S194" s="32" t="n">
        <v>7900</v>
      </c>
      <c r="T194" s="32" t="n">
        <v>8160</v>
      </c>
      <c r="U194" s="32" t="n">
        <v>8180</v>
      </c>
      <c r="V194" s="32" t="n">
        <v>8140</v>
      </c>
      <c r="W194" s="32" t="n">
        <v>8230</v>
      </c>
      <c r="X194" s="32" t="n">
        <v>8110</v>
      </c>
      <c r="Y194" s="32" t="n">
        <v>8010</v>
      </c>
      <c r="Z194" s="32" t="n">
        <v>8190</v>
      </c>
      <c r="AA194" s="32" t="n">
        <v>8300</v>
      </c>
      <c r="AB194" s="32" t="n">
        <v>8590</v>
      </c>
      <c r="AC194" s="32" t="n">
        <v>8780</v>
      </c>
      <c r="AD194" s="32" t="n">
        <v>7830</v>
      </c>
      <c r="AE194" s="32" t="n">
        <v>7880</v>
      </c>
      <c r="AF194" s="32" t="n">
        <v>8030</v>
      </c>
      <c r="AG194" s="32" t="n">
        <v>8160</v>
      </c>
      <c r="AH194" s="32" t="n">
        <v>8170</v>
      </c>
      <c r="AI194" s="32" t="n">
        <v>8220</v>
      </c>
      <c r="AJ194" s="32" t="n">
        <v>8270</v>
      </c>
      <c r="AK194" s="32" t="n">
        <v>8250</v>
      </c>
      <c r="AL194" s="32" t="n">
        <v>8150</v>
      </c>
      <c r="AM194" s="32" t="n">
        <v>8210</v>
      </c>
      <c r="AN194" s="32" t="n">
        <v>8260</v>
      </c>
      <c r="AO194" s="32" t="n">
        <v>8310</v>
      </c>
      <c r="AP194" s="32" t="n">
        <v>8260</v>
      </c>
      <c r="AQ194" s="32" t="n">
        <v>8280</v>
      </c>
      <c r="AR194" s="32" t="n">
        <v>8280</v>
      </c>
      <c r="AS194" s="32" t="n">
        <v>8250</v>
      </c>
      <c r="AT194" s="32" t="n">
        <v>8170</v>
      </c>
      <c r="AU194" s="32" t="n">
        <v>8280</v>
      </c>
      <c r="AV194" s="32" t="n">
        <v>8490</v>
      </c>
      <c r="AW194" s="32" t="n">
        <v>8690</v>
      </c>
      <c r="AX194" s="32" t="n">
        <v>8760</v>
      </c>
      <c r="AY194" s="32" t="n">
        <v>8630</v>
      </c>
      <c r="AZ194" s="32" t="n">
        <v>8480</v>
      </c>
      <c r="BA194" s="32" t="n">
        <v>8420</v>
      </c>
      <c r="BB194" s="32" t="n">
        <v>8360</v>
      </c>
      <c r="BC194" s="32" t="n">
        <v>8350</v>
      </c>
      <c r="BD194" s="32" t="n">
        <v>8440</v>
      </c>
      <c r="BE194" s="32" t="n">
        <v>8430</v>
      </c>
      <c r="BF194" s="32" t="n">
        <v>8380</v>
      </c>
      <c r="BG194" s="32" t="n">
        <v>8110</v>
      </c>
      <c r="BH194" s="32" t="n">
        <v>8150</v>
      </c>
      <c r="BI194" s="32" t="n">
        <v>8050</v>
      </c>
      <c r="BJ194" s="32" t="n">
        <v>7940</v>
      </c>
      <c r="BK194" s="32" t="n">
        <v>8020</v>
      </c>
      <c r="BL194" s="33" t="n">
        <v>8030</v>
      </c>
    </row>
    <row r="195" ht="15.95" customHeight="1" s="574">
      <c r="A195" s="68" t="inlineStr">
        <is>
          <t>6890</t>
        </is>
      </c>
      <c r="B195" s="28" t="inlineStr">
        <is>
          <t>フェローテック</t>
        </is>
      </c>
      <c r="C195" s="665">
        <f>_xll.RssMarket("6890","高値")</f>
        <v/>
      </c>
      <c r="D195" s="666">
        <f>C195-E195</f>
        <v/>
      </c>
      <c r="E195" s="37" t="n">
        <v>11700</v>
      </c>
      <c r="F195" s="37" t="n">
        <v>10880</v>
      </c>
      <c r="G195" s="32" t="n">
        <v>10490</v>
      </c>
      <c r="H195" s="32" t="n">
        <v>9500</v>
      </c>
      <c r="I195" s="32" t="n">
        <v>9600</v>
      </c>
      <c r="J195" s="32" t="n">
        <v>9390</v>
      </c>
      <c r="K195" s="32" t="n">
        <v>9440</v>
      </c>
      <c r="L195" s="32" t="n">
        <v>7990</v>
      </c>
      <c r="M195" s="32" t="n">
        <v>8220</v>
      </c>
      <c r="N195" s="32" t="n">
        <v>8640</v>
      </c>
      <c r="O195" s="32" t="n">
        <v>9150</v>
      </c>
      <c r="P195" s="32" t="n">
        <v>9070</v>
      </c>
      <c r="Q195" s="32" t="n">
        <v>8330</v>
      </c>
      <c r="R195" s="32" t="n">
        <v>8050</v>
      </c>
      <c r="S195" s="32" t="n">
        <v>9020</v>
      </c>
      <c r="T195" s="32" t="n">
        <v>8630</v>
      </c>
      <c r="U195" s="32" t="n">
        <v>9340</v>
      </c>
      <c r="V195" s="32" t="n">
        <v>9380</v>
      </c>
      <c r="W195" s="32" t="n">
        <v>9150</v>
      </c>
      <c r="X195" s="32" t="n">
        <v>9230</v>
      </c>
      <c r="Y195" s="32" t="n">
        <v>9140</v>
      </c>
      <c r="Z195" s="32" t="n">
        <v>9340</v>
      </c>
      <c r="AA195" s="32" t="n">
        <v>9610</v>
      </c>
      <c r="AB195" s="32" t="n">
        <v>10030</v>
      </c>
      <c r="AC195" s="32" t="n">
        <v>10430</v>
      </c>
      <c r="AD195" s="32" t="n">
        <v>9500</v>
      </c>
      <c r="AE195" s="32" t="n">
        <v>10110</v>
      </c>
      <c r="AF195" s="32" t="n">
        <v>9980</v>
      </c>
      <c r="AG195" s="32" t="n">
        <v>9690</v>
      </c>
      <c r="AH195" s="32" t="n">
        <v>9240</v>
      </c>
      <c r="AI195" s="32" t="n">
        <v>8190</v>
      </c>
      <c r="AJ195" s="32" t="n">
        <v>7870</v>
      </c>
      <c r="AK195" s="32" t="n">
        <v>7750</v>
      </c>
      <c r="AL195" s="32" t="n">
        <v>7590</v>
      </c>
      <c r="AM195" s="32" t="n">
        <v>7590</v>
      </c>
      <c r="AN195" s="32" t="n">
        <v>7290</v>
      </c>
      <c r="AO195" s="32" t="n">
        <v>7010</v>
      </c>
      <c r="AP195" s="32" t="n">
        <v>6910</v>
      </c>
      <c r="AQ195" s="32" t="n">
        <v>6830</v>
      </c>
      <c r="AR195" s="32" t="n">
        <v>6820</v>
      </c>
      <c r="AS195" s="32" t="n">
        <v>6820</v>
      </c>
      <c r="AT195" s="32" t="n">
        <v>6950</v>
      </c>
      <c r="AU195" s="32" t="n">
        <v>7220</v>
      </c>
      <c r="AV195" s="32" t="n">
        <v>7050</v>
      </c>
      <c r="AW195" s="32" t="n">
        <v>7170</v>
      </c>
      <c r="AX195" s="32" t="n">
        <v>6990</v>
      </c>
      <c r="AY195" s="32" t="n">
        <v>6870</v>
      </c>
      <c r="AZ195" s="32" t="n">
        <v>6760</v>
      </c>
      <c r="BA195" s="32" t="n">
        <v>6630</v>
      </c>
      <c r="BB195" s="32" t="n">
        <v>6600</v>
      </c>
      <c r="BC195" s="32" t="n">
        <v>6950</v>
      </c>
      <c r="BD195" s="32" t="n">
        <v>6800</v>
      </c>
      <c r="BE195" s="32" t="n">
        <v>6480</v>
      </c>
      <c r="BF195" s="32" t="n">
        <v>6610</v>
      </c>
      <c r="BG195" s="32" t="n">
        <v>6660</v>
      </c>
      <c r="BH195" s="32" t="n">
        <v>6510</v>
      </c>
      <c r="BI195" s="32" t="n">
        <v>6500</v>
      </c>
      <c r="BJ195" s="32" t="n">
        <v>5960</v>
      </c>
      <c r="BK195" s="32" t="n">
        <v>5910</v>
      </c>
      <c r="BL195" s="33" t="n">
        <v>6250</v>
      </c>
    </row>
    <row r="196" ht="15.95" customHeight="1" s="574">
      <c r="A196" s="68" t="inlineStr">
        <is>
          <t>4966</t>
        </is>
      </c>
      <c r="B196" s="28" t="inlineStr">
        <is>
          <t>上村工業</t>
        </is>
      </c>
      <c r="C196" s="665">
        <f>_xll.RssMarket("4966","高値")</f>
        <v/>
      </c>
      <c r="D196" s="666">
        <f>C196-E196</f>
        <v/>
      </c>
      <c r="E196" s="37" t="n">
        <v>28430</v>
      </c>
      <c r="F196" s="37" t="n">
        <v>27700</v>
      </c>
      <c r="G196" s="32" t="n">
        <v>27590</v>
      </c>
      <c r="H196" s="32" t="n">
        <v>26440</v>
      </c>
      <c r="I196" s="32" t="n">
        <v>26620</v>
      </c>
      <c r="J196" s="32" t="n">
        <v>26410</v>
      </c>
      <c r="K196" s="32" t="n">
        <v>24720</v>
      </c>
      <c r="L196" s="32" t="n">
        <v>23320</v>
      </c>
      <c r="M196" s="32" t="n">
        <v>22900</v>
      </c>
      <c r="N196" s="32" t="n">
        <v>22140</v>
      </c>
      <c r="O196" s="32" t="n">
        <v>23020</v>
      </c>
      <c r="P196" s="32" t="n">
        <v>23620</v>
      </c>
      <c r="Q196" s="32" t="n">
        <v>24190</v>
      </c>
      <c r="R196" s="32" t="n">
        <v>23200</v>
      </c>
      <c r="S196" s="32" t="n">
        <v>23710</v>
      </c>
      <c r="T196" s="32" t="n">
        <v>23600</v>
      </c>
      <c r="U196" s="32" t="n">
        <v>24360</v>
      </c>
      <c r="V196" s="32" t="n">
        <v>24770</v>
      </c>
      <c r="W196" s="32" t="n">
        <v>24460</v>
      </c>
      <c r="X196" s="32" t="n">
        <v>23700</v>
      </c>
      <c r="Y196" s="32" t="n">
        <v>23150</v>
      </c>
      <c r="Z196" s="32" t="n">
        <v>24240</v>
      </c>
      <c r="AA196" s="32" t="n">
        <v>24500</v>
      </c>
      <c r="AB196" s="32" t="n">
        <v>26180</v>
      </c>
      <c r="AC196" s="32" t="n">
        <v>26500</v>
      </c>
      <c r="AD196" s="32" t="n">
        <v>26960</v>
      </c>
      <c r="AE196" s="32" t="n">
        <v>25350</v>
      </c>
      <c r="AF196" s="32" t="n">
        <v>24210</v>
      </c>
      <c r="AG196" s="32" t="n">
        <v>23790</v>
      </c>
      <c r="AH196" s="32" t="n">
        <v>23850</v>
      </c>
      <c r="AI196" s="32" t="n">
        <v>23440</v>
      </c>
      <c r="AJ196" s="32" t="n">
        <v>23670</v>
      </c>
      <c r="AK196" s="32" t="n">
        <v>23650</v>
      </c>
      <c r="AL196" s="32" t="n">
        <v>23660</v>
      </c>
      <c r="AM196" s="32" t="n">
        <v>23710</v>
      </c>
      <c r="AN196" s="32" t="n">
        <v>23700</v>
      </c>
      <c r="AO196" s="32" t="n">
        <v>23640</v>
      </c>
      <c r="AP196" s="32" t="n">
        <v>23520</v>
      </c>
      <c r="AQ196" s="32" t="n">
        <v>23130</v>
      </c>
      <c r="AR196" s="32" t="n">
        <v>24130</v>
      </c>
      <c r="AS196" s="32" t="n">
        <v>24420</v>
      </c>
      <c r="AT196" s="32" t="n">
        <v>24650</v>
      </c>
      <c r="AU196" s="32" t="n">
        <v>24360</v>
      </c>
      <c r="AV196" s="32" t="n">
        <v>23310</v>
      </c>
      <c r="AW196" s="32" t="n">
        <v>23130</v>
      </c>
      <c r="AX196" s="32" t="n">
        <v>22790</v>
      </c>
      <c r="AY196" s="32" t="n">
        <v>22650</v>
      </c>
      <c r="AZ196" s="32" t="n">
        <v>21420</v>
      </c>
      <c r="BA196" s="32" t="n">
        <v>21660</v>
      </c>
      <c r="BB196" s="32" t="n">
        <v>20920</v>
      </c>
      <c r="BC196" s="32" t="n">
        <v>21200</v>
      </c>
      <c r="BD196" s="32" t="n">
        <v>20900</v>
      </c>
      <c r="BE196" s="32" t="n">
        <v>20160</v>
      </c>
      <c r="BF196" s="32" t="n">
        <v>20980</v>
      </c>
      <c r="BG196" s="32" t="n">
        <v>22400</v>
      </c>
      <c r="BH196" s="32" t="n">
        <v>23200</v>
      </c>
      <c r="BI196" s="32" t="n">
        <v>23100</v>
      </c>
      <c r="BJ196" s="32" t="n">
        <v>22370</v>
      </c>
      <c r="BK196" s="32" t="n">
        <v>22370</v>
      </c>
      <c r="BL196" s="33" t="n">
        <v>23010</v>
      </c>
    </row>
    <row r="197" ht="15.95" customHeight="1" s="574">
      <c r="A197" s="68" t="inlineStr">
        <is>
          <t>6146</t>
        </is>
      </c>
      <c r="B197" s="28" t="inlineStr">
        <is>
          <t>ディスコ</t>
        </is>
      </c>
      <c r="C197" s="665">
        <f>_xll.RssMarket("6146","高値")</f>
        <v/>
      </c>
      <c r="D197" s="666">
        <f>C197-E197</f>
        <v/>
      </c>
      <c r="E197" s="37" t="n">
        <v>89250</v>
      </c>
      <c r="F197" s="37" t="n">
        <v>89100</v>
      </c>
      <c r="G197" s="32" t="n">
        <v>85550</v>
      </c>
      <c r="H197" s="32" t="n">
        <v>85390</v>
      </c>
      <c r="I197" s="32" t="n">
        <v>85200</v>
      </c>
      <c r="J197" s="32" t="n">
        <v>86140</v>
      </c>
      <c r="K197" s="32" t="n">
        <v>80100</v>
      </c>
      <c r="L197" s="32" t="n">
        <v>70760</v>
      </c>
      <c r="M197" s="32" t="n">
        <v>73590</v>
      </c>
      <c r="N197" s="32" t="n">
        <v>68700</v>
      </c>
      <c r="O197" s="32" t="n">
        <v>74440</v>
      </c>
      <c r="P197" s="32" t="n">
        <v>72630</v>
      </c>
      <c r="Q197" s="32" t="n">
        <v>69970</v>
      </c>
      <c r="R197" s="32" t="n">
        <v>64200</v>
      </c>
      <c r="S197" s="32" t="n">
        <v>66520</v>
      </c>
      <c r="T197" s="32" t="n">
        <v>67630</v>
      </c>
      <c r="U197" s="32" t="n">
        <v>70550</v>
      </c>
      <c r="V197" s="32" t="n">
        <v>70260</v>
      </c>
      <c r="W197" s="32" t="n">
        <v>66960</v>
      </c>
      <c r="X197" s="32" t="n">
        <v>66660</v>
      </c>
      <c r="Y197" s="32" t="n">
        <v>62150</v>
      </c>
      <c r="Z197" s="32" t="n">
        <v>63690</v>
      </c>
      <c r="AA197" s="32" t="n">
        <v>65450</v>
      </c>
      <c r="AB197" s="32" t="n">
        <v>71520</v>
      </c>
      <c r="AC197" s="32" t="n">
        <v>73990</v>
      </c>
      <c r="AD197" s="32" t="n">
        <v>73010</v>
      </c>
      <c r="AE197" s="32" t="n">
        <v>73730</v>
      </c>
      <c r="AF197" s="32" t="n">
        <v>76010</v>
      </c>
      <c r="AG197" s="32" t="n">
        <v>76340</v>
      </c>
      <c r="AH197" s="32" t="n">
        <v>77800</v>
      </c>
      <c r="AI197" s="32" t="n">
        <v>74460</v>
      </c>
      <c r="AJ197" s="32" t="n">
        <v>76060</v>
      </c>
      <c r="AK197" s="32" t="n">
        <v>78150</v>
      </c>
      <c r="AL197" s="32" t="n">
        <v>76250</v>
      </c>
      <c r="AM197" s="32" t="n">
        <v>74310</v>
      </c>
      <c r="AN197" s="32" t="n">
        <v>76350</v>
      </c>
      <c r="AO197" s="32" t="n">
        <v>75500</v>
      </c>
      <c r="AP197" s="32" t="n">
        <v>74350</v>
      </c>
      <c r="AQ197" s="32" t="n">
        <v>75320</v>
      </c>
      <c r="AR197" s="32" t="n">
        <v>73530</v>
      </c>
      <c r="AS197" s="32" t="n">
        <v>73050</v>
      </c>
      <c r="AT197" s="32" t="n">
        <v>72950</v>
      </c>
      <c r="AU197" s="32" t="n">
        <v>72450</v>
      </c>
      <c r="AV197" s="32" t="n">
        <v>67390</v>
      </c>
      <c r="AW197" s="32" t="n">
        <v>67090</v>
      </c>
      <c r="AX197" s="32" t="n">
        <v>65870</v>
      </c>
      <c r="AY197" s="32" t="n">
        <v>68270</v>
      </c>
      <c r="AZ197" s="32" t="n">
        <v>66120</v>
      </c>
      <c r="BA197" s="32" t="n">
        <v>67820</v>
      </c>
      <c r="BB197" s="32" t="n">
        <v>66100</v>
      </c>
      <c r="BC197" s="32" t="n">
        <v>66670</v>
      </c>
      <c r="BD197" s="32" t="n">
        <v>63680</v>
      </c>
      <c r="BE197" s="32" t="n">
        <v>63930</v>
      </c>
      <c r="BF197" s="32" t="n">
        <v>64650</v>
      </c>
      <c r="BG197" s="32" t="n">
        <v>66900</v>
      </c>
      <c r="BH197" s="32" t="n">
        <v>68270</v>
      </c>
      <c r="BI197" s="32" t="n">
        <v>68930</v>
      </c>
      <c r="BJ197" s="32" t="n">
        <v>68350</v>
      </c>
      <c r="BK197" s="32" t="n">
        <v>66240</v>
      </c>
      <c r="BL197" s="33" t="n">
        <v>70370</v>
      </c>
    </row>
    <row r="198" ht="15.95" customHeight="1" s="574">
      <c r="A198" s="68" t="inlineStr">
        <is>
          <t>8035</t>
        </is>
      </c>
      <c r="B198" s="28" t="inlineStr">
        <is>
          <t>東京エレクトロン</t>
        </is>
      </c>
      <c r="C198" s="665">
        <f>_xll.RssMarket("8035","高値")</f>
        <v/>
      </c>
      <c r="D198" s="666">
        <f>C198-E198</f>
        <v/>
      </c>
      <c r="E198" s="37" t="n">
        <v>77850</v>
      </c>
      <c r="F198" s="37" t="n">
        <v>77600</v>
      </c>
      <c r="G198" s="32" t="n">
        <v>76650</v>
      </c>
      <c r="H198" s="32" t="n">
        <v>73220</v>
      </c>
      <c r="I198" s="32" t="n">
        <v>73130</v>
      </c>
      <c r="J198" s="32" t="n">
        <v>74800</v>
      </c>
      <c r="K198" s="32" t="n">
        <v>71000</v>
      </c>
      <c r="L198" s="32" t="n">
        <v>64070</v>
      </c>
      <c r="M198" s="32" t="n">
        <v>65310</v>
      </c>
      <c r="N198" s="32" t="n">
        <v>56450</v>
      </c>
      <c r="O198" s="32" t="n">
        <v>62210</v>
      </c>
      <c r="P198" s="32" t="n">
        <v>63660</v>
      </c>
      <c r="Q198" s="32" t="n">
        <v>61420</v>
      </c>
      <c r="R198" s="32" t="n">
        <v>53750</v>
      </c>
      <c r="S198" s="32" t="n">
        <v>53320</v>
      </c>
      <c r="T198" s="32" t="n">
        <v>52730</v>
      </c>
      <c r="U198" s="32" t="n">
        <v>54700</v>
      </c>
      <c r="V198" s="32" t="n">
        <v>52530</v>
      </c>
      <c r="W198" s="32" t="n">
        <v>50220</v>
      </c>
      <c r="X198" s="32" t="n">
        <v>48800</v>
      </c>
      <c r="Y198" s="32" t="n">
        <v>47220</v>
      </c>
      <c r="Z198" s="32" t="n">
        <v>49980</v>
      </c>
      <c r="AA198" s="32" t="n">
        <v>50900</v>
      </c>
      <c r="AB198" s="32" t="n">
        <v>52530</v>
      </c>
      <c r="AC198" s="32" t="n">
        <v>52730</v>
      </c>
      <c r="AD198" s="32" t="n">
        <v>51920</v>
      </c>
      <c r="AE198" s="32" t="n">
        <v>53000</v>
      </c>
      <c r="AF198" s="32" t="n">
        <v>53870</v>
      </c>
      <c r="AG198" s="32" t="n">
        <v>52650</v>
      </c>
      <c r="AH198" s="32" t="n">
        <v>51960</v>
      </c>
      <c r="AI198" s="32" t="n">
        <v>48190</v>
      </c>
      <c r="AJ198" s="32" t="n">
        <v>45290</v>
      </c>
      <c r="AK198" s="32" t="n">
        <v>46970</v>
      </c>
      <c r="AL198" s="32" t="n">
        <v>47710</v>
      </c>
      <c r="AM198" s="32" t="n">
        <v>46110</v>
      </c>
      <c r="AN198" s="32" t="n">
        <v>46560</v>
      </c>
      <c r="AO198" s="32" t="n">
        <v>45540</v>
      </c>
      <c r="AP198" s="32" t="n">
        <v>46460</v>
      </c>
      <c r="AQ198" s="32" t="n">
        <v>44490</v>
      </c>
      <c r="AR198" s="32" t="n">
        <v>45280</v>
      </c>
      <c r="AS198" s="32" t="n">
        <v>46150</v>
      </c>
      <c r="AT198" s="32" t="n">
        <v>44570</v>
      </c>
      <c r="AU198" s="32" t="n">
        <v>43820</v>
      </c>
      <c r="AV198" s="32" t="n">
        <v>43480</v>
      </c>
      <c r="AW198" s="32" t="n">
        <v>44040</v>
      </c>
      <c r="AX198" s="32" t="n">
        <v>42830</v>
      </c>
      <c r="AY198" s="32" t="n">
        <v>42410</v>
      </c>
      <c r="AZ198" s="32" t="n">
        <v>39050</v>
      </c>
      <c r="BA198" s="32" t="n">
        <v>39260</v>
      </c>
      <c r="BB198" s="32" t="n">
        <v>39320</v>
      </c>
      <c r="BC198" s="32" t="n">
        <v>39710</v>
      </c>
      <c r="BD198" s="32" t="n">
        <v>39300</v>
      </c>
      <c r="BE198" s="32" t="n">
        <v>38220</v>
      </c>
      <c r="BF198" s="32" t="n">
        <v>38840</v>
      </c>
      <c r="BG198" s="32" t="n">
        <v>39390</v>
      </c>
      <c r="BH198" s="32" t="n">
        <v>41290</v>
      </c>
      <c r="BI198" s="32" t="n">
        <v>41440</v>
      </c>
      <c r="BJ198" s="32" t="n">
        <v>39470</v>
      </c>
      <c r="BK198" s="32" t="n">
        <v>38540</v>
      </c>
      <c r="BL198" s="33" t="n">
        <v>39690</v>
      </c>
    </row>
    <row r="199" ht="15.95" customHeight="1" s="574">
      <c r="A199" s="68" t="inlineStr">
        <is>
          <t>6920</t>
        </is>
      </c>
      <c r="B199" s="28" t="inlineStr">
        <is>
          <t>レーザーテック</t>
        </is>
      </c>
      <c r="C199" s="665">
        <f>_xll.RssMarket("6920","高値")</f>
        <v/>
      </c>
      <c r="D199" s="666">
        <f>C199-E199</f>
        <v/>
      </c>
      <c r="E199" s="37" t="n">
        <v>57550</v>
      </c>
      <c r="F199" s="37" t="n">
        <v>58580</v>
      </c>
      <c r="G199" s="32" t="n">
        <v>57330</v>
      </c>
      <c r="H199" s="32" t="n">
        <v>52980</v>
      </c>
      <c r="I199" s="32" t="n">
        <v>48270</v>
      </c>
      <c r="J199" s="32" t="n">
        <v>48640</v>
      </c>
      <c r="K199" s="32" t="n">
        <v>44590</v>
      </c>
      <c r="L199" s="32" t="n">
        <v>40470</v>
      </c>
      <c r="M199" s="32" t="n">
        <v>42950</v>
      </c>
      <c r="N199" s="32" t="n">
        <v>40670</v>
      </c>
      <c r="O199" s="32" t="n">
        <v>42470</v>
      </c>
      <c r="P199" s="32" t="n">
        <v>43600</v>
      </c>
      <c r="Q199" s="32" t="n">
        <v>42800</v>
      </c>
      <c r="R199" s="32" t="n">
        <v>39250</v>
      </c>
      <c r="S199" s="32" t="n">
        <v>40820</v>
      </c>
      <c r="T199" s="32" t="n">
        <v>41290</v>
      </c>
      <c r="U199" s="32" t="n">
        <v>44040</v>
      </c>
      <c r="V199" s="32" t="n">
        <v>43590</v>
      </c>
      <c r="W199" s="32" t="n">
        <v>38980</v>
      </c>
      <c r="X199" s="32" t="n">
        <v>38840</v>
      </c>
      <c r="Y199" s="32" t="n">
        <v>36280</v>
      </c>
      <c r="Z199" s="32" t="n">
        <v>38180</v>
      </c>
      <c r="AA199" s="32" t="n">
        <v>39340</v>
      </c>
      <c r="AB199" s="32" t="n">
        <v>41190</v>
      </c>
      <c r="AC199" s="32" t="n">
        <v>43140</v>
      </c>
      <c r="AD199" s="32" t="n">
        <v>42860</v>
      </c>
      <c r="AE199" s="32" t="n">
        <v>45650</v>
      </c>
      <c r="AF199" s="32" t="n">
        <v>45950</v>
      </c>
      <c r="AG199" s="32" t="n">
        <v>44660</v>
      </c>
      <c r="AH199" s="32" t="n">
        <v>46720</v>
      </c>
      <c r="AI199" s="32" t="n">
        <v>44520</v>
      </c>
      <c r="AJ199" s="32" t="n">
        <v>44460</v>
      </c>
      <c r="AK199" s="32" t="n">
        <v>46090</v>
      </c>
      <c r="AL199" s="32" t="n">
        <v>46450</v>
      </c>
      <c r="AM199" s="32" t="n">
        <v>45950</v>
      </c>
      <c r="AN199" s="32" t="n">
        <v>45990</v>
      </c>
      <c r="AO199" s="32" t="n">
        <v>45520</v>
      </c>
      <c r="AP199" s="32" t="n">
        <v>44590</v>
      </c>
      <c r="AQ199" s="32" t="n">
        <v>42390</v>
      </c>
      <c r="AR199" s="32" t="n">
        <v>41700</v>
      </c>
      <c r="AS199" s="32" t="n">
        <v>42300</v>
      </c>
      <c r="AT199" s="32" t="n">
        <v>44940</v>
      </c>
      <c r="AU199" s="32" t="n">
        <v>43530</v>
      </c>
      <c r="AV199" s="32" t="n">
        <v>41570</v>
      </c>
      <c r="AW199" s="32" t="n">
        <v>41630</v>
      </c>
      <c r="AX199" s="32" t="n">
        <v>39250</v>
      </c>
      <c r="AY199" s="32" t="n">
        <v>40100</v>
      </c>
      <c r="AZ199" s="32" t="n">
        <v>37330</v>
      </c>
      <c r="BA199" s="32" t="n">
        <v>37680</v>
      </c>
      <c r="BB199" s="32" t="n">
        <v>36360</v>
      </c>
      <c r="BC199" s="32" t="n">
        <v>37020</v>
      </c>
      <c r="BD199" s="32" t="n">
        <v>35470</v>
      </c>
      <c r="BE199" s="32" t="n">
        <v>34830</v>
      </c>
      <c r="BF199" s="32" t="n">
        <v>35350</v>
      </c>
      <c r="BG199" s="32" t="n">
        <v>35100</v>
      </c>
      <c r="BH199" s="32" t="n">
        <v>35070</v>
      </c>
      <c r="BI199" s="32" t="n">
        <v>33910</v>
      </c>
      <c r="BJ199" s="32" t="n">
        <v>33040</v>
      </c>
      <c r="BK199" s="32" t="n">
        <v>33410</v>
      </c>
      <c r="BL199" s="33" t="n">
        <v>35750</v>
      </c>
    </row>
    <row r="200" ht="15.95" customHeight="1" s="574">
      <c r="A200" s="68" t="inlineStr">
        <is>
          <t>5801</t>
        </is>
      </c>
      <c r="B200" s="28" t="inlineStr">
        <is>
          <t>古河電工</t>
        </is>
      </c>
      <c r="C200" s="665">
        <f>_xll.RssMarket("5801","高値")</f>
        <v/>
      </c>
      <c r="D200" s="666">
        <f>C200-E200</f>
        <v/>
      </c>
      <c r="E200" s="37" t="n">
        <v>58790</v>
      </c>
      <c r="F200" s="37" t="n">
        <v>53360</v>
      </c>
      <c r="G200" s="32" t="n">
        <v>48990</v>
      </c>
      <c r="H200" s="32" t="n">
        <v>47660</v>
      </c>
      <c r="I200" s="32" t="n">
        <v>48310</v>
      </c>
      <c r="J200" s="32" t="n">
        <v>45700</v>
      </c>
      <c r="K200" s="32" t="n">
        <v>43780</v>
      </c>
      <c r="L200" s="32" t="n">
        <v>41460</v>
      </c>
      <c r="M200" s="32" t="n">
        <v>44470</v>
      </c>
      <c r="N200" s="32" t="n">
        <v>45900</v>
      </c>
      <c r="O200" s="32" t="n">
        <v>51140</v>
      </c>
      <c r="P200" s="32" t="n">
        <v>53440</v>
      </c>
      <c r="Q200" s="32" t="n">
        <v>56120</v>
      </c>
      <c r="R200" s="32" t="n">
        <v>52450</v>
      </c>
      <c r="S200" s="32" t="n">
        <v>55350</v>
      </c>
      <c r="T200" s="32" t="n">
        <v>62410</v>
      </c>
      <c r="U200" s="32" t="n">
        <v>59330</v>
      </c>
      <c r="V200" s="32" t="n">
        <v>54350</v>
      </c>
      <c r="W200" s="32" t="n">
        <v>52050</v>
      </c>
      <c r="X200" s="32" t="n">
        <v>52070</v>
      </c>
      <c r="Y200" s="32" t="n">
        <v>53850</v>
      </c>
      <c r="Z200" s="32" t="n">
        <v>57060</v>
      </c>
      <c r="AA200" s="32" t="n">
        <v>60040</v>
      </c>
      <c r="AB200" s="32" t="n">
        <v>60150</v>
      </c>
      <c r="AC200" s="32" t="n">
        <v>58990</v>
      </c>
      <c r="AD200" s="32" t="n">
        <v>50430</v>
      </c>
      <c r="AE200" s="32" t="n">
        <v>46550</v>
      </c>
      <c r="AF200" s="32" t="n">
        <v>46030</v>
      </c>
      <c r="AG200" s="32" t="n">
        <v>46300</v>
      </c>
      <c r="AH200" s="32" t="n">
        <v>43140</v>
      </c>
      <c r="AI200" s="32" t="n">
        <v>42850</v>
      </c>
      <c r="AJ200" s="32" t="n">
        <v>43460</v>
      </c>
      <c r="AK200" s="32" t="n">
        <v>43550</v>
      </c>
      <c r="AL200" s="32" t="n">
        <v>43770</v>
      </c>
      <c r="AM200" s="32" t="n">
        <v>45050</v>
      </c>
      <c r="AN200" s="32" t="n">
        <v>44440</v>
      </c>
      <c r="AO200" s="32" t="n">
        <v>45230</v>
      </c>
      <c r="AP200" s="32" t="n">
        <v>45380</v>
      </c>
      <c r="AQ200" s="32" t="n">
        <v>46490</v>
      </c>
      <c r="AR200" s="32" t="n">
        <v>46090</v>
      </c>
      <c r="AS200" s="32" t="n">
        <v>47230</v>
      </c>
      <c r="AT200" s="32" t="n">
        <v>47940</v>
      </c>
      <c r="AU200" s="32" t="n">
        <v>47210</v>
      </c>
      <c r="AV200" s="32" t="n">
        <v>46020</v>
      </c>
      <c r="AW200" s="32" t="n">
        <v>45480</v>
      </c>
      <c r="AX200" s="32" t="n">
        <v>42980</v>
      </c>
      <c r="AY200" s="32" t="n">
        <v>37330</v>
      </c>
      <c r="AZ200" s="32" t="n">
        <v>38050</v>
      </c>
      <c r="BA200" s="32" t="n">
        <v>36080</v>
      </c>
      <c r="BB200" s="32" t="n">
        <v>33790</v>
      </c>
      <c r="BC200" s="32" t="n">
        <v>32490</v>
      </c>
      <c r="BD200" s="32" t="n">
        <v>30980</v>
      </c>
      <c r="BE200" s="32" t="n">
        <v>31060</v>
      </c>
      <c r="BF200" s="32" t="n">
        <v>31590</v>
      </c>
      <c r="BG200" s="32" t="n">
        <v>34040</v>
      </c>
      <c r="BH200" s="32" t="n">
        <v>31610</v>
      </c>
      <c r="BI200" s="32" t="n">
        <v>28990</v>
      </c>
      <c r="BJ200" s="32" t="n">
        <v>28400</v>
      </c>
      <c r="BK200" s="32" t="n">
        <v>29875</v>
      </c>
      <c r="BL200" s="33" t="n">
        <v>28965</v>
      </c>
    </row>
    <row r="201" ht="15.95" customHeight="1" s="574">
      <c r="A201" s="68" t="inlineStr">
        <is>
          <t>6506</t>
        </is>
      </c>
      <c r="B201" s="28" t="inlineStr">
        <is>
          <t>安川電機</t>
        </is>
      </c>
      <c r="C201" s="665">
        <f>_xll.RssMarket("6506","高値")</f>
        <v/>
      </c>
      <c r="D201" s="666">
        <f>C201-E201</f>
        <v/>
      </c>
      <c r="E201" s="37" t="n">
        <v>7915</v>
      </c>
      <c r="F201" s="37" t="n">
        <v>7359</v>
      </c>
      <c r="G201" s="32" t="n">
        <v>7416</v>
      </c>
      <c r="H201" s="32" t="n">
        <v>7060</v>
      </c>
      <c r="I201" s="32" t="n">
        <v>6943</v>
      </c>
      <c r="J201" s="32" t="n">
        <v>6732</v>
      </c>
      <c r="K201" s="32" t="n">
        <v>6508</v>
      </c>
      <c r="L201" s="32" t="n">
        <v>6055</v>
      </c>
      <c r="M201" s="32" t="n">
        <v>6257</v>
      </c>
      <c r="N201" s="32" t="n">
        <v>6513</v>
      </c>
      <c r="O201" s="32" t="n">
        <v>6918</v>
      </c>
      <c r="P201" s="32" t="n">
        <v>7115</v>
      </c>
      <c r="Q201" s="32" t="n">
        <v>7228</v>
      </c>
      <c r="R201" s="32" t="n">
        <v>7069</v>
      </c>
      <c r="S201" s="32" t="n">
        <v>7315</v>
      </c>
      <c r="T201" s="32" t="n">
        <v>7210</v>
      </c>
      <c r="U201" s="32" t="n">
        <v>7689</v>
      </c>
      <c r="V201" s="32" t="n">
        <v>7700</v>
      </c>
      <c r="W201" s="32" t="n">
        <v>7092</v>
      </c>
      <c r="X201" s="32" t="n">
        <v>6709</v>
      </c>
      <c r="Y201" s="32" t="n">
        <v>6310</v>
      </c>
      <c r="Z201" s="32" t="n">
        <v>6739</v>
      </c>
      <c r="AA201" s="32" t="n">
        <v>7076</v>
      </c>
      <c r="AB201" s="32" t="n">
        <v>7395</v>
      </c>
      <c r="AC201" s="32" t="n">
        <v>7578</v>
      </c>
      <c r="AD201" s="32" t="n">
        <v>7028</v>
      </c>
      <c r="AE201" s="32" t="n">
        <v>7030</v>
      </c>
      <c r="AF201" s="32" t="n">
        <v>6625</v>
      </c>
      <c r="AG201" s="32" t="n">
        <v>6424</v>
      </c>
      <c r="AH201" s="32" t="n">
        <v>6018</v>
      </c>
      <c r="AI201" s="32" t="n">
        <v>5648</v>
      </c>
      <c r="AJ201" s="32" t="n">
        <v>5637</v>
      </c>
      <c r="AK201" s="32" t="n">
        <v>5495</v>
      </c>
      <c r="AL201" s="32" t="n">
        <v>5532</v>
      </c>
      <c r="AM201" s="32" t="n">
        <v>5252</v>
      </c>
      <c r="AN201" s="32" t="n">
        <v>5406</v>
      </c>
      <c r="AO201" s="32" t="n">
        <v>5490</v>
      </c>
      <c r="AP201" s="32" t="n">
        <v>5657</v>
      </c>
      <c r="AQ201" s="32" t="n">
        <v>5507</v>
      </c>
      <c r="AR201" s="32" t="n">
        <v>5265</v>
      </c>
      <c r="AS201" s="32" t="n">
        <v>5364</v>
      </c>
      <c r="AT201" s="32" t="n">
        <v>5376</v>
      </c>
      <c r="AU201" s="32" t="n">
        <v>5275</v>
      </c>
      <c r="AV201" s="32" t="n">
        <v>5260</v>
      </c>
      <c r="AW201" s="32" t="n">
        <v>4926</v>
      </c>
      <c r="AX201" s="32" t="n">
        <v>4735</v>
      </c>
      <c r="AY201" s="32" t="n">
        <v>4674</v>
      </c>
      <c r="AZ201" s="32" t="n">
        <v>4338</v>
      </c>
      <c r="BA201" s="32" t="n">
        <v>4379</v>
      </c>
      <c r="BB201" s="32" t="n">
        <v>4321</v>
      </c>
      <c r="BC201" s="32" t="n">
        <v>4446</v>
      </c>
      <c r="BD201" s="32" t="n">
        <v>4324</v>
      </c>
      <c r="BE201" s="32" t="n">
        <v>4154</v>
      </c>
      <c r="BF201" s="32" t="n">
        <v>4128</v>
      </c>
      <c r="BG201" s="32" t="n">
        <v>4345</v>
      </c>
      <c r="BH201" s="32" t="n">
        <v>4582</v>
      </c>
      <c r="BI201" s="32" t="n">
        <v>4545</v>
      </c>
      <c r="BJ201" s="32" t="n">
        <v>4400</v>
      </c>
      <c r="BK201" s="32" t="n">
        <v>4269</v>
      </c>
      <c r="BL201" s="33" t="n">
        <v>4537</v>
      </c>
    </row>
    <row r="202" ht="15.95" customHeight="1" s="574">
      <c r="A202" s="68" t="inlineStr">
        <is>
          <t>2768</t>
        </is>
      </c>
      <c r="B202" s="28" t="inlineStr">
        <is>
          <t>双日</t>
        </is>
      </c>
      <c r="C202" s="665">
        <f>_xll.RssMarket("2768","高値")</f>
        <v/>
      </c>
      <c r="D202" s="666">
        <f>C202-E202</f>
        <v/>
      </c>
      <c r="E202" s="37" t="n">
        <v>5300</v>
      </c>
      <c r="F202" s="37" t="n">
        <v>5406</v>
      </c>
      <c r="G202" s="32" t="n">
        <v>5372</v>
      </c>
      <c r="H202" s="32" t="n">
        <v>5387</v>
      </c>
      <c r="I202" s="32" t="n">
        <v>5374</v>
      </c>
      <c r="J202" s="32" t="n">
        <v>5091</v>
      </c>
      <c r="K202" s="32" t="n">
        <v>5067</v>
      </c>
      <c r="L202" s="32" t="n">
        <v>5139</v>
      </c>
      <c r="M202" s="32" t="n">
        <v>5147</v>
      </c>
      <c r="N202" s="32" t="n">
        <v>5275</v>
      </c>
      <c r="O202" s="32" t="n">
        <v>5190</v>
      </c>
      <c r="P202" s="32" t="n">
        <v>5192</v>
      </c>
      <c r="Q202" s="32" t="n">
        <v>5134</v>
      </c>
      <c r="R202" s="32" t="n">
        <v>5494</v>
      </c>
      <c r="S202" s="32" t="n">
        <v>5475</v>
      </c>
      <c r="T202" s="32" t="n">
        <v>5650</v>
      </c>
      <c r="U202" s="32" t="n">
        <v>5634</v>
      </c>
      <c r="V202" s="32" t="n">
        <v>5576</v>
      </c>
      <c r="W202" s="32" t="n">
        <v>5617</v>
      </c>
      <c r="X202" s="32" t="n">
        <v>5690</v>
      </c>
      <c r="Y202" s="32" t="n">
        <v>5767</v>
      </c>
      <c r="Z202" s="32" t="n">
        <v>5900</v>
      </c>
      <c r="AA202" s="32" t="n">
        <v>5989</v>
      </c>
      <c r="AB202" s="32" t="n">
        <v>5910</v>
      </c>
      <c r="AC202" s="32" t="n">
        <v>5964</v>
      </c>
      <c r="AD202" s="32" t="n">
        <v>5880</v>
      </c>
      <c r="AE202" s="32" t="n">
        <v>5756</v>
      </c>
      <c r="AF202" s="32" t="n">
        <v>5811</v>
      </c>
      <c r="AG202" s="32" t="n">
        <v>6215</v>
      </c>
      <c r="AH202" s="32" t="n">
        <v>6400</v>
      </c>
      <c r="AI202" s="32" t="n">
        <v>5930</v>
      </c>
      <c r="AJ202" s="32" t="n">
        <v>5977</v>
      </c>
      <c r="AK202" s="32" t="n">
        <v>5871</v>
      </c>
      <c r="AL202" s="32" t="n">
        <v>5948</v>
      </c>
      <c r="AM202" s="32" t="n">
        <v>5905</v>
      </c>
      <c r="AN202" s="32" t="n">
        <v>5998</v>
      </c>
      <c r="AO202" s="32" t="n">
        <v>6120</v>
      </c>
      <c r="AP202" s="32" t="n">
        <v>6147</v>
      </c>
      <c r="AQ202" s="32" t="n">
        <v>6250</v>
      </c>
      <c r="AR202" s="32" t="n">
        <v>6280</v>
      </c>
      <c r="AS202" s="32" t="n">
        <v>6290</v>
      </c>
      <c r="AT202" s="32" t="n">
        <v>6401</v>
      </c>
      <c r="AU202" s="32" t="n">
        <v>6482</v>
      </c>
      <c r="AV202" s="32" t="n">
        <v>6522</v>
      </c>
      <c r="AW202" s="32" t="n">
        <v>6645</v>
      </c>
      <c r="AX202" s="32" t="n">
        <v>6640</v>
      </c>
      <c r="AY202" s="32" t="n">
        <v>6449</v>
      </c>
      <c r="AZ202" s="32" t="n">
        <v>6445</v>
      </c>
      <c r="BA202" s="32" t="n">
        <v>6426</v>
      </c>
      <c r="BB202" s="32" t="n">
        <v>6525</v>
      </c>
      <c r="BC202" s="32" t="n">
        <v>6421</v>
      </c>
      <c r="BD202" s="32" t="n">
        <v>6266</v>
      </c>
      <c r="BE202" s="32" t="n">
        <v>6273</v>
      </c>
      <c r="BF202" s="32" t="n">
        <v>6469</v>
      </c>
      <c r="BG202" s="32" t="n">
        <v>6497</v>
      </c>
      <c r="BH202" s="32" t="n">
        <v>6377</v>
      </c>
      <c r="BI202" s="32" t="n">
        <v>6196</v>
      </c>
      <c r="BJ202" s="32" t="n">
        <v>6021</v>
      </c>
      <c r="BK202" s="32" t="n">
        <v>6390</v>
      </c>
      <c r="BL202" s="33" t="n">
        <v>6566</v>
      </c>
    </row>
    <row r="203" ht="15.95" customHeight="1" s="574">
      <c r="A203" s="68" t="inlineStr">
        <is>
          <t>6305</t>
        </is>
      </c>
      <c r="B203" s="28" t="inlineStr">
        <is>
          <t>日立建機</t>
        </is>
      </c>
      <c r="C203" s="665">
        <f>_xll.RssMarket("6305","高値")</f>
        <v/>
      </c>
      <c r="D203" s="666">
        <f>C203-E203</f>
        <v/>
      </c>
      <c r="E203" s="37" t="n">
        <v>5422</v>
      </c>
      <c r="F203" s="37" t="n">
        <v>5486</v>
      </c>
      <c r="G203" s="32" t="n">
        <v>5465</v>
      </c>
      <c r="H203" s="32" t="n">
        <v>5436</v>
      </c>
      <c r="I203" s="32" t="n">
        <v>5596</v>
      </c>
      <c r="J203" s="32" t="n">
        <v>5600</v>
      </c>
      <c r="K203" s="32" t="n">
        <v>5339</v>
      </c>
      <c r="L203" s="32" t="n">
        <v>5177</v>
      </c>
      <c r="M203" s="32" t="n">
        <v>5339</v>
      </c>
      <c r="N203" s="32" t="n">
        <v>5324</v>
      </c>
      <c r="O203" s="32" t="n">
        <v>5462</v>
      </c>
      <c r="P203" s="32" t="n">
        <v>5413</v>
      </c>
      <c r="Q203" s="32" t="n">
        <v>5415</v>
      </c>
      <c r="R203" s="32" t="n">
        <v>5152</v>
      </c>
      <c r="S203" s="32" t="n">
        <v>5278</v>
      </c>
      <c r="T203" s="32" t="n">
        <v>5280</v>
      </c>
      <c r="U203" s="32" t="n">
        <v>5340</v>
      </c>
      <c r="V203" s="32" t="n">
        <v>5067</v>
      </c>
      <c r="W203" s="32" t="n">
        <v>5034</v>
      </c>
      <c r="X203" s="32" t="n">
        <v>5032</v>
      </c>
      <c r="Y203" s="32" t="n">
        <v>5038</v>
      </c>
      <c r="Z203" s="32" t="n">
        <v>5178</v>
      </c>
      <c r="AA203" s="32" t="n">
        <v>5274</v>
      </c>
      <c r="AB203" s="32" t="n">
        <v>5337</v>
      </c>
      <c r="AC203" s="32" t="n">
        <v>5420</v>
      </c>
      <c r="AD203" s="32" t="n">
        <v>5326</v>
      </c>
      <c r="AE203" s="32" t="n">
        <v>5765</v>
      </c>
      <c r="AF203" s="32" t="n">
        <v>5701</v>
      </c>
      <c r="AG203" s="32" t="n">
        <v>5718</v>
      </c>
      <c r="AH203" s="32" t="n">
        <v>5723</v>
      </c>
      <c r="AI203" s="32" t="n">
        <v>5568</v>
      </c>
      <c r="AJ203" s="32" t="n">
        <v>5653</v>
      </c>
      <c r="AK203" s="32" t="n">
        <v>5688</v>
      </c>
      <c r="AL203" s="32" t="n">
        <v>5658</v>
      </c>
      <c r="AM203" s="32" t="n">
        <v>5570</v>
      </c>
      <c r="AN203" s="32" t="n">
        <v>5567</v>
      </c>
      <c r="AO203" s="32" t="n">
        <v>5505</v>
      </c>
      <c r="AP203" s="32" t="n">
        <v>5539</v>
      </c>
      <c r="AQ203" s="32" t="n">
        <v>5470</v>
      </c>
      <c r="AR203" s="32" t="n">
        <v>5502</v>
      </c>
      <c r="AS203" s="32" t="n">
        <v>5665</v>
      </c>
      <c r="AT203" s="32" t="n">
        <v>5692</v>
      </c>
      <c r="AU203" s="32" t="n">
        <v>5726</v>
      </c>
      <c r="AV203" s="32" t="n">
        <v>5749</v>
      </c>
      <c r="AW203" s="32" t="n">
        <v>5773</v>
      </c>
      <c r="AX203" s="32" t="n">
        <v>5759</v>
      </c>
      <c r="AY203" s="32" t="n">
        <v>5735</v>
      </c>
      <c r="AZ203" s="32" t="n">
        <v>5408</v>
      </c>
      <c r="BA203" s="32" t="n">
        <v>5484</v>
      </c>
      <c r="BB203" s="32" t="n">
        <v>5465</v>
      </c>
      <c r="BC203" s="32" t="n">
        <v>5635</v>
      </c>
      <c r="BD203" s="32" t="n">
        <v>5553</v>
      </c>
      <c r="BE203" s="32" t="n">
        <v>5386</v>
      </c>
      <c r="BF203" s="32" t="n">
        <v>5248</v>
      </c>
      <c r="BG203" s="32" t="n">
        <v>5565</v>
      </c>
      <c r="BH203" s="32" t="n">
        <v>5636</v>
      </c>
      <c r="BI203" s="32" t="n">
        <v>5555</v>
      </c>
      <c r="BJ203" s="32" t="n">
        <v>5397</v>
      </c>
      <c r="BK203" s="32" t="n">
        <v>5259</v>
      </c>
      <c r="BL203" s="33" t="n">
        <v>5532</v>
      </c>
    </row>
    <row r="204" ht="15.95" customHeight="1" s="574">
      <c r="A204" s="68" t="inlineStr">
        <is>
          <t>8015</t>
        </is>
      </c>
      <c r="B204" s="28" t="inlineStr">
        <is>
          <t>豊田通商</t>
        </is>
      </c>
      <c r="C204" s="665">
        <f>_xll.RssMarket("8015","高値")</f>
        <v/>
      </c>
      <c r="D204" s="666">
        <f>C204-E204</f>
        <v/>
      </c>
      <c r="E204" s="37" t="n">
        <v>6226</v>
      </c>
      <c r="F204" s="37" t="n">
        <v>6212</v>
      </c>
      <c r="G204" s="32" t="n">
        <v>6434</v>
      </c>
      <c r="H204" s="32" t="n">
        <v>6456</v>
      </c>
      <c r="I204" s="32" t="n">
        <v>6531</v>
      </c>
      <c r="J204" s="32" t="n">
        <v>6594</v>
      </c>
      <c r="K204" s="32" t="n">
        <v>6254</v>
      </c>
      <c r="L204" s="32" t="n">
        <v>5978</v>
      </c>
      <c r="M204" s="32" t="n">
        <v>6156</v>
      </c>
      <c r="N204" s="32" t="n">
        <v>6450</v>
      </c>
      <c r="O204" s="32" t="n">
        <v>6493</v>
      </c>
      <c r="P204" s="32" t="n">
        <v>6560</v>
      </c>
      <c r="Q204" s="32" t="n">
        <v>6600</v>
      </c>
      <c r="R204" s="32" t="n">
        <v>6558</v>
      </c>
      <c r="S204" s="32" t="n">
        <v>7000</v>
      </c>
      <c r="T204" s="32" t="n">
        <v>6845</v>
      </c>
      <c r="U204" s="32" t="n">
        <v>7039</v>
      </c>
      <c r="V204" s="32" t="n">
        <v>7164</v>
      </c>
      <c r="W204" s="32" t="n">
        <v>6993</v>
      </c>
      <c r="X204" s="32" t="n">
        <v>7027</v>
      </c>
      <c r="Y204" s="32" t="n">
        <v>7006</v>
      </c>
      <c r="Z204" s="32" t="n">
        <v>7143</v>
      </c>
      <c r="AA204" s="32" t="n">
        <v>7285</v>
      </c>
      <c r="AB204" s="32" t="n">
        <v>7559</v>
      </c>
      <c r="AC204" s="32" t="n">
        <v>7443</v>
      </c>
      <c r="AD204" s="32" t="n">
        <v>7488</v>
      </c>
      <c r="AE204" s="32" t="n">
        <v>7256</v>
      </c>
      <c r="AF204" s="32" t="n">
        <v>7039</v>
      </c>
      <c r="AG204" s="32" t="n">
        <v>6894</v>
      </c>
      <c r="AH204" s="32" t="n">
        <v>7070</v>
      </c>
      <c r="AI204" s="32" t="n">
        <v>7048</v>
      </c>
      <c r="AJ204" s="32" t="n">
        <v>6270</v>
      </c>
      <c r="AK204" s="32" t="n">
        <v>6469</v>
      </c>
      <c r="AL204" s="32" t="n">
        <v>6268</v>
      </c>
      <c r="AM204" s="32" t="n">
        <v>6235</v>
      </c>
      <c r="AN204" s="32" t="n">
        <v>6248</v>
      </c>
      <c r="AO204" s="32" t="n">
        <v>6280</v>
      </c>
      <c r="AP204" s="32" t="n">
        <v>6383</v>
      </c>
      <c r="AQ204" s="32" t="n">
        <v>6368</v>
      </c>
      <c r="AR204" s="32" t="n">
        <v>6374</v>
      </c>
      <c r="AS204" s="32" t="n">
        <v>6381</v>
      </c>
      <c r="AT204" s="32" t="n">
        <v>6449</v>
      </c>
      <c r="AU204" s="32" t="n">
        <v>6522</v>
      </c>
      <c r="AV204" s="32" t="n">
        <v>6590</v>
      </c>
      <c r="AW204" s="32" t="n">
        <v>6700</v>
      </c>
      <c r="AX204" s="32" t="n">
        <v>6769</v>
      </c>
      <c r="AY204" s="32" t="n">
        <v>6506</v>
      </c>
      <c r="AZ204" s="32" t="n">
        <v>6074</v>
      </c>
      <c r="BA204" s="32" t="n">
        <v>6104</v>
      </c>
      <c r="BB204" s="32" t="n">
        <v>6208</v>
      </c>
      <c r="BC204" s="32" t="n">
        <v>6449</v>
      </c>
      <c r="BD204" s="32" t="n">
        <v>6370</v>
      </c>
      <c r="BE204" s="32" t="n">
        <v>6078</v>
      </c>
      <c r="BF204" s="32" t="n">
        <v>5975</v>
      </c>
      <c r="BG204" s="32" t="n">
        <v>6248</v>
      </c>
      <c r="BH204" s="32" t="n">
        <v>6300</v>
      </c>
      <c r="BI204" s="32" t="n">
        <v>6294</v>
      </c>
      <c r="BJ204" s="32" t="n">
        <v>6151</v>
      </c>
      <c r="BK204" s="32" t="n">
        <v>6000</v>
      </c>
      <c r="BL204" s="33" t="n">
        <v>6540</v>
      </c>
    </row>
    <row r="205">
      <c r="A205" s="65" t="inlineStr">
        <is>
          <t>6758</t>
        </is>
      </c>
      <c r="B205" s="34" t="inlineStr">
        <is>
          <t>ソニーグループ</t>
        </is>
      </c>
      <c r="C205" s="665">
        <f>_xll.RssMarket("6758","高値")</f>
        <v/>
      </c>
      <c r="D205" s="666">
        <f>C205-E205</f>
        <v/>
      </c>
      <c r="E205" s="72" t="n">
        <v>3207</v>
      </c>
      <c r="F205" s="72" t="n">
        <v>3203</v>
      </c>
      <c r="G205" s="72" t="n">
        <v>3304</v>
      </c>
      <c r="H205" s="72" t="n">
        <v>3314</v>
      </c>
      <c r="I205" s="72" t="n">
        <v>3296</v>
      </c>
      <c r="J205" s="72" t="n">
        <v>3350</v>
      </c>
      <c r="K205" s="72" t="n">
        <v>3363</v>
      </c>
      <c r="L205" s="72" t="n">
        <v>3398</v>
      </c>
      <c r="M205" s="72" t="n">
        <v>3446</v>
      </c>
      <c r="N205" s="72" t="n">
        <v>3555</v>
      </c>
      <c r="O205" s="72" t="n">
        <v>3633</v>
      </c>
      <c r="P205" s="72" t="n">
        <v>3606</v>
      </c>
      <c r="Q205" s="72" t="n">
        <v>3658</v>
      </c>
      <c r="R205" s="72" t="n">
        <v>3672</v>
      </c>
      <c r="S205" s="72" t="n">
        <v>3496</v>
      </c>
      <c r="T205" s="72" t="n">
        <v>3494</v>
      </c>
      <c r="U205" s="72" t="n">
        <v>3525</v>
      </c>
      <c r="V205" s="72" t="n">
        <v>3606</v>
      </c>
      <c r="W205" s="72" t="n">
        <v>3552</v>
      </c>
      <c r="X205" s="72" t="n">
        <v>3600</v>
      </c>
      <c r="Y205" s="72" t="n">
        <v>3677</v>
      </c>
      <c r="Z205" s="72" t="n">
        <v>3722</v>
      </c>
      <c r="AA205" s="72" t="n">
        <v>3697</v>
      </c>
      <c r="AB205" s="72" t="n">
        <v>3647</v>
      </c>
      <c r="AC205" s="72" t="n">
        <v>3542</v>
      </c>
      <c r="AD205" s="72" t="n">
        <v>3728</v>
      </c>
      <c r="AE205" s="72" t="n">
        <v>3532</v>
      </c>
      <c r="AF205" s="72" t="n">
        <v>3477</v>
      </c>
      <c r="AG205" s="72" t="n">
        <v>6894</v>
      </c>
      <c r="AH205" s="72" t="n">
        <v>7070</v>
      </c>
      <c r="AI205" s="72" t="n">
        <v>7048</v>
      </c>
      <c r="AJ205" s="72" t="n">
        <v>6270</v>
      </c>
      <c r="AK205" s="72" t="n">
        <v>6469</v>
      </c>
      <c r="AL205" s="72" t="n">
        <v>6268</v>
      </c>
      <c r="AM205" s="72" t="n">
        <v>6235</v>
      </c>
      <c r="AN205" s="72" t="n">
        <v>6248</v>
      </c>
      <c r="AO205" s="72" t="n">
        <v>6280</v>
      </c>
      <c r="AP205" s="72" t="n">
        <v>6383</v>
      </c>
      <c r="AQ205" s="72" t="n">
        <v>6368</v>
      </c>
      <c r="AR205" s="72" t="n">
        <v>6374</v>
      </c>
      <c r="AS205" s="72" t="n">
        <v>6381</v>
      </c>
      <c r="AT205" s="72" t="n">
        <v>6449</v>
      </c>
      <c r="AU205" s="72" t="n">
        <v>6522</v>
      </c>
      <c r="AV205" s="72" t="n">
        <v>6590</v>
      </c>
      <c r="AW205" s="72" t="n">
        <v>6700</v>
      </c>
      <c r="AX205" s="72" t="n">
        <v>6769</v>
      </c>
      <c r="AY205" s="72" t="n">
        <v>6506</v>
      </c>
      <c r="AZ205" s="72" t="n">
        <v>6074</v>
      </c>
      <c r="BA205" s="72" t="n">
        <v>6104</v>
      </c>
      <c r="BB205" s="72" t="n">
        <v>6208</v>
      </c>
      <c r="BC205" s="72" t="n">
        <v>6449</v>
      </c>
      <c r="BD205" s="72" t="n">
        <v>6370</v>
      </c>
      <c r="BE205" s="72" t="n">
        <v>6078</v>
      </c>
      <c r="BF205" s="72" t="n">
        <v>5975</v>
      </c>
      <c r="BG205" s="72" t="n">
        <v>6248</v>
      </c>
      <c r="BH205" s="72" t="n">
        <v>6300</v>
      </c>
      <c r="BI205" s="72" t="n">
        <v>6294</v>
      </c>
      <c r="BJ205" s="72" t="n">
        <v>6151</v>
      </c>
      <c r="BK205" s="72" t="n">
        <v>6000</v>
      </c>
      <c r="BL205" s="2" t="n">
        <v>6540</v>
      </c>
    </row>
    <row r="206">
      <c r="A206" s="65" t="inlineStr">
        <is>
          <t>9101</t>
        </is>
      </c>
      <c r="B206" s="34" t="inlineStr">
        <is>
          <t>日本郵船</t>
        </is>
      </c>
      <c r="C206" s="665">
        <f>_xll.RssMarket("9101","高値")</f>
        <v/>
      </c>
      <c r="D206" s="666">
        <f>C206-E206</f>
        <v/>
      </c>
      <c r="E206" s="72" t="n">
        <v>5203</v>
      </c>
      <c r="F206" s="72" t="n">
        <v>5234</v>
      </c>
      <c r="G206" s="72" t="n">
        <v>5300</v>
      </c>
      <c r="H206" s="72" t="n">
        <v>5410</v>
      </c>
      <c r="I206" s="72" t="n">
        <v>5532</v>
      </c>
      <c r="J206" s="72" t="n">
        <v>5672</v>
      </c>
      <c r="K206" s="72" t="n">
        <v>5689</v>
      </c>
      <c r="L206" s="72" t="n">
        <v>5690</v>
      </c>
      <c r="M206" s="72" t="n">
        <v>5720</v>
      </c>
      <c r="N206" s="72" t="n">
        <v>5646</v>
      </c>
      <c r="O206" s="72" t="n">
        <v>5723</v>
      </c>
      <c r="P206" s="72" t="n">
        <v>5515</v>
      </c>
      <c r="Q206" s="72" t="n">
        <v>5362</v>
      </c>
      <c r="R206" s="72" t="n">
        <v>5343</v>
      </c>
      <c r="S206" s="72" t="n">
        <v>5376</v>
      </c>
      <c r="T206" s="72" t="n">
        <v>5358</v>
      </c>
      <c r="U206" s="72" t="n">
        <v>5289</v>
      </c>
      <c r="V206" s="72" t="n">
        <v>5412</v>
      </c>
      <c r="W206" s="72" t="n">
        <v>5450</v>
      </c>
      <c r="X206" s="72" t="n">
        <v>5630</v>
      </c>
      <c r="Y206" s="72" t="n">
        <v>5695</v>
      </c>
      <c r="Z206" s="72" t="n">
        <v>5620</v>
      </c>
      <c r="AA206" s="72" t="n">
        <v>5636</v>
      </c>
      <c r="AB206" s="72" t="n">
        <v>5498</v>
      </c>
      <c r="AC206" s="72" t="n">
        <v>5446</v>
      </c>
      <c r="AD206" s="72" t="n">
        <v>5389</v>
      </c>
      <c r="AE206" s="72" t="n">
        <v>5486</v>
      </c>
      <c r="AF206" s="72" t="n">
        <v>5740</v>
      </c>
      <c r="AG206" s="72" t="n">
        <v>5700</v>
      </c>
      <c r="AH206" s="72" t="n">
        <v>5675</v>
      </c>
      <c r="AI206" s="72" t="n">
        <v>5648</v>
      </c>
      <c r="AJ206" s="72" t="n">
        <v>5702</v>
      </c>
      <c r="AK206" s="72" t="n">
        <v>5681</v>
      </c>
      <c r="AL206" s="72" t="n">
        <v>5807</v>
      </c>
      <c r="AM206" s="72" t="n">
        <v>5923</v>
      </c>
      <c r="AN206" s="72" t="n">
        <v>5852</v>
      </c>
      <c r="AO206" s="72" t="n">
        <v>5910</v>
      </c>
      <c r="AP206" s="72" t="n">
        <v>5930</v>
      </c>
      <c r="AQ206" s="72" t="n">
        <v>6068</v>
      </c>
      <c r="AR206" s="72" t="n">
        <v>6178</v>
      </c>
      <c r="AS206" s="72" t="n">
        <v>6127</v>
      </c>
      <c r="AT206" s="72" t="n">
        <v>6138</v>
      </c>
      <c r="AU206" s="72" t="n">
        <v>6153</v>
      </c>
      <c r="AV206" s="72" t="n">
        <v>6282</v>
      </c>
      <c r="AW206" s="72" t="n">
        <v>6250</v>
      </c>
      <c r="AX206" s="72" t="n">
        <v>6246</v>
      </c>
      <c r="AY206" s="72" t="n">
        <v>6394</v>
      </c>
      <c r="AZ206" s="72" t="n">
        <v>6365</v>
      </c>
      <c r="BA206" s="72" t="n">
        <v>6326</v>
      </c>
      <c r="BB206" s="72" t="n">
        <v>6226</v>
      </c>
      <c r="BC206" s="72" t="n">
        <v>6247</v>
      </c>
      <c r="BD206" s="72" t="n">
        <v>5984</v>
      </c>
      <c r="BE206" s="72" t="n">
        <v>5856</v>
      </c>
      <c r="BF206" s="72" t="n">
        <v>5739</v>
      </c>
      <c r="BG206" s="72" t="n">
        <v>5906</v>
      </c>
      <c r="BH206" s="72" t="n">
        <v>5794</v>
      </c>
      <c r="BI206" s="72" t="n">
        <v>5858</v>
      </c>
      <c r="BJ206" s="72" t="n">
        <v>5830</v>
      </c>
      <c r="BK206" s="72" t="n">
        <v>6040</v>
      </c>
      <c r="BL206" s="2" t="n">
        <v>6240</v>
      </c>
    </row>
    <row r="207">
      <c r="A207" s="65" t="inlineStr">
        <is>
          <t>7011</t>
        </is>
      </c>
      <c r="B207" s="570" t="inlineStr">
        <is>
          <t>三菱重工業</t>
        </is>
      </c>
      <c r="C207" s="660">
        <f>_xll.RssMarket("7011","高値")</f>
        <v/>
      </c>
      <c r="D207" s="661">
        <f>C207-E207</f>
        <v/>
      </c>
      <c r="E207" s="2" t="n">
        <v>3914</v>
      </c>
      <c r="F207" s="2" t="n">
        <v>4030</v>
      </c>
      <c r="G207" s="2" t="n">
        <v>4095</v>
      </c>
      <c r="H207" s="2" t="n">
        <v>3905</v>
      </c>
      <c r="I207" s="2" t="n">
        <v>3838</v>
      </c>
      <c r="J207" s="2" t="n">
        <v>3720</v>
      </c>
      <c r="K207" s="2" t="n">
        <v>3594</v>
      </c>
      <c r="L207" s="2" t="n">
        <v>3502</v>
      </c>
      <c r="M207" s="2" t="n">
        <v>3686</v>
      </c>
      <c r="N207" s="2" t="n">
        <v>3783</v>
      </c>
      <c r="O207" s="2" t="n">
        <v>3828</v>
      </c>
      <c r="P207" s="2" t="n">
        <v>3772</v>
      </c>
      <c r="Q207" s="2" t="n">
        <v>3640</v>
      </c>
      <c r="R207" s="2" t="n">
        <v>3516</v>
      </c>
      <c r="S207" s="2" t="n">
        <v>3836</v>
      </c>
      <c r="T207" s="2" t="n">
        <v>3999</v>
      </c>
      <c r="U207" s="2" t="n">
        <v>4050</v>
      </c>
      <c r="V207" s="2" t="n">
        <v>3944</v>
      </c>
      <c r="W207" s="2" t="n">
        <v>4023</v>
      </c>
      <c r="X207" s="2" t="n">
        <v>4032</v>
      </c>
      <c r="Y207" s="2" t="n">
        <v>4100</v>
      </c>
      <c r="Z207" s="2" t="n">
        <v>4255</v>
      </c>
      <c r="AA207" s="2" t="n">
        <v>4140</v>
      </c>
      <c r="AB207" s="2" t="n">
        <v>4148</v>
      </c>
      <c r="AC207" s="2" t="n">
        <v>4405</v>
      </c>
      <c r="AD207" s="2" t="n">
        <v>4456</v>
      </c>
      <c r="AE207" s="2" t="n">
        <v>4363</v>
      </c>
      <c r="AF207" s="2" t="n">
        <v>4543</v>
      </c>
      <c r="AG207" s="2" t="n">
        <v>4571</v>
      </c>
      <c r="AH207" s="2" t="n">
        <v>4620</v>
      </c>
      <c r="AI207" s="2" t="n">
        <v>4638</v>
      </c>
      <c r="AJ207" s="2" t="n">
        <v>4640</v>
      </c>
      <c r="AK207" s="2" t="n">
        <v>4823</v>
      </c>
      <c r="AL207" s="2" t="n">
        <v>4733</v>
      </c>
      <c r="AM207" s="2" t="n">
        <v>4810</v>
      </c>
      <c r="AN207" s="2" t="n">
        <v>4770</v>
      </c>
      <c r="AO207" s="2" t="n">
        <v>4532</v>
      </c>
      <c r="AP207" s="2" t="n">
        <v>4570</v>
      </c>
      <c r="AQ207" s="2" t="n">
        <v>4593</v>
      </c>
      <c r="AR207" s="2" t="n">
        <v>4511</v>
      </c>
      <c r="AS207" s="2" t="n">
        <v>4607</v>
      </c>
      <c r="AT207" s="2" t="n">
        <v>4735</v>
      </c>
      <c r="AU207" s="2" t="n">
        <v>4815</v>
      </c>
      <c r="AV207" s="2" t="n">
        <v>4834</v>
      </c>
      <c r="AW207" s="2" t="n">
        <v>4819</v>
      </c>
      <c r="AX207" s="2" t="n">
        <v>4854</v>
      </c>
      <c r="AY207" s="2" t="n">
        <v>4924</v>
      </c>
      <c r="AZ207" s="2" t="n">
        <v>4875</v>
      </c>
      <c r="BA207" s="2" t="n">
        <v>4847</v>
      </c>
      <c r="BB207" s="2" t="n">
        <v>4862</v>
      </c>
      <c r="BC207" s="2" t="n">
        <v>4876</v>
      </c>
      <c r="BD207" s="2" t="n">
        <v>4594</v>
      </c>
      <c r="BE207" s="2" t="n">
        <v>4331</v>
      </c>
      <c r="BF207" s="2" t="n">
        <v>4444</v>
      </c>
      <c r="BG207" s="2" t="n">
        <v>4593</v>
      </c>
      <c r="BH207" s="2" t="n">
        <v>4653</v>
      </c>
      <c r="BI207" s="2" t="n">
        <v>4599</v>
      </c>
      <c r="BJ207" s="2" t="n">
        <v>4600</v>
      </c>
      <c r="BK207" s="2" t="n">
        <v>4711</v>
      </c>
      <c r="BL207" s="2" t="n">
        <v>4984</v>
      </c>
    </row>
    <row r="208">
      <c r="A208" s="65" t="inlineStr">
        <is>
          <t>1812</t>
        </is>
      </c>
      <c r="B208" s="570" t="inlineStr">
        <is>
          <t>鹿島建設</t>
        </is>
      </c>
      <c r="C208" s="660">
        <f>_xll.RssMarket("1812","高値")</f>
        <v/>
      </c>
      <c r="D208" s="661">
        <f>C208-E208</f>
        <v/>
      </c>
      <c r="E208" s="2" t="n">
        <v>6030</v>
      </c>
      <c r="F208" s="2" t="n">
        <v>6069</v>
      </c>
      <c r="G208" s="2" t="n">
        <v>6094</v>
      </c>
      <c r="H208" s="2" t="n">
        <v>6044</v>
      </c>
      <c r="I208" s="2" t="n">
        <v>6138</v>
      </c>
      <c r="J208" s="2" t="n">
        <v>6163</v>
      </c>
      <c r="K208" s="2" t="n">
        <v>5634</v>
      </c>
      <c r="L208" s="2" t="n">
        <v>5502</v>
      </c>
      <c r="M208" s="2" t="n">
        <v>5578</v>
      </c>
      <c r="N208" s="2" t="n">
        <v>5551</v>
      </c>
      <c r="O208" s="2" t="n">
        <v>5566</v>
      </c>
      <c r="P208" s="2" t="n">
        <v>5551</v>
      </c>
      <c r="Q208" s="2" t="n">
        <v>5599</v>
      </c>
      <c r="R208" s="2" t="n">
        <v>5550</v>
      </c>
      <c r="S208" s="2" t="n">
        <v>5953</v>
      </c>
      <c r="T208" s="2" t="n">
        <v>5903</v>
      </c>
      <c r="U208" s="2" t="n">
        <v>6074</v>
      </c>
      <c r="V208" s="2" t="n">
        <v>5740</v>
      </c>
      <c r="W208" s="2" t="n">
        <v>5591</v>
      </c>
      <c r="X208" s="2" t="n">
        <v>5695</v>
      </c>
      <c r="Y208" s="2" t="n">
        <v>5766</v>
      </c>
      <c r="Z208" s="2" t="n">
        <v>5952</v>
      </c>
      <c r="AA208" s="2" t="n">
        <v>5843</v>
      </c>
      <c r="AB208" s="2" t="n">
        <v>6264</v>
      </c>
      <c r="AC208" s="2" t="n">
        <v>6536</v>
      </c>
      <c r="AD208" s="2" t="n">
        <v>6751</v>
      </c>
      <c r="AE208" s="2" t="n">
        <v>6599</v>
      </c>
      <c r="AF208" s="2" t="n">
        <v>6279</v>
      </c>
      <c r="AG208" s="2" t="n">
        <v>6269</v>
      </c>
      <c r="AH208" s="2" t="n">
        <v>6314</v>
      </c>
      <c r="AI208" s="2" t="n">
        <v>6243</v>
      </c>
      <c r="AJ208" s="2" t="n">
        <v>6429</v>
      </c>
      <c r="AK208" s="2" t="n">
        <v>6499</v>
      </c>
      <c r="AL208" s="2" t="n">
        <v>6011</v>
      </c>
      <c r="AM208" s="2" t="n">
        <v>5980</v>
      </c>
      <c r="AN208" s="2" t="n">
        <v>5998</v>
      </c>
      <c r="AO208" s="2" t="n">
        <v>5987</v>
      </c>
      <c r="AP208" s="2" t="n">
        <v>6120</v>
      </c>
      <c r="AQ208" s="2" t="n">
        <v>6092</v>
      </c>
      <c r="AR208" s="2" t="n">
        <v>6134</v>
      </c>
      <c r="AS208" s="2" t="n">
        <v>6203</v>
      </c>
      <c r="AT208" s="2" t="n">
        <v>6320</v>
      </c>
      <c r="AU208" s="2" t="n">
        <v>6238</v>
      </c>
      <c r="AV208" s="2" t="n">
        <v>6266</v>
      </c>
      <c r="AW208" s="2" t="n">
        <v>6318</v>
      </c>
      <c r="AX208" s="2" t="n">
        <v>6460</v>
      </c>
      <c r="AY208" s="2" t="n">
        <v>6344</v>
      </c>
      <c r="AZ208" s="2" t="n">
        <v>6093</v>
      </c>
      <c r="BA208" s="2" t="n">
        <v>6131</v>
      </c>
      <c r="BB208" s="2" t="n">
        <v>6148</v>
      </c>
      <c r="BC208" s="2" t="n">
        <v>6388</v>
      </c>
      <c r="BD208" s="2" t="n">
        <v>6288</v>
      </c>
      <c r="BE208" s="2" t="n">
        <v>6011</v>
      </c>
      <c r="BF208" s="2" t="n">
        <v>5952</v>
      </c>
      <c r="BG208" s="2" t="n">
        <v>6105</v>
      </c>
      <c r="BH208" s="2" t="n">
        <v>6196</v>
      </c>
      <c r="BI208" s="2" t="n">
        <v>6140</v>
      </c>
      <c r="BJ208" s="2" t="n">
        <v>5891</v>
      </c>
      <c r="BK208" s="2" t="n">
        <v>5945</v>
      </c>
      <c r="BL208" s="2" t="n">
        <v>6330</v>
      </c>
    </row>
    <row r="209">
      <c r="A209" s="65" t="inlineStr">
        <is>
          <t>6861</t>
        </is>
      </c>
      <c r="B209" s="570">
        <f>銘柄管理!C209</f>
        <v/>
      </c>
      <c r="C209" s="660">
        <f>_xll.RssMarket("6861","高値")</f>
        <v/>
      </c>
      <c r="D209" s="661" t="n"/>
      <c r="E209" s="2" t="n">
        <v>78890</v>
      </c>
      <c r="F209" s="2" t="n">
        <v>77700</v>
      </c>
      <c r="G209" s="2" t="n">
        <v>77820</v>
      </c>
      <c r="H209" s="2" t="n">
        <v>76250</v>
      </c>
      <c r="I209" s="2" t="n">
        <v>76090</v>
      </c>
      <c r="J209" s="2" t="n">
        <v>76740</v>
      </c>
      <c r="K209" s="2" t="n">
        <v>73460</v>
      </c>
      <c r="L209" s="2" t="n">
        <v>71660</v>
      </c>
      <c r="M209" s="2" t="n">
        <v>73890</v>
      </c>
      <c r="N209" s="2" t="n">
        <v>75030</v>
      </c>
      <c r="O209" s="2" t="n">
        <v>78800</v>
      </c>
      <c r="P209" s="2" t="n">
        <v>80870</v>
      </c>
      <c r="Q209" s="2" t="n">
        <v>81100</v>
      </c>
      <c r="R209" s="2" t="n">
        <v>79400</v>
      </c>
      <c r="S209" s="2" t="n">
        <v>81380</v>
      </c>
      <c r="T209" s="2" t="n">
        <v>77000</v>
      </c>
      <c r="U209" s="2" t="n">
        <v>77330</v>
      </c>
      <c r="V209" s="2" t="n">
        <v>79740</v>
      </c>
      <c r="W209" s="2" t="n">
        <v>80220</v>
      </c>
      <c r="X209" s="2" t="n">
        <v>77840</v>
      </c>
      <c r="Y209" s="2" t="n">
        <v>75410</v>
      </c>
      <c r="Z209" s="2" t="n">
        <v>76670</v>
      </c>
      <c r="AA209" s="2" t="n">
        <v>77190</v>
      </c>
      <c r="AB209" s="2" t="n">
        <v>78840</v>
      </c>
      <c r="AC209" s="2" t="n">
        <v>79680</v>
      </c>
      <c r="AD209" s="2" t="n">
        <v>79830</v>
      </c>
      <c r="AE209" s="2" t="n">
        <v>83000</v>
      </c>
      <c r="AF209" s="2" t="n">
        <v>83460</v>
      </c>
      <c r="AG209" s="2" t="n">
        <v>84170</v>
      </c>
      <c r="AH209" s="2" t="n">
        <v>81720</v>
      </c>
      <c r="AI209" s="2" t="n">
        <v>76790</v>
      </c>
      <c r="AJ209" s="2" t="n">
        <v>73980</v>
      </c>
      <c r="AK209" s="2" t="n">
        <v>76100</v>
      </c>
      <c r="AL209" s="2" t="n">
        <v>73180</v>
      </c>
      <c r="AM209" s="2" t="n">
        <v>64190</v>
      </c>
      <c r="AN209" s="2" t="n">
        <v>64700</v>
      </c>
      <c r="AO209" s="2" t="n">
        <v>64340</v>
      </c>
      <c r="AP209" s="2" t="n">
        <v>64600</v>
      </c>
      <c r="AQ209" s="2" t="n">
        <v>64360</v>
      </c>
      <c r="AR209" s="2" t="n">
        <v>64150</v>
      </c>
      <c r="AS209" s="2" t="n">
        <v>63660</v>
      </c>
      <c r="AT209" s="2" t="n">
        <v>62940</v>
      </c>
      <c r="AU209" s="2" t="n">
        <v>64100</v>
      </c>
      <c r="AV209" s="2" t="n">
        <v>63760</v>
      </c>
      <c r="AW209" s="2" t="n">
        <v>62500</v>
      </c>
      <c r="AX209" s="2" t="n">
        <v>61960</v>
      </c>
      <c r="AY209" s="2" t="n">
        <v>60960</v>
      </c>
      <c r="AZ209" s="2" t="n">
        <v>58550</v>
      </c>
      <c r="BA209" s="2" t="n">
        <v>59080</v>
      </c>
      <c r="BB209" s="2" t="n">
        <v>58270</v>
      </c>
      <c r="BC209" s="2" t="n">
        <v>59100</v>
      </c>
      <c r="BD209" s="2" t="n">
        <v>57990</v>
      </c>
      <c r="BE209" s="2" t="n">
        <v>55980</v>
      </c>
      <c r="BF209" s="2" t="n">
        <v>55800</v>
      </c>
      <c r="BG209" s="2" t="n">
        <v>57700</v>
      </c>
      <c r="BH209" s="2" t="n">
        <v>58660</v>
      </c>
      <c r="BI209" s="2" t="n">
        <v>58650</v>
      </c>
      <c r="BJ209" s="2" t="n">
        <v>57850</v>
      </c>
      <c r="BK209" s="2" t="n">
        <v>58860</v>
      </c>
      <c r="BL209" s="2" t="n">
        <v>60170</v>
      </c>
    </row>
    <row r="210">
      <c r="A210" s="65" t="inlineStr">
        <is>
          <t>6324</t>
        </is>
      </c>
      <c r="B210" s="570" t="inlineStr">
        <is>
          <t>ハーモニック・ドライブ・シス</t>
        </is>
      </c>
      <c r="C210" s="660">
        <f>_xll.RssMarket("6324","高値")</f>
        <v/>
      </c>
      <c r="D210" s="661">
        <f>C210-E210</f>
        <v/>
      </c>
      <c r="E210" s="2" t="n">
        <v>8870</v>
      </c>
      <c r="F210" s="2" t="n">
        <v>7980</v>
      </c>
      <c r="G210" s="2" t="n">
        <v>8240</v>
      </c>
      <c r="H210" s="2" t="n">
        <v>7890</v>
      </c>
      <c r="I210" s="2" t="n">
        <v>7160</v>
      </c>
      <c r="J210" s="2" t="n">
        <v>6920</v>
      </c>
      <c r="K210" s="2" t="n">
        <v>6890</v>
      </c>
      <c r="L210" s="2" t="n">
        <v>6300</v>
      </c>
      <c r="M210" s="2" t="n">
        <v>6750</v>
      </c>
      <c r="N210" s="2" t="n">
        <v>7440</v>
      </c>
      <c r="O210" s="2" t="n">
        <v>7220</v>
      </c>
      <c r="P210" s="2" t="n">
        <v>7450</v>
      </c>
      <c r="Q210" s="2" t="n">
        <v>7720</v>
      </c>
      <c r="R210" s="2" t="n">
        <v>7560</v>
      </c>
      <c r="S210" s="2" t="n">
        <v>7970</v>
      </c>
      <c r="T210" s="2" t="n">
        <v>7870</v>
      </c>
      <c r="U210" s="2" t="n">
        <v>8400</v>
      </c>
      <c r="V210" s="2" t="n">
        <v>7850</v>
      </c>
      <c r="W210" s="2" t="n">
        <v>7180</v>
      </c>
      <c r="X210" s="2" t="n">
        <v>6590</v>
      </c>
      <c r="Y210" s="2" t="n">
        <v>6050</v>
      </c>
      <c r="Z210" s="2" t="n">
        <v>6720</v>
      </c>
      <c r="AA210" s="2" t="n">
        <v>7070</v>
      </c>
      <c r="AB210" s="2" t="n">
        <v>7380</v>
      </c>
      <c r="AC210" s="2" t="n">
        <v>7230</v>
      </c>
      <c r="AD210" s="2" t="n">
        <v>7060</v>
      </c>
      <c r="AE210" s="2" t="n">
        <v>6750</v>
      </c>
      <c r="AF210" s="2" t="n">
        <v>6560</v>
      </c>
      <c r="AG210" s="2" t="n">
        <v>6280</v>
      </c>
      <c r="AH210" s="2" t="n">
        <v>5750</v>
      </c>
      <c r="AI210" s="2" t="n">
        <v>5290</v>
      </c>
      <c r="AJ210" s="2" t="n">
        <v>5310</v>
      </c>
      <c r="AK210" s="2" t="n">
        <v>4930</v>
      </c>
      <c r="AL210" s="2" t="n">
        <v>4895</v>
      </c>
      <c r="AM210" s="2" t="n">
        <v>4330</v>
      </c>
      <c r="AN210" s="2" t="n">
        <v>4465</v>
      </c>
      <c r="AO210" s="2" t="n">
        <v>4425</v>
      </c>
      <c r="AP210" s="2" t="n">
        <v>4710</v>
      </c>
      <c r="AQ210" s="2" t="n">
        <v>4675</v>
      </c>
      <c r="AR210" s="2" t="n">
        <v>4585</v>
      </c>
      <c r="AS210" s="2" t="n">
        <v>4815</v>
      </c>
      <c r="AT210" s="2" t="n">
        <v>4405</v>
      </c>
      <c r="AU210" s="2" t="n">
        <v>4255</v>
      </c>
      <c r="AV210" s="2" t="n">
        <v>4225</v>
      </c>
      <c r="AW210" s="2" t="n">
        <v>4040</v>
      </c>
      <c r="AX210" s="2" t="n">
        <v>4140</v>
      </c>
      <c r="AY210" s="2" t="n">
        <v>4155</v>
      </c>
      <c r="AZ210" s="2" t="n">
        <v>3870</v>
      </c>
      <c r="BA210" s="2" t="n">
        <v>3870</v>
      </c>
      <c r="BB210" s="2" t="n">
        <v>3725</v>
      </c>
      <c r="BC210" s="2" t="n">
        <v>3780</v>
      </c>
      <c r="BD210" s="2" t="n">
        <v>3670</v>
      </c>
      <c r="BE210" s="2" t="n">
        <v>3610</v>
      </c>
      <c r="BF210" s="2" t="n">
        <v>3895</v>
      </c>
      <c r="BG210" s="2" t="n">
        <v>4125</v>
      </c>
      <c r="BH210" s="2" t="n">
        <v>4285</v>
      </c>
      <c r="BI210" s="2" t="n">
        <v>4095</v>
      </c>
      <c r="BJ210" s="2" t="n">
        <v>4005</v>
      </c>
      <c r="BK210" s="2" t="n">
        <v>3915</v>
      </c>
      <c r="BL210" s="2" t="n">
        <v>4340</v>
      </c>
    </row>
    <row r="211">
      <c r="A211" s="65" t="inlineStr">
        <is>
          <t>6273</t>
        </is>
      </c>
      <c r="B211" s="570" t="inlineStr">
        <is>
          <t>ＳＭＣ</t>
        </is>
      </c>
      <c r="C211" s="660">
        <f>_xll.RssMarket("6273","高値")</f>
        <v/>
      </c>
      <c r="D211" s="661">
        <f>C211-E211</f>
        <v/>
      </c>
      <c r="E211" s="2" t="n">
        <v>74980</v>
      </c>
      <c r="F211" s="2" t="n">
        <v>74660</v>
      </c>
      <c r="G211" s="2" t="n">
        <v>73580</v>
      </c>
      <c r="H211" s="2" t="n">
        <v>72760</v>
      </c>
      <c r="I211" s="2" t="n">
        <v>70480</v>
      </c>
      <c r="J211" s="2" t="n">
        <v>70430</v>
      </c>
      <c r="K211" s="2" t="n">
        <v>67040</v>
      </c>
      <c r="L211" s="2" t="n">
        <v>62270</v>
      </c>
      <c r="M211" s="2" t="n">
        <v>61840</v>
      </c>
      <c r="N211" s="2" t="n">
        <v>62820</v>
      </c>
      <c r="O211" s="2" t="n">
        <v>65540</v>
      </c>
      <c r="P211" s="2" t="n">
        <v>66000</v>
      </c>
      <c r="Q211" s="2" t="n">
        <v>66210</v>
      </c>
      <c r="R211" s="2" t="n">
        <v>65960</v>
      </c>
      <c r="S211" s="2" t="n">
        <v>70050</v>
      </c>
      <c r="T211" s="2" t="n">
        <v>69390</v>
      </c>
      <c r="U211" s="2" t="n">
        <v>68860</v>
      </c>
      <c r="V211" s="2" t="n">
        <v>67120</v>
      </c>
      <c r="W211" s="2" t="n">
        <v>66590</v>
      </c>
      <c r="X211" s="2" t="n">
        <v>66140</v>
      </c>
      <c r="Y211" s="2" t="n">
        <v>65620</v>
      </c>
      <c r="Z211" s="2" t="n">
        <v>68310</v>
      </c>
      <c r="AA211" s="2" t="n">
        <v>68000</v>
      </c>
      <c r="AB211" s="2" t="n">
        <v>74660</v>
      </c>
      <c r="AC211" s="2" t="n">
        <v>86800</v>
      </c>
      <c r="AD211" s="2" t="n">
        <v>84880</v>
      </c>
      <c r="AE211" s="2" t="n">
        <v>85140</v>
      </c>
      <c r="AF211" s="2" t="n">
        <v>84580</v>
      </c>
      <c r="AG211" s="2" t="n">
        <v>82860</v>
      </c>
      <c r="AH211" s="2" t="n">
        <v>79790</v>
      </c>
      <c r="AI211" s="2" t="n">
        <v>77580</v>
      </c>
      <c r="AJ211" s="2" t="n">
        <v>78670</v>
      </c>
      <c r="AK211" s="2" t="n">
        <v>78530</v>
      </c>
      <c r="AL211" s="2" t="n">
        <v>78160</v>
      </c>
      <c r="AM211" s="2" t="n">
        <v>70920</v>
      </c>
      <c r="AN211" s="2" t="n">
        <v>72240</v>
      </c>
      <c r="AO211" s="2" t="n">
        <v>71700</v>
      </c>
      <c r="AP211" s="2" t="n">
        <v>72180</v>
      </c>
      <c r="AQ211" s="2" t="n">
        <v>71770</v>
      </c>
      <c r="AR211" s="2" t="n">
        <v>71940</v>
      </c>
      <c r="AS211" s="2" t="n">
        <v>72990</v>
      </c>
      <c r="AT211" s="2" t="n">
        <v>72520</v>
      </c>
      <c r="AU211" s="2" t="n">
        <v>73150</v>
      </c>
      <c r="AV211" s="2" t="n">
        <v>72200</v>
      </c>
      <c r="AW211" s="2" t="n">
        <v>70500</v>
      </c>
      <c r="AX211" s="2" t="n">
        <v>68510</v>
      </c>
      <c r="AY211" s="2" t="n">
        <v>66810</v>
      </c>
      <c r="AZ211" s="2" t="n">
        <v>63080</v>
      </c>
      <c r="BA211" s="2" t="n">
        <v>63420</v>
      </c>
      <c r="BB211" s="2" t="n">
        <v>62900</v>
      </c>
      <c r="BC211" s="2" t="n">
        <v>64940</v>
      </c>
      <c r="BD211" s="2" t="n">
        <v>63860</v>
      </c>
      <c r="BE211" s="2" t="n">
        <v>61150</v>
      </c>
      <c r="BF211" s="2" t="n">
        <v>61050</v>
      </c>
      <c r="BG211" s="2" t="n">
        <v>63290</v>
      </c>
      <c r="BH211" s="2" t="n">
        <v>66460</v>
      </c>
      <c r="BI211" s="2" t="n">
        <v>65290</v>
      </c>
      <c r="BJ211" s="2" t="n">
        <v>63210</v>
      </c>
      <c r="BK211" s="2" t="n">
        <v>61710</v>
      </c>
      <c r="BL211" s="2" t="n">
        <v>66500</v>
      </c>
    </row>
    <row r="212">
      <c r="A212" s="65" t="inlineStr">
        <is>
          <t>4502</t>
        </is>
      </c>
      <c r="B212" s="570" t="inlineStr">
        <is>
          <t>武田薬品</t>
        </is>
      </c>
      <c r="C212" s="660">
        <f>_xll.RssMarket("4502","高値")</f>
        <v/>
      </c>
      <c r="D212" s="661">
        <f>C212-E212</f>
        <v/>
      </c>
      <c r="E212" s="2" t="n">
        <v>4975</v>
      </c>
      <c r="F212" s="2" t="n">
        <v>4970</v>
      </c>
      <c r="G212" s="2" t="n">
        <v>5038</v>
      </c>
      <c r="H212" s="2" t="n">
        <v>5037</v>
      </c>
      <c r="I212" s="2" t="n">
        <v>5045</v>
      </c>
      <c r="J212" s="2" t="n">
        <v>5158</v>
      </c>
      <c r="K212" s="2" t="n">
        <v>5100</v>
      </c>
      <c r="L212" s="2" t="n">
        <v>5062</v>
      </c>
      <c r="M212" s="2" t="n">
        <v>5086</v>
      </c>
      <c r="N212" s="2" t="n">
        <v>5050</v>
      </c>
      <c r="O212" s="2" t="n">
        <v>4977</v>
      </c>
      <c r="P212" s="2" t="n">
        <v>4880</v>
      </c>
      <c r="Q212" s="2" t="n">
        <v>4809</v>
      </c>
      <c r="R212" s="2" t="n">
        <v>4905</v>
      </c>
      <c r="S212" s="2" t="n">
        <v>5146</v>
      </c>
      <c r="T212" s="2" t="n">
        <v>5182</v>
      </c>
      <c r="U212" s="2" t="n">
        <v>5130</v>
      </c>
      <c r="V212" s="2" t="n">
        <v>5166</v>
      </c>
      <c r="W212" s="2" t="n">
        <v>5206</v>
      </c>
      <c r="X212" s="2" t="n">
        <v>5320</v>
      </c>
      <c r="Y212" s="2" t="n">
        <v>5362</v>
      </c>
      <c r="Z212" s="2" t="n">
        <v>5352</v>
      </c>
      <c r="AA212" s="2" t="n">
        <v>5309</v>
      </c>
      <c r="AB212" s="2" t="n">
        <v>5327</v>
      </c>
      <c r="AC212" s="2" t="n">
        <v>5288</v>
      </c>
      <c r="AD212" s="2" t="n">
        <v>5234</v>
      </c>
      <c r="AE212" s="2" t="n">
        <v>5196</v>
      </c>
      <c r="AF212" s="2" t="n">
        <v>5222</v>
      </c>
      <c r="AG212" s="2" t="n">
        <v>5339</v>
      </c>
      <c r="AH212" s="2" t="n">
        <v>5338</v>
      </c>
      <c r="AI212" s="2" t="n">
        <v>5260</v>
      </c>
      <c r="AJ212" s="2" t="n">
        <v>5270</v>
      </c>
      <c r="AK212" s="2" t="n">
        <v>5295</v>
      </c>
      <c r="AL212" s="2" t="n">
        <v>5269</v>
      </c>
      <c r="AM212" s="2" t="n">
        <v>5378</v>
      </c>
      <c r="AN212" s="2" t="n">
        <v>5336</v>
      </c>
      <c r="AO212" s="2" t="n">
        <v>5494</v>
      </c>
      <c r="AP212" s="2" t="n">
        <v>5555</v>
      </c>
      <c r="AQ212" s="2" t="n">
        <v>5626</v>
      </c>
      <c r="AR212" s="2" t="n">
        <v>5660</v>
      </c>
      <c r="AS212" s="2" t="n">
        <v>5716</v>
      </c>
      <c r="AT212" s="2" t="n">
        <v>5667</v>
      </c>
      <c r="AU212" s="2" t="n">
        <v>5685</v>
      </c>
      <c r="AV212" s="2" t="n">
        <v>5757</v>
      </c>
      <c r="AW212" s="2" t="n">
        <v>5774</v>
      </c>
      <c r="AX212" s="2" t="n">
        <v>5936</v>
      </c>
      <c r="AY212" s="2" t="n">
        <v>5920</v>
      </c>
      <c r="AZ212" s="2" t="n">
        <v>5815</v>
      </c>
      <c r="BA212" s="2" t="n">
        <v>5834</v>
      </c>
      <c r="BB212" s="2" t="n">
        <v>5888</v>
      </c>
      <c r="BC212" s="2" t="n">
        <v>6033</v>
      </c>
      <c r="BD212" s="2" t="n">
        <v>5888</v>
      </c>
      <c r="BE212" s="2" t="n">
        <v>5769</v>
      </c>
      <c r="BF212" s="2" t="n">
        <v>5721</v>
      </c>
      <c r="BG212" s="2" t="n">
        <v>5855</v>
      </c>
      <c r="BH212" s="2" t="n">
        <v>5816</v>
      </c>
      <c r="BI212" s="2" t="n">
        <v>5825</v>
      </c>
      <c r="BJ212" s="2" t="n">
        <v>5674</v>
      </c>
      <c r="BK212" s="2" t="n">
        <v>5680</v>
      </c>
      <c r="BL212" s="2" t="n">
        <v>5813</v>
      </c>
    </row>
    <row r="213">
      <c r="A213" s="65" t="inlineStr">
        <is>
          <t>4004</t>
        </is>
      </c>
      <c r="B213" s="570" t="inlineStr">
        <is>
          <t>レゾナック・ホールディング</t>
        </is>
      </c>
      <c r="C213" s="660">
        <f>_xll.RssMarket("4004","高値")</f>
        <v/>
      </c>
      <c r="D213" s="661">
        <f>C213-E213</f>
        <v/>
      </c>
      <c r="E213" s="2" t="n">
        <v>19585</v>
      </c>
      <c r="F213" s="2" t="n">
        <v>19840</v>
      </c>
      <c r="G213" s="2" t="n">
        <v>19285</v>
      </c>
      <c r="H213" s="2" t="n">
        <v>18535</v>
      </c>
      <c r="I213" s="2" t="n">
        <v>18730</v>
      </c>
      <c r="J213" s="2" t="n">
        <v>18665</v>
      </c>
      <c r="K213" s="2" t="n">
        <v>17790</v>
      </c>
      <c r="L213" s="2" t="n">
        <v>16430</v>
      </c>
      <c r="M213" s="2" t="n">
        <v>16660</v>
      </c>
      <c r="N213" s="2" t="n">
        <v>16415</v>
      </c>
      <c r="O213" s="2" t="n">
        <v>17670</v>
      </c>
      <c r="P213" s="2" t="n">
        <v>18735</v>
      </c>
      <c r="Q213" s="2" t="n">
        <v>19450</v>
      </c>
      <c r="R213" s="2" t="n">
        <v>18620</v>
      </c>
      <c r="S213" s="2" t="n">
        <v>18980</v>
      </c>
      <c r="T213" s="2" t="n">
        <v>19150</v>
      </c>
      <c r="U213" s="2" t="n">
        <v>19945</v>
      </c>
      <c r="V213" s="2" t="n">
        <v>20195</v>
      </c>
      <c r="W213" s="2" t="n">
        <v>18310</v>
      </c>
      <c r="X213" s="2" t="n">
        <v>17485</v>
      </c>
      <c r="Y213" s="2" t="n">
        <v>16630</v>
      </c>
      <c r="Z213" s="2" t="n">
        <v>16890</v>
      </c>
      <c r="AA213" s="2" t="n">
        <v>17600</v>
      </c>
      <c r="AB213" s="2" t="n">
        <v>19000</v>
      </c>
      <c r="AC213" s="2" t="n">
        <v>20495</v>
      </c>
      <c r="AD213" s="2" t="n">
        <v>18150</v>
      </c>
      <c r="AE213" s="2" t="n">
        <v>17925</v>
      </c>
      <c r="AF213" s="2" t="n">
        <v>16935</v>
      </c>
      <c r="AG213" s="2" t="n">
        <v>16085</v>
      </c>
      <c r="AH213" s="2" t="n">
        <v>15700</v>
      </c>
      <c r="AI213" s="2" t="n">
        <v>14410</v>
      </c>
      <c r="AJ213" s="2" t="n">
        <v>14335</v>
      </c>
      <c r="AK213" s="2" t="n">
        <v>14155</v>
      </c>
      <c r="AL213" s="2" t="n">
        <v>14160</v>
      </c>
      <c r="AM213" s="2" t="n">
        <v>14550</v>
      </c>
      <c r="AN213" s="2" t="n">
        <v>14520</v>
      </c>
      <c r="AO213" s="2" t="n">
        <v>14530</v>
      </c>
      <c r="AP213" s="2" t="n">
        <v>13545</v>
      </c>
      <c r="AQ213" s="2" t="n">
        <v>12785</v>
      </c>
      <c r="AR213" s="2" t="n">
        <v>13075</v>
      </c>
      <c r="AS213" s="2" t="n">
        <v>13315</v>
      </c>
      <c r="AT213" s="2" t="n">
        <v>13710</v>
      </c>
      <c r="AU213" s="2" t="n">
        <v>13760</v>
      </c>
      <c r="AV213" s="2" t="n">
        <v>13310</v>
      </c>
      <c r="AW213" s="2" t="n">
        <v>13830</v>
      </c>
      <c r="AX213" s="2" t="n">
        <v>13235</v>
      </c>
      <c r="AY213" s="2" t="n">
        <v>12995</v>
      </c>
      <c r="AZ213" s="2" t="n">
        <v>11865</v>
      </c>
      <c r="BA213" s="2" t="n">
        <v>12165</v>
      </c>
      <c r="BB213" s="2" t="n">
        <v>11420</v>
      </c>
      <c r="BC213" s="2" t="n">
        <v>10890</v>
      </c>
      <c r="BD213" s="2" t="n">
        <v>10740</v>
      </c>
      <c r="BE213" s="2" t="n">
        <v>10205</v>
      </c>
      <c r="BF213" s="2" t="n">
        <v>10435</v>
      </c>
      <c r="BG213" s="2" t="n">
        <v>10790</v>
      </c>
      <c r="BH213" s="2" t="n">
        <v>11220</v>
      </c>
      <c r="BI213" s="2" t="n">
        <v>11345</v>
      </c>
      <c r="BJ213" s="2" t="n">
        <v>10935</v>
      </c>
      <c r="BK213" s="2" t="n">
        <v>10530</v>
      </c>
      <c r="BL213" s="2" t="n">
        <v>11270</v>
      </c>
    </row>
    <row r="214">
      <c r="A214" s="65" t="inlineStr">
        <is>
          <t>9519</t>
        </is>
      </c>
      <c r="B214" s="570" t="inlineStr">
        <is>
          <t>レノバ</t>
        </is>
      </c>
      <c r="C214" s="660">
        <f>_xll.RssMarket("9519","高値")</f>
        <v/>
      </c>
      <c r="D214" s="661">
        <f>C214-E214</f>
        <v/>
      </c>
      <c r="E214" s="2" t="n">
        <v>890</v>
      </c>
      <c r="F214" s="2" t="n">
        <v>841</v>
      </c>
      <c r="G214" s="2" t="n">
        <v>890</v>
      </c>
      <c r="H214" s="2" t="n">
        <v>893</v>
      </c>
      <c r="I214" s="2" t="n">
        <v>916</v>
      </c>
      <c r="J214" s="2" t="n">
        <v>918</v>
      </c>
      <c r="K214" s="2" t="n">
        <v>915</v>
      </c>
      <c r="L214" s="2" t="n">
        <v>911</v>
      </c>
      <c r="M214" s="2" t="n">
        <v>933</v>
      </c>
      <c r="N214" s="2" t="n">
        <v>1030</v>
      </c>
      <c r="O214" s="2" t="n">
        <v>1043</v>
      </c>
      <c r="P214" s="2" t="n">
        <v>1009</v>
      </c>
      <c r="Q214" s="2" t="n">
        <v>1090</v>
      </c>
      <c r="R214" s="2" t="n">
        <v>1181</v>
      </c>
      <c r="S214" s="2" t="n">
        <v>1346</v>
      </c>
      <c r="T214" s="2" t="n">
        <v>1288</v>
      </c>
      <c r="U214" s="2" t="n">
        <v>1318</v>
      </c>
      <c r="V214" s="2" t="n">
        <v>1395</v>
      </c>
      <c r="W214" s="2" t="n">
        <v>1400</v>
      </c>
      <c r="X214" s="2" t="n">
        <v>1338</v>
      </c>
      <c r="Y214" s="2" t="n">
        <v>1363</v>
      </c>
      <c r="Z214" s="2" t="n">
        <v>1388</v>
      </c>
      <c r="AA214" s="2" t="n">
        <v>1365</v>
      </c>
      <c r="AB214" s="2" t="n">
        <v>1234</v>
      </c>
      <c r="AC214" s="2" t="n">
        <v>1262</v>
      </c>
      <c r="AD214" s="2" t="n">
        <v>1245</v>
      </c>
      <c r="AE214" s="2" t="n">
        <v>1187</v>
      </c>
      <c r="AF214" s="2" t="n">
        <v>1144</v>
      </c>
      <c r="AG214" s="2" t="n">
        <v>1150</v>
      </c>
      <c r="AH214" s="2" t="n">
        <v>1146</v>
      </c>
      <c r="AI214" s="2" t="n">
        <v>1134</v>
      </c>
      <c r="AJ214" s="2" t="n">
        <v>1085</v>
      </c>
      <c r="AK214" s="2" t="n">
        <v>1073</v>
      </c>
      <c r="AL214" s="2" t="n">
        <v>1006</v>
      </c>
      <c r="AM214" s="2" t="n">
        <v>985</v>
      </c>
      <c r="AN214" s="2" t="n">
        <v>1048</v>
      </c>
      <c r="AO214" s="2" t="n">
        <v>1060</v>
      </c>
      <c r="AP214" s="2" t="n">
        <v>1073</v>
      </c>
      <c r="AQ214" s="2" t="n">
        <v>1120</v>
      </c>
      <c r="AR214" s="2" t="n">
        <v>1060</v>
      </c>
      <c r="AS214" s="2" t="n">
        <v>1023</v>
      </c>
      <c r="AT214" s="2" t="n">
        <v>1006</v>
      </c>
      <c r="AU214" s="2" t="n">
        <v>1023</v>
      </c>
      <c r="AV214" s="2" t="n">
        <v>991</v>
      </c>
      <c r="AW214" s="2" t="n">
        <v>950</v>
      </c>
      <c r="AX214" s="2" t="n">
        <v>909</v>
      </c>
      <c r="AY214" s="2" t="n">
        <v>951</v>
      </c>
      <c r="AZ214" s="2" t="n">
        <v>960</v>
      </c>
      <c r="BA214" s="2" t="n">
        <v>895</v>
      </c>
      <c r="BB214" s="2" t="n">
        <v>896</v>
      </c>
      <c r="BC214" s="2" t="n">
        <v>885</v>
      </c>
      <c r="BD214" s="2" t="n">
        <v>898</v>
      </c>
      <c r="BE214" s="2" t="n">
        <v>810</v>
      </c>
      <c r="BF214" s="2" t="n">
        <v>798</v>
      </c>
      <c r="BG214" s="2" t="n">
        <v>802</v>
      </c>
      <c r="BH214" s="2" t="n">
        <v>779</v>
      </c>
      <c r="BI214" s="2" t="n">
        <v>761</v>
      </c>
      <c r="BJ214" s="2" t="n">
        <v>808</v>
      </c>
      <c r="BK214" s="2" t="n">
        <v>838</v>
      </c>
      <c r="BL214" s="2" t="n">
        <v>850</v>
      </c>
    </row>
    <row r="215">
      <c r="A215" s="65" t="inlineStr">
        <is>
          <t>6752</t>
        </is>
      </c>
      <c r="B215" s="570" t="inlineStr">
        <is>
          <t>パナソニックホールディンク</t>
        </is>
      </c>
      <c r="C215" s="660">
        <f>_xll.RssMarket("6752","高値")</f>
        <v/>
      </c>
      <c r="D215" s="661">
        <f>C215-E215</f>
        <v/>
      </c>
      <c r="E215" s="2" t="n">
        <v>4510</v>
      </c>
      <c r="F215" s="2" t="n">
        <v>4449</v>
      </c>
      <c r="G215" s="2" t="n">
        <v>4420</v>
      </c>
      <c r="H215" s="2" t="n">
        <v>4272</v>
      </c>
      <c r="I215" s="2" t="n">
        <v>4144</v>
      </c>
      <c r="J215" s="2" t="n">
        <v>4039</v>
      </c>
      <c r="K215" s="2" t="n">
        <v>3929</v>
      </c>
      <c r="L215" s="2" t="n">
        <v>3799</v>
      </c>
      <c r="M215" s="2" t="n">
        <v>3851</v>
      </c>
      <c r="N215" s="2" t="n">
        <v>3607</v>
      </c>
      <c r="O215" s="2" t="n">
        <v>3805</v>
      </c>
      <c r="P215" s="2" t="n">
        <v>3801</v>
      </c>
      <c r="Q215" s="2" t="n">
        <v>3994</v>
      </c>
      <c r="R215" s="2" t="n">
        <v>3640</v>
      </c>
      <c r="S215" s="2" t="n">
        <v>3774</v>
      </c>
      <c r="T215" s="2" t="n">
        <v>3596</v>
      </c>
      <c r="U215" s="2" t="n">
        <v>3702</v>
      </c>
      <c r="V215" s="2" t="n">
        <v>3615</v>
      </c>
      <c r="W215" s="2" t="n">
        <v>3589</v>
      </c>
      <c r="X215" s="2" t="n">
        <v>3474</v>
      </c>
      <c r="Y215" s="2" t="n">
        <v>3302</v>
      </c>
      <c r="Z215" s="2" t="n">
        <v>3418</v>
      </c>
      <c r="AA215" s="2" t="n">
        <v>3370</v>
      </c>
      <c r="AB215" s="2" t="n">
        <v>3465</v>
      </c>
      <c r="AC215" s="2" t="n">
        <v>3460</v>
      </c>
      <c r="AD215" s="2" t="n">
        <v>3317</v>
      </c>
      <c r="AE215" s="2" t="n">
        <v>3467</v>
      </c>
      <c r="AF215" s="2" t="n">
        <v>3359</v>
      </c>
      <c r="AG215" s="2" t="n">
        <v>3335</v>
      </c>
      <c r="AH215" s="2" t="n">
        <v>3450</v>
      </c>
      <c r="AI215" s="2" t="n">
        <v>3339</v>
      </c>
      <c r="AJ215" s="2" t="n">
        <v>3203</v>
      </c>
      <c r="AK215" s="2" t="n">
        <v>3116</v>
      </c>
      <c r="AL215" s="2" t="n">
        <v>3119</v>
      </c>
      <c r="AM215" s="2" t="n">
        <v>2905</v>
      </c>
      <c r="AN215" s="2" t="n">
        <v>2965</v>
      </c>
      <c r="AO215" s="2" t="n">
        <v>3010</v>
      </c>
      <c r="AP215" s="2" t="n">
        <v>3082</v>
      </c>
      <c r="AQ215" s="2" t="n">
        <v>2983</v>
      </c>
      <c r="AR215" s="2" t="n">
        <v>2988</v>
      </c>
      <c r="AS215" s="2" t="n">
        <v>3008</v>
      </c>
      <c r="AT215" s="2" t="n">
        <v>2950</v>
      </c>
      <c r="AU215" s="2" t="n">
        <v>2951.5</v>
      </c>
      <c r="AV215" s="2" t="n">
        <v>2917</v>
      </c>
      <c r="AW215" s="2" t="n">
        <v>2960</v>
      </c>
      <c r="AX215" s="2" t="n">
        <v>2939.5</v>
      </c>
      <c r="AY215" s="2" t="n">
        <v>3033</v>
      </c>
      <c r="AZ215" s="2" t="n">
        <v>2857.5</v>
      </c>
      <c r="BA215" s="2" t="n">
        <v>2794</v>
      </c>
      <c r="BB215" s="2" t="n">
        <v>2785</v>
      </c>
      <c r="BC215" s="2" t="n">
        <v>2807.5</v>
      </c>
      <c r="BD215" s="2" t="n">
        <v>2777.5</v>
      </c>
      <c r="BE215" s="2" t="n">
        <v>2646.5</v>
      </c>
      <c r="BF215" s="2" t="n">
        <v>2625</v>
      </c>
      <c r="BG215" s="2" t="n">
        <v>2733.5</v>
      </c>
      <c r="BH215" s="2" t="n">
        <v>2723</v>
      </c>
      <c r="BI215" s="2" t="n">
        <v>2661</v>
      </c>
      <c r="BJ215" s="2" t="n">
        <v>2602.5</v>
      </c>
      <c r="BK215" s="2" t="n">
        <v>2528</v>
      </c>
      <c r="BL215" s="2" t="n">
        <v>2679</v>
      </c>
    </row>
    <row r="216">
      <c r="A216" s="65" t="inlineStr">
        <is>
          <t>6622</t>
        </is>
      </c>
      <c r="B216" s="570" t="inlineStr">
        <is>
          <t>ダイヘン</t>
        </is>
      </c>
      <c r="C216" s="660">
        <f>_xll.RssMarket("6622","高値")</f>
        <v/>
      </c>
      <c r="D216" s="661">
        <f>C216-E216</f>
        <v/>
      </c>
      <c r="E216" s="2" t="n">
        <v>19450</v>
      </c>
      <c r="F216" s="2" t="n">
        <v>19050</v>
      </c>
      <c r="G216" s="2" t="n">
        <v>18470</v>
      </c>
      <c r="H216" s="2" t="n">
        <v>16830</v>
      </c>
      <c r="I216" s="2" t="n">
        <v>16500</v>
      </c>
      <c r="J216" s="2" t="n">
        <v>16220</v>
      </c>
      <c r="K216" s="2" t="n">
        <v>15320</v>
      </c>
      <c r="L216" s="2" t="n">
        <v>14610</v>
      </c>
      <c r="M216" s="2" t="n">
        <v>15320</v>
      </c>
      <c r="N216" s="2" t="n">
        <v>15470</v>
      </c>
      <c r="O216" s="2" t="n">
        <v>16270</v>
      </c>
      <c r="P216" s="2" t="n">
        <v>15880</v>
      </c>
      <c r="Q216" s="2" t="n">
        <v>15870</v>
      </c>
      <c r="R216" s="2" t="n">
        <v>15740</v>
      </c>
      <c r="S216" s="2" t="n">
        <v>16650</v>
      </c>
      <c r="T216" s="2" t="n">
        <v>16540</v>
      </c>
      <c r="U216" s="2" t="n">
        <v>17720</v>
      </c>
      <c r="V216" s="2" t="n">
        <v>17360</v>
      </c>
      <c r="W216" s="2" t="n">
        <v>16690</v>
      </c>
      <c r="X216" s="2" t="n">
        <v>16040</v>
      </c>
      <c r="Y216" s="2" t="n">
        <v>15530</v>
      </c>
      <c r="Z216" s="2" t="n">
        <v>16840</v>
      </c>
      <c r="AA216" s="2" t="n">
        <v>17320</v>
      </c>
      <c r="AB216" s="2" t="n">
        <v>18180</v>
      </c>
      <c r="AC216" s="2" t="n">
        <v>18220</v>
      </c>
      <c r="AD216" s="2" t="n">
        <v>19790</v>
      </c>
      <c r="AE216" s="2" t="n">
        <v>18140</v>
      </c>
      <c r="AF216" s="2" t="n">
        <v>17280</v>
      </c>
      <c r="AG216" s="2" t="n">
        <v>17150</v>
      </c>
      <c r="AH216" s="2" t="n">
        <v>16100</v>
      </c>
      <c r="AI216" s="2" t="n">
        <v>15710</v>
      </c>
      <c r="AJ216" s="2" t="n">
        <v>14990</v>
      </c>
      <c r="AK216" s="2" t="n">
        <v>14950</v>
      </c>
      <c r="AL216" s="2" t="n">
        <v>14040</v>
      </c>
      <c r="AM216" s="2" t="n">
        <v>14150</v>
      </c>
      <c r="AN216" s="2" t="n">
        <v>14080</v>
      </c>
      <c r="AO216" s="2" t="n">
        <v>14210</v>
      </c>
      <c r="AP216" s="2" t="n">
        <v>14090</v>
      </c>
      <c r="AQ216" s="2" t="n">
        <v>14320</v>
      </c>
      <c r="AR216" s="2" t="n">
        <v>14440</v>
      </c>
      <c r="AS216" s="2" t="n">
        <v>14830</v>
      </c>
      <c r="AT216" s="2" t="n">
        <v>14620</v>
      </c>
      <c r="AU216" s="2" t="n">
        <v>14140</v>
      </c>
      <c r="AV216" s="2" t="n">
        <v>14060</v>
      </c>
      <c r="AW216" s="2" t="n">
        <v>13650</v>
      </c>
      <c r="AX216" s="2" t="n">
        <v>13730</v>
      </c>
      <c r="AY216" s="2" t="n">
        <v>12550</v>
      </c>
      <c r="AZ216" s="2" t="n">
        <v>12750</v>
      </c>
      <c r="BA216" s="2" t="n">
        <v>12270</v>
      </c>
      <c r="BB216" s="2" t="n">
        <v>12650</v>
      </c>
      <c r="BC216" s="2" t="n">
        <v>12340</v>
      </c>
      <c r="BD216" s="2" t="n">
        <v>11510</v>
      </c>
      <c r="BE216" s="2" t="n">
        <v>11530</v>
      </c>
      <c r="BF216" s="2" t="n">
        <v>12150</v>
      </c>
      <c r="BG216" s="2" t="n">
        <v>12780</v>
      </c>
      <c r="BH216" s="2" t="n">
        <v>12690</v>
      </c>
      <c r="BI216" s="2" t="n">
        <v>12180</v>
      </c>
      <c r="BJ216" s="2" t="n">
        <v>12000</v>
      </c>
      <c r="BK216" s="2" t="n">
        <v>12640</v>
      </c>
      <c r="BL216" s="2" t="n">
        <v>13130</v>
      </c>
    </row>
    <row r="217">
      <c r="A217" s="65" t="inlineStr">
        <is>
          <t>1407</t>
        </is>
      </c>
      <c r="B217" s="570" t="inlineStr">
        <is>
          <t>ウエストホールディングス</t>
        </is>
      </c>
      <c r="C217" s="660">
        <f>_xll.RssMarket("1407","高値")</f>
        <v/>
      </c>
      <c r="D217" s="661">
        <f>C217-E217</f>
        <v/>
      </c>
      <c r="E217" s="2" t="n">
        <v>2302</v>
      </c>
      <c r="F217" s="2" t="n">
        <v>2325</v>
      </c>
      <c r="G217" s="2" t="n">
        <v>2347</v>
      </c>
      <c r="H217" s="2" t="n">
        <v>2350</v>
      </c>
      <c r="I217" s="2" t="n">
        <v>2357</v>
      </c>
      <c r="J217" s="2" t="n">
        <v>2336</v>
      </c>
      <c r="K217" s="2" t="n">
        <v>2355</v>
      </c>
      <c r="L217" s="2" t="n">
        <v>2348</v>
      </c>
      <c r="M217" s="2" t="n">
        <v>2369</v>
      </c>
      <c r="N217" s="2" t="n">
        <v>2506</v>
      </c>
      <c r="O217" s="2" t="n">
        <v>2491</v>
      </c>
      <c r="P217" s="2" t="n">
        <v>2630</v>
      </c>
      <c r="Q217" s="2" t="n">
        <v>2612</v>
      </c>
      <c r="R217" s="2" t="n">
        <v>2600</v>
      </c>
      <c r="S217" s="2" t="n">
        <v>2928</v>
      </c>
      <c r="T217" s="2" t="n">
        <v>3045</v>
      </c>
      <c r="U217" s="2" t="n">
        <v>3270</v>
      </c>
      <c r="V217" s="2" t="n">
        <v>2992</v>
      </c>
      <c r="W217" s="2" t="n">
        <v>2964</v>
      </c>
      <c r="X217" s="2" t="n">
        <v>3150</v>
      </c>
      <c r="Y217" s="2" t="n">
        <v>3120</v>
      </c>
      <c r="Z217" s="2" t="n">
        <v>3085</v>
      </c>
      <c r="AA217" s="2" t="n">
        <v>3065</v>
      </c>
      <c r="AB217" s="2" t="n">
        <v>3200</v>
      </c>
      <c r="AC217" s="2" t="n">
        <v>3185</v>
      </c>
      <c r="AD217" s="2" t="n">
        <v>3025</v>
      </c>
      <c r="AE217" s="2" t="n">
        <v>3200</v>
      </c>
      <c r="AF217" s="2" t="n">
        <v>3230</v>
      </c>
      <c r="AG217" s="2" t="n">
        <v>3000</v>
      </c>
      <c r="AH217" s="2" t="n">
        <v>2947</v>
      </c>
      <c r="AI217" s="2" t="n">
        <v>3090</v>
      </c>
      <c r="AJ217" s="2" t="n">
        <v>2915</v>
      </c>
      <c r="AK217" s="2" t="n">
        <v>2762</v>
      </c>
      <c r="AL217" s="2" t="n">
        <v>2710</v>
      </c>
      <c r="AM217" s="2" t="n">
        <v>2598</v>
      </c>
      <c r="AN217" s="2" t="n">
        <v>2424</v>
      </c>
      <c r="AO217" s="2" t="n">
        <v>2295</v>
      </c>
      <c r="AP217" s="2" t="n">
        <v>2357</v>
      </c>
      <c r="AQ217" s="2" t="n">
        <v>2330</v>
      </c>
      <c r="AR217" s="2" t="n">
        <v>2374</v>
      </c>
      <c r="AS217" s="2" t="n">
        <v>2371</v>
      </c>
      <c r="AT217" s="2" t="n">
        <v>2163</v>
      </c>
      <c r="AU217" s="2" t="n">
        <v>1947</v>
      </c>
      <c r="AV217" s="2" t="n">
        <v>1863</v>
      </c>
      <c r="AW217" s="2" t="n">
        <v>1920</v>
      </c>
      <c r="AX217" s="2" t="n">
        <v>1841</v>
      </c>
      <c r="AY217" s="2" t="n">
        <v>1903</v>
      </c>
      <c r="AZ217" s="2" t="n">
        <v>1906</v>
      </c>
      <c r="BA217" s="2" t="n">
        <v>1944</v>
      </c>
      <c r="BB217" s="2" t="n">
        <v>1932</v>
      </c>
      <c r="BC217" s="2" t="n">
        <v>1899</v>
      </c>
      <c r="BD217" s="2" t="n">
        <v>1830</v>
      </c>
      <c r="BE217" s="2" t="n">
        <v>1816</v>
      </c>
      <c r="BF217" s="2" t="n">
        <v>1809</v>
      </c>
      <c r="BG217" s="2" t="n">
        <v>1768</v>
      </c>
      <c r="BH217" s="2" t="n">
        <v>1806</v>
      </c>
      <c r="BI217" s="2" t="n">
        <v>1816</v>
      </c>
      <c r="BJ217" s="2" t="n">
        <v>1748</v>
      </c>
      <c r="BK217" s="2" t="n">
        <v>1693</v>
      </c>
      <c r="BL217" s="2" t="n">
        <v>1799</v>
      </c>
    </row>
    <row r="218">
      <c r="A218" s="65" t="inlineStr">
        <is>
          <t>285A</t>
        </is>
      </c>
      <c r="B218" s="570" t="inlineStr">
        <is>
          <t>QPS研究所</t>
        </is>
      </c>
      <c r="C218" s="660">
        <f>_xll.RssMarket("285A","高値")</f>
        <v/>
      </c>
      <c r="D218" s="661">
        <f>C218-E218</f>
        <v/>
      </c>
      <c r="E218" s="2" t="n">
        <v>112700</v>
      </c>
      <c r="F218" s="2" t="n">
        <v>108600</v>
      </c>
      <c r="G218" s="2" t="n">
        <v>99500</v>
      </c>
      <c r="H218" s="2" t="n">
        <v>96400</v>
      </c>
      <c r="I218" s="2" t="n">
        <v>97610</v>
      </c>
      <c r="J218" s="2" t="n">
        <v>90990</v>
      </c>
      <c r="K218" s="2" t="n">
        <v>83140</v>
      </c>
      <c r="L218" s="2" t="n">
        <v>77360</v>
      </c>
      <c r="M218" s="2" t="n">
        <v>75680</v>
      </c>
      <c r="N218" s="2" t="n">
        <v>74500</v>
      </c>
      <c r="O218" s="2" t="n">
        <v>78840</v>
      </c>
      <c r="P218" s="2" t="n">
        <v>79830</v>
      </c>
      <c r="Q218" s="2" t="n">
        <v>83140</v>
      </c>
      <c r="R218" s="2" t="n">
        <v>77540</v>
      </c>
      <c r="S218" s="2" t="n">
        <v>65850</v>
      </c>
      <c r="T218" s="2" t="n">
        <v>61840</v>
      </c>
      <c r="U218" s="2" t="n">
        <v>67340</v>
      </c>
      <c r="V218" s="2" t="n">
        <v>65790</v>
      </c>
      <c r="W218" s="2" t="n">
        <v>58880</v>
      </c>
      <c r="X218" s="2" t="n">
        <v>59420</v>
      </c>
      <c r="Y218" s="2" t="n">
        <v>51450</v>
      </c>
      <c r="Z218" s="2" t="n">
        <v>52590</v>
      </c>
      <c r="AA218" s="2" t="n">
        <v>51450</v>
      </c>
      <c r="AB218" s="2" t="n">
        <v>48470</v>
      </c>
      <c r="AC218" s="2" t="n">
        <v>53490</v>
      </c>
      <c r="AD218" s="2" t="n">
        <v>50670</v>
      </c>
      <c r="AE218" s="2" t="n">
        <v>47180</v>
      </c>
      <c r="AF218" s="2" t="n">
        <v>49430</v>
      </c>
      <c r="AG218" s="2" t="n">
        <v>45550</v>
      </c>
      <c r="AH218" s="2" t="n">
        <v>43410</v>
      </c>
      <c r="AI218" s="2" t="n">
        <v>36990</v>
      </c>
      <c r="AJ218" s="2" t="n">
        <v>38270</v>
      </c>
      <c r="AK218" s="2" t="n">
        <v>37430</v>
      </c>
      <c r="AL218" s="2" t="n">
        <v>36440</v>
      </c>
      <c r="AM218" s="2" t="n">
        <v>35600</v>
      </c>
      <c r="AN218" s="2" t="n">
        <v>36680</v>
      </c>
      <c r="AO218" s="2" t="n">
        <v>35080</v>
      </c>
      <c r="AP218" s="2" t="n">
        <v>32880</v>
      </c>
      <c r="AQ218" s="2" t="n">
        <v>31730</v>
      </c>
      <c r="AR218" s="2" t="n">
        <v>33480</v>
      </c>
      <c r="AS218" s="2" t="n">
        <v>33950</v>
      </c>
      <c r="AT218" s="2" t="n">
        <v>35150</v>
      </c>
      <c r="AU218" s="2" t="n">
        <v>36870</v>
      </c>
      <c r="AV218" s="2" t="n">
        <v>31380</v>
      </c>
      <c r="AW218" s="2" t="n">
        <v>30490</v>
      </c>
      <c r="AX218" s="2" t="n">
        <v>28215</v>
      </c>
      <c r="AY218" s="2" t="n">
        <v>27815</v>
      </c>
      <c r="AZ218" s="2" t="n">
        <v>23400</v>
      </c>
      <c r="BA218" s="2" t="n">
        <v>22835</v>
      </c>
      <c r="BB218" s="2" t="n">
        <v>22080</v>
      </c>
      <c r="BC218" s="2" t="n">
        <v>22400</v>
      </c>
      <c r="BD218" s="2" t="n">
        <v>21815</v>
      </c>
      <c r="BE218" s="2" t="n">
        <v>19675</v>
      </c>
      <c r="BF218" s="2" t="n">
        <v>20060</v>
      </c>
      <c r="BG218" s="2" t="n">
        <v>20580</v>
      </c>
      <c r="BH218" s="2" t="n">
        <v>21900</v>
      </c>
      <c r="BI218" s="2" t="n">
        <v>22445</v>
      </c>
      <c r="BJ218" s="2" t="n">
        <v>22280</v>
      </c>
      <c r="BK218" s="2" t="n">
        <v>21835</v>
      </c>
      <c r="BL218" s="2" t="n">
        <v>23240</v>
      </c>
    </row>
    <row r="219">
      <c r="A219" s="65" t="inlineStr">
        <is>
          <t>141A</t>
        </is>
      </c>
      <c r="B219" s="570" t="inlineStr">
        <is>
          <t>トライアルホールディングス</t>
        </is>
      </c>
      <c r="C219" s="660">
        <f>_xll.RssMarket("141A","高値")</f>
        <v/>
      </c>
      <c r="D219" s="661">
        <f>C219-E219</f>
        <v/>
      </c>
      <c r="E219" s="2" t="n">
        <v>2775</v>
      </c>
      <c r="F219" s="2" t="n">
        <v>2806</v>
      </c>
      <c r="G219" s="2" t="n">
        <v>2805</v>
      </c>
      <c r="H219" s="2" t="n">
        <v>2850</v>
      </c>
      <c r="I219" s="2" t="n">
        <v>2865</v>
      </c>
      <c r="J219" s="2" t="n">
        <v>2873</v>
      </c>
      <c r="K219" s="2" t="n">
        <v>2937</v>
      </c>
      <c r="L219" s="2" t="n">
        <v>2925</v>
      </c>
      <c r="M219" s="2" t="n">
        <v>2841</v>
      </c>
      <c r="N219" s="2" t="n">
        <v>2873</v>
      </c>
      <c r="O219" s="2" t="n">
        <v>2849</v>
      </c>
      <c r="P219" s="2" t="n">
        <v>2792</v>
      </c>
      <c r="Q219" s="2" t="n">
        <v>2734</v>
      </c>
      <c r="R219" s="2" t="n">
        <v>2645</v>
      </c>
      <c r="S219" s="2" t="n">
        <v>2965</v>
      </c>
      <c r="T219" s="2" t="n">
        <v>3015</v>
      </c>
      <c r="U219" s="2" t="n">
        <v>2913</v>
      </c>
      <c r="V219" s="2" t="n">
        <v>3075</v>
      </c>
      <c r="W219" s="2" t="n">
        <v>3060</v>
      </c>
      <c r="X219" s="2" t="n">
        <v>3145</v>
      </c>
      <c r="Y219" s="2" t="n">
        <v>3270</v>
      </c>
      <c r="Z219" s="2" t="n">
        <v>3195</v>
      </c>
      <c r="AA219" s="2" t="n">
        <v>3505</v>
      </c>
      <c r="AB219" s="2" t="n">
        <v>3735</v>
      </c>
      <c r="AC219" s="2" t="n">
        <v>4465</v>
      </c>
      <c r="AD219" s="2" t="n">
        <v>4460</v>
      </c>
      <c r="AE219" s="2" t="n">
        <v>4410</v>
      </c>
      <c r="AF219" s="2" t="n">
        <v>4290</v>
      </c>
      <c r="AG219" s="2" t="n">
        <v>4315</v>
      </c>
      <c r="AH219" s="2" t="n">
        <v>4225</v>
      </c>
      <c r="AI219" s="2" t="n">
        <v>3995</v>
      </c>
      <c r="AJ219" s="2" t="n">
        <v>4055</v>
      </c>
      <c r="AK219" s="2" t="n">
        <v>4050</v>
      </c>
      <c r="AL219" s="2" t="n">
        <v>4010</v>
      </c>
      <c r="AM219" s="2" t="n">
        <v>4215</v>
      </c>
      <c r="AN219" s="2" t="n">
        <v>4400</v>
      </c>
      <c r="AO219" s="2" t="n">
        <v>4790</v>
      </c>
      <c r="AP219" s="2" t="n">
        <v>4785</v>
      </c>
      <c r="AQ219" s="2" t="n">
        <v>4655</v>
      </c>
      <c r="AR219" s="2" t="n">
        <v>4555</v>
      </c>
      <c r="AS219" s="2" t="n">
        <v>4495</v>
      </c>
      <c r="AT219" s="2" t="n">
        <v>4445</v>
      </c>
      <c r="AU219" s="2" t="n">
        <v>4285</v>
      </c>
      <c r="AV219" s="2" t="n">
        <v>4385</v>
      </c>
      <c r="AW219" s="2" t="n">
        <v>4725</v>
      </c>
      <c r="AX219" s="2" t="n">
        <v>4670</v>
      </c>
      <c r="AY219" s="2" t="n">
        <v>4840</v>
      </c>
      <c r="AZ219" s="2" t="n">
        <v>4820</v>
      </c>
      <c r="BA219" s="2" t="n">
        <v>4795</v>
      </c>
      <c r="BB219" s="2" t="n">
        <v>4675</v>
      </c>
      <c r="BC219" s="2" t="n">
        <v>4710</v>
      </c>
      <c r="BD219" s="2" t="n">
        <v>4450</v>
      </c>
      <c r="BE219" s="2" t="n">
        <v>4250</v>
      </c>
      <c r="BF219" s="2" t="n">
        <v>4260</v>
      </c>
      <c r="BG219" s="2" t="n">
        <v>4280</v>
      </c>
      <c r="BH219" s="2" t="n">
        <v>4235</v>
      </c>
      <c r="BI219" s="2" t="n">
        <v>4285</v>
      </c>
      <c r="BJ219" s="2" t="n">
        <v>4170</v>
      </c>
      <c r="BK219" s="2" t="n">
        <v>4205</v>
      </c>
      <c r="BL219" s="2" t="n">
        <v>4360</v>
      </c>
    </row>
    <row r="220">
      <c r="A220" s="65" t="inlineStr">
        <is>
          <t>464A</t>
        </is>
      </c>
      <c r="B220" s="570" t="inlineStr">
        <is>
          <t>QPSホールディングス</t>
        </is>
      </c>
      <c r="C220" s="660">
        <f>_xll.RssMarket("464A","高値")</f>
        <v/>
      </c>
      <c r="D220" s="661">
        <f>C220-E220</f>
        <v/>
      </c>
      <c r="E220" s="2" t="n">
        <v>2333</v>
      </c>
      <c r="F220" s="2" t="n">
        <v>2242</v>
      </c>
      <c r="G220" s="2" t="n">
        <v>2336</v>
      </c>
      <c r="H220" s="2" t="n">
        <v>2430</v>
      </c>
      <c r="I220" s="2" t="n">
        <v>2424</v>
      </c>
      <c r="J220" s="2" t="n">
        <v>2749</v>
      </c>
      <c r="K220" s="2" t="n">
        <v>2839</v>
      </c>
      <c r="L220" s="2" t="n">
        <v>2629</v>
      </c>
      <c r="M220" s="2" t="n">
        <v>2630</v>
      </c>
      <c r="N220" s="2" t="n">
        <v>2923</v>
      </c>
      <c r="O220" s="2" t="n">
        <v>3165</v>
      </c>
      <c r="P220" s="2" t="n">
        <v>2783</v>
      </c>
      <c r="Q220" s="2" t="n">
        <v>3160</v>
      </c>
      <c r="R220" s="2" t="n">
        <v>3185</v>
      </c>
      <c r="S220" s="2" t="n">
        <v>4485</v>
      </c>
      <c r="T220" s="2" t="n">
        <v>4460</v>
      </c>
      <c r="U220" s="2" t="n">
        <v>4475</v>
      </c>
      <c r="V220" s="2" t="n">
        <v>4060</v>
      </c>
      <c r="W220" s="2" t="n">
        <v>3850</v>
      </c>
      <c r="X220" s="2" t="n">
        <v>3505</v>
      </c>
      <c r="Y220" s="2" t="n">
        <v>3510</v>
      </c>
      <c r="Z220" s="2" t="n">
        <v>3680</v>
      </c>
      <c r="AA220" s="2" t="n">
        <v>3350</v>
      </c>
      <c r="AB220" s="2" t="n">
        <v>3485</v>
      </c>
      <c r="AC220" s="2" t="n">
        <v>3440</v>
      </c>
      <c r="AD220" s="2" t="n">
        <v>3145</v>
      </c>
      <c r="AE220" s="2" t="n">
        <v>3070</v>
      </c>
      <c r="AF220" s="2" t="n">
        <v>3065</v>
      </c>
      <c r="AG220" s="2" t="n">
        <v>2840</v>
      </c>
      <c r="AH220" s="2" t="n">
        <v>2708</v>
      </c>
      <c r="AI220" s="2" t="n">
        <v>2596</v>
      </c>
      <c r="AJ220" s="2" t="n">
        <v>2604</v>
      </c>
      <c r="AK220" s="2" t="n">
        <v>2564</v>
      </c>
      <c r="AL220" s="2" t="n">
        <v>2616</v>
      </c>
      <c r="AM220" s="2" t="n">
        <v>2630</v>
      </c>
      <c r="AN220" s="2" t="n">
        <v>2726</v>
      </c>
      <c r="AO220" s="2" t="n">
        <v>2793</v>
      </c>
      <c r="AP220" s="2" t="n">
        <v>2771</v>
      </c>
      <c r="AQ220" s="2" t="n">
        <v>2740</v>
      </c>
      <c r="AR220" s="2" t="n">
        <v>2714</v>
      </c>
      <c r="AS220" s="2" t="n">
        <v>2644</v>
      </c>
      <c r="AT220" s="2" t="n">
        <v>2745</v>
      </c>
      <c r="AU220" s="2" t="n">
        <v>2780</v>
      </c>
      <c r="AV220" s="2" t="n">
        <v>2839</v>
      </c>
      <c r="AW220" s="2" t="n">
        <v>2854</v>
      </c>
      <c r="AX220" s="2" t="n">
        <v>2685</v>
      </c>
      <c r="AY220" s="2" t="n">
        <v>2715</v>
      </c>
      <c r="AZ220" s="2" t="n">
        <v>2490</v>
      </c>
      <c r="BA220" s="2" t="n">
        <v>2463</v>
      </c>
      <c r="BB220" s="2" t="n">
        <v>2388</v>
      </c>
      <c r="BC220" s="2" t="n">
        <v>2449</v>
      </c>
      <c r="BD220" s="2" t="n">
        <v>2245</v>
      </c>
      <c r="BE220" s="2" t="n">
        <v>2155</v>
      </c>
      <c r="BF220" s="2" t="n">
        <v>2222</v>
      </c>
      <c r="BG220" s="2" t="n">
        <v>2400</v>
      </c>
      <c r="BH220" s="2" t="n">
        <v>2488</v>
      </c>
      <c r="BI220" s="2" t="n">
        <v>2504</v>
      </c>
      <c r="BJ220" s="2" t="n">
        <v>2402</v>
      </c>
      <c r="BK220" s="2" t="n">
        <v>2484</v>
      </c>
      <c r="BL220" s="2" t="n">
        <v>2698</v>
      </c>
    </row>
    <row r="221">
      <c r="A221" s="65" t="inlineStr">
        <is>
          <t>485A</t>
        </is>
      </c>
      <c r="B221" s="570" t="inlineStr">
        <is>
          <t>パワーエックス</t>
        </is>
      </c>
      <c r="C221" s="660">
        <f>_xll.RssMarket("485A","高値")</f>
        <v/>
      </c>
      <c r="D221" s="661">
        <f>C221-E221</f>
        <v/>
      </c>
      <c r="E221" s="2" t="n">
        <v>2200</v>
      </c>
      <c r="F221" s="2" t="n">
        <v>2061</v>
      </c>
      <c r="G221" s="2" t="n">
        <v>2208</v>
      </c>
      <c r="H221" s="2" t="n">
        <v>2488</v>
      </c>
      <c r="I221" s="2" t="n">
        <v>2869</v>
      </c>
      <c r="J221" s="2" t="n">
        <v>2677</v>
      </c>
      <c r="K221" s="2" t="n">
        <v>2730</v>
      </c>
      <c r="L221" s="2" t="n">
        <v>2693</v>
      </c>
      <c r="M221" s="2" t="n">
        <v>2439</v>
      </c>
      <c r="N221" s="2" t="n">
        <v>2934</v>
      </c>
      <c r="O221" s="2" t="n">
        <v>2980</v>
      </c>
      <c r="P221" s="2" t="n">
        <v>3870</v>
      </c>
      <c r="Q221" s="2" t="n">
        <v>3635</v>
      </c>
      <c r="R221" s="2" t="n">
        <v>3500</v>
      </c>
      <c r="S221" s="2" t="n">
        <v>4490</v>
      </c>
      <c r="T221" s="2" t="n">
        <v>4980</v>
      </c>
      <c r="U221" s="2" t="n">
        <v>14260</v>
      </c>
      <c r="V221" s="2" t="n">
        <v>14850</v>
      </c>
      <c r="W221" s="2" t="n">
        <v>13790</v>
      </c>
      <c r="X221" s="2" t="n">
        <v>14300</v>
      </c>
      <c r="Y221" s="2" t="n">
        <v>14490</v>
      </c>
      <c r="Z221" s="2" t="n">
        <v>16280</v>
      </c>
      <c r="AA221" s="2" t="n">
        <v>15320</v>
      </c>
      <c r="AB221" s="2" t="n">
        <v>14540</v>
      </c>
      <c r="AC221" s="2" t="n">
        <v>13730</v>
      </c>
      <c r="AD221" s="2" t="n">
        <v>13260</v>
      </c>
      <c r="AE221" s="2" t="n">
        <v>15570</v>
      </c>
      <c r="AF221" s="2" t="n">
        <v>16730</v>
      </c>
      <c r="AG221" s="2" t="n">
        <v>14090</v>
      </c>
      <c r="AH221" s="2" t="n">
        <v>11400</v>
      </c>
      <c r="AI221" s="2" t="n">
        <v>11680</v>
      </c>
      <c r="AJ221" s="2" t="n">
        <v>10850</v>
      </c>
      <c r="AK221" s="2" t="n">
        <v>10030</v>
      </c>
      <c r="AL221" s="2" t="n">
        <v>9240</v>
      </c>
      <c r="AM221" s="2" t="n">
        <v>7970</v>
      </c>
      <c r="AN221" s="2" t="n">
        <v>7850</v>
      </c>
      <c r="AO221" s="2" t="n">
        <v>7690</v>
      </c>
      <c r="AP221" s="2" t="n">
        <v>7180</v>
      </c>
      <c r="AQ221" s="2" t="n">
        <v>6940</v>
      </c>
      <c r="AR221" s="2" t="n">
        <v>7420</v>
      </c>
      <c r="AS221" s="2" t="n">
        <v>7490</v>
      </c>
      <c r="AT221" s="2" t="n">
        <v>7200</v>
      </c>
      <c r="AU221" s="2" t="n">
        <v>7340</v>
      </c>
      <c r="AV221" s="2" t="n">
        <v>7820</v>
      </c>
      <c r="AW221" s="2" t="n">
        <v>7700</v>
      </c>
      <c r="AX221" s="2" t="n">
        <v>7100</v>
      </c>
      <c r="AY221" s="2" t="n">
        <v>6440</v>
      </c>
      <c r="AZ221" s="2" t="n">
        <v>6020</v>
      </c>
      <c r="BA221" s="2" t="n">
        <v>6570</v>
      </c>
      <c r="BB221" s="2" t="n">
        <v>5930</v>
      </c>
      <c r="BC221" s="2" t="n">
        <v>5390</v>
      </c>
      <c r="BD221" s="2" t="n">
        <v>5330</v>
      </c>
      <c r="BE221" s="2" t="n">
        <v>4925</v>
      </c>
      <c r="BF221" s="2" t="n">
        <v>4725</v>
      </c>
      <c r="BG221" s="2" t="n">
        <v>4370</v>
      </c>
      <c r="BH221" s="2" t="n">
        <v>4355</v>
      </c>
      <c r="BI221" s="2" t="n">
        <v>4900</v>
      </c>
      <c r="BJ221" s="2" t="n">
        <v>5900</v>
      </c>
      <c r="BK221" s="2" t="n">
        <v>5980</v>
      </c>
      <c r="BL221" s="2" t="n">
        <v>6150</v>
      </c>
    </row>
    <row r="222">
      <c r="A222" s="65" t="inlineStr">
        <is>
          <t>1570</t>
        </is>
      </c>
      <c r="B222" s="570">
        <f>銘柄管理!C222</f>
        <v/>
      </c>
      <c r="C222" s="660">
        <f>_xll.RssMarket("1570","高値")</f>
        <v/>
      </c>
      <c r="D222" s="661" t="n"/>
      <c r="E222" s="2" t="n">
        <v>86380</v>
      </c>
      <c r="F222" s="2" t="n">
        <v>84370</v>
      </c>
      <c r="G222" s="2" t="n">
        <v>82770</v>
      </c>
      <c r="H222" s="2" t="n">
        <v>79880</v>
      </c>
      <c r="I222" s="2" t="n">
        <v>79600</v>
      </c>
      <c r="J222" s="2" t="n">
        <v>78840</v>
      </c>
      <c r="K222" s="2" t="n">
        <v>73130</v>
      </c>
      <c r="L222" s="2" t="n">
        <v>67630</v>
      </c>
      <c r="M222" s="2" t="n">
        <v>69190</v>
      </c>
      <c r="N222" s="2" t="n">
        <v>68570</v>
      </c>
      <c r="O222" s="2" t="n">
        <v>73450</v>
      </c>
      <c r="P222" s="2" t="n">
        <v>75470</v>
      </c>
      <c r="Q222" s="2" t="n">
        <v>77440</v>
      </c>
      <c r="R222" s="2" t="n">
        <v>73930</v>
      </c>
      <c r="S222" s="2" t="n">
        <v>72510</v>
      </c>
      <c r="T222" s="2" t="n">
        <v>69710</v>
      </c>
      <c r="U222" s="2" t="n">
        <v>72490</v>
      </c>
      <c r="V222" s="2" t="n">
        <v>70160</v>
      </c>
      <c r="W222" s="2" t="n">
        <v>66050</v>
      </c>
      <c r="X222" s="2" t="n">
        <v>63230</v>
      </c>
      <c r="Y222" s="2" t="n">
        <v>60220</v>
      </c>
      <c r="Z222" s="2" t="n">
        <v>62230</v>
      </c>
      <c r="AA222" s="2" t="n">
        <v>62900</v>
      </c>
      <c r="AB222" s="2" t="n">
        <v>65900</v>
      </c>
      <c r="AC222" s="2" t="n">
        <v>67090</v>
      </c>
      <c r="AD222" s="2" t="n">
        <v>66140</v>
      </c>
      <c r="AE222" s="2" t="n">
        <v>65870</v>
      </c>
      <c r="AF222" s="2" t="n">
        <v>66320</v>
      </c>
      <c r="AG222" s="2" t="n">
        <v>64950</v>
      </c>
      <c r="AH222" s="2" t="n">
        <v>65900</v>
      </c>
      <c r="AI222" s="2" t="n">
        <v>59010</v>
      </c>
      <c r="AJ222" s="2" t="n">
        <v>58630</v>
      </c>
      <c r="AK222" s="2" t="n">
        <v>60560</v>
      </c>
      <c r="AL222" s="2" t="n">
        <v>61420</v>
      </c>
      <c r="AM222" s="2" t="n">
        <v>59150</v>
      </c>
      <c r="AN222" s="2" t="n">
        <v>60050</v>
      </c>
      <c r="AO222" s="2" t="n">
        <v>59090</v>
      </c>
      <c r="AP222" s="2" t="n">
        <v>58930</v>
      </c>
      <c r="AQ222" s="2" t="n">
        <v>58080</v>
      </c>
      <c r="AR222" s="2" t="n">
        <v>58580</v>
      </c>
      <c r="AS222" s="2" t="n">
        <v>59150</v>
      </c>
      <c r="AT222" s="2" t="n">
        <v>57000</v>
      </c>
      <c r="AU222" s="2" t="n">
        <v>55860</v>
      </c>
      <c r="AV222" s="2" t="n">
        <v>53580</v>
      </c>
      <c r="AW222" s="2" t="n">
        <v>54020</v>
      </c>
      <c r="AX222" s="2" t="n">
        <v>52980</v>
      </c>
      <c r="AY222" s="2" t="n">
        <v>53020</v>
      </c>
      <c r="AZ222" s="2" t="n">
        <v>48520</v>
      </c>
      <c r="BA222" s="2" t="n">
        <v>48750</v>
      </c>
      <c r="BB222" s="2" t="n">
        <v>47650</v>
      </c>
      <c r="BC222" s="2" t="n">
        <v>49200</v>
      </c>
      <c r="BD222" s="2" t="n">
        <v>48330</v>
      </c>
      <c r="BE222" s="2" t="n">
        <v>45640</v>
      </c>
      <c r="BF222" s="2" t="n">
        <v>45000</v>
      </c>
      <c r="BG222" s="2" t="n">
        <v>47740</v>
      </c>
      <c r="BH222" s="2" t="n">
        <v>48580</v>
      </c>
      <c r="BI222" s="2" t="n">
        <v>48320</v>
      </c>
      <c r="BJ222" s="2" t="n">
        <v>46090</v>
      </c>
      <c r="BK222" s="2" t="n">
        <v>44370</v>
      </c>
      <c r="BL222" s="2" t="n">
        <v>48290</v>
      </c>
    </row>
    <row r="223">
      <c r="A223" s="65" t="inlineStr">
        <is>
          <t>6135</t>
        </is>
      </c>
      <c r="B223" s="570">
        <f>銘柄管理!C223</f>
        <v/>
      </c>
      <c r="C223" s="660">
        <f>_xll.RssMarket("6135","高値")</f>
        <v/>
      </c>
      <c r="D223" s="661" t="n"/>
      <c r="E223" s="2" t="n">
        <v>14760</v>
      </c>
      <c r="F223" s="570" t="n">
        <v>14680</v>
      </c>
      <c r="G223" s="570" t="n">
        <v>14410</v>
      </c>
      <c r="H223" s="570" t="n">
        <v>14480</v>
      </c>
      <c r="I223" s="570" t="n">
        <v>14430</v>
      </c>
      <c r="J223" s="570" t="n">
        <v>14400</v>
      </c>
      <c r="K223" s="570" t="n">
        <v>14320</v>
      </c>
      <c r="L223" s="570" t="n">
        <v>14410</v>
      </c>
      <c r="M223" s="570" t="n">
        <v>14950</v>
      </c>
      <c r="N223" s="570" t="n">
        <v>14250</v>
      </c>
      <c r="O223" s="570" t="n">
        <v>14630</v>
      </c>
      <c r="P223" s="570" t="n">
        <v>14180</v>
      </c>
      <c r="Q223" s="570" t="n">
        <v>14080</v>
      </c>
      <c r="R223" s="570" t="n">
        <v>14100</v>
      </c>
      <c r="S223" s="570" t="n">
        <v>13570</v>
      </c>
      <c r="T223" s="570" t="n">
        <v>13280</v>
      </c>
      <c r="U223" s="570" t="n">
        <v>13310</v>
      </c>
      <c r="V223" s="570" t="n">
        <v>13750</v>
      </c>
      <c r="W223" s="570" t="n">
        <v>13240</v>
      </c>
      <c r="X223" s="570" t="n">
        <v>13370</v>
      </c>
      <c r="Y223" s="570" t="n">
        <v>13750</v>
      </c>
      <c r="Z223" s="570" t="n">
        <v>13850</v>
      </c>
      <c r="AA223" s="570" t="n">
        <v>13970</v>
      </c>
      <c r="AB223" s="570" t="n">
        <v>14100</v>
      </c>
      <c r="AC223" s="570" t="n">
        <v>14160</v>
      </c>
      <c r="AD223" s="570" t="n">
        <v>13780</v>
      </c>
      <c r="AE223" s="570" t="n">
        <v>13770</v>
      </c>
      <c r="AF223" s="570" t="n">
        <v>13820</v>
      </c>
      <c r="AG223" s="570" t="n">
        <v>14030</v>
      </c>
      <c r="AH223" s="570" t="n">
        <v>14170</v>
      </c>
      <c r="AI223" s="570" t="n">
        <v>12710</v>
      </c>
      <c r="AJ223" s="570" t="n">
        <v>11940</v>
      </c>
      <c r="AK223" s="570" t="n">
        <v>11800</v>
      </c>
      <c r="AL223" s="570" t="n">
        <v>11840</v>
      </c>
      <c r="AM223" s="570" t="n">
        <v>11880</v>
      </c>
      <c r="AN223" s="570" t="n">
        <v>10870</v>
      </c>
      <c r="AO223" s="570" t="n">
        <v>11630</v>
      </c>
      <c r="AP223" s="570" t="n">
        <v>11630</v>
      </c>
      <c r="AQ223" s="570" t="n">
        <v>11640</v>
      </c>
      <c r="AR223" s="570" t="n">
        <v>11630</v>
      </c>
      <c r="AS223" s="570" t="n">
        <v>11610</v>
      </c>
      <c r="AT223" s="570" t="n">
        <v>11650</v>
      </c>
      <c r="AU223" s="570" t="n">
        <v>11610</v>
      </c>
      <c r="AV223" s="570" t="n">
        <v>11590</v>
      </c>
      <c r="AW223" s="570" t="n">
        <v>11630</v>
      </c>
      <c r="AX223" s="570" t="n">
        <v>11610</v>
      </c>
      <c r="AY223" s="570" t="n">
        <v>11570</v>
      </c>
      <c r="AZ223" s="570" t="n">
        <v>11560</v>
      </c>
      <c r="BA223" s="570" t="n">
        <v>11560</v>
      </c>
      <c r="BB223" s="570" t="n">
        <v>11550</v>
      </c>
      <c r="BC223" s="570" t="n">
        <v>11580</v>
      </c>
      <c r="BD223" s="570" t="n">
        <v>11560</v>
      </c>
      <c r="BE223" s="570" t="n">
        <v>11490</v>
      </c>
      <c r="BF223" s="570" t="n">
        <v>11500</v>
      </c>
      <c r="BG223" s="570" t="n">
        <v>11550</v>
      </c>
      <c r="BH223" s="570" t="n">
        <v>11570</v>
      </c>
      <c r="BI223" s="570" t="n">
        <v>11540</v>
      </c>
      <c r="BJ223" s="570" t="n">
        <v>11520</v>
      </c>
      <c r="BK223" s="570" t="n">
        <v>11530</v>
      </c>
      <c r="BL223" s="570" t="n">
        <v>11600</v>
      </c>
    </row>
    <row r="224">
      <c r="A224" s="65" t="inlineStr">
        <is>
          <t>6055</t>
        </is>
      </c>
      <c r="B224" s="570">
        <f>銘柄管理!C224</f>
        <v/>
      </c>
      <c r="C224" s="660">
        <f>_xll.RssMarket("6055","高値")</f>
        <v/>
      </c>
      <c r="D224" s="661" t="n"/>
      <c r="E224" s="2" t="n">
        <v>2697</v>
      </c>
      <c r="F224" s="570" t="n">
        <v>2496</v>
      </c>
      <c r="G224" s="570" t="n">
        <v>2495</v>
      </c>
      <c r="H224" s="570" t="n">
        <v>2416</v>
      </c>
      <c r="I224" s="570" t="n">
        <v>2486</v>
      </c>
      <c r="J224" s="570" t="n">
        <v>2470</v>
      </c>
      <c r="K224" s="570" t="n">
        <v>2340</v>
      </c>
      <c r="L224" s="570" t="n">
        <v>2174</v>
      </c>
      <c r="M224" s="570" t="n">
        <v>2230</v>
      </c>
      <c r="N224" s="570" t="n">
        <v>2174</v>
      </c>
      <c r="O224" s="570" t="n">
        <v>2320</v>
      </c>
      <c r="P224" s="570" t="n">
        <v>2425</v>
      </c>
      <c r="Q224" s="570" t="n">
        <v>2165</v>
      </c>
      <c r="R224" s="570" t="n">
        <v>2127</v>
      </c>
      <c r="S224" s="570" t="n">
        <v>2099</v>
      </c>
      <c r="T224" s="570" t="n">
        <v>2093</v>
      </c>
      <c r="U224" s="570" t="n">
        <v>2182</v>
      </c>
      <c r="V224" s="570" t="n">
        <v>2156</v>
      </c>
      <c r="W224" s="570" t="n">
        <v>2060</v>
      </c>
      <c r="X224" s="570" t="n">
        <v>2076</v>
      </c>
      <c r="Y224" s="570" t="n">
        <v>1944</v>
      </c>
      <c r="Z224" s="570" t="n">
        <v>2123</v>
      </c>
      <c r="AA224" s="570" t="n">
        <v>2230</v>
      </c>
      <c r="AB224" s="570" t="n">
        <v>2052</v>
      </c>
      <c r="AC224" s="570" t="n">
        <v>2244</v>
      </c>
      <c r="AD224" s="570" t="n">
        <v>2200</v>
      </c>
      <c r="AE224" s="570" t="n">
        <v>2253</v>
      </c>
      <c r="AF224" s="570" t="n">
        <v>2099</v>
      </c>
      <c r="AG224" s="570" t="n">
        <v>1988</v>
      </c>
      <c r="AH224" s="570" t="n">
        <v>1996</v>
      </c>
      <c r="AI224" s="570" t="n">
        <v>1820</v>
      </c>
      <c r="AJ224" s="570" t="n">
        <v>1819</v>
      </c>
      <c r="AK224" s="570" t="n">
        <v>1865</v>
      </c>
      <c r="AL224" s="570" t="n">
        <v>1885</v>
      </c>
      <c r="AM224" s="570" t="n">
        <v>1826</v>
      </c>
      <c r="AN224" s="570" t="n">
        <v>1876</v>
      </c>
      <c r="AO224" s="570" t="n">
        <v>1846</v>
      </c>
      <c r="AP224" s="570" t="n">
        <v>1888</v>
      </c>
      <c r="AQ224" s="570" t="n">
        <v>1886</v>
      </c>
      <c r="AR224" s="570" t="n">
        <v>1906</v>
      </c>
      <c r="AS224" s="570" t="n">
        <v>1940</v>
      </c>
      <c r="AT224" s="570" t="n">
        <v>1946</v>
      </c>
      <c r="AU224" s="570" t="n">
        <v>1908</v>
      </c>
      <c r="AV224" s="570" t="n">
        <v>1816</v>
      </c>
      <c r="AW224" s="570" t="n">
        <v>1833</v>
      </c>
      <c r="AX224" s="570" t="n">
        <v>1792</v>
      </c>
      <c r="AY224" s="570" t="n">
        <v>1816</v>
      </c>
      <c r="AZ224" s="570" t="n">
        <v>1673</v>
      </c>
      <c r="BA224" s="570" t="n">
        <v>1653</v>
      </c>
      <c r="BB224" s="570" t="n">
        <v>1644</v>
      </c>
      <c r="BC224" s="570" t="n">
        <v>1719</v>
      </c>
      <c r="BD224" s="570" t="n">
        <v>1659</v>
      </c>
      <c r="BE224" s="570" t="n">
        <v>1599</v>
      </c>
      <c r="BF224" s="570" t="n">
        <v>1641</v>
      </c>
      <c r="BG224" s="570" t="n">
        <v>1739</v>
      </c>
      <c r="BH224" s="570" t="n">
        <v>1764</v>
      </c>
      <c r="BI224" s="570" t="n">
        <v>1782</v>
      </c>
      <c r="BJ224" s="570" t="n">
        <v>1690</v>
      </c>
      <c r="BK224" s="570" t="n">
        <v>1650</v>
      </c>
      <c r="BL224" s="570" t="n">
        <v>1778</v>
      </c>
    </row>
    <row r="225">
      <c r="A225" s="65" t="inlineStr">
        <is>
          <t>6862</t>
        </is>
      </c>
      <c r="B225" s="570">
        <f>銘柄管理!C225</f>
        <v/>
      </c>
      <c r="C225" s="570">
        <f>_xll.RssMarket("6862","高値")</f>
        <v/>
      </c>
      <c r="E225" s="2" t="n">
        <v>2635</v>
      </c>
      <c r="F225" s="570" t="n">
        <v>2544</v>
      </c>
      <c r="G225" s="570" t="n">
        <v>2320</v>
      </c>
      <c r="H225" s="570" t="n">
        <v>2259</v>
      </c>
      <c r="I225" s="570" t="n">
        <v>2210</v>
      </c>
      <c r="J225" s="570" t="n">
        <v>2062</v>
      </c>
      <c r="K225" s="570" t="n">
        <v>2018</v>
      </c>
      <c r="L225" s="570" t="n">
        <v>1972</v>
      </c>
      <c r="M225" s="570" t="n">
        <v>2054</v>
      </c>
      <c r="N225" s="570" t="n">
        <v>2149</v>
      </c>
      <c r="O225" s="570" t="n">
        <v>2275</v>
      </c>
      <c r="P225" s="570" t="n">
        <v>2196</v>
      </c>
      <c r="Q225" s="570" t="n">
        <v>2306</v>
      </c>
      <c r="R225" s="570" t="n">
        <v>2216</v>
      </c>
      <c r="S225" s="570" t="n">
        <v>2317</v>
      </c>
      <c r="T225" s="570" t="n">
        <v>2300</v>
      </c>
      <c r="U225" s="570" t="n">
        <v>2549</v>
      </c>
      <c r="V225" s="570" t="n">
        <v>2724</v>
      </c>
      <c r="W225" s="570" t="n">
        <v>2670</v>
      </c>
      <c r="X225" s="570" t="n">
        <v>2530</v>
      </c>
      <c r="Y225" s="570" t="n">
        <v>2521</v>
      </c>
      <c r="Z225" s="570" t="n">
        <v>2743</v>
      </c>
      <c r="AA225" s="570" t="n">
        <v>2930</v>
      </c>
      <c r="AB225" s="570" t="n">
        <v>2947</v>
      </c>
      <c r="AC225" s="570" t="n">
        <v>3330</v>
      </c>
      <c r="AD225" s="570" t="n">
        <v>2930</v>
      </c>
      <c r="AE225" s="570" t="n">
        <v>3820</v>
      </c>
      <c r="AF225" s="570" t="n">
        <v>4165</v>
      </c>
      <c r="AG225" s="570" t="n">
        <v>3930</v>
      </c>
      <c r="AH225" s="570" t="n">
        <v>3760</v>
      </c>
      <c r="AI225" s="570" t="n">
        <v>3155</v>
      </c>
      <c r="AJ225" s="570" t="n">
        <v>2996</v>
      </c>
      <c r="AK225" s="570" t="n">
        <v>2709</v>
      </c>
      <c r="AL225" s="570" t="n">
        <v>2818</v>
      </c>
      <c r="AM225" s="570" t="n">
        <v>2580</v>
      </c>
      <c r="AN225" s="570" t="n">
        <v>2575</v>
      </c>
      <c r="AO225" s="570" t="n">
        <v>2560</v>
      </c>
      <c r="AP225" s="570" t="n">
        <v>2560</v>
      </c>
      <c r="AQ225" s="570" t="n">
        <v>2585</v>
      </c>
      <c r="AR225" s="570" t="n">
        <v>2497</v>
      </c>
      <c r="AS225" s="570" t="n">
        <v>2499</v>
      </c>
      <c r="AT225" s="570" t="n">
        <v>2604</v>
      </c>
      <c r="AU225" s="570" t="n">
        <v>2625</v>
      </c>
      <c r="AV225" s="570" t="n">
        <v>2385</v>
      </c>
      <c r="AW225" s="570" t="n">
        <v>2240</v>
      </c>
      <c r="AX225" s="570" t="n">
        <v>2334</v>
      </c>
      <c r="AY225" s="570" t="n">
        <v>2359</v>
      </c>
      <c r="AZ225" s="570" t="n">
        <v>2105</v>
      </c>
      <c r="BA225" s="570" t="n">
        <v>2168</v>
      </c>
      <c r="BB225" s="570" t="n">
        <v>2137</v>
      </c>
      <c r="BC225" s="570" t="n">
        <v>2182</v>
      </c>
      <c r="BD225" s="570" t="n">
        <v>2129</v>
      </c>
      <c r="BE225" s="570" t="n">
        <v>2113</v>
      </c>
      <c r="BF225" s="570" t="n">
        <v>2230</v>
      </c>
      <c r="BG225" s="570" t="n">
        <v>2404</v>
      </c>
      <c r="BH225" s="570" t="n">
        <v>2631</v>
      </c>
      <c r="BI225" s="570" t="n">
        <v>2248</v>
      </c>
      <c r="BJ225" s="570" t="n">
        <v>2185</v>
      </c>
      <c r="BK225" s="570" t="n">
        <v>2180</v>
      </c>
      <c r="BL225" s="570" t="n">
        <v>2345</v>
      </c>
    </row>
    <row r="226">
      <c r="A226" s="65" t="inlineStr">
        <is>
          <t>2267</t>
        </is>
      </c>
      <c r="B226" s="570">
        <f>銘柄管理!C226</f>
        <v/>
      </c>
      <c r="C226" s="570">
        <f>_xll.RssMarket("2267","高値")</f>
        <v/>
      </c>
      <c r="E226" s="2" t="n">
        <v>2719.5</v>
      </c>
      <c r="F226" s="570" t="n">
        <v>2711</v>
      </c>
      <c r="G226" s="570" t="n">
        <v>2697.5</v>
      </c>
      <c r="H226" s="570" t="n">
        <v>2664</v>
      </c>
      <c r="I226" s="570" t="n">
        <v>2661</v>
      </c>
      <c r="J226" s="570" t="n">
        <v>2686</v>
      </c>
      <c r="K226" s="570" t="n">
        <v>2712.5</v>
      </c>
      <c r="L226" s="570" t="n">
        <v>2721</v>
      </c>
      <c r="M226" s="570" t="n">
        <v>2717</v>
      </c>
      <c r="N226" s="570" t="n">
        <v>2688</v>
      </c>
      <c r="O226" s="570" t="n">
        <v>2718</v>
      </c>
      <c r="P226" s="570" t="n">
        <v>2709</v>
      </c>
      <c r="Q226" s="570" t="n">
        <v>2742</v>
      </c>
      <c r="R226" s="570" t="n">
        <v>2715</v>
      </c>
      <c r="S226" s="570" t="n">
        <v>2709.5</v>
      </c>
      <c r="T226" s="570" t="n">
        <v>2756.5</v>
      </c>
      <c r="U226" s="570" t="n">
        <v>2733.5</v>
      </c>
      <c r="V226" s="570" t="n">
        <v>2827.5</v>
      </c>
      <c r="W226" s="570" t="n">
        <v>2807</v>
      </c>
      <c r="X226" s="570" t="n">
        <v>2808</v>
      </c>
      <c r="Y226" s="570" t="n">
        <v>2847</v>
      </c>
      <c r="Z226" s="570" t="n">
        <v>2820</v>
      </c>
      <c r="AA226" s="570" t="n">
        <v>2778.5</v>
      </c>
      <c r="AB226" s="570" t="n">
        <v>2783</v>
      </c>
      <c r="AC226" s="570" t="n">
        <v>2826.5</v>
      </c>
      <c r="AD226" s="570" t="n">
        <v>2818.5</v>
      </c>
      <c r="AE226" s="570" t="n">
        <v>2938</v>
      </c>
      <c r="AF226" s="570" t="n">
        <v>2916.5</v>
      </c>
      <c r="AG226" s="570" t="n">
        <v>3025</v>
      </c>
      <c r="AH226" s="570" t="n">
        <v>3057</v>
      </c>
      <c r="AI226" s="570" t="n">
        <v>3092</v>
      </c>
      <c r="AJ226" s="570" t="n">
        <v>2745.5</v>
      </c>
      <c r="AK226" s="570" t="n">
        <v>2763.5</v>
      </c>
      <c r="AL226" s="570" t="n">
        <v>2779.5</v>
      </c>
      <c r="AM226" s="570" t="n">
        <v>2916.5</v>
      </c>
      <c r="AN226" s="570" t="n">
        <v>2642.5</v>
      </c>
      <c r="AO226" s="570" t="n">
        <v>2615.5</v>
      </c>
      <c r="AP226" s="570" t="n">
        <v>2633.5</v>
      </c>
      <c r="AQ226" s="570" t="n">
        <v>2680</v>
      </c>
      <c r="AR226" s="570" t="n">
        <v>2681</v>
      </c>
      <c r="AS226" s="570" t="n">
        <v>2700</v>
      </c>
      <c r="AT226" s="570" t="n">
        <v>2724</v>
      </c>
      <c r="AU226" s="570" t="n">
        <v>2645</v>
      </c>
      <c r="AV226" s="570" t="n">
        <v>2670</v>
      </c>
      <c r="AW226" s="570" t="n">
        <v>2719.5</v>
      </c>
      <c r="AX226" s="570" t="n">
        <v>2795</v>
      </c>
      <c r="AY226" s="570" t="n">
        <v>2843</v>
      </c>
      <c r="AZ226" s="570" t="n">
        <v>2776.5</v>
      </c>
      <c r="BA226" s="570" t="n">
        <v>2733</v>
      </c>
      <c r="BB226" s="570" t="n">
        <v>2713</v>
      </c>
      <c r="BC226" s="570" t="n">
        <v>2695</v>
      </c>
      <c r="BD226" s="570" t="n">
        <v>2678</v>
      </c>
      <c r="BE226" s="570" t="n">
        <v>2698.5</v>
      </c>
      <c r="BF226" s="570" t="n">
        <v>2659</v>
      </c>
      <c r="BG226" s="570" t="n">
        <v>2679.5</v>
      </c>
      <c r="BH226" s="570" t="n">
        <v>2641</v>
      </c>
      <c r="BI226" s="570" t="n">
        <v>2619</v>
      </c>
      <c r="BJ226" s="570" t="n">
        <v>2606</v>
      </c>
      <c r="BK226" s="570" t="n">
        <v>2602</v>
      </c>
      <c r="BL226" s="570" t="n">
        <v>2632</v>
      </c>
    </row>
    <row r="227">
      <c r="A227" s="65" t="inlineStr">
        <is>
          <t>1618</t>
        </is>
      </c>
      <c r="B227" s="570">
        <f>銘柄管理!C227</f>
        <v/>
      </c>
      <c r="C227" s="570">
        <f>_xll.RssMarket("1618","高値")</f>
        <v/>
      </c>
      <c r="E227" s="2" t="n">
        <v>32910</v>
      </c>
      <c r="F227" s="570" t="n">
        <v>32950</v>
      </c>
      <c r="G227" s="570" t="n">
        <v>32660</v>
      </c>
      <c r="H227" s="570" t="n">
        <v>32690</v>
      </c>
      <c r="I227" s="570" t="n">
        <v>32580</v>
      </c>
      <c r="J227" s="570" t="n">
        <v>33760</v>
      </c>
      <c r="K227" s="570" t="n">
        <v>33000</v>
      </c>
      <c r="L227" s="570" t="n">
        <v>33190</v>
      </c>
      <c r="M227" s="570" t="n">
        <v>33360</v>
      </c>
      <c r="N227" s="570" t="n">
        <v>33540</v>
      </c>
      <c r="O227" s="570" t="n">
        <v>34440</v>
      </c>
      <c r="P227" s="570" t="n">
        <v>34510</v>
      </c>
      <c r="Q227" s="570" t="n">
        <v>34950</v>
      </c>
      <c r="R227" s="570" t="n">
        <v>33760</v>
      </c>
      <c r="S227" s="570" t="n">
        <v>34200</v>
      </c>
      <c r="T227" s="570" t="n">
        <v>34190</v>
      </c>
      <c r="U227" s="570" t="n">
        <v>34490</v>
      </c>
      <c r="V227" s="570" t="n">
        <v>35770</v>
      </c>
      <c r="W227" s="570" t="n">
        <v>34860</v>
      </c>
      <c r="X227" s="570" t="n">
        <v>35900</v>
      </c>
      <c r="Y227" s="570" t="n">
        <v>36280</v>
      </c>
      <c r="Z227" s="570" t="n">
        <v>36500</v>
      </c>
      <c r="AA227" s="570" t="n">
        <v>36950</v>
      </c>
      <c r="AB227" s="570" t="n">
        <v>36390</v>
      </c>
      <c r="AC227" s="570" t="n">
        <v>36110</v>
      </c>
      <c r="AD227" s="570" t="n">
        <v>36600</v>
      </c>
      <c r="AE227" s="570" t="n">
        <v>36690</v>
      </c>
      <c r="AF227" s="570" t="n">
        <v>35570</v>
      </c>
      <c r="AG227" s="570" t="n">
        <v>35140</v>
      </c>
      <c r="AH227" s="570" t="n">
        <v>36060</v>
      </c>
      <c r="AI227" s="570" t="n">
        <v>36580</v>
      </c>
      <c r="AJ227" s="570" t="n">
        <v>37000</v>
      </c>
      <c r="AK227" s="570" t="n">
        <v>36270</v>
      </c>
      <c r="AL227" s="570" t="n">
        <v>35740</v>
      </c>
      <c r="AM227" s="570" t="n">
        <v>36140</v>
      </c>
      <c r="AN227" s="570" t="n">
        <v>35790</v>
      </c>
      <c r="AO227" s="570" t="n">
        <v>35980</v>
      </c>
      <c r="AP227" s="570" t="n">
        <v>36360</v>
      </c>
      <c r="AQ227" s="570" t="n">
        <v>36790</v>
      </c>
      <c r="AR227" s="570" t="n">
        <v>37830</v>
      </c>
      <c r="AS227" s="570" t="n">
        <v>38480</v>
      </c>
      <c r="AT227" s="570" t="n">
        <v>38430</v>
      </c>
      <c r="AU227" s="570" t="n">
        <v>39000</v>
      </c>
      <c r="AV227" s="570" t="n">
        <v>39780</v>
      </c>
      <c r="AW227" s="570" t="n">
        <v>39350</v>
      </c>
      <c r="AX227" s="570" t="n">
        <v>39780</v>
      </c>
      <c r="AY227" s="570" t="n">
        <v>40930</v>
      </c>
      <c r="AZ227" s="570" t="n">
        <v>41270</v>
      </c>
      <c r="BA227" s="570" t="n">
        <v>41750</v>
      </c>
      <c r="BB227" s="570" t="n">
        <v>41000</v>
      </c>
      <c r="BC227" s="570" t="n">
        <v>41190</v>
      </c>
      <c r="BD227" s="570" t="n">
        <v>41560</v>
      </c>
      <c r="BE227" s="570" t="n">
        <v>42010</v>
      </c>
      <c r="BF227" s="570" t="n">
        <v>43900</v>
      </c>
      <c r="BG227" s="570" t="n">
        <v>41240</v>
      </c>
      <c r="BH227" s="570" t="n">
        <v>40000</v>
      </c>
      <c r="BI227" s="570" t="n">
        <v>39660</v>
      </c>
      <c r="BJ227" s="570" t="n">
        <v>38890</v>
      </c>
      <c r="BK227" s="570" t="n">
        <v>39410</v>
      </c>
      <c r="BL227" s="570" t="n">
        <v>40640</v>
      </c>
    </row>
    <row r="228">
      <c r="A228" s="65" t="inlineStr">
        <is>
          <t>3696</t>
        </is>
      </c>
      <c r="C228" s="570">
        <f>_xll.RssMarket("3696","高値")</f>
        <v/>
      </c>
      <c r="E228" s="2" t="n">
        <v>1773</v>
      </c>
      <c r="F228" s="570" t="n">
        <v>1820</v>
      </c>
      <c r="G228" s="570" t="n">
        <v>1824</v>
      </c>
      <c r="H228" s="570" t="n">
        <v>1845</v>
      </c>
      <c r="I228" s="570" t="n">
        <v>1826</v>
      </c>
      <c r="J228" s="570" t="n">
        <v>1855</v>
      </c>
      <c r="K228" s="570" t="n">
        <v>1797</v>
      </c>
      <c r="L228" s="570" t="n">
        <v>1779</v>
      </c>
      <c r="M228" s="570" t="n">
        <v>1813</v>
      </c>
      <c r="N228" s="570" t="n">
        <v>1786</v>
      </c>
      <c r="O228" s="570" t="n">
        <v>1805</v>
      </c>
      <c r="P228" s="570" t="n">
        <v>1777</v>
      </c>
      <c r="Q228" s="570" t="n">
        <v>1817</v>
      </c>
      <c r="R228" s="570" t="n">
        <v>1889</v>
      </c>
      <c r="S228" s="570" t="n">
        <v>1825</v>
      </c>
      <c r="T228" s="570" t="n">
        <v>1784</v>
      </c>
      <c r="U228" s="570" t="n">
        <v>1789</v>
      </c>
      <c r="V228" s="570" t="n">
        <v>1829</v>
      </c>
      <c r="W228" s="570" t="n">
        <v>1842</v>
      </c>
      <c r="X228" s="570" t="n">
        <v>1864</v>
      </c>
      <c r="Y228" s="570" t="n">
        <v>1876</v>
      </c>
      <c r="Z228" s="570" t="n">
        <v>1918</v>
      </c>
      <c r="AA228" s="570" t="n">
        <v>1954</v>
      </c>
      <c r="AB228" s="570" t="n">
        <v>1943</v>
      </c>
      <c r="AC228" s="570" t="n">
        <v>1913</v>
      </c>
      <c r="AD228" s="570" t="n">
        <v>1945</v>
      </c>
      <c r="AE228" s="570" t="n">
        <v>4410</v>
      </c>
      <c r="AF228" s="570" t="n">
        <v>4290</v>
      </c>
      <c r="AG228" s="570" t="n">
        <v>4315</v>
      </c>
      <c r="AH228" s="570" t="n">
        <v>4225</v>
      </c>
      <c r="AI228" s="570" t="n">
        <v>3995</v>
      </c>
      <c r="AJ228" s="570" t="n">
        <v>4055</v>
      </c>
      <c r="AK228" s="570" t="n">
        <v>4050</v>
      </c>
      <c r="AL228" s="570" t="n">
        <v>4010</v>
      </c>
      <c r="AM228" s="570" t="n">
        <v>4215</v>
      </c>
      <c r="AN228" s="570" t="n">
        <v>4400</v>
      </c>
      <c r="AO228" s="570" t="n">
        <v>4790</v>
      </c>
      <c r="AP228" s="570" t="n">
        <v>4785</v>
      </c>
      <c r="AQ228" s="570" t="n">
        <v>4655</v>
      </c>
      <c r="AR228" s="570" t="n">
        <v>4555</v>
      </c>
      <c r="AS228" s="570" t="n">
        <v>4495</v>
      </c>
      <c r="AT228" s="570" t="n">
        <v>4445</v>
      </c>
      <c r="AU228" s="570" t="n">
        <v>4285</v>
      </c>
      <c r="AV228" s="570" t="n">
        <v>4385</v>
      </c>
      <c r="AW228" s="570" t="n">
        <v>4725</v>
      </c>
      <c r="AX228" s="570" t="n">
        <v>4670</v>
      </c>
      <c r="AY228" s="570" t="n">
        <v>4840</v>
      </c>
      <c r="AZ228" s="570" t="n">
        <v>4820</v>
      </c>
      <c r="BA228" s="570" t="n">
        <v>4795</v>
      </c>
      <c r="BB228" s="570" t="n">
        <v>4675</v>
      </c>
      <c r="BC228" s="570" t="n">
        <v>4710</v>
      </c>
      <c r="BD228" s="570" t="n">
        <v>4450</v>
      </c>
      <c r="BE228" s="570" t="n">
        <v>4250</v>
      </c>
      <c r="BF228" s="570" t="n">
        <v>4260</v>
      </c>
      <c r="BG228" s="570" t="n">
        <v>4280</v>
      </c>
      <c r="BH228" s="570" t="n">
        <v>4235</v>
      </c>
      <c r="BI228" s="570" t="n">
        <v>4285</v>
      </c>
      <c r="BJ228" s="570" t="n">
        <v>4170</v>
      </c>
      <c r="BK228" s="570" t="n">
        <v>4205</v>
      </c>
      <c r="BL228" s="570" t="n">
        <v>4360</v>
      </c>
    </row>
    <row r="229">
      <c r="A229" s="65" t="inlineStr">
        <is>
          <t>4222</t>
        </is>
      </c>
      <c r="B229" s="570">
        <f>銘柄管理!C229</f>
        <v/>
      </c>
      <c r="C229" s="570">
        <f>_xll.RssMarket("4222","高値")</f>
        <v/>
      </c>
      <c r="E229" s="2" t="n">
        <v>759</v>
      </c>
      <c r="F229" s="570" t="n">
        <v>715</v>
      </c>
      <c r="G229" s="570" t="n">
        <v>741</v>
      </c>
      <c r="H229" s="570" t="n">
        <v>729</v>
      </c>
      <c r="I229" s="570" t="n">
        <v>703</v>
      </c>
      <c r="J229" s="570" t="n">
        <v>710</v>
      </c>
      <c r="K229" s="570" t="n">
        <v>684</v>
      </c>
      <c r="L229" s="570" t="n">
        <v>688</v>
      </c>
      <c r="M229" s="570" t="n">
        <v>691</v>
      </c>
      <c r="N229" s="570" t="n">
        <v>695</v>
      </c>
      <c r="O229" s="570" t="n">
        <v>725</v>
      </c>
      <c r="P229" s="570" t="n">
        <v>712</v>
      </c>
      <c r="Q229" s="570" t="n">
        <v>722</v>
      </c>
      <c r="R229" s="570" t="n">
        <v>703</v>
      </c>
      <c r="S229" s="570" t="n">
        <v>758</v>
      </c>
      <c r="T229" s="570" t="n">
        <v>764</v>
      </c>
      <c r="U229" s="570" t="n">
        <v>790</v>
      </c>
      <c r="V229" s="570" t="n">
        <v>826</v>
      </c>
      <c r="W229" s="570" t="n">
        <v>802</v>
      </c>
      <c r="X229" s="570" t="n">
        <v>828</v>
      </c>
      <c r="Y229" s="570" t="n">
        <v>856</v>
      </c>
      <c r="Z229" s="570" t="n">
        <v>896</v>
      </c>
      <c r="AA229" s="570" t="n">
        <v>924</v>
      </c>
      <c r="AB229" s="570" t="n">
        <v>986</v>
      </c>
      <c r="AC229" s="570" t="n">
        <v>1227</v>
      </c>
      <c r="AD229" s="570" t="n">
        <v>1260</v>
      </c>
      <c r="AE229" s="570" t="n">
        <v>1344</v>
      </c>
      <c r="AF229" s="570" t="n">
        <v>1268</v>
      </c>
      <c r="AG229" s="570" t="n">
        <v>1165</v>
      </c>
      <c r="AH229" s="570" t="n">
        <v>1157</v>
      </c>
      <c r="AI229" s="570" t="n">
        <v>1115</v>
      </c>
      <c r="AJ229" s="570" t="n">
        <v>1139</v>
      </c>
      <c r="AK229" s="570" t="n">
        <v>1165</v>
      </c>
      <c r="AL229" s="570" t="n">
        <v>1162</v>
      </c>
      <c r="AM229" s="570" t="n">
        <v>1155</v>
      </c>
      <c r="AN229" s="570" t="n">
        <v>1165</v>
      </c>
      <c r="AO229" s="570" t="n">
        <v>1184</v>
      </c>
      <c r="AP229" s="570" t="n">
        <v>1200</v>
      </c>
      <c r="AQ229" s="570" t="n">
        <v>1200</v>
      </c>
      <c r="AR229" s="570" t="n">
        <v>1179</v>
      </c>
      <c r="AS229" s="570" t="n">
        <v>1189</v>
      </c>
      <c r="AT229" s="570" t="n">
        <v>1187</v>
      </c>
      <c r="AU229" s="570" t="n">
        <v>1158</v>
      </c>
      <c r="AV229" s="570" t="n">
        <v>1122</v>
      </c>
      <c r="AW229" s="570" t="n">
        <v>1147</v>
      </c>
      <c r="AX229" s="570" t="n">
        <v>1159</v>
      </c>
      <c r="AY229" s="570" t="n">
        <v>1142</v>
      </c>
      <c r="AZ229" s="570" t="n">
        <v>1061</v>
      </c>
      <c r="BA229" s="570" t="n">
        <v>1052</v>
      </c>
      <c r="BB229" s="570" t="n">
        <v>1030</v>
      </c>
      <c r="BC229" s="570" t="n">
        <v>1051</v>
      </c>
      <c r="BD229" s="570" t="n">
        <v>1031</v>
      </c>
      <c r="BE229" s="570" t="n">
        <v>1029</v>
      </c>
      <c r="BF229" s="570" t="n">
        <v>1040</v>
      </c>
      <c r="BG229" s="570" t="n">
        <v>1113</v>
      </c>
      <c r="BH229" s="570" t="n">
        <v>1219</v>
      </c>
      <c r="BI229" s="570" t="n">
        <v>1094</v>
      </c>
      <c r="BJ229" s="570" t="n">
        <v>1022</v>
      </c>
      <c r="BK229" s="570" t="n">
        <v>991</v>
      </c>
      <c r="BL229" s="570" t="n">
        <v>1110</v>
      </c>
    </row>
    <row r="230">
      <c r="A230" s="65" t="inlineStr">
        <is>
          <t>3563</t>
        </is>
      </c>
      <c r="B230" s="570">
        <f>銘柄管理!C230</f>
        <v/>
      </c>
      <c r="C230" s="570">
        <f>_xll.RssMarket("3563","高値")</f>
        <v/>
      </c>
      <c r="E230" s="570" t="n">
        <v>9471</v>
      </c>
      <c r="F230" s="570" t="n">
        <v>9666</v>
      </c>
      <c r="G230" s="570" t="n">
        <v>9679</v>
      </c>
      <c r="H230" s="570" t="n">
        <v>10525</v>
      </c>
      <c r="I230" s="570" t="n">
        <v>10170</v>
      </c>
      <c r="J230" s="570" t="n">
        <v>10175</v>
      </c>
      <c r="K230" s="570" t="n">
        <v>10030</v>
      </c>
      <c r="L230" s="570" t="n">
        <v>10045</v>
      </c>
      <c r="M230" s="570" t="n">
        <v>9975</v>
      </c>
      <c r="N230" s="570" t="n">
        <v>9927</v>
      </c>
      <c r="O230" s="570" t="n">
        <v>10075</v>
      </c>
      <c r="P230" s="570" t="n">
        <v>10270</v>
      </c>
      <c r="Q230" s="570" t="n">
        <v>10720</v>
      </c>
      <c r="R230" s="570" t="n">
        <v>10515</v>
      </c>
      <c r="S230" s="570" t="n">
        <v>10935</v>
      </c>
      <c r="T230" s="570" t="n">
        <v>10480</v>
      </c>
      <c r="U230" s="570" t="n">
        <v>10265</v>
      </c>
      <c r="V230" s="570" t="n">
        <v>10900</v>
      </c>
      <c r="W230" s="570" t="n">
        <v>10920</v>
      </c>
      <c r="X230" s="570" t="n">
        <v>11175</v>
      </c>
      <c r="Y230" s="570" t="n">
        <v>10875</v>
      </c>
      <c r="Z230" s="570" t="n">
        <v>10955</v>
      </c>
      <c r="AA230" s="570" t="n">
        <v>10575</v>
      </c>
      <c r="AB230" s="570" t="n">
        <v>10840</v>
      </c>
      <c r="AC230" s="570" t="n">
        <v>10740</v>
      </c>
      <c r="AD230" s="570" t="n">
        <v>10975</v>
      </c>
      <c r="AE230" s="570" t="n">
        <v>10785</v>
      </c>
      <c r="AF230" s="570" t="n">
        <v>10670</v>
      </c>
      <c r="AG230" s="570" t="n">
        <v>10845</v>
      </c>
      <c r="AH230" s="570" t="n">
        <v>9582</v>
      </c>
      <c r="AI230" s="570" t="n">
        <v>9299</v>
      </c>
      <c r="AJ230" s="570" t="n">
        <v>9120</v>
      </c>
      <c r="AK230" s="570" t="n">
        <v>9094</v>
      </c>
      <c r="AL230" s="570" t="n">
        <v>9161</v>
      </c>
      <c r="AM230" s="570" t="n">
        <v>9225</v>
      </c>
      <c r="AN230" s="570" t="n">
        <v>9209</v>
      </c>
      <c r="AO230" s="570" t="n">
        <v>9312</v>
      </c>
      <c r="AP230" s="570" t="n">
        <v>9599</v>
      </c>
      <c r="AQ230" s="570" t="n">
        <v>9575</v>
      </c>
      <c r="AR230" s="570" t="n">
        <v>9550</v>
      </c>
      <c r="AS230" s="570" t="n">
        <v>9564</v>
      </c>
      <c r="AT230" s="570" t="n">
        <v>9769</v>
      </c>
      <c r="AU230" s="570" t="n">
        <v>9684</v>
      </c>
      <c r="AV230" s="570" t="n">
        <v>9596</v>
      </c>
      <c r="AW230" s="570" t="n">
        <v>9588</v>
      </c>
      <c r="AX230" s="570" t="n">
        <v>9653</v>
      </c>
      <c r="AY230" s="570" t="n">
        <v>9853</v>
      </c>
      <c r="AZ230" s="570" t="n">
        <v>9748</v>
      </c>
      <c r="BA230" s="570" t="n">
        <v>9785</v>
      </c>
      <c r="BB230" s="570" t="n">
        <v>9797</v>
      </c>
      <c r="BC230" s="570" t="n">
        <v>9912</v>
      </c>
      <c r="BD230" s="570" t="n">
        <v>9725</v>
      </c>
      <c r="BE230" s="570" t="n">
        <v>9499</v>
      </c>
      <c r="BF230" s="570" t="n">
        <v>9465</v>
      </c>
      <c r="BG230" s="570" t="n">
        <v>9893</v>
      </c>
      <c r="BH230" s="570" t="n">
        <v>10005</v>
      </c>
      <c r="BI230" s="570" t="n">
        <v>10170</v>
      </c>
      <c r="BJ230" s="570" t="n">
        <v>9940</v>
      </c>
      <c r="BK230" s="570" t="n">
        <v>9555</v>
      </c>
      <c r="BL230" s="570" t="n">
        <v>9734</v>
      </c>
    </row>
    <row r="231">
      <c r="A231" s="65" t="inlineStr">
        <is>
          <t>7013</t>
        </is>
      </c>
      <c r="B231" s="570">
        <f>銘柄管理!C231</f>
        <v/>
      </c>
      <c r="C231" s="570">
        <f>_xll.RssMarket("7013","高値")</f>
        <v/>
      </c>
      <c r="E231" s="570" t="n">
        <v>2864.5</v>
      </c>
      <c r="F231" s="570" t="n">
        <v>2935</v>
      </c>
      <c r="G231" s="570" t="n">
        <v>3025</v>
      </c>
      <c r="H231" s="570" t="n">
        <v>2958.5</v>
      </c>
      <c r="I231" s="570" t="n">
        <v>2907.5</v>
      </c>
      <c r="J231" s="570" t="n">
        <v>2729</v>
      </c>
      <c r="K231" s="570" t="n">
        <v>2455</v>
      </c>
      <c r="L231" s="570" t="n">
        <v>2375</v>
      </c>
      <c r="M231" s="570" t="n">
        <v>2514</v>
      </c>
      <c r="N231" s="570" t="n">
        <v>2552.5</v>
      </c>
      <c r="O231" s="570" t="n">
        <v>2635.5</v>
      </c>
      <c r="P231" s="570" t="n">
        <v>2608.5</v>
      </c>
      <c r="Q231" s="570" t="n">
        <v>2571.5</v>
      </c>
      <c r="R231" s="570" t="n">
        <v>2640</v>
      </c>
      <c r="S231" s="570" t="n">
        <v>2822.5</v>
      </c>
      <c r="T231" s="570" t="n">
        <v>2835</v>
      </c>
      <c r="U231" s="570" t="n">
        <v>2978</v>
      </c>
      <c r="V231" s="570" t="n">
        <v>2846</v>
      </c>
      <c r="W231" s="570" t="n">
        <v>2859</v>
      </c>
      <c r="X231" s="570" t="n">
        <v>2722</v>
      </c>
      <c r="Y231" s="570" t="n">
        <v>2592.5</v>
      </c>
      <c r="Z231" s="570" t="n">
        <v>2693.5</v>
      </c>
      <c r="AA231" s="570" t="n">
        <v>2761</v>
      </c>
      <c r="AB231" s="570" t="n">
        <v>2734.5</v>
      </c>
      <c r="AC231" s="570" t="n">
        <v>2750.5</v>
      </c>
      <c r="AD231" s="570" t="n">
        <v>2852</v>
      </c>
      <c r="AE231" s="570" t="n">
        <v>2899.5</v>
      </c>
      <c r="AF231" s="570" t="n">
        <v>2958</v>
      </c>
      <c r="AG231" s="570" t="n">
        <v>3323</v>
      </c>
      <c r="AH231" s="570" t="n">
        <v>3068</v>
      </c>
      <c r="AI231" s="570" t="n">
        <v>2920</v>
      </c>
      <c r="AJ231" s="570" t="n">
        <v>2988</v>
      </c>
      <c r="AK231" s="570" t="n">
        <v>3020</v>
      </c>
      <c r="AL231" s="570" t="n">
        <v>2941</v>
      </c>
      <c r="AM231" s="570" t="n">
        <v>3075</v>
      </c>
      <c r="AN231" s="570" t="n">
        <v>3108</v>
      </c>
      <c r="AO231" s="570" t="n">
        <v>3069</v>
      </c>
      <c r="AP231" s="570" t="n">
        <v>3137</v>
      </c>
      <c r="AQ231" s="570" t="n">
        <v>3183</v>
      </c>
      <c r="AR231" s="570" t="n">
        <v>3186</v>
      </c>
      <c r="AS231" s="570" t="n">
        <v>3227</v>
      </c>
      <c r="AT231" s="570" t="n">
        <v>3311</v>
      </c>
      <c r="AU231" s="570" t="n">
        <v>3356</v>
      </c>
      <c r="AV231" s="570" t="n">
        <v>3414</v>
      </c>
      <c r="AW231" s="570" t="n">
        <v>3375</v>
      </c>
      <c r="AX231" s="570" t="n">
        <v>3475</v>
      </c>
      <c r="AY231" s="570" t="n">
        <v>3494</v>
      </c>
      <c r="AZ231" s="570" t="n">
        <v>3425</v>
      </c>
      <c r="BA231" s="570" t="n">
        <v>3450</v>
      </c>
      <c r="BB231" s="570" t="n">
        <v>3510</v>
      </c>
      <c r="BC231" s="570" t="n">
        <v>3539</v>
      </c>
      <c r="BD231" s="570" t="n">
        <v>3330</v>
      </c>
      <c r="BE231" s="570" t="n">
        <v>3253</v>
      </c>
      <c r="BF231" s="570" t="n">
        <v>3332</v>
      </c>
      <c r="BG231" s="570" t="n">
        <v>3500</v>
      </c>
      <c r="BH231" s="570" t="n">
        <v>3604</v>
      </c>
      <c r="BI231" s="570" t="n">
        <v>3568</v>
      </c>
      <c r="BJ231" s="570" t="n">
        <v>3572</v>
      </c>
      <c r="BK231" s="570" t="n">
        <v>3669</v>
      </c>
      <c r="BL231" s="570" t="n">
        <v>3902</v>
      </c>
    </row>
    <row r="232">
      <c r="A232" s="65" t="inlineStr">
        <is>
          <t>8793</t>
        </is>
      </c>
      <c r="B232" s="570">
        <f>銘柄管理!C232</f>
        <v/>
      </c>
      <c r="C232" s="570">
        <f>_xll.RssMarket("8793","高値")</f>
        <v/>
      </c>
      <c r="E232" s="570" t="n">
        <v>4090</v>
      </c>
      <c r="F232" s="570" t="n">
        <v>4135</v>
      </c>
      <c r="G232" s="570" t="n">
        <v>4145</v>
      </c>
      <c r="H232" s="570" t="n">
        <v>4180</v>
      </c>
      <c r="I232" s="570" t="n">
        <v>4165</v>
      </c>
      <c r="J232" s="570" t="n">
        <v>4185</v>
      </c>
      <c r="K232" s="570" t="n">
        <v>4160</v>
      </c>
      <c r="L232" s="570" t="n">
        <v>4230</v>
      </c>
      <c r="M232" s="570" t="n">
        <v>4070</v>
      </c>
      <c r="N232" s="570" t="n">
        <v>4045</v>
      </c>
      <c r="O232" s="570" t="n">
        <v>3960</v>
      </c>
      <c r="P232" s="570" t="n">
        <v>3930</v>
      </c>
      <c r="Q232" s="570" t="n">
        <v>3915</v>
      </c>
      <c r="R232" s="570" t="n">
        <v>4020</v>
      </c>
      <c r="S232" s="570" t="n">
        <v>3960</v>
      </c>
      <c r="T232" s="570" t="n">
        <v>3975</v>
      </c>
      <c r="U232" s="570" t="n">
        <v>3980</v>
      </c>
      <c r="V232" s="570" t="n">
        <v>4025</v>
      </c>
      <c r="W232" s="570" t="n">
        <v>4030</v>
      </c>
      <c r="X232" s="570" t="n">
        <v>3980</v>
      </c>
      <c r="Y232" s="570" t="n">
        <v>3985</v>
      </c>
      <c r="Z232" s="570" t="n">
        <v>3975</v>
      </c>
      <c r="AA232" s="570" t="n">
        <v>4020</v>
      </c>
      <c r="AB232" s="570" t="n">
        <v>4010</v>
      </c>
      <c r="AC232" s="570" t="n">
        <v>4040</v>
      </c>
      <c r="AD232" s="570" t="n">
        <v>4055</v>
      </c>
      <c r="AE232" s="570" t="n">
        <v>4060</v>
      </c>
      <c r="AF232" s="570" t="n">
        <v>4065</v>
      </c>
      <c r="AG232" s="570" t="n">
        <v>4060</v>
      </c>
      <c r="AH232" s="570" t="n">
        <v>4090</v>
      </c>
      <c r="AI232" s="570" t="n">
        <v>4200</v>
      </c>
      <c r="AJ232" s="570" t="n">
        <v>4280</v>
      </c>
      <c r="AK232" s="570" t="n">
        <v>4280</v>
      </c>
      <c r="AL232" s="570" t="n">
        <v>4270</v>
      </c>
      <c r="AM232" s="570" t="n">
        <v>4215</v>
      </c>
      <c r="AN232" s="570" t="n">
        <v>4270</v>
      </c>
      <c r="AO232" s="570" t="n">
        <v>4315</v>
      </c>
      <c r="AP232" s="570" t="n">
        <v>4285</v>
      </c>
      <c r="AQ232" s="570" t="n">
        <v>4295</v>
      </c>
      <c r="AR232" s="570" t="n">
        <v>4320</v>
      </c>
      <c r="AS232" s="570" t="n">
        <v>4275</v>
      </c>
      <c r="AT232" s="570" t="n">
        <v>4215</v>
      </c>
      <c r="AU232" s="570" t="n">
        <v>4190</v>
      </c>
      <c r="AV232" s="570" t="n">
        <v>4245</v>
      </c>
      <c r="AW232" s="570" t="n">
        <v>4285</v>
      </c>
      <c r="AX232" s="570" t="n">
        <v>4275</v>
      </c>
      <c r="AY232" s="570" t="n">
        <v>4230</v>
      </c>
      <c r="AZ232" s="570" t="n">
        <v>4180</v>
      </c>
      <c r="BA232" s="570" t="n">
        <v>4175</v>
      </c>
      <c r="BB232" s="570" t="n">
        <v>4195</v>
      </c>
      <c r="BC232" s="570" t="n">
        <v>4115</v>
      </c>
      <c r="BD232" s="570" t="n">
        <v>4090</v>
      </c>
      <c r="BE232" s="570" t="n">
        <v>4040</v>
      </c>
      <c r="BF232" s="570" t="n">
        <v>4190</v>
      </c>
      <c r="BG232" s="570" t="n">
        <v>4185</v>
      </c>
      <c r="BH232" s="570" t="n">
        <v>4195</v>
      </c>
      <c r="BI232" s="570" t="n">
        <v>4115</v>
      </c>
      <c r="BJ232" s="570" t="n">
        <v>4060</v>
      </c>
      <c r="BK232" s="570" t="n">
        <v>4155</v>
      </c>
      <c r="BL232" s="570" t="n">
        <v>4160</v>
      </c>
    </row>
    <row r="233">
      <c r="A233" s="65" t="inlineStr">
        <is>
          <t>9962</t>
        </is>
      </c>
      <c r="B233" s="570">
        <f>銘柄管理!C233</f>
        <v/>
      </c>
      <c r="C233" s="570">
        <f>_xll.RssMarket("9962","高値")</f>
        <v/>
      </c>
      <c r="E233" s="570" t="n">
        <v>3923</v>
      </c>
      <c r="F233" s="570" t="n">
        <v>3969</v>
      </c>
      <c r="G233" s="570" t="n">
        <v>3924</v>
      </c>
      <c r="H233" s="570" t="n">
        <v>3915</v>
      </c>
      <c r="I233" s="570" t="n">
        <v>3945</v>
      </c>
      <c r="J233" s="570" t="n">
        <v>3862</v>
      </c>
      <c r="K233" s="570" t="n">
        <v>3818</v>
      </c>
      <c r="L233" s="570" t="n">
        <v>3645</v>
      </c>
      <c r="M233" s="570" t="n">
        <v>3643</v>
      </c>
      <c r="N233" s="570" t="n">
        <v>3788</v>
      </c>
      <c r="O233" s="570" t="n">
        <v>3805</v>
      </c>
      <c r="P233" s="570" t="n">
        <v>3841</v>
      </c>
      <c r="Q233" s="570" t="n">
        <v>3680</v>
      </c>
      <c r="R233" s="570" t="n">
        <v>3814</v>
      </c>
      <c r="S233" s="570" t="n">
        <v>3663</v>
      </c>
      <c r="T233" s="570" t="n">
        <v>3654</v>
      </c>
      <c r="U233" s="570" t="n">
        <v>3509</v>
      </c>
      <c r="V233" s="570" t="n">
        <v>3491</v>
      </c>
      <c r="W233" s="570" t="n">
        <v>3300</v>
      </c>
      <c r="X233" s="570" t="n">
        <v>3135</v>
      </c>
      <c r="Y233" s="570" t="n">
        <v>3212</v>
      </c>
      <c r="Z233" s="570" t="n">
        <v>3195</v>
      </c>
      <c r="AA233" s="570" t="n">
        <v>3403</v>
      </c>
      <c r="AB233" s="570" t="n">
        <v>3486</v>
      </c>
      <c r="AC233" s="570" t="n">
        <v>3385</v>
      </c>
      <c r="AD233" s="570" t="n">
        <v>3493</v>
      </c>
      <c r="AE233" s="570" t="n">
        <v>3487</v>
      </c>
      <c r="AF233" s="570" t="n">
        <v>3530</v>
      </c>
      <c r="AG233" s="570" t="n">
        <v>3545</v>
      </c>
      <c r="AH233" s="570" t="n">
        <v>3500</v>
      </c>
      <c r="AI233" s="570" t="n">
        <v>3723</v>
      </c>
      <c r="AJ233" s="570" t="n">
        <v>3395</v>
      </c>
      <c r="AK233" s="570" t="n">
        <v>3393</v>
      </c>
      <c r="AL233" s="570" t="n">
        <v>3042</v>
      </c>
      <c r="AM233" s="570" t="n">
        <v>3078</v>
      </c>
      <c r="AN233" s="570" t="n">
        <v>3113</v>
      </c>
      <c r="AO233" s="570" t="n">
        <v>3166</v>
      </c>
      <c r="AP233" s="570" t="n">
        <v>3156</v>
      </c>
      <c r="AQ233" s="570" t="n">
        <v>3060</v>
      </c>
      <c r="AR233" s="570" t="n">
        <v>3072</v>
      </c>
      <c r="AS233" s="570" t="n">
        <v>3034</v>
      </c>
      <c r="AT233" s="570" t="n">
        <v>3032</v>
      </c>
      <c r="AU233" s="570" t="n">
        <v>2998.5</v>
      </c>
      <c r="AV233" s="570" t="n">
        <v>3038</v>
      </c>
      <c r="AW233" s="570" t="n">
        <v>3034</v>
      </c>
      <c r="AX233" s="570" t="n">
        <v>2958.5</v>
      </c>
      <c r="AY233" s="570" t="n">
        <v>2816</v>
      </c>
      <c r="AZ233" s="570" t="n">
        <v>2824.5</v>
      </c>
      <c r="BA233" s="570" t="n">
        <v>2769</v>
      </c>
      <c r="BB233" s="570" t="n">
        <v>2809.5</v>
      </c>
      <c r="BC233" s="570" t="n">
        <v>2765</v>
      </c>
      <c r="BD233" s="570" t="n">
        <v>2650.5</v>
      </c>
      <c r="BE233" s="570" t="n">
        <v>2673.5</v>
      </c>
      <c r="BF233" s="570" t="n">
        <v>2803</v>
      </c>
      <c r="BG233" s="570" t="n">
        <v>2875.5</v>
      </c>
      <c r="BH233" s="570" t="n">
        <v>2844.5</v>
      </c>
      <c r="BI233" s="570" t="n">
        <v>2771</v>
      </c>
      <c r="BJ233" s="570" t="n">
        <v>2740</v>
      </c>
      <c r="BK233" s="570" t="n">
        <v>2871.5</v>
      </c>
      <c r="BL233" s="570" t="n">
        <v>2966</v>
      </c>
    </row>
    <row r="234">
      <c r="A234" s="65" t="inlineStr">
        <is>
          <t>6762</t>
        </is>
      </c>
      <c r="B234" s="570">
        <f>銘柄管理!C234</f>
        <v/>
      </c>
      <c r="C234" s="570">
        <f>_xll.RssMarket("6762","高値")</f>
        <v/>
      </c>
      <c r="E234" s="570" t="n">
        <v>4123</v>
      </c>
      <c r="F234" s="570" t="n">
        <v>3995</v>
      </c>
      <c r="G234" s="570" t="n">
        <v>4094</v>
      </c>
      <c r="H234" s="570" t="n">
        <v>3888</v>
      </c>
      <c r="I234" s="570" t="n">
        <v>3962</v>
      </c>
      <c r="J234" s="570" t="n">
        <v>3928</v>
      </c>
      <c r="K234" s="570" t="n">
        <v>3756</v>
      </c>
      <c r="L234" s="570" t="n">
        <v>3575</v>
      </c>
      <c r="M234" s="570" t="n">
        <v>3833</v>
      </c>
      <c r="N234" s="570" t="n">
        <v>3824</v>
      </c>
      <c r="O234" s="570" t="n">
        <v>4174</v>
      </c>
      <c r="P234" s="570" t="n">
        <v>3995</v>
      </c>
      <c r="Q234" s="570" t="n">
        <v>4068</v>
      </c>
      <c r="R234" s="570" t="n">
        <v>4095</v>
      </c>
      <c r="S234" s="570" t="n">
        <v>4200</v>
      </c>
      <c r="T234" s="570" t="n">
        <v>3911</v>
      </c>
      <c r="U234" s="570" t="n">
        <v>3803</v>
      </c>
      <c r="V234" s="570" t="n">
        <v>3795</v>
      </c>
      <c r="W234" s="570" t="n">
        <v>3383</v>
      </c>
      <c r="X234" s="570" t="n">
        <v>3236</v>
      </c>
      <c r="Y234" s="570" t="n">
        <v>2959</v>
      </c>
      <c r="Z234" s="570" t="n">
        <v>3026</v>
      </c>
      <c r="AA234" s="570" t="n">
        <v>3019</v>
      </c>
      <c r="AB234" s="570" t="n">
        <v>3185</v>
      </c>
      <c r="AC234" s="570" t="n">
        <v>3118</v>
      </c>
      <c r="AD234" s="570" t="n">
        <v>2949.5</v>
      </c>
      <c r="AE234" s="570" t="n">
        <v>2984</v>
      </c>
      <c r="AF234" s="570" t="n">
        <v>3015</v>
      </c>
      <c r="AG234" s="570" t="n">
        <v>2996.5</v>
      </c>
      <c r="AH234" s="570" t="n">
        <v>2955.5</v>
      </c>
      <c r="AI234" s="570" t="n">
        <v>2956</v>
      </c>
      <c r="AJ234" s="570" t="n">
        <v>2985</v>
      </c>
      <c r="AK234" s="570" t="n">
        <v>2752.5</v>
      </c>
      <c r="AL234" s="570" t="n">
        <v>2768</v>
      </c>
      <c r="AM234" s="570" t="n">
        <v>2765.5</v>
      </c>
      <c r="AN234" s="570" t="n">
        <v>2772</v>
      </c>
      <c r="AO234" s="570" t="n">
        <v>2725</v>
      </c>
      <c r="AP234" s="570" t="n">
        <v>2576</v>
      </c>
      <c r="AQ234" s="570" t="n">
        <v>2621</v>
      </c>
      <c r="AR234" s="570" t="n">
        <v>2632.5</v>
      </c>
      <c r="AS234" s="570" t="n">
        <v>2548.5</v>
      </c>
      <c r="AT234" s="570" t="n">
        <v>2308</v>
      </c>
      <c r="AU234" s="570" t="n">
        <v>2310</v>
      </c>
      <c r="AV234" s="570" t="n">
        <v>2314.5</v>
      </c>
      <c r="AW234" s="570" t="n">
        <v>2322</v>
      </c>
      <c r="AX234" s="570" t="n">
        <v>2225</v>
      </c>
      <c r="AY234" s="570" t="n">
        <v>2222</v>
      </c>
      <c r="AZ234" s="570" t="n">
        <v>2079.5</v>
      </c>
      <c r="BA234" s="570" t="n">
        <v>2064</v>
      </c>
      <c r="BB234" s="570" t="n">
        <v>2027.5</v>
      </c>
      <c r="BC234" s="570" t="n">
        <v>2089.5</v>
      </c>
      <c r="BD234" s="570" t="n">
        <v>2073</v>
      </c>
      <c r="BE234" s="570" t="n">
        <v>2005</v>
      </c>
      <c r="BF234" s="570" t="n">
        <v>2000</v>
      </c>
      <c r="BG234" s="570" t="n">
        <v>2123</v>
      </c>
      <c r="BH234" s="570" t="n">
        <v>2112.5</v>
      </c>
      <c r="BI234" s="570" t="n">
        <v>2109</v>
      </c>
      <c r="BJ234" s="570" t="n">
        <v>2098.5</v>
      </c>
      <c r="BK234" s="570" t="n">
        <v>2042.5</v>
      </c>
      <c r="BL234" s="570" t="n">
        <v>2160</v>
      </c>
    </row>
    <row r="235">
      <c r="A235" s="65" t="inlineStr">
        <is>
          <t>4392</t>
        </is>
      </c>
      <c r="B235" s="570">
        <f>銘柄管理!C235</f>
        <v/>
      </c>
      <c r="C235" s="570">
        <f>_xll.RssMarket("4392","高値")</f>
        <v/>
      </c>
      <c r="E235" s="570" t="n">
        <v>1294</v>
      </c>
      <c r="F235" s="570" t="n">
        <v>1305</v>
      </c>
      <c r="G235" s="570" t="n">
        <v>1358</v>
      </c>
      <c r="H235" s="570" t="n">
        <v>1295</v>
      </c>
      <c r="I235" s="570" t="n">
        <v>1320</v>
      </c>
      <c r="J235" s="570" t="n">
        <v>1456</v>
      </c>
      <c r="K235" s="570" t="n">
        <v>1532</v>
      </c>
      <c r="L235" s="570" t="n">
        <v>1771</v>
      </c>
      <c r="M235" s="570" t="n">
        <v>1693</v>
      </c>
      <c r="N235" s="570" t="n">
        <v>1650</v>
      </c>
      <c r="O235" s="570" t="n">
        <v>1546</v>
      </c>
      <c r="P235" s="570" t="n">
        <v>1597</v>
      </c>
      <c r="Q235" s="570" t="n">
        <v>1707</v>
      </c>
      <c r="R235" s="570" t="n">
        <v>1915</v>
      </c>
      <c r="S235" s="570" t="n">
        <v>2200</v>
      </c>
      <c r="T235" s="570" t="n">
        <v>2458</v>
      </c>
      <c r="U235" s="570" t="n">
        <v>3075</v>
      </c>
      <c r="V235" s="570" t="n">
        <v>2185</v>
      </c>
      <c r="W235" s="570" t="n">
        <v>2045</v>
      </c>
      <c r="X235" s="570" t="n">
        <v>1981</v>
      </c>
      <c r="Y235" s="570" t="n">
        <v>1966</v>
      </c>
      <c r="Z235" s="570" t="n">
        <v>1360</v>
      </c>
      <c r="AA235" s="570" t="n">
        <v>1060</v>
      </c>
      <c r="AB235" s="570" t="n">
        <v>910</v>
      </c>
      <c r="AC235" s="570" t="n">
        <v>880</v>
      </c>
      <c r="AD235" s="570" t="n">
        <v>840</v>
      </c>
      <c r="AE235" s="570" t="n">
        <v>874</v>
      </c>
      <c r="AF235" s="570" t="n">
        <v>509</v>
      </c>
      <c r="AG235" s="570" t="n">
        <v>429</v>
      </c>
      <c r="AH235" s="570" t="n">
        <v>354</v>
      </c>
      <c r="AI235" s="570" t="n">
        <v>346</v>
      </c>
      <c r="AJ235" s="570" t="n">
        <v>352</v>
      </c>
      <c r="AK235" s="570" t="n">
        <v>367</v>
      </c>
      <c r="AL235" s="570" t="n">
        <v>360</v>
      </c>
      <c r="AM235" s="570" t="n">
        <v>352</v>
      </c>
      <c r="AN235" s="570" t="n">
        <v>360</v>
      </c>
      <c r="AO235" s="570" t="n">
        <v>355</v>
      </c>
      <c r="AP235" s="570" t="n">
        <v>351</v>
      </c>
      <c r="AQ235" s="570" t="n">
        <v>339</v>
      </c>
      <c r="AR235" s="570" t="n">
        <v>330</v>
      </c>
      <c r="AS235" s="570" t="n">
        <v>331</v>
      </c>
      <c r="AT235" s="570" t="n">
        <v>327</v>
      </c>
      <c r="AU235" s="570" t="n">
        <v>326</v>
      </c>
      <c r="AV235" s="570" t="n">
        <v>324</v>
      </c>
      <c r="AW235" s="570" t="n">
        <v>329</v>
      </c>
      <c r="AX235" s="570" t="n">
        <v>332</v>
      </c>
      <c r="AY235" s="570" t="n">
        <v>333</v>
      </c>
      <c r="AZ235" s="570" t="n">
        <v>328</v>
      </c>
      <c r="BA235" s="570" t="n">
        <v>324</v>
      </c>
      <c r="BB235" s="570" t="n">
        <v>322</v>
      </c>
      <c r="BC235" s="570" t="n">
        <v>325</v>
      </c>
      <c r="BD235" s="570" t="n">
        <v>321</v>
      </c>
      <c r="BE235" s="570" t="n">
        <v>315</v>
      </c>
      <c r="BF235" s="570" t="n">
        <v>311</v>
      </c>
      <c r="BG235" s="570" t="n">
        <v>325</v>
      </c>
      <c r="BH235" s="570" t="n">
        <v>332</v>
      </c>
      <c r="BI235" s="570" t="n">
        <v>328</v>
      </c>
      <c r="BJ235" s="570" t="n">
        <v>313</v>
      </c>
      <c r="BK235" s="570" t="n">
        <v>303</v>
      </c>
      <c r="BL235" s="570" t="n">
        <v>320</v>
      </c>
    </row>
    <row r="236">
      <c r="A236" s="65" t="inlineStr">
        <is>
          <t>8005</t>
        </is>
      </c>
      <c r="B236" s="570">
        <f>銘柄管理!C236</f>
        <v/>
      </c>
      <c r="C236" s="570">
        <f>_xll.RssMarket("8005","高値")</f>
        <v/>
      </c>
      <c r="E236" s="570" t="n">
        <v>1644</v>
      </c>
      <c r="F236" s="570" t="n">
        <v>1656</v>
      </c>
      <c r="G236" s="570" t="n">
        <v>1669</v>
      </c>
      <c r="H236" s="570" t="n">
        <v>1657</v>
      </c>
      <c r="I236" s="570" t="n">
        <v>1638</v>
      </c>
      <c r="J236" s="570" t="n">
        <v>1631</v>
      </c>
      <c r="K236" s="570" t="n">
        <v>1630</v>
      </c>
      <c r="L236" s="570" t="n">
        <v>1639</v>
      </c>
      <c r="M236" s="570" t="n">
        <v>1642</v>
      </c>
      <c r="N236" s="570" t="n">
        <v>1627</v>
      </c>
      <c r="O236" s="570" t="n">
        <v>1644</v>
      </c>
      <c r="P236" s="570" t="n">
        <v>1649</v>
      </c>
      <c r="Q236" s="570" t="n">
        <v>1655</v>
      </c>
      <c r="R236" s="570" t="n">
        <v>1676</v>
      </c>
      <c r="S236" s="570" t="n">
        <v>1667</v>
      </c>
      <c r="T236" s="570" t="n">
        <v>1639</v>
      </c>
      <c r="U236" s="570" t="n">
        <v>1642</v>
      </c>
      <c r="V236" s="570" t="n">
        <v>1645</v>
      </c>
      <c r="W236" s="570" t="n">
        <v>1651</v>
      </c>
      <c r="X236" s="570" t="n">
        <v>1670</v>
      </c>
      <c r="Y236" s="570" t="n">
        <v>1669</v>
      </c>
      <c r="Z236" s="570" t="n">
        <v>1685</v>
      </c>
      <c r="AA236" s="570" t="n">
        <v>1662</v>
      </c>
      <c r="AB236" s="570" t="n">
        <v>1664</v>
      </c>
      <c r="AC236" s="570" t="n">
        <v>1644</v>
      </c>
      <c r="AD236" s="570" t="n">
        <v>1678</v>
      </c>
      <c r="AE236" s="570" t="n">
        <v>1705</v>
      </c>
      <c r="AF236" s="570" t="n">
        <v>1805</v>
      </c>
      <c r="AG236" s="570" t="n">
        <v>1597</v>
      </c>
      <c r="AH236" s="570" t="n">
        <v>1330</v>
      </c>
      <c r="AI236" s="570" t="n">
        <v>1322</v>
      </c>
      <c r="AJ236" s="570" t="n">
        <v>1326</v>
      </c>
      <c r="AK236" s="570" t="n">
        <v>1333</v>
      </c>
      <c r="AL236" s="570" t="n">
        <v>1327</v>
      </c>
      <c r="AM236" s="570" t="n">
        <v>1322</v>
      </c>
      <c r="AN236" s="570" t="n">
        <v>1324</v>
      </c>
      <c r="AO236" s="570" t="n">
        <v>1345</v>
      </c>
      <c r="AP236" s="570" t="n">
        <v>1365</v>
      </c>
      <c r="AQ236" s="570" t="n">
        <v>1357</v>
      </c>
      <c r="AR236" s="570" t="n">
        <v>1360</v>
      </c>
      <c r="AS236" s="570" t="n">
        <v>1363</v>
      </c>
      <c r="AT236" s="570" t="n">
        <v>1345</v>
      </c>
      <c r="AU236" s="570" t="n">
        <v>1322</v>
      </c>
      <c r="AV236" s="570" t="n">
        <v>1333</v>
      </c>
      <c r="AW236" s="570" t="n">
        <v>1356</v>
      </c>
      <c r="AX236" s="570" t="n">
        <v>1370</v>
      </c>
      <c r="AY236" s="570" t="n">
        <v>1362</v>
      </c>
      <c r="AZ236" s="570" t="n">
        <v>1361</v>
      </c>
      <c r="BA236" s="570" t="n">
        <v>1348</v>
      </c>
      <c r="BB236" s="570" t="n">
        <v>1347</v>
      </c>
      <c r="BC236" s="570" t="n">
        <v>1364</v>
      </c>
      <c r="BD236" s="570" t="n">
        <v>1347</v>
      </c>
      <c r="BE236" s="570" t="n">
        <v>1337</v>
      </c>
      <c r="BF236" s="570" t="n">
        <v>1298</v>
      </c>
      <c r="BG236" s="570" t="n">
        <v>1348</v>
      </c>
      <c r="BH236" s="570" t="n">
        <v>1333</v>
      </c>
      <c r="BI236" s="570" t="n">
        <v>1338</v>
      </c>
      <c r="BJ236" s="570" t="n">
        <v>1314</v>
      </c>
      <c r="BK236" s="570" t="n">
        <v>1300</v>
      </c>
      <c r="BL236" s="570" t="n">
        <v>1330</v>
      </c>
    </row>
    <row r="237">
      <c r="A237" s="65" t="inlineStr">
        <is>
          <t>2326</t>
        </is>
      </c>
      <c r="B237" s="570">
        <f>銘柄管理!C237</f>
        <v/>
      </c>
      <c r="C237" s="570">
        <f>_xll.RssMarket("2326","高値")</f>
        <v/>
      </c>
      <c r="E237" s="570" t="n">
        <v>3625</v>
      </c>
      <c r="F237" s="570" t="n">
        <v>3620</v>
      </c>
      <c r="G237" s="570" t="n">
        <v>3655</v>
      </c>
      <c r="H237" s="570" t="n">
        <v>3650</v>
      </c>
      <c r="I237" s="570" t="n">
        <v>3620</v>
      </c>
      <c r="J237" s="570" t="n">
        <v>3660</v>
      </c>
      <c r="K237" s="570" t="n">
        <v>3610</v>
      </c>
      <c r="L237" s="570" t="n">
        <v>3675</v>
      </c>
      <c r="M237" s="570" t="n">
        <v>3700</v>
      </c>
      <c r="N237" s="570" t="n">
        <v>3845</v>
      </c>
      <c r="O237" s="570" t="n">
        <v>3880</v>
      </c>
      <c r="P237" s="570" t="n">
        <v>3735</v>
      </c>
      <c r="Q237" s="570" t="n">
        <v>3745</v>
      </c>
      <c r="R237" s="570" t="n">
        <v>3865</v>
      </c>
      <c r="S237" s="570" t="n">
        <v>4090</v>
      </c>
      <c r="T237" s="570" t="n">
        <v>4085</v>
      </c>
      <c r="U237" s="570" t="n">
        <v>4160</v>
      </c>
      <c r="V237" s="570" t="n">
        <v>4185</v>
      </c>
      <c r="W237" s="570" t="n">
        <v>4150</v>
      </c>
      <c r="X237" s="570" t="n">
        <v>4165</v>
      </c>
      <c r="Y237" s="570" t="n">
        <v>4295</v>
      </c>
      <c r="Z237" s="570" t="n">
        <v>4420</v>
      </c>
      <c r="AA237" s="570" t="n">
        <v>4290</v>
      </c>
      <c r="AB237" s="570" t="n">
        <v>4240</v>
      </c>
      <c r="AC237" s="570" t="n">
        <v>4035</v>
      </c>
      <c r="AD237" s="570" t="n">
        <v>4150</v>
      </c>
      <c r="AE237" s="570" t="n">
        <v>4155</v>
      </c>
      <c r="AF237" s="570" t="n">
        <v>4315</v>
      </c>
      <c r="AG237" s="570" t="n">
        <v>4940</v>
      </c>
      <c r="AH237" s="570" t="n">
        <v>5990</v>
      </c>
      <c r="AI237" s="570" t="n">
        <v>5640</v>
      </c>
      <c r="AJ237" s="570" t="n">
        <v>5620</v>
      </c>
      <c r="AK237" s="570" t="n">
        <v>5550</v>
      </c>
      <c r="AL237" s="570" t="n">
        <v>5570</v>
      </c>
      <c r="AM237" s="570" t="n">
        <v>5640</v>
      </c>
      <c r="AN237" s="570" t="n">
        <v>6010</v>
      </c>
      <c r="AO237" s="570" t="n">
        <v>6120</v>
      </c>
      <c r="AP237" s="570" t="n">
        <v>6020</v>
      </c>
      <c r="AQ237" s="570" t="n">
        <v>6000</v>
      </c>
      <c r="AR237" s="570" t="n">
        <v>5880</v>
      </c>
      <c r="AS237" s="570" t="n">
        <v>5920</v>
      </c>
      <c r="AT237" s="570" t="n">
        <v>5630</v>
      </c>
      <c r="AU237" s="570" t="n">
        <v>5620</v>
      </c>
      <c r="AV237" s="570" t="n">
        <v>5460</v>
      </c>
      <c r="AW237" s="570" t="n">
        <v>5460</v>
      </c>
      <c r="AX237" s="570" t="n">
        <v>5550</v>
      </c>
      <c r="AY237" s="570" t="n">
        <v>5690</v>
      </c>
      <c r="AZ237" s="570" t="n">
        <v>5480</v>
      </c>
      <c r="BA237" s="570" t="n">
        <v>5460</v>
      </c>
      <c r="BB237" s="570" t="n">
        <v>5380</v>
      </c>
      <c r="BC237" s="570" t="n">
        <v>5390</v>
      </c>
      <c r="BD237" s="570" t="n">
        <v>5400</v>
      </c>
      <c r="BE237" s="570" t="n">
        <v>5260</v>
      </c>
      <c r="BF237" s="570" t="n">
        <v>5090</v>
      </c>
      <c r="BG237" s="570" t="n">
        <v>5250</v>
      </c>
      <c r="BH237" s="570" t="n">
        <v>5120</v>
      </c>
      <c r="BI237" s="570" t="n">
        <v>5090</v>
      </c>
      <c r="BJ237" s="570" t="n">
        <v>5000</v>
      </c>
      <c r="BK237" s="570" t="n">
        <v>4950</v>
      </c>
      <c r="BL237" s="570" t="n">
        <v>5210</v>
      </c>
    </row>
    <row r="238">
      <c r="A238" s="65" t="inlineStr">
        <is>
          <t>6809</t>
        </is>
      </c>
      <c r="B238" s="570">
        <f>銘柄管理!C238</f>
        <v/>
      </c>
      <c r="C238" s="570">
        <f>_xll.RssMarket("6809","高値")</f>
        <v/>
      </c>
      <c r="E238" s="570" t="n">
        <v>1574</v>
      </c>
      <c r="F238" s="570" t="n">
        <v>1579</v>
      </c>
      <c r="G238" s="570" t="n">
        <v>1577</v>
      </c>
      <c r="H238" s="570" t="n">
        <v>1583</v>
      </c>
      <c r="I238" s="570" t="n">
        <v>1565</v>
      </c>
      <c r="J238" s="570" t="n">
        <v>1580</v>
      </c>
      <c r="K238" s="570" t="n">
        <v>1562</v>
      </c>
      <c r="L238" s="570" t="n">
        <v>1563</v>
      </c>
      <c r="M238" s="570" t="n">
        <v>1586</v>
      </c>
      <c r="N238" s="570" t="n">
        <v>1553</v>
      </c>
      <c r="O238" s="570" t="n">
        <v>1582</v>
      </c>
      <c r="P238" s="570" t="n">
        <v>1555</v>
      </c>
      <c r="Q238" s="570" t="n">
        <v>1560</v>
      </c>
      <c r="R238" s="570" t="n">
        <v>1558</v>
      </c>
      <c r="S238" s="570" t="n">
        <v>1568</v>
      </c>
      <c r="T238" s="570" t="n">
        <v>1549</v>
      </c>
      <c r="U238" s="570" t="n">
        <v>1563</v>
      </c>
      <c r="V238" s="570" t="n">
        <v>1582</v>
      </c>
      <c r="W238" s="570" t="n">
        <v>1559</v>
      </c>
      <c r="X238" s="570" t="n">
        <v>1550</v>
      </c>
      <c r="Y238" s="570" t="n">
        <v>1602</v>
      </c>
      <c r="Z238" s="570" t="n">
        <v>1599</v>
      </c>
      <c r="AA238" s="570" t="n">
        <v>1598</v>
      </c>
      <c r="AB238" s="570" t="n">
        <v>1614</v>
      </c>
      <c r="AC238" s="570" t="n">
        <v>1585</v>
      </c>
      <c r="AD238" s="570" t="n">
        <v>1584</v>
      </c>
      <c r="AE238" s="570" t="n">
        <v>1575</v>
      </c>
      <c r="AF238" s="570" t="n">
        <v>1600</v>
      </c>
      <c r="AG238" s="570" t="n">
        <v>1608</v>
      </c>
      <c r="AH238" s="570" t="n">
        <v>1805</v>
      </c>
      <c r="AI238" s="570" t="n">
        <v>1756</v>
      </c>
      <c r="AJ238" s="570" t="n">
        <v>1730</v>
      </c>
      <c r="AK238" s="570" t="n">
        <v>1744</v>
      </c>
      <c r="AL238" s="570" t="n">
        <v>1734</v>
      </c>
      <c r="AM238" s="570" t="n">
        <v>1757</v>
      </c>
      <c r="AN238" s="570" t="n">
        <v>1761</v>
      </c>
      <c r="AO238" s="570" t="n">
        <v>1786</v>
      </c>
      <c r="AP238" s="570" t="n">
        <v>1790</v>
      </c>
      <c r="AQ238" s="570" t="n">
        <v>1807</v>
      </c>
      <c r="AR238" s="570" t="n">
        <v>1792</v>
      </c>
      <c r="AS238" s="570" t="n">
        <v>1796</v>
      </c>
      <c r="AT238" s="570" t="n">
        <v>1817</v>
      </c>
      <c r="AU238" s="570" t="n">
        <v>1806</v>
      </c>
      <c r="AV238" s="570" t="n">
        <v>1820</v>
      </c>
      <c r="AW238" s="570" t="n">
        <v>1836</v>
      </c>
      <c r="AX238" s="570" t="n">
        <v>1852</v>
      </c>
      <c r="AY238" s="570" t="n">
        <v>1845</v>
      </c>
      <c r="AZ238" s="570" t="n">
        <v>1826</v>
      </c>
      <c r="BA238" s="570" t="n">
        <v>1804</v>
      </c>
      <c r="BB238" s="570" t="n">
        <v>1810</v>
      </c>
      <c r="BC238" s="570" t="n">
        <v>1830</v>
      </c>
      <c r="BD238" s="570" t="n">
        <v>1799</v>
      </c>
      <c r="BE238" s="570" t="n">
        <v>1782</v>
      </c>
      <c r="BF238" s="570" t="n">
        <v>1818</v>
      </c>
      <c r="BG238" s="570" t="n">
        <v>1907</v>
      </c>
      <c r="BH238" s="570" t="n">
        <v>1926</v>
      </c>
      <c r="BI238" s="570" t="n">
        <v>1888</v>
      </c>
      <c r="BJ238" s="570" t="n">
        <v>1829</v>
      </c>
      <c r="BK238" s="570" t="n">
        <v>1804</v>
      </c>
      <c r="BL238" s="570" t="n">
        <v>1838</v>
      </c>
    </row>
    <row r="239">
      <c r="A239" s="65" t="inlineStr">
        <is>
          <t>3984</t>
        </is>
      </c>
      <c r="B239" s="570">
        <f>銘柄管理!C239</f>
        <v/>
      </c>
      <c r="C239" s="570">
        <f>_xll.RssMarket("3984","高値")</f>
        <v/>
      </c>
      <c r="E239" s="570" t="n">
        <v>1753</v>
      </c>
      <c r="F239" s="570" t="n">
        <v>1810</v>
      </c>
      <c r="G239" s="570" t="n">
        <v>1828</v>
      </c>
      <c r="H239" s="570" t="n">
        <v>1785</v>
      </c>
      <c r="I239" s="570" t="n">
        <v>1794</v>
      </c>
      <c r="J239" s="570" t="n">
        <v>1844</v>
      </c>
      <c r="K239" s="570" t="n">
        <v>1800</v>
      </c>
      <c r="L239" s="570" t="n">
        <v>1836</v>
      </c>
      <c r="M239" s="570" t="n">
        <v>1890</v>
      </c>
      <c r="N239" s="570" t="n">
        <v>1915</v>
      </c>
      <c r="O239" s="570" t="n">
        <v>1826</v>
      </c>
      <c r="P239" s="570" t="n">
        <v>1824</v>
      </c>
      <c r="Q239" s="570" t="n">
        <v>1834</v>
      </c>
      <c r="R239" s="570" t="n">
        <v>1767</v>
      </c>
      <c r="S239" s="570" t="n">
        <v>1708</v>
      </c>
      <c r="T239" s="570" t="n">
        <v>1732</v>
      </c>
      <c r="U239" s="570" t="n">
        <v>1797</v>
      </c>
      <c r="V239" s="570" t="n">
        <v>1796</v>
      </c>
      <c r="W239" s="570" t="n">
        <v>1783</v>
      </c>
      <c r="X239" s="570" t="n">
        <v>1778</v>
      </c>
      <c r="Y239" s="570" t="n">
        <v>1746</v>
      </c>
      <c r="Z239" s="570" t="n">
        <v>1730</v>
      </c>
      <c r="AA239" s="570" t="n">
        <v>1732</v>
      </c>
      <c r="AB239" s="570" t="n">
        <v>1745</v>
      </c>
      <c r="AC239" s="570" t="n">
        <v>1753</v>
      </c>
      <c r="AD239" s="570" t="n">
        <v>1807</v>
      </c>
      <c r="AE239" s="570" t="n">
        <v>1845</v>
      </c>
      <c r="AF239" s="570" t="n">
        <v>1833</v>
      </c>
      <c r="AG239" s="570" t="n">
        <v>1605</v>
      </c>
      <c r="AH239" s="570" t="n">
        <v>1549</v>
      </c>
      <c r="AI239" s="570" t="n">
        <v>1566</v>
      </c>
      <c r="AJ239" s="570" t="n">
        <v>1563</v>
      </c>
      <c r="AK239" s="570" t="n">
        <v>1589</v>
      </c>
      <c r="AL239" s="570" t="n">
        <v>1579</v>
      </c>
      <c r="AM239" s="570" t="n">
        <v>1605</v>
      </c>
      <c r="AN239" s="570" t="n">
        <v>1629</v>
      </c>
      <c r="AO239" s="570" t="n">
        <v>1600</v>
      </c>
      <c r="AP239" s="570" t="n">
        <v>1575</v>
      </c>
      <c r="AQ239" s="570" t="n">
        <v>1600</v>
      </c>
      <c r="AR239" s="570" t="n">
        <v>1583</v>
      </c>
      <c r="AS239" s="570" t="n">
        <v>1517</v>
      </c>
      <c r="AT239" s="570" t="n">
        <v>1504</v>
      </c>
      <c r="AU239" s="570" t="n">
        <v>1454</v>
      </c>
      <c r="AV239" s="570" t="n">
        <v>1492</v>
      </c>
      <c r="AW239" s="570" t="n">
        <v>1522</v>
      </c>
      <c r="AX239" s="570" t="n">
        <v>1544</v>
      </c>
      <c r="AY239" s="570" t="n">
        <v>1491</v>
      </c>
      <c r="AZ239" s="570" t="n">
        <v>1475</v>
      </c>
      <c r="BA239" s="570" t="n">
        <v>1490</v>
      </c>
      <c r="BB239" s="570" t="n">
        <v>1498</v>
      </c>
      <c r="BC239" s="570" t="n">
        <v>1497</v>
      </c>
      <c r="BD239" s="570" t="n">
        <v>1424</v>
      </c>
      <c r="BE239" s="570" t="n">
        <v>1388</v>
      </c>
      <c r="BF239" s="570" t="n">
        <v>1444</v>
      </c>
      <c r="BG239" s="570" t="n">
        <v>1480</v>
      </c>
      <c r="BH239" s="570" t="n">
        <v>1489</v>
      </c>
      <c r="BI239" s="570" t="n">
        <v>1479</v>
      </c>
      <c r="BJ239" s="570" t="n">
        <v>1452</v>
      </c>
      <c r="BK239" s="570" t="n">
        <v>1521</v>
      </c>
      <c r="BL239" s="570" t="n">
        <v>1543</v>
      </c>
    </row>
    <row r="240">
      <c r="A240" s="65" t="inlineStr">
        <is>
          <t>7609</t>
        </is>
      </c>
      <c r="B240" s="570">
        <f>銘柄管理!C240</f>
        <v/>
      </c>
      <c r="C240" s="570">
        <f>_xll.RssMarket("7609","高値")</f>
        <v/>
      </c>
      <c r="E240" s="570" t="n">
        <v>3990</v>
      </c>
      <c r="F240" s="570" t="n">
        <v>3930</v>
      </c>
      <c r="G240" s="570" t="n">
        <v>3885</v>
      </c>
      <c r="H240" s="570" t="n">
        <v>3650</v>
      </c>
      <c r="I240" s="570" t="n">
        <v>3630</v>
      </c>
      <c r="J240" s="570" t="n">
        <v>3640</v>
      </c>
      <c r="K240" s="570" t="n">
        <v>3540</v>
      </c>
      <c r="L240" s="570" t="n">
        <v>3435</v>
      </c>
      <c r="M240" s="570" t="n">
        <v>3560</v>
      </c>
      <c r="N240" s="570" t="n">
        <v>3650</v>
      </c>
      <c r="O240" s="570" t="n">
        <v>3785</v>
      </c>
      <c r="P240" s="570" t="n">
        <v>3795</v>
      </c>
      <c r="Q240" s="570" t="n">
        <v>3730</v>
      </c>
      <c r="R240" s="570" t="n">
        <v>3615</v>
      </c>
      <c r="S240" s="570" t="n">
        <v>3655</v>
      </c>
      <c r="T240" s="570" t="n">
        <v>3580</v>
      </c>
      <c r="U240" s="570" t="n">
        <v>3700</v>
      </c>
      <c r="V240" s="570" t="n">
        <v>3690</v>
      </c>
      <c r="W240" s="570" t="n">
        <v>3680</v>
      </c>
      <c r="X240" s="570" t="n">
        <v>3625</v>
      </c>
      <c r="Y240" s="570" t="n">
        <v>3535</v>
      </c>
      <c r="Z240" s="570" t="n">
        <v>3875</v>
      </c>
      <c r="AA240" s="570" t="n">
        <v>3910</v>
      </c>
      <c r="AB240" s="570" t="n">
        <v>4075</v>
      </c>
      <c r="AC240" s="570" t="n">
        <v>4090</v>
      </c>
      <c r="AD240" s="570" t="n">
        <v>3895</v>
      </c>
      <c r="AE240" s="570" t="n">
        <v>3985</v>
      </c>
      <c r="AF240" s="570" t="n">
        <v>4015</v>
      </c>
      <c r="AG240" s="570" t="n">
        <v>3975</v>
      </c>
      <c r="AH240" s="570" t="n">
        <v>3420</v>
      </c>
      <c r="AI240" s="570" t="n">
        <v>3205</v>
      </c>
      <c r="AJ240" s="570" t="n">
        <v>2941</v>
      </c>
      <c r="AK240" s="570" t="n">
        <v>2908</v>
      </c>
      <c r="AL240" s="570" t="n">
        <v>2917</v>
      </c>
      <c r="AM240" s="570" t="n">
        <v>2906</v>
      </c>
      <c r="AN240" s="570" t="n">
        <v>2864</v>
      </c>
      <c r="AO240" s="570" t="n">
        <v>2882</v>
      </c>
      <c r="AP240" s="570" t="n">
        <v>2912</v>
      </c>
      <c r="AQ240" s="570" t="n">
        <v>2886</v>
      </c>
      <c r="AR240" s="570" t="n">
        <v>2957</v>
      </c>
      <c r="AS240" s="570" t="n">
        <v>2961</v>
      </c>
      <c r="AT240" s="570" t="n">
        <v>2987</v>
      </c>
      <c r="AU240" s="570" t="n">
        <v>2930</v>
      </c>
      <c r="AV240" s="570" t="n">
        <v>2855</v>
      </c>
      <c r="AW240" s="570" t="n">
        <v>2823</v>
      </c>
      <c r="AX240" s="570" t="n">
        <v>2843</v>
      </c>
      <c r="AY240" s="570" t="n">
        <v>2843</v>
      </c>
      <c r="AZ240" s="570" t="n">
        <v>2735</v>
      </c>
      <c r="BA240" s="570" t="n">
        <v>2750</v>
      </c>
      <c r="BB240" s="570" t="n">
        <v>2750</v>
      </c>
      <c r="BC240" s="570" t="n">
        <v>2826</v>
      </c>
      <c r="BD240" s="570" t="n">
        <v>2778</v>
      </c>
      <c r="BE240" s="570" t="n">
        <v>2716</v>
      </c>
      <c r="BF240" s="570" t="n">
        <v>2780</v>
      </c>
      <c r="BG240" s="570" t="n">
        <v>2866</v>
      </c>
      <c r="BH240" s="570" t="n">
        <v>2874</v>
      </c>
      <c r="BI240" s="570" t="n">
        <v>2874</v>
      </c>
      <c r="BJ240" s="570" t="n">
        <v>2817</v>
      </c>
      <c r="BK240" s="570" t="n">
        <v>2778</v>
      </c>
      <c r="BL240" s="570" t="n">
        <v>2898</v>
      </c>
    </row>
    <row r="241">
      <c r="A241" s="65" t="inlineStr">
        <is>
          <t>7972</t>
        </is>
      </c>
      <c r="B241" s="570">
        <f>銘柄管理!C241</f>
        <v/>
      </c>
      <c r="C241" s="570">
        <f>_xll.RssMarket("7972","高値")</f>
        <v/>
      </c>
      <c r="E241" s="570" t="n">
        <v>2599</v>
      </c>
      <c r="F241" s="570" t="n">
        <v>2530</v>
      </c>
      <c r="G241" s="570" t="n">
        <v>2494</v>
      </c>
      <c r="H241" s="570" t="n">
        <v>2470</v>
      </c>
      <c r="I241" s="570" t="n">
        <v>2477</v>
      </c>
      <c r="J241" s="570" t="n">
        <v>2485</v>
      </c>
      <c r="K241" s="570" t="n">
        <v>2454</v>
      </c>
      <c r="L241" s="570" t="n">
        <v>2429</v>
      </c>
      <c r="M241" s="570" t="n">
        <v>2430</v>
      </c>
      <c r="N241" s="570" t="n">
        <v>2428</v>
      </c>
      <c r="O241" s="570" t="n">
        <v>2460</v>
      </c>
      <c r="P241" s="570" t="n">
        <v>2434</v>
      </c>
      <c r="Q241" s="570" t="n">
        <v>2477</v>
      </c>
      <c r="R241" s="570" t="n">
        <v>2486</v>
      </c>
      <c r="S241" s="570" t="n">
        <v>2620</v>
      </c>
      <c r="T241" s="570" t="n">
        <v>2700</v>
      </c>
      <c r="U241" s="570" t="n">
        <v>2757</v>
      </c>
      <c r="V241" s="570" t="n">
        <v>2639</v>
      </c>
      <c r="W241" s="570" t="n">
        <v>2649</v>
      </c>
      <c r="X241" s="570" t="n">
        <v>2699</v>
      </c>
      <c r="Y241" s="570" t="n">
        <v>2719</v>
      </c>
      <c r="Z241" s="570" t="n">
        <v>2813</v>
      </c>
      <c r="AA241" s="570" t="n">
        <v>2725</v>
      </c>
      <c r="AB241" s="570" t="n">
        <v>2801</v>
      </c>
      <c r="AC241" s="570" t="n">
        <v>2827</v>
      </c>
      <c r="AD241" s="570" t="n">
        <v>2833</v>
      </c>
      <c r="AE241" s="570" t="n">
        <v>2837</v>
      </c>
      <c r="AF241" s="570" t="n">
        <v>2922</v>
      </c>
      <c r="AG241" s="570" t="n">
        <v>2964</v>
      </c>
      <c r="AH241" s="570" t="n">
        <v>3295</v>
      </c>
      <c r="AI241" s="570" t="n">
        <v>3160</v>
      </c>
      <c r="AJ241" s="570" t="n">
        <v>3220</v>
      </c>
      <c r="AK241" s="570" t="n">
        <v>3300</v>
      </c>
      <c r="AL241" s="570" t="n">
        <v>3270</v>
      </c>
      <c r="AM241" s="570" t="n">
        <v>3225</v>
      </c>
      <c r="AN241" s="570" t="n">
        <v>3240</v>
      </c>
      <c r="AO241" s="570" t="n">
        <v>3325</v>
      </c>
      <c r="AP241" s="570" t="n">
        <v>3370</v>
      </c>
      <c r="AQ241" s="570" t="n">
        <v>3355</v>
      </c>
      <c r="AR241" s="570" t="n">
        <v>3335</v>
      </c>
      <c r="AS241" s="570" t="n">
        <v>3380</v>
      </c>
      <c r="AT241" s="570" t="n">
        <v>3600</v>
      </c>
      <c r="AU241" s="570" t="n">
        <v>3620</v>
      </c>
      <c r="AV241" s="570" t="n">
        <v>3585</v>
      </c>
      <c r="AW241" s="570" t="n">
        <v>3535</v>
      </c>
      <c r="AX241" s="570" t="n">
        <v>3525</v>
      </c>
      <c r="AY241" s="570" t="n">
        <v>3540</v>
      </c>
      <c r="AZ241" s="570" t="n">
        <v>3365</v>
      </c>
      <c r="BA241" s="570" t="n">
        <v>3325</v>
      </c>
      <c r="BB241" s="570" t="n">
        <v>3305</v>
      </c>
      <c r="BC241" s="570" t="n">
        <v>3375</v>
      </c>
      <c r="BD241" s="570" t="n">
        <v>3245</v>
      </c>
      <c r="BE241" s="570" t="n">
        <v>3110</v>
      </c>
      <c r="BF241" s="570" t="n">
        <v>3135</v>
      </c>
      <c r="BG241" s="570" t="n">
        <v>3295</v>
      </c>
      <c r="BH241" s="570" t="n">
        <v>3390</v>
      </c>
      <c r="BI241" s="570" t="n">
        <v>3415</v>
      </c>
      <c r="BJ241" s="570" t="n">
        <v>3335</v>
      </c>
      <c r="BK241" s="570" t="n">
        <v>3235</v>
      </c>
      <c r="BL241" s="570" t="n">
        <v>3380</v>
      </c>
    </row>
    <row r="242">
      <c r="A242" s="65" t="inlineStr">
        <is>
          <t>6521</t>
        </is>
      </c>
      <c r="B242" s="570">
        <f>銘柄管理!C242</f>
        <v/>
      </c>
      <c r="C242" s="570">
        <f>_xll.RssMarket("6521","高値")</f>
        <v/>
      </c>
      <c r="E242" s="570" t="n">
        <v>5280</v>
      </c>
      <c r="F242" s="570" t="n">
        <v>5210</v>
      </c>
      <c r="G242" s="570" t="n">
        <v>4795</v>
      </c>
      <c r="H242" s="570" t="n">
        <v>4900</v>
      </c>
      <c r="I242" s="570" t="n">
        <v>4800</v>
      </c>
      <c r="J242" s="570" t="n">
        <v>4610</v>
      </c>
      <c r="K242" s="570" t="n">
        <v>4575</v>
      </c>
      <c r="L242" s="570" t="n">
        <v>4455</v>
      </c>
      <c r="M242" s="570" t="n">
        <v>4730</v>
      </c>
      <c r="N242" s="570" t="n">
        <v>4935</v>
      </c>
      <c r="O242" s="570" t="n">
        <v>5170</v>
      </c>
      <c r="P242" s="570" t="n">
        <v>5000</v>
      </c>
      <c r="Q242" s="570" t="n">
        <v>5380</v>
      </c>
      <c r="R242" s="570" t="n">
        <v>5290</v>
      </c>
      <c r="S242" s="570" t="n">
        <v>5940</v>
      </c>
      <c r="T242" s="570" t="n">
        <v>6180</v>
      </c>
      <c r="U242" s="570" t="n">
        <v>5950</v>
      </c>
      <c r="V242" s="570" t="n">
        <v>6450</v>
      </c>
      <c r="W242" s="570" t="n">
        <v>6440</v>
      </c>
      <c r="X242" s="570" t="n">
        <v>5940</v>
      </c>
      <c r="Y242" s="570" t="n">
        <v>6000</v>
      </c>
      <c r="Z242" s="570" t="n">
        <v>6710</v>
      </c>
      <c r="AA242" s="570" t="n">
        <v>6800</v>
      </c>
      <c r="AB242" s="570" t="n">
        <v>6520</v>
      </c>
      <c r="AC242" s="570" t="n">
        <v>6890</v>
      </c>
      <c r="AD242" s="570" t="n">
        <v>6390</v>
      </c>
      <c r="AE242" s="570" t="n">
        <v>7420</v>
      </c>
      <c r="AF242" s="570" t="n">
        <v>7050</v>
      </c>
      <c r="AG242" s="570" t="n">
        <v>6210</v>
      </c>
      <c r="AH242" s="570" t="n">
        <v>5350</v>
      </c>
      <c r="AI242" s="570" t="n">
        <v>4835</v>
      </c>
      <c r="AJ242" s="570" t="n">
        <v>4840</v>
      </c>
      <c r="AK242" s="570" t="n">
        <v>4755</v>
      </c>
      <c r="AL242" s="570" t="n">
        <v>4835</v>
      </c>
      <c r="AM242" s="570" t="n">
        <v>4850</v>
      </c>
      <c r="AN242" s="570" t="n">
        <v>4935</v>
      </c>
      <c r="AO242" s="570" t="n">
        <v>5220</v>
      </c>
      <c r="AP242" s="570" t="n">
        <v>5090</v>
      </c>
      <c r="AQ242" s="570" t="n">
        <v>4425</v>
      </c>
      <c r="AR242" s="570" t="n">
        <v>4485</v>
      </c>
      <c r="AS242" s="570" t="n">
        <v>4555</v>
      </c>
      <c r="AT242" s="570" t="n">
        <v>5290</v>
      </c>
      <c r="AU242" s="570" t="n">
        <v>5640</v>
      </c>
      <c r="AV242" s="570" t="n">
        <v>5070</v>
      </c>
      <c r="AW242" s="570" t="n">
        <v>4725</v>
      </c>
      <c r="AX242" s="570" t="n">
        <v>4545</v>
      </c>
      <c r="AY242" s="570" t="n">
        <v>4735</v>
      </c>
      <c r="AZ242" s="570" t="n">
        <v>4595</v>
      </c>
      <c r="BA242" s="570" t="n">
        <v>4740</v>
      </c>
      <c r="BB242" s="570" t="n">
        <v>4410</v>
      </c>
      <c r="BC242" s="570" t="n">
        <v>4500</v>
      </c>
      <c r="BD242" s="570" t="n">
        <v>4570</v>
      </c>
      <c r="BE242" s="570" t="n">
        <v>4460</v>
      </c>
      <c r="BF242" s="570" t="n">
        <v>4200</v>
      </c>
      <c r="BG242" s="570" t="n">
        <v>4480</v>
      </c>
      <c r="BH242" s="570" t="n">
        <v>4625</v>
      </c>
      <c r="BI242" s="570" t="n">
        <v>5120</v>
      </c>
      <c r="BJ242" s="570" t="n">
        <v>5260</v>
      </c>
      <c r="BK242" s="570" t="n">
        <v>5090</v>
      </c>
      <c r="BL242" s="570" t="n">
        <v>5290</v>
      </c>
    </row>
    <row r="243">
      <c r="A243" s="65" t="inlineStr">
        <is>
          <t>9165</t>
        </is>
      </c>
      <c r="B243" s="570">
        <f>銘柄管理!C243</f>
        <v/>
      </c>
      <c r="C243" s="570">
        <f>_xll.RssMarket("9165","高値")</f>
        <v/>
      </c>
      <c r="E243" s="570" t="n">
        <v>1849</v>
      </c>
      <c r="F243" s="570" t="n">
        <v>1746</v>
      </c>
      <c r="G243" s="570" t="n">
        <v>1741</v>
      </c>
      <c r="H243" s="570" t="n">
        <v>1772</v>
      </c>
      <c r="I243" s="570" t="n">
        <v>1723</v>
      </c>
      <c r="J243" s="570" t="n">
        <v>1740</v>
      </c>
      <c r="K243" s="570" t="n">
        <v>1725</v>
      </c>
      <c r="L243" s="570" t="n">
        <v>1690</v>
      </c>
      <c r="M243" s="570" t="n">
        <v>1714</v>
      </c>
      <c r="N243" s="570" t="n">
        <v>1761</v>
      </c>
      <c r="O243" s="570" t="n">
        <v>1876</v>
      </c>
      <c r="P243" s="570" t="n">
        <v>1879</v>
      </c>
      <c r="Q243" s="570" t="n">
        <v>1839</v>
      </c>
      <c r="R243" s="570" t="n">
        <v>1818</v>
      </c>
      <c r="S243" s="570" t="n">
        <v>1910</v>
      </c>
      <c r="T243" s="570" t="n">
        <v>1964</v>
      </c>
      <c r="U243" s="570" t="n">
        <v>2171</v>
      </c>
      <c r="V243" s="570" t="n">
        <v>2350</v>
      </c>
      <c r="W243" s="570" t="n">
        <v>2005</v>
      </c>
      <c r="X243" s="570" t="n">
        <v>1825</v>
      </c>
      <c r="Y243" s="570" t="n">
        <v>1917</v>
      </c>
      <c r="Z243" s="570" t="n">
        <v>1850</v>
      </c>
      <c r="AA243" s="570" t="n">
        <v>1847</v>
      </c>
      <c r="AB243" s="570" t="n">
        <v>1799</v>
      </c>
      <c r="AC243" s="570" t="n">
        <v>1786</v>
      </c>
      <c r="AD243" s="570" t="n">
        <v>1777</v>
      </c>
      <c r="AE243" s="570" t="n">
        <v>1850</v>
      </c>
      <c r="AF243" s="570" t="n">
        <v>1864</v>
      </c>
      <c r="AG243" s="570" t="n">
        <v>1959</v>
      </c>
      <c r="AH243" s="570" t="n">
        <v>1611</v>
      </c>
      <c r="AI243" s="570" t="n">
        <v>1490</v>
      </c>
      <c r="AJ243" s="570" t="n">
        <v>1479</v>
      </c>
      <c r="AK243" s="570" t="n">
        <v>1470</v>
      </c>
      <c r="AL243" s="570" t="n">
        <v>1480</v>
      </c>
      <c r="AM243" s="570" t="n">
        <v>1469</v>
      </c>
      <c r="AN243" s="570" t="n">
        <v>1469</v>
      </c>
      <c r="AO243" s="570" t="n">
        <v>1470</v>
      </c>
      <c r="AP243" s="570" t="n">
        <v>1477</v>
      </c>
      <c r="AQ243" s="570" t="n">
        <v>1472</v>
      </c>
      <c r="AR243" s="570" t="n">
        <v>1477</v>
      </c>
      <c r="AS243" s="570" t="n">
        <v>1472</v>
      </c>
      <c r="AT243" s="570" t="n">
        <v>1457</v>
      </c>
      <c r="AU243" s="570" t="n">
        <v>1446</v>
      </c>
      <c r="AV243" s="570" t="n">
        <v>1437</v>
      </c>
      <c r="AW243" s="570" t="n">
        <v>1448</v>
      </c>
      <c r="AX243" s="570" t="n">
        <v>1500</v>
      </c>
      <c r="AY243" s="570" t="n">
        <v>1436</v>
      </c>
      <c r="AZ243" s="570" t="n">
        <v>1435</v>
      </c>
      <c r="BA243" s="570" t="n">
        <v>1427</v>
      </c>
      <c r="BB243" s="570" t="n">
        <v>1419</v>
      </c>
      <c r="BC243" s="570" t="n">
        <v>1429</v>
      </c>
      <c r="BD243" s="570" t="n">
        <v>1420</v>
      </c>
      <c r="BE243" s="570" t="n">
        <v>1403</v>
      </c>
      <c r="BF243" s="570" t="n">
        <v>1408</v>
      </c>
      <c r="BG243" s="570" t="n">
        <v>1415</v>
      </c>
      <c r="BH243" s="570" t="n">
        <v>1415</v>
      </c>
      <c r="BI243" s="570" t="n">
        <v>1424</v>
      </c>
      <c r="BJ243" s="570" t="n">
        <v>1428</v>
      </c>
      <c r="BK243" s="570" t="n">
        <v>1406</v>
      </c>
      <c r="BL243" s="570" t="n">
        <v>1410</v>
      </c>
    </row>
    <row r="244">
      <c r="A244" s="65" t="inlineStr">
        <is>
          <t>6902</t>
        </is>
      </c>
      <c r="B244" s="570">
        <f>銘柄管理!C244</f>
        <v/>
      </c>
      <c r="C244" s="570">
        <f>_xll.RssMarket("6902","高値")</f>
        <v/>
      </c>
      <c r="E244" s="570" t="n">
        <v>1905.5</v>
      </c>
      <c r="F244" s="570" t="n">
        <v>1933</v>
      </c>
      <c r="G244" s="570" t="n">
        <v>1939</v>
      </c>
      <c r="H244" s="570" t="n">
        <v>1923</v>
      </c>
      <c r="I244" s="570" t="n">
        <v>1902</v>
      </c>
      <c r="J244" s="570" t="n">
        <v>1923</v>
      </c>
      <c r="K244" s="570" t="n">
        <v>1863.5</v>
      </c>
      <c r="L244" s="570" t="n">
        <v>1842</v>
      </c>
      <c r="M244" s="570" t="n">
        <v>1925</v>
      </c>
      <c r="N244" s="570" t="n">
        <v>1931</v>
      </c>
      <c r="O244" s="570" t="n">
        <v>1914.5</v>
      </c>
      <c r="P244" s="570" t="n">
        <v>1941</v>
      </c>
      <c r="Q244" s="570" t="n">
        <v>1942.5</v>
      </c>
      <c r="R244" s="570" t="n">
        <v>1873</v>
      </c>
      <c r="S244" s="570" t="n">
        <v>1927.5</v>
      </c>
      <c r="T244" s="570" t="n">
        <v>1904.5</v>
      </c>
      <c r="U244" s="570" t="n">
        <v>1894</v>
      </c>
      <c r="V244" s="570" t="n">
        <v>1865.5</v>
      </c>
      <c r="W244" s="570" t="n">
        <v>1851</v>
      </c>
      <c r="X244" s="570" t="n">
        <v>1869</v>
      </c>
      <c r="Y244" s="570" t="n">
        <v>1872.5</v>
      </c>
      <c r="Z244" s="570" t="n">
        <v>1870</v>
      </c>
      <c r="AA244" s="570" t="n">
        <v>1908</v>
      </c>
      <c r="AB244" s="570" t="n">
        <v>1958.5</v>
      </c>
      <c r="AC244" s="570" t="n">
        <v>1910</v>
      </c>
      <c r="AD244" s="570" t="n">
        <v>1928</v>
      </c>
      <c r="AE244" s="570" t="n">
        <v>1896</v>
      </c>
      <c r="AF244" s="570" t="n">
        <v>1914</v>
      </c>
      <c r="AG244" s="570" t="n">
        <v>1948.5</v>
      </c>
      <c r="AH244" s="570" t="n">
        <v>1927</v>
      </c>
      <c r="AI244" s="570" t="n">
        <v>1903.5</v>
      </c>
      <c r="AJ244" s="570" t="n">
        <v>1899.5</v>
      </c>
      <c r="AK244" s="570" t="n">
        <v>1945</v>
      </c>
      <c r="AL244" s="570" t="n">
        <v>1942</v>
      </c>
      <c r="AM244" s="570" t="n">
        <v>1900</v>
      </c>
      <c r="AN244" s="570" t="n">
        <v>1923.5</v>
      </c>
      <c r="AO244" s="570" t="n">
        <v>1941</v>
      </c>
      <c r="AP244" s="570" t="n">
        <v>1972</v>
      </c>
      <c r="AQ244" s="570" t="n">
        <v>1962.5</v>
      </c>
      <c r="AR244" s="570" t="n">
        <v>1942.5</v>
      </c>
      <c r="AS244" s="570" t="n">
        <v>1950</v>
      </c>
      <c r="AT244" s="570" t="n">
        <v>1988</v>
      </c>
      <c r="AU244" s="570" t="n">
        <v>1941</v>
      </c>
      <c r="AV244" s="570" t="n">
        <v>1932.5</v>
      </c>
      <c r="AW244" s="570" t="n">
        <v>1965.5</v>
      </c>
      <c r="AX244" s="570" t="n">
        <v>1987</v>
      </c>
      <c r="AY244" s="570" t="n">
        <v>1979</v>
      </c>
      <c r="AZ244" s="570" t="n">
        <v>1917.5</v>
      </c>
      <c r="BA244" s="570" t="n">
        <v>1943</v>
      </c>
      <c r="BB244" s="570" t="n">
        <v>1942</v>
      </c>
      <c r="BC244" s="570" t="n">
        <v>1987</v>
      </c>
      <c r="BD244" s="570" t="n">
        <v>1985</v>
      </c>
      <c r="BE244" s="570" t="n">
        <v>1978.5</v>
      </c>
      <c r="BF244" s="570" t="n">
        <v>1895.5</v>
      </c>
      <c r="BG244" s="570" t="n">
        <v>1969</v>
      </c>
      <c r="BH244" s="570" t="n">
        <v>1953</v>
      </c>
      <c r="BI244" s="570" t="n">
        <v>1955</v>
      </c>
      <c r="BJ244" s="570" t="n">
        <v>1914</v>
      </c>
      <c r="BK244" s="570" t="n">
        <v>1870</v>
      </c>
      <c r="BL244" s="570" t="n">
        <v>1940</v>
      </c>
    </row>
    <row r="245">
      <c r="A245" s="65" t="inlineStr">
        <is>
          <t>3936</t>
        </is>
      </c>
      <c r="B245" s="570">
        <f>銘柄管理!C245</f>
        <v/>
      </c>
      <c r="C245" s="570">
        <f>_xll.RssMarket("3936","高値")</f>
        <v/>
      </c>
      <c r="E245" s="570" t="n">
        <v>174</v>
      </c>
      <c r="F245" s="570" t="n">
        <v>170</v>
      </c>
      <c r="G245" s="570" t="n">
        <v>166</v>
      </c>
      <c r="H245" s="570" t="n">
        <v>157</v>
      </c>
      <c r="I245" s="570" t="n">
        <v>164</v>
      </c>
      <c r="J245" s="570" t="n">
        <v>170</v>
      </c>
      <c r="K245" s="570" t="n">
        <v>165</v>
      </c>
      <c r="L245" s="570" t="n">
        <v>168</v>
      </c>
      <c r="M245" s="570" t="n">
        <v>175</v>
      </c>
      <c r="N245" s="570" t="n">
        <v>184</v>
      </c>
      <c r="O245" s="570" t="n">
        <v>188</v>
      </c>
      <c r="P245" s="570" t="n">
        <v>178</v>
      </c>
      <c r="Q245" s="570" t="n">
        <v>171</v>
      </c>
      <c r="R245" s="570" t="n">
        <v>170</v>
      </c>
      <c r="S245" s="570" t="n">
        <v>173</v>
      </c>
      <c r="T245" s="570" t="n">
        <v>178</v>
      </c>
      <c r="U245" s="570" t="n">
        <v>209</v>
      </c>
      <c r="V245" s="570" t="n">
        <v>168</v>
      </c>
      <c r="W245" s="570" t="n">
        <v>165</v>
      </c>
      <c r="X245" s="570" t="n">
        <v>169</v>
      </c>
      <c r="Y245" s="570" t="n">
        <v>171</v>
      </c>
      <c r="Z245" s="570" t="n">
        <v>181</v>
      </c>
      <c r="AA245" s="570" t="n">
        <v>177</v>
      </c>
      <c r="AB245" s="570" t="n">
        <v>176</v>
      </c>
      <c r="AC245" s="570" t="n">
        <v>214</v>
      </c>
      <c r="AD245" s="570" t="n">
        <v>206</v>
      </c>
      <c r="AE245" s="570" t="n">
        <v>172</v>
      </c>
      <c r="AF245" s="570" t="n">
        <v>179</v>
      </c>
      <c r="AG245" s="570" t="n">
        <v>178</v>
      </c>
      <c r="AH245" s="570" t="n">
        <v>176</v>
      </c>
      <c r="AI245" s="570" t="n">
        <v>182</v>
      </c>
      <c r="AJ245" s="570" t="n">
        <v>193</v>
      </c>
      <c r="AK245" s="570" t="n">
        <v>193</v>
      </c>
      <c r="AL245" s="570" t="n">
        <v>235</v>
      </c>
      <c r="AM245" s="570" t="n">
        <v>239</v>
      </c>
      <c r="AN245" s="570" t="n">
        <v>279</v>
      </c>
      <c r="AO245" s="570" t="n">
        <v>237</v>
      </c>
      <c r="AP245" s="570" t="n">
        <v>249</v>
      </c>
      <c r="AQ245" s="570" t="n">
        <v>199</v>
      </c>
      <c r="AR245" s="570" t="n">
        <v>165</v>
      </c>
      <c r="AS245" s="570" t="n">
        <v>131</v>
      </c>
      <c r="AT245" s="570" t="n">
        <v>128</v>
      </c>
      <c r="AU245" s="570" t="n">
        <v>125</v>
      </c>
      <c r="AV245" s="570" t="n">
        <v>126</v>
      </c>
      <c r="AW245" s="570" t="n">
        <v>128</v>
      </c>
      <c r="AX245" s="570" t="n">
        <v>129</v>
      </c>
      <c r="AY245" s="570" t="n">
        <v>129</v>
      </c>
      <c r="AZ245" s="570" t="n">
        <v>127</v>
      </c>
      <c r="BA245" s="570" t="n">
        <v>127</v>
      </c>
      <c r="BB245" s="570" t="n">
        <v>129</v>
      </c>
      <c r="BC245" s="570" t="n">
        <v>131</v>
      </c>
      <c r="BD245" s="570" t="n">
        <v>130</v>
      </c>
      <c r="BE245" s="570" t="n">
        <v>130</v>
      </c>
      <c r="BF245" s="570" t="n">
        <v>128</v>
      </c>
      <c r="BG245" s="570" t="n">
        <v>128</v>
      </c>
      <c r="BH245" s="570" t="n">
        <v>132</v>
      </c>
      <c r="BI245" s="570" t="n">
        <v>133</v>
      </c>
      <c r="BJ245" s="570" t="n">
        <v>128</v>
      </c>
      <c r="BK245" s="570" t="n">
        <v>129</v>
      </c>
      <c r="BL245" s="570" t="n">
        <v>136</v>
      </c>
    </row>
    <row r="246">
      <c r="A246" s="65" t="inlineStr">
        <is>
          <t>6928</t>
        </is>
      </c>
      <c r="B246" s="570">
        <f>銘柄管理!C246</f>
        <v/>
      </c>
      <c r="C246" s="570">
        <f>_xll.RssMarket("6928","高値")</f>
        <v/>
      </c>
      <c r="E246" s="570" t="n">
        <v>3620</v>
      </c>
      <c r="F246" s="570" t="n">
        <v>3590</v>
      </c>
      <c r="G246" s="570" t="n">
        <v>3500</v>
      </c>
      <c r="H246" s="570" t="n">
        <v>3400</v>
      </c>
      <c r="I246" s="570" t="n">
        <v>3385</v>
      </c>
      <c r="J246" s="570" t="n">
        <v>3355</v>
      </c>
      <c r="K246" s="570" t="n">
        <v>3390</v>
      </c>
      <c r="L246" s="570" t="n">
        <v>3385</v>
      </c>
      <c r="M246" s="570" t="n">
        <v>3530</v>
      </c>
      <c r="N246" s="570" t="n">
        <v>3495</v>
      </c>
      <c r="O246" s="570" t="n">
        <v>3690</v>
      </c>
      <c r="P246" s="570" t="n">
        <v>3720</v>
      </c>
      <c r="Q246" s="570" t="n">
        <v>3820</v>
      </c>
      <c r="R246" s="570" t="n">
        <v>3880</v>
      </c>
      <c r="S246" s="570" t="n">
        <v>3905</v>
      </c>
      <c r="T246" s="570" t="n">
        <v>3735</v>
      </c>
      <c r="U246" s="570" t="n">
        <v>3745</v>
      </c>
      <c r="V246" s="570" t="n">
        <v>3700</v>
      </c>
      <c r="W246" s="570" t="n">
        <v>3670</v>
      </c>
      <c r="X246" s="570" t="n">
        <v>3580</v>
      </c>
      <c r="Y246" s="570" t="n">
        <v>3520</v>
      </c>
      <c r="Z246" s="570" t="n">
        <v>3560</v>
      </c>
      <c r="AA246" s="570" t="n">
        <v>3560</v>
      </c>
      <c r="AB246" s="570" t="n">
        <v>3680</v>
      </c>
      <c r="AC246" s="570" t="n">
        <v>3620</v>
      </c>
      <c r="AD246" s="570" t="n">
        <v>3540</v>
      </c>
      <c r="AE246" s="570" t="n">
        <v>3620</v>
      </c>
      <c r="AF246" s="570" t="n">
        <v>3980</v>
      </c>
      <c r="AG246" s="570" t="n">
        <v>3620</v>
      </c>
      <c r="AH246" s="570" t="n">
        <v>3655</v>
      </c>
      <c r="AI246" s="570" t="n">
        <v>3470</v>
      </c>
      <c r="AJ246" s="570" t="n">
        <v>3305</v>
      </c>
      <c r="AK246" s="570" t="n">
        <v>3235</v>
      </c>
      <c r="AL246" s="570" t="n">
        <v>3165</v>
      </c>
      <c r="AM246" s="570" t="n">
        <v>3210</v>
      </c>
      <c r="AN246" s="570" t="n">
        <v>3230</v>
      </c>
      <c r="AO246" s="570" t="n">
        <v>3230</v>
      </c>
      <c r="AP246" s="570" t="n">
        <v>3295</v>
      </c>
      <c r="AQ246" s="570" t="n">
        <v>3270</v>
      </c>
      <c r="AR246" s="570" t="n">
        <v>3335</v>
      </c>
      <c r="AS246" s="570" t="n">
        <v>3370</v>
      </c>
      <c r="AT246" s="570" t="n">
        <v>3345</v>
      </c>
      <c r="AU246" s="570" t="n">
        <v>3245</v>
      </c>
      <c r="AV246" s="570" t="n">
        <v>3160</v>
      </c>
      <c r="AW246" s="570" t="n">
        <v>3200</v>
      </c>
      <c r="AX246" s="570" t="n">
        <v>3110</v>
      </c>
      <c r="AY246" s="570" t="n">
        <v>3120</v>
      </c>
      <c r="AZ246" s="570" t="n">
        <v>2941</v>
      </c>
      <c r="BA246" s="570" t="n">
        <v>2897</v>
      </c>
      <c r="BB246" s="570" t="n">
        <v>2911</v>
      </c>
      <c r="BC246" s="570" t="n">
        <v>2940</v>
      </c>
      <c r="BD246" s="570" t="n">
        <v>2914</v>
      </c>
      <c r="BE246" s="570" t="n">
        <v>2845</v>
      </c>
      <c r="BF246" s="570" t="n">
        <v>2850</v>
      </c>
      <c r="BG246" s="570" t="n">
        <v>2916</v>
      </c>
      <c r="BH246" s="570" t="n">
        <v>2940</v>
      </c>
      <c r="BI246" s="570" t="n">
        <v>2931</v>
      </c>
      <c r="BJ246" s="570" t="n">
        <v>2865</v>
      </c>
      <c r="BK246" s="570" t="n">
        <v>2800</v>
      </c>
      <c r="BL246" s="570" t="n">
        <v>3000</v>
      </c>
    </row>
    <row r="247">
      <c r="A247" s="65" t="inlineStr">
        <is>
          <t>5632</t>
        </is>
      </c>
      <c r="B247" s="570">
        <f>銘柄管理!C247</f>
        <v/>
      </c>
      <c r="C247" s="570">
        <f>_xll.RssMarket("5632","高値")</f>
        <v/>
      </c>
      <c r="E247" s="570" t="n">
        <v>2425</v>
      </c>
      <c r="F247" s="570" t="n">
        <v>2347</v>
      </c>
      <c r="G247" s="570" t="n">
        <v>2292</v>
      </c>
      <c r="H247" s="570" t="n">
        <v>2185</v>
      </c>
      <c r="I247" s="570" t="n">
        <v>2207</v>
      </c>
      <c r="J247" s="570" t="n">
        <v>2215</v>
      </c>
      <c r="K247" s="570" t="n">
        <v>2188</v>
      </c>
      <c r="L247" s="570" t="n">
        <v>2111</v>
      </c>
      <c r="M247" s="570" t="n">
        <v>2123</v>
      </c>
      <c r="N247" s="570" t="n">
        <v>2111</v>
      </c>
      <c r="O247" s="570" t="n">
        <v>2157</v>
      </c>
      <c r="P247" s="570" t="n">
        <v>2117</v>
      </c>
      <c r="Q247" s="570" t="n">
        <v>2137</v>
      </c>
      <c r="R247" s="570" t="n">
        <v>2115</v>
      </c>
      <c r="S247" s="570" t="n">
        <v>2195</v>
      </c>
      <c r="T247" s="570" t="n">
        <v>2142</v>
      </c>
      <c r="U247" s="570" t="n">
        <v>2170</v>
      </c>
      <c r="V247" s="570" t="n">
        <v>2169</v>
      </c>
      <c r="W247" s="570" t="n">
        <v>2158</v>
      </c>
      <c r="X247" s="570" t="n">
        <v>2122</v>
      </c>
      <c r="Y247" s="570" t="n">
        <v>2061</v>
      </c>
      <c r="Z247" s="570" t="n">
        <v>2094</v>
      </c>
      <c r="AA247" s="570" t="n">
        <v>2145</v>
      </c>
      <c r="AB247" s="570" t="n">
        <v>2210</v>
      </c>
      <c r="AC247" s="570" t="n">
        <v>2077</v>
      </c>
      <c r="AD247" s="570" t="n">
        <v>2020</v>
      </c>
      <c r="AE247" s="570" t="n">
        <v>1915</v>
      </c>
      <c r="AF247" s="570" t="n">
        <v>1908</v>
      </c>
      <c r="AG247" s="570" t="n">
        <v>1853</v>
      </c>
      <c r="AH247" s="570" t="n">
        <v>1857</v>
      </c>
      <c r="AI247" s="570" t="n">
        <v>1814</v>
      </c>
      <c r="AJ247" s="570" t="n">
        <v>1808</v>
      </c>
      <c r="AK247" s="570" t="n">
        <v>1824</v>
      </c>
      <c r="AL247" s="570" t="n">
        <v>1796</v>
      </c>
      <c r="AM247" s="570" t="n">
        <v>1811</v>
      </c>
      <c r="AN247" s="570" t="n">
        <v>1816</v>
      </c>
      <c r="AO247" s="570" t="n">
        <v>1833</v>
      </c>
      <c r="AP247" s="570" t="n">
        <v>1851</v>
      </c>
      <c r="AQ247" s="570" t="n">
        <v>1845</v>
      </c>
      <c r="AR247" s="570" t="n">
        <v>1841</v>
      </c>
      <c r="AS247" s="570" t="n">
        <v>1848</v>
      </c>
      <c r="AT247" s="570" t="n">
        <v>1847</v>
      </c>
      <c r="AU247" s="570" t="n">
        <v>1821</v>
      </c>
      <c r="AV247" s="570" t="n">
        <v>1809</v>
      </c>
      <c r="AW247" s="570" t="n">
        <v>1834</v>
      </c>
      <c r="AX247" s="570" t="n">
        <v>1846</v>
      </c>
      <c r="AY247" s="570" t="n">
        <v>1860</v>
      </c>
      <c r="AZ247" s="570" t="n">
        <v>1824</v>
      </c>
      <c r="BA247" s="570" t="n">
        <v>1821</v>
      </c>
      <c r="BB247" s="570" t="n">
        <v>1844</v>
      </c>
      <c r="BC247" s="570" t="n">
        <v>1866</v>
      </c>
      <c r="BD247" s="570" t="n">
        <v>1843</v>
      </c>
      <c r="BE247" s="570" t="n">
        <v>1823</v>
      </c>
      <c r="BF247" s="570" t="n">
        <v>1811</v>
      </c>
      <c r="BG247" s="570" t="n">
        <v>1898</v>
      </c>
      <c r="BH247" s="570" t="n">
        <v>1904</v>
      </c>
      <c r="BI247" s="570" t="n">
        <v>1885</v>
      </c>
      <c r="BJ247" s="570" t="n">
        <v>1837</v>
      </c>
      <c r="BK247" s="570" t="n">
        <v>1798</v>
      </c>
      <c r="BL247" s="570" t="n">
        <v>1870</v>
      </c>
    </row>
    <row r="248">
      <c r="A248" s="65" t="inlineStr">
        <is>
          <t>6098</t>
        </is>
      </c>
      <c r="B248" s="570">
        <f>銘柄管理!C248</f>
        <v/>
      </c>
      <c r="C248" s="570">
        <f>_xll.RssMarket("6098","高値")</f>
        <v/>
      </c>
      <c r="E248" s="570" t="n">
        <v>11230</v>
      </c>
      <c r="F248" s="570" t="n">
        <v>11105</v>
      </c>
      <c r="G248" s="570" t="n">
        <v>11385</v>
      </c>
      <c r="H248" s="570" t="n">
        <v>10800</v>
      </c>
      <c r="I248" s="570" t="n">
        <v>10815</v>
      </c>
      <c r="J248" s="570" t="n">
        <v>10980</v>
      </c>
      <c r="K248" s="570" t="n">
        <v>11140</v>
      </c>
      <c r="L248" s="570" t="n">
        <v>11410</v>
      </c>
      <c r="M248" s="570" t="n">
        <v>11755</v>
      </c>
      <c r="N248" s="570" t="n">
        <v>10845</v>
      </c>
      <c r="O248" s="570" t="n">
        <v>10915</v>
      </c>
      <c r="P248" s="570" t="n">
        <v>10775</v>
      </c>
      <c r="Q248" s="570" t="n">
        <v>11015</v>
      </c>
      <c r="R248" s="570" t="n">
        <v>11190</v>
      </c>
      <c r="S248" s="570" t="n">
        <v>10855</v>
      </c>
      <c r="T248" s="570" t="n">
        <v>10275</v>
      </c>
      <c r="U248" s="570" t="n">
        <v>10100</v>
      </c>
      <c r="V248" s="570" t="n">
        <v>9819</v>
      </c>
      <c r="W248" s="570" t="n">
        <v>9817</v>
      </c>
      <c r="X248" s="570" t="n">
        <v>9747</v>
      </c>
      <c r="Y248" s="570" t="n">
        <v>10010</v>
      </c>
      <c r="Z248" s="570" t="n">
        <v>9912</v>
      </c>
      <c r="AA248" s="570" t="n">
        <v>9320</v>
      </c>
      <c r="AB248" s="570" t="n">
        <v>7842</v>
      </c>
      <c r="AC248" s="570" t="n">
        <v>7837</v>
      </c>
      <c r="AD248" s="570" t="n">
        <v>7846</v>
      </c>
      <c r="AE248" s="570" t="n">
        <v>7722</v>
      </c>
      <c r="AF248" s="570" t="n">
        <v>7871</v>
      </c>
      <c r="AG248" s="570" t="n">
        <v>7987</v>
      </c>
      <c r="AH248" s="570" t="n">
        <v>7592</v>
      </c>
      <c r="AI248" s="570" t="n">
        <v>7387</v>
      </c>
      <c r="AJ248" s="570" t="n">
        <v>7400</v>
      </c>
      <c r="AK248" s="570" t="n">
        <v>7481</v>
      </c>
      <c r="AL248" s="570" t="n">
        <v>7435</v>
      </c>
      <c r="AM248" s="570" t="n">
        <v>7451</v>
      </c>
      <c r="AN248" s="570" t="n">
        <v>7682</v>
      </c>
      <c r="AO248" s="570" t="n">
        <v>8011</v>
      </c>
      <c r="AP248" s="570" t="n">
        <v>7860</v>
      </c>
      <c r="AQ248" s="570" t="n">
        <v>7627</v>
      </c>
      <c r="AR248" s="570" t="n">
        <v>7614</v>
      </c>
      <c r="AS248" s="570" t="n">
        <v>7345</v>
      </c>
      <c r="AT248" s="570" t="n">
        <v>7163</v>
      </c>
      <c r="AU248" s="570" t="n">
        <v>7140</v>
      </c>
      <c r="AV248" s="570" t="n">
        <v>7113</v>
      </c>
      <c r="AW248" s="570" t="n">
        <v>7161</v>
      </c>
      <c r="AX248" s="570" t="n">
        <v>7284</v>
      </c>
      <c r="AY248" s="570" t="n">
        <v>7333</v>
      </c>
      <c r="AZ248" s="570" t="n">
        <v>7077</v>
      </c>
      <c r="BA248" s="570" t="n">
        <v>7034</v>
      </c>
      <c r="BB248" s="570" t="n">
        <v>7128</v>
      </c>
      <c r="BC248" s="570" t="n">
        <v>7188</v>
      </c>
      <c r="BD248" s="570" t="n">
        <v>7145</v>
      </c>
      <c r="BE248" s="570" t="n">
        <v>6645</v>
      </c>
      <c r="BF248" s="570" t="n">
        <v>6340</v>
      </c>
      <c r="BG248" s="570" t="n">
        <v>6546</v>
      </c>
      <c r="BH248" s="570" t="n">
        <v>6472</v>
      </c>
      <c r="BI248" s="570" t="n">
        <v>6546</v>
      </c>
      <c r="BJ248" s="570" t="n">
        <v>6539</v>
      </c>
      <c r="BK248" s="570" t="n">
        <v>6378</v>
      </c>
      <c r="BL248" s="570" t="n">
        <v>6452</v>
      </c>
    </row>
    <row r="249">
      <c r="A249" s="65" t="inlineStr">
        <is>
          <t>6361</t>
        </is>
      </c>
      <c r="B249" s="570">
        <f>銘柄管理!C249</f>
        <v/>
      </c>
      <c r="C249" s="570">
        <f>_xll.RssMarket("6361","高値")</f>
        <v/>
      </c>
      <c r="E249" s="570" t="n">
        <v>6825</v>
      </c>
      <c r="F249" s="570" t="n">
        <v>6890</v>
      </c>
      <c r="G249" s="570" t="n">
        <v>6774</v>
      </c>
      <c r="H249" s="570" t="n">
        <v>6527</v>
      </c>
      <c r="I249" s="570" t="n">
        <v>6300</v>
      </c>
      <c r="J249" s="570" t="n">
        <v>6204</v>
      </c>
      <c r="K249" s="570" t="n">
        <v>5609</v>
      </c>
      <c r="L249" s="570" t="n">
        <v>5316</v>
      </c>
      <c r="M249" s="570" t="n">
        <v>5388</v>
      </c>
      <c r="N249" s="570" t="n">
        <v>5184</v>
      </c>
      <c r="O249" s="570" t="n">
        <v>5553</v>
      </c>
      <c r="P249" s="570" t="n">
        <v>5613</v>
      </c>
      <c r="Q249" s="570" t="n">
        <v>5782</v>
      </c>
      <c r="R249" s="570" t="n">
        <v>5700</v>
      </c>
      <c r="S249" s="570" t="n">
        <v>5683</v>
      </c>
      <c r="T249" s="570" t="n">
        <v>5625</v>
      </c>
      <c r="U249" s="570" t="n">
        <v>5875</v>
      </c>
      <c r="V249" s="570" t="n">
        <v>5830</v>
      </c>
      <c r="W249" s="570" t="n">
        <v>5465</v>
      </c>
      <c r="X249" s="570" t="n">
        <v>5160</v>
      </c>
      <c r="Y249" s="570" t="n">
        <v>5055</v>
      </c>
      <c r="Z249" s="570" t="n">
        <v>5454</v>
      </c>
      <c r="AA249" s="570" t="n">
        <v>5650</v>
      </c>
      <c r="AB249" s="570" t="n">
        <v>5892</v>
      </c>
      <c r="AC249" s="570" t="n">
        <v>5895</v>
      </c>
      <c r="AD249" s="570" t="n">
        <v>5778</v>
      </c>
      <c r="AE249" s="570" t="n">
        <v>6073</v>
      </c>
      <c r="AF249" s="570" t="n">
        <v>5955</v>
      </c>
      <c r="AG249" s="570" t="n">
        <v>5863</v>
      </c>
      <c r="AH249" s="570" t="n">
        <v>5942</v>
      </c>
      <c r="AI249" s="570" t="n">
        <v>5356</v>
      </c>
      <c r="AJ249" s="570" t="n">
        <v>5538</v>
      </c>
      <c r="AK249" s="570" t="n">
        <v>5563</v>
      </c>
      <c r="AL249" s="570" t="n">
        <v>5477</v>
      </c>
      <c r="AM249" s="570" t="n">
        <v>5461</v>
      </c>
      <c r="AN249" s="570" t="n">
        <v>5400</v>
      </c>
      <c r="AO249" s="570" t="n">
        <v>5471</v>
      </c>
      <c r="AP249" s="570" t="n">
        <v>5205</v>
      </c>
      <c r="AQ249" s="570" t="n">
        <v>5185</v>
      </c>
      <c r="AR249" s="570" t="n">
        <v>5115</v>
      </c>
      <c r="AS249" s="570" t="n">
        <v>5244</v>
      </c>
      <c r="AT249" s="570" t="n">
        <v>5280</v>
      </c>
      <c r="AU249" s="570" t="n">
        <v>5278</v>
      </c>
      <c r="AV249" s="570" t="n">
        <v>5150</v>
      </c>
      <c r="AW249" s="570" t="n">
        <v>5197</v>
      </c>
      <c r="AX249" s="570" t="n">
        <v>5080</v>
      </c>
      <c r="AY249" s="570" t="n">
        <v>5089</v>
      </c>
      <c r="AZ249" s="570" t="n">
        <v>4666</v>
      </c>
      <c r="BA249" s="570" t="n">
        <v>4607</v>
      </c>
      <c r="BB249" s="570" t="n">
        <v>4589</v>
      </c>
      <c r="BC249" s="570" t="n">
        <v>4689</v>
      </c>
      <c r="BD249" s="570" t="n">
        <v>4560</v>
      </c>
      <c r="BE249" s="570" t="n">
        <v>4344</v>
      </c>
      <c r="BF249" s="570" t="n">
        <v>4278</v>
      </c>
      <c r="BG249" s="570" t="n">
        <v>4526</v>
      </c>
      <c r="BH249" s="570" t="n">
        <v>4910</v>
      </c>
      <c r="BI249" s="570" t="n">
        <v>4866</v>
      </c>
      <c r="BJ249" s="570" t="n">
        <v>4594</v>
      </c>
      <c r="BK249" s="570" t="n">
        <v>4464</v>
      </c>
      <c r="BL249" s="570" t="n">
        <v>4867</v>
      </c>
    </row>
    <row r="250">
      <c r="A250" s="65" t="inlineStr">
        <is>
          <t>155A</t>
        </is>
      </c>
      <c r="B250" s="570">
        <f>銘柄管理!C250</f>
        <v/>
      </c>
      <c r="C250" s="570">
        <f>_xll.RssMarket("155A","高値")</f>
        <v/>
      </c>
      <c r="E250" s="570" t="n">
        <v>932</v>
      </c>
      <c r="F250" s="570" t="n">
        <v>911</v>
      </c>
      <c r="G250" s="570" t="n">
        <v>897</v>
      </c>
      <c r="H250" s="570" t="n">
        <v>878</v>
      </c>
      <c r="I250" s="570" t="n">
        <v>847</v>
      </c>
      <c r="J250" s="570" t="n">
        <v>854</v>
      </c>
      <c r="K250" s="570" t="n">
        <v>873</v>
      </c>
      <c r="L250" s="570" t="n">
        <v>889</v>
      </c>
      <c r="M250" s="570" t="n">
        <v>850</v>
      </c>
      <c r="N250" s="570" t="n">
        <v>882</v>
      </c>
      <c r="O250" s="570" t="n">
        <v>864</v>
      </c>
      <c r="P250" s="570" t="n">
        <v>889</v>
      </c>
      <c r="Q250" s="570" t="n">
        <v>838</v>
      </c>
      <c r="R250" s="570" t="n">
        <v>908</v>
      </c>
      <c r="S250" s="570" t="n">
        <v>881</v>
      </c>
      <c r="T250" s="570" t="n">
        <v>880</v>
      </c>
      <c r="U250" s="570" t="n">
        <v>854</v>
      </c>
      <c r="V250" s="570" t="n">
        <v>869</v>
      </c>
      <c r="W250" s="570" t="n">
        <v>877</v>
      </c>
      <c r="X250" s="570" t="n">
        <v>923</v>
      </c>
      <c r="Y250" s="570" t="n">
        <v>913</v>
      </c>
      <c r="Z250" s="570" t="n">
        <v>889</v>
      </c>
      <c r="AA250" s="570" t="n">
        <v>782</v>
      </c>
      <c r="AB250" s="570" t="n">
        <v>788</v>
      </c>
      <c r="AC250" s="570" t="n">
        <v>809</v>
      </c>
      <c r="AD250" s="570" t="n">
        <v>825</v>
      </c>
      <c r="AE250" s="570" t="n">
        <v>834</v>
      </c>
      <c r="AF250" s="570" t="n">
        <v>823</v>
      </c>
      <c r="AG250" s="570" t="n">
        <v>806</v>
      </c>
      <c r="AH250" s="570" t="n">
        <v>813</v>
      </c>
      <c r="AI250" s="570" t="n">
        <v>822</v>
      </c>
      <c r="AJ250" s="570" t="n">
        <v>825</v>
      </c>
      <c r="AK250" s="570" t="n">
        <v>836</v>
      </c>
      <c r="AL250" s="570" t="n">
        <v>864</v>
      </c>
      <c r="AM250" s="570" t="n">
        <v>862</v>
      </c>
      <c r="AN250" s="570" t="n">
        <v>865</v>
      </c>
      <c r="AO250" s="570" t="n">
        <v>849</v>
      </c>
      <c r="AP250" s="570" t="n">
        <v>850</v>
      </c>
      <c r="AQ250" s="570" t="n">
        <v>851</v>
      </c>
      <c r="AR250" s="570" t="n">
        <v>845</v>
      </c>
      <c r="AS250" s="570" t="n">
        <v>820</v>
      </c>
      <c r="AT250" s="570" t="n">
        <v>824</v>
      </c>
      <c r="AU250" s="570" t="n">
        <v>847</v>
      </c>
      <c r="AV250" s="570" t="n">
        <v>877</v>
      </c>
      <c r="AW250" s="570" t="n">
        <v>880</v>
      </c>
      <c r="AX250" s="570" t="n">
        <v>875</v>
      </c>
      <c r="AY250" s="570" t="n">
        <v>860</v>
      </c>
      <c r="AZ250" s="570" t="n">
        <v>854</v>
      </c>
      <c r="BA250" s="570" t="n">
        <v>876</v>
      </c>
      <c r="BB250" s="570" t="n">
        <v>864</v>
      </c>
      <c r="BC250" s="570" t="n">
        <v>830</v>
      </c>
      <c r="BD250" s="570" t="n">
        <v>857</v>
      </c>
      <c r="BE250" s="570" t="n">
        <v>881</v>
      </c>
      <c r="BF250" s="570" t="n">
        <v>897</v>
      </c>
      <c r="BG250" s="570" t="n">
        <v>903</v>
      </c>
      <c r="BH250" s="570" t="n">
        <v>907</v>
      </c>
      <c r="BI250" s="570" t="n">
        <v>882</v>
      </c>
      <c r="BJ250" s="570" t="n">
        <v>911</v>
      </c>
      <c r="BK250" s="570" t="n">
        <v>943</v>
      </c>
      <c r="BL250" s="570" t="n">
        <v>903</v>
      </c>
    </row>
    <row r="251">
      <c r="A251" s="65" t="inlineStr">
        <is>
          <t>278A</t>
        </is>
      </c>
      <c r="B251" s="570">
        <f>銘柄管理!C251</f>
        <v/>
      </c>
      <c r="C251" s="570">
        <f>_xll.RssMarket("278A","高値")</f>
        <v/>
      </c>
      <c r="E251" s="570" t="n">
        <v>9420</v>
      </c>
      <c r="F251" s="570" t="n">
        <v>8450</v>
      </c>
      <c r="G251" s="570" t="n">
        <v>8570</v>
      </c>
      <c r="H251" s="570" t="n">
        <v>10120</v>
      </c>
      <c r="I251" s="570" t="n">
        <v>8750</v>
      </c>
      <c r="J251" s="570" t="n">
        <v>7950</v>
      </c>
      <c r="K251" s="570" t="n">
        <v>8820</v>
      </c>
      <c r="L251" s="570" t="n">
        <v>8880</v>
      </c>
      <c r="M251" s="570" t="n">
        <v>9710</v>
      </c>
      <c r="N251" s="570" t="n">
        <v>9150</v>
      </c>
      <c r="O251" s="570" t="n">
        <v>8800</v>
      </c>
      <c r="P251" s="570" t="n">
        <v>8600</v>
      </c>
      <c r="Q251" s="570" t="n">
        <v>8800</v>
      </c>
      <c r="R251" s="570" t="n">
        <v>9110</v>
      </c>
      <c r="S251" s="570" t="n">
        <v>10750</v>
      </c>
      <c r="T251" s="570" t="n">
        <v>10600</v>
      </c>
      <c r="U251" s="570" t="n">
        <v>9780</v>
      </c>
      <c r="V251" s="570" t="n">
        <v>11300</v>
      </c>
      <c r="W251" s="570" t="n">
        <v>11480</v>
      </c>
      <c r="X251" s="570" t="n">
        <v>11580</v>
      </c>
      <c r="Y251" s="570" t="n">
        <v>12560</v>
      </c>
      <c r="Z251" s="570" t="n">
        <v>14410</v>
      </c>
      <c r="AA251" s="570" t="n">
        <v>12900</v>
      </c>
      <c r="AB251" s="570" t="n">
        <v>12930</v>
      </c>
      <c r="AC251" s="570" t="n">
        <v>13200</v>
      </c>
      <c r="AD251" s="570" t="n">
        <v>12270</v>
      </c>
      <c r="AE251" s="570" t="n">
        <v>19610</v>
      </c>
      <c r="AF251" s="570" t="n">
        <v>16400</v>
      </c>
      <c r="AG251" s="570" t="n">
        <v>14530</v>
      </c>
      <c r="AH251" s="570" t="n">
        <v>13660</v>
      </c>
      <c r="AI251" s="570" t="n">
        <v>10770</v>
      </c>
      <c r="AJ251" s="570" t="n">
        <v>9270</v>
      </c>
      <c r="AK251" s="570" t="n">
        <v>7920</v>
      </c>
      <c r="AL251" s="570" t="n">
        <v>8050</v>
      </c>
      <c r="AM251" s="570" t="n">
        <v>8480</v>
      </c>
      <c r="AN251" s="570" t="n">
        <v>8640</v>
      </c>
      <c r="AO251" s="570" t="n">
        <v>7220</v>
      </c>
      <c r="AP251" s="570" t="n">
        <v>6790</v>
      </c>
      <c r="AQ251" s="570" t="n">
        <v>6900</v>
      </c>
      <c r="AR251" s="570" t="n">
        <v>6950</v>
      </c>
      <c r="AS251" s="570" t="n">
        <v>7000</v>
      </c>
      <c r="AT251" s="570" t="n">
        <v>6020</v>
      </c>
      <c r="AU251" s="570" t="n">
        <v>6190</v>
      </c>
      <c r="AV251" s="570" t="n">
        <v>5660</v>
      </c>
      <c r="AW251" s="570" t="n">
        <v>4965</v>
      </c>
      <c r="AX251" s="570" t="n">
        <v>4625</v>
      </c>
      <c r="AY251" s="570" t="n">
        <v>4350</v>
      </c>
      <c r="AZ251" s="570" t="n">
        <v>4690</v>
      </c>
      <c r="BA251" s="570" t="n">
        <v>4930</v>
      </c>
      <c r="BB251" s="570" t="n">
        <v>5070</v>
      </c>
      <c r="BC251" s="570" t="n">
        <v>5200</v>
      </c>
      <c r="BD251" s="570" t="n">
        <v>4495</v>
      </c>
      <c r="BE251" s="570" t="n">
        <v>3830</v>
      </c>
      <c r="BF251" s="570" t="n">
        <v>4225</v>
      </c>
      <c r="BG251" s="570" t="n">
        <v>4290</v>
      </c>
      <c r="BH251" s="570" t="n">
        <v>4340</v>
      </c>
      <c r="BI251" s="570" t="n">
        <v>4095</v>
      </c>
      <c r="BJ251" s="570" t="n">
        <v>3395</v>
      </c>
      <c r="BK251" s="570" t="n">
        <v>2938</v>
      </c>
      <c r="BL251" s="570" t="n">
        <v>3335</v>
      </c>
    </row>
    <row r="252">
      <c r="A252" s="65" t="inlineStr">
        <is>
          <t>300A</t>
        </is>
      </c>
      <c r="B252" s="570">
        <f>銘柄管理!C252</f>
        <v/>
      </c>
      <c r="C252" s="570">
        <f>_xll.RssMarket("300A","高値")</f>
        <v/>
      </c>
      <c r="E252" s="570" t="n">
        <v>2833</v>
      </c>
      <c r="F252" s="570" t="n">
        <v>2812</v>
      </c>
      <c r="G252" s="570" t="n">
        <v>2847</v>
      </c>
      <c r="H252" s="570" t="n">
        <v>2874</v>
      </c>
      <c r="I252" s="570" t="n">
        <v>2835</v>
      </c>
      <c r="J252" s="570" t="n">
        <v>2918</v>
      </c>
      <c r="K252" s="570" t="n">
        <v>2867</v>
      </c>
      <c r="L252" s="570" t="n">
        <v>2797</v>
      </c>
      <c r="M252" s="570" t="n">
        <v>2821</v>
      </c>
      <c r="N252" s="570" t="n">
        <v>2799</v>
      </c>
      <c r="O252" s="570" t="n">
        <v>2845</v>
      </c>
      <c r="P252" s="570" t="n">
        <v>2842</v>
      </c>
      <c r="Q252" s="570" t="n">
        <v>2848</v>
      </c>
      <c r="R252" s="570" t="n">
        <v>2899</v>
      </c>
      <c r="S252" s="570" t="n">
        <v>2887</v>
      </c>
      <c r="T252" s="570" t="n">
        <v>2871</v>
      </c>
      <c r="U252" s="570" t="n">
        <v>2918</v>
      </c>
      <c r="V252" s="570" t="n">
        <v>2940</v>
      </c>
      <c r="W252" s="570" t="n">
        <v>2938</v>
      </c>
      <c r="X252" s="570" t="n">
        <v>2934</v>
      </c>
      <c r="Y252" s="570" t="n">
        <v>2926</v>
      </c>
      <c r="Z252" s="570" t="n">
        <v>2930</v>
      </c>
      <c r="AA252" s="570" t="n">
        <v>3040</v>
      </c>
      <c r="AB252" s="570" t="n">
        <v>2800</v>
      </c>
      <c r="AC252" s="570" t="n">
        <v>2821</v>
      </c>
      <c r="AD252" s="570" t="n">
        <v>2815</v>
      </c>
      <c r="AE252" s="570" t="n">
        <v>2818</v>
      </c>
      <c r="AF252" s="570" t="n">
        <v>2792</v>
      </c>
      <c r="AG252" s="570" t="n">
        <v>2811</v>
      </c>
      <c r="AH252" s="570" t="n">
        <v>2795</v>
      </c>
      <c r="AI252" s="570" t="n">
        <v>2885</v>
      </c>
      <c r="AJ252" s="570" t="n">
        <v>2849</v>
      </c>
      <c r="AK252" s="570" t="n">
        <v>2851</v>
      </c>
      <c r="AL252" s="570" t="n">
        <v>2953</v>
      </c>
      <c r="AM252" s="570" t="n">
        <v>3070</v>
      </c>
      <c r="AN252" s="570" t="n">
        <v>3110</v>
      </c>
      <c r="AO252" s="570" t="n">
        <v>3085</v>
      </c>
      <c r="AP252" s="570" t="n">
        <v>3045</v>
      </c>
      <c r="AQ252" s="570" t="n">
        <v>3045</v>
      </c>
      <c r="AR252" s="570" t="n">
        <v>3055</v>
      </c>
      <c r="AS252" s="570" t="n">
        <v>2953</v>
      </c>
      <c r="AT252" s="570" t="n">
        <v>2955</v>
      </c>
      <c r="AU252" s="570" t="n">
        <v>2910</v>
      </c>
      <c r="AV252" s="570" t="n">
        <v>2980</v>
      </c>
      <c r="AW252" s="570" t="n">
        <v>2859</v>
      </c>
      <c r="AX252" s="570" t="n">
        <v>2839</v>
      </c>
      <c r="AY252" s="570" t="n">
        <v>2838</v>
      </c>
      <c r="AZ252" s="570" t="n">
        <v>2858</v>
      </c>
      <c r="BA252" s="570" t="n">
        <v>2869</v>
      </c>
      <c r="BB252" s="570" t="n">
        <v>2899</v>
      </c>
      <c r="BC252" s="570" t="n">
        <v>2879</v>
      </c>
      <c r="BD252" s="570" t="n">
        <v>2785</v>
      </c>
      <c r="BE252" s="570" t="n">
        <v>2794</v>
      </c>
      <c r="BF252" s="570" t="n">
        <v>2848</v>
      </c>
      <c r="BG252" s="570" t="n">
        <v>2828</v>
      </c>
      <c r="BH252" s="570" t="n">
        <v>2818</v>
      </c>
      <c r="BI252" s="570" t="n">
        <v>2740</v>
      </c>
      <c r="BJ252" s="570" t="n">
        <v>2751</v>
      </c>
      <c r="BK252" s="570" t="n">
        <v>2847</v>
      </c>
      <c r="BL252" s="570" t="n">
        <v>2834</v>
      </c>
    </row>
    <row r="253">
      <c r="A253" s="65" t="inlineStr">
        <is>
          <t>4776</t>
        </is>
      </c>
      <c r="B253" s="570">
        <f>銘柄管理!C253</f>
        <v/>
      </c>
      <c r="C253" s="570">
        <f>_xll.RssMarket("4776","高値")</f>
        <v/>
      </c>
      <c r="E253" s="570" t="n">
        <v>2350</v>
      </c>
      <c r="F253" s="570" t="n">
        <v>2390</v>
      </c>
      <c r="G253" s="570" t="n">
        <v>2386</v>
      </c>
      <c r="H253" s="570" t="n">
        <v>2340</v>
      </c>
      <c r="I253" s="570" t="n">
        <v>2353</v>
      </c>
      <c r="J253" s="570" t="n">
        <v>2359</v>
      </c>
      <c r="K253" s="570" t="n">
        <v>2317</v>
      </c>
      <c r="L253" s="570" t="n">
        <v>2400</v>
      </c>
      <c r="M253" s="570" t="n">
        <v>2372</v>
      </c>
      <c r="N253" s="570" t="n">
        <v>2470</v>
      </c>
      <c r="O253" s="570" t="n">
        <v>2477</v>
      </c>
      <c r="P253" s="570" t="n">
        <v>2439</v>
      </c>
      <c r="Q253" s="570" t="n">
        <v>2570</v>
      </c>
      <c r="R253" s="570" t="n">
        <v>2670</v>
      </c>
      <c r="S253" s="570" t="n">
        <v>2642</v>
      </c>
      <c r="T253" s="570" t="n">
        <v>2606</v>
      </c>
      <c r="U253" s="570" t="n">
        <v>2586</v>
      </c>
      <c r="V253" s="570" t="n">
        <v>2601</v>
      </c>
      <c r="W253" s="570" t="n">
        <v>2525</v>
      </c>
      <c r="X253" s="570" t="n">
        <v>2563</v>
      </c>
      <c r="Y253" s="570" t="n">
        <v>2502</v>
      </c>
      <c r="Z253" s="570" t="n">
        <v>2458</v>
      </c>
      <c r="AA253" s="570" t="n">
        <v>2434</v>
      </c>
      <c r="AB253" s="570" t="n">
        <v>2396</v>
      </c>
      <c r="AC253" s="570" t="n">
        <v>2163</v>
      </c>
      <c r="AD253" s="570" t="n">
        <v>2197</v>
      </c>
      <c r="AE253" s="570" t="n">
        <v>2166</v>
      </c>
      <c r="AF253" s="570" t="n">
        <v>2190</v>
      </c>
      <c r="AG253" s="570" t="n">
        <v>2199</v>
      </c>
      <c r="AH253" s="570" t="n">
        <v>2121</v>
      </c>
      <c r="AI253" s="570" t="n">
        <v>2120</v>
      </c>
      <c r="AJ253" s="570" t="n">
        <v>2106</v>
      </c>
      <c r="AK253" s="570" t="n">
        <v>2130</v>
      </c>
      <c r="AL253" s="570" t="n">
        <v>2138</v>
      </c>
      <c r="AM253" s="570" t="n">
        <v>2133</v>
      </c>
      <c r="AN253" s="570" t="n">
        <v>2144</v>
      </c>
      <c r="AO253" s="570" t="n">
        <v>2175</v>
      </c>
      <c r="AP253" s="570" t="n">
        <v>2210</v>
      </c>
      <c r="AQ253" s="570" t="n">
        <v>2268</v>
      </c>
      <c r="AR253" s="570" t="n">
        <v>2337</v>
      </c>
      <c r="AS253" s="570" t="n">
        <v>2274</v>
      </c>
      <c r="AT253" s="570" t="n">
        <v>2122</v>
      </c>
      <c r="AU253" s="570" t="n">
        <v>2072</v>
      </c>
      <c r="AV253" s="570" t="n">
        <v>1989</v>
      </c>
      <c r="AW253" s="570" t="n">
        <v>2018</v>
      </c>
      <c r="AX253" s="570" t="n">
        <v>2083</v>
      </c>
      <c r="AY253" s="570" t="n">
        <v>2121</v>
      </c>
      <c r="AZ253" s="570" t="n">
        <v>2118</v>
      </c>
      <c r="BA253" s="570" t="n">
        <v>2067</v>
      </c>
      <c r="BB253" s="570" t="n">
        <v>2087</v>
      </c>
      <c r="BC253" s="570" t="n">
        <v>2090</v>
      </c>
      <c r="BD253" s="570" t="n">
        <v>2100</v>
      </c>
      <c r="BE253" s="570" t="n">
        <v>2108</v>
      </c>
      <c r="BF253" s="570" t="n">
        <v>2062</v>
      </c>
      <c r="BG253" s="570" t="n">
        <v>2102</v>
      </c>
      <c r="BH253" s="570" t="n">
        <v>2074</v>
      </c>
      <c r="BI253" s="570" t="n">
        <v>2079</v>
      </c>
      <c r="BJ253" s="570" t="n">
        <v>2056</v>
      </c>
      <c r="BK253" s="570" t="n">
        <v>2052</v>
      </c>
      <c r="BL253" s="570" t="n">
        <v>2124</v>
      </c>
    </row>
    <row r="254">
      <c r="A254" s="65" t="inlineStr">
        <is>
          <t>4704</t>
        </is>
      </c>
      <c r="B254" s="570">
        <f>銘柄管理!C254</f>
        <v/>
      </c>
      <c r="C254" s="570">
        <f>_xll.RssMarket("4704","高値")</f>
        <v/>
      </c>
      <c r="E254" s="570" t="n">
        <v>5745</v>
      </c>
      <c r="F254" s="570" t="n">
        <v>5881</v>
      </c>
      <c r="G254" s="570" t="n">
        <v>5909</v>
      </c>
      <c r="H254" s="570" t="n">
        <v>5852</v>
      </c>
      <c r="I254" s="570" t="n">
        <v>5876</v>
      </c>
      <c r="J254" s="570" t="n">
        <v>6003</v>
      </c>
      <c r="K254" s="570" t="n">
        <v>6200</v>
      </c>
      <c r="L254" s="570" t="n">
        <v>6261</v>
      </c>
      <c r="M254" s="570" t="n">
        <v>6263</v>
      </c>
      <c r="N254" s="570" t="n">
        <v>6571</v>
      </c>
      <c r="O254" s="570" t="n">
        <v>6900</v>
      </c>
      <c r="P254" s="570" t="n">
        <v>6451</v>
      </c>
      <c r="Q254" s="570" t="n">
        <v>6375</v>
      </c>
      <c r="R254" s="570" t="n">
        <v>6575</v>
      </c>
      <c r="S254" s="570" t="n">
        <v>6232</v>
      </c>
      <c r="T254" s="570" t="n">
        <v>6085</v>
      </c>
      <c r="U254" s="570" t="n">
        <v>6166</v>
      </c>
      <c r="V254" s="570" t="n">
        <v>6371</v>
      </c>
      <c r="W254" s="570" t="n">
        <v>6235</v>
      </c>
      <c r="X254" s="570" t="n">
        <v>6007</v>
      </c>
      <c r="Y254" s="570" t="n">
        <v>6125</v>
      </c>
      <c r="Z254" s="570" t="n">
        <v>6138</v>
      </c>
      <c r="AA254" s="570" t="n">
        <v>5913</v>
      </c>
      <c r="AB254" s="570" t="n">
        <v>5681</v>
      </c>
      <c r="AC254" s="570" t="n">
        <v>5560</v>
      </c>
      <c r="AD254" s="570" t="n">
        <v>5775</v>
      </c>
      <c r="AE254" s="570" t="n">
        <v>5696</v>
      </c>
      <c r="AF254" s="570" t="n">
        <v>5746</v>
      </c>
      <c r="AG254" s="570" t="n">
        <v>5776</v>
      </c>
      <c r="AH254" s="570" t="n">
        <v>5538</v>
      </c>
      <c r="AI254" s="570" t="n">
        <v>5452</v>
      </c>
      <c r="AJ254" s="570" t="n">
        <v>5558</v>
      </c>
      <c r="AK254" s="570" t="n">
        <v>5627</v>
      </c>
      <c r="AL254" s="570" t="n">
        <v>5673</v>
      </c>
      <c r="AM254" s="570" t="n">
        <v>5700</v>
      </c>
      <c r="AN254" s="570" t="n">
        <v>5880</v>
      </c>
      <c r="AO254" s="570" t="n">
        <v>6115</v>
      </c>
      <c r="AP254" s="570" t="n">
        <v>5986</v>
      </c>
      <c r="AQ254" s="570" t="n">
        <v>6002</v>
      </c>
      <c r="AR254" s="570" t="n">
        <v>6092</v>
      </c>
      <c r="AS254" s="570" t="n">
        <v>6294</v>
      </c>
      <c r="AT254" s="570" t="n">
        <v>5591</v>
      </c>
      <c r="AU254" s="570" t="n">
        <v>5390</v>
      </c>
      <c r="AV254" s="570" t="n">
        <v>5166</v>
      </c>
      <c r="AW254" s="570" t="n">
        <v>5284</v>
      </c>
      <c r="AX254" s="570" t="n">
        <v>5471</v>
      </c>
      <c r="AY254" s="570" t="n">
        <v>5565</v>
      </c>
      <c r="AZ254" s="570" t="n">
        <v>5375</v>
      </c>
      <c r="BA254" s="570" t="n">
        <v>5352</v>
      </c>
      <c r="BB254" s="570" t="n">
        <v>5377</v>
      </c>
      <c r="BC254" s="570" t="n">
        <v>5358</v>
      </c>
      <c r="BD254" s="570" t="n">
        <v>5377</v>
      </c>
      <c r="BE254" s="570" t="n">
        <v>5336</v>
      </c>
      <c r="BF254" s="570" t="n">
        <v>5172</v>
      </c>
      <c r="BG254" s="570" t="n">
        <v>5353</v>
      </c>
      <c r="BH254" s="570" t="n">
        <v>5257</v>
      </c>
      <c r="BI254" s="570" t="n">
        <v>5325</v>
      </c>
      <c r="BJ254" s="570" t="n">
        <v>5373</v>
      </c>
      <c r="BK254" s="570" t="n">
        <v>5356</v>
      </c>
      <c r="BL254" s="570" t="n">
        <v>5363</v>
      </c>
    </row>
    <row r="255">
      <c r="A255" s="65" t="inlineStr">
        <is>
          <t>6370</t>
        </is>
      </c>
      <c r="B255" s="570">
        <f>銘柄管理!C255</f>
        <v/>
      </c>
      <c r="C255" s="570">
        <f>_xll.RssMarket("6370","高値")</f>
        <v/>
      </c>
      <c r="E255" s="570" t="n">
        <v>9642</v>
      </c>
      <c r="F255" s="570" t="n">
        <v>9919</v>
      </c>
      <c r="G255" s="570" t="n">
        <v>9650</v>
      </c>
      <c r="H255" s="570" t="n">
        <v>9450</v>
      </c>
      <c r="I255" s="570" t="n">
        <v>9213</v>
      </c>
      <c r="J255" s="570" t="n">
        <v>8766</v>
      </c>
      <c r="K255" s="570" t="n">
        <v>8559</v>
      </c>
      <c r="L255" s="570" t="n">
        <v>8146</v>
      </c>
      <c r="M255" s="570" t="n">
        <v>8351</v>
      </c>
      <c r="N255" s="570" t="n">
        <v>8387</v>
      </c>
      <c r="O255" s="570" t="n">
        <v>8870</v>
      </c>
      <c r="P255" s="570" t="n">
        <v>8866</v>
      </c>
      <c r="Q255" s="570" t="n">
        <v>8981</v>
      </c>
      <c r="R255" s="570" t="n">
        <v>8600</v>
      </c>
      <c r="S255" s="570" t="n">
        <v>8892</v>
      </c>
      <c r="T255" s="570" t="n">
        <v>8789</v>
      </c>
      <c r="U255" s="570" t="n">
        <v>9227</v>
      </c>
      <c r="V255" s="570" t="n">
        <v>8972</v>
      </c>
      <c r="W255" s="570" t="n">
        <v>8792</v>
      </c>
      <c r="X255" s="570" t="n">
        <v>8647</v>
      </c>
      <c r="Y255" s="570" t="n">
        <v>8705</v>
      </c>
      <c r="Z255" s="570" t="n">
        <v>8961</v>
      </c>
      <c r="AA255" s="570" t="n">
        <v>9024</v>
      </c>
      <c r="AB255" s="570" t="n">
        <v>9508</v>
      </c>
      <c r="AC255" s="570" t="n">
        <v>9318</v>
      </c>
      <c r="AD255" s="570" t="n">
        <v>9000</v>
      </c>
      <c r="AE255" s="570" t="n">
        <v>9257</v>
      </c>
      <c r="AF255" s="570" t="n">
        <v>9063</v>
      </c>
      <c r="AG255" s="570" t="n">
        <v>8648</v>
      </c>
      <c r="AH255" s="570" t="n">
        <v>8410</v>
      </c>
      <c r="AI255" s="570" t="n">
        <v>8333</v>
      </c>
      <c r="AJ255" s="570" t="n">
        <v>8573</v>
      </c>
      <c r="AK255" s="570" t="n">
        <v>8514</v>
      </c>
      <c r="AL255" s="570" t="n">
        <v>8303</v>
      </c>
      <c r="AM255" s="570" t="n">
        <v>7954</v>
      </c>
      <c r="AN255" s="570" t="n">
        <v>7976</v>
      </c>
      <c r="AO255" s="570" t="n">
        <v>8064</v>
      </c>
      <c r="AP255" s="570" t="n">
        <v>8200</v>
      </c>
      <c r="AQ255" s="570" t="n">
        <v>8224</v>
      </c>
      <c r="AR255" s="570" t="n">
        <v>8120</v>
      </c>
      <c r="AS255" s="570" t="n">
        <v>8002</v>
      </c>
      <c r="AT255" s="570" t="n">
        <v>8080</v>
      </c>
      <c r="AU255" s="570" t="n">
        <v>8214</v>
      </c>
      <c r="AV255" s="570" t="n">
        <v>8144</v>
      </c>
      <c r="AW255" s="570" t="n">
        <v>8163</v>
      </c>
      <c r="AX255" s="570" t="n">
        <v>8240</v>
      </c>
      <c r="AY255" s="570" t="n">
        <v>8150</v>
      </c>
      <c r="AZ255" s="570" t="n">
        <v>7811</v>
      </c>
      <c r="BA255" s="570" t="n">
        <v>7808</v>
      </c>
      <c r="BB255" s="570" t="n">
        <v>7713</v>
      </c>
      <c r="BC255" s="570" t="n">
        <v>7932</v>
      </c>
      <c r="BD255" s="570" t="n">
        <v>7759</v>
      </c>
      <c r="BE255" s="570" t="n">
        <v>7440</v>
      </c>
      <c r="BF255" s="570" t="n">
        <v>7359</v>
      </c>
      <c r="BG255" s="570" t="n">
        <v>7734</v>
      </c>
      <c r="BH255" s="570" t="n">
        <v>7832</v>
      </c>
      <c r="BI255" s="570" t="n">
        <v>7734</v>
      </c>
      <c r="BJ255" s="570" t="n">
        <v>7544</v>
      </c>
      <c r="BK255" s="570" t="n">
        <v>7294</v>
      </c>
      <c r="BL255" s="570" t="n">
        <v>7740</v>
      </c>
    </row>
    <row r="256">
      <c r="A256" s="65" t="inlineStr">
        <is>
          <t>7014</t>
        </is>
      </c>
      <c r="B256" s="570">
        <f>銘柄管理!C256</f>
        <v/>
      </c>
      <c r="C256" s="570">
        <f>_xll.RssMarket("7014","高値")</f>
        <v/>
      </c>
      <c r="E256" s="570" t="n">
        <v>3865</v>
      </c>
      <c r="F256" s="570" t="n">
        <v>3890</v>
      </c>
      <c r="G256" s="570" t="n">
        <v>4015</v>
      </c>
      <c r="H256" s="570" t="n">
        <v>3965</v>
      </c>
      <c r="I256" s="570" t="n">
        <v>3865</v>
      </c>
      <c r="J256" s="570" t="n">
        <v>3850</v>
      </c>
      <c r="K256" s="570" t="n">
        <v>3625</v>
      </c>
      <c r="L256" s="570" t="n">
        <v>3510</v>
      </c>
      <c r="M256" s="570" t="n">
        <v>3550</v>
      </c>
      <c r="N256" s="570" t="n">
        <v>3655</v>
      </c>
      <c r="O256" s="570" t="n">
        <v>3735</v>
      </c>
      <c r="P256" s="570" t="n">
        <v>3545</v>
      </c>
      <c r="Q256" s="570" t="n">
        <v>3645</v>
      </c>
      <c r="R256" s="570" t="n">
        <v>3490</v>
      </c>
      <c r="S256" s="570" t="n">
        <v>3800</v>
      </c>
      <c r="T256" s="570" t="n">
        <v>4110</v>
      </c>
      <c r="U256" s="570" t="n">
        <v>4295</v>
      </c>
      <c r="V256" s="570" t="n">
        <v>4080</v>
      </c>
      <c r="W256" s="570" t="n">
        <v>3895</v>
      </c>
      <c r="X256" s="570" t="n">
        <v>8647</v>
      </c>
      <c r="Y256" s="570" t="n">
        <v>8705</v>
      </c>
      <c r="Z256" s="570" t="n">
        <v>8961</v>
      </c>
      <c r="AA256" s="570" t="n">
        <v>9024</v>
      </c>
      <c r="AB256" s="570" t="n">
        <v>9508</v>
      </c>
      <c r="AC256" s="570" t="n">
        <v>9318</v>
      </c>
      <c r="AD256" s="570" t="n">
        <v>9000</v>
      </c>
      <c r="AE256" s="570" t="n">
        <v>9257</v>
      </c>
      <c r="AF256" s="570" t="n">
        <v>9063</v>
      </c>
      <c r="AG256" s="570" t="n">
        <v>8648</v>
      </c>
      <c r="AH256" s="570" t="n">
        <v>8410</v>
      </c>
      <c r="AI256" s="570" t="n">
        <v>8333</v>
      </c>
      <c r="AJ256" s="570" t="n">
        <v>8573</v>
      </c>
      <c r="AK256" s="570" t="n">
        <v>8514</v>
      </c>
      <c r="AL256" s="570" t="n">
        <v>8303</v>
      </c>
      <c r="AM256" s="570" t="n">
        <v>7954</v>
      </c>
      <c r="AN256" s="570" t="n">
        <v>7976</v>
      </c>
      <c r="AO256" s="570" t="n">
        <v>8064</v>
      </c>
      <c r="AP256" s="570" t="n">
        <v>8200</v>
      </c>
      <c r="AQ256" s="570" t="n">
        <v>8224</v>
      </c>
      <c r="AR256" s="570" t="n">
        <v>8120</v>
      </c>
      <c r="AS256" s="570" t="n">
        <v>8002</v>
      </c>
      <c r="AT256" s="570" t="n">
        <v>8080</v>
      </c>
      <c r="AU256" s="570" t="n">
        <v>8214</v>
      </c>
      <c r="AV256" s="570" t="n">
        <v>8144</v>
      </c>
      <c r="AW256" s="570" t="n">
        <v>8163</v>
      </c>
      <c r="AX256" s="570" t="n">
        <v>8240</v>
      </c>
      <c r="AY256" s="570" t="n">
        <v>8150</v>
      </c>
      <c r="AZ256" s="570" t="n">
        <v>7811</v>
      </c>
      <c r="BA256" s="570" t="n">
        <v>7808</v>
      </c>
      <c r="BB256" s="570" t="n">
        <v>7713</v>
      </c>
      <c r="BC256" s="570" t="n">
        <v>7932</v>
      </c>
      <c r="BD256" s="570" t="n">
        <v>7759</v>
      </c>
      <c r="BE256" s="570" t="n">
        <v>7440</v>
      </c>
      <c r="BF256" s="570" t="n">
        <v>7359</v>
      </c>
      <c r="BG256" s="570" t="n">
        <v>7734</v>
      </c>
      <c r="BH256" s="570" t="n">
        <v>7832</v>
      </c>
      <c r="BI256" s="570" t="n">
        <v>7734</v>
      </c>
      <c r="BJ256" s="570" t="n">
        <v>7544</v>
      </c>
      <c r="BK256" s="570" t="n">
        <v>7294</v>
      </c>
      <c r="BL256" s="570" t="n">
        <v>7740</v>
      </c>
    </row>
    <row r="257">
      <c r="A257" s="65" t="inlineStr">
        <is>
          <t>9880</t>
        </is>
      </c>
      <c r="B257" s="570">
        <f>銘柄管理!C257</f>
        <v/>
      </c>
      <c r="C257" s="570">
        <f>_xll.RssMarket("9880","高値")</f>
        <v/>
      </c>
      <c r="E257" s="570" t="n">
        <v>4625</v>
      </c>
      <c r="F257" s="570" t="n">
        <v>4370</v>
      </c>
      <c r="G257" s="570" t="n">
        <v>4385</v>
      </c>
      <c r="H257" s="570" t="n">
        <v>4195</v>
      </c>
      <c r="I257" s="570" t="n">
        <v>4135</v>
      </c>
      <c r="J257" s="570" t="n">
        <v>4210</v>
      </c>
      <c r="K257" s="570" t="n">
        <v>4195</v>
      </c>
      <c r="L257" s="570" t="n">
        <v>4095</v>
      </c>
      <c r="M257" s="570" t="n">
        <v>4235</v>
      </c>
      <c r="N257" s="570" t="n">
        <v>4260</v>
      </c>
      <c r="O257" s="570" t="n">
        <v>4545</v>
      </c>
      <c r="P257" s="570" t="n">
        <v>4600</v>
      </c>
      <c r="Q257" s="570" t="n">
        <v>4495</v>
      </c>
      <c r="R257" s="570" t="n">
        <v>4365</v>
      </c>
      <c r="S257" s="570" t="n">
        <v>4360</v>
      </c>
      <c r="T257" s="570" t="n">
        <v>4340</v>
      </c>
      <c r="U257" s="570" t="n">
        <v>4680</v>
      </c>
      <c r="V257" s="570" t="n">
        <v>4670</v>
      </c>
      <c r="W257" s="570" t="n">
        <v>4490</v>
      </c>
      <c r="X257" s="570" t="n">
        <v>4465</v>
      </c>
      <c r="Y257" s="570" t="n">
        <v>4250</v>
      </c>
      <c r="Z257" s="570" t="n">
        <v>4760</v>
      </c>
      <c r="AA257" s="570" t="n">
        <v>4540</v>
      </c>
      <c r="AB257" s="570" t="n">
        <v>4045</v>
      </c>
      <c r="AC257" s="570" t="n">
        <v>3460</v>
      </c>
      <c r="AD257" s="570" t="n">
        <v>3315</v>
      </c>
      <c r="AE257" s="570" t="n">
        <v>3445</v>
      </c>
      <c r="AF257" s="570" t="n">
        <v>3445</v>
      </c>
      <c r="AG257" s="570" t="n">
        <v>3220</v>
      </c>
      <c r="AH257" s="570" t="n">
        <v>3325</v>
      </c>
      <c r="AI257" s="570" t="n">
        <v>2850</v>
      </c>
      <c r="AJ257" s="570" t="n">
        <v>2879</v>
      </c>
      <c r="AK257" s="570" t="n">
        <v>2814</v>
      </c>
      <c r="AL257" s="570" t="n">
        <v>2805</v>
      </c>
      <c r="AM257" s="570" t="n">
        <v>2756</v>
      </c>
      <c r="AN257" s="570" t="n">
        <v>2728</v>
      </c>
      <c r="AO257" s="570" t="n">
        <v>2758</v>
      </c>
      <c r="AP257" s="570" t="n">
        <v>2803</v>
      </c>
      <c r="AQ257" s="570" t="n">
        <v>2826</v>
      </c>
      <c r="AR257" s="570" t="n">
        <v>2899</v>
      </c>
      <c r="AS257" s="570" t="n">
        <v>2939</v>
      </c>
      <c r="AT257" s="570" t="n">
        <v>2910</v>
      </c>
      <c r="AU257" s="570" t="n">
        <v>2711</v>
      </c>
      <c r="AV257" s="570" t="n">
        <v>2631</v>
      </c>
      <c r="AW257" s="570" t="n">
        <v>2613</v>
      </c>
      <c r="AX257" s="570" t="n">
        <v>2604</v>
      </c>
      <c r="AY257" s="570" t="n">
        <v>2624</v>
      </c>
      <c r="AZ257" s="570" t="n">
        <v>2516</v>
      </c>
      <c r="BA257" s="570" t="n">
        <v>2523</v>
      </c>
      <c r="BB257" s="570" t="n">
        <v>2497</v>
      </c>
      <c r="BC257" s="570" t="n">
        <v>2533</v>
      </c>
      <c r="BD257" s="570" t="n">
        <v>2496</v>
      </c>
      <c r="BE257" s="570" t="n">
        <v>2439</v>
      </c>
      <c r="BF257" s="570" t="n">
        <v>2409</v>
      </c>
      <c r="BG257" s="570" t="n">
        <v>2579</v>
      </c>
      <c r="BH257" s="570" t="n">
        <v>2780</v>
      </c>
      <c r="BI257" s="570" t="n">
        <v>2570</v>
      </c>
      <c r="BJ257" s="570" t="n">
        <v>2535</v>
      </c>
      <c r="BK257" s="570" t="n">
        <v>2425</v>
      </c>
      <c r="BL257" s="570" t="n">
        <v>2588</v>
      </c>
    </row>
    <row r="258">
      <c r="A258" s="65" t="inlineStr">
        <is>
          <t>5253</t>
        </is>
      </c>
      <c r="B258" s="570">
        <f>銘柄管理!C258</f>
        <v/>
      </c>
      <c r="C258" s="570">
        <f>_xll.RssMarket("5253","高値")</f>
        <v/>
      </c>
      <c r="E258" s="570" t="n">
        <v>1314</v>
      </c>
      <c r="F258" s="570" t="n">
        <v>1380</v>
      </c>
      <c r="G258" s="570" t="n">
        <v>1470</v>
      </c>
      <c r="H258" s="570" t="n">
        <v>1458</v>
      </c>
      <c r="I258" s="570" t="n">
        <v>1443</v>
      </c>
      <c r="J258" s="570" t="n">
        <v>1460</v>
      </c>
      <c r="K258" s="570" t="n">
        <v>1522</v>
      </c>
      <c r="L258" s="570" t="n">
        <v>1538</v>
      </c>
      <c r="M258" s="570" t="n">
        <v>1620</v>
      </c>
      <c r="N258" s="570" t="n">
        <v>1642</v>
      </c>
      <c r="O258" s="570" t="n">
        <v>1685</v>
      </c>
      <c r="P258" s="570" t="n">
        <v>1669</v>
      </c>
      <c r="Q258" s="570" t="n">
        <v>1657</v>
      </c>
      <c r="R258" s="570" t="n">
        <v>1639</v>
      </c>
      <c r="S258" s="570" t="n">
        <v>1647</v>
      </c>
      <c r="T258" s="570" t="n">
        <v>1596</v>
      </c>
      <c r="U258" s="570" t="n">
        <v>1621</v>
      </c>
      <c r="V258" s="570" t="n">
        <v>1764</v>
      </c>
      <c r="W258" s="570" t="n">
        <v>1832</v>
      </c>
      <c r="X258" s="570" t="n">
        <v>1765</v>
      </c>
      <c r="Y258" s="570" t="n">
        <v>1700</v>
      </c>
      <c r="Z258" s="570" t="n">
        <v>1708</v>
      </c>
      <c r="AA258" s="570" t="n">
        <v>1585</v>
      </c>
      <c r="AB258" s="570" t="n">
        <v>1529</v>
      </c>
      <c r="AC258" s="570" t="n">
        <v>1447</v>
      </c>
      <c r="AD258" s="570" t="n">
        <v>1452</v>
      </c>
      <c r="AE258" s="570" t="n">
        <v>1417</v>
      </c>
      <c r="AF258" s="570" t="n">
        <v>1453</v>
      </c>
      <c r="AG258" s="570" t="n">
        <v>1450</v>
      </c>
      <c r="AH258" s="570" t="n">
        <v>1428</v>
      </c>
      <c r="AI258" s="570" t="n">
        <v>1436</v>
      </c>
      <c r="AJ258" s="570" t="n">
        <v>1385</v>
      </c>
      <c r="AK258" s="570" t="n">
        <v>1394</v>
      </c>
      <c r="AL258" s="570" t="n">
        <v>1373</v>
      </c>
      <c r="AM258" s="570" t="n">
        <v>1408</v>
      </c>
      <c r="AN258" s="570" t="n">
        <v>1430</v>
      </c>
      <c r="AO258" s="570" t="n">
        <v>1452</v>
      </c>
      <c r="AP258" s="570" t="n">
        <v>1458</v>
      </c>
      <c r="AQ258" s="570" t="n">
        <v>1475</v>
      </c>
      <c r="AR258" s="570" t="n">
        <v>1474</v>
      </c>
      <c r="AS258" s="570" t="n">
        <v>1504</v>
      </c>
      <c r="AT258" s="570" t="n">
        <v>1482</v>
      </c>
      <c r="AU258" s="570" t="n">
        <v>1449</v>
      </c>
      <c r="AV258" s="570" t="n">
        <v>1432</v>
      </c>
      <c r="AW258" s="570" t="n">
        <v>1473</v>
      </c>
      <c r="AX258" s="570" t="n">
        <v>1482</v>
      </c>
      <c r="AY258" s="570" t="n">
        <v>1542</v>
      </c>
      <c r="AZ258" s="570" t="n">
        <v>1440</v>
      </c>
      <c r="BA258" s="570" t="n">
        <v>1404</v>
      </c>
      <c r="BB258" s="570" t="n">
        <v>1403</v>
      </c>
      <c r="BC258" s="570" t="n">
        <v>1410</v>
      </c>
      <c r="BD258" s="570" t="n">
        <v>1394</v>
      </c>
      <c r="BE258" s="570" t="n">
        <v>1388</v>
      </c>
      <c r="BF258" s="570" t="n">
        <v>1349</v>
      </c>
      <c r="BG258" s="570" t="n">
        <v>1428</v>
      </c>
      <c r="BH258" s="570" t="n">
        <v>1466</v>
      </c>
      <c r="BI258" s="570" t="n">
        <v>1477</v>
      </c>
      <c r="BJ258" s="570" t="n">
        <v>1450</v>
      </c>
      <c r="BK258" s="570" t="n">
        <v>1532</v>
      </c>
      <c r="BL258" s="570" t="n">
        <v>1642</v>
      </c>
    </row>
    <row r="259">
      <c r="A259" s="65" t="inlineStr">
        <is>
          <t>9104</t>
        </is>
      </c>
      <c r="B259" s="570">
        <f>銘柄管理!C259</f>
        <v/>
      </c>
      <c r="C259" s="570">
        <f>_xll.RssMarket("9104","高値")</f>
        <v/>
      </c>
      <c r="E259" s="570" t="n">
        <v>5333</v>
      </c>
      <c r="F259" s="570" t="n">
        <v>5345</v>
      </c>
      <c r="G259" s="570" t="n">
        <v>5420</v>
      </c>
      <c r="H259" s="570" t="n">
        <v>5532</v>
      </c>
      <c r="I259" s="570" t="n">
        <v>5750</v>
      </c>
      <c r="J259" s="570" t="n">
        <v>5811</v>
      </c>
      <c r="K259" s="570" t="n">
        <v>5785</v>
      </c>
      <c r="L259" s="570" t="n">
        <v>5815</v>
      </c>
      <c r="M259" s="570" t="n">
        <v>5878</v>
      </c>
      <c r="N259" s="570" t="n">
        <v>5849</v>
      </c>
      <c r="O259" s="570" t="n">
        <v>5856</v>
      </c>
      <c r="P259" s="570" t="n">
        <v>5608</v>
      </c>
      <c r="Q259" s="570" t="n">
        <v>5485</v>
      </c>
      <c r="R259" s="570" t="n">
        <v>5509</v>
      </c>
      <c r="S259" s="570" t="n">
        <v>5532</v>
      </c>
      <c r="T259" s="570" t="n">
        <v>5508</v>
      </c>
      <c r="U259" s="570" t="n">
        <v>5581</v>
      </c>
      <c r="V259" s="570" t="n">
        <v>5693</v>
      </c>
      <c r="W259" s="570" t="n">
        <v>5705</v>
      </c>
      <c r="X259" s="570" t="n">
        <v>5828</v>
      </c>
      <c r="Y259" s="570" t="n">
        <v>5810</v>
      </c>
      <c r="Z259" s="570" t="n">
        <v>5888</v>
      </c>
      <c r="AA259" s="570" t="n">
        <v>5942</v>
      </c>
      <c r="AB259" s="570" t="n">
        <v>5925</v>
      </c>
      <c r="AC259" s="570" t="n">
        <v>5901</v>
      </c>
      <c r="AD259" s="570" t="n">
        <v>5989</v>
      </c>
      <c r="AE259" s="570" t="n">
        <v>5971</v>
      </c>
      <c r="AF259" s="570" t="n">
        <v>5898</v>
      </c>
      <c r="AG259" s="570" t="n">
        <v>5810</v>
      </c>
      <c r="AH259" s="570" t="n">
        <v>5980</v>
      </c>
      <c r="AI259" s="570" t="n">
        <v>5992</v>
      </c>
      <c r="AJ259" s="570" t="n">
        <v>6127</v>
      </c>
      <c r="AK259" s="570" t="n">
        <v>6039</v>
      </c>
      <c r="AL259" s="570" t="n">
        <v>5950</v>
      </c>
      <c r="AM259" s="570" t="n">
        <v>6187</v>
      </c>
      <c r="AN259" s="570" t="n">
        <v>6155</v>
      </c>
      <c r="AO259" s="570" t="n">
        <v>6156</v>
      </c>
      <c r="AP259" s="570" t="n">
        <v>6140</v>
      </c>
      <c r="AQ259" s="570" t="n">
        <v>6284</v>
      </c>
      <c r="AR259" s="570" t="n">
        <v>6419</v>
      </c>
      <c r="AS259" s="570" t="n">
        <v>6433</v>
      </c>
      <c r="AT259" s="570" t="n">
        <v>6448</v>
      </c>
      <c r="AU259" s="570" t="n">
        <v>6475</v>
      </c>
      <c r="AV259" s="570" t="n">
        <v>6596</v>
      </c>
      <c r="AW259" s="570" t="n">
        <v>6604</v>
      </c>
      <c r="AX259" s="570" t="n">
        <v>6716</v>
      </c>
      <c r="AY259" s="570" t="n">
        <v>6912</v>
      </c>
      <c r="AZ259" s="570" t="n">
        <v>6952</v>
      </c>
      <c r="BA259" s="570" t="n">
        <v>6948</v>
      </c>
      <c r="BB259" s="570" t="n">
        <v>6808</v>
      </c>
      <c r="BC259" s="570" t="n">
        <v>6842</v>
      </c>
      <c r="BD259" s="570" t="n">
        <v>6518</v>
      </c>
      <c r="BE259" s="570" t="n">
        <v>6799</v>
      </c>
      <c r="BF259" s="570" t="n">
        <v>6810</v>
      </c>
      <c r="BG259" s="570" t="n">
        <v>7053</v>
      </c>
      <c r="BH259" s="570" t="n">
        <v>6904</v>
      </c>
      <c r="BI259" s="570" t="n">
        <v>6597</v>
      </c>
      <c r="BJ259" s="570" t="n">
        <v>6511</v>
      </c>
      <c r="BK259" s="570" t="n">
        <v>6836</v>
      </c>
      <c r="BL259" s="570" t="n">
        <v>7325</v>
      </c>
    </row>
    <row r="260">
      <c r="A260" s="65" t="inlineStr">
        <is>
          <t>6366</t>
        </is>
      </c>
      <c r="B260" s="570">
        <f>銘柄管理!C260</f>
        <v/>
      </c>
      <c r="C260" s="570">
        <f>_xll.RssMarket("6366","高値")</f>
        <v/>
      </c>
      <c r="E260" s="570" t="n">
        <v>747</v>
      </c>
      <c r="F260" s="570" t="n">
        <v>795</v>
      </c>
      <c r="G260" s="570" t="n">
        <v>818</v>
      </c>
      <c r="H260" s="570" t="n">
        <v>821</v>
      </c>
      <c r="I260" s="570" t="n">
        <v>770</v>
      </c>
      <c r="J260" s="570" t="n">
        <v>837</v>
      </c>
      <c r="K260" s="570" t="n">
        <v>730</v>
      </c>
      <c r="L260" s="570" t="n">
        <v>669</v>
      </c>
      <c r="M260" s="570" t="n">
        <v>699</v>
      </c>
      <c r="N260" s="570" t="n">
        <v>718</v>
      </c>
      <c r="O260" s="570" t="n">
        <v>743</v>
      </c>
      <c r="P260" s="570" t="n">
        <v>731</v>
      </c>
      <c r="Q260" s="570" t="n">
        <v>733</v>
      </c>
      <c r="R260" s="570" t="n">
        <v>726</v>
      </c>
      <c r="S260" s="570" t="n">
        <v>770</v>
      </c>
      <c r="T260" s="570" t="n">
        <v>776</v>
      </c>
      <c r="U260" s="570" t="n">
        <v>835</v>
      </c>
      <c r="V260" s="570" t="n">
        <v>868</v>
      </c>
      <c r="W260" s="570" t="n">
        <v>750</v>
      </c>
      <c r="X260" s="570" t="n">
        <v>740</v>
      </c>
      <c r="Y260" s="570" t="n">
        <v>757</v>
      </c>
      <c r="Z260" s="570" t="n">
        <v>785</v>
      </c>
      <c r="AA260" s="570" t="n">
        <v>817</v>
      </c>
      <c r="AB260" s="570" t="n">
        <v>842</v>
      </c>
      <c r="AC260" s="570" t="n">
        <v>856</v>
      </c>
      <c r="AD260" s="570" t="n">
        <v>859</v>
      </c>
      <c r="AE260" s="570" t="n">
        <v>833</v>
      </c>
      <c r="AF260" s="570" t="n">
        <v>994</v>
      </c>
      <c r="AG260" s="570" t="n">
        <v>1008</v>
      </c>
      <c r="AH260" s="570" t="n">
        <v>1059</v>
      </c>
      <c r="AI260" s="570" t="n">
        <v>1025</v>
      </c>
      <c r="AJ260" s="570" t="n">
        <v>1071</v>
      </c>
      <c r="AK260" s="570" t="n">
        <v>1074</v>
      </c>
      <c r="AL260" s="570" t="n">
        <v>1060</v>
      </c>
      <c r="AM260" s="570" t="n">
        <v>1074</v>
      </c>
      <c r="AN260" s="570" t="n">
        <v>1083</v>
      </c>
      <c r="AO260" s="570" t="n">
        <v>1072</v>
      </c>
      <c r="AP260" s="570" t="n">
        <v>1116</v>
      </c>
      <c r="AQ260" s="570" t="n">
        <v>1173</v>
      </c>
      <c r="AR260" s="570" t="n">
        <v>1226</v>
      </c>
      <c r="AS260" s="570" t="n">
        <v>1190</v>
      </c>
      <c r="AT260" s="570" t="n">
        <v>1193</v>
      </c>
      <c r="AU260" s="570" t="n">
        <v>1178</v>
      </c>
      <c r="AV260" s="570" t="n">
        <v>1163</v>
      </c>
      <c r="AW260" s="570" t="n">
        <v>1213</v>
      </c>
      <c r="AX260" s="570" t="n">
        <v>1239</v>
      </c>
      <c r="AY260" s="570" t="n">
        <v>1116</v>
      </c>
      <c r="AZ260" s="570" t="n">
        <v>1007</v>
      </c>
      <c r="BA260" s="570" t="n">
        <v>1004</v>
      </c>
      <c r="BB260" s="570" t="n">
        <v>1010</v>
      </c>
      <c r="BC260" s="570" t="n">
        <v>1043</v>
      </c>
      <c r="BD260" s="570" t="n">
        <v>993</v>
      </c>
      <c r="BE260" s="570" t="n">
        <v>916</v>
      </c>
      <c r="BF260" s="570" t="n">
        <v>919</v>
      </c>
      <c r="BG260" s="570" t="n">
        <v>930</v>
      </c>
      <c r="BH260" s="570" t="n">
        <v>1025</v>
      </c>
      <c r="BI260" s="570" t="n">
        <v>1128</v>
      </c>
      <c r="BJ260" s="570" t="n">
        <v>1071</v>
      </c>
      <c r="BK260" s="570" t="n">
        <v>1065</v>
      </c>
      <c r="BL260" s="570" t="n">
        <v>1235</v>
      </c>
    </row>
    <row r="261">
      <c r="A261" s="65" t="inlineStr">
        <is>
          <t>6140</t>
        </is>
      </c>
      <c r="B261" s="570">
        <f>銘柄管理!C261</f>
        <v/>
      </c>
      <c r="C261" s="570">
        <f>_xll.RssMarket("6140","高値")</f>
        <v/>
      </c>
      <c r="E261" s="570" t="n">
        <v>1345</v>
      </c>
      <c r="F261" s="570" t="n">
        <v>1359</v>
      </c>
      <c r="G261" s="570" t="n">
        <v>1337</v>
      </c>
      <c r="H261" s="570" t="n">
        <v>1348</v>
      </c>
      <c r="I261" s="570" t="n">
        <v>1329</v>
      </c>
      <c r="J261" s="570" t="n">
        <v>1319</v>
      </c>
      <c r="K261" s="570" t="n">
        <v>1263</v>
      </c>
      <c r="L261" s="570" t="n">
        <v>1221</v>
      </c>
      <c r="M261" s="570" t="n">
        <v>1260</v>
      </c>
      <c r="N261" s="570" t="n">
        <v>1315</v>
      </c>
      <c r="O261" s="570" t="n">
        <v>1353</v>
      </c>
      <c r="P261" s="570" t="n">
        <v>1329</v>
      </c>
      <c r="Q261" s="570" t="n">
        <v>1346</v>
      </c>
      <c r="R261" s="570" t="n">
        <v>1358</v>
      </c>
      <c r="S261" s="570" t="n">
        <v>1385</v>
      </c>
      <c r="T261" s="570" t="n">
        <v>1368</v>
      </c>
      <c r="U261" s="570" t="n">
        <v>1439</v>
      </c>
      <c r="V261" s="570" t="n">
        <v>1399</v>
      </c>
      <c r="W261" s="570" t="n">
        <v>1380</v>
      </c>
      <c r="X261" s="570" t="n">
        <v>1320</v>
      </c>
      <c r="Y261" s="570" t="n">
        <v>1295</v>
      </c>
      <c r="Z261" s="570" t="n">
        <v>1316</v>
      </c>
      <c r="AA261" s="570" t="n">
        <v>1318</v>
      </c>
      <c r="AB261" s="570" t="n">
        <v>1387</v>
      </c>
      <c r="AC261" s="570" t="n">
        <v>1417</v>
      </c>
      <c r="AD261" s="570" t="n">
        <v>1397</v>
      </c>
      <c r="AE261" s="570" t="n">
        <v>1372</v>
      </c>
      <c r="AF261" s="570" t="n">
        <v>1348</v>
      </c>
      <c r="AG261" s="570" t="n">
        <v>1336</v>
      </c>
      <c r="AH261" s="570" t="n">
        <v>1327</v>
      </c>
      <c r="AI261" s="570" t="n">
        <v>1301</v>
      </c>
      <c r="AJ261" s="570" t="n">
        <v>1305</v>
      </c>
      <c r="AK261" s="570" t="n">
        <v>1319</v>
      </c>
      <c r="AL261" s="570" t="n">
        <v>1324</v>
      </c>
      <c r="AM261" s="570" t="n">
        <v>1352</v>
      </c>
      <c r="AN261" s="570" t="n">
        <v>1331</v>
      </c>
      <c r="AO261" s="570" t="n">
        <v>1325</v>
      </c>
      <c r="AP261" s="570" t="n">
        <v>1363</v>
      </c>
      <c r="AQ261" s="570" t="n">
        <v>1430</v>
      </c>
      <c r="AR261" s="570" t="n">
        <v>1339</v>
      </c>
      <c r="AS261" s="570" t="n">
        <v>1192</v>
      </c>
      <c r="AT261" s="570" t="n">
        <v>1202</v>
      </c>
      <c r="AU261" s="570" t="n">
        <v>1186</v>
      </c>
      <c r="AV261" s="570" t="n">
        <v>1181</v>
      </c>
      <c r="AW261" s="570" t="n">
        <v>1194</v>
      </c>
      <c r="AX261" s="570" t="n">
        <v>1200</v>
      </c>
      <c r="AY261" s="570" t="n">
        <v>1210</v>
      </c>
      <c r="AZ261" s="570" t="n">
        <v>1187</v>
      </c>
      <c r="BA261" s="570" t="n">
        <v>1208</v>
      </c>
      <c r="BB261" s="570" t="n">
        <v>1248</v>
      </c>
      <c r="BC261" s="570" t="n">
        <v>1276</v>
      </c>
      <c r="BD261" s="570" t="n">
        <v>1247</v>
      </c>
      <c r="BE261" s="570" t="n">
        <v>1221</v>
      </c>
      <c r="BF261" s="570" t="n">
        <v>1240</v>
      </c>
      <c r="BG261" s="570" t="n">
        <v>1309</v>
      </c>
      <c r="BH261" s="570" t="n">
        <v>1288</v>
      </c>
      <c r="BI261" s="570" t="n">
        <v>1286</v>
      </c>
      <c r="BJ261" s="570" t="n">
        <v>1295</v>
      </c>
      <c r="BK261" s="570" t="n">
        <v>1287</v>
      </c>
      <c r="BL261" s="570" t="n">
        <v>1389</v>
      </c>
    </row>
    <row r="262">
      <c r="A262" s="65" t="inlineStr">
        <is>
          <t>1514</t>
        </is>
      </c>
      <c r="B262" s="570">
        <f>銘柄管理!C262</f>
        <v/>
      </c>
      <c r="C262" s="570">
        <f>_xll.RssMarket("1514","高値")</f>
        <v/>
      </c>
      <c r="E262" s="570" t="n">
        <v>559</v>
      </c>
      <c r="F262" s="570" t="n">
        <v>534</v>
      </c>
      <c r="G262" s="570" t="n">
        <v>561</v>
      </c>
      <c r="H262" s="570" t="n">
        <v>566</v>
      </c>
      <c r="I262" s="570" t="n">
        <v>555</v>
      </c>
      <c r="J262" s="570" t="n">
        <v>557</v>
      </c>
      <c r="K262" s="570" t="n">
        <v>560</v>
      </c>
      <c r="L262" s="570" t="n">
        <v>555</v>
      </c>
      <c r="M262" s="570" t="n">
        <v>561</v>
      </c>
      <c r="N262" s="570" t="n">
        <v>583</v>
      </c>
      <c r="O262" s="570" t="n">
        <v>588</v>
      </c>
      <c r="P262" s="570" t="n">
        <v>569</v>
      </c>
      <c r="Q262" s="570" t="n">
        <v>571</v>
      </c>
      <c r="R262" s="570" t="n">
        <v>595</v>
      </c>
      <c r="S262" s="570" t="n">
        <v>615</v>
      </c>
      <c r="T262" s="570" t="n">
        <v>629</v>
      </c>
      <c r="U262" s="570" t="n">
        <v>606</v>
      </c>
      <c r="V262" s="570" t="n">
        <v>612</v>
      </c>
      <c r="W262" s="570" t="n">
        <v>605</v>
      </c>
      <c r="X262" s="570" t="n">
        <v>617</v>
      </c>
      <c r="Y262" s="570" t="n">
        <v>634</v>
      </c>
      <c r="Z262" s="570" t="n">
        <v>681</v>
      </c>
      <c r="AA262" s="570" t="n">
        <v>725</v>
      </c>
      <c r="AB262" s="570" t="n">
        <v>731</v>
      </c>
      <c r="AC262" s="570" t="n">
        <v>742</v>
      </c>
      <c r="AD262" s="570" t="n">
        <v>753</v>
      </c>
      <c r="AE262" s="570" t="n">
        <v>755</v>
      </c>
      <c r="AF262" s="570" t="n">
        <v>760</v>
      </c>
      <c r="AG262" s="570" t="n">
        <v>755</v>
      </c>
      <c r="AH262" s="570" t="n">
        <v>766</v>
      </c>
      <c r="AI262" s="570" t="n">
        <v>795</v>
      </c>
      <c r="AJ262" s="570" t="n">
        <v>784</v>
      </c>
      <c r="AK262" s="570" t="n">
        <v>784</v>
      </c>
      <c r="AL262" s="570" t="n">
        <v>818</v>
      </c>
      <c r="AM262" s="570" t="n">
        <v>847</v>
      </c>
      <c r="AN262" s="570" t="n">
        <v>872</v>
      </c>
      <c r="AO262" s="570" t="n">
        <v>870</v>
      </c>
      <c r="AP262" s="570" t="n">
        <v>876</v>
      </c>
      <c r="AQ262" s="570" t="n">
        <v>878</v>
      </c>
      <c r="AR262" s="570" t="n">
        <v>902</v>
      </c>
      <c r="AS262" s="570" t="n">
        <v>856</v>
      </c>
      <c r="AT262" s="570" t="n">
        <v>856</v>
      </c>
      <c r="AU262" s="570" t="n">
        <v>886</v>
      </c>
      <c r="AV262" s="570" t="n">
        <v>880</v>
      </c>
      <c r="AW262" s="570" t="n">
        <v>908</v>
      </c>
      <c r="AX262" s="570" t="n">
        <v>893</v>
      </c>
      <c r="AY262" s="570" t="n">
        <v>939</v>
      </c>
      <c r="AZ262" s="570" t="n">
        <v>956</v>
      </c>
      <c r="BA262" s="570" t="n">
        <v>985</v>
      </c>
      <c r="BB262" s="570" t="n">
        <v>980</v>
      </c>
      <c r="BC262" s="570" t="n">
        <v>986</v>
      </c>
      <c r="BD262" s="570" t="n">
        <v>1129</v>
      </c>
      <c r="BE262" s="570" t="n">
        <v>1144</v>
      </c>
      <c r="BF262" s="570" t="n">
        <v>1009</v>
      </c>
      <c r="BG262" s="570" t="n">
        <v>909</v>
      </c>
      <c r="BH262" s="570" t="n">
        <v>901</v>
      </c>
      <c r="BI262" s="570" t="n">
        <v>900</v>
      </c>
      <c r="BJ262" s="570" t="n">
        <v>990</v>
      </c>
      <c r="BK262" s="570" t="n">
        <v>1068</v>
      </c>
      <c r="BL262" s="570" t="n">
        <v>1020</v>
      </c>
    </row>
    <row r="263">
      <c r="A263" s="65" t="inlineStr">
        <is>
          <t>5631</t>
        </is>
      </c>
      <c r="B263" s="570">
        <f>銘柄管理!C263</f>
        <v/>
      </c>
      <c r="C263" s="570">
        <f>_xll.RssMarket("5631","高値")</f>
        <v/>
      </c>
      <c r="E263" s="570" t="n">
        <v>8190</v>
      </c>
      <c r="F263" s="570" t="n">
        <v>8317</v>
      </c>
      <c r="G263" s="570" t="n">
        <v>8618</v>
      </c>
      <c r="H263" s="570" t="n">
        <v>8479</v>
      </c>
      <c r="I263" s="570" t="n">
        <v>7883</v>
      </c>
      <c r="J263" s="570" t="n">
        <v>7963</v>
      </c>
      <c r="K263" s="570" t="n">
        <v>7628</v>
      </c>
      <c r="L263" s="570" t="n">
        <v>7173</v>
      </c>
      <c r="M263" s="570" t="n">
        <v>7320</v>
      </c>
      <c r="N263" s="570" t="n">
        <v>7786</v>
      </c>
      <c r="O263" s="570" t="n">
        <v>8143</v>
      </c>
      <c r="P263" s="570" t="n">
        <v>7466</v>
      </c>
      <c r="Q263" s="570" t="n">
        <v>7438</v>
      </c>
      <c r="R263" s="570" t="n">
        <v>7451</v>
      </c>
      <c r="S263" s="570" t="n">
        <v>7922</v>
      </c>
      <c r="T263" s="570" t="n">
        <v>8210</v>
      </c>
      <c r="U263" s="570" t="n">
        <v>8450</v>
      </c>
      <c r="V263" s="570" t="n">
        <v>8122</v>
      </c>
      <c r="W263" s="570" t="n">
        <v>7965</v>
      </c>
      <c r="X263" s="570" t="n">
        <v>8085</v>
      </c>
      <c r="Y263" s="570" t="n">
        <v>8179</v>
      </c>
      <c r="Z263" s="570" t="n">
        <v>8141</v>
      </c>
      <c r="AA263" s="570" t="n">
        <v>7901</v>
      </c>
      <c r="AB263" s="570" t="n">
        <v>8253</v>
      </c>
      <c r="AC263" s="570" t="n">
        <v>8870</v>
      </c>
      <c r="AD263" s="570" t="n">
        <v>8928</v>
      </c>
      <c r="AE263" s="570" t="n">
        <v>9169</v>
      </c>
      <c r="AF263" s="570" t="n">
        <v>9387</v>
      </c>
      <c r="AG263" s="570" t="n">
        <v>9375</v>
      </c>
      <c r="AH263" s="570" t="n">
        <v>9432</v>
      </c>
      <c r="AI263" s="570" t="n">
        <v>9530</v>
      </c>
      <c r="AJ263" s="570" t="n">
        <v>9768</v>
      </c>
      <c r="AK263" s="570" t="n">
        <v>9880</v>
      </c>
      <c r="AL263" s="570" t="n">
        <v>9807</v>
      </c>
      <c r="AM263" s="570" t="n">
        <v>9973</v>
      </c>
      <c r="AN263" s="570" t="n">
        <v>9837</v>
      </c>
      <c r="AO263" s="570" t="n">
        <v>9525</v>
      </c>
      <c r="AP263" s="570" t="n">
        <v>9545</v>
      </c>
      <c r="AQ263" s="570" t="n">
        <v>9292</v>
      </c>
      <c r="AR263" s="570" t="n">
        <v>9245</v>
      </c>
      <c r="AS263" s="570" t="n">
        <v>9376</v>
      </c>
      <c r="AT263" s="570" t="n">
        <v>9850</v>
      </c>
      <c r="AU263" s="570" t="n">
        <v>9916</v>
      </c>
      <c r="AV263" s="570" t="n">
        <v>9862</v>
      </c>
      <c r="AW263" s="570" t="n">
        <v>10005</v>
      </c>
      <c r="AX263" s="570" t="n">
        <v>9972</v>
      </c>
      <c r="AY263" s="570" t="n">
        <v>10020</v>
      </c>
      <c r="AZ263" s="570" t="n">
        <v>9880</v>
      </c>
      <c r="BA263" s="570" t="n">
        <v>9824</v>
      </c>
      <c r="BB263" s="570" t="n">
        <v>9598</v>
      </c>
      <c r="BC263" s="570" t="n">
        <v>9512</v>
      </c>
      <c r="BD263" s="570" t="n">
        <v>9249</v>
      </c>
      <c r="BE263" s="570" t="n">
        <v>8686</v>
      </c>
      <c r="BF263" s="570" t="n">
        <v>8830</v>
      </c>
      <c r="BG263" s="570" t="n">
        <v>9266</v>
      </c>
      <c r="BH263" s="570" t="n">
        <v>9847</v>
      </c>
      <c r="BI263" s="570" t="n">
        <v>9584</v>
      </c>
      <c r="BJ263" s="570" t="n">
        <v>9948</v>
      </c>
      <c r="BK263" s="570" t="n">
        <v>10135</v>
      </c>
      <c r="BL263" s="570" t="n">
        <v>10165</v>
      </c>
    </row>
    <row r="264">
      <c r="A264" s="65" t="inlineStr">
        <is>
          <t>6674</t>
        </is>
      </c>
      <c r="B264" s="570">
        <f>銘柄管理!C264</f>
        <v/>
      </c>
      <c r="C264" s="570">
        <f>_xll.RssMarket("6674","高値")</f>
        <v/>
      </c>
      <c r="E264" s="570" t="n">
        <v>7899</v>
      </c>
      <c r="F264" s="570" t="n">
        <v>7108</v>
      </c>
      <c r="G264" s="570" t="n">
        <v>6786</v>
      </c>
      <c r="H264" s="570" t="n">
        <v>6880</v>
      </c>
      <c r="I264" s="570" t="n">
        <v>6750</v>
      </c>
      <c r="J264" s="570" t="n">
        <v>6432</v>
      </c>
      <c r="K264" s="570" t="n">
        <v>6536</v>
      </c>
      <c r="L264" s="570" t="n">
        <v>6357</v>
      </c>
      <c r="M264" s="570" t="n">
        <v>6819</v>
      </c>
      <c r="N264" s="570" t="n">
        <v>6940</v>
      </c>
      <c r="O264" s="570" t="n">
        <v>7466</v>
      </c>
      <c r="P264" s="570" t="n">
        <v>7600</v>
      </c>
      <c r="Q264" s="570" t="n">
        <v>7542</v>
      </c>
      <c r="R264" s="570" t="n">
        <v>7070</v>
      </c>
      <c r="S264" s="570" t="n">
        <v>6790</v>
      </c>
      <c r="T264" s="570" t="n">
        <v>6471</v>
      </c>
      <c r="U264" s="570" t="n">
        <v>6524</v>
      </c>
      <c r="V264" s="570" t="n">
        <v>6373</v>
      </c>
      <c r="W264" s="570" t="n">
        <v>6244</v>
      </c>
      <c r="X264" s="570" t="n">
        <v>6184</v>
      </c>
      <c r="Y264" s="570" t="n">
        <v>6336</v>
      </c>
      <c r="Z264" s="570" t="n">
        <v>6420</v>
      </c>
      <c r="AA264" s="570" t="n">
        <v>6432</v>
      </c>
      <c r="AB264" s="570" t="n">
        <v>6712</v>
      </c>
      <c r="AC264" s="570" t="n">
        <v>6515</v>
      </c>
      <c r="AD264" s="570" t="n">
        <v>6948</v>
      </c>
      <c r="AE264" s="570" t="n">
        <v>6841</v>
      </c>
      <c r="AF264" s="570" t="n">
        <v>6863</v>
      </c>
      <c r="AG264" s="570" t="n">
        <v>6635</v>
      </c>
      <c r="AH264" s="570" t="n">
        <v>6670</v>
      </c>
      <c r="AI264" s="570" t="n">
        <v>6392</v>
      </c>
      <c r="AJ264" s="570" t="n">
        <v>6362</v>
      </c>
      <c r="AK264" s="570" t="n">
        <v>6200</v>
      </c>
      <c r="AL264" s="570" t="n">
        <v>6361</v>
      </c>
      <c r="AM264" s="570" t="n">
        <v>6323</v>
      </c>
      <c r="AN264" s="570" t="n">
        <v>6437</v>
      </c>
      <c r="AO264" s="570" t="n">
        <v>6536</v>
      </c>
      <c r="AP264" s="570" t="n">
        <v>6820</v>
      </c>
      <c r="AQ264" s="570" t="n">
        <v>6801</v>
      </c>
      <c r="AR264" s="570" t="n">
        <v>6813</v>
      </c>
      <c r="AS264" s="570" t="n">
        <v>6846</v>
      </c>
      <c r="AT264" s="570" t="n">
        <v>6812</v>
      </c>
      <c r="AU264" s="570" t="n">
        <v>6688</v>
      </c>
      <c r="AV264" s="570" t="n">
        <v>6436</v>
      </c>
      <c r="AW264" s="570" t="n">
        <v>6331</v>
      </c>
      <c r="AX264" s="570" t="n">
        <v>6273</v>
      </c>
      <c r="AY264" s="570" t="n">
        <v>6208</v>
      </c>
      <c r="AZ264" s="570" t="n">
        <v>5981</v>
      </c>
      <c r="BA264" s="570" t="n">
        <v>6040</v>
      </c>
      <c r="BB264" s="570" t="n">
        <v>5859</v>
      </c>
      <c r="BC264" s="570" t="n">
        <v>5851</v>
      </c>
      <c r="BD264" s="570" t="n">
        <v>5715</v>
      </c>
      <c r="BE264" s="570" t="n">
        <v>5471</v>
      </c>
      <c r="BF264" s="570" t="n">
        <v>5391</v>
      </c>
      <c r="BG264" s="570" t="n">
        <v>5542</v>
      </c>
      <c r="BH264" s="570" t="n">
        <v>5278</v>
      </c>
      <c r="BI264" s="570" t="n">
        <v>5240</v>
      </c>
      <c r="BJ264" s="570" t="n">
        <v>5072</v>
      </c>
      <c r="BK264" s="570" t="n">
        <v>4902</v>
      </c>
      <c r="BL264" s="570" t="n">
        <v>5277</v>
      </c>
    </row>
    <row r="265">
      <c r="A265" s="65" t="inlineStr">
        <is>
          <t>6955</t>
        </is>
      </c>
      <c r="B265" s="570">
        <f>銘柄管理!C265</f>
        <v/>
      </c>
      <c r="C265" s="570">
        <f>_xll.RssMarket("6955","高値")</f>
        <v/>
      </c>
      <c r="E265" s="570" t="n">
        <v>552</v>
      </c>
      <c r="F265" s="570" t="n">
        <v>521</v>
      </c>
      <c r="G265" s="570" t="n">
        <v>527</v>
      </c>
      <c r="H265" s="570" t="n">
        <v>536</v>
      </c>
      <c r="I265" s="570" t="n">
        <v>520</v>
      </c>
      <c r="J265" s="570" t="n">
        <v>517</v>
      </c>
      <c r="K265" s="570" t="n">
        <v>523</v>
      </c>
      <c r="L265" s="570" t="n">
        <v>517</v>
      </c>
      <c r="M265" s="570" t="n">
        <v>600</v>
      </c>
      <c r="N265" s="570" t="n">
        <v>674</v>
      </c>
      <c r="O265" s="570" t="n">
        <v>574</v>
      </c>
      <c r="P265" s="570" t="n">
        <v>549</v>
      </c>
      <c r="Q265" s="570" t="n">
        <v>517</v>
      </c>
      <c r="R265" s="570" t="n">
        <v>470</v>
      </c>
      <c r="S265" s="570" t="n">
        <v>451</v>
      </c>
      <c r="T265" s="570" t="n">
        <v>452</v>
      </c>
      <c r="U265" s="570" t="n">
        <v>434</v>
      </c>
      <c r="V265" s="570" t="n">
        <v>416</v>
      </c>
      <c r="W265" s="570" t="n">
        <v>418</v>
      </c>
      <c r="X265" s="570" t="n">
        <v>415</v>
      </c>
      <c r="Y265" s="570" t="n">
        <v>420</v>
      </c>
      <c r="Z265" s="570" t="n">
        <v>422</v>
      </c>
      <c r="AA265" s="570" t="n">
        <v>418</v>
      </c>
      <c r="AB265" s="570" t="n">
        <v>437</v>
      </c>
      <c r="AC265" s="570" t="n">
        <v>434</v>
      </c>
      <c r="AD265" s="570" t="n">
        <v>436</v>
      </c>
      <c r="AE265" s="570" t="n">
        <v>442</v>
      </c>
      <c r="AF265" s="570" t="n">
        <v>443</v>
      </c>
      <c r="AG265" s="570" t="n">
        <v>459</v>
      </c>
      <c r="AH265" s="570" t="n">
        <v>479</v>
      </c>
      <c r="AI265" s="570" t="n">
        <v>434</v>
      </c>
      <c r="AJ265" s="570" t="n">
        <v>447</v>
      </c>
      <c r="AK265" s="570" t="n">
        <v>454</v>
      </c>
      <c r="AL265" s="570" t="n">
        <v>460</v>
      </c>
      <c r="AM265" s="570" t="n">
        <v>456</v>
      </c>
      <c r="AN265" s="570" t="n">
        <v>456</v>
      </c>
      <c r="AO265" s="570" t="n">
        <v>450</v>
      </c>
      <c r="AP265" s="570" t="n">
        <v>465</v>
      </c>
      <c r="AQ265" s="570" t="n">
        <v>462</v>
      </c>
      <c r="AR265" s="570" t="n">
        <v>461</v>
      </c>
      <c r="AS265" s="570" t="n">
        <v>469</v>
      </c>
      <c r="AT265" s="570" t="n">
        <v>466</v>
      </c>
      <c r="AU265" s="570" t="n">
        <v>460</v>
      </c>
      <c r="AV265" s="570" t="n">
        <v>454</v>
      </c>
      <c r="AW265" s="570" t="n">
        <v>484</v>
      </c>
      <c r="AX265" s="570" t="n">
        <v>492</v>
      </c>
      <c r="AY265" s="570" t="n">
        <v>491</v>
      </c>
      <c r="AZ265" s="570" t="n">
        <v>481</v>
      </c>
      <c r="BA265" s="570" t="n">
        <v>491</v>
      </c>
      <c r="BB265" s="570" t="n">
        <v>477</v>
      </c>
      <c r="BC265" s="570" t="n">
        <v>486</v>
      </c>
      <c r="BD265" s="570" t="n">
        <v>485</v>
      </c>
      <c r="BE265" s="570" t="n">
        <v>483</v>
      </c>
      <c r="BF265" s="570" t="n">
        <v>479</v>
      </c>
      <c r="BG265" s="570" t="n">
        <v>491</v>
      </c>
      <c r="BH265" s="570" t="n">
        <v>519</v>
      </c>
      <c r="BI265" s="570" t="n">
        <v>496</v>
      </c>
      <c r="BJ265" s="570" t="n">
        <v>487</v>
      </c>
      <c r="BK265" s="570" t="n">
        <v>506</v>
      </c>
      <c r="BL265" s="570" t="n">
        <v>527</v>
      </c>
    </row>
    <row r="266">
      <c r="A266" s="65" t="inlineStr">
        <is>
          <t>281A</t>
        </is>
      </c>
      <c r="B266" s="570">
        <f>銘柄管理!C266</f>
        <v/>
      </c>
      <c r="C266" s="570">
        <f>_xll.RssMarket("281A","高値")</f>
        <v/>
      </c>
      <c r="E266" s="570" t="n">
        <v>623</v>
      </c>
      <c r="F266" s="570" t="n">
        <v>620</v>
      </c>
      <c r="G266" s="570" t="n">
        <v>663</v>
      </c>
      <c r="H266" s="570" t="n">
        <v>657</v>
      </c>
      <c r="I266" s="570" t="n">
        <v>728</v>
      </c>
      <c r="J266" s="570" t="n">
        <v>634</v>
      </c>
      <c r="K266" s="570" t="n">
        <v>566</v>
      </c>
      <c r="L266" s="570" t="n">
        <v>572</v>
      </c>
      <c r="M266" s="570" t="n">
        <v>555</v>
      </c>
      <c r="N266" s="570" t="n">
        <v>601</v>
      </c>
      <c r="O266" s="570" t="n">
        <v>645</v>
      </c>
      <c r="P266" s="570" t="n">
        <v>705</v>
      </c>
      <c r="Q266" s="570" t="n">
        <v>709</v>
      </c>
      <c r="R266" s="570" t="n">
        <v>740</v>
      </c>
      <c r="S266" s="570" t="n">
        <v>859</v>
      </c>
      <c r="T266" s="570" t="n">
        <v>891</v>
      </c>
      <c r="U266" s="570" t="n">
        <v>897</v>
      </c>
      <c r="V266" s="570" t="n">
        <v>923</v>
      </c>
      <c r="W266" s="570" t="n">
        <v>823</v>
      </c>
      <c r="X266" s="570" t="n">
        <v>788</v>
      </c>
      <c r="Y266" s="570" t="n">
        <v>841</v>
      </c>
      <c r="Z266" s="570" t="n">
        <v>932</v>
      </c>
      <c r="AA266" s="570" t="n">
        <v>850</v>
      </c>
      <c r="AB266" s="570" t="n">
        <v>860</v>
      </c>
      <c r="AC266" s="570" t="n">
        <v>771</v>
      </c>
      <c r="AD266" s="570" t="n">
        <v>772</v>
      </c>
      <c r="AE266" s="570" t="n">
        <v>840</v>
      </c>
      <c r="AF266" s="570" t="n">
        <v>842</v>
      </c>
      <c r="AG266" s="570" t="n">
        <v>819</v>
      </c>
      <c r="AH266" s="570" t="n">
        <v>762</v>
      </c>
      <c r="AI266" s="570" t="n">
        <v>752</v>
      </c>
      <c r="AJ266" s="570" t="n">
        <v>730</v>
      </c>
      <c r="AK266" s="570" t="n">
        <v>785</v>
      </c>
      <c r="AL266" s="570" t="n">
        <v>849</v>
      </c>
      <c r="AM266" s="570" t="n">
        <v>822</v>
      </c>
      <c r="AN266" s="570" t="n">
        <v>822</v>
      </c>
      <c r="AO266" s="570" t="n">
        <v>885</v>
      </c>
      <c r="AP266" s="570" t="n">
        <v>1060</v>
      </c>
      <c r="AQ266" s="570" t="n">
        <v>958</v>
      </c>
      <c r="AR266" s="570" t="n">
        <v>857</v>
      </c>
      <c r="AS266" s="570" t="n">
        <v>840</v>
      </c>
      <c r="AT266" s="570" t="n">
        <v>780</v>
      </c>
      <c r="AU266" s="570" t="n">
        <v>764</v>
      </c>
      <c r="AV266" s="570" t="n">
        <v>718</v>
      </c>
      <c r="AW266" s="570" t="n">
        <v>743</v>
      </c>
      <c r="AX266" s="570" t="n">
        <v>643</v>
      </c>
      <c r="AY266" s="570" t="n">
        <v>574</v>
      </c>
      <c r="AZ266" s="570" t="n">
        <v>680</v>
      </c>
      <c r="BA266" s="570" t="n">
        <v>617</v>
      </c>
      <c r="BB266" s="570" t="n">
        <v>517</v>
      </c>
      <c r="BC266" s="570" t="n">
        <v>461</v>
      </c>
      <c r="BD266" s="570" t="n">
        <v>497</v>
      </c>
      <c r="BE266" s="570" t="n">
        <v>512</v>
      </c>
      <c r="BF266" s="570" t="n">
        <v>527</v>
      </c>
      <c r="BG266" s="570" t="n">
        <v>497</v>
      </c>
      <c r="BH266" s="570" t="n">
        <v>549</v>
      </c>
      <c r="BI266" s="570" t="n">
        <v>695</v>
      </c>
      <c r="BJ266" s="570" t="n">
        <v>660</v>
      </c>
      <c r="BK266" s="570" t="n">
        <v>696</v>
      </c>
      <c r="BL266" s="570" t="n">
        <v>656</v>
      </c>
    </row>
    <row r="267">
      <c r="A267" s="65" t="inlineStr">
        <is>
          <t>6356</t>
        </is>
      </c>
      <c r="B267" s="570">
        <f>銘柄管理!C267</f>
        <v/>
      </c>
      <c r="C267" s="570">
        <f>_xll.RssMarket("6356","高値")</f>
        <v/>
      </c>
      <c r="E267" s="570" t="n">
        <v>1609</v>
      </c>
      <c r="F267" s="570" t="n">
        <v>1570</v>
      </c>
      <c r="G267" s="570" t="n">
        <v>1606</v>
      </c>
      <c r="H267" s="570" t="n">
        <v>1678</v>
      </c>
      <c r="I267" s="570" t="n">
        <v>1445</v>
      </c>
      <c r="J267" s="570" t="n">
        <v>1460</v>
      </c>
      <c r="K267" s="570" t="n">
        <v>1475</v>
      </c>
      <c r="L267" s="570" t="n">
        <v>1391</v>
      </c>
      <c r="M267" s="570" t="n">
        <v>1555</v>
      </c>
      <c r="N267" s="570" t="n">
        <v>1534</v>
      </c>
      <c r="O267" s="570" t="n">
        <v>1653</v>
      </c>
      <c r="P267" s="570" t="n">
        <v>1507</v>
      </c>
      <c r="Q267" s="570" t="n">
        <v>1530</v>
      </c>
      <c r="R267" s="570" t="n">
        <v>1515</v>
      </c>
      <c r="S267" s="570" t="n">
        <v>1741</v>
      </c>
      <c r="T267" s="570" t="n">
        <v>1728</v>
      </c>
      <c r="U267" s="570" t="n">
        <v>1845</v>
      </c>
      <c r="V267" s="570" t="n">
        <v>1594</v>
      </c>
      <c r="W267" s="570" t="n">
        <v>1509</v>
      </c>
      <c r="X267" s="570" t="n">
        <v>1395</v>
      </c>
      <c r="Y267" s="570" t="n">
        <v>1415</v>
      </c>
      <c r="Z267" s="570" t="n">
        <v>1473</v>
      </c>
      <c r="AA267" s="570" t="n">
        <v>1511</v>
      </c>
      <c r="AB267" s="570" t="n">
        <v>1439</v>
      </c>
      <c r="AC267" s="570" t="n">
        <v>1514</v>
      </c>
      <c r="AD267" s="570" t="n">
        <v>1680</v>
      </c>
      <c r="AE267" s="570" t="n">
        <v>1591</v>
      </c>
      <c r="AF267" s="570" t="n">
        <v>1550</v>
      </c>
      <c r="AG267" s="570" t="n">
        <v>1542</v>
      </c>
      <c r="AH267" s="570" t="n">
        <v>1507</v>
      </c>
      <c r="AI267" s="570" t="n">
        <v>1628</v>
      </c>
      <c r="AJ267" s="570" t="n">
        <v>1743</v>
      </c>
      <c r="AK267" s="570" t="n">
        <v>1764</v>
      </c>
      <c r="AL267" s="570" t="n">
        <v>1693</v>
      </c>
      <c r="AM267" s="570" t="n">
        <v>1768</v>
      </c>
      <c r="AN267" s="570" t="n">
        <v>1526</v>
      </c>
      <c r="AO267" s="570" t="n">
        <v>1269</v>
      </c>
      <c r="AP267" s="570" t="n">
        <v>1326</v>
      </c>
      <c r="AQ267" s="570" t="n">
        <v>1362</v>
      </c>
      <c r="AR267" s="570" t="n">
        <v>1365</v>
      </c>
      <c r="AS267" s="570" t="n">
        <v>1406</v>
      </c>
      <c r="AT267" s="570" t="n">
        <v>1368</v>
      </c>
      <c r="AU267" s="570" t="n">
        <v>1352</v>
      </c>
      <c r="AV267" s="570" t="n">
        <v>1315</v>
      </c>
      <c r="AW267" s="570" t="n">
        <v>1364</v>
      </c>
      <c r="AX267" s="570" t="n">
        <v>1314</v>
      </c>
      <c r="AY267" s="570" t="n">
        <v>1318</v>
      </c>
      <c r="AZ267" s="570" t="n">
        <v>1230</v>
      </c>
      <c r="BA267" s="570" t="n">
        <v>1228</v>
      </c>
      <c r="BB267" s="570" t="n">
        <v>1246</v>
      </c>
      <c r="BC267" s="570" t="n">
        <v>1303</v>
      </c>
      <c r="BD267" s="570" t="n">
        <v>1368</v>
      </c>
      <c r="BE267" s="570" t="n">
        <v>1399</v>
      </c>
      <c r="BF267" s="570" t="n">
        <v>1430</v>
      </c>
      <c r="BG267" s="570" t="n">
        <v>1542</v>
      </c>
      <c r="BH267" s="570" t="n">
        <v>1600</v>
      </c>
      <c r="BI267" s="570" t="n">
        <v>1610</v>
      </c>
      <c r="BJ267" s="570" t="n">
        <v>1619</v>
      </c>
      <c r="BK267" s="570" t="n">
        <v>1841</v>
      </c>
      <c r="BL267" s="570" t="n">
        <v>1937</v>
      </c>
    </row>
    <row r="268">
      <c r="A268" s="65" t="inlineStr">
        <is>
          <t>7711</t>
        </is>
      </c>
      <c r="B268" s="570">
        <f>銘柄管理!C268</f>
        <v/>
      </c>
      <c r="C268" s="570">
        <f>_xll.RssMarket("7711","高値")</f>
        <v/>
      </c>
      <c r="E268" s="570" t="n">
        <v>5840</v>
      </c>
      <c r="F268" s="570" t="n">
        <v>5690</v>
      </c>
      <c r="G268" s="570" t="n">
        <v>5740</v>
      </c>
      <c r="H268" s="570" t="n">
        <v>5650</v>
      </c>
      <c r="I268" s="570" t="n">
        <v>4985</v>
      </c>
      <c r="J268" s="570" t="n">
        <v>4940</v>
      </c>
      <c r="K268" s="570" t="n">
        <v>4880</v>
      </c>
      <c r="L268" s="570" t="n">
        <v>4655</v>
      </c>
      <c r="M268" s="570" t="n">
        <v>4840</v>
      </c>
      <c r="N268" s="570" t="n">
        <v>5240</v>
      </c>
      <c r="O268" s="570" t="n">
        <v>5720</v>
      </c>
      <c r="P268" s="570" t="n">
        <v>5140</v>
      </c>
      <c r="Q268" s="570" t="n">
        <v>5240</v>
      </c>
      <c r="R268" s="570" t="n">
        <v>5340</v>
      </c>
      <c r="S268" s="570" t="n">
        <v>5450</v>
      </c>
      <c r="T268" s="570" t="n">
        <v>5510</v>
      </c>
      <c r="U268" s="570" t="n">
        <v>5980</v>
      </c>
      <c r="V268" s="570" t="n">
        <v>5560</v>
      </c>
      <c r="W268" s="570" t="n">
        <v>5370</v>
      </c>
      <c r="X268" s="570" t="n">
        <v>5180</v>
      </c>
      <c r="Y268" s="570" t="n">
        <v>5210</v>
      </c>
      <c r="Z268" s="570" t="n">
        <v>5440</v>
      </c>
      <c r="AA268" s="570" t="n">
        <v>5470</v>
      </c>
      <c r="AB268" s="570" t="n">
        <v>5610</v>
      </c>
      <c r="AC268" s="570" t="n">
        <v>5710</v>
      </c>
      <c r="AD268" s="570" t="n">
        <v>5730</v>
      </c>
      <c r="AE268" s="570" t="n">
        <v>5860</v>
      </c>
      <c r="AF268" s="570" t="n">
        <v>6070</v>
      </c>
      <c r="AG268" s="570" t="n">
        <v>6200</v>
      </c>
      <c r="AH268" s="570" t="n">
        <v>6830</v>
      </c>
      <c r="AI268" s="570" t="n">
        <v>6010</v>
      </c>
      <c r="AJ268" s="570" t="n">
        <v>6110</v>
      </c>
      <c r="AK268" s="570" t="n">
        <v>6220</v>
      </c>
      <c r="AL268" s="570" t="n">
        <v>6380</v>
      </c>
      <c r="AM268" s="570" t="n">
        <v>6640</v>
      </c>
      <c r="AN268" s="570" t="n">
        <v>6720</v>
      </c>
      <c r="AO268" s="570" t="n">
        <v>6620</v>
      </c>
      <c r="AP268" s="570" t="n">
        <v>6390</v>
      </c>
      <c r="AQ268" s="570" t="n">
        <v>6450</v>
      </c>
      <c r="AR268" s="570" t="n">
        <v>6370</v>
      </c>
      <c r="AS268" s="570" t="n">
        <v>6470</v>
      </c>
      <c r="AT268" s="570" t="n">
        <v>6350</v>
      </c>
      <c r="AU268" s="570" t="n">
        <v>6420</v>
      </c>
      <c r="AV268" s="570" t="n">
        <v>6400</v>
      </c>
      <c r="AW268" s="570" t="n">
        <v>6490</v>
      </c>
      <c r="AX268" s="570" t="n">
        <v>6680</v>
      </c>
      <c r="AY268" s="570" t="n">
        <v>6760</v>
      </c>
      <c r="AZ268" s="570" t="n">
        <v>6490</v>
      </c>
      <c r="BA268" s="570" t="n">
        <v>6650</v>
      </c>
      <c r="BB268" s="570" t="n">
        <v>6630</v>
      </c>
      <c r="BC268" s="570" t="n">
        <v>6890</v>
      </c>
      <c r="BD268" s="570" t="n">
        <v>6780</v>
      </c>
      <c r="BE268" s="570" t="n">
        <v>6680</v>
      </c>
      <c r="BF268" s="570" t="n">
        <v>6730</v>
      </c>
      <c r="BG268" s="570" t="n">
        <v>6790</v>
      </c>
      <c r="BH268" s="570" t="n">
        <v>7030</v>
      </c>
      <c r="BI268" s="570" t="n">
        <v>7070</v>
      </c>
      <c r="BJ268" s="570" t="n">
        <v>6880</v>
      </c>
      <c r="BK268" s="570" t="n">
        <v>6910</v>
      </c>
      <c r="BL268" s="570" t="n">
        <v>7420</v>
      </c>
    </row>
    <row r="269">
      <c r="A269" s="65" t="inlineStr">
        <is>
          <t>6376</t>
        </is>
      </c>
      <c r="B269" s="570">
        <f>銘柄管理!C269</f>
        <v/>
      </c>
      <c r="C269" s="570">
        <f>_xll.RssMarket("6376","高値")</f>
        <v/>
      </c>
      <c r="E269" s="570" t="n">
        <v>4090</v>
      </c>
      <c r="F269" s="570" t="n">
        <v>4010</v>
      </c>
      <c r="G269" s="570" t="n">
        <v>4080</v>
      </c>
      <c r="H269" s="570" t="n">
        <v>3970</v>
      </c>
      <c r="I269" s="570" t="n">
        <v>3780</v>
      </c>
      <c r="J269" s="570" t="n">
        <v>3900</v>
      </c>
      <c r="K269" s="570" t="n">
        <v>3695</v>
      </c>
      <c r="L269" s="570" t="n">
        <v>3600</v>
      </c>
      <c r="M269" s="570" t="n">
        <v>3665</v>
      </c>
      <c r="N269" s="570" t="n">
        <v>3295</v>
      </c>
      <c r="O269" s="570" t="n">
        <v>3345</v>
      </c>
      <c r="P269" s="570" t="n">
        <v>3215</v>
      </c>
      <c r="Q269" s="570" t="n">
        <v>3200</v>
      </c>
      <c r="R269" s="570" t="n">
        <v>3300</v>
      </c>
      <c r="S269" s="570" t="n">
        <v>3340</v>
      </c>
      <c r="T269" s="570" t="n">
        <v>3300</v>
      </c>
      <c r="U269" s="570" t="n">
        <v>3530</v>
      </c>
      <c r="V269" s="570" t="n">
        <v>3475</v>
      </c>
      <c r="W269" s="570" t="n">
        <v>3250</v>
      </c>
      <c r="X269" s="570" t="n">
        <v>3120</v>
      </c>
      <c r="Y269" s="570" t="n">
        <v>2941</v>
      </c>
      <c r="Z269" s="570" t="n">
        <v>3100</v>
      </c>
      <c r="AA269" s="570" t="n">
        <v>3050</v>
      </c>
      <c r="AB269" s="570" t="n">
        <v>2939</v>
      </c>
      <c r="AC269" s="570" t="n">
        <v>2687</v>
      </c>
      <c r="AD269" s="570" t="n">
        <v>2682</v>
      </c>
      <c r="AE269" s="570" t="n">
        <v>2739</v>
      </c>
      <c r="AF269" s="570" t="n">
        <v>2693</v>
      </c>
      <c r="AG269" s="570" t="n">
        <v>2664</v>
      </c>
      <c r="AH269" s="570" t="n">
        <v>2717</v>
      </c>
      <c r="AI269" s="570" t="n">
        <v>2673</v>
      </c>
      <c r="AJ269" s="570" t="n">
        <v>2683</v>
      </c>
      <c r="AK269" s="570" t="n">
        <v>2634</v>
      </c>
      <c r="AL269" s="570" t="n">
        <v>2680</v>
      </c>
      <c r="AM269" s="570" t="n">
        <v>2694</v>
      </c>
      <c r="AN269" s="570" t="n">
        <v>2588</v>
      </c>
      <c r="AO269" s="570" t="n">
        <v>2581</v>
      </c>
      <c r="AP269" s="570" t="n">
        <v>2670</v>
      </c>
      <c r="AQ269" s="570" t="n">
        <v>2680</v>
      </c>
      <c r="AR269" s="570" t="n">
        <v>2734</v>
      </c>
      <c r="AS269" s="570" t="n">
        <v>2778</v>
      </c>
      <c r="AT269" s="570" t="n">
        <v>2890</v>
      </c>
      <c r="AU269" s="570" t="n">
        <v>2899</v>
      </c>
      <c r="AV269" s="570" t="n">
        <v>2845</v>
      </c>
      <c r="AW269" s="570" t="n">
        <v>2840</v>
      </c>
      <c r="AX269" s="570" t="n">
        <v>2750</v>
      </c>
      <c r="AY269" s="570" t="n">
        <v>2776</v>
      </c>
      <c r="AZ269" s="570" t="n">
        <v>2734</v>
      </c>
      <c r="BA269" s="570" t="n">
        <v>2717</v>
      </c>
      <c r="BB269" s="570" t="n">
        <v>2668</v>
      </c>
      <c r="BC269" s="570" t="n">
        <v>2697</v>
      </c>
      <c r="BD269" s="570" t="n">
        <v>2644</v>
      </c>
      <c r="BE269" s="570" t="n">
        <v>2517</v>
      </c>
      <c r="BF269" s="570" t="n">
        <v>2420</v>
      </c>
      <c r="BG269" s="570" t="n">
        <v>2489</v>
      </c>
      <c r="BH269" s="570" t="n">
        <v>2329</v>
      </c>
      <c r="BI269" s="570" t="n">
        <v>2324</v>
      </c>
      <c r="BJ269" s="570" t="n">
        <v>2305</v>
      </c>
      <c r="BK269" s="570" t="n">
        <v>2261</v>
      </c>
      <c r="BL269" s="570" t="n">
        <v>2378</v>
      </c>
    </row>
    <row r="270">
      <c r="A270" s="65" t="inlineStr">
        <is>
          <t>9115</t>
        </is>
      </c>
      <c r="B270" s="570">
        <f>銘柄管理!C270</f>
        <v/>
      </c>
      <c r="C270" s="570">
        <f>_xll.RssMarket("9115","高値")</f>
        <v/>
      </c>
      <c r="E270" s="570" t="n">
        <v>781</v>
      </c>
      <c r="F270" s="570" t="n">
        <v>790</v>
      </c>
      <c r="G270" s="570" t="n">
        <v>814</v>
      </c>
      <c r="H270" s="570" t="n">
        <v>839</v>
      </c>
      <c r="I270" s="570" t="n">
        <v>848</v>
      </c>
      <c r="J270" s="570" t="n">
        <v>853</v>
      </c>
      <c r="K270" s="570" t="n">
        <v>905</v>
      </c>
      <c r="L270" s="570" t="n">
        <v>919</v>
      </c>
      <c r="M270" s="570" t="n">
        <v>940</v>
      </c>
      <c r="N270" s="570" t="n">
        <v>989</v>
      </c>
      <c r="O270" s="570" t="n">
        <v>1017</v>
      </c>
      <c r="P270" s="570" t="n">
        <v>1011</v>
      </c>
      <c r="Q270" s="570" t="n">
        <v>1066</v>
      </c>
      <c r="R270" s="570" t="n">
        <v>1070</v>
      </c>
      <c r="S270" s="570" t="n">
        <v>1145</v>
      </c>
      <c r="T270" s="570" t="n">
        <v>1170</v>
      </c>
      <c r="U270" s="570" t="n">
        <v>1197</v>
      </c>
      <c r="V270" s="570" t="n">
        <v>1198</v>
      </c>
      <c r="W270" s="570" t="n">
        <v>1156</v>
      </c>
      <c r="X270" s="570" t="n">
        <v>1147</v>
      </c>
      <c r="Y270" s="570" t="n">
        <v>1146</v>
      </c>
      <c r="Z270" s="570" t="n">
        <v>1208</v>
      </c>
      <c r="AA270" s="570" t="n">
        <v>1247</v>
      </c>
      <c r="AB270" s="570" t="n">
        <v>1253</v>
      </c>
      <c r="AC270" s="570" t="n">
        <v>1272</v>
      </c>
      <c r="AD270" s="570" t="n">
        <v>1232</v>
      </c>
      <c r="AE270" s="570" t="n">
        <v>1278</v>
      </c>
      <c r="AF270" s="570" t="n">
        <v>1278</v>
      </c>
      <c r="AG270" s="570" t="n">
        <v>1303</v>
      </c>
      <c r="AH270" s="570" t="n">
        <v>1335</v>
      </c>
      <c r="AI270" s="570" t="n">
        <v>1313</v>
      </c>
      <c r="AJ270" s="570" t="n">
        <v>1277</v>
      </c>
      <c r="AK270" s="570" t="n">
        <v>1281</v>
      </c>
      <c r="AL270" s="570" t="n">
        <v>1217</v>
      </c>
      <c r="AM270" s="570" t="n">
        <v>1209</v>
      </c>
      <c r="AN270" s="570" t="n">
        <v>1245</v>
      </c>
      <c r="AO270" s="570" t="n">
        <v>1253</v>
      </c>
      <c r="AP270" s="570" t="n">
        <v>1300</v>
      </c>
      <c r="AQ270" s="570" t="n">
        <v>1313</v>
      </c>
      <c r="AR270" s="570" t="n">
        <v>1313</v>
      </c>
      <c r="AS270" s="570" t="n">
        <v>1315</v>
      </c>
      <c r="AT270" s="570" t="n">
        <v>1377</v>
      </c>
      <c r="AU270" s="570" t="n">
        <v>1340</v>
      </c>
      <c r="AV270" s="570" t="n">
        <v>1450</v>
      </c>
      <c r="AW270" s="570" t="n">
        <v>1330</v>
      </c>
      <c r="AX270" s="570" t="n">
        <v>1375</v>
      </c>
      <c r="AY270" s="570" t="n">
        <v>1271</v>
      </c>
      <c r="AZ270" s="570" t="n">
        <v>1333</v>
      </c>
      <c r="BA270" s="570" t="n">
        <v>1402</v>
      </c>
      <c r="BB270" s="570" t="n">
        <v>1322</v>
      </c>
      <c r="BC270" s="570" t="n">
        <v>1370</v>
      </c>
      <c r="BD270" s="570" t="n">
        <v>1416</v>
      </c>
      <c r="BE270" s="570" t="n">
        <v>1573</v>
      </c>
      <c r="BF270" s="570" t="n">
        <v>1603</v>
      </c>
      <c r="BG270" s="570" t="n">
        <v>1628</v>
      </c>
      <c r="BH270" s="570" t="n">
        <v>1690</v>
      </c>
      <c r="BI270" s="570" t="n">
        <v>1630</v>
      </c>
      <c r="BJ270" s="570" t="n">
        <v>1760</v>
      </c>
      <c r="BK270" s="570" t="n">
        <v>1567</v>
      </c>
      <c r="BL270" s="570" t="n">
        <v>1413</v>
      </c>
    </row>
    <row r="271">
      <c r="A271" s="65" t="inlineStr">
        <is>
          <t>3864</t>
        </is>
      </c>
      <c r="B271" s="570">
        <f>銘柄管理!C271</f>
        <v/>
      </c>
      <c r="C271" s="570">
        <f>_xll.RssMarket("3864","高値")</f>
        <v/>
      </c>
      <c r="E271" s="570" t="n">
        <v>1041</v>
      </c>
      <c r="F271" s="570" t="n">
        <v>1050</v>
      </c>
      <c r="G271" s="570" t="n">
        <v>1077</v>
      </c>
      <c r="H271" s="570" t="n">
        <v>1087</v>
      </c>
      <c r="I271" s="570" t="n">
        <v>1091</v>
      </c>
      <c r="J271" s="570" t="n">
        <v>1106</v>
      </c>
      <c r="K271" s="570" t="n">
        <v>1078</v>
      </c>
      <c r="L271" s="570" t="n">
        <v>1070</v>
      </c>
      <c r="M271" s="570" t="n">
        <v>1081</v>
      </c>
      <c r="N271" s="570" t="n">
        <v>1058</v>
      </c>
      <c r="O271" s="570" t="n">
        <v>1061</v>
      </c>
      <c r="P271" s="570" t="n">
        <v>1063</v>
      </c>
      <c r="Q271" s="570" t="n">
        <v>1072</v>
      </c>
      <c r="R271" s="570" t="n">
        <v>1064</v>
      </c>
      <c r="S271" s="570" t="n">
        <v>1137</v>
      </c>
      <c r="T271" s="570" t="n">
        <v>1136</v>
      </c>
      <c r="U271" s="570" t="n">
        <v>1117</v>
      </c>
      <c r="V271" s="570" t="n">
        <v>1106</v>
      </c>
      <c r="W271" s="570" t="n">
        <v>1119</v>
      </c>
      <c r="X271" s="570" t="n">
        <v>1090</v>
      </c>
      <c r="Y271" s="570" t="n">
        <v>1038</v>
      </c>
      <c r="Z271" s="570" t="n">
        <v>1079</v>
      </c>
      <c r="AA271" s="570" t="n">
        <v>1038</v>
      </c>
      <c r="AB271" s="570" t="n">
        <v>1017</v>
      </c>
      <c r="AC271" s="570" t="n">
        <v>941</v>
      </c>
      <c r="AD271" s="570" t="n">
        <v>931</v>
      </c>
      <c r="AE271" s="570" t="n">
        <v>945</v>
      </c>
      <c r="AF271" s="570" t="n">
        <v>949</v>
      </c>
      <c r="AG271" s="570" t="n">
        <v>953</v>
      </c>
      <c r="AH271" s="570" t="n">
        <v>941</v>
      </c>
      <c r="AI271" s="570" t="n">
        <v>939</v>
      </c>
      <c r="AJ271" s="570" t="n">
        <v>943</v>
      </c>
      <c r="AK271" s="570" t="n">
        <v>952</v>
      </c>
      <c r="AL271" s="570" t="n">
        <v>967</v>
      </c>
      <c r="AM271" s="570" t="n">
        <v>961</v>
      </c>
      <c r="AN271" s="570" t="n">
        <v>965</v>
      </c>
      <c r="AO271" s="570" t="n">
        <v>991</v>
      </c>
      <c r="AP271" s="570" t="n">
        <v>987</v>
      </c>
      <c r="AQ271" s="570" t="n">
        <v>996</v>
      </c>
      <c r="AR271" s="570" t="n">
        <v>998</v>
      </c>
      <c r="AS271" s="570" t="n">
        <v>995</v>
      </c>
      <c r="AT271" s="570" t="n">
        <v>951</v>
      </c>
      <c r="AU271" s="570" t="n">
        <v>932</v>
      </c>
      <c r="AV271" s="570" t="n">
        <v>934</v>
      </c>
      <c r="AW271" s="570" t="n">
        <v>923</v>
      </c>
      <c r="AX271" s="570" t="n">
        <v>907</v>
      </c>
      <c r="AY271" s="570" t="n">
        <v>898</v>
      </c>
      <c r="AZ271" s="570" t="n">
        <v>879</v>
      </c>
      <c r="BA271" s="570" t="n">
        <v>860</v>
      </c>
      <c r="BB271" s="570" t="n">
        <v>870</v>
      </c>
      <c r="BC271" s="570" t="n">
        <v>857</v>
      </c>
      <c r="BD271" s="570" t="n">
        <v>844</v>
      </c>
      <c r="BE271" s="570" t="n">
        <v>835</v>
      </c>
      <c r="BF271" s="570" t="n">
        <v>817</v>
      </c>
      <c r="BG271" s="570" t="n">
        <v>828</v>
      </c>
      <c r="BH271" s="570" t="n">
        <v>823</v>
      </c>
      <c r="BI271" s="570" t="n">
        <v>818</v>
      </c>
      <c r="BJ271" s="570" t="n">
        <v>811</v>
      </c>
      <c r="BK271" s="570" t="n">
        <v>803</v>
      </c>
      <c r="BL271" s="570" t="n">
        <v>841</v>
      </c>
    </row>
    <row r="272">
      <c r="A272" s="65" t="inlineStr">
        <is>
          <t>6997</t>
        </is>
      </c>
      <c r="B272" s="570">
        <f>銘柄管理!C272</f>
        <v/>
      </c>
      <c r="C272" s="570">
        <f>_xll.RssMarket("6997","高値")</f>
        <v/>
      </c>
      <c r="E272" s="570" t="n">
        <v>6190</v>
      </c>
      <c r="F272" s="570" t="n">
        <v>5940</v>
      </c>
      <c r="G272" s="570" t="n">
        <v>5690</v>
      </c>
      <c r="H272" s="570" t="n">
        <v>5240</v>
      </c>
      <c r="I272" s="570" t="n">
        <v>4800</v>
      </c>
      <c r="J272" s="570" t="n">
        <v>4790</v>
      </c>
      <c r="K272" s="570" t="n">
        <v>4545</v>
      </c>
      <c r="L272" s="570" t="n">
        <v>4225</v>
      </c>
      <c r="M272" s="570" t="n">
        <v>4420</v>
      </c>
      <c r="N272" s="570" t="n">
        <v>4730</v>
      </c>
      <c r="O272" s="570" t="n">
        <v>5160</v>
      </c>
      <c r="P272" s="570" t="n">
        <v>5130</v>
      </c>
      <c r="Q272" s="570" t="n">
        <v>5020</v>
      </c>
      <c r="R272" s="570" t="n">
        <v>5670</v>
      </c>
      <c r="S272" s="570" t="n">
        <v>5080</v>
      </c>
      <c r="T272" s="570" t="n">
        <v>4380</v>
      </c>
      <c r="U272" s="570" t="n">
        <v>4210</v>
      </c>
      <c r="V272" s="570" t="n">
        <v>4065</v>
      </c>
      <c r="W272" s="570" t="n">
        <v>3425</v>
      </c>
      <c r="X272" s="570" t="n">
        <v>3110</v>
      </c>
      <c r="Y272" s="570" t="n">
        <v>3110</v>
      </c>
      <c r="Z272" s="570" t="n">
        <v>3080</v>
      </c>
      <c r="AA272" s="570" t="n">
        <v>3120</v>
      </c>
      <c r="AB272" s="570" t="n">
        <v>3550</v>
      </c>
      <c r="AC272" s="570" t="n">
        <v>3540</v>
      </c>
      <c r="AD272" s="570" t="n">
        <v>3205</v>
      </c>
      <c r="AE272" s="570" t="n">
        <v>3300</v>
      </c>
      <c r="AF272" s="570" t="n">
        <v>3300</v>
      </c>
      <c r="AG272" s="570" t="n">
        <v>3255</v>
      </c>
      <c r="AH272" s="570" t="n">
        <v>3140</v>
      </c>
      <c r="AI272" s="570" t="n">
        <v>2670</v>
      </c>
      <c r="AJ272" s="570" t="n">
        <v>2741</v>
      </c>
      <c r="AK272" s="570" t="n">
        <v>2462</v>
      </c>
      <c r="AL272" s="570" t="n">
        <v>2397</v>
      </c>
      <c r="AM272" s="570" t="n">
        <v>2350</v>
      </c>
      <c r="AN272" s="570" t="n">
        <v>2454</v>
      </c>
      <c r="AO272" s="570" t="n">
        <v>2457</v>
      </c>
      <c r="AP272" s="570" t="n">
        <v>2494</v>
      </c>
      <c r="AQ272" s="570" t="n">
        <v>2484</v>
      </c>
      <c r="AR272" s="570" t="n">
        <v>2277</v>
      </c>
      <c r="AS272" s="570" t="n">
        <v>2290</v>
      </c>
      <c r="AT272" s="570" t="n">
        <v>2074</v>
      </c>
      <c r="AU272" s="570" t="n">
        <v>1958</v>
      </c>
      <c r="AV272" s="570" t="n">
        <v>1769</v>
      </c>
      <c r="AW272" s="570" t="n">
        <v>1718</v>
      </c>
      <c r="AX272" s="570" t="n">
        <v>1669</v>
      </c>
      <c r="AY272" s="570" t="n">
        <v>1668</v>
      </c>
      <c r="AZ272" s="570" t="n">
        <v>1517</v>
      </c>
      <c r="BA272" s="570" t="n">
        <v>1500</v>
      </c>
      <c r="BB272" s="570" t="n">
        <v>1497</v>
      </c>
      <c r="BC272" s="570" t="n">
        <v>1522</v>
      </c>
      <c r="BD272" s="570" t="n">
        <v>1497</v>
      </c>
      <c r="BE272" s="570" t="n">
        <v>1464</v>
      </c>
      <c r="BF272" s="570" t="n">
        <v>1537</v>
      </c>
      <c r="BG272" s="570" t="n">
        <v>1458</v>
      </c>
      <c r="BH272" s="570" t="n">
        <v>1477</v>
      </c>
      <c r="BI272" s="570" t="n">
        <v>1486</v>
      </c>
      <c r="BJ272" s="570" t="n">
        <v>1447</v>
      </c>
      <c r="BK272" s="570" t="n">
        <v>1428</v>
      </c>
      <c r="BL272" s="570" t="n">
        <v>1549</v>
      </c>
    </row>
    <row r="273">
      <c r="A273" s="65" t="inlineStr">
        <is>
          <t>4544</t>
        </is>
      </c>
      <c r="B273" s="570">
        <f>銘柄管理!C273</f>
        <v/>
      </c>
      <c r="C273" s="570">
        <f>_xll.RssMarket("4544","高値")</f>
        <v/>
      </c>
      <c r="E273" s="570" t="n">
        <v>3185</v>
      </c>
      <c r="F273" s="570" t="n">
        <v>3173</v>
      </c>
      <c r="G273" s="570" t="n">
        <v>3189</v>
      </c>
      <c r="H273" s="570" t="n">
        <v>3251</v>
      </c>
      <c r="I273" s="570" t="n">
        <v>3257</v>
      </c>
      <c r="J273" s="570" t="n">
        <v>3392</v>
      </c>
      <c r="K273" s="570" t="n">
        <v>3439</v>
      </c>
      <c r="L273" s="570" t="n">
        <v>3479</v>
      </c>
      <c r="M273" s="570" t="n">
        <v>3485</v>
      </c>
      <c r="N273" s="570" t="n">
        <v>3366</v>
      </c>
      <c r="O273" s="570" t="n">
        <v>3419</v>
      </c>
      <c r="P273" s="570" t="n">
        <v>3298</v>
      </c>
      <c r="Q273" s="570" t="n">
        <v>3339</v>
      </c>
      <c r="R273" s="570" t="n">
        <v>3164</v>
      </c>
      <c r="S273" s="570" t="n">
        <v>3210</v>
      </c>
      <c r="T273" s="570" t="n">
        <v>3168</v>
      </c>
      <c r="U273" s="570" t="n">
        <v>3173</v>
      </c>
      <c r="V273" s="570" t="n">
        <v>3195</v>
      </c>
      <c r="W273" s="570" t="n">
        <v>3251</v>
      </c>
      <c r="X273" s="570" t="n">
        <v>3264</v>
      </c>
      <c r="Y273" s="570" t="n">
        <v>3256</v>
      </c>
      <c r="Z273" s="570" t="n">
        <v>3224</v>
      </c>
      <c r="AA273" s="570" t="n">
        <v>3235</v>
      </c>
      <c r="AB273" s="570" t="n">
        <v>3274</v>
      </c>
      <c r="AC273" s="570" t="n">
        <v>3161</v>
      </c>
      <c r="AD273" s="570" t="n">
        <v>3147</v>
      </c>
      <c r="AE273" s="570" t="n">
        <v>3130</v>
      </c>
      <c r="AF273" s="570" t="n">
        <v>3188</v>
      </c>
      <c r="AG273" s="570" t="n">
        <v>3173</v>
      </c>
      <c r="AH273" s="570" t="n">
        <v>3111</v>
      </c>
      <c r="AI273" s="570" t="n">
        <v>3141</v>
      </c>
      <c r="AJ273" s="570" t="n">
        <v>3281</v>
      </c>
      <c r="AK273" s="570" t="n">
        <v>3285</v>
      </c>
      <c r="AL273" s="570" t="n">
        <v>3202</v>
      </c>
      <c r="AM273" s="570" t="n">
        <v>3194</v>
      </c>
      <c r="AN273" s="570" t="n">
        <v>3180</v>
      </c>
      <c r="AO273" s="570" t="n">
        <v>3188</v>
      </c>
      <c r="AP273" s="570" t="n">
        <v>3174</v>
      </c>
      <c r="AQ273" s="570" t="n">
        <v>3189</v>
      </c>
      <c r="AR273" s="570" t="n">
        <v>3200</v>
      </c>
      <c r="AS273" s="570" t="n">
        <v>3212</v>
      </c>
      <c r="AT273" s="570" t="n">
        <v>3169</v>
      </c>
      <c r="AU273" s="570" t="n">
        <v>3143</v>
      </c>
      <c r="AV273" s="570" t="n">
        <v>3216</v>
      </c>
      <c r="AW273" s="570" t="n">
        <v>3258</v>
      </c>
      <c r="AX273" s="570" t="n">
        <v>3295</v>
      </c>
      <c r="AY273" s="570" t="n">
        <v>3266</v>
      </c>
      <c r="AZ273" s="570" t="n">
        <v>3254</v>
      </c>
      <c r="BA273" s="570" t="n">
        <v>3251</v>
      </c>
      <c r="BB273" s="570" t="n">
        <v>3259</v>
      </c>
      <c r="BC273" s="570" t="n">
        <v>3241</v>
      </c>
      <c r="BD273" s="570" t="n">
        <v>3230</v>
      </c>
      <c r="BE273" s="570" t="n">
        <v>3235</v>
      </c>
      <c r="BF273" s="570" t="n">
        <v>3327</v>
      </c>
      <c r="BG273" s="570" t="n">
        <v>3191</v>
      </c>
      <c r="BH273" s="570" t="n">
        <v>3121</v>
      </c>
      <c r="BI273" s="570" t="n">
        <v>3039</v>
      </c>
      <c r="BJ273" s="570" t="n">
        <v>3010</v>
      </c>
      <c r="BK273" s="570" t="n">
        <v>3149</v>
      </c>
      <c r="BL273" s="570" t="n">
        <v>3144</v>
      </c>
    </row>
    <row r="274">
      <c r="A274" s="65" t="inlineStr">
        <is>
          <t>6848</t>
        </is>
      </c>
      <c r="B274" s="570">
        <f>銘柄管理!C274</f>
        <v/>
      </c>
      <c r="C274" s="570">
        <f>_xll.RssMarket("6848","高値")</f>
        <v/>
      </c>
      <c r="E274" s="570" t="n">
        <v>888</v>
      </c>
      <c r="F274" s="570" t="n">
        <v>865</v>
      </c>
      <c r="G274" s="570" t="n">
        <v>863</v>
      </c>
      <c r="H274" s="570" t="n">
        <v>871</v>
      </c>
      <c r="I274" s="570" t="n">
        <v>859</v>
      </c>
      <c r="J274" s="570" t="n">
        <v>877</v>
      </c>
      <c r="K274" s="570" t="n">
        <v>878</v>
      </c>
      <c r="L274" s="570" t="n">
        <v>857</v>
      </c>
      <c r="M274" s="570" t="n">
        <v>867</v>
      </c>
      <c r="N274" s="570" t="n">
        <v>886</v>
      </c>
      <c r="O274" s="570" t="n">
        <v>861</v>
      </c>
      <c r="P274" s="570" t="n">
        <v>878</v>
      </c>
      <c r="Q274" s="570" t="n">
        <v>870</v>
      </c>
      <c r="R274" s="570" t="n">
        <v>864</v>
      </c>
      <c r="S274" s="570" t="n">
        <v>865</v>
      </c>
      <c r="T274" s="570" t="n">
        <v>869</v>
      </c>
      <c r="U274" s="570" t="n">
        <v>865</v>
      </c>
      <c r="V274" s="570" t="n">
        <v>862</v>
      </c>
      <c r="W274" s="570" t="n">
        <v>875</v>
      </c>
      <c r="X274" s="570" t="n">
        <v>878</v>
      </c>
      <c r="Y274" s="570" t="n">
        <v>877</v>
      </c>
      <c r="Z274" s="570" t="n">
        <v>871</v>
      </c>
      <c r="AA274" s="570" t="n">
        <v>880</v>
      </c>
      <c r="AB274" s="570" t="n">
        <v>881</v>
      </c>
      <c r="AC274" s="570" t="n">
        <v>880</v>
      </c>
      <c r="AD274" s="570" t="n">
        <v>883</v>
      </c>
      <c r="AE274" s="570" t="n">
        <v>880</v>
      </c>
      <c r="AF274" s="570" t="n">
        <v>877</v>
      </c>
      <c r="AG274" s="570" t="n">
        <v>868</v>
      </c>
      <c r="AH274" s="570" t="n">
        <v>883</v>
      </c>
      <c r="AI274" s="570" t="n">
        <v>876</v>
      </c>
      <c r="AJ274" s="570" t="n">
        <v>880</v>
      </c>
      <c r="AK274" s="570" t="n">
        <v>881</v>
      </c>
      <c r="AL274" s="570" t="n">
        <v>883</v>
      </c>
      <c r="AM274" s="570" t="n">
        <v>884</v>
      </c>
      <c r="AN274" s="570" t="n">
        <v>880</v>
      </c>
      <c r="AO274" s="570" t="n">
        <v>888</v>
      </c>
      <c r="AP274" s="570" t="n">
        <v>879</v>
      </c>
      <c r="AQ274" s="570" t="n">
        <v>874</v>
      </c>
      <c r="AR274" s="570" t="n">
        <v>875</v>
      </c>
      <c r="AS274" s="570" t="n">
        <v>875</v>
      </c>
      <c r="AT274" s="570" t="n">
        <v>878</v>
      </c>
      <c r="AU274" s="570" t="n">
        <v>882</v>
      </c>
      <c r="AV274" s="570" t="n">
        <v>891</v>
      </c>
      <c r="AW274" s="570" t="n">
        <v>891</v>
      </c>
      <c r="AX274" s="570" t="n">
        <v>880</v>
      </c>
      <c r="AY274" s="570" t="n">
        <v>891</v>
      </c>
      <c r="AZ274" s="570" t="n">
        <v>891</v>
      </c>
      <c r="BA274" s="570" t="n">
        <v>889</v>
      </c>
      <c r="BB274" s="570" t="n">
        <v>887</v>
      </c>
      <c r="BC274" s="570" t="n">
        <v>890</v>
      </c>
      <c r="BD274" s="570" t="n">
        <v>900</v>
      </c>
      <c r="BE274" s="570" t="n">
        <v>909</v>
      </c>
      <c r="BF274" s="570" t="n">
        <v>903</v>
      </c>
      <c r="BG274" s="570" t="n">
        <v>900</v>
      </c>
      <c r="BH274" s="570" t="n">
        <v>896</v>
      </c>
      <c r="BI274" s="570" t="n">
        <v>915</v>
      </c>
      <c r="BJ274" s="570" t="n">
        <v>926</v>
      </c>
      <c r="BK274" s="570" t="n">
        <v>925</v>
      </c>
      <c r="BL274" s="570" t="n">
        <v>919</v>
      </c>
    </row>
    <row r="275">
      <c r="A275" s="65" t="inlineStr">
        <is>
          <t>5702</t>
        </is>
      </c>
      <c r="B275" s="570">
        <f>銘柄管理!C275</f>
        <v/>
      </c>
      <c r="C275" s="570">
        <f>_xll.RssMarket("5702","高値")</f>
        <v/>
      </c>
      <c r="E275" s="570" t="n">
        <v>1682</v>
      </c>
      <c r="F275" s="570" t="n">
        <v>1745</v>
      </c>
      <c r="G275" s="570" t="n">
        <v>1753</v>
      </c>
      <c r="H275" s="570" t="n">
        <v>1798</v>
      </c>
      <c r="I275" s="570" t="n">
        <v>1877</v>
      </c>
      <c r="J275" s="570" t="n">
        <v>1880</v>
      </c>
      <c r="K275" s="570" t="n">
        <v>1831</v>
      </c>
      <c r="L275" s="570" t="n">
        <v>1861</v>
      </c>
      <c r="M275" s="570" t="n">
        <v>1879</v>
      </c>
      <c r="N275" s="570" t="n">
        <v>1938</v>
      </c>
      <c r="O275" s="570" t="n">
        <v>1958</v>
      </c>
      <c r="P275" s="570" t="n">
        <v>2039</v>
      </c>
      <c r="Q275" s="570" t="n">
        <v>1965</v>
      </c>
      <c r="R275" s="570" t="n">
        <v>2017</v>
      </c>
      <c r="S275" s="570" t="n">
        <v>1973</v>
      </c>
      <c r="T275" s="570" t="n">
        <v>2074</v>
      </c>
      <c r="U275" s="570" t="n">
        <v>1997</v>
      </c>
      <c r="V275" s="570" t="n">
        <v>1922</v>
      </c>
      <c r="W275" s="570" t="n">
        <v>1877</v>
      </c>
      <c r="X275" s="570" t="n">
        <v>1821</v>
      </c>
      <c r="Y275" s="570" t="n">
        <v>1839</v>
      </c>
      <c r="Z275" s="570" t="n">
        <v>1840</v>
      </c>
      <c r="AA275" s="570" t="n">
        <v>1899</v>
      </c>
      <c r="AB275" s="570" t="n">
        <v>1941</v>
      </c>
      <c r="AC275" s="570" t="n">
        <v>1609</v>
      </c>
      <c r="AD275" s="570" t="n">
        <v>1627</v>
      </c>
      <c r="AE275" s="570" t="n">
        <v>1621</v>
      </c>
      <c r="AF275" s="570" t="n">
        <v>1613</v>
      </c>
      <c r="AG275" s="570" t="n">
        <v>1544</v>
      </c>
      <c r="AH275" s="570" t="n">
        <v>1508</v>
      </c>
      <c r="AI275" s="570" t="n">
        <v>1524</v>
      </c>
      <c r="AJ275" s="570" t="n">
        <v>1491</v>
      </c>
      <c r="AK275" s="570" t="n">
        <v>1467</v>
      </c>
      <c r="AL275" s="570" t="n">
        <v>1468</v>
      </c>
      <c r="AM275" s="570" t="n">
        <v>1491</v>
      </c>
      <c r="AN275" s="570" t="n">
        <v>1497</v>
      </c>
      <c r="AO275" s="570" t="n">
        <v>1545</v>
      </c>
      <c r="AP275" s="570" t="n">
        <v>1520</v>
      </c>
      <c r="AQ275" s="570" t="n">
        <v>1556</v>
      </c>
      <c r="AR275" s="570" t="n">
        <v>1578</v>
      </c>
      <c r="AS275" s="570" t="n">
        <v>1612</v>
      </c>
      <c r="AT275" s="570" t="n">
        <v>1619</v>
      </c>
      <c r="AU275" s="570" t="n">
        <v>1580</v>
      </c>
      <c r="AV275" s="570" t="n">
        <v>1598</v>
      </c>
      <c r="AW275" s="570" t="n">
        <v>1589</v>
      </c>
      <c r="AX275" s="570" t="n">
        <v>1569</v>
      </c>
      <c r="AY275" s="570" t="n">
        <v>1519</v>
      </c>
      <c r="AZ275" s="570" t="n">
        <v>1504</v>
      </c>
      <c r="BA275" s="570" t="n">
        <v>1475</v>
      </c>
      <c r="BB275" s="570" t="n">
        <v>1490</v>
      </c>
      <c r="BC275" s="570" t="n">
        <v>1461</v>
      </c>
      <c r="BD275" s="570" t="n">
        <v>1520</v>
      </c>
      <c r="BE275" s="570" t="n">
        <v>1397</v>
      </c>
      <c r="BF275" s="570" t="n">
        <v>1323</v>
      </c>
      <c r="BG275" s="570" t="n">
        <v>1311</v>
      </c>
      <c r="BH275" s="570" t="n">
        <v>1313</v>
      </c>
      <c r="BI275" s="570" t="n">
        <v>1272</v>
      </c>
      <c r="BJ275" s="570" t="n">
        <v>1252</v>
      </c>
      <c r="BK275" s="570" t="n">
        <v>1356</v>
      </c>
      <c r="BL275" s="570" t="n">
        <v>1378</v>
      </c>
    </row>
    <row r="276">
      <c r="A276" s="65" t="inlineStr">
        <is>
          <t>7952</t>
        </is>
      </c>
      <c r="B276" s="570">
        <f>銘柄管理!C276</f>
        <v/>
      </c>
      <c r="C276" s="570">
        <f>_xll.RssMarket("7952","高値")</f>
        <v/>
      </c>
      <c r="E276" s="570" t="n">
        <v>3370</v>
      </c>
      <c r="F276" s="570" t="n">
        <v>3385</v>
      </c>
      <c r="G276" s="570" t="n">
        <v>3300</v>
      </c>
      <c r="H276" s="570" t="n">
        <v>3340</v>
      </c>
      <c r="I276" s="570" t="n">
        <v>3295</v>
      </c>
      <c r="J276" s="570" t="n">
        <v>3220</v>
      </c>
      <c r="K276" s="570" t="n">
        <v>3050</v>
      </c>
      <c r="L276" s="570" t="n">
        <v>3090</v>
      </c>
      <c r="M276" s="570" t="n">
        <v>3245</v>
      </c>
      <c r="N276" s="570" t="n">
        <v>3230</v>
      </c>
      <c r="O276" s="570" t="n">
        <v>3240</v>
      </c>
      <c r="P276" s="570" t="n">
        <v>3235</v>
      </c>
      <c r="Q276" s="570" t="n">
        <v>3245</v>
      </c>
      <c r="R276" s="570" t="n">
        <v>3250</v>
      </c>
      <c r="S276" s="570" t="n">
        <v>3320</v>
      </c>
      <c r="T276" s="570" t="n">
        <v>3240</v>
      </c>
      <c r="U276" s="570" t="n">
        <v>3055</v>
      </c>
      <c r="V276" s="570" t="n">
        <v>3035</v>
      </c>
      <c r="W276" s="570" t="n">
        <v>2993</v>
      </c>
      <c r="X276" s="570" t="n">
        <v>2984</v>
      </c>
      <c r="Y276" s="570" t="n">
        <v>3100</v>
      </c>
      <c r="Z276" s="570" t="n">
        <v>3155</v>
      </c>
      <c r="AA276" s="570" t="n">
        <v>3170</v>
      </c>
      <c r="AB276" s="570" t="n">
        <v>3225</v>
      </c>
      <c r="AC276" s="570" t="n">
        <v>3015</v>
      </c>
      <c r="AD276" s="570" t="n">
        <v>3000</v>
      </c>
      <c r="AE276" s="570" t="n">
        <v>2959</v>
      </c>
      <c r="AF276" s="570" t="n">
        <v>2828</v>
      </c>
      <c r="AG276" s="570" t="n">
        <v>2783</v>
      </c>
      <c r="AH276" s="570" t="n">
        <v>2840</v>
      </c>
      <c r="AI276" s="570" t="n">
        <v>2794</v>
      </c>
      <c r="AJ276" s="570" t="n">
        <v>2801</v>
      </c>
      <c r="AK276" s="570" t="n">
        <v>2876</v>
      </c>
      <c r="AL276" s="570" t="n">
        <v>2834</v>
      </c>
      <c r="AM276" s="570" t="n">
        <v>2899</v>
      </c>
      <c r="AN276" s="570" t="n">
        <v>3020</v>
      </c>
      <c r="AO276" s="570" t="n">
        <v>3090</v>
      </c>
      <c r="AP276" s="570" t="n">
        <v>3100</v>
      </c>
      <c r="AQ276" s="570" t="n">
        <v>3070</v>
      </c>
      <c r="AR276" s="570" t="n">
        <v>3130</v>
      </c>
      <c r="AS276" s="570" t="n">
        <v>3155</v>
      </c>
      <c r="AT276" s="570" t="n">
        <v>3070</v>
      </c>
      <c r="AU276" s="570" t="n">
        <v>3035</v>
      </c>
      <c r="AV276" s="570" t="n">
        <v>3045</v>
      </c>
      <c r="AW276" s="570" t="n">
        <v>3045</v>
      </c>
      <c r="AX276" s="570" t="n">
        <v>3000</v>
      </c>
      <c r="AY276" s="570" t="n">
        <v>3070</v>
      </c>
      <c r="AZ276" s="570" t="n">
        <v>3015</v>
      </c>
      <c r="BA276" s="570" t="n">
        <v>3005</v>
      </c>
      <c r="BB276" s="570" t="n">
        <v>3060</v>
      </c>
      <c r="BC276" s="570" t="n">
        <v>3090</v>
      </c>
      <c r="BD276" s="570" t="n">
        <v>2987</v>
      </c>
      <c r="BE276" s="570" t="n">
        <v>2859</v>
      </c>
      <c r="BF276" s="570" t="n">
        <v>2785</v>
      </c>
      <c r="BG276" s="570" t="n">
        <v>2873</v>
      </c>
      <c r="BH276" s="570" t="n">
        <v>2798</v>
      </c>
      <c r="BI276" s="570" t="n">
        <v>2778</v>
      </c>
      <c r="BJ276" s="570" t="n">
        <v>2744</v>
      </c>
      <c r="BK276" s="570" t="n">
        <v>2702</v>
      </c>
      <c r="BL276" s="570" t="n">
        <v>2794</v>
      </c>
    </row>
    <row r="277">
      <c r="A277" s="65" t="inlineStr">
        <is>
          <t>3002</t>
        </is>
      </c>
      <c r="B277" s="570">
        <f>銘柄管理!C277</f>
        <v/>
      </c>
      <c r="C277" s="570">
        <f>_xll.RssMarket("3002","高値")</f>
        <v/>
      </c>
      <c r="E277" s="570" t="n">
        <v>3850</v>
      </c>
      <c r="F277" s="570" t="n">
        <v>3865</v>
      </c>
      <c r="G277" s="570" t="n">
        <v>3835</v>
      </c>
      <c r="H277" s="570" t="n">
        <v>3820</v>
      </c>
      <c r="I277" s="570" t="n">
        <v>3865</v>
      </c>
      <c r="J277" s="570" t="n">
        <v>3880</v>
      </c>
      <c r="K277" s="570" t="n">
        <v>3750</v>
      </c>
      <c r="L277" s="570" t="n">
        <v>3780</v>
      </c>
      <c r="M277" s="570" t="n">
        <v>3700</v>
      </c>
      <c r="N277" s="570" t="n">
        <v>3745</v>
      </c>
      <c r="O277" s="570" t="n">
        <v>3695</v>
      </c>
      <c r="P277" s="570" t="n">
        <v>3710</v>
      </c>
      <c r="Q277" s="570" t="n">
        <v>3690</v>
      </c>
      <c r="R277" s="570" t="n">
        <v>3745</v>
      </c>
      <c r="S277" s="570" t="n">
        <v>3710</v>
      </c>
      <c r="T277" s="570" t="n">
        <v>3725</v>
      </c>
      <c r="U277" s="570" t="n">
        <v>3675</v>
      </c>
      <c r="V277" s="570" t="n">
        <v>3695</v>
      </c>
      <c r="W277" s="570" t="n">
        <v>3705</v>
      </c>
      <c r="X277" s="570" t="n">
        <v>3725</v>
      </c>
      <c r="Y277" s="570" t="n">
        <v>3735</v>
      </c>
      <c r="Z277" s="570" t="n">
        <v>3740</v>
      </c>
      <c r="AA277" s="570" t="n">
        <v>3765</v>
      </c>
      <c r="AB277" s="570" t="n">
        <v>3825</v>
      </c>
      <c r="AC277" s="570" t="n">
        <v>3615</v>
      </c>
      <c r="AD277" s="570" t="n">
        <v>3635</v>
      </c>
      <c r="AE277" s="570" t="n">
        <v>3645</v>
      </c>
      <c r="AF277" s="570" t="n">
        <v>3630</v>
      </c>
      <c r="AG277" s="570" t="n">
        <v>3640</v>
      </c>
      <c r="AH277" s="570" t="n">
        <v>3630</v>
      </c>
      <c r="AI277" s="570" t="n">
        <v>3670</v>
      </c>
      <c r="AJ277" s="570" t="n">
        <v>3710</v>
      </c>
      <c r="AK277" s="570" t="n">
        <v>3685</v>
      </c>
      <c r="AL277" s="570" t="n">
        <v>3730</v>
      </c>
      <c r="AM277" s="570" t="n">
        <v>3730</v>
      </c>
      <c r="AN277" s="570" t="n">
        <v>3830</v>
      </c>
      <c r="AO277" s="570" t="n">
        <v>3950</v>
      </c>
      <c r="AP277" s="570" t="n">
        <v>3950</v>
      </c>
      <c r="AQ277" s="570" t="n">
        <v>3940</v>
      </c>
      <c r="AR277" s="570" t="n">
        <v>3935</v>
      </c>
      <c r="AS277" s="570" t="n">
        <v>3915</v>
      </c>
      <c r="AT277" s="570" t="n">
        <v>3930</v>
      </c>
      <c r="AU277" s="570" t="n">
        <v>3955</v>
      </c>
      <c r="AV277" s="570" t="n">
        <v>3995</v>
      </c>
      <c r="AW277" s="570" t="n">
        <v>4000</v>
      </c>
      <c r="AX277" s="570" t="n">
        <v>3960</v>
      </c>
      <c r="AY277" s="570" t="n">
        <v>3925</v>
      </c>
      <c r="AZ277" s="570" t="n">
        <v>3860</v>
      </c>
      <c r="BA277" s="570" t="n">
        <v>3850</v>
      </c>
      <c r="BB277" s="570" t="n">
        <v>3840</v>
      </c>
      <c r="BC277" s="570" t="n">
        <v>3810</v>
      </c>
      <c r="BD277" s="570" t="n">
        <v>3750</v>
      </c>
      <c r="BE277" s="570" t="n">
        <v>3795</v>
      </c>
      <c r="BF277" s="570" t="n">
        <v>4245</v>
      </c>
      <c r="BG277" s="570" t="n">
        <v>4210</v>
      </c>
      <c r="BH277" s="570" t="n">
        <v>4275</v>
      </c>
      <c r="BI277" s="570" t="n">
        <v>4205</v>
      </c>
      <c r="BJ277" s="570" t="n">
        <v>4205</v>
      </c>
      <c r="BK277" s="570" t="n">
        <v>4320</v>
      </c>
      <c r="BL277" s="570" t="n">
        <v>4380</v>
      </c>
    </row>
    <row r="278">
      <c r="A278" s="65" t="inlineStr">
        <is>
          <t>8871</t>
        </is>
      </c>
      <c r="B278" s="570">
        <f>銘柄管理!C278</f>
        <v/>
      </c>
      <c r="C278" s="570">
        <f>_xll.RssMarket("8871","高値")</f>
        <v/>
      </c>
      <c r="E278" s="570" t="n">
        <v>3290</v>
      </c>
      <c r="F278" s="570" t="n">
        <v>3265</v>
      </c>
      <c r="G278" s="570" t="n">
        <v>3345</v>
      </c>
      <c r="H278" s="570" t="n">
        <v>3350</v>
      </c>
      <c r="I278" s="570" t="n">
        <v>3420</v>
      </c>
      <c r="J278" s="570" t="n">
        <v>3370</v>
      </c>
      <c r="K278" s="570" t="n">
        <v>3375</v>
      </c>
      <c r="L278" s="570" t="n">
        <v>3350</v>
      </c>
      <c r="M278" s="570" t="n">
        <v>3300</v>
      </c>
      <c r="N278" s="570" t="n">
        <v>3280</v>
      </c>
      <c r="O278" s="570" t="n">
        <v>3300</v>
      </c>
      <c r="P278" s="570" t="n">
        <v>3400</v>
      </c>
      <c r="Q278" s="570" t="n">
        <v>3480</v>
      </c>
      <c r="R278" s="570" t="n">
        <v>3645</v>
      </c>
      <c r="S278" s="570" t="n">
        <v>3605</v>
      </c>
      <c r="T278" s="570" t="n">
        <v>3670</v>
      </c>
      <c r="U278" s="570" t="n">
        <v>3515</v>
      </c>
      <c r="V278" s="570" t="n">
        <v>3585</v>
      </c>
      <c r="W278" s="570" t="n">
        <v>3620</v>
      </c>
      <c r="X278" s="570" t="n">
        <v>3665</v>
      </c>
      <c r="Y278" s="570" t="n">
        <v>3770</v>
      </c>
      <c r="Z278" s="570" t="n">
        <v>3725</v>
      </c>
      <c r="AA278" s="570" t="n">
        <v>3850</v>
      </c>
      <c r="AB278" s="570" t="n">
        <v>3320</v>
      </c>
      <c r="AC278" s="570" t="n">
        <v>3360</v>
      </c>
      <c r="AD278" s="570" t="n">
        <v>3350</v>
      </c>
      <c r="AE278" s="570" t="n">
        <v>3335</v>
      </c>
      <c r="AF278" s="570" t="n">
        <v>3340</v>
      </c>
      <c r="AG278" s="570" t="n">
        <v>3365</v>
      </c>
      <c r="AH278" s="570" t="n">
        <v>3355</v>
      </c>
      <c r="AI278" s="570" t="n">
        <v>3340</v>
      </c>
      <c r="AJ278" s="570" t="n">
        <v>3375</v>
      </c>
      <c r="AK278" s="570" t="n">
        <v>3370</v>
      </c>
      <c r="AL278" s="570" t="n">
        <v>3325</v>
      </c>
      <c r="AM278" s="570" t="n">
        <v>3335</v>
      </c>
      <c r="AN278" s="570" t="n">
        <v>3400</v>
      </c>
      <c r="AO278" s="570" t="n">
        <v>3440</v>
      </c>
      <c r="AP278" s="570" t="n">
        <v>3445</v>
      </c>
      <c r="AQ278" s="570" t="n">
        <v>3485</v>
      </c>
      <c r="AR278" s="570" t="n">
        <v>3495</v>
      </c>
      <c r="AS278" s="570" t="n">
        <v>3505</v>
      </c>
      <c r="AT278" s="570" t="n">
        <v>3500</v>
      </c>
      <c r="AU278" s="570" t="n">
        <v>3510</v>
      </c>
      <c r="AV278" s="570" t="n">
        <v>3550</v>
      </c>
      <c r="AW278" s="570" t="n">
        <v>3535</v>
      </c>
      <c r="AX278" s="570" t="n">
        <v>3585</v>
      </c>
      <c r="AY278" s="570" t="n">
        <v>3520</v>
      </c>
      <c r="AZ278" s="570" t="n">
        <v>3460</v>
      </c>
      <c r="BA278" s="570" t="n">
        <v>3465</v>
      </c>
      <c r="BB278" s="570" t="n">
        <v>3515</v>
      </c>
      <c r="BC278" s="570" t="n">
        <v>3425</v>
      </c>
      <c r="BD278" s="570" t="n">
        <v>3380</v>
      </c>
      <c r="BE278" s="570" t="n">
        <v>3355</v>
      </c>
      <c r="BF278" s="570" t="n">
        <v>3380</v>
      </c>
      <c r="BG278" s="570" t="n">
        <v>3360</v>
      </c>
      <c r="BH278" s="570" t="n">
        <v>3355</v>
      </c>
      <c r="BI278" s="570" t="n">
        <v>3325</v>
      </c>
      <c r="BJ278" s="570" t="n">
        <v>3310</v>
      </c>
      <c r="BK278" s="570" t="n">
        <v>3360</v>
      </c>
      <c r="BL278" s="570" t="n">
        <v>3350</v>
      </c>
    </row>
    <row r="279">
      <c r="A279" s="65" t="inlineStr">
        <is>
          <t>6918</t>
        </is>
      </c>
      <c r="B279" s="570">
        <f>銘柄管理!C279</f>
        <v/>
      </c>
      <c r="C279" s="570">
        <f>_xll.RssMarket("6918","高値")</f>
        <v/>
      </c>
      <c r="E279" s="570" t="n">
        <v>3595</v>
      </c>
      <c r="F279" s="570" t="n">
        <v>3500</v>
      </c>
      <c r="G279" s="570" t="n">
        <v>3345</v>
      </c>
      <c r="H279" s="570" t="n">
        <v>3335</v>
      </c>
      <c r="I279" s="570" t="n">
        <v>3240</v>
      </c>
      <c r="J279" s="570" t="n">
        <v>3130</v>
      </c>
      <c r="K279" s="570" t="n">
        <v>2978</v>
      </c>
      <c r="L279" s="570" t="n">
        <v>3070</v>
      </c>
      <c r="M279" s="570" t="n">
        <v>3090</v>
      </c>
      <c r="N279" s="570" t="n">
        <v>3295</v>
      </c>
      <c r="O279" s="570" t="n">
        <v>3350</v>
      </c>
      <c r="P279" s="570" t="n">
        <v>3430</v>
      </c>
      <c r="Q279" s="570" t="n">
        <v>3530</v>
      </c>
      <c r="R279" s="570" t="n">
        <v>3570</v>
      </c>
      <c r="S279" s="570" t="n">
        <v>3565</v>
      </c>
      <c r="T279" s="570" t="n">
        <v>3430</v>
      </c>
      <c r="U279" s="570" t="n">
        <v>3515</v>
      </c>
      <c r="V279" s="570" t="n">
        <v>3505</v>
      </c>
      <c r="W279" s="570" t="n">
        <v>3485</v>
      </c>
      <c r="X279" s="570" t="n">
        <v>3525</v>
      </c>
      <c r="Y279" s="570" t="n">
        <v>3750</v>
      </c>
      <c r="Z279" s="570" t="n">
        <v>3790</v>
      </c>
      <c r="AA279" s="570" t="n">
        <v>3615</v>
      </c>
      <c r="AB279" s="570" t="n">
        <v>3645</v>
      </c>
      <c r="AC279" s="570" t="n">
        <v>3665</v>
      </c>
      <c r="AD279" s="570" t="n">
        <v>3750</v>
      </c>
      <c r="AE279" s="570" t="n">
        <v>3700</v>
      </c>
      <c r="AF279" s="570" t="n">
        <v>3330</v>
      </c>
      <c r="AG279" s="570" t="n">
        <v>3320</v>
      </c>
      <c r="AH279" s="570" t="n">
        <v>3140</v>
      </c>
      <c r="AI279" s="570" t="n">
        <v>2944</v>
      </c>
      <c r="AJ279" s="570" t="n">
        <v>3000</v>
      </c>
      <c r="AK279" s="570" t="n">
        <v>3050</v>
      </c>
      <c r="AL279" s="570" t="n">
        <v>3070</v>
      </c>
      <c r="AM279" s="570" t="n">
        <v>3030</v>
      </c>
      <c r="AN279" s="570" t="n">
        <v>3100</v>
      </c>
      <c r="AO279" s="570" t="n">
        <v>3075</v>
      </c>
      <c r="AP279" s="570" t="n">
        <v>2980</v>
      </c>
      <c r="AQ279" s="570" t="n">
        <v>2875</v>
      </c>
      <c r="AR279" s="570" t="n">
        <v>2854</v>
      </c>
      <c r="AS279" s="570" t="n">
        <v>2896</v>
      </c>
      <c r="AT279" s="570" t="n">
        <v>2894</v>
      </c>
      <c r="AU279" s="570" t="n">
        <v>2814</v>
      </c>
      <c r="AV279" s="570" t="n">
        <v>2786</v>
      </c>
      <c r="AW279" s="570" t="n">
        <v>2750</v>
      </c>
      <c r="AX279" s="570" t="n">
        <v>2710</v>
      </c>
      <c r="AY279" s="570" t="n">
        <v>2645</v>
      </c>
      <c r="AZ279" s="570" t="n">
        <v>2640</v>
      </c>
      <c r="BA279" s="570" t="n">
        <v>2694</v>
      </c>
      <c r="BB279" s="570" t="n">
        <v>2700</v>
      </c>
      <c r="BC279" s="570" t="n">
        <v>2669</v>
      </c>
      <c r="BD279" s="570" t="n">
        <v>2601</v>
      </c>
      <c r="BE279" s="570" t="n">
        <v>2669</v>
      </c>
      <c r="BF279" s="570" t="n">
        <v>2779</v>
      </c>
      <c r="BG279" s="570" t="n">
        <v>2820</v>
      </c>
      <c r="BH279" s="570" t="n">
        <v>2818</v>
      </c>
      <c r="BI279" s="570" t="n">
        <v>2761</v>
      </c>
      <c r="BJ279" s="570" t="n">
        <v>2727</v>
      </c>
      <c r="BK279" s="570" t="n">
        <v>2777</v>
      </c>
      <c r="BL279" s="570" t="n">
        <v>2844</v>
      </c>
    </row>
    <row r="280">
      <c r="A280" s="65" t="inlineStr">
        <is>
          <t>6488</t>
        </is>
      </c>
      <c r="B280" s="570">
        <f>銘柄管理!C280</f>
        <v/>
      </c>
      <c r="C280" s="570">
        <f>_xll.RssMarket("6488","高値")</f>
        <v/>
      </c>
      <c r="E280" s="570" t="n">
        <v>947</v>
      </c>
      <c r="F280" s="570" t="n">
        <v>939</v>
      </c>
      <c r="G280" s="570" t="n">
        <v>930</v>
      </c>
      <c r="H280" s="570" t="n">
        <v>920</v>
      </c>
      <c r="I280" s="570" t="n">
        <v>921</v>
      </c>
      <c r="J280" s="570" t="n">
        <v>920</v>
      </c>
      <c r="K280" s="570" t="n">
        <v>931</v>
      </c>
      <c r="L280" s="570" t="n">
        <v>933</v>
      </c>
      <c r="M280" s="570" t="n">
        <v>939</v>
      </c>
      <c r="N280" s="570" t="n">
        <v>938</v>
      </c>
      <c r="O280" s="570" t="n">
        <v>939</v>
      </c>
      <c r="P280" s="570" t="n">
        <v>931</v>
      </c>
      <c r="Q280" s="570" t="n">
        <v>933</v>
      </c>
      <c r="R280" s="570" t="n">
        <v>939</v>
      </c>
      <c r="S280" s="570" t="n">
        <v>943</v>
      </c>
      <c r="T280" s="570" t="n">
        <v>960</v>
      </c>
      <c r="U280" s="570" t="n">
        <v>972</v>
      </c>
      <c r="V280" s="570" t="n">
        <v>973</v>
      </c>
      <c r="W280" s="570" t="n">
        <v>967</v>
      </c>
      <c r="X280" s="570" t="n">
        <v>980</v>
      </c>
      <c r="Y280" s="570" t="n">
        <v>988</v>
      </c>
      <c r="Z280" s="570" t="n">
        <v>995</v>
      </c>
      <c r="AA280" s="570" t="n">
        <v>1014</v>
      </c>
      <c r="AB280" s="570" t="n">
        <v>938</v>
      </c>
      <c r="AC280" s="570" t="n">
        <v>940</v>
      </c>
      <c r="AD280" s="570" t="n">
        <v>947</v>
      </c>
      <c r="AE280" s="570" t="n">
        <v>946</v>
      </c>
      <c r="AF280" s="570" t="n">
        <v>935</v>
      </c>
      <c r="AG280" s="570" t="n">
        <v>943</v>
      </c>
      <c r="AH280" s="570" t="n">
        <v>944</v>
      </c>
      <c r="AI280" s="570" t="n">
        <v>944</v>
      </c>
      <c r="AJ280" s="570" t="n">
        <v>940</v>
      </c>
      <c r="AK280" s="570" t="n">
        <v>940</v>
      </c>
      <c r="AL280" s="570" t="n">
        <v>934</v>
      </c>
      <c r="AM280" s="570" t="n">
        <v>935</v>
      </c>
      <c r="AN280" s="570" t="n">
        <v>953</v>
      </c>
      <c r="AO280" s="570" t="n">
        <v>959</v>
      </c>
      <c r="AP280" s="570" t="n">
        <v>960</v>
      </c>
      <c r="AQ280" s="570" t="n">
        <v>956</v>
      </c>
      <c r="AR280" s="570" t="n">
        <v>946</v>
      </c>
      <c r="AS280" s="570" t="n">
        <v>948</v>
      </c>
      <c r="AT280" s="570" t="n">
        <v>945</v>
      </c>
      <c r="AU280" s="570" t="n">
        <v>945</v>
      </c>
      <c r="AV280" s="570" t="n">
        <v>948</v>
      </c>
      <c r="AW280" s="570" t="n">
        <v>957</v>
      </c>
      <c r="AX280" s="570" t="n">
        <v>936</v>
      </c>
      <c r="AY280" s="570" t="n">
        <v>938</v>
      </c>
      <c r="AZ280" s="570" t="n">
        <v>941</v>
      </c>
      <c r="BA280" s="570" t="n">
        <v>940</v>
      </c>
      <c r="BB280" s="570" t="n">
        <v>940</v>
      </c>
      <c r="BC280" s="570" t="n">
        <v>938</v>
      </c>
      <c r="BD280" s="570" t="n">
        <v>926</v>
      </c>
      <c r="BE280" s="570" t="n">
        <v>967</v>
      </c>
      <c r="BF280" s="570" t="n">
        <v>965</v>
      </c>
      <c r="BG280" s="570" t="n">
        <v>963</v>
      </c>
      <c r="BH280" s="570" t="n">
        <v>950</v>
      </c>
      <c r="BI280" s="570" t="n">
        <v>955</v>
      </c>
      <c r="BJ280" s="570" t="n">
        <v>965</v>
      </c>
      <c r="BK280" s="570" t="n">
        <v>973</v>
      </c>
      <c r="BL280" s="570" t="n">
        <v>981</v>
      </c>
    </row>
    <row r="281">
      <c r="A281" s="65" t="inlineStr">
        <is>
          <t>8007</t>
        </is>
      </c>
      <c r="B281" s="570">
        <f>銘柄管理!C281</f>
        <v/>
      </c>
      <c r="C281" s="570">
        <f>_xll.RssMarket("8007","高値")</f>
        <v/>
      </c>
      <c r="E281" s="570" t="n">
        <v>756</v>
      </c>
      <c r="F281" s="570" t="n">
        <v>751</v>
      </c>
      <c r="G281" s="570" t="n">
        <v>753</v>
      </c>
      <c r="H281" s="570" t="n">
        <v>761</v>
      </c>
      <c r="I281" s="570" t="n">
        <v>765</v>
      </c>
      <c r="J281" s="570" t="n">
        <v>763</v>
      </c>
      <c r="K281" s="570" t="n">
        <v>746</v>
      </c>
      <c r="L281" s="570" t="n">
        <v>740</v>
      </c>
      <c r="M281" s="570" t="n">
        <v>744</v>
      </c>
      <c r="N281" s="570" t="n">
        <v>740</v>
      </c>
      <c r="O281" s="570" t="n">
        <v>744</v>
      </c>
      <c r="P281" s="570" t="n">
        <v>735</v>
      </c>
      <c r="Q281" s="570" t="n">
        <v>734</v>
      </c>
      <c r="R281" s="570" t="n">
        <v>729</v>
      </c>
      <c r="S281" s="570" t="n">
        <v>767</v>
      </c>
      <c r="T281" s="570" t="n">
        <v>765</v>
      </c>
      <c r="U281" s="570" t="n">
        <v>755</v>
      </c>
      <c r="V281" s="570" t="n">
        <v>750</v>
      </c>
      <c r="W281" s="570" t="n">
        <v>748</v>
      </c>
      <c r="X281" s="570" t="n">
        <v>746</v>
      </c>
      <c r="Y281" s="570" t="n">
        <v>745</v>
      </c>
      <c r="Z281" s="570" t="n">
        <v>758</v>
      </c>
      <c r="AA281" s="570" t="n">
        <v>770</v>
      </c>
      <c r="AB281" s="570" t="n">
        <v>802</v>
      </c>
      <c r="AC281" s="570" t="n">
        <v>785</v>
      </c>
      <c r="AD281" s="570" t="n">
        <v>777</v>
      </c>
      <c r="AE281" s="570" t="n">
        <v>779</v>
      </c>
      <c r="AF281" s="570" t="n">
        <v>782</v>
      </c>
      <c r="AG281" s="570" t="n">
        <v>789</v>
      </c>
      <c r="AH281" s="570" t="n">
        <v>796</v>
      </c>
      <c r="AI281" s="570" t="n">
        <v>794</v>
      </c>
      <c r="AJ281" s="570" t="n">
        <v>799</v>
      </c>
      <c r="AK281" s="570" t="n">
        <v>798</v>
      </c>
      <c r="AL281" s="570" t="n">
        <v>774</v>
      </c>
      <c r="AM281" s="570" t="n">
        <v>777</v>
      </c>
      <c r="AN281" s="570" t="n">
        <v>776</v>
      </c>
      <c r="AO281" s="570" t="n">
        <v>787</v>
      </c>
      <c r="AP281" s="570" t="n">
        <v>797</v>
      </c>
      <c r="AQ281" s="570" t="n">
        <v>805</v>
      </c>
      <c r="AR281" s="570" t="n">
        <v>812</v>
      </c>
      <c r="AS281" s="570" t="n">
        <v>816</v>
      </c>
      <c r="AT281" s="570" t="n">
        <v>821</v>
      </c>
      <c r="AU281" s="570" t="n">
        <v>818</v>
      </c>
      <c r="AV281" s="570" t="n">
        <v>820</v>
      </c>
      <c r="AW281" s="570" t="n">
        <v>830</v>
      </c>
      <c r="AX281" s="570" t="n">
        <v>837</v>
      </c>
      <c r="AY281" s="570" t="n">
        <v>838</v>
      </c>
      <c r="AZ281" s="570" t="n">
        <v>830</v>
      </c>
      <c r="BA281" s="570" t="n">
        <v>822</v>
      </c>
      <c r="BB281" s="570" t="n">
        <v>825</v>
      </c>
      <c r="BC281" s="570" t="n">
        <v>834</v>
      </c>
      <c r="BD281" s="570" t="n">
        <v>825</v>
      </c>
      <c r="BE281" s="570" t="n">
        <v>822</v>
      </c>
      <c r="BF281" s="570" t="n">
        <v>814</v>
      </c>
      <c r="BG281" s="570" t="n">
        <v>856</v>
      </c>
      <c r="BH281" s="570" t="n">
        <v>855</v>
      </c>
      <c r="BI281" s="570" t="n">
        <v>853</v>
      </c>
      <c r="BJ281" s="570" t="n">
        <v>836</v>
      </c>
      <c r="BK281" s="570" t="n">
        <v>827</v>
      </c>
      <c r="BL281" s="570" t="n">
        <v>848</v>
      </c>
    </row>
    <row r="282">
      <c r="A282" s="65" t="inlineStr">
        <is>
          <t>4218</t>
        </is>
      </c>
      <c r="B282" s="570">
        <f>銘柄管理!C282</f>
        <v/>
      </c>
      <c r="C282" s="570">
        <f>_xll.RssMarket("4218","高値")</f>
        <v/>
      </c>
      <c r="E282" s="570" t="n">
        <v>1838</v>
      </c>
      <c r="F282" s="570" t="n">
        <v>1858</v>
      </c>
      <c r="G282" s="570" t="n">
        <v>1850</v>
      </c>
      <c r="H282" s="570" t="n">
        <v>1855</v>
      </c>
      <c r="I282" s="570" t="n">
        <v>1845</v>
      </c>
      <c r="J282" s="570" t="n">
        <v>1848</v>
      </c>
      <c r="K282" s="570" t="n">
        <v>1850</v>
      </c>
      <c r="L282" s="570" t="n">
        <v>1841</v>
      </c>
      <c r="M282" s="570" t="n">
        <v>1829</v>
      </c>
      <c r="N282" s="570" t="n">
        <v>1822</v>
      </c>
      <c r="O282" s="570" t="n">
        <v>1811</v>
      </c>
      <c r="P282" s="570" t="n">
        <v>1816</v>
      </c>
      <c r="Q282" s="570" t="n">
        <v>1813</v>
      </c>
      <c r="R282" s="570" t="n">
        <v>1818</v>
      </c>
      <c r="S282" s="570" t="n">
        <v>1852</v>
      </c>
      <c r="T282" s="570" t="n">
        <v>1866</v>
      </c>
      <c r="U282" s="570" t="n">
        <v>1865</v>
      </c>
      <c r="V282" s="570" t="n">
        <v>1875</v>
      </c>
      <c r="W282" s="570" t="n">
        <v>1874</v>
      </c>
      <c r="X282" s="570" t="n">
        <v>1875</v>
      </c>
      <c r="Y282" s="570" t="n">
        <v>1881</v>
      </c>
      <c r="Z282" s="570" t="n">
        <v>1897</v>
      </c>
      <c r="AA282" s="570" t="n">
        <v>1900</v>
      </c>
      <c r="AB282" s="570" t="n">
        <v>1914</v>
      </c>
      <c r="AC282" s="570" t="n">
        <v>1920</v>
      </c>
      <c r="AD282" s="570" t="n">
        <v>1854</v>
      </c>
      <c r="AE282" s="570" t="n">
        <v>1833</v>
      </c>
      <c r="AF282" s="570" t="n">
        <v>1830</v>
      </c>
      <c r="AG282" s="570" t="n">
        <v>1846</v>
      </c>
      <c r="AH282" s="570" t="n">
        <v>1857</v>
      </c>
      <c r="AI282" s="570" t="n">
        <v>1838</v>
      </c>
      <c r="AJ282" s="570" t="n">
        <v>1825</v>
      </c>
      <c r="AK282" s="570" t="n">
        <v>1825</v>
      </c>
      <c r="AL282" s="570" t="n">
        <v>1825</v>
      </c>
      <c r="AM282" s="570" t="n">
        <v>1846</v>
      </c>
      <c r="AN282" s="570" t="n">
        <v>1857</v>
      </c>
      <c r="AO282" s="570" t="n">
        <v>1883</v>
      </c>
      <c r="AP282" s="570" t="n">
        <v>1889</v>
      </c>
      <c r="AQ282" s="570" t="n">
        <v>1898</v>
      </c>
      <c r="AR282" s="570" t="n">
        <v>1893</v>
      </c>
      <c r="AS282" s="570" t="n">
        <v>1897</v>
      </c>
      <c r="AT282" s="570" t="n">
        <v>1895</v>
      </c>
      <c r="AU282" s="570" t="n">
        <v>1898</v>
      </c>
      <c r="AV282" s="570" t="n">
        <v>1898</v>
      </c>
      <c r="AW282" s="570" t="n">
        <v>1913</v>
      </c>
      <c r="AX282" s="570" t="n">
        <v>1913</v>
      </c>
      <c r="AY282" s="570" t="n">
        <v>1920</v>
      </c>
      <c r="AZ282" s="570" t="n">
        <v>1913</v>
      </c>
      <c r="BA282" s="570" t="n">
        <v>1908</v>
      </c>
      <c r="BB282" s="570" t="n">
        <v>1901</v>
      </c>
      <c r="BC282" s="570" t="n">
        <v>1905</v>
      </c>
      <c r="BD282" s="570" t="n">
        <v>1897</v>
      </c>
      <c r="BE282" s="570" t="n">
        <v>1889</v>
      </c>
      <c r="BF282" s="570" t="n">
        <v>1878</v>
      </c>
      <c r="BG282" s="570" t="n">
        <v>1933</v>
      </c>
      <c r="BH282" s="570" t="n">
        <v>1922</v>
      </c>
      <c r="BI282" s="570" t="n">
        <v>1912</v>
      </c>
      <c r="BJ282" s="570" t="n">
        <v>1898</v>
      </c>
      <c r="BK282" s="570" t="n">
        <v>1890</v>
      </c>
      <c r="BL282" s="570" t="n">
        <v>1907</v>
      </c>
    </row>
    <row r="283">
      <c r="A283" s="65" t="inlineStr">
        <is>
          <t>7735</t>
        </is>
      </c>
      <c r="B283" s="570">
        <f>銘柄管理!C283</f>
        <v/>
      </c>
      <c r="C283" s="570">
        <f>_xll.RssMarket("7735","高値")</f>
        <v/>
      </c>
      <c r="E283" s="570" t="n">
        <v>17455</v>
      </c>
      <c r="F283" s="570" t="n">
        <v>17160</v>
      </c>
      <c r="G283" s="570" t="n">
        <v>16550</v>
      </c>
      <c r="H283" s="570" t="n">
        <v>15375</v>
      </c>
      <c r="I283" s="570" t="n">
        <v>15720</v>
      </c>
      <c r="J283" s="570" t="n">
        <v>14985</v>
      </c>
      <c r="K283" s="570" t="n">
        <v>14225</v>
      </c>
      <c r="L283" s="570" t="n">
        <v>13080</v>
      </c>
      <c r="M283" s="570" t="n">
        <v>13690</v>
      </c>
      <c r="N283" s="570" t="n">
        <v>11940</v>
      </c>
      <c r="O283" s="570" t="n">
        <v>13075</v>
      </c>
      <c r="P283" s="570" t="n">
        <v>13465</v>
      </c>
      <c r="Q283" s="570" t="n">
        <v>13420</v>
      </c>
      <c r="R283" s="570" t="n">
        <v>11370</v>
      </c>
      <c r="S283" s="570" t="n">
        <v>11290</v>
      </c>
      <c r="T283" s="570" t="n">
        <v>11215</v>
      </c>
      <c r="U283" s="570" t="n">
        <v>11550</v>
      </c>
      <c r="V283" s="570" t="n">
        <v>11180</v>
      </c>
      <c r="W283" s="570" t="n">
        <v>11105</v>
      </c>
      <c r="X283" s="570" t="n">
        <v>10990</v>
      </c>
      <c r="Y283" s="570" t="n">
        <v>10730</v>
      </c>
      <c r="Z283" s="570" t="n">
        <v>11035</v>
      </c>
      <c r="AA283" s="570" t="n">
        <v>11405</v>
      </c>
      <c r="AB283" s="570" t="n">
        <v>12525</v>
      </c>
      <c r="AC283" s="570" t="n">
        <v>13155</v>
      </c>
      <c r="AD283" s="570" t="n">
        <v>11460</v>
      </c>
      <c r="AE283" s="570" t="n">
        <v>11630</v>
      </c>
      <c r="AF283" s="570" t="n">
        <v>11675</v>
      </c>
      <c r="AG283" s="570" t="n">
        <v>11380</v>
      </c>
      <c r="AH283" s="570" t="n">
        <v>11325</v>
      </c>
      <c r="AI283" s="570" t="n">
        <v>10680</v>
      </c>
      <c r="AJ283" s="570" t="n">
        <v>10450</v>
      </c>
      <c r="AK283" s="570" t="n">
        <v>10795</v>
      </c>
      <c r="AL283" s="570" t="n">
        <v>11070</v>
      </c>
      <c r="AM283" s="570" t="n">
        <v>10730</v>
      </c>
      <c r="AN283" s="570" t="n">
        <v>10765</v>
      </c>
      <c r="AO283" s="570" t="n">
        <v>10625</v>
      </c>
      <c r="AP283" s="570" t="n">
        <v>10920</v>
      </c>
      <c r="AQ283" s="570" t="n">
        <v>10815</v>
      </c>
      <c r="AR283" s="570" t="n">
        <v>11120</v>
      </c>
      <c r="AS283" s="570" t="n">
        <v>11310</v>
      </c>
      <c r="AT283" s="570" t="n">
        <v>11370</v>
      </c>
      <c r="AU283" s="570" t="n">
        <v>11230</v>
      </c>
      <c r="AV283" s="570" t="n">
        <v>10815</v>
      </c>
      <c r="AW283" s="570" t="n">
        <v>10780</v>
      </c>
      <c r="AX283" s="570" t="n">
        <v>10290</v>
      </c>
      <c r="AY283" s="570" t="n">
        <v>10055</v>
      </c>
      <c r="AZ283" s="570" t="n">
        <v>9410</v>
      </c>
      <c r="BA283" s="570" t="n">
        <v>9533</v>
      </c>
      <c r="BB283" s="570" t="n">
        <v>9309</v>
      </c>
      <c r="BC283" s="570" t="n">
        <v>9677</v>
      </c>
      <c r="BD283" s="570" t="n">
        <v>9498</v>
      </c>
      <c r="BE283" s="570" t="n">
        <v>9260</v>
      </c>
      <c r="BF283" s="570" t="n">
        <v>9119</v>
      </c>
      <c r="BG283" s="570" t="n">
        <v>9627.5</v>
      </c>
      <c r="BH283" s="570" t="n">
        <v>10037.5</v>
      </c>
      <c r="BI283" s="570" t="n">
        <v>10065</v>
      </c>
      <c r="BJ283" s="570" t="n">
        <v>9845</v>
      </c>
      <c r="BK283" s="570" t="n">
        <v>9512.5</v>
      </c>
      <c r="BL283" s="570" t="n">
        <v>9970</v>
      </c>
    </row>
    <row r="284">
      <c r="A284" s="65" t="inlineStr">
        <is>
          <t>3905</t>
        </is>
      </c>
      <c r="B284" s="570">
        <f>銘柄管理!C284</f>
        <v/>
      </c>
      <c r="C284" s="570">
        <f>_xll.RssMarket("3905","高値")</f>
        <v/>
      </c>
      <c r="E284" s="570" t="n">
        <v>5410</v>
      </c>
      <c r="F284" s="570" t="n">
        <v>5950</v>
      </c>
      <c r="G284" s="570" t="n">
        <v>5360</v>
      </c>
      <c r="H284" s="570" t="n">
        <v>5030</v>
      </c>
      <c r="I284" s="570" t="n">
        <v>5240</v>
      </c>
      <c r="J284" s="570" t="n">
        <v>5100</v>
      </c>
      <c r="K284" s="570" t="n">
        <v>4645</v>
      </c>
      <c r="L284" s="570" t="n">
        <v>4715</v>
      </c>
      <c r="M284" s="570" t="n">
        <v>4470</v>
      </c>
      <c r="N284" s="570" t="n">
        <v>5040</v>
      </c>
      <c r="O284" s="570" t="n">
        <v>5740</v>
      </c>
      <c r="P284" s="570" t="n">
        <v>5690</v>
      </c>
      <c r="Q284" s="570" t="n">
        <v>5060</v>
      </c>
      <c r="R284" s="570" t="n">
        <v>4865</v>
      </c>
      <c r="S284" s="570" t="n">
        <v>6140</v>
      </c>
      <c r="T284" s="570" t="n">
        <v>5140</v>
      </c>
      <c r="U284" s="570" t="n">
        <v>4820</v>
      </c>
      <c r="V284" s="570" t="n">
        <v>5000</v>
      </c>
      <c r="W284" s="570" t="n">
        <v>4800</v>
      </c>
      <c r="X284" s="570" t="n">
        <v>4100</v>
      </c>
      <c r="Y284" s="570" t="n">
        <v>3465</v>
      </c>
      <c r="Z284" s="570" t="n">
        <v>3345</v>
      </c>
      <c r="AA284" s="570" t="n">
        <v>2843</v>
      </c>
      <c r="AB284" s="570" t="n">
        <v>2465</v>
      </c>
      <c r="AC284" s="570" t="n">
        <v>2367</v>
      </c>
      <c r="AD284" s="570" t="n">
        <v>2318</v>
      </c>
      <c r="AE284" s="570" t="n">
        <v>2498</v>
      </c>
      <c r="AF284" s="570" t="n">
        <v>2550</v>
      </c>
      <c r="AG284" s="570" t="n">
        <v>2089</v>
      </c>
      <c r="AH284" s="570" t="n">
        <v>1689</v>
      </c>
      <c r="AI284" s="570" t="n">
        <v>1509</v>
      </c>
      <c r="AJ284" s="570" t="n">
        <v>1515</v>
      </c>
      <c r="AK284" s="570" t="n">
        <v>1503</v>
      </c>
      <c r="AL284" s="570" t="n">
        <v>1478</v>
      </c>
      <c r="AM284" s="570" t="n">
        <v>1519</v>
      </c>
      <c r="AN284" s="570" t="n">
        <v>1545</v>
      </c>
      <c r="AO284" s="570" t="n">
        <v>1590</v>
      </c>
      <c r="AP284" s="570" t="n">
        <v>1673</v>
      </c>
      <c r="AQ284" s="570" t="n">
        <v>1648</v>
      </c>
      <c r="AR284" s="570" t="n">
        <v>1619</v>
      </c>
      <c r="AS284" s="570" t="n">
        <v>1680</v>
      </c>
      <c r="AT284" s="570" t="n">
        <v>1509</v>
      </c>
      <c r="AU284" s="570" t="n">
        <v>1451</v>
      </c>
      <c r="AV284" s="570" t="n">
        <v>1369</v>
      </c>
      <c r="AW284" s="570" t="n">
        <v>1418</v>
      </c>
      <c r="AX284" s="570" t="n">
        <v>1385</v>
      </c>
      <c r="AY284" s="570" t="n">
        <v>1400</v>
      </c>
      <c r="AZ284" s="570" t="n">
        <v>1341</v>
      </c>
      <c r="BA284" s="570" t="n">
        <v>1345</v>
      </c>
      <c r="BB284" s="570" t="n">
        <v>1383</v>
      </c>
      <c r="BC284" s="570" t="n">
        <v>1394</v>
      </c>
      <c r="BD284" s="570" t="n">
        <v>1384</v>
      </c>
      <c r="BE284" s="570" t="n">
        <v>1331</v>
      </c>
      <c r="BF284" s="570" t="n">
        <v>1339</v>
      </c>
      <c r="BG284" s="570" t="n">
        <v>1404</v>
      </c>
      <c r="BH284" s="570" t="n">
        <v>1422</v>
      </c>
      <c r="BI284" s="570" t="n">
        <v>1449</v>
      </c>
      <c r="BJ284" s="570" t="n">
        <v>1349</v>
      </c>
      <c r="BK284" s="570" t="n">
        <v>1412</v>
      </c>
      <c r="BL284" s="570" t="n">
        <v>1517</v>
      </c>
    </row>
    <row r="285">
      <c r="A285" s="65" t="inlineStr">
        <is>
          <t>3397</t>
        </is>
      </c>
      <c r="B285" s="570">
        <f>銘柄管理!C285</f>
        <v/>
      </c>
      <c r="C285" s="570">
        <f>_xll.RssMarket("3397","高値")</f>
        <v/>
      </c>
      <c r="E285" s="570" t="n">
        <v>3614</v>
      </c>
      <c r="F285" s="570" t="n">
        <v>3603</v>
      </c>
      <c r="G285" s="570" t="n">
        <v>3653</v>
      </c>
      <c r="H285" s="570" t="n">
        <v>3742</v>
      </c>
      <c r="I285" s="570" t="n">
        <v>3754</v>
      </c>
      <c r="J285" s="570" t="n">
        <v>3820</v>
      </c>
      <c r="K285" s="570" t="n">
        <v>3913</v>
      </c>
      <c r="L285" s="570" t="n">
        <v>3923</v>
      </c>
      <c r="M285" s="570" t="n">
        <v>3869</v>
      </c>
      <c r="N285" s="570" t="n">
        <v>3809</v>
      </c>
      <c r="O285" s="570" t="n">
        <v>3755</v>
      </c>
      <c r="P285" s="570" t="n">
        <v>3822</v>
      </c>
      <c r="Q285" s="570" t="n">
        <v>3869</v>
      </c>
      <c r="R285" s="570" t="n">
        <v>3853</v>
      </c>
      <c r="S285" s="570" t="n">
        <v>3841</v>
      </c>
      <c r="T285" s="570" t="n">
        <v>3790</v>
      </c>
      <c r="U285" s="570" t="n">
        <v>3739</v>
      </c>
      <c r="V285" s="570" t="n">
        <v>3913</v>
      </c>
      <c r="W285" s="570" t="n">
        <v>3858</v>
      </c>
      <c r="X285" s="570" t="n">
        <v>3897</v>
      </c>
      <c r="Y285" s="570" t="n">
        <v>3925</v>
      </c>
      <c r="Z285" s="570" t="n">
        <v>3864</v>
      </c>
      <c r="AA285" s="570" t="n">
        <v>3806</v>
      </c>
      <c r="AB285" s="570" t="n">
        <v>3965</v>
      </c>
      <c r="AC285" s="570" t="n">
        <v>3980</v>
      </c>
      <c r="AD285" s="570" t="n">
        <v>4030</v>
      </c>
      <c r="AE285" s="570" t="n">
        <v>3950</v>
      </c>
      <c r="AF285" s="570" t="n">
        <v>3975</v>
      </c>
      <c r="AG285" s="570" t="n">
        <v>4052</v>
      </c>
      <c r="AH285" s="570" t="n">
        <v>4014</v>
      </c>
      <c r="AI285" s="570" t="n">
        <v>4039</v>
      </c>
      <c r="AJ285" s="570" t="n">
        <v>4099</v>
      </c>
      <c r="AK285" s="570" t="n">
        <v>4108</v>
      </c>
      <c r="AL285" s="570" t="n">
        <v>4106</v>
      </c>
      <c r="AM285" s="570" t="n">
        <v>4100</v>
      </c>
      <c r="AN285" s="570" t="n">
        <v>4139</v>
      </c>
      <c r="AO285" s="570" t="n">
        <v>4169</v>
      </c>
      <c r="AP285" s="570" t="n">
        <v>4230</v>
      </c>
      <c r="AQ285" s="570" t="n">
        <v>4215</v>
      </c>
      <c r="AR285" s="570" t="n">
        <v>4212</v>
      </c>
      <c r="AS285" s="570" t="n">
        <v>4320</v>
      </c>
      <c r="AT285" s="570" t="n">
        <v>4272</v>
      </c>
      <c r="AU285" s="570" t="n">
        <v>4277</v>
      </c>
      <c r="AV285" s="570" t="n">
        <v>4330</v>
      </c>
      <c r="AW285" s="570" t="n">
        <v>4365</v>
      </c>
      <c r="AX285" s="570" t="n">
        <v>4510</v>
      </c>
      <c r="AY285" s="570" t="n">
        <v>4540</v>
      </c>
      <c r="AZ285" s="570" t="n">
        <v>4563</v>
      </c>
      <c r="BA285" s="570" t="n">
        <v>4558</v>
      </c>
      <c r="BB285" s="570" t="n">
        <v>4560</v>
      </c>
      <c r="BC285" s="570" t="n">
        <v>4553</v>
      </c>
      <c r="BD285" s="570" t="n">
        <v>4500</v>
      </c>
      <c r="BE285" s="570" t="n">
        <v>4382</v>
      </c>
      <c r="BF285" s="570" t="n">
        <v>4332</v>
      </c>
      <c r="BG285" s="570" t="n">
        <v>4407</v>
      </c>
      <c r="BH285" s="570" t="n">
        <v>4396</v>
      </c>
      <c r="BI285" s="570" t="n">
        <v>4411</v>
      </c>
      <c r="BJ285" s="570" t="n">
        <v>4391</v>
      </c>
      <c r="BK285" s="570" t="n">
        <v>4355</v>
      </c>
      <c r="BL285" s="570" t="n">
        <v>4347</v>
      </c>
    </row>
    <row r="286">
      <c r="A286" s="65" t="inlineStr">
        <is>
          <t>7270</t>
        </is>
      </c>
      <c r="B286" s="570">
        <f>銘柄管理!C286</f>
        <v/>
      </c>
      <c r="C286" s="570">
        <f>_xll.RssMarket("7270","高値")</f>
        <v/>
      </c>
      <c r="E286" s="570" t="n">
        <v>2465.5</v>
      </c>
      <c r="F286" s="570" t="n">
        <v>2524</v>
      </c>
      <c r="G286" s="570" t="n">
        <v>2595.5</v>
      </c>
      <c r="H286" s="570" t="n">
        <v>2601.5</v>
      </c>
      <c r="I286" s="570" t="n">
        <v>2564.5</v>
      </c>
      <c r="J286" s="570" t="n">
        <v>2585</v>
      </c>
      <c r="K286" s="570" t="n">
        <v>2533.5</v>
      </c>
      <c r="L286" s="570" t="n">
        <v>2512</v>
      </c>
      <c r="M286" s="570" t="n">
        <v>2582</v>
      </c>
      <c r="N286" s="570" t="n">
        <v>2535</v>
      </c>
      <c r="O286" s="570" t="n">
        <v>2501</v>
      </c>
      <c r="P286" s="570" t="n">
        <v>2523.5</v>
      </c>
      <c r="Q286" s="570" t="n">
        <v>2492</v>
      </c>
      <c r="R286" s="570" t="n">
        <v>2448.5</v>
      </c>
      <c r="S286" s="570" t="n">
        <v>2488</v>
      </c>
      <c r="T286" s="570" t="n">
        <v>2487.5</v>
      </c>
      <c r="U286" s="570" t="n">
        <v>2470</v>
      </c>
      <c r="V286" s="570" t="n">
        <v>2497.5</v>
      </c>
      <c r="W286" s="570" t="n">
        <v>2489</v>
      </c>
      <c r="X286" s="570" t="n">
        <v>2507.5</v>
      </c>
      <c r="Y286" s="570" t="n">
        <v>2471.5</v>
      </c>
      <c r="Z286" s="570" t="n">
        <v>2451</v>
      </c>
      <c r="AA286" s="570" t="n">
        <v>2461.5</v>
      </c>
      <c r="AB286" s="570" t="n">
        <v>2717.5</v>
      </c>
      <c r="AC286" s="570" t="n">
        <v>2402</v>
      </c>
      <c r="AD286" s="570" t="n">
        <v>2348.5</v>
      </c>
      <c r="AE286" s="570" t="n">
        <v>2326</v>
      </c>
      <c r="AF286" s="570" t="n">
        <v>2389.5</v>
      </c>
      <c r="AG286" s="570" t="n">
        <v>2398.5</v>
      </c>
      <c r="AH286" s="570" t="n">
        <v>2379.5</v>
      </c>
      <c r="AI286" s="570" t="n">
        <v>2381</v>
      </c>
      <c r="AJ286" s="570" t="n">
        <v>2377.5</v>
      </c>
      <c r="AK286" s="570" t="n">
        <v>2490.5</v>
      </c>
      <c r="AL286" s="570" t="n">
        <v>2461</v>
      </c>
      <c r="AM286" s="570" t="n">
        <v>2498</v>
      </c>
      <c r="AN286" s="570" t="n">
        <v>2522</v>
      </c>
      <c r="AO286" s="570" t="n">
        <v>2537.5</v>
      </c>
      <c r="AP286" s="570" t="n">
        <v>2571.5</v>
      </c>
      <c r="AQ286" s="570" t="n">
        <v>2576.5</v>
      </c>
      <c r="AR286" s="570" t="n">
        <v>2565.5</v>
      </c>
      <c r="AS286" s="570" t="n">
        <v>2578</v>
      </c>
      <c r="AT286" s="570" t="n">
        <v>2538</v>
      </c>
      <c r="AU286" s="570" t="n">
        <v>2548</v>
      </c>
      <c r="AV286" s="570" t="n">
        <v>2529.5</v>
      </c>
      <c r="AW286" s="570" t="n">
        <v>2558</v>
      </c>
      <c r="AX286" s="570" t="n">
        <v>2591</v>
      </c>
      <c r="AY286" s="570" t="n">
        <v>2609</v>
      </c>
      <c r="AZ286" s="570" t="n">
        <v>2535.5</v>
      </c>
      <c r="BA286" s="570" t="n">
        <v>2551</v>
      </c>
      <c r="BB286" s="570" t="n">
        <v>2549.5</v>
      </c>
      <c r="BC286" s="570" t="n">
        <v>2585.5</v>
      </c>
      <c r="BD286" s="570" t="n">
        <v>2569</v>
      </c>
      <c r="BE286" s="570" t="n">
        <v>2533.5</v>
      </c>
      <c r="BF286" s="570" t="n">
        <v>2487.5</v>
      </c>
      <c r="BG286" s="570" t="n">
        <v>2633.5</v>
      </c>
      <c r="BH286" s="570" t="n">
        <v>2617</v>
      </c>
      <c r="BI286" s="570" t="n">
        <v>2631.5</v>
      </c>
      <c r="BJ286" s="570" t="n">
        <v>2560</v>
      </c>
      <c r="BK286" s="570" t="n">
        <v>2513.5</v>
      </c>
      <c r="BL286" s="570" t="n">
        <v>2578.5</v>
      </c>
    </row>
    <row r="287">
      <c r="A287" s="65" t="inlineStr">
        <is>
          <t>6736</t>
        </is>
      </c>
      <c r="B287" s="570">
        <f>銘柄管理!C287</f>
        <v/>
      </c>
      <c r="C287" s="570">
        <f>_xll.RssMarket("6736","高値")</f>
        <v/>
      </c>
      <c r="E287" s="570" t="n">
        <v>9240</v>
      </c>
      <c r="F287" s="570" t="n">
        <v>9200</v>
      </c>
      <c r="G287" s="570" t="n">
        <v>9290</v>
      </c>
      <c r="H287" s="570" t="n">
        <v>9250</v>
      </c>
      <c r="I287" s="570" t="n">
        <v>9170</v>
      </c>
      <c r="J287" s="570" t="n">
        <v>8890</v>
      </c>
      <c r="K287" s="570" t="n">
        <v>9060</v>
      </c>
      <c r="L287" s="570" t="n">
        <v>9270</v>
      </c>
      <c r="M287" s="570" t="n">
        <v>8730</v>
      </c>
      <c r="N287" s="570" t="n">
        <v>8760</v>
      </c>
      <c r="O287" s="570" t="n">
        <v>9090</v>
      </c>
      <c r="P287" s="570" t="n">
        <v>9250</v>
      </c>
      <c r="Q287" s="570" t="n">
        <v>9500</v>
      </c>
      <c r="R287" s="570" t="n">
        <v>9320</v>
      </c>
      <c r="S287" s="570" t="n">
        <v>9240</v>
      </c>
      <c r="T287" s="570" t="n">
        <v>9320</v>
      </c>
      <c r="U287" s="570" t="n">
        <v>9340</v>
      </c>
      <c r="V287" s="570" t="n">
        <v>9420</v>
      </c>
      <c r="W287" s="570" t="n">
        <v>9800</v>
      </c>
      <c r="X287" s="570" t="n">
        <v>9030</v>
      </c>
      <c r="Y287" s="570" t="n">
        <v>9690</v>
      </c>
      <c r="Z287" s="570" t="n">
        <v>9720</v>
      </c>
      <c r="AA287" s="570" t="n">
        <v>9120</v>
      </c>
      <c r="AB287" s="570" t="n">
        <v>8760</v>
      </c>
      <c r="AC287" s="570" t="n">
        <v>8600</v>
      </c>
      <c r="AD287" s="570" t="n">
        <v>8920</v>
      </c>
      <c r="AE287" s="570" t="n">
        <v>9070</v>
      </c>
      <c r="AF287" s="570" t="n">
        <v>8830</v>
      </c>
      <c r="AG287" s="570" t="n">
        <v>8630</v>
      </c>
      <c r="AH287" s="570" t="n">
        <v>8660</v>
      </c>
      <c r="AI287" s="570" t="n">
        <v>8690</v>
      </c>
      <c r="AJ287" s="570" t="n">
        <v>8340</v>
      </c>
      <c r="AK287" s="570" t="n">
        <v>8310</v>
      </c>
      <c r="AL287" s="570" t="n">
        <v>8180</v>
      </c>
      <c r="AM287" s="570" t="n">
        <v>8240</v>
      </c>
      <c r="AN287" s="570" t="n">
        <v>8360</v>
      </c>
      <c r="AO287" s="570" t="n">
        <v>8050</v>
      </c>
      <c r="AP287" s="570" t="n">
        <v>8210</v>
      </c>
      <c r="AQ287" s="570" t="n">
        <v>8440</v>
      </c>
      <c r="AR287" s="570" t="n">
        <v>8010</v>
      </c>
      <c r="AS287" s="570" t="n">
        <v>7840</v>
      </c>
      <c r="AT287" s="570" t="n">
        <v>8000</v>
      </c>
      <c r="AU287" s="570" t="n">
        <v>8220</v>
      </c>
      <c r="AV287" s="570" t="n">
        <v>8850</v>
      </c>
      <c r="AW287" s="570" t="n">
        <v>9150</v>
      </c>
      <c r="AX287" s="570" t="n">
        <v>9320</v>
      </c>
      <c r="AY287" s="570" t="n">
        <v>8500</v>
      </c>
      <c r="AZ287" s="570" t="n">
        <v>8550</v>
      </c>
      <c r="BA287" s="570" t="n">
        <v>8510</v>
      </c>
      <c r="BB287" s="570" t="n">
        <v>8530</v>
      </c>
      <c r="BC287" s="570" t="n">
        <v>8530</v>
      </c>
      <c r="BD287" s="570" t="n">
        <v>8320</v>
      </c>
      <c r="BE287" s="570" t="n">
        <v>8290</v>
      </c>
      <c r="BF287" s="570" t="n">
        <v>8660</v>
      </c>
      <c r="BG287" s="570" t="n">
        <v>8620</v>
      </c>
      <c r="BH287" s="570" t="n">
        <v>8160</v>
      </c>
      <c r="BI287" s="570" t="n">
        <v>7920</v>
      </c>
      <c r="BJ287" s="570" t="n">
        <v>7740</v>
      </c>
      <c r="BK287" s="570" t="n">
        <v>7820</v>
      </c>
      <c r="BL287" s="570" t="n">
        <v>7850</v>
      </c>
    </row>
    <row r="288">
      <c r="A288" s="65" t="inlineStr">
        <is>
          <t>2933</t>
        </is>
      </c>
      <c r="B288" s="570">
        <f>銘柄管理!C288</f>
        <v/>
      </c>
      <c r="C288" s="570">
        <f>_xll.RssMarket("2933","高値")</f>
        <v/>
      </c>
      <c r="E288" s="570" t="n">
        <v>1067</v>
      </c>
      <c r="F288" s="570" t="n">
        <v>1065</v>
      </c>
      <c r="G288" s="570" t="n">
        <v>1059</v>
      </c>
      <c r="H288" s="570" t="n">
        <v>1057</v>
      </c>
      <c r="I288" s="570" t="n">
        <v>1050</v>
      </c>
      <c r="J288" s="570" t="n">
        <v>1053</v>
      </c>
      <c r="K288" s="570" t="n">
        <v>1054</v>
      </c>
      <c r="L288" s="570" t="n">
        <v>1051</v>
      </c>
      <c r="M288" s="570" t="n">
        <v>1048</v>
      </c>
      <c r="N288" s="570" t="n">
        <v>1041</v>
      </c>
      <c r="O288" s="570" t="n">
        <v>1029</v>
      </c>
      <c r="P288" s="570" t="n">
        <v>1028</v>
      </c>
      <c r="Q288" s="570" t="n">
        <v>1027</v>
      </c>
      <c r="R288" s="570" t="n">
        <v>1049</v>
      </c>
      <c r="S288" s="570" t="n">
        <v>1047</v>
      </c>
      <c r="T288" s="570" t="n">
        <v>1038</v>
      </c>
      <c r="U288" s="570" t="n">
        <v>1043</v>
      </c>
      <c r="V288" s="570" t="n">
        <v>1046</v>
      </c>
      <c r="W288" s="570" t="n">
        <v>1048</v>
      </c>
      <c r="X288" s="570" t="n">
        <v>1050</v>
      </c>
      <c r="Y288" s="570" t="n">
        <v>1048</v>
      </c>
      <c r="Z288" s="570" t="n">
        <v>1059</v>
      </c>
      <c r="AA288" s="570" t="n">
        <v>1042</v>
      </c>
      <c r="AB288" s="570" t="n">
        <v>1033</v>
      </c>
      <c r="AC288" s="570" t="n">
        <v>1037</v>
      </c>
      <c r="AD288" s="570" t="n">
        <v>1033</v>
      </c>
      <c r="AE288" s="570" t="n">
        <v>1029</v>
      </c>
      <c r="AF288" s="570" t="n">
        <v>1034</v>
      </c>
      <c r="AG288" s="570" t="n">
        <v>1039</v>
      </c>
      <c r="AH288" s="570" t="n">
        <v>1041</v>
      </c>
      <c r="AI288" s="570" t="n">
        <v>1032</v>
      </c>
      <c r="AJ288" s="570" t="n">
        <v>1028</v>
      </c>
      <c r="AK288" s="570" t="n">
        <v>1033</v>
      </c>
      <c r="AL288" s="570" t="n">
        <v>1044</v>
      </c>
      <c r="AM288" s="570" t="n">
        <v>1041</v>
      </c>
      <c r="AN288" s="570" t="n">
        <v>1052</v>
      </c>
      <c r="AO288" s="570" t="n">
        <v>1065</v>
      </c>
      <c r="AP288" s="570" t="n">
        <v>1066</v>
      </c>
      <c r="AQ288" s="570" t="n">
        <v>1064</v>
      </c>
      <c r="AR288" s="570" t="n">
        <v>1062</v>
      </c>
      <c r="AS288" s="570" t="n">
        <v>1058</v>
      </c>
      <c r="AT288" s="570" t="n">
        <v>1059</v>
      </c>
      <c r="AU288" s="570" t="n">
        <v>1064</v>
      </c>
      <c r="AV288" s="570" t="n">
        <v>1064</v>
      </c>
      <c r="AW288" s="570" t="n">
        <v>1069</v>
      </c>
      <c r="AX288" s="570" t="n">
        <v>1073</v>
      </c>
      <c r="AY288" s="570" t="n">
        <v>1069</v>
      </c>
      <c r="AZ288" s="570" t="n">
        <v>1063</v>
      </c>
      <c r="BA288" s="570" t="n">
        <v>1059</v>
      </c>
      <c r="BB288" s="570" t="n">
        <v>1059</v>
      </c>
      <c r="BC288" s="570" t="n">
        <v>1056</v>
      </c>
      <c r="BD288" s="570" t="n">
        <v>1048</v>
      </c>
      <c r="BE288" s="570" t="n">
        <v>1040</v>
      </c>
      <c r="BF288" s="570" t="n">
        <v>1063</v>
      </c>
      <c r="BG288" s="570" t="n">
        <v>1057</v>
      </c>
      <c r="BH288" s="570" t="n">
        <v>1053</v>
      </c>
      <c r="BI288" s="570" t="n">
        <v>1044</v>
      </c>
      <c r="BJ288" s="570" t="n">
        <v>1038</v>
      </c>
      <c r="BK288" s="570" t="n">
        <v>1047</v>
      </c>
      <c r="BL288" s="570" t="n">
        <v>1053</v>
      </c>
    </row>
    <row r="289">
      <c r="A289" s="65" t="inlineStr">
        <is>
          <t>4047</t>
        </is>
      </c>
      <c r="B289" s="570">
        <f>銘柄管理!C289</f>
        <v/>
      </c>
      <c r="C289" s="570">
        <f>_xll.RssMarket("4047","高値")</f>
        <v/>
      </c>
      <c r="E289" s="570" t="n">
        <v>4140</v>
      </c>
      <c r="F289" s="570" t="n">
        <v>4080</v>
      </c>
      <c r="G289" s="570" t="n">
        <v>4025</v>
      </c>
      <c r="H289" s="570" t="n">
        <v>3965</v>
      </c>
      <c r="I289" s="570" t="n">
        <v>3870</v>
      </c>
      <c r="J289" s="570" t="n">
        <v>4170</v>
      </c>
      <c r="K289" s="570" t="n">
        <v>4270</v>
      </c>
      <c r="L289" s="570" t="n">
        <v>4025</v>
      </c>
      <c r="M289" s="570" t="n">
        <v>4165</v>
      </c>
      <c r="N289" s="570" t="n">
        <v>3985</v>
      </c>
      <c r="O289" s="570" t="n">
        <v>4400</v>
      </c>
      <c r="P289" s="570" t="n">
        <v>4405</v>
      </c>
      <c r="Q289" s="570" t="n">
        <v>3860</v>
      </c>
      <c r="R289" s="570" t="n">
        <v>3565</v>
      </c>
      <c r="S289" s="570" t="n">
        <v>3775</v>
      </c>
      <c r="T289" s="570" t="n">
        <v>3485</v>
      </c>
      <c r="U289" s="570" t="n">
        <v>3550</v>
      </c>
      <c r="V289" s="570" t="n">
        <v>3490</v>
      </c>
      <c r="W289" s="570" t="n">
        <v>3125</v>
      </c>
      <c r="X289" s="570" t="n">
        <v>2970</v>
      </c>
      <c r="Y289" s="570" t="n">
        <v>2775</v>
      </c>
      <c r="Z289" s="570" t="n">
        <v>2940</v>
      </c>
      <c r="AA289" s="570" t="n">
        <v>2550</v>
      </c>
      <c r="AB289" s="570" t="n">
        <v>2148</v>
      </c>
      <c r="AC289" s="570" t="n">
        <v>2187</v>
      </c>
      <c r="AD289" s="570" t="n">
        <v>2120</v>
      </c>
      <c r="AE289" s="570" t="n">
        <v>2029</v>
      </c>
      <c r="AF289" s="570" t="n">
        <v>1914</v>
      </c>
      <c r="AG289" s="570" t="n">
        <v>1864</v>
      </c>
      <c r="AH289" s="570" t="n">
        <v>1860</v>
      </c>
      <c r="AI289" s="570" t="n">
        <v>1719</v>
      </c>
      <c r="AJ289" s="570" t="n">
        <v>1694</v>
      </c>
      <c r="AK289" s="570" t="n">
        <v>1700</v>
      </c>
      <c r="AL289" s="570" t="n">
        <v>1679</v>
      </c>
      <c r="AM289" s="570" t="n">
        <v>1660</v>
      </c>
      <c r="AN289" s="570" t="n">
        <v>1661</v>
      </c>
      <c r="AO289" s="570" t="n">
        <v>1671</v>
      </c>
      <c r="AP289" s="570" t="n">
        <v>1681</v>
      </c>
      <c r="AQ289" s="570" t="n">
        <v>1654</v>
      </c>
      <c r="AR289" s="570" t="n">
        <v>1665</v>
      </c>
      <c r="AS289" s="570" t="n">
        <v>1687</v>
      </c>
      <c r="AT289" s="570" t="n">
        <v>1764</v>
      </c>
      <c r="AU289" s="570" t="n">
        <v>1709</v>
      </c>
      <c r="AV289" s="570" t="n">
        <v>1653</v>
      </c>
      <c r="AW289" s="570" t="n">
        <v>1635</v>
      </c>
      <c r="AX289" s="570" t="n">
        <v>1607</v>
      </c>
      <c r="AY289" s="570" t="n">
        <v>1615</v>
      </c>
      <c r="AZ289" s="570" t="n">
        <v>1442</v>
      </c>
      <c r="BA289" s="570" t="n">
        <v>1404</v>
      </c>
      <c r="BB289" s="570" t="n">
        <v>1388</v>
      </c>
      <c r="BC289" s="570" t="n">
        <v>1429</v>
      </c>
      <c r="BD289" s="570" t="n">
        <v>1428</v>
      </c>
      <c r="BE289" s="570" t="n">
        <v>1402</v>
      </c>
      <c r="BF289" s="570" t="n">
        <v>1419</v>
      </c>
      <c r="BG289" s="570" t="n">
        <v>1508</v>
      </c>
      <c r="BH289" s="570" t="n">
        <v>1540</v>
      </c>
      <c r="BI289" s="570" t="n">
        <v>1495</v>
      </c>
      <c r="BJ289" s="570" t="n">
        <v>1421</v>
      </c>
      <c r="BK289" s="570" t="n">
        <v>1402</v>
      </c>
      <c r="BL289" s="570" t="n">
        <v>1508</v>
      </c>
    </row>
    <row r="290">
      <c r="A290" s="65" t="inlineStr">
        <is>
          <t>6482</t>
        </is>
      </c>
      <c r="B290" s="570">
        <f>銘柄管理!C290</f>
        <v/>
      </c>
      <c r="C290" s="570">
        <f>_xll.RssMarket("6482","高値")</f>
        <v/>
      </c>
      <c r="E290" s="570" t="n">
        <v>755</v>
      </c>
      <c r="F290" s="570" t="n">
        <v>754</v>
      </c>
      <c r="G290" s="570" t="n">
        <v>785</v>
      </c>
      <c r="H290" s="570" t="n">
        <v>780</v>
      </c>
      <c r="I290" s="570" t="n">
        <v>713</v>
      </c>
      <c r="J290" s="570" t="n">
        <v>704</v>
      </c>
      <c r="K290" s="570" t="n">
        <v>684</v>
      </c>
      <c r="L290" s="570" t="n">
        <v>675</v>
      </c>
      <c r="M290" s="570" t="n">
        <v>689</v>
      </c>
      <c r="N290" s="570" t="n">
        <v>667</v>
      </c>
      <c r="O290" s="570" t="n">
        <v>673</v>
      </c>
      <c r="P290" s="570" t="n">
        <v>671</v>
      </c>
      <c r="Q290" s="570" t="n">
        <v>662</v>
      </c>
      <c r="R290" s="570" t="n">
        <v>658</v>
      </c>
      <c r="S290" s="570" t="n">
        <v>678</v>
      </c>
      <c r="T290" s="570" t="n">
        <v>681</v>
      </c>
      <c r="U290" s="570" t="n">
        <v>678</v>
      </c>
      <c r="V290" s="570" t="n">
        <v>722</v>
      </c>
      <c r="W290" s="570" t="n">
        <v>721</v>
      </c>
      <c r="X290" s="570" t="n">
        <v>714</v>
      </c>
      <c r="Y290" s="570" t="n">
        <v>712</v>
      </c>
      <c r="Z290" s="570" t="n">
        <v>736</v>
      </c>
      <c r="AA290" s="570" t="n">
        <v>746</v>
      </c>
      <c r="AB290" s="570" t="n">
        <v>755</v>
      </c>
      <c r="AC290" s="570" t="n">
        <v>756</v>
      </c>
      <c r="AD290" s="570" t="n">
        <v>735</v>
      </c>
      <c r="AE290" s="570" t="n">
        <v>744</v>
      </c>
      <c r="AF290" s="570" t="n">
        <v>703</v>
      </c>
      <c r="AG290" s="570" t="n">
        <v>686</v>
      </c>
      <c r="AH290" s="570" t="n">
        <v>695</v>
      </c>
      <c r="AI290" s="570" t="n">
        <v>681</v>
      </c>
      <c r="AJ290" s="570" t="n">
        <v>669</v>
      </c>
      <c r="AK290" s="570" t="n">
        <v>669</v>
      </c>
      <c r="AL290" s="570" t="n">
        <v>663</v>
      </c>
      <c r="AM290" s="570" t="n">
        <v>672</v>
      </c>
      <c r="AN290" s="570" t="n">
        <v>671</v>
      </c>
      <c r="AO290" s="570" t="n">
        <v>680</v>
      </c>
      <c r="AP290" s="570" t="n">
        <v>685</v>
      </c>
      <c r="AQ290" s="570" t="n">
        <v>680</v>
      </c>
      <c r="AR290" s="570" t="n">
        <v>678</v>
      </c>
      <c r="AS290" s="570" t="n">
        <v>685</v>
      </c>
      <c r="AT290" s="570" t="n">
        <v>689</v>
      </c>
      <c r="AU290" s="570" t="n">
        <v>686</v>
      </c>
      <c r="AV290" s="570" t="n">
        <v>686</v>
      </c>
      <c r="AW290" s="570" t="n">
        <v>688</v>
      </c>
      <c r="AX290" s="570" t="n">
        <v>698</v>
      </c>
      <c r="AY290" s="570" t="n">
        <v>700</v>
      </c>
      <c r="AZ290" s="570" t="n">
        <v>692</v>
      </c>
      <c r="BA290" s="570" t="n">
        <v>680</v>
      </c>
      <c r="BB290" s="570" t="n">
        <v>675</v>
      </c>
      <c r="BC290" s="570" t="n">
        <v>681</v>
      </c>
      <c r="BD290" s="570" t="n">
        <v>679</v>
      </c>
      <c r="BE290" s="570" t="n">
        <v>670</v>
      </c>
      <c r="BF290" s="570" t="n">
        <v>672</v>
      </c>
      <c r="BG290" s="570" t="n">
        <v>692</v>
      </c>
      <c r="BH290" s="570" t="n">
        <v>701</v>
      </c>
      <c r="BI290" s="570" t="n">
        <v>696</v>
      </c>
      <c r="BJ290" s="570" t="n">
        <v>687</v>
      </c>
      <c r="BK290" s="570" t="n">
        <v>682</v>
      </c>
      <c r="BL290" s="570" t="n">
        <v>708</v>
      </c>
    </row>
    <row r="291">
      <c r="A291" s="65" t="inlineStr">
        <is>
          <t>6706</t>
        </is>
      </c>
      <c r="B291" s="570">
        <f>銘柄管理!C291</f>
        <v/>
      </c>
      <c r="C291" s="570">
        <f>_xll.RssMarket("6706","高値")</f>
        <v/>
      </c>
      <c r="E291" s="570" t="n">
        <v>3295</v>
      </c>
      <c r="F291" s="570" t="n">
        <v>3225</v>
      </c>
      <c r="G291" s="570" t="n">
        <v>3180</v>
      </c>
      <c r="H291" s="570" t="n">
        <v>3240</v>
      </c>
      <c r="I291" s="570" t="n">
        <v>3275</v>
      </c>
      <c r="J291" s="570" t="n">
        <v>3300</v>
      </c>
      <c r="K291" s="570" t="n">
        <v>3245</v>
      </c>
      <c r="L291" s="570" t="n">
        <v>3290</v>
      </c>
      <c r="M291" s="570" t="n">
        <v>3385</v>
      </c>
      <c r="N291" s="570" t="n">
        <v>3435</v>
      </c>
      <c r="O291" s="570" t="n">
        <v>3505</v>
      </c>
      <c r="P291" s="570" t="n">
        <v>3500</v>
      </c>
      <c r="Q291" s="570" t="n">
        <v>3545</v>
      </c>
      <c r="R291" s="570" t="n">
        <v>3515</v>
      </c>
      <c r="S291" s="570" t="n">
        <v>3580</v>
      </c>
      <c r="T291" s="570" t="n">
        <v>3520</v>
      </c>
      <c r="U291" s="570" t="n">
        <v>3510</v>
      </c>
      <c r="V291" s="570" t="n">
        <v>3535</v>
      </c>
      <c r="W291" s="570" t="n">
        <v>3440</v>
      </c>
      <c r="X291" s="570" t="n">
        <v>3485</v>
      </c>
      <c r="Y291" s="570" t="n">
        <v>3430</v>
      </c>
      <c r="Z291" s="570" t="n">
        <v>3490</v>
      </c>
      <c r="AA291" s="570" t="n">
        <v>3545</v>
      </c>
      <c r="AB291" s="570" t="n">
        <v>3500</v>
      </c>
      <c r="AC291" s="570" t="n">
        <v>3515</v>
      </c>
      <c r="AD291" s="570" t="n">
        <v>3515</v>
      </c>
      <c r="AE291" s="570" t="n">
        <v>3565</v>
      </c>
      <c r="AF291" s="570" t="n">
        <v>3455</v>
      </c>
      <c r="AG291" s="570" t="n">
        <v>3435</v>
      </c>
      <c r="AH291" s="570" t="n">
        <v>3500</v>
      </c>
      <c r="AI291" s="570" t="n">
        <v>3360</v>
      </c>
      <c r="AJ291" s="570" t="n">
        <v>3335</v>
      </c>
      <c r="AK291" s="570" t="n">
        <v>3345</v>
      </c>
      <c r="AL291" s="570" t="n">
        <v>3325</v>
      </c>
      <c r="AM291" s="570" t="n">
        <v>3340</v>
      </c>
      <c r="AN291" s="570" t="n">
        <v>3330</v>
      </c>
      <c r="AO291" s="570" t="n">
        <v>3320</v>
      </c>
      <c r="AP291" s="570" t="n">
        <v>3335</v>
      </c>
      <c r="AQ291" s="570" t="n">
        <v>3340</v>
      </c>
      <c r="AR291" s="570" t="n">
        <v>3330</v>
      </c>
      <c r="AS291" s="570" t="n">
        <v>3305</v>
      </c>
      <c r="AT291" s="570" t="n">
        <v>3335</v>
      </c>
      <c r="AU291" s="570" t="n">
        <v>3250</v>
      </c>
      <c r="AV291" s="570" t="n">
        <v>3175</v>
      </c>
      <c r="AW291" s="570" t="n">
        <v>3115</v>
      </c>
      <c r="AX291" s="570" t="n">
        <v>3155</v>
      </c>
      <c r="AY291" s="570" t="n">
        <v>3190</v>
      </c>
      <c r="AZ291" s="570" t="n">
        <v>3095</v>
      </c>
      <c r="BA291" s="570" t="n">
        <v>3120</v>
      </c>
      <c r="BB291" s="570" t="n">
        <v>3095</v>
      </c>
      <c r="BC291" s="570" t="n">
        <v>3110</v>
      </c>
      <c r="BD291" s="570" t="n">
        <v>3090</v>
      </c>
      <c r="BE291" s="570" t="n">
        <v>3055</v>
      </c>
      <c r="BF291" s="570" t="n">
        <v>3050</v>
      </c>
      <c r="BG291" s="570" t="n">
        <v>3100</v>
      </c>
      <c r="BH291" s="570" t="n">
        <v>3120</v>
      </c>
      <c r="BI291" s="570" t="n">
        <v>3135</v>
      </c>
      <c r="BJ291" s="570" t="n">
        <v>3100</v>
      </c>
      <c r="BK291" s="570" t="n">
        <v>3080</v>
      </c>
      <c r="BL291" s="570" t="n">
        <v>3225</v>
      </c>
    </row>
    <row r="292">
      <c r="A292" s="65" t="inlineStr">
        <is>
          <t>8141</t>
        </is>
      </c>
      <c r="B292" s="570">
        <f>銘柄管理!C292</f>
        <v/>
      </c>
      <c r="C292" s="570">
        <f>_xll.RssMarket("8141","高値")</f>
        <v/>
      </c>
      <c r="E292" s="570" t="n">
        <v>1599</v>
      </c>
      <c r="F292" s="570" t="n">
        <v>1583</v>
      </c>
      <c r="G292" s="570" t="n">
        <v>1585</v>
      </c>
      <c r="H292" s="570" t="n">
        <v>1584</v>
      </c>
      <c r="I292" s="570" t="n">
        <v>1581</v>
      </c>
      <c r="J292" s="570" t="n">
        <v>1582</v>
      </c>
      <c r="K292" s="570" t="n">
        <v>1584</v>
      </c>
      <c r="L292" s="570" t="n">
        <v>1582</v>
      </c>
      <c r="M292" s="570" t="n">
        <v>1584</v>
      </c>
      <c r="N292" s="570" t="n">
        <v>1585</v>
      </c>
      <c r="O292" s="570" t="n">
        <v>1588</v>
      </c>
      <c r="P292" s="570" t="n">
        <v>1590</v>
      </c>
      <c r="Q292" s="570" t="n">
        <v>1580</v>
      </c>
      <c r="R292" s="570" t="n">
        <v>1579</v>
      </c>
      <c r="S292" s="570" t="n">
        <v>1584</v>
      </c>
      <c r="T292" s="570" t="n">
        <v>1601</v>
      </c>
      <c r="U292" s="570" t="n">
        <v>1606</v>
      </c>
      <c r="V292" s="570" t="n">
        <v>1616</v>
      </c>
      <c r="W292" s="570" t="n">
        <v>1617</v>
      </c>
      <c r="X292" s="570" t="n">
        <v>1613</v>
      </c>
      <c r="Y292" s="570" t="n">
        <v>1620</v>
      </c>
      <c r="Z292" s="570" t="n">
        <v>1642</v>
      </c>
      <c r="AA292" s="570" t="n">
        <v>1565</v>
      </c>
      <c r="AB292" s="570" t="n">
        <v>1606</v>
      </c>
      <c r="AC292" s="570" t="n">
        <v>1638</v>
      </c>
      <c r="AD292" s="570" t="n">
        <v>1717</v>
      </c>
      <c r="AE292" s="570" t="n">
        <v>1772</v>
      </c>
      <c r="AF292" s="570" t="n">
        <v>1719</v>
      </c>
      <c r="AG292" s="570" t="n">
        <v>1772</v>
      </c>
      <c r="AH292" s="570" t="n">
        <v>1671</v>
      </c>
      <c r="AI292" s="570" t="n">
        <v>1662</v>
      </c>
      <c r="AJ292" s="570" t="n">
        <v>1601</v>
      </c>
      <c r="AK292" s="570" t="n">
        <v>1554</v>
      </c>
      <c r="AL292" s="570" t="n">
        <v>1565</v>
      </c>
      <c r="AM292" s="570" t="n">
        <v>1599</v>
      </c>
      <c r="AN292" s="570" t="n">
        <v>1584</v>
      </c>
      <c r="AO292" s="570" t="n">
        <v>1583</v>
      </c>
      <c r="AP292" s="570" t="n">
        <v>1570</v>
      </c>
      <c r="AQ292" s="570" t="n">
        <v>1497</v>
      </c>
      <c r="AR292" s="570" t="n">
        <v>1491</v>
      </c>
      <c r="AS292" s="570" t="n">
        <v>1434</v>
      </c>
      <c r="AT292" s="570" t="n">
        <v>1470</v>
      </c>
      <c r="AU292" s="570" t="n">
        <v>1483</v>
      </c>
      <c r="AV292" s="570" t="n">
        <v>1421</v>
      </c>
      <c r="AW292" s="570" t="n">
        <v>1407</v>
      </c>
      <c r="AX292" s="570" t="n">
        <v>1395</v>
      </c>
      <c r="AY292" s="570" t="n">
        <v>1366</v>
      </c>
      <c r="AZ292" s="570" t="n">
        <v>1318</v>
      </c>
      <c r="BA292" s="570" t="n">
        <v>1318</v>
      </c>
      <c r="BB292" s="570" t="n">
        <v>1293</v>
      </c>
      <c r="BC292" s="570" t="n">
        <v>1295</v>
      </c>
      <c r="BD292" s="570" t="n">
        <v>1310</v>
      </c>
      <c r="BE292" s="570" t="n">
        <v>1256</v>
      </c>
      <c r="BF292" s="570" t="n">
        <v>1248</v>
      </c>
      <c r="BG292" s="570" t="n">
        <v>1221</v>
      </c>
      <c r="BH292" s="570" t="n">
        <v>1274</v>
      </c>
      <c r="BI292" s="570" t="n">
        <v>1107</v>
      </c>
      <c r="BJ292" s="570" t="n">
        <v>1091</v>
      </c>
      <c r="BK292" s="570" t="n">
        <v>1107</v>
      </c>
      <c r="BL292" s="570" t="n">
        <v>1110</v>
      </c>
    </row>
    <row r="293">
      <c r="A293" s="65" t="inlineStr">
        <is>
          <t>8344</t>
        </is>
      </c>
      <c r="B293" s="570">
        <f>銘柄管理!C293</f>
        <v/>
      </c>
      <c r="C293" s="570">
        <f>_xll.RssMarket("8344","高値")</f>
        <v/>
      </c>
      <c r="E293" s="570" t="n">
        <v>3395</v>
      </c>
      <c r="F293" s="570" t="n">
        <v>3485</v>
      </c>
      <c r="G293" s="570" t="n">
        <v>3545</v>
      </c>
      <c r="H293" s="570" t="n">
        <v>3660</v>
      </c>
      <c r="I293" s="570" t="n">
        <v>3580</v>
      </c>
      <c r="J293" s="570" t="n">
        <v>3600</v>
      </c>
      <c r="K293" s="570" t="n">
        <v>3540</v>
      </c>
      <c r="L293" s="570" t="n">
        <v>3445</v>
      </c>
      <c r="M293" s="570" t="n">
        <v>3430</v>
      </c>
      <c r="N293" s="570" t="n">
        <v>3075</v>
      </c>
      <c r="O293" s="570" t="n">
        <v>3105</v>
      </c>
      <c r="P293" s="570" t="n">
        <v>3080</v>
      </c>
      <c r="Q293" s="570" t="n">
        <v>3065</v>
      </c>
      <c r="R293" s="570" t="n">
        <v>3060</v>
      </c>
      <c r="S293" s="570" t="n">
        <v>3175</v>
      </c>
      <c r="T293" s="570" t="n">
        <v>3115</v>
      </c>
      <c r="U293" s="570" t="n">
        <v>3105</v>
      </c>
      <c r="V293" s="570" t="n">
        <v>3025</v>
      </c>
      <c r="W293" s="570" t="n">
        <v>3165</v>
      </c>
      <c r="X293" s="570" t="n">
        <v>3150</v>
      </c>
      <c r="Y293" s="570" t="n">
        <v>3010</v>
      </c>
      <c r="Z293" s="570" t="n">
        <v>2980</v>
      </c>
      <c r="AA293" s="570" t="n">
        <v>2891</v>
      </c>
      <c r="AB293" s="570" t="n">
        <v>2678</v>
      </c>
      <c r="AC293" s="570" t="n">
        <v>2637</v>
      </c>
      <c r="AD293" s="570" t="n">
        <v>2616</v>
      </c>
      <c r="AE293" s="570" t="n">
        <v>2586</v>
      </c>
      <c r="AF293" s="570" t="n">
        <v>2552</v>
      </c>
      <c r="AG293" s="570" t="n">
        <v>2570</v>
      </c>
      <c r="AH293" s="570" t="n">
        <v>2627</v>
      </c>
      <c r="AI293" s="570" t="n">
        <v>2545</v>
      </c>
      <c r="AJ293" s="570" t="n">
        <v>2545</v>
      </c>
      <c r="AK293" s="570" t="n">
        <v>2563</v>
      </c>
      <c r="AL293" s="570" t="n">
        <v>2413</v>
      </c>
      <c r="AM293" s="570" t="n">
        <v>2482</v>
      </c>
      <c r="AN293" s="570" t="n">
        <v>2521</v>
      </c>
      <c r="AO293" s="570" t="n">
        <v>2630</v>
      </c>
      <c r="AP293" s="570" t="n">
        <v>2736</v>
      </c>
      <c r="AQ293" s="570" t="n">
        <v>2799</v>
      </c>
      <c r="AR293" s="570" t="n">
        <v>2807</v>
      </c>
      <c r="AS293" s="570" t="n">
        <v>2797</v>
      </c>
      <c r="AT293" s="570" t="n">
        <v>2780</v>
      </c>
      <c r="AU293" s="570" t="n">
        <v>2706</v>
      </c>
      <c r="AV293" s="570" t="n">
        <v>2702</v>
      </c>
      <c r="AW293" s="570" t="n">
        <v>2729</v>
      </c>
      <c r="AX293" s="570" t="n">
        <v>2704</v>
      </c>
      <c r="AY293" s="570" t="n">
        <v>2692</v>
      </c>
      <c r="AZ293" s="570" t="n">
        <v>2611</v>
      </c>
      <c r="BA293" s="570" t="n">
        <v>2565</v>
      </c>
      <c r="BB293" s="570" t="n">
        <v>2550</v>
      </c>
      <c r="BC293" s="570" t="n">
        <v>2583</v>
      </c>
      <c r="BD293" s="570" t="n">
        <v>2525</v>
      </c>
      <c r="BE293" s="570" t="n">
        <v>2425</v>
      </c>
      <c r="BF293" s="570" t="n">
        <v>2423</v>
      </c>
      <c r="BG293" s="570" t="n">
        <v>2517</v>
      </c>
      <c r="BH293" s="570" t="n">
        <v>2521</v>
      </c>
      <c r="BI293" s="570" t="n">
        <v>2518</v>
      </c>
      <c r="BJ293" s="570" t="n">
        <v>2408</v>
      </c>
      <c r="BK293" s="570" t="n">
        <v>2310</v>
      </c>
      <c r="BL293" s="570" t="n">
        <v>2436</v>
      </c>
    </row>
    <row r="294">
      <c r="A294" s="65" t="inlineStr">
        <is>
          <t>7414</t>
        </is>
      </c>
      <c r="B294" s="570">
        <f>銘柄管理!C294</f>
        <v/>
      </c>
      <c r="C294" s="570">
        <f>_xll.RssMarket("7414","高値")</f>
        <v/>
      </c>
      <c r="E294" s="570" t="n">
        <v>1332</v>
      </c>
      <c r="F294" s="570" t="n">
        <v>1339</v>
      </c>
      <c r="G294" s="570" t="n">
        <v>1343</v>
      </c>
      <c r="H294" s="570" t="n">
        <v>1344</v>
      </c>
      <c r="I294" s="570" t="n">
        <v>1329</v>
      </c>
      <c r="J294" s="570" t="n">
        <v>1332</v>
      </c>
      <c r="K294" s="570" t="n">
        <v>1323</v>
      </c>
      <c r="L294" s="570" t="n">
        <v>1315</v>
      </c>
      <c r="M294" s="570" t="n">
        <v>1311</v>
      </c>
      <c r="N294" s="570" t="n">
        <v>1325</v>
      </c>
      <c r="O294" s="570" t="n">
        <v>1333</v>
      </c>
      <c r="P294" s="570" t="n">
        <v>1315</v>
      </c>
      <c r="Q294" s="570" t="n">
        <v>1317</v>
      </c>
      <c r="R294" s="570" t="n">
        <v>1312</v>
      </c>
      <c r="S294" s="570" t="n">
        <v>1360</v>
      </c>
      <c r="T294" s="570" t="n">
        <v>1346</v>
      </c>
      <c r="U294" s="570" t="n">
        <v>1343</v>
      </c>
      <c r="V294" s="570" t="n">
        <v>1329</v>
      </c>
      <c r="W294" s="570" t="n">
        <v>1331</v>
      </c>
      <c r="X294" s="570" t="n">
        <v>1339</v>
      </c>
      <c r="Y294" s="570" t="n">
        <v>1349</v>
      </c>
      <c r="Z294" s="570" t="n">
        <v>1351</v>
      </c>
      <c r="AA294" s="570" t="n">
        <v>1379</v>
      </c>
      <c r="AB294" s="570" t="n">
        <v>1463</v>
      </c>
      <c r="AC294" s="570" t="n">
        <v>1446</v>
      </c>
      <c r="AD294" s="570" t="n">
        <v>1448</v>
      </c>
      <c r="AE294" s="570" t="n">
        <v>1455</v>
      </c>
      <c r="AF294" s="570" t="n">
        <v>1437</v>
      </c>
      <c r="AG294" s="570" t="n">
        <v>1447</v>
      </c>
      <c r="AH294" s="570" t="n">
        <v>1448</v>
      </c>
      <c r="AI294" s="570" t="n">
        <v>1415</v>
      </c>
      <c r="AJ294" s="570" t="n">
        <v>1396</v>
      </c>
      <c r="AK294" s="570" t="n">
        <v>1402</v>
      </c>
      <c r="AL294" s="570" t="n">
        <v>1388</v>
      </c>
      <c r="AM294" s="570" t="n">
        <v>1390</v>
      </c>
      <c r="AN294" s="570" t="n">
        <v>1385</v>
      </c>
      <c r="AO294" s="570" t="n">
        <v>1399</v>
      </c>
      <c r="AP294" s="570" t="n">
        <v>1413</v>
      </c>
      <c r="AQ294" s="570" t="n">
        <v>1410</v>
      </c>
      <c r="AR294" s="570" t="n">
        <v>1407</v>
      </c>
      <c r="AS294" s="570" t="n">
        <v>1419</v>
      </c>
      <c r="AT294" s="570" t="n">
        <v>1425</v>
      </c>
      <c r="AU294" s="570" t="n">
        <v>1418</v>
      </c>
      <c r="AV294" s="570" t="n">
        <v>1423</v>
      </c>
      <c r="AW294" s="570" t="n">
        <v>1432</v>
      </c>
      <c r="AX294" s="570" t="n">
        <v>1437</v>
      </c>
      <c r="AY294" s="570" t="n">
        <v>1438</v>
      </c>
      <c r="AZ294" s="570" t="n">
        <v>1430</v>
      </c>
      <c r="BA294" s="570" t="n">
        <v>1402</v>
      </c>
      <c r="BB294" s="570" t="n">
        <v>1404</v>
      </c>
      <c r="BC294" s="570" t="n">
        <v>1419</v>
      </c>
      <c r="BD294" s="570" t="n">
        <v>1409</v>
      </c>
      <c r="BE294" s="570" t="n">
        <v>1403</v>
      </c>
      <c r="BF294" s="570" t="n">
        <v>1393</v>
      </c>
      <c r="BG294" s="570" t="n">
        <v>1442</v>
      </c>
      <c r="BH294" s="570" t="n">
        <v>1447</v>
      </c>
      <c r="BI294" s="570" t="n">
        <v>1445</v>
      </c>
      <c r="BJ294" s="570" t="n">
        <v>1422</v>
      </c>
      <c r="BK294" s="570" t="n">
        <v>1408</v>
      </c>
      <c r="BL294" s="570" t="n">
        <v>1441</v>
      </c>
    </row>
    <row r="295">
      <c r="A295" s="65" t="inlineStr">
        <is>
          <t>6407</t>
        </is>
      </c>
      <c r="B295" s="570">
        <f>銘柄管理!C295</f>
        <v/>
      </c>
      <c r="C295" s="570">
        <f>_xll.RssMarket("6407","高値")</f>
        <v/>
      </c>
      <c r="E295" s="570" t="n">
        <v>8210</v>
      </c>
      <c r="F295" s="570" t="n">
        <v>8130</v>
      </c>
      <c r="G295" s="570" t="n">
        <v>8090</v>
      </c>
      <c r="H295" s="570" t="n">
        <v>7540</v>
      </c>
      <c r="I295" s="570" t="n">
        <v>7560</v>
      </c>
      <c r="J295" s="570" t="n">
        <v>7450</v>
      </c>
      <c r="K295" s="570" t="n">
        <v>6910</v>
      </c>
      <c r="L295" s="570" t="n">
        <v>6200</v>
      </c>
      <c r="M295" s="570" t="n">
        <v>6320</v>
      </c>
      <c r="N295" s="570" t="n">
        <v>5990</v>
      </c>
      <c r="O295" s="570" t="n">
        <v>6370</v>
      </c>
      <c r="P295" s="570" t="n">
        <v>6540</v>
      </c>
      <c r="Q295" s="570" t="n">
        <v>6630</v>
      </c>
      <c r="R295" s="570" t="n">
        <v>6420</v>
      </c>
      <c r="S295" s="570" t="n">
        <v>6760</v>
      </c>
      <c r="T295" s="570" t="n">
        <v>6800</v>
      </c>
      <c r="U295" s="570" t="n">
        <v>7100</v>
      </c>
      <c r="V295" s="570" t="n">
        <v>7240</v>
      </c>
      <c r="W295" s="570" t="n">
        <v>7340</v>
      </c>
      <c r="X295" s="570" t="n">
        <v>6420</v>
      </c>
      <c r="Y295" s="570" t="n">
        <v>6100</v>
      </c>
      <c r="Z295" s="570" t="n">
        <v>6200</v>
      </c>
      <c r="AA295" s="570" t="n">
        <v>6600</v>
      </c>
      <c r="AB295" s="570" t="n">
        <v>7470</v>
      </c>
      <c r="AC295" s="570" t="n">
        <v>7170</v>
      </c>
      <c r="AD295" s="570" t="n">
        <v>6960</v>
      </c>
      <c r="AE295" s="570" t="n">
        <v>7170</v>
      </c>
      <c r="AF295" s="570" t="n">
        <v>6820</v>
      </c>
      <c r="AG295" s="570" t="n">
        <v>6650</v>
      </c>
      <c r="AH295" s="570" t="n">
        <v>6950</v>
      </c>
      <c r="AI295" s="570" t="n">
        <v>6100</v>
      </c>
      <c r="AJ295" s="570" t="n">
        <v>6110</v>
      </c>
      <c r="AK295" s="570" t="n">
        <v>5870</v>
      </c>
      <c r="AL295" s="570" t="n">
        <v>5900</v>
      </c>
      <c r="AM295" s="570" t="n">
        <v>5580</v>
      </c>
      <c r="AN295" s="570" t="n">
        <v>5810</v>
      </c>
      <c r="AO295" s="570" t="n">
        <v>5810</v>
      </c>
      <c r="AP295" s="570" t="n">
        <v>5690</v>
      </c>
      <c r="AQ295" s="570" t="n">
        <v>5760</v>
      </c>
      <c r="AR295" s="570" t="n">
        <v>5700</v>
      </c>
      <c r="AS295" s="570" t="n">
        <v>5790</v>
      </c>
      <c r="AT295" s="570" t="n">
        <v>5860</v>
      </c>
      <c r="AU295" s="570" t="n">
        <v>5870</v>
      </c>
      <c r="AV295" s="570" t="n">
        <v>6010</v>
      </c>
      <c r="AW295" s="570" t="n">
        <v>5620</v>
      </c>
      <c r="AX295" s="570" t="n">
        <v>5210</v>
      </c>
      <c r="AY295" s="570" t="n">
        <v>5210</v>
      </c>
      <c r="AZ295" s="570" t="n">
        <v>4960</v>
      </c>
      <c r="BA295" s="570" t="n">
        <v>5010</v>
      </c>
      <c r="BB295" s="570" t="n">
        <v>4920</v>
      </c>
      <c r="BC295" s="570" t="n">
        <v>4890</v>
      </c>
      <c r="BD295" s="570" t="n">
        <v>4750</v>
      </c>
      <c r="BE295" s="570" t="n">
        <v>4400</v>
      </c>
      <c r="BF295" s="570" t="n">
        <v>4310</v>
      </c>
      <c r="BG295" s="570" t="n">
        <v>4390</v>
      </c>
      <c r="BH295" s="570" t="n">
        <v>4695</v>
      </c>
      <c r="BI295" s="570" t="n">
        <v>4890</v>
      </c>
      <c r="BJ295" s="570" t="n">
        <v>4415</v>
      </c>
      <c r="BK295" s="570" t="n">
        <v>4235</v>
      </c>
      <c r="BL295" s="570" t="n">
        <v>4570</v>
      </c>
    </row>
    <row r="296">
      <c r="A296" s="65" t="inlineStr">
        <is>
          <t>7048</t>
        </is>
      </c>
      <c r="B296" s="570">
        <f>銘柄管理!C296</f>
        <v/>
      </c>
      <c r="C296" s="570">
        <f>_xll.RssMarket("7048","高値")</f>
        <v/>
      </c>
      <c r="E296" s="570" t="n">
        <v>174</v>
      </c>
      <c r="F296" s="570" t="n">
        <v>161</v>
      </c>
      <c r="G296" s="570" t="n">
        <v>158</v>
      </c>
      <c r="H296" s="570" t="n">
        <v>133</v>
      </c>
      <c r="I296" s="570" t="n">
        <v>129</v>
      </c>
      <c r="J296" s="570" t="n">
        <v>163</v>
      </c>
      <c r="K296" s="570" t="n">
        <v>119</v>
      </c>
      <c r="L296" s="570" t="n">
        <v>121</v>
      </c>
      <c r="M296" s="570" t="n">
        <v>124</v>
      </c>
      <c r="N296" s="570" t="n">
        <v>129</v>
      </c>
      <c r="O296" s="570" t="n">
        <v>133</v>
      </c>
      <c r="P296" s="570" t="n">
        <v>128</v>
      </c>
      <c r="Q296" s="570" t="n">
        <v>130</v>
      </c>
      <c r="R296" s="570" t="n">
        <v>132</v>
      </c>
      <c r="S296" s="570" t="n">
        <v>136</v>
      </c>
      <c r="T296" s="570" t="n">
        <v>137</v>
      </c>
      <c r="U296" s="570" t="n">
        <v>143</v>
      </c>
      <c r="V296" s="570" t="n">
        <v>145</v>
      </c>
      <c r="W296" s="570" t="n">
        <v>147</v>
      </c>
      <c r="X296" s="570" t="n">
        <v>150</v>
      </c>
      <c r="Y296" s="570" t="n">
        <v>151</v>
      </c>
      <c r="Z296" s="570" t="n">
        <v>154</v>
      </c>
      <c r="AA296" s="570" t="n">
        <v>163</v>
      </c>
      <c r="AB296" s="570" t="n">
        <v>165</v>
      </c>
      <c r="AC296" s="570" t="n">
        <v>164</v>
      </c>
      <c r="AD296" s="570" t="n">
        <v>166</v>
      </c>
      <c r="AE296" s="570" t="n">
        <v>165</v>
      </c>
      <c r="AF296" s="570" t="n">
        <v>163</v>
      </c>
      <c r="AG296" s="570" t="n">
        <v>163</v>
      </c>
      <c r="AH296" s="570" t="n">
        <v>162</v>
      </c>
      <c r="AI296" s="570" t="n">
        <v>166</v>
      </c>
      <c r="AJ296" s="570" t="n">
        <v>165</v>
      </c>
      <c r="AK296" s="570" t="n">
        <v>167</v>
      </c>
      <c r="AL296" s="570" t="n">
        <v>171</v>
      </c>
      <c r="AM296" s="570" t="n">
        <v>178</v>
      </c>
      <c r="AN296" s="570" t="n">
        <v>186</v>
      </c>
      <c r="AO296" s="570" t="n">
        <v>190</v>
      </c>
      <c r="AP296" s="570" t="n">
        <v>190</v>
      </c>
      <c r="AQ296" s="570" t="n">
        <v>182</v>
      </c>
      <c r="AR296" s="570" t="n">
        <v>179</v>
      </c>
      <c r="AS296" s="570" t="n">
        <v>176</v>
      </c>
      <c r="AT296" s="570" t="n">
        <v>174</v>
      </c>
      <c r="AU296" s="570" t="n">
        <v>178</v>
      </c>
      <c r="AV296" s="570" t="n">
        <v>190</v>
      </c>
      <c r="AW296" s="570" t="n">
        <v>189</v>
      </c>
      <c r="AX296" s="570" t="n">
        <v>182</v>
      </c>
      <c r="AY296" s="570" t="n">
        <v>181</v>
      </c>
      <c r="AZ296" s="570" t="n">
        <v>179</v>
      </c>
      <c r="BA296" s="570" t="n">
        <v>183</v>
      </c>
      <c r="BB296" s="570" t="n">
        <v>183</v>
      </c>
      <c r="BC296" s="570" t="n">
        <v>177</v>
      </c>
      <c r="BD296" s="570" t="n">
        <v>175</v>
      </c>
      <c r="BE296" s="570" t="n">
        <v>182</v>
      </c>
      <c r="BF296" s="570" t="n">
        <v>185</v>
      </c>
      <c r="BG296" s="570" t="n">
        <v>191</v>
      </c>
      <c r="BH296" s="570" t="n">
        <v>179</v>
      </c>
      <c r="BI296" s="570" t="n">
        <v>178</v>
      </c>
      <c r="BJ296" s="570" t="n">
        <v>188</v>
      </c>
      <c r="BK296" s="570" t="n">
        <v>192</v>
      </c>
      <c r="BL296" s="570" t="n">
        <v>191</v>
      </c>
    </row>
    <row r="297">
      <c r="A297" s="65" t="inlineStr">
        <is>
          <t>1808</t>
        </is>
      </c>
      <c r="B297" s="570">
        <f>銘柄管理!C297</f>
        <v/>
      </c>
      <c r="C297" s="570">
        <f>_xll.RssMarket("1808","高値")</f>
        <v/>
      </c>
      <c r="E297" s="570" t="n">
        <v>2739</v>
      </c>
      <c r="F297" s="570" t="n">
        <v>2730</v>
      </c>
      <c r="G297" s="570" t="n">
        <v>2714</v>
      </c>
      <c r="H297" s="570" t="n">
        <v>2743</v>
      </c>
      <c r="I297" s="570" t="n">
        <v>2729.5</v>
      </c>
      <c r="J297" s="570" t="n">
        <v>2762</v>
      </c>
      <c r="K297" s="570" t="n">
        <v>2770</v>
      </c>
      <c r="L297" s="570" t="n">
        <v>2763</v>
      </c>
      <c r="M297" s="570" t="n">
        <v>2732</v>
      </c>
      <c r="N297" s="570" t="n">
        <v>2659</v>
      </c>
      <c r="O297" s="570" t="n">
        <v>2672.5</v>
      </c>
      <c r="P297" s="570" t="n">
        <v>2648.5</v>
      </c>
      <c r="Q297" s="570" t="n">
        <v>2644</v>
      </c>
      <c r="R297" s="570" t="n">
        <v>2638</v>
      </c>
      <c r="S297" s="570" t="n">
        <v>2741</v>
      </c>
      <c r="T297" s="570" t="n">
        <v>2730.5</v>
      </c>
      <c r="U297" s="570" t="n">
        <v>2721</v>
      </c>
      <c r="V297" s="570" t="n">
        <v>2724.5</v>
      </c>
      <c r="W297" s="570" t="n">
        <v>2745</v>
      </c>
      <c r="X297" s="570" t="n">
        <v>2769.5</v>
      </c>
      <c r="Y297" s="570" t="n">
        <v>2790</v>
      </c>
      <c r="Z297" s="570" t="n">
        <v>2871</v>
      </c>
      <c r="AA297" s="570" t="n">
        <v>2897.5</v>
      </c>
      <c r="AB297" s="570" t="n">
        <v>2728</v>
      </c>
      <c r="AC297" s="570" t="n">
        <v>2790</v>
      </c>
      <c r="AD297" s="570" t="n">
        <v>2822</v>
      </c>
      <c r="AE297" s="570" t="n">
        <v>2827</v>
      </c>
      <c r="AF297" s="570" t="n">
        <v>2790</v>
      </c>
      <c r="AG297" s="570" t="n">
        <v>2780</v>
      </c>
      <c r="AH297" s="570" t="n">
        <v>2799</v>
      </c>
      <c r="AI297" s="570" t="n">
        <v>2748.5</v>
      </c>
      <c r="AJ297" s="570" t="n">
        <v>2801</v>
      </c>
      <c r="AK297" s="570" t="n">
        <v>2818</v>
      </c>
      <c r="AL297" s="570" t="n">
        <v>2743.5</v>
      </c>
      <c r="AM297" s="570" t="n">
        <v>2727</v>
      </c>
      <c r="AN297" s="570" t="n">
        <v>2749</v>
      </c>
      <c r="AO297" s="570" t="n">
        <v>2767.5</v>
      </c>
      <c r="AP297" s="570" t="n">
        <v>2816</v>
      </c>
      <c r="AQ297" s="570" t="n">
        <v>2839</v>
      </c>
      <c r="AR297" s="570" t="n">
        <v>2782.5</v>
      </c>
      <c r="AS297" s="570" t="n">
        <v>2833.5</v>
      </c>
      <c r="AT297" s="570" t="n">
        <v>2765.5</v>
      </c>
      <c r="AU297" s="570" t="n">
        <v>2884.5</v>
      </c>
      <c r="AV297" s="570" t="n">
        <v>2915.5</v>
      </c>
      <c r="AW297" s="570" t="n">
        <v>2931.5</v>
      </c>
      <c r="AX297" s="570" t="n">
        <v>3001</v>
      </c>
      <c r="AY297" s="570" t="n">
        <v>3000</v>
      </c>
      <c r="AZ297" s="570" t="n">
        <v>2937.5</v>
      </c>
      <c r="BA297" s="570" t="n">
        <v>2927</v>
      </c>
      <c r="BB297" s="570" t="n">
        <v>2956.5</v>
      </c>
      <c r="BC297" s="570" t="n">
        <v>3026</v>
      </c>
      <c r="BD297" s="570" t="n">
        <v>2966</v>
      </c>
      <c r="BE297" s="570" t="n">
        <v>2917.5</v>
      </c>
      <c r="BF297" s="570" t="n">
        <v>2885</v>
      </c>
      <c r="BG297" s="570" t="n">
        <v>3017</v>
      </c>
      <c r="BH297" s="570" t="n">
        <v>3007</v>
      </c>
      <c r="BI297" s="570" t="n">
        <v>2985</v>
      </c>
      <c r="BJ297" s="570" t="n">
        <v>2931.5</v>
      </c>
      <c r="BK297" s="570" t="n">
        <v>2888</v>
      </c>
      <c r="BL297" s="570" t="n">
        <v>3015</v>
      </c>
    </row>
    <row r="298">
      <c r="A298" s="65" t="inlineStr">
        <is>
          <t>4208</t>
        </is>
      </c>
      <c r="B298" s="570">
        <f>銘柄管理!C298</f>
        <v/>
      </c>
      <c r="C298" s="570">
        <f>_xll.RssMarket("4208","高値")</f>
        <v/>
      </c>
      <c r="E298" s="570" t="n">
        <v>3238</v>
      </c>
      <c r="F298" s="570" t="n">
        <v>3321</v>
      </c>
      <c r="G298" s="570" t="n">
        <v>3350</v>
      </c>
      <c r="H298" s="570" t="n">
        <v>3200</v>
      </c>
      <c r="I298" s="570" t="n">
        <v>3244</v>
      </c>
      <c r="J298" s="570" t="n">
        <v>3214</v>
      </c>
      <c r="K298" s="570" t="n">
        <v>3090</v>
      </c>
      <c r="L298" s="570" t="n">
        <v>3015</v>
      </c>
      <c r="M298" s="570" t="n">
        <v>3028</v>
      </c>
      <c r="N298" s="570" t="n">
        <v>2955</v>
      </c>
      <c r="O298" s="570" t="n">
        <v>2992</v>
      </c>
      <c r="P298" s="570" t="n">
        <v>3006</v>
      </c>
      <c r="Q298" s="570" t="n">
        <v>2951.5</v>
      </c>
      <c r="R298" s="570" t="n">
        <v>3004</v>
      </c>
      <c r="S298" s="570" t="n">
        <v>2984.5</v>
      </c>
      <c r="T298" s="570" t="n">
        <v>3051</v>
      </c>
      <c r="U298" s="570" t="n">
        <v>3044</v>
      </c>
      <c r="V298" s="570" t="n">
        <v>3049</v>
      </c>
      <c r="W298" s="570" t="n">
        <v>3067</v>
      </c>
      <c r="X298" s="570" t="n">
        <v>2890.5</v>
      </c>
      <c r="Y298" s="570" t="n">
        <v>2425.5</v>
      </c>
      <c r="Z298" s="570" t="n">
        <v>2418</v>
      </c>
      <c r="AA298" s="570" t="n">
        <v>2450</v>
      </c>
      <c r="AB298" s="570" t="n">
        <v>2501</v>
      </c>
      <c r="AC298" s="570" t="n">
        <v>2361.5</v>
      </c>
      <c r="AD298" s="570" t="n">
        <v>2362</v>
      </c>
      <c r="AE298" s="570" t="n">
        <v>2394</v>
      </c>
      <c r="AF298" s="570" t="n">
        <v>2396.5</v>
      </c>
      <c r="AG298" s="570" t="n">
        <v>2412.5</v>
      </c>
      <c r="AH298" s="570" t="n">
        <v>2383.5</v>
      </c>
      <c r="AI298" s="570" t="n">
        <v>2374</v>
      </c>
      <c r="AJ298" s="570" t="n">
        <v>2397.5</v>
      </c>
      <c r="AK298" s="570" t="n">
        <v>2376.5</v>
      </c>
      <c r="AL298" s="570" t="n">
        <v>2370</v>
      </c>
      <c r="AM298" s="570" t="n">
        <v>2363</v>
      </c>
      <c r="AN298" s="570" t="n">
        <v>2411.5</v>
      </c>
      <c r="AO298" s="570" t="n">
        <v>2427.5</v>
      </c>
      <c r="AP298" s="570" t="n">
        <v>2457</v>
      </c>
      <c r="AQ298" s="570" t="n">
        <v>2454</v>
      </c>
      <c r="AR298" s="570" t="n">
        <v>2437.5</v>
      </c>
      <c r="AS298" s="570" t="n">
        <v>2437.5</v>
      </c>
      <c r="AT298" s="570" t="n">
        <v>2438</v>
      </c>
      <c r="AU298" s="570" t="n">
        <v>2448</v>
      </c>
      <c r="AV298" s="570" t="n">
        <v>2489</v>
      </c>
      <c r="AW298" s="570" t="n">
        <v>2522</v>
      </c>
      <c r="AX298" s="570" t="n">
        <v>2527</v>
      </c>
      <c r="AY298" s="570" t="n">
        <v>2469</v>
      </c>
      <c r="AZ298" s="570" t="n">
        <v>2479</v>
      </c>
      <c r="BA298" s="570" t="n">
        <v>2473</v>
      </c>
      <c r="BB298" s="570" t="n">
        <v>2528</v>
      </c>
      <c r="BC298" s="570" t="n">
        <v>2501.5</v>
      </c>
      <c r="BD298" s="570" t="n">
        <v>2475.5</v>
      </c>
      <c r="BE298" s="570" t="n">
        <v>2446.5</v>
      </c>
      <c r="BF298" s="570" t="n">
        <v>2546</v>
      </c>
      <c r="BG298" s="570" t="n">
        <v>2540</v>
      </c>
      <c r="BH298" s="570" t="n">
        <v>2535</v>
      </c>
      <c r="BI298" s="570" t="n">
        <v>2490</v>
      </c>
      <c r="BJ298" s="570" t="n">
        <v>2454</v>
      </c>
      <c r="BK298" s="570" t="n">
        <v>2560</v>
      </c>
      <c r="BL298" s="570" t="n">
        <v>2603.5</v>
      </c>
    </row>
    <row r="299">
      <c r="A299" s="65" t="inlineStr">
        <is>
          <t>186A</t>
        </is>
      </c>
      <c r="B299" s="570">
        <f>銘柄管理!C299</f>
        <v/>
      </c>
      <c r="C299" s="570">
        <f>_xll.RssMarket("186A","高値")</f>
        <v/>
      </c>
      <c r="E299" s="570" t="n">
        <v>1358</v>
      </c>
      <c r="F299" s="570" t="n">
        <v>1285</v>
      </c>
      <c r="G299" s="570" t="n">
        <v>1409</v>
      </c>
      <c r="H299" s="570" t="n">
        <v>1454</v>
      </c>
      <c r="I299" s="570" t="n">
        <v>1478</v>
      </c>
      <c r="J299" s="570" t="n">
        <v>1676</v>
      </c>
      <c r="K299" s="570" t="n">
        <v>1975</v>
      </c>
      <c r="L299" s="570" t="n">
        <v>1819</v>
      </c>
      <c r="M299" s="570" t="n">
        <v>1837</v>
      </c>
      <c r="N299" s="570" t="n">
        <v>2150</v>
      </c>
      <c r="O299" s="570" t="n">
        <v>2220</v>
      </c>
      <c r="P299" s="570" t="n">
        <v>1997</v>
      </c>
      <c r="Q299" s="570" t="n">
        <v>2245</v>
      </c>
      <c r="R299" s="570" t="n">
        <v>2200</v>
      </c>
      <c r="S299" s="570" t="n">
        <v>2958</v>
      </c>
      <c r="T299" s="570" t="n">
        <v>2993</v>
      </c>
      <c r="U299" s="570" t="n">
        <v>3015</v>
      </c>
      <c r="V299" s="570" t="n">
        <v>2852</v>
      </c>
      <c r="W299" s="570" t="n">
        <v>2352</v>
      </c>
      <c r="X299" s="570" t="n">
        <v>2079</v>
      </c>
      <c r="Y299" s="570" t="n">
        <v>2148</v>
      </c>
      <c r="Z299" s="570" t="n">
        <v>2170</v>
      </c>
      <c r="AA299" s="570" t="n">
        <v>2100</v>
      </c>
      <c r="AB299" s="570" t="n">
        <v>2048</v>
      </c>
      <c r="AC299" s="570" t="n">
        <v>1899</v>
      </c>
      <c r="AD299" s="570" t="n">
        <v>1854</v>
      </c>
      <c r="AE299" s="570" t="n">
        <v>1866</v>
      </c>
      <c r="AF299" s="570" t="n">
        <v>1810</v>
      </c>
      <c r="AG299" s="570" t="n">
        <v>1570</v>
      </c>
      <c r="AH299" s="570" t="n">
        <v>1437</v>
      </c>
      <c r="AI299" s="570" t="n">
        <v>1347</v>
      </c>
      <c r="AJ299" s="570" t="n">
        <v>1311</v>
      </c>
      <c r="AK299" s="570" t="n">
        <v>1320</v>
      </c>
      <c r="AL299" s="570" t="n">
        <v>1334</v>
      </c>
      <c r="AM299" s="570" t="n">
        <v>1405</v>
      </c>
      <c r="AN299" s="570" t="n">
        <v>1459</v>
      </c>
      <c r="AO299" s="570" t="n">
        <v>1484</v>
      </c>
      <c r="AP299" s="570" t="n">
        <v>1500</v>
      </c>
      <c r="AQ299" s="570" t="n">
        <v>1493</v>
      </c>
      <c r="AR299" s="570" t="n">
        <v>1422</v>
      </c>
      <c r="AS299" s="570" t="n">
        <v>1409</v>
      </c>
      <c r="AT299" s="570" t="n">
        <v>1435</v>
      </c>
      <c r="AU299" s="570" t="n">
        <v>1420</v>
      </c>
      <c r="AV299" s="570" t="n">
        <v>1352</v>
      </c>
      <c r="AW299" s="570" t="n">
        <v>1373</v>
      </c>
      <c r="AX299" s="570" t="n">
        <v>1257</v>
      </c>
      <c r="AY299" s="570" t="n">
        <v>1193</v>
      </c>
      <c r="AZ299" s="570" t="n">
        <v>1117</v>
      </c>
      <c r="BA299" s="570" t="n">
        <v>1103</v>
      </c>
      <c r="BB299" s="570" t="n">
        <v>1075</v>
      </c>
      <c r="BC299" s="570" t="n">
        <v>1073</v>
      </c>
      <c r="BD299" s="570" t="n">
        <v>924</v>
      </c>
      <c r="BE299" s="570" t="n">
        <v>916</v>
      </c>
      <c r="BF299" s="570" t="n">
        <v>934</v>
      </c>
      <c r="BG299" s="570" t="n">
        <v>1000</v>
      </c>
      <c r="BH299" s="570" t="n">
        <v>1045</v>
      </c>
      <c r="BI299" s="570" t="n">
        <v>1046</v>
      </c>
      <c r="BJ299" s="570" t="n">
        <v>1033</v>
      </c>
      <c r="BK299" s="570" t="n">
        <v>1049</v>
      </c>
      <c r="BL299" s="570" t="n">
        <v>1199</v>
      </c>
    </row>
    <row r="300">
      <c r="A300" s="65" t="inlineStr">
        <is>
          <t>6965</t>
        </is>
      </c>
      <c r="B300" s="570">
        <f>銘柄管理!C300</f>
        <v/>
      </c>
      <c r="C300" s="570">
        <f>_xll.RssMarket("6965","高値")</f>
        <v/>
      </c>
      <c r="E300" s="570" t="n">
        <v>2887</v>
      </c>
      <c r="F300" s="570" t="n">
        <v>2864</v>
      </c>
      <c r="G300" s="570" t="n">
        <v>2843.5</v>
      </c>
      <c r="H300" s="570" t="n">
        <v>2794.5</v>
      </c>
      <c r="I300" s="570" t="n">
        <v>2669.5</v>
      </c>
      <c r="J300" s="570" t="n">
        <v>2676</v>
      </c>
      <c r="K300" s="570" t="n">
        <v>2587</v>
      </c>
      <c r="L300" s="570" t="n">
        <v>2428</v>
      </c>
      <c r="M300" s="570" t="n">
        <v>2504</v>
      </c>
      <c r="N300" s="570" t="n">
        <v>2696.5</v>
      </c>
      <c r="O300" s="570" t="n">
        <v>2912.5</v>
      </c>
      <c r="P300" s="570" t="n">
        <v>2964</v>
      </c>
      <c r="Q300" s="570" t="n">
        <v>2915</v>
      </c>
      <c r="R300" s="570" t="n">
        <v>2855</v>
      </c>
      <c r="S300" s="570" t="n">
        <v>2997</v>
      </c>
      <c r="T300" s="570" t="n">
        <v>2824</v>
      </c>
      <c r="U300" s="570" t="n">
        <v>2941.5</v>
      </c>
      <c r="V300" s="570" t="n">
        <v>3100</v>
      </c>
      <c r="W300" s="570" t="n">
        <v>2923</v>
      </c>
      <c r="X300" s="570" t="n">
        <v>2759</v>
      </c>
      <c r="Y300" s="570" t="n">
        <v>2668.5</v>
      </c>
      <c r="Z300" s="570" t="n">
        <v>2829.5</v>
      </c>
      <c r="AA300" s="570" t="n">
        <v>2875</v>
      </c>
      <c r="AB300" s="570" t="n">
        <v>2657</v>
      </c>
      <c r="AC300" s="570" t="n">
        <v>2241</v>
      </c>
      <c r="AD300" s="570" t="n">
        <v>2162.5</v>
      </c>
      <c r="AE300" s="570" t="n">
        <v>2239.5</v>
      </c>
      <c r="AF300" s="570" t="n">
        <v>2245</v>
      </c>
      <c r="AG300" s="570" t="n">
        <v>2207.5</v>
      </c>
      <c r="AH300" s="570" t="n">
        <v>2163</v>
      </c>
      <c r="AI300" s="570" t="n">
        <v>2034.5</v>
      </c>
      <c r="AJ300" s="570" t="n">
        <v>2062</v>
      </c>
      <c r="AK300" s="570" t="n">
        <v>2047</v>
      </c>
      <c r="AL300" s="570" t="n">
        <v>2068.5</v>
      </c>
      <c r="AM300" s="570" t="n">
        <v>1942</v>
      </c>
      <c r="AN300" s="570" t="n">
        <v>1967.5</v>
      </c>
      <c r="AO300" s="570" t="n">
        <v>1963</v>
      </c>
      <c r="AP300" s="570" t="n">
        <v>1972</v>
      </c>
      <c r="AQ300" s="570" t="n">
        <v>1986.5</v>
      </c>
      <c r="AR300" s="570" t="n">
        <v>1994</v>
      </c>
      <c r="AS300" s="570" t="n">
        <v>1977</v>
      </c>
      <c r="AT300" s="570" t="n">
        <v>1956.5</v>
      </c>
      <c r="AU300" s="570" t="n">
        <v>1973</v>
      </c>
      <c r="AV300" s="570" t="n">
        <v>1961.5</v>
      </c>
      <c r="AW300" s="570" t="n">
        <v>1970.5</v>
      </c>
      <c r="AX300" s="570" t="n">
        <v>1977</v>
      </c>
      <c r="AY300" s="570" t="n">
        <v>1966.5</v>
      </c>
      <c r="AZ300" s="570" t="n">
        <v>1879.5</v>
      </c>
      <c r="BA300" s="570" t="n">
        <v>1904</v>
      </c>
      <c r="BB300" s="570" t="n">
        <v>1871.5</v>
      </c>
      <c r="BC300" s="570" t="n">
        <v>1909</v>
      </c>
      <c r="BD300" s="570" t="n">
        <v>1870</v>
      </c>
      <c r="BE300" s="570" t="n">
        <v>1810</v>
      </c>
      <c r="BF300" s="570" t="n">
        <v>1843.5</v>
      </c>
      <c r="BG300" s="570" t="n">
        <v>1972</v>
      </c>
      <c r="BH300" s="570" t="n">
        <v>2049.5</v>
      </c>
      <c r="BI300" s="570" t="n">
        <v>1985</v>
      </c>
      <c r="BJ300" s="570" t="n">
        <v>1854.5</v>
      </c>
      <c r="BK300" s="570" t="n">
        <v>1845</v>
      </c>
      <c r="BL300" s="570" t="n">
        <v>1953.5</v>
      </c>
    </row>
    <row r="301">
      <c r="A301" s="65" t="inlineStr">
        <is>
          <t>6331</t>
        </is>
      </c>
      <c r="B301" s="570">
        <f>銘柄管理!C301</f>
        <v/>
      </c>
      <c r="C301" s="570">
        <f>_xll.RssMarket("6331","高値")</f>
        <v/>
      </c>
      <c r="E301" s="570" t="n">
        <v>4145</v>
      </c>
      <c r="F301" s="570" t="n">
        <v>4090</v>
      </c>
      <c r="G301" s="570" t="n">
        <v>4120</v>
      </c>
      <c r="H301" s="570" t="n">
        <v>4100</v>
      </c>
      <c r="I301" s="570" t="n">
        <v>3910</v>
      </c>
      <c r="J301" s="570" t="n">
        <v>3840</v>
      </c>
      <c r="K301" s="570" t="n">
        <v>3740</v>
      </c>
      <c r="L301" s="570" t="n">
        <v>3645</v>
      </c>
      <c r="M301" s="570" t="n">
        <v>3720</v>
      </c>
      <c r="N301" s="570" t="n">
        <v>3590</v>
      </c>
      <c r="O301" s="570" t="n">
        <v>3635</v>
      </c>
      <c r="P301" s="570" t="n">
        <v>3720</v>
      </c>
      <c r="Q301" s="570" t="n">
        <v>3680</v>
      </c>
      <c r="R301" s="570" t="n">
        <v>3450</v>
      </c>
      <c r="S301" s="570" t="n">
        <v>3690</v>
      </c>
      <c r="T301" s="570" t="n">
        <v>3705</v>
      </c>
      <c r="U301" s="570" t="n">
        <v>3800</v>
      </c>
      <c r="V301" s="570" t="n">
        <v>3525</v>
      </c>
      <c r="W301" s="570" t="n">
        <v>3560</v>
      </c>
      <c r="X301" s="570" t="n">
        <v>3560</v>
      </c>
      <c r="Y301" s="570" t="n">
        <v>3610</v>
      </c>
      <c r="Z301" s="570" t="n">
        <v>3880</v>
      </c>
      <c r="AA301" s="570" t="n">
        <v>3845</v>
      </c>
      <c r="AB301" s="570" t="n">
        <v>3675</v>
      </c>
      <c r="AC301" s="570" t="n">
        <v>3385</v>
      </c>
      <c r="AD301" s="570" t="n">
        <v>3345</v>
      </c>
      <c r="AE301" s="570" t="n">
        <v>3350</v>
      </c>
      <c r="AF301" s="570" t="n">
        <v>3320</v>
      </c>
      <c r="AG301" s="570" t="n">
        <v>3295</v>
      </c>
      <c r="AH301" s="570" t="n">
        <v>3345</v>
      </c>
      <c r="AI301" s="570" t="n">
        <v>3310</v>
      </c>
      <c r="AJ301" s="570" t="n">
        <v>3225</v>
      </c>
      <c r="AK301" s="570" t="n">
        <v>3280</v>
      </c>
      <c r="AL301" s="570" t="n">
        <v>3320</v>
      </c>
      <c r="AM301" s="570" t="n">
        <v>3235</v>
      </c>
      <c r="AN301" s="570" t="n">
        <v>3185</v>
      </c>
      <c r="AO301" s="570" t="n">
        <v>3065</v>
      </c>
      <c r="AP301" s="570" t="n">
        <v>3065</v>
      </c>
      <c r="AQ301" s="570" t="n">
        <v>3065</v>
      </c>
      <c r="AR301" s="570" t="n">
        <v>3060</v>
      </c>
      <c r="AS301" s="570" t="n">
        <v>3075</v>
      </c>
      <c r="AT301" s="570" t="n">
        <v>3150</v>
      </c>
      <c r="AU301" s="570" t="n">
        <v>3140</v>
      </c>
      <c r="AV301" s="570" t="n">
        <v>3175</v>
      </c>
      <c r="AW301" s="570" t="n">
        <v>3255</v>
      </c>
      <c r="AX301" s="570" t="n">
        <v>3235</v>
      </c>
      <c r="AY301" s="570" t="n">
        <v>3240</v>
      </c>
      <c r="AZ301" s="570" t="n">
        <v>3120</v>
      </c>
      <c r="BA301" s="570" t="n">
        <v>3105</v>
      </c>
      <c r="BB301" s="570" t="n">
        <v>3080</v>
      </c>
      <c r="BC301" s="570" t="n">
        <v>3190</v>
      </c>
      <c r="BD301" s="570" t="n">
        <v>3120</v>
      </c>
      <c r="BE301" s="570" t="n">
        <v>2999</v>
      </c>
      <c r="BF301" s="570" t="n">
        <v>3020</v>
      </c>
      <c r="BG301" s="570" t="n">
        <v>3150</v>
      </c>
      <c r="BH301" s="570" t="n">
        <v>3240</v>
      </c>
      <c r="BI301" s="570" t="n">
        <v>3245</v>
      </c>
      <c r="BJ301" s="570" t="n">
        <v>3200</v>
      </c>
      <c r="BK301" s="570" t="n">
        <v>3120</v>
      </c>
      <c r="BL301" s="570" t="n">
        <v>3390</v>
      </c>
    </row>
    <row r="302">
      <c r="A302" s="65" t="inlineStr">
        <is>
          <t>7741</t>
        </is>
      </c>
      <c r="B302" s="570">
        <f>銘柄管理!C302</f>
        <v/>
      </c>
      <c r="C302" s="570">
        <f>_xll.RssMarket("7741","高値")</f>
        <v/>
      </c>
      <c r="E302" s="570" t="n">
        <v>27355</v>
      </c>
      <c r="F302" s="570" t="n">
        <v>28880</v>
      </c>
      <c r="G302" s="570" t="n">
        <v>28720</v>
      </c>
      <c r="H302" s="570" t="n">
        <v>27685</v>
      </c>
      <c r="I302" s="570" t="n">
        <v>27255</v>
      </c>
      <c r="J302" s="570" t="n">
        <v>26975</v>
      </c>
      <c r="K302" s="570" t="n">
        <v>26545</v>
      </c>
      <c r="L302" s="570" t="n">
        <v>25920</v>
      </c>
      <c r="M302" s="570" t="n">
        <v>25750</v>
      </c>
      <c r="N302" s="570" t="n">
        <v>25800</v>
      </c>
      <c r="O302" s="570" t="n">
        <v>26395</v>
      </c>
      <c r="P302" s="570" t="n">
        <v>27495</v>
      </c>
      <c r="Q302" s="570" t="n">
        <v>27575</v>
      </c>
      <c r="R302" s="570" t="n">
        <v>26385</v>
      </c>
      <c r="S302" s="570" t="n">
        <v>27510</v>
      </c>
      <c r="T302" s="570" t="n">
        <v>27400</v>
      </c>
      <c r="U302" s="570" t="n">
        <v>27835</v>
      </c>
      <c r="V302" s="570" t="n">
        <v>26455</v>
      </c>
      <c r="W302" s="570" t="n">
        <v>26885</v>
      </c>
      <c r="X302" s="570" t="n">
        <v>27130</v>
      </c>
      <c r="Y302" s="570" t="n">
        <v>26970</v>
      </c>
      <c r="Z302" s="570" t="n">
        <v>27700</v>
      </c>
      <c r="AA302" s="570" t="n">
        <v>28050</v>
      </c>
      <c r="AB302" s="570" t="n">
        <v>28465</v>
      </c>
      <c r="AC302" s="570" t="n">
        <v>28135</v>
      </c>
      <c r="AD302" s="570" t="n">
        <v>27825</v>
      </c>
      <c r="AE302" s="570" t="n">
        <v>27870</v>
      </c>
      <c r="AF302" s="570" t="n">
        <v>27585</v>
      </c>
      <c r="AG302" s="570" t="n">
        <v>27940</v>
      </c>
      <c r="AH302" s="570" t="n">
        <v>28345</v>
      </c>
      <c r="AI302" s="570" t="n">
        <v>29200</v>
      </c>
      <c r="AJ302" s="570" t="n">
        <v>29700</v>
      </c>
      <c r="AK302" s="570" t="n">
        <v>29380</v>
      </c>
      <c r="AL302" s="570" t="n">
        <v>29260</v>
      </c>
      <c r="AM302" s="570" t="n">
        <v>28670</v>
      </c>
      <c r="AN302" s="570" t="n">
        <v>28700</v>
      </c>
      <c r="AO302" s="570" t="n">
        <v>29185</v>
      </c>
      <c r="AP302" s="570" t="n">
        <v>29555</v>
      </c>
      <c r="AQ302" s="570" t="n">
        <v>29795</v>
      </c>
      <c r="AR302" s="570" t="n">
        <v>29840</v>
      </c>
      <c r="AS302" s="570" t="n">
        <v>30030</v>
      </c>
      <c r="AT302" s="570" t="n">
        <v>30400</v>
      </c>
      <c r="AU302" s="570" t="n">
        <v>29770</v>
      </c>
      <c r="AV302" s="570" t="n">
        <v>29390</v>
      </c>
      <c r="AW302" s="570" t="n">
        <v>30030</v>
      </c>
      <c r="AX302" s="570" t="n">
        <v>29360</v>
      </c>
      <c r="AY302" s="570" t="n">
        <v>29400</v>
      </c>
      <c r="AZ302" s="570" t="n">
        <v>28440</v>
      </c>
      <c r="BA302" s="570" t="n">
        <v>28495</v>
      </c>
      <c r="BB302" s="570" t="n">
        <v>27945</v>
      </c>
      <c r="BC302" s="570" t="n">
        <v>28185</v>
      </c>
      <c r="BD302" s="570" t="n">
        <v>27620</v>
      </c>
      <c r="BE302" s="570" t="n">
        <v>27215</v>
      </c>
      <c r="BF302" s="570" t="n">
        <v>27025</v>
      </c>
      <c r="BG302" s="570" t="n">
        <v>27780</v>
      </c>
      <c r="BH302" s="570" t="n">
        <v>28280</v>
      </c>
      <c r="BI302" s="570" t="n">
        <v>28720</v>
      </c>
      <c r="BJ302" s="570" t="n">
        <v>28540</v>
      </c>
      <c r="BK302" s="570" t="n">
        <v>27490</v>
      </c>
      <c r="BL302" s="570" t="n">
        <v>27885</v>
      </c>
    </row>
    <row r="303">
      <c r="A303" s="67" t="n"/>
    </row>
    <row r="304">
      <c r="A304" s="67" t="n"/>
    </row>
    <row r="305">
      <c r="A305" s="67" t="n"/>
    </row>
    <row r="306">
      <c r="A306" s="67" t="n"/>
    </row>
    <row r="307">
      <c r="A307" s="67" t="n"/>
    </row>
    <row r="308">
      <c r="A308" s="67" t="n"/>
    </row>
    <row r="309">
      <c r="A309" s="67" t="n"/>
    </row>
    <row r="310">
      <c r="A310" s="67" t="n"/>
    </row>
    <row r="311">
      <c r="A311" s="67" t="n"/>
    </row>
    <row r="312">
      <c r="A312" s="67" t="n"/>
    </row>
    <row r="313">
      <c r="A313" s="67" t="n"/>
    </row>
    <row r="314">
      <c r="A314" s="67" t="n"/>
    </row>
    <row r="315">
      <c r="A315" s="67" t="n"/>
    </row>
    <row r="316">
      <c r="A316" s="67" t="n"/>
    </row>
    <row r="317">
      <c r="A317" s="67" t="n"/>
    </row>
    <row r="318">
      <c r="A318" s="67" t="n"/>
    </row>
    <row r="319">
      <c r="A319" s="67" t="n"/>
    </row>
    <row r="320">
      <c r="A320" s="67" t="n"/>
    </row>
    <row r="321">
      <c r="A321" s="67" t="n"/>
    </row>
    <row r="322">
      <c r="A322" s="67" t="n"/>
    </row>
    <row r="323">
      <c r="A323" s="67" t="n"/>
    </row>
    <row r="324">
      <c r="A324" s="67" t="n"/>
    </row>
    <row r="325">
      <c r="A325" s="67" t="n"/>
    </row>
    <row r="326">
      <c r="A326" s="67" t="n"/>
    </row>
    <row r="327">
      <c r="A327" s="67" t="n"/>
    </row>
    <row r="328">
      <c r="A328" s="67" t="n"/>
    </row>
    <row r="329">
      <c r="A329" s="67" t="n"/>
    </row>
    <row r="330">
      <c r="A330" s="67" t="n"/>
    </row>
    <row r="331">
      <c r="A331" s="67" t="n"/>
    </row>
    <row r="332">
      <c r="A332" s="67" t="n"/>
    </row>
    <row r="333">
      <c r="A333" s="67" t="n"/>
    </row>
    <row r="334">
      <c r="A334" s="67" t="n"/>
    </row>
    <row r="335">
      <c r="A335" s="67" t="n"/>
    </row>
    <row r="336">
      <c r="A336" s="67" t="n"/>
    </row>
    <row r="337">
      <c r="A337" s="67" t="n"/>
    </row>
    <row r="338">
      <c r="A338" s="67" t="n"/>
    </row>
    <row r="339">
      <c r="A339" s="67" t="n"/>
    </row>
    <row r="340">
      <c r="A340" s="67" t="n"/>
    </row>
    <row r="341">
      <c r="A341" s="67" t="n"/>
    </row>
    <row r="342">
      <c r="A342" s="67" t="n"/>
    </row>
    <row r="343">
      <c r="A343" s="67" t="n"/>
    </row>
    <row r="344">
      <c r="A344" s="67" t="n"/>
    </row>
    <row r="345">
      <c r="A345" s="67" t="n"/>
    </row>
    <row r="346">
      <c r="A346" s="67" t="n"/>
    </row>
    <row r="347">
      <c r="A347" s="67" t="n"/>
    </row>
    <row r="348">
      <c r="A348" s="67" t="n"/>
    </row>
    <row r="349">
      <c r="A349" s="67" t="n"/>
    </row>
    <row r="350">
      <c r="A350" s="67" t="n"/>
    </row>
    <row r="351">
      <c r="A351" s="67" t="n"/>
    </row>
    <row r="352">
      <c r="A352" s="67" t="n"/>
    </row>
    <row r="353">
      <c r="A353" s="67" t="n"/>
    </row>
    <row r="354">
      <c r="A354" s="67" t="n"/>
    </row>
    <row r="355">
      <c r="A355" s="67" t="n"/>
    </row>
    <row r="356">
      <c r="A356" s="67" t="n"/>
    </row>
    <row r="357">
      <c r="A357" s="67" t="n"/>
    </row>
    <row r="358">
      <c r="A358" s="67" t="n"/>
    </row>
    <row r="359">
      <c r="A359" s="67" t="n"/>
    </row>
    <row r="360">
      <c r="A360" s="67" t="n"/>
    </row>
    <row r="361">
      <c r="A361" s="67" t="n"/>
    </row>
    <row r="362">
      <c r="A362" s="67" t="n"/>
    </row>
    <row r="363">
      <c r="A363" s="67" t="n"/>
    </row>
    <row r="364">
      <c r="A364" s="67" t="n"/>
    </row>
    <row r="365">
      <c r="A365" s="67" t="n"/>
    </row>
    <row r="366">
      <c r="A366" s="67" t="n"/>
    </row>
    <row r="367">
      <c r="A367" s="67" t="n"/>
    </row>
    <row r="368">
      <c r="A368" s="67" t="n"/>
    </row>
    <row r="369">
      <c r="A369" s="67" t="n"/>
    </row>
    <row r="370">
      <c r="A370" s="67" t="n"/>
    </row>
    <row r="371">
      <c r="A371" s="67" t="n"/>
    </row>
    <row r="372">
      <c r="A372" s="67" t="n"/>
    </row>
    <row r="373">
      <c r="A373" s="67" t="n"/>
    </row>
    <row r="374">
      <c r="A374" s="67" t="n"/>
    </row>
    <row r="375">
      <c r="A375" s="67" t="n"/>
    </row>
    <row r="376">
      <c r="A376" s="67" t="n"/>
    </row>
    <row r="377">
      <c r="A377" s="67" t="n"/>
    </row>
    <row r="378">
      <c r="A378" s="67" t="n"/>
    </row>
    <row r="379">
      <c r="A379" s="67" t="n"/>
    </row>
    <row r="380">
      <c r="A380" s="67" t="n"/>
    </row>
    <row r="381">
      <c r="A381" s="67" t="n"/>
    </row>
    <row r="382">
      <c r="A382" s="67" t="n"/>
    </row>
    <row r="383">
      <c r="A383" s="67" t="n"/>
    </row>
    <row r="384">
      <c r="A384" s="67" t="n"/>
    </row>
    <row r="385">
      <c r="A385" s="67" t="n"/>
    </row>
    <row r="386">
      <c r="A386" s="67" t="n"/>
    </row>
    <row r="387">
      <c r="A387" s="67" t="n"/>
    </row>
    <row r="388">
      <c r="A388" s="67" t="n"/>
    </row>
    <row r="389">
      <c r="A389" s="67" t="n"/>
    </row>
    <row r="390">
      <c r="A390" s="67" t="n"/>
    </row>
    <row r="391">
      <c r="A391" s="67" t="n"/>
    </row>
    <row r="392">
      <c r="A392" s="67" t="n"/>
    </row>
    <row r="393">
      <c r="A393" s="67" t="n"/>
    </row>
    <row r="394">
      <c r="A394" s="67" t="n"/>
    </row>
    <row r="395">
      <c r="A395" s="67" t="n"/>
    </row>
    <row r="396">
      <c r="A396" s="67" t="n"/>
    </row>
    <row r="397">
      <c r="A397" s="67" t="n"/>
    </row>
    <row r="398">
      <c r="A398" s="67" t="n"/>
    </row>
    <row r="399">
      <c r="A399" s="67" t="n"/>
    </row>
    <row r="400">
      <c r="A400" s="67" t="n"/>
    </row>
    <row r="401">
      <c r="A401" s="67" t="n"/>
    </row>
    <row r="402">
      <c r="A402" s="67" t="n"/>
    </row>
    <row r="403">
      <c r="A403" s="67" t="n"/>
    </row>
    <row r="404">
      <c r="A404" s="67" t="n"/>
    </row>
    <row r="405">
      <c r="A405" s="67" t="n"/>
    </row>
    <row r="406">
      <c r="A406" s="67" t="n"/>
    </row>
    <row r="407">
      <c r="A407" s="67" t="n"/>
    </row>
    <row r="408">
      <c r="A408" s="67" t="n"/>
    </row>
    <row r="409">
      <c r="A409" s="67" t="n"/>
    </row>
    <row r="410">
      <c r="A410" s="67" t="n"/>
    </row>
    <row r="411">
      <c r="A411" s="67" t="n"/>
    </row>
    <row r="412">
      <c r="A412" s="67" t="n"/>
    </row>
    <row r="413">
      <c r="A413" s="67" t="n"/>
    </row>
    <row r="414">
      <c r="A414" s="67" t="n"/>
    </row>
    <row r="415">
      <c r="A415" s="67" t="n"/>
    </row>
    <row r="416">
      <c r="A416" s="67" t="n"/>
    </row>
    <row r="417">
      <c r="A417" s="67" t="n"/>
    </row>
    <row r="418">
      <c r="A418" s="67" t="n"/>
    </row>
    <row r="419">
      <c r="A419" s="67" t="n"/>
    </row>
    <row r="420">
      <c r="A420" s="67" t="n"/>
    </row>
    <row r="421">
      <c r="A421" s="67" t="n"/>
    </row>
    <row r="422">
      <c r="A422" s="67" t="n"/>
    </row>
    <row r="423">
      <c r="A423" s="67" t="n"/>
    </row>
    <row r="424">
      <c r="A424" s="67" t="n"/>
    </row>
    <row r="425">
      <c r="A425" s="67" t="n"/>
    </row>
    <row r="426">
      <c r="A426" s="67" t="n"/>
    </row>
    <row r="427">
      <c r="A427" s="67" t="n"/>
    </row>
    <row r="428">
      <c r="A428" s="67" t="n"/>
    </row>
    <row r="429">
      <c r="A429" s="67" t="n"/>
    </row>
    <row r="430">
      <c r="A430" s="67" t="n"/>
    </row>
    <row r="431">
      <c r="A431" s="67" t="n"/>
    </row>
    <row r="432">
      <c r="A432" s="67" t="n"/>
    </row>
    <row r="433">
      <c r="A433" s="67" t="n"/>
    </row>
    <row r="434">
      <c r="A434" s="67" t="n"/>
    </row>
    <row r="435">
      <c r="A435" s="67" t="n"/>
    </row>
    <row r="436">
      <c r="A436" s="67" t="n"/>
    </row>
    <row r="437">
      <c r="A437" s="67" t="n"/>
    </row>
    <row r="438">
      <c r="A438" s="67" t="n"/>
    </row>
    <row r="439">
      <c r="A439" s="67" t="n"/>
    </row>
    <row r="440">
      <c r="A440" s="67" t="n"/>
    </row>
    <row r="441">
      <c r="A441" s="67" t="n"/>
    </row>
    <row r="442">
      <c r="A442" s="67" t="n"/>
    </row>
    <row r="443">
      <c r="A443" s="67" t="n"/>
    </row>
    <row r="444">
      <c r="A444" s="67" t="n"/>
    </row>
    <row r="445">
      <c r="A445" s="67" t="n"/>
    </row>
    <row r="446">
      <c r="A446" s="67" t="n"/>
    </row>
    <row r="447">
      <c r="A447" s="67" t="n"/>
    </row>
    <row r="448">
      <c r="A448" s="67" t="n"/>
    </row>
    <row r="449">
      <c r="A449" s="67" t="n"/>
    </row>
    <row r="450">
      <c r="A450" s="67" t="n"/>
    </row>
    <row r="451">
      <c r="A451" s="67" t="n"/>
    </row>
    <row r="452">
      <c r="A452" s="67" t="n"/>
    </row>
    <row r="453">
      <c r="A453" s="67" t="n"/>
    </row>
    <row r="454">
      <c r="A454" s="67" t="n"/>
    </row>
    <row r="455">
      <c r="A455" s="67" t="n"/>
    </row>
    <row r="456">
      <c r="A456" s="67" t="n"/>
    </row>
    <row r="457">
      <c r="A457" s="67" t="n"/>
    </row>
    <row r="458">
      <c r="A458" s="67" t="n"/>
    </row>
    <row r="459">
      <c r="A459" s="67" t="n"/>
    </row>
    <row r="460">
      <c r="A460" s="67" t="n"/>
    </row>
    <row r="461">
      <c r="A461" s="67" t="n"/>
    </row>
    <row r="462">
      <c r="A462" s="67" t="n"/>
    </row>
    <row r="463">
      <c r="A463" s="67" t="n"/>
    </row>
    <row r="464">
      <c r="A464" s="67" t="n"/>
    </row>
    <row r="465">
      <c r="A465" s="67" t="n"/>
    </row>
    <row r="466">
      <c r="A466" s="67" t="n"/>
    </row>
    <row r="467">
      <c r="A467" s="67" t="n"/>
    </row>
    <row r="468">
      <c r="A468" s="67" t="n"/>
    </row>
    <row r="469">
      <c r="A469" s="67" t="n"/>
    </row>
    <row r="470">
      <c r="A470" s="67" t="n"/>
    </row>
    <row r="471">
      <c r="A471" s="67" t="n"/>
    </row>
    <row r="472">
      <c r="A472" s="67" t="n"/>
    </row>
    <row r="473">
      <c r="A473" s="67" t="n"/>
    </row>
    <row r="474">
      <c r="A474" s="67" t="n"/>
    </row>
    <row r="475">
      <c r="A475" s="67" t="n"/>
    </row>
    <row r="476">
      <c r="A476" s="67" t="n"/>
    </row>
    <row r="477">
      <c r="A477" s="67" t="n"/>
    </row>
    <row r="478">
      <c r="A478" s="67" t="n"/>
    </row>
    <row r="479">
      <c r="A479" s="67" t="n"/>
    </row>
    <row r="480">
      <c r="A480" s="67" t="n"/>
    </row>
    <row r="481">
      <c r="A481" s="67" t="n"/>
    </row>
    <row r="482">
      <c r="A482" s="67" t="n"/>
    </row>
    <row r="483">
      <c r="A483" s="67" t="n"/>
    </row>
    <row r="484">
      <c r="A484" s="67" t="n"/>
    </row>
    <row r="485">
      <c r="A485" s="67" t="n"/>
    </row>
    <row r="486">
      <c r="A486" s="67" t="n"/>
    </row>
    <row r="487">
      <c r="A487" s="67" t="n"/>
    </row>
    <row r="488">
      <c r="A488" s="67" t="n"/>
    </row>
    <row r="489">
      <c r="A489" s="67" t="n"/>
    </row>
    <row r="490">
      <c r="A490" s="67" t="n"/>
    </row>
    <row r="491">
      <c r="A491" s="67" t="n"/>
    </row>
    <row r="492">
      <c r="A492" s="67" t="n"/>
    </row>
    <row r="493">
      <c r="A493" s="67" t="n"/>
    </row>
    <row r="494">
      <c r="A494" s="67" t="n"/>
    </row>
    <row r="495">
      <c r="A495" s="67" t="n"/>
    </row>
    <row r="496">
      <c r="A496" s="67" t="n"/>
    </row>
    <row r="497">
      <c r="A497" s="67" t="n"/>
    </row>
    <row r="498">
      <c r="A498" s="67" t="n"/>
    </row>
    <row r="499">
      <c r="A499" s="67" t="n"/>
    </row>
    <row r="500">
      <c r="A500" s="67" t="n"/>
    </row>
    <row r="501">
      <c r="A501" s="67" t="n"/>
    </row>
    <row r="502">
      <c r="A502" s="67" t="n"/>
    </row>
    <row r="503">
      <c r="A503" s="67" t="n"/>
    </row>
    <row r="504">
      <c r="A504" s="67" t="n"/>
    </row>
    <row r="505">
      <c r="A505" s="67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i+PP+sHtPJauGRGmBljPRQ==" formatRows="1" sort="1" spinCount="100000" hashValue="cQx6vO/9DUtoELYadwD8M8/IXY/qUWMdXi9M296wDxQQpUIb2F67V/PNa02aVrdyhCdL/2ckCu1X6IEuBXtP+A=="/>
  <mergeCells count="1">
    <mergeCell ref="A1:BL1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4">
    <tabColor theme="6" tint="-0.499984740745262"/>
    <outlinePr summaryBelow="1" summaryRight="1"/>
    <pageSetUpPr/>
  </sheetPr>
  <dimension ref="A1:BL505"/>
  <sheetViews>
    <sheetView showGridLines="0" tabSelected="1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Q30" sqref="Q30"/>
    </sheetView>
  </sheetViews>
  <sheetFormatPr baseColWidth="8" defaultRowHeight="13.5"/>
  <cols>
    <col width="9" customWidth="1" style="570" min="1" max="1"/>
    <col width="18" customWidth="1" style="570" min="2" max="2"/>
    <col width="10" customWidth="1" style="570" min="3" max="4"/>
    <col width="7" customWidth="1" style="570" min="5" max="64"/>
    <col width="9" customWidth="1" style="570" min="65" max="16384"/>
  </cols>
  <sheetData>
    <row r="1" ht="30" customHeight="1" s="574">
      <c r="A1" s="569" t="inlineStr">
        <is>
          <t xml:space="preserve">  📈  安値シート｜60日履歴</t>
        </is>
      </c>
      <c r="B1" s="570" t="n"/>
      <c r="C1" s="570" t="n"/>
      <c r="D1" s="570" t="n"/>
      <c r="E1" s="570" t="n"/>
      <c r="F1" s="570" t="n"/>
      <c r="G1" s="570" t="n"/>
      <c r="H1" s="570" t="n"/>
      <c r="I1" s="570" t="n"/>
      <c r="J1" s="570" t="n"/>
      <c r="K1" s="570" t="n"/>
      <c r="L1" s="570" t="n"/>
      <c r="M1" s="570" t="n"/>
      <c r="N1" s="570" t="n"/>
      <c r="O1" s="570" t="n"/>
      <c r="P1" s="570" t="n"/>
      <c r="Q1" s="570" t="n"/>
      <c r="R1" s="570" t="n"/>
      <c r="S1" s="570" t="n"/>
      <c r="T1" s="570" t="n"/>
      <c r="U1" s="570" t="n"/>
      <c r="V1" s="570" t="n"/>
      <c r="W1" s="570" t="n"/>
      <c r="X1" s="570" t="n"/>
      <c r="Y1" s="570" t="n"/>
      <c r="Z1" s="570" t="n"/>
      <c r="AA1" s="570" t="n"/>
      <c r="AB1" s="570" t="n"/>
      <c r="AC1" s="570" t="n"/>
      <c r="AD1" s="570" t="n"/>
      <c r="AE1" s="570" t="n"/>
      <c r="AF1" s="570" t="n"/>
      <c r="AG1" s="570" t="n"/>
      <c r="AH1" s="570" t="n"/>
      <c r="AI1" s="570" t="n"/>
      <c r="AJ1" s="570" t="n"/>
      <c r="AK1" s="570" t="n"/>
      <c r="AL1" s="570" t="n"/>
      <c r="AM1" s="570" t="n"/>
      <c r="AN1" s="570" t="n"/>
      <c r="AO1" s="570" t="n"/>
      <c r="AP1" s="570" t="n"/>
      <c r="AQ1" s="570" t="n"/>
      <c r="AR1" s="570" t="n"/>
      <c r="AS1" s="570" t="n"/>
      <c r="AT1" s="570" t="n"/>
      <c r="AU1" s="570" t="n"/>
      <c r="AV1" s="570" t="n"/>
      <c r="AW1" s="570" t="n"/>
      <c r="AX1" s="570" t="n"/>
      <c r="AY1" s="570" t="n"/>
      <c r="AZ1" s="570" t="n"/>
      <c r="BA1" s="570" t="n"/>
      <c r="BB1" s="570" t="n"/>
      <c r="BC1" s="570" t="n"/>
      <c r="BD1" s="570" t="n"/>
      <c r="BE1" s="570" t="n"/>
      <c r="BF1" s="570" t="n"/>
      <c r="BG1" s="570" t="n"/>
      <c r="BH1" s="570" t="n"/>
      <c r="BI1" s="570" t="n"/>
      <c r="BJ1" s="570" t="n"/>
      <c r="BK1" s="570" t="n"/>
      <c r="BL1" s="570" t="n"/>
    </row>
    <row r="2" ht="18" customHeight="1" s="574">
      <c r="A2" s="196" t="inlineStr">
        <is>
          <t>コード</t>
        </is>
      </c>
      <c r="B2" s="196" t="inlineStr">
        <is>
          <t>銘 柄 名</t>
        </is>
      </c>
      <c r="C2" s="196" t="inlineStr">
        <is>
          <t>RSS 安値</t>
        </is>
      </c>
      <c r="D2" s="196" t="inlineStr">
        <is>
          <t>差  分</t>
        </is>
      </c>
      <c r="E2" s="197" t="n"/>
      <c r="F2" s="197" t="n"/>
      <c r="G2" s="197" t="n"/>
      <c r="H2" s="197" t="n"/>
      <c r="I2" s="197" t="n"/>
      <c r="J2" s="197" t="n"/>
      <c r="K2" s="197" t="n"/>
      <c r="L2" s="197" t="n"/>
      <c r="M2" s="197" t="n"/>
      <c r="N2" s="197" t="n"/>
      <c r="O2" s="197" t="n"/>
      <c r="P2" s="197" t="n"/>
      <c r="Q2" s="197" t="n"/>
      <c r="R2" s="197" t="n"/>
      <c r="S2" s="197" t="n"/>
      <c r="T2" s="197" t="n"/>
      <c r="U2" s="197" t="n"/>
      <c r="V2" s="197" t="n"/>
      <c r="W2" s="197" t="n"/>
      <c r="X2" s="197" t="n"/>
      <c r="Y2" s="197" t="n"/>
      <c r="Z2" s="197" t="n"/>
      <c r="AA2" s="197" t="n"/>
      <c r="AB2" s="197" t="n"/>
      <c r="AC2" s="197" t="n"/>
      <c r="AD2" s="197" t="n"/>
      <c r="AE2" s="197" t="n"/>
      <c r="AF2" s="197" t="n"/>
      <c r="AG2" s="197" t="n"/>
      <c r="AH2" s="197" t="n"/>
      <c r="AI2" s="197" t="n"/>
      <c r="AJ2" s="197" t="n"/>
      <c r="AK2" s="197" t="n"/>
      <c r="AL2" s="197" t="n"/>
      <c r="AM2" s="197" t="n"/>
      <c r="AN2" s="197" t="n"/>
      <c r="AO2" s="197" t="n"/>
      <c r="AP2" s="197" t="n"/>
      <c r="AQ2" s="197" t="n"/>
      <c r="AR2" s="197" t="n"/>
      <c r="AS2" s="197" t="n"/>
      <c r="AT2" s="197" t="n"/>
      <c r="AU2" s="197" t="n"/>
      <c r="AV2" s="197" t="n"/>
      <c r="AW2" s="197" t="n"/>
      <c r="AX2" s="197" t="n"/>
      <c r="AY2" s="197" t="n"/>
      <c r="AZ2" s="197" t="n"/>
      <c r="BA2" s="197" t="n"/>
      <c r="BB2" s="197" t="n"/>
      <c r="BC2" s="197" t="n"/>
      <c r="BD2" s="197" t="n"/>
      <c r="BE2" s="197" t="n"/>
      <c r="BF2" s="197" t="n"/>
      <c r="BG2" s="197" t="n"/>
      <c r="BH2" s="197" t="n"/>
      <c r="BI2" s="197" t="n"/>
      <c r="BJ2" s="197" t="n"/>
      <c r="BK2" s="197" t="n"/>
      <c r="BL2" s="197" t="n"/>
    </row>
    <row r="3" ht="14.1" customHeight="1" s="574">
      <c r="A3" s="649" t="inlineStr">
        <is>
          <t>日  付</t>
        </is>
      </c>
      <c r="B3" s="650" t="n"/>
      <c r="C3" s="651" t="inlineStr">
        <is>
          <t>本日</t>
        </is>
      </c>
      <c r="D3" s="650" t="n"/>
      <c r="E3" s="652" t="n">
        <v>46195</v>
      </c>
      <c r="F3" s="652" t="n">
        <v>46192</v>
      </c>
      <c r="G3" s="652" t="n">
        <v>46191</v>
      </c>
      <c r="H3" s="652" t="n">
        <v>46190</v>
      </c>
      <c r="I3" s="652" t="n">
        <v>46189</v>
      </c>
      <c r="J3" s="652" t="n">
        <v>46188</v>
      </c>
      <c r="K3" s="652" t="n">
        <v>46185</v>
      </c>
      <c r="L3" s="652" t="n">
        <v>46184</v>
      </c>
      <c r="M3" s="652" t="n">
        <v>46183</v>
      </c>
      <c r="N3" s="652" t="n">
        <v>46181</v>
      </c>
      <c r="O3" s="652" t="n">
        <v>46178</v>
      </c>
      <c r="P3" s="652" t="n">
        <v>46177</v>
      </c>
      <c r="Q3" s="652" t="n">
        <v>46176</v>
      </c>
      <c r="R3" s="652" t="n">
        <v>46175</v>
      </c>
      <c r="S3" s="652" t="n">
        <v>46171</v>
      </c>
      <c r="T3" s="652" t="n">
        <v>46170</v>
      </c>
      <c r="U3" s="652" t="n">
        <v>46169</v>
      </c>
      <c r="V3" s="652" t="n">
        <v>46167</v>
      </c>
      <c r="W3" s="652" t="n">
        <v>46164</v>
      </c>
      <c r="X3" s="652" t="n">
        <v>46163</v>
      </c>
      <c r="Y3" s="652" t="n">
        <v>46162</v>
      </c>
      <c r="Z3" s="652" t="n">
        <v>46161</v>
      </c>
      <c r="AA3" s="652" t="n">
        <v>46160</v>
      </c>
      <c r="AB3" s="652" t="n">
        <v>46157</v>
      </c>
      <c r="AC3" s="652" t="n">
        <v>46156</v>
      </c>
      <c r="AD3" s="652" t="n">
        <v>46155</v>
      </c>
      <c r="AE3" s="652" t="n">
        <v>46154</v>
      </c>
      <c r="AF3" s="652" t="n">
        <v>46153</v>
      </c>
      <c r="AG3" s="652" t="n">
        <v>46150</v>
      </c>
      <c r="AH3" s="652" t="n">
        <v>46149</v>
      </c>
      <c r="AI3" s="652" t="n">
        <v>46143</v>
      </c>
      <c r="AJ3" s="652" t="n">
        <v>46142</v>
      </c>
      <c r="AK3" s="652" t="n">
        <v>46140</v>
      </c>
      <c r="AL3" s="652" t="n">
        <v>46139</v>
      </c>
      <c r="AM3" s="652" t="n">
        <v>46136</v>
      </c>
      <c r="AN3" s="652" t="n">
        <v>46135</v>
      </c>
      <c r="AO3" s="652" t="n">
        <v>46134</v>
      </c>
      <c r="AP3" s="652" t="n">
        <v>46133</v>
      </c>
      <c r="AQ3" s="652" t="n">
        <v>46132</v>
      </c>
      <c r="AR3" s="652" t="n">
        <v>46129</v>
      </c>
      <c r="AS3" s="652" t="n">
        <v>46128</v>
      </c>
      <c r="AT3" s="652" t="n">
        <v>46127</v>
      </c>
      <c r="AU3" s="652" t="n">
        <v>46126</v>
      </c>
      <c r="AV3" s="652" t="n">
        <v>46125</v>
      </c>
      <c r="AW3" s="652" t="n">
        <v>46122</v>
      </c>
      <c r="AX3" s="652" t="n">
        <v>46121</v>
      </c>
      <c r="AY3" s="652" t="n">
        <v>46120</v>
      </c>
      <c r="AZ3" s="652" t="n">
        <v>46119</v>
      </c>
      <c r="BA3" s="652" t="n">
        <v>46118</v>
      </c>
      <c r="BB3" s="652" t="n">
        <v>46115</v>
      </c>
      <c r="BC3" s="652" t="n">
        <v>46114</v>
      </c>
      <c r="BD3" s="652" t="n">
        <v>46113</v>
      </c>
      <c r="BE3" s="652" t="n">
        <v>46112</v>
      </c>
      <c r="BF3" s="652" t="n">
        <v>46111</v>
      </c>
      <c r="BG3" s="652" t="n">
        <v>46108</v>
      </c>
      <c r="BH3" s="652" t="n">
        <v>46107</v>
      </c>
      <c r="BI3" s="652" t="n">
        <v>46106</v>
      </c>
      <c r="BJ3" s="652" t="n">
        <v>46105</v>
      </c>
      <c r="BK3" s="652" t="n">
        <v>46104</v>
      </c>
      <c r="BL3" s="652" t="n">
        <v>46100</v>
      </c>
    </row>
    <row r="4" ht="18" customHeight="1" s="574">
      <c r="A4" s="88" t="n"/>
      <c r="B4" s="88" t="n"/>
      <c r="C4" s="88" t="n"/>
      <c r="D4" s="88" t="n"/>
      <c r="E4" s="88" t="n"/>
      <c r="F4" s="88" t="n"/>
      <c r="G4" s="88" t="n"/>
      <c r="H4" s="88" t="n"/>
      <c r="I4" s="88" t="n"/>
      <c r="J4" s="88" t="n"/>
      <c r="K4" s="88" t="n"/>
      <c r="L4" s="88" t="n"/>
      <c r="M4" s="88" t="n"/>
      <c r="N4" s="88" t="n"/>
      <c r="O4" s="88" t="n"/>
      <c r="P4" s="88" t="n"/>
      <c r="Q4" s="88" t="n"/>
      <c r="R4" s="88" t="n"/>
      <c r="S4" s="88" t="n"/>
      <c r="T4" s="88" t="n"/>
      <c r="U4" s="88" t="n"/>
      <c r="V4" s="88" t="n"/>
      <c r="W4" s="88" t="n"/>
      <c r="X4" s="88" t="n"/>
      <c r="Y4" s="88" t="n"/>
      <c r="Z4" s="88" t="n"/>
      <c r="AA4" s="88" t="n"/>
      <c r="AB4" s="88" t="n"/>
      <c r="AC4" s="88" t="n"/>
      <c r="AD4" s="88" t="n"/>
      <c r="AE4" s="88" t="n"/>
      <c r="AF4" s="88" t="n"/>
      <c r="AG4" s="88" t="n"/>
      <c r="AH4" s="88" t="n"/>
      <c r="AI4" s="88" t="n"/>
      <c r="AJ4" s="88" t="n"/>
      <c r="AK4" s="88" t="n"/>
      <c r="AL4" s="88" t="n"/>
      <c r="AM4" s="88" t="n"/>
      <c r="AN4" s="88" t="n"/>
      <c r="AO4" s="88" t="n"/>
      <c r="AP4" s="88" t="n"/>
      <c r="AQ4" s="88" t="n"/>
      <c r="AR4" s="88" t="n"/>
      <c r="AS4" s="88" t="n"/>
      <c r="AT4" s="88" t="n"/>
      <c r="AU4" s="88" t="n"/>
      <c r="AV4" s="88" t="n"/>
      <c r="AW4" s="88" t="n"/>
      <c r="AX4" s="88" t="n"/>
      <c r="AY4" s="88" t="n"/>
      <c r="AZ4" s="88" t="n"/>
      <c r="BA4" s="88" t="n"/>
      <c r="BB4" s="88" t="n"/>
      <c r="BC4" s="88" t="n"/>
      <c r="BD4" s="88" t="n"/>
      <c r="BE4" s="88" t="n"/>
      <c r="BF4" s="88" t="n"/>
      <c r="BG4" s="88" t="n"/>
      <c r="BH4" s="88" t="n"/>
      <c r="BI4" s="88" t="n"/>
      <c r="BJ4" s="88" t="n"/>
      <c r="BK4" s="88" t="n"/>
      <c r="BL4" s="88" t="n"/>
    </row>
    <row r="5" ht="15.95" customHeight="1" s="574">
      <c r="A5" s="663">
        <f>IF(銘柄管理!B5="","",銘柄管理!B5)</f>
        <v/>
      </c>
      <c r="B5" s="44">
        <f>IF(銘柄管理!C5="","",銘柄管理!C5)</f>
        <v/>
      </c>
      <c r="C5" s="45">
        <f t="array" ref="C5">_xll.RssIndexMarket("TOPX", "安値")</f>
        <v/>
      </c>
      <c r="D5" s="668">
        <f>IF(OR(C5=0,E5=0),"",C5-E5)</f>
        <v/>
      </c>
      <c r="E5" s="21" t="n">
        <v>4028.61</v>
      </c>
      <c r="F5" s="21" t="n">
        <v>4018.69</v>
      </c>
      <c r="G5" s="21" t="n">
        <v>4028.43</v>
      </c>
      <c r="H5" s="21" t="n">
        <v>3989.06</v>
      </c>
      <c r="I5" s="21" t="n">
        <v>3980.34</v>
      </c>
      <c r="J5" s="21" t="n">
        <v>3927.17</v>
      </c>
      <c r="K5" s="21" t="n">
        <v>3859.97</v>
      </c>
      <c r="L5" s="21" t="n">
        <v>3766</v>
      </c>
      <c r="M5" s="21" t="n">
        <v>3828.49</v>
      </c>
      <c r="N5" s="21" t="n">
        <v>3820.06</v>
      </c>
      <c r="O5" s="21" t="n">
        <v>3931.13</v>
      </c>
      <c r="P5" s="21" t="n">
        <v>3932.81</v>
      </c>
      <c r="Q5" s="21" t="n">
        <v>3943.25</v>
      </c>
      <c r="R5" s="21" t="n">
        <v>3874.88</v>
      </c>
      <c r="S5" s="21" t="n">
        <v>3914.77</v>
      </c>
      <c r="T5" s="21" t="n">
        <v>3864.22</v>
      </c>
      <c r="U5" s="21" t="n">
        <v>3917.49</v>
      </c>
      <c r="V5" s="21" t="n">
        <v>3891.62</v>
      </c>
      <c r="W5" s="21" t="n">
        <v>3855.77</v>
      </c>
      <c r="X5" s="21" t="n">
        <v>3816.66</v>
      </c>
      <c r="Y5" s="21" t="n">
        <v>3764.5</v>
      </c>
      <c r="Z5" s="21" t="n">
        <v>3833.64</v>
      </c>
      <c r="AA5" s="21" t="n">
        <v>3814.22</v>
      </c>
      <c r="AB5" s="21" t="n">
        <v>3830.54</v>
      </c>
      <c r="AC5" s="21" t="n">
        <v>3877.44</v>
      </c>
      <c r="AD5" s="21" t="n"/>
      <c r="AE5" s="21" t="n"/>
      <c r="AF5" s="21" t="n"/>
      <c r="AG5" s="21" t="n"/>
      <c r="AH5" s="21" t="n"/>
      <c r="AI5" s="21" t="n"/>
      <c r="AJ5" s="21" t="n"/>
      <c r="AK5" s="21" t="n"/>
      <c r="AL5" s="21" t="n"/>
      <c r="AM5" s="21" t="n"/>
      <c r="AN5" s="21" t="n"/>
      <c r="AO5" s="21" t="n"/>
      <c r="AP5" s="22" t="n"/>
      <c r="AQ5" s="22" t="n"/>
      <c r="AR5" s="22" t="n"/>
      <c r="AS5" s="22" t="n"/>
      <c r="AT5" s="22" t="n"/>
      <c r="AU5" s="22" t="n"/>
      <c r="AV5" s="22" t="n"/>
      <c r="AW5" s="22" t="n"/>
      <c r="AX5" s="22" t="n"/>
      <c r="AY5" s="22" t="n"/>
      <c r="AZ5" s="22" t="n"/>
      <c r="BA5" s="22" t="n"/>
      <c r="BB5" s="22" t="n"/>
      <c r="BC5" s="22" t="n"/>
      <c r="BD5" s="22" t="n"/>
      <c r="BE5" s="22" t="n"/>
      <c r="BF5" s="22" t="n"/>
      <c r="BG5" s="22" t="n"/>
      <c r="BH5" s="22" t="n"/>
      <c r="BI5" s="22" t="n"/>
      <c r="BJ5" s="22" t="n"/>
      <c r="BK5" s="22" t="n"/>
      <c r="BL5" s="22" t="n"/>
    </row>
    <row r="6" ht="15.95" customHeight="1" s="574">
      <c r="A6" s="68" t="inlineStr">
        <is>
          <t>5706</t>
        </is>
      </c>
      <c r="B6" s="44" t="inlineStr">
        <is>
          <t>三井金属</t>
        </is>
      </c>
      <c r="C6" s="669">
        <f>_xll.RssMarket("5706","安値")</f>
        <v/>
      </c>
      <c r="D6" s="661">
        <f>C6-E6</f>
        <v/>
      </c>
      <c r="E6" s="21" t="n">
        <v>49650</v>
      </c>
      <c r="F6" s="21" t="n">
        <v>47110</v>
      </c>
      <c r="G6" s="21" t="n">
        <v>46990</v>
      </c>
      <c r="H6" s="21" t="n">
        <v>46090</v>
      </c>
      <c r="I6" s="21" t="n">
        <v>44990</v>
      </c>
      <c r="J6" s="21" t="n">
        <v>44610</v>
      </c>
      <c r="K6" s="21" t="n">
        <v>40530</v>
      </c>
      <c r="L6" s="21" t="n">
        <v>35040</v>
      </c>
      <c r="M6" s="21" t="n">
        <v>36240</v>
      </c>
      <c r="N6" s="21" t="n">
        <v>40040</v>
      </c>
      <c r="O6" s="21" t="n">
        <v>42530</v>
      </c>
      <c r="P6" s="21" t="n">
        <v>45100</v>
      </c>
      <c r="Q6" s="21" t="n">
        <v>47220</v>
      </c>
      <c r="R6" s="21" t="n">
        <v>48260</v>
      </c>
      <c r="S6" s="21" t="n">
        <v>48810</v>
      </c>
      <c r="T6" s="21" t="n">
        <v>47830</v>
      </c>
      <c r="U6" s="21" t="n">
        <v>51630</v>
      </c>
      <c r="V6" s="21" t="n">
        <v>50080</v>
      </c>
      <c r="W6" s="21" t="n">
        <v>47080</v>
      </c>
      <c r="X6" s="21" t="n">
        <v>44570</v>
      </c>
      <c r="Y6" s="21" t="n">
        <v>43020</v>
      </c>
      <c r="Z6" s="21" t="n">
        <v>43900</v>
      </c>
      <c r="AA6" s="21" t="n">
        <v>45210</v>
      </c>
      <c r="AB6" s="21" t="n">
        <v>45280</v>
      </c>
      <c r="AC6" s="21" t="n">
        <v>47900</v>
      </c>
      <c r="AD6" s="21" t="n">
        <v>49810</v>
      </c>
      <c r="AE6" s="21" t="n">
        <v>49640</v>
      </c>
      <c r="AF6" s="21" t="n">
        <v>50300</v>
      </c>
      <c r="AG6" s="21" t="n">
        <v>47320</v>
      </c>
      <c r="AH6" s="21" t="n">
        <v>45500</v>
      </c>
      <c r="AI6" s="21" t="n">
        <v>41050</v>
      </c>
      <c r="AJ6" s="21" t="n">
        <v>40560</v>
      </c>
      <c r="AK6" s="21" t="n">
        <v>39380</v>
      </c>
      <c r="AL6" s="21" t="n">
        <v>37120</v>
      </c>
      <c r="AM6" s="21" t="n">
        <v>37620</v>
      </c>
      <c r="AN6" s="21" t="n">
        <v>36400</v>
      </c>
      <c r="AO6" s="21" t="n">
        <v>36230</v>
      </c>
      <c r="AP6" s="22" t="n">
        <v>35770</v>
      </c>
      <c r="AQ6" s="22" t="n">
        <v>35400</v>
      </c>
      <c r="AR6" s="22" t="n">
        <v>36390</v>
      </c>
      <c r="AS6" s="22" t="n">
        <v>35730</v>
      </c>
      <c r="AT6" s="22" t="n">
        <v>35380</v>
      </c>
      <c r="AU6" s="22" t="n">
        <v>37950</v>
      </c>
      <c r="AV6" s="22" t="n">
        <v>35470</v>
      </c>
      <c r="AW6" s="22" t="n">
        <v>34800</v>
      </c>
      <c r="AX6" s="22" t="n">
        <v>33740</v>
      </c>
      <c r="AY6" s="22" t="n">
        <v>33470</v>
      </c>
      <c r="AZ6" s="22" t="n">
        <v>30850</v>
      </c>
      <c r="BA6" s="22" t="n">
        <v>31300</v>
      </c>
      <c r="BB6" s="22" t="n">
        <v>30800</v>
      </c>
      <c r="BC6" s="22" t="n">
        <v>29250</v>
      </c>
      <c r="BD6" s="22" t="n">
        <v>29685</v>
      </c>
      <c r="BE6" s="22" t="n">
        <v>27390</v>
      </c>
      <c r="BF6" s="22" t="n">
        <v>28990</v>
      </c>
      <c r="BG6" s="22" t="n">
        <v>29350</v>
      </c>
      <c r="BH6" s="22" t="n">
        <v>30550</v>
      </c>
      <c r="BI6" s="22" t="n">
        <v>31010</v>
      </c>
      <c r="BJ6" s="22" t="n">
        <v>28910</v>
      </c>
      <c r="BK6" s="22" t="n">
        <v>27880</v>
      </c>
      <c r="BL6" s="22" t="n">
        <v>30270</v>
      </c>
    </row>
    <row r="7" ht="15.95" customHeight="1" s="574">
      <c r="A7" s="68" t="inlineStr">
        <is>
          <t>5423</t>
        </is>
      </c>
      <c r="B7" s="44" t="inlineStr">
        <is>
          <t>東京製鐵</t>
        </is>
      </c>
      <c r="C7" s="669">
        <f>_xll.RssMarket("5423","安値")</f>
        <v/>
      </c>
      <c r="D7" s="661">
        <f>C7-E7</f>
        <v/>
      </c>
      <c r="E7" s="21" t="n">
        <v>1763</v>
      </c>
      <c r="F7" s="21" t="n">
        <v>1731</v>
      </c>
      <c r="G7" s="21" t="n">
        <v>1759</v>
      </c>
      <c r="H7" s="21" t="n">
        <v>1749</v>
      </c>
      <c r="I7" s="21" t="n">
        <v>1722</v>
      </c>
      <c r="J7" s="21" t="n">
        <v>1713</v>
      </c>
      <c r="K7" s="21" t="n">
        <v>1703</v>
      </c>
      <c r="L7" s="21" t="n">
        <v>1645</v>
      </c>
      <c r="M7" s="21" t="n">
        <v>1664</v>
      </c>
      <c r="N7" s="21" t="n">
        <v>1683</v>
      </c>
      <c r="O7" s="21" t="n">
        <v>1686</v>
      </c>
      <c r="P7" s="21" t="n">
        <v>1696</v>
      </c>
      <c r="Q7" s="21" t="n">
        <v>1681</v>
      </c>
      <c r="R7" s="21" t="n">
        <v>1663</v>
      </c>
      <c r="S7" s="21" t="n">
        <v>1696</v>
      </c>
      <c r="T7" s="21" t="n">
        <v>1688</v>
      </c>
      <c r="U7" s="21" t="n">
        <v>1697</v>
      </c>
      <c r="V7" s="21" t="n">
        <v>1700</v>
      </c>
      <c r="W7" s="21" t="n">
        <v>1725</v>
      </c>
      <c r="X7" s="21" t="n">
        <v>1709</v>
      </c>
      <c r="Y7" s="21" t="n">
        <v>1694</v>
      </c>
      <c r="Z7" s="21" t="n">
        <v>1740</v>
      </c>
      <c r="AA7" s="21" t="n">
        <v>1782</v>
      </c>
      <c r="AB7" s="21" t="n">
        <v>1816</v>
      </c>
      <c r="AC7" s="21" t="n">
        <v>1717</v>
      </c>
      <c r="AD7" s="21" t="n">
        <v>1661</v>
      </c>
      <c r="AE7" s="21" t="n">
        <v>1660</v>
      </c>
      <c r="AF7" s="21" t="n">
        <v>1642</v>
      </c>
      <c r="AG7" s="21" t="n">
        <v>1653</v>
      </c>
      <c r="AH7" s="21" t="n">
        <v>1664</v>
      </c>
      <c r="AI7" s="21" t="n">
        <v>1659</v>
      </c>
      <c r="AJ7" s="21" t="n">
        <v>1662</v>
      </c>
      <c r="AK7" s="21" t="n">
        <v>1651</v>
      </c>
      <c r="AL7" s="21" t="n">
        <v>1605</v>
      </c>
      <c r="AM7" s="21" t="n">
        <v>1616</v>
      </c>
      <c r="AN7" s="21" t="n">
        <v>1736</v>
      </c>
      <c r="AO7" s="21" t="n">
        <v>1786</v>
      </c>
      <c r="AP7" s="22" t="n">
        <v>1783</v>
      </c>
      <c r="AQ7" s="22" t="n">
        <v>1758</v>
      </c>
      <c r="AR7" s="22" t="n">
        <v>1748</v>
      </c>
      <c r="AS7" s="22" t="n">
        <v>1741</v>
      </c>
      <c r="AT7" s="22" t="n">
        <v>1707</v>
      </c>
      <c r="AU7" s="22" t="n">
        <v>1714</v>
      </c>
      <c r="AV7" s="22" t="n">
        <v>1700</v>
      </c>
      <c r="AW7" s="22" t="n">
        <v>1736</v>
      </c>
      <c r="AX7" s="22" t="n">
        <v>1777</v>
      </c>
      <c r="AY7" s="22" t="n">
        <v>1805</v>
      </c>
      <c r="AZ7" s="22" t="n">
        <v>1781</v>
      </c>
      <c r="BA7" s="22" t="n">
        <v>1865</v>
      </c>
      <c r="BB7" s="22" t="n">
        <v>1870</v>
      </c>
      <c r="BC7" s="22" t="n">
        <v>1600</v>
      </c>
      <c r="BD7" s="22" t="n">
        <v>1599</v>
      </c>
      <c r="BE7" s="22" t="n">
        <v>1612</v>
      </c>
      <c r="BF7" s="22" t="n">
        <v>1600</v>
      </c>
      <c r="BG7" s="22" t="n">
        <v>1640</v>
      </c>
      <c r="BH7" s="22" t="n">
        <v>1608</v>
      </c>
      <c r="BI7" s="22" t="n">
        <v>1601</v>
      </c>
      <c r="BJ7" s="22" t="n">
        <v>1577</v>
      </c>
      <c r="BK7" s="22" t="n">
        <v>1558</v>
      </c>
      <c r="BL7" s="22" t="n">
        <v>1608</v>
      </c>
    </row>
    <row r="8" ht="15.95" customHeight="1" s="574">
      <c r="A8" s="68" t="inlineStr">
        <is>
          <t>5713</t>
        </is>
      </c>
      <c r="B8" s="44" t="inlineStr">
        <is>
          <t>住友鉱山</t>
        </is>
      </c>
      <c r="C8" s="669">
        <f>_xll.RssMarket("5713","安値")</f>
        <v/>
      </c>
      <c r="D8" s="661">
        <f>C8-E8</f>
        <v/>
      </c>
      <c r="E8" s="23" t="n">
        <v>8486</v>
      </c>
      <c r="F8" s="23" t="n">
        <v>8580</v>
      </c>
      <c r="G8" s="23" t="n">
        <v>9001</v>
      </c>
      <c r="H8" s="23" t="n">
        <v>8779</v>
      </c>
      <c r="I8" s="23" t="n">
        <v>8863</v>
      </c>
      <c r="J8" s="23" t="n">
        <v>8851</v>
      </c>
      <c r="K8" s="23" t="n">
        <v>8215</v>
      </c>
      <c r="L8" s="23" t="n">
        <v>7477</v>
      </c>
      <c r="M8" s="23" t="n">
        <v>7597</v>
      </c>
      <c r="N8" s="23" t="n">
        <v>7881</v>
      </c>
      <c r="O8" s="23" t="n">
        <v>8509</v>
      </c>
      <c r="P8" s="23" t="n">
        <v>8617</v>
      </c>
      <c r="Q8" s="23" t="n">
        <v>9000</v>
      </c>
      <c r="R8" s="23" t="n">
        <v>8413</v>
      </c>
      <c r="S8" s="23" t="n">
        <v>8810</v>
      </c>
      <c r="T8" s="23" t="n">
        <v>8691</v>
      </c>
      <c r="U8" s="23" t="n">
        <v>9580</v>
      </c>
      <c r="V8" s="23" t="n">
        <v>9681</v>
      </c>
      <c r="W8" s="23" t="n">
        <v>9363</v>
      </c>
      <c r="X8" s="23" t="n">
        <v>9003</v>
      </c>
      <c r="Y8" s="23" t="n">
        <v>8872</v>
      </c>
      <c r="Z8" s="23" t="n">
        <v>9088</v>
      </c>
      <c r="AA8" s="23" t="n">
        <v>9538</v>
      </c>
      <c r="AB8" s="23" t="n">
        <v>10110</v>
      </c>
      <c r="AC8" s="23" t="n">
        <v>10560</v>
      </c>
      <c r="AD8" s="23" t="n">
        <v>10620</v>
      </c>
      <c r="AE8" s="23" t="n">
        <v>10565</v>
      </c>
      <c r="AF8" s="23" t="n">
        <v>9532</v>
      </c>
      <c r="AG8" s="23" t="n">
        <v>10030</v>
      </c>
      <c r="AH8" s="23" t="n">
        <v>9845</v>
      </c>
      <c r="AI8" s="23" t="n">
        <v>9259</v>
      </c>
      <c r="AJ8" s="23" t="n">
        <v>9306</v>
      </c>
      <c r="AK8" s="23" t="n">
        <v>9631</v>
      </c>
      <c r="AL8" s="23" t="n">
        <v>9663</v>
      </c>
      <c r="AM8" s="23" t="n">
        <v>9558</v>
      </c>
      <c r="AN8" s="23" t="n">
        <v>9826</v>
      </c>
      <c r="AO8" s="23" t="n">
        <v>10030</v>
      </c>
      <c r="AP8" s="22" t="n">
        <v>10005</v>
      </c>
      <c r="AQ8" s="22" t="n">
        <v>10150</v>
      </c>
      <c r="AR8" s="22" t="n">
        <v>10530</v>
      </c>
      <c r="AS8" s="22" t="n">
        <v>10440</v>
      </c>
      <c r="AT8" s="22" t="n">
        <v>10130</v>
      </c>
      <c r="AU8" s="22" t="n">
        <v>9755</v>
      </c>
      <c r="AV8" s="22" t="n">
        <v>9820</v>
      </c>
      <c r="AW8" s="22" t="n">
        <v>9795</v>
      </c>
      <c r="AX8" s="22" t="n">
        <v>9988</v>
      </c>
      <c r="AY8" s="22" t="n">
        <v>9350</v>
      </c>
      <c r="AZ8" s="22" t="n">
        <v>9414</v>
      </c>
      <c r="BA8" s="22" t="n">
        <v>9427</v>
      </c>
      <c r="BB8" s="22" t="n">
        <v>9162</v>
      </c>
      <c r="BC8" s="22" t="n">
        <v>9380</v>
      </c>
      <c r="BD8" s="22" t="n">
        <v>8668</v>
      </c>
      <c r="BE8" s="22" t="n">
        <v>9036</v>
      </c>
      <c r="BF8" s="22" t="n">
        <v>8995</v>
      </c>
      <c r="BG8" s="22" t="n">
        <v>9150</v>
      </c>
      <c r="BH8" s="22" t="n">
        <v>9082</v>
      </c>
      <c r="BI8" s="22" t="n">
        <v>8532</v>
      </c>
      <c r="BJ8" s="22" t="n">
        <v>8315</v>
      </c>
      <c r="BK8" s="22" t="n">
        <v>9137</v>
      </c>
      <c r="BL8" s="22" t="n">
        <v>9682</v>
      </c>
    </row>
    <row r="9" ht="15.95" customHeight="1" s="574">
      <c r="A9" s="68" t="inlineStr">
        <is>
          <t>5711</t>
        </is>
      </c>
      <c r="B9" s="44" t="inlineStr">
        <is>
          <t>三菱マテリアル</t>
        </is>
      </c>
      <c r="C9" s="669">
        <f>_xll.RssMarket("5711","安値")</f>
        <v/>
      </c>
      <c r="D9" s="661">
        <f>C9-E9</f>
        <v/>
      </c>
      <c r="E9" s="22" t="n">
        <v>4830</v>
      </c>
      <c r="F9" s="22" t="n">
        <v>4794</v>
      </c>
      <c r="G9" s="22" t="n">
        <v>4837</v>
      </c>
      <c r="H9" s="22" t="n">
        <v>4842</v>
      </c>
      <c r="I9" s="22" t="n">
        <v>4898</v>
      </c>
      <c r="J9" s="22" t="n">
        <v>4883</v>
      </c>
      <c r="K9" s="22" t="n">
        <v>4510</v>
      </c>
      <c r="L9" s="22" t="n">
        <v>4276</v>
      </c>
      <c r="M9" s="22" t="n">
        <v>4448</v>
      </c>
      <c r="N9" s="22" t="n">
        <v>4537</v>
      </c>
      <c r="O9" s="22" t="n">
        <v>4850</v>
      </c>
      <c r="P9" s="22" t="n">
        <v>4950</v>
      </c>
      <c r="Q9" s="22" t="n">
        <v>5087</v>
      </c>
      <c r="R9" s="22" t="n">
        <v>4920</v>
      </c>
      <c r="S9" s="22" t="n">
        <v>5048</v>
      </c>
      <c r="T9" s="22" t="n">
        <v>5036</v>
      </c>
      <c r="U9" s="22" t="n">
        <v>5260</v>
      </c>
      <c r="V9" s="22" t="n">
        <v>5132</v>
      </c>
      <c r="W9" s="22" t="n">
        <v>5036</v>
      </c>
      <c r="X9" s="22" t="n">
        <v>4782</v>
      </c>
      <c r="Y9" s="22" t="n">
        <v>4691</v>
      </c>
      <c r="Z9" s="22" t="n">
        <v>4903</v>
      </c>
      <c r="AA9" s="22" t="n">
        <v>5035</v>
      </c>
      <c r="AB9" s="22" t="n">
        <v>5321</v>
      </c>
      <c r="AC9" s="22" t="n">
        <v>5285</v>
      </c>
      <c r="AD9" s="22" t="n">
        <v>5833</v>
      </c>
      <c r="AE9" s="22" t="n">
        <v>5560</v>
      </c>
      <c r="AF9" s="22" t="n">
        <v>5511</v>
      </c>
      <c r="AG9" s="22" t="n">
        <v>5284</v>
      </c>
      <c r="AH9" s="22" t="n">
        <v>5243</v>
      </c>
      <c r="AI9" s="22" t="n">
        <v>5010</v>
      </c>
      <c r="AJ9" s="22" t="n">
        <v>4990</v>
      </c>
      <c r="AK9" s="22" t="n">
        <v>5145</v>
      </c>
      <c r="AL9" s="22" t="n">
        <v>5229</v>
      </c>
      <c r="AM9" s="22" t="n">
        <v>5209</v>
      </c>
      <c r="AN9" s="22" t="n">
        <v>5358</v>
      </c>
      <c r="AO9" s="22" t="n">
        <v>5500</v>
      </c>
      <c r="AP9" s="22" t="n">
        <v>5473</v>
      </c>
      <c r="AQ9" s="22" t="n">
        <v>5523</v>
      </c>
      <c r="AR9" s="22" t="n">
        <v>5678</v>
      </c>
      <c r="AS9" s="22" t="n">
        <v>5557</v>
      </c>
      <c r="AT9" s="22" t="n">
        <v>5586</v>
      </c>
      <c r="AU9" s="22" t="n">
        <v>5390</v>
      </c>
      <c r="AV9" s="22" t="n">
        <v>5505</v>
      </c>
      <c r="AW9" s="22" t="n">
        <v>5510</v>
      </c>
      <c r="AX9" s="22" t="n">
        <v>5415</v>
      </c>
      <c r="AY9" s="22" t="n">
        <v>5144</v>
      </c>
      <c r="AZ9" s="22" t="n">
        <v>5147</v>
      </c>
      <c r="BA9" s="22" t="n">
        <v>5127</v>
      </c>
      <c r="BB9" s="22" t="n">
        <v>4988</v>
      </c>
      <c r="BC9" s="22" t="n">
        <v>5017</v>
      </c>
      <c r="BD9" s="22" t="n">
        <v>4725</v>
      </c>
      <c r="BE9" s="22" t="n">
        <v>4825</v>
      </c>
      <c r="BF9" s="22" t="n">
        <v>4951</v>
      </c>
      <c r="BG9" s="22" t="n">
        <v>5090</v>
      </c>
      <c r="BH9" s="22" t="n">
        <v>5158</v>
      </c>
      <c r="BI9" s="22" t="n">
        <v>4818</v>
      </c>
      <c r="BJ9" s="22" t="n">
        <v>4683</v>
      </c>
      <c r="BK9" s="22" t="n">
        <v>5201</v>
      </c>
      <c r="BL9" s="22" t="n">
        <v>5256</v>
      </c>
    </row>
    <row r="10" ht="15.95" customHeight="1" s="574">
      <c r="A10" s="68" t="inlineStr">
        <is>
          <t>5714</t>
        </is>
      </c>
      <c r="B10" s="44" t="inlineStr">
        <is>
          <t>ＤＯＷＡホールディングス</t>
        </is>
      </c>
      <c r="C10" s="669">
        <f>_xll.RssMarket("5714","安値")</f>
        <v/>
      </c>
      <c r="D10" s="661">
        <f>C10-E10</f>
        <v/>
      </c>
      <c r="E10" s="22" t="n">
        <v>9477</v>
      </c>
      <c r="F10" s="22" t="n">
        <v>9369</v>
      </c>
      <c r="G10" s="22" t="n">
        <v>9702</v>
      </c>
      <c r="H10" s="22" t="n">
        <v>9615</v>
      </c>
      <c r="I10" s="22" t="n">
        <v>9685</v>
      </c>
      <c r="J10" s="22" t="n">
        <v>9652</v>
      </c>
      <c r="K10" s="22" t="n">
        <v>9139</v>
      </c>
      <c r="L10" s="22" t="n">
        <v>8656</v>
      </c>
      <c r="M10" s="22" t="n">
        <v>8910</v>
      </c>
      <c r="N10" s="22" t="n">
        <v>9165</v>
      </c>
      <c r="O10" s="22" t="n">
        <v>9800</v>
      </c>
      <c r="P10" s="22" t="n">
        <v>9710</v>
      </c>
      <c r="Q10" s="22" t="n">
        <v>10230</v>
      </c>
      <c r="R10" s="22" t="n">
        <v>9886</v>
      </c>
      <c r="S10" s="22" t="n">
        <v>10270</v>
      </c>
      <c r="T10" s="22" t="n">
        <v>10285</v>
      </c>
      <c r="U10" s="22" t="n">
        <v>10605</v>
      </c>
      <c r="V10" s="22" t="n">
        <v>10720</v>
      </c>
      <c r="W10" s="22" t="n">
        <v>10240</v>
      </c>
      <c r="X10" s="22" t="n">
        <v>10020</v>
      </c>
      <c r="Y10" s="22" t="n">
        <v>9897</v>
      </c>
      <c r="Z10" s="22" t="n">
        <v>10300</v>
      </c>
      <c r="AA10" s="22" t="n">
        <v>11120</v>
      </c>
      <c r="AB10" s="22" t="n">
        <v>11390</v>
      </c>
      <c r="AC10" s="22" t="n">
        <v>9914</v>
      </c>
      <c r="AD10" s="22" t="n">
        <v>10200</v>
      </c>
      <c r="AE10" s="22" t="n">
        <v>10260</v>
      </c>
      <c r="AF10" s="22" t="n">
        <v>10270</v>
      </c>
      <c r="AG10" s="22" t="n">
        <v>9729</v>
      </c>
      <c r="AH10" s="22" t="n">
        <v>9573</v>
      </c>
      <c r="AI10" s="22" t="n">
        <v>9390</v>
      </c>
      <c r="AJ10" s="22" t="n">
        <v>9356</v>
      </c>
      <c r="AK10" s="22" t="n">
        <v>9506</v>
      </c>
      <c r="AL10" s="22" t="n">
        <v>9378</v>
      </c>
      <c r="AM10" s="22" t="n">
        <v>9524</v>
      </c>
      <c r="AN10" s="22" t="n">
        <v>9543</v>
      </c>
      <c r="AO10" s="22" t="n">
        <v>9650</v>
      </c>
      <c r="AP10" s="22" t="n">
        <v>9838</v>
      </c>
      <c r="AQ10" s="22" t="n">
        <v>9724</v>
      </c>
      <c r="AR10" s="22" t="n">
        <v>9916</v>
      </c>
      <c r="AS10" s="22" t="n">
        <v>10065</v>
      </c>
      <c r="AT10" s="22" t="n">
        <v>9920</v>
      </c>
      <c r="AU10" s="22" t="n">
        <v>9781</v>
      </c>
      <c r="AV10" s="22" t="n">
        <v>9582</v>
      </c>
      <c r="AW10" s="22" t="n">
        <v>9718</v>
      </c>
      <c r="AX10" s="22" t="n">
        <v>9749</v>
      </c>
      <c r="AY10" s="22" t="n">
        <v>9677</v>
      </c>
      <c r="AZ10" s="22" t="n">
        <v>9100</v>
      </c>
      <c r="BA10" s="22" t="n">
        <v>9073</v>
      </c>
      <c r="BB10" s="22" t="n">
        <v>9037</v>
      </c>
      <c r="BC10" s="22" t="n">
        <v>8895</v>
      </c>
      <c r="BD10" s="22" t="n">
        <v>9044</v>
      </c>
      <c r="BE10" s="22" t="n">
        <v>8550</v>
      </c>
      <c r="BF10" s="22" t="n">
        <v>8613</v>
      </c>
      <c r="BG10" s="22" t="n">
        <v>9196</v>
      </c>
      <c r="BH10" s="22" t="n">
        <v>9338</v>
      </c>
      <c r="BI10" s="22" t="n">
        <v>9255</v>
      </c>
      <c r="BJ10" s="22" t="n">
        <v>8765</v>
      </c>
      <c r="BK10" s="22" t="n">
        <v>8392</v>
      </c>
      <c r="BL10" s="22" t="n">
        <v>9271</v>
      </c>
    </row>
    <row r="11" ht="15.95" customHeight="1" s="574">
      <c r="A11" s="68" t="inlineStr">
        <is>
          <t>6701</t>
        </is>
      </c>
      <c r="B11" s="44" t="inlineStr">
        <is>
          <t>日本電気</t>
        </is>
      </c>
      <c r="C11" s="669">
        <f>_xll.RssMarket("6701","安値")</f>
        <v/>
      </c>
      <c r="D11" s="661">
        <f>C11-E11</f>
        <v/>
      </c>
      <c r="E11" s="22" t="n">
        <v>3709</v>
      </c>
      <c r="F11" s="22" t="n">
        <v>3685</v>
      </c>
      <c r="G11" s="22" t="n">
        <v>3868</v>
      </c>
      <c r="H11" s="22" t="n">
        <v>3796</v>
      </c>
      <c r="I11" s="22" t="n">
        <v>3773</v>
      </c>
      <c r="J11" s="22" t="n">
        <v>3818</v>
      </c>
      <c r="K11" s="22" t="n">
        <v>3862</v>
      </c>
      <c r="L11" s="22" t="n">
        <v>3970</v>
      </c>
      <c r="M11" s="22" t="n">
        <v>3921</v>
      </c>
      <c r="N11" s="22" t="n">
        <v>4060</v>
      </c>
      <c r="O11" s="22" t="n">
        <v>4208</v>
      </c>
      <c r="P11" s="22" t="n">
        <v>4178</v>
      </c>
      <c r="Q11" s="22" t="n">
        <v>4187</v>
      </c>
      <c r="R11" s="22" t="n">
        <v>4282</v>
      </c>
      <c r="S11" s="22" t="n">
        <v>4076</v>
      </c>
      <c r="T11" s="22" t="n">
        <v>4058</v>
      </c>
      <c r="U11" s="22" t="n">
        <v>4002</v>
      </c>
      <c r="V11" s="22" t="n">
        <v>4036</v>
      </c>
      <c r="W11" s="22" t="n">
        <v>4065</v>
      </c>
      <c r="X11" s="22" t="n">
        <v>4118</v>
      </c>
      <c r="Y11" s="22" t="n">
        <v>4055</v>
      </c>
      <c r="Z11" s="22" t="n">
        <v>4236</v>
      </c>
      <c r="AA11" s="22" t="n">
        <v>4093</v>
      </c>
      <c r="AB11" s="22" t="n">
        <v>3961</v>
      </c>
      <c r="AC11" s="22" t="n">
        <v>3988</v>
      </c>
      <c r="AD11" s="22" t="n">
        <v>4169</v>
      </c>
      <c r="AE11" s="22" t="n">
        <v>4058</v>
      </c>
      <c r="AF11" s="22" t="n">
        <v>4073</v>
      </c>
      <c r="AG11" s="22" t="n">
        <v>4095</v>
      </c>
      <c r="AH11" s="22" t="n">
        <v>3989</v>
      </c>
      <c r="AI11" s="22" t="n">
        <v>3960</v>
      </c>
      <c r="AJ11" s="22" t="n">
        <v>4027</v>
      </c>
      <c r="AK11" s="22" t="n">
        <v>4577</v>
      </c>
      <c r="AL11" s="22" t="n">
        <v>4452</v>
      </c>
      <c r="AM11" s="22" t="n">
        <v>4258</v>
      </c>
      <c r="AN11" s="22" t="n">
        <v>4411</v>
      </c>
      <c r="AO11" s="22" t="n">
        <v>4385</v>
      </c>
      <c r="AP11" s="22" t="n">
        <v>4276</v>
      </c>
      <c r="AQ11" s="22" t="n">
        <v>4328</v>
      </c>
      <c r="AR11" s="22" t="n">
        <v>4300</v>
      </c>
      <c r="AS11" s="22" t="n">
        <v>4156</v>
      </c>
      <c r="AT11" s="22" t="n">
        <v>4043</v>
      </c>
      <c r="AU11" s="22" t="n">
        <v>3792</v>
      </c>
      <c r="AV11" s="22" t="n">
        <v>3860</v>
      </c>
      <c r="AW11" s="22" t="n">
        <v>4021</v>
      </c>
      <c r="AX11" s="22" t="n">
        <v>4120</v>
      </c>
      <c r="AY11" s="22" t="n">
        <v>4007</v>
      </c>
      <c r="AZ11" s="22" t="n">
        <v>3974</v>
      </c>
      <c r="BA11" s="22" t="n">
        <v>4021</v>
      </c>
      <c r="BB11" s="22" t="n">
        <v>4021</v>
      </c>
      <c r="BC11" s="22" t="n">
        <v>3965</v>
      </c>
      <c r="BD11" s="22" t="n">
        <v>3965</v>
      </c>
      <c r="BE11" s="22" t="n">
        <v>3937</v>
      </c>
      <c r="BF11" s="22" t="n">
        <v>3937</v>
      </c>
      <c r="BG11" s="22" t="n">
        <v>3937</v>
      </c>
      <c r="BH11" s="22" t="n">
        <v>3805</v>
      </c>
      <c r="BI11" s="22" t="n">
        <v>3805</v>
      </c>
      <c r="BJ11" s="22" t="n">
        <v>3805</v>
      </c>
      <c r="BK11" s="22" t="n">
        <v>3697</v>
      </c>
      <c r="BL11" s="22" t="n">
        <v>3697</v>
      </c>
    </row>
    <row r="12" ht="15.95" customHeight="1" s="574">
      <c r="A12" s="68" t="inlineStr">
        <is>
          <t>1605</t>
        </is>
      </c>
      <c r="B12" s="44" t="inlineStr">
        <is>
          <t>ＩＮＰＥＸ</t>
        </is>
      </c>
      <c r="C12" s="669">
        <f>_xll.RssMarket("1605","安値")</f>
        <v/>
      </c>
      <c r="D12" s="661">
        <f>C12-E12</f>
        <v/>
      </c>
      <c r="E12" s="22" t="n">
        <v>3442</v>
      </c>
      <c r="F12" s="22" t="n">
        <v>3371</v>
      </c>
      <c r="G12" s="22" t="n">
        <v>3402</v>
      </c>
      <c r="H12" s="22" t="n">
        <v>3293</v>
      </c>
      <c r="I12" s="22" t="n">
        <v>3361</v>
      </c>
      <c r="J12" s="22" t="n">
        <v>3468</v>
      </c>
      <c r="K12" s="22" t="n">
        <v>3518</v>
      </c>
      <c r="L12" s="22" t="n">
        <v>3561</v>
      </c>
      <c r="M12" s="22" t="n">
        <v>3450</v>
      </c>
      <c r="N12" s="22" t="n">
        <v>3604</v>
      </c>
      <c r="O12" s="22" t="n">
        <v>3639</v>
      </c>
      <c r="P12" s="22" t="n">
        <v>3585</v>
      </c>
      <c r="Q12" s="22" t="n">
        <v>3649</v>
      </c>
      <c r="R12" s="22" t="n">
        <v>3428</v>
      </c>
      <c r="S12" s="22" t="n">
        <v>3578</v>
      </c>
      <c r="T12" s="22" t="n">
        <v>3588</v>
      </c>
      <c r="U12" s="22" t="n">
        <v>3643</v>
      </c>
      <c r="V12" s="22" t="n">
        <v>3640</v>
      </c>
      <c r="W12" s="22" t="n">
        <v>3778</v>
      </c>
      <c r="X12" s="22" t="n">
        <v>3859</v>
      </c>
      <c r="Y12" s="22" t="n">
        <v>3952</v>
      </c>
      <c r="Z12" s="22" t="n">
        <v>3948</v>
      </c>
      <c r="AA12" s="22" t="n">
        <v>3913</v>
      </c>
      <c r="AB12" s="22" t="n">
        <v>3788</v>
      </c>
      <c r="AC12" s="22" t="n">
        <v>3811</v>
      </c>
      <c r="AD12" s="22" t="n">
        <v>3921</v>
      </c>
      <c r="AE12" s="22" t="n">
        <v>3900</v>
      </c>
      <c r="AF12" s="22" t="n">
        <v>3776</v>
      </c>
      <c r="AG12" s="22" t="n">
        <v>3719</v>
      </c>
      <c r="AH12" s="22" t="n">
        <v>3821</v>
      </c>
      <c r="AI12" s="22" t="n">
        <v>4043</v>
      </c>
      <c r="AJ12" s="22" t="n">
        <v>4063</v>
      </c>
      <c r="AK12" s="22" t="n">
        <v>3985</v>
      </c>
      <c r="AL12" s="22" t="n">
        <v>3882</v>
      </c>
      <c r="AM12" s="22" t="n">
        <v>3969</v>
      </c>
      <c r="AN12" s="22" t="n">
        <v>3840</v>
      </c>
      <c r="AO12" s="22" t="n">
        <v>3805</v>
      </c>
      <c r="AP12" s="22" t="n">
        <v>3785</v>
      </c>
      <c r="AQ12" s="22" t="n">
        <v>3831</v>
      </c>
      <c r="AR12" s="22" t="n">
        <v>3908</v>
      </c>
      <c r="AS12" s="22" t="n">
        <v>3948</v>
      </c>
      <c r="AT12" s="22" t="n">
        <v>3990</v>
      </c>
      <c r="AU12" s="22" t="n">
        <v>4094</v>
      </c>
      <c r="AV12" s="22" t="n">
        <v>4237</v>
      </c>
      <c r="AW12" s="22" t="n">
        <v>4122</v>
      </c>
      <c r="AX12" s="22" t="n">
        <v>4182</v>
      </c>
      <c r="AY12" s="22" t="n">
        <v>4055</v>
      </c>
      <c r="AZ12" s="22" t="n">
        <v>4480</v>
      </c>
      <c r="BA12" s="22" t="n">
        <v>4512</v>
      </c>
      <c r="BB12" s="22" t="n">
        <v>4550</v>
      </c>
      <c r="BC12" s="22" t="n">
        <v>4313</v>
      </c>
      <c r="BD12" s="22" t="n">
        <v>4521</v>
      </c>
      <c r="BE12" s="22" t="n">
        <v>4678</v>
      </c>
      <c r="BF12" s="22" t="n">
        <v>4801</v>
      </c>
      <c r="BG12" s="22" t="n">
        <v>4652</v>
      </c>
      <c r="BH12" s="22" t="n">
        <v>4576</v>
      </c>
      <c r="BI12" s="22" t="n">
        <v>4369</v>
      </c>
      <c r="BJ12" s="22" t="n">
        <v>4405</v>
      </c>
      <c r="BK12" s="22" t="n">
        <v>4391</v>
      </c>
      <c r="BL12" s="22" t="n">
        <v>4700</v>
      </c>
    </row>
    <row r="13" ht="15.95" customHeight="1" s="574">
      <c r="A13" s="68" t="inlineStr">
        <is>
          <t>5703</t>
        </is>
      </c>
      <c r="B13" s="44" t="inlineStr">
        <is>
          <t>日本軽金属ＨＤ</t>
        </is>
      </c>
      <c r="C13" s="669">
        <f>_xll.RssMarket("5703","安値")</f>
        <v/>
      </c>
      <c r="D13" s="661">
        <f>C13-E13</f>
        <v/>
      </c>
      <c r="E13" s="22" t="n">
        <v>2996</v>
      </c>
      <c r="F13" s="22" t="n">
        <v>2960</v>
      </c>
      <c r="G13" s="22" t="n">
        <v>2945</v>
      </c>
      <c r="H13" s="22" t="n">
        <v>2999</v>
      </c>
      <c r="I13" s="22" t="n">
        <v>3075</v>
      </c>
      <c r="J13" s="22" t="n">
        <v>3015</v>
      </c>
      <c r="K13" s="22" t="n">
        <v>2893</v>
      </c>
      <c r="L13" s="22" t="n">
        <v>3040</v>
      </c>
      <c r="M13" s="22" t="n">
        <v>3090</v>
      </c>
      <c r="N13" s="22" t="n">
        <v>3115</v>
      </c>
      <c r="O13" s="22" t="n">
        <v>3145</v>
      </c>
      <c r="P13" s="22" t="n">
        <v>3215</v>
      </c>
      <c r="Q13" s="22" t="n">
        <v>3045</v>
      </c>
      <c r="R13" s="22" t="n">
        <v>3150</v>
      </c>
      <c r="S13" s="22" t="n">
        <v>3040</v>
      </c>
      <c r="T13" s="22" t="n">
        <v>3195</v>
      </c>
      <c r="U13" s="22" t="n">
        <v>3145</v>
      </c>
      <c r="V13" s="22" t="n">
        <v>3035</v>
      </c>
      <c r="W13" s="22" t="n">
        <v>3030</v>
      </c>
      <c r="X13" s="22" t="n">
        <v>3000</v>
      </c>
      <c r="Y13" s="22" t="n">
        <v>3035</v>
      </c>
      <c r="Z13" s="22" t="n">
        <v>3010</v>
      </c>
      <c r="AA13" s="22" t="n">
        <v>3025</v>
      </c>
      <c r="AB13" s="22" t="n">
        <v>2907</v>
      </c>
      <c r="AC13" s="22" t="n">
        <v>2911</v>
      </c>
      <c r="AD13" s="22" t="n">
        <v>2901</v>
      </c>
      <c r="AE13" s="22" t="n">
        <v>2869</v>
      </c>
      <c r="AF13" s="22" t="n">
        <v>2820</v>
      </c>
      <c r="AG13" s="22" t="n">
        <v>2856</v>
      </c>
      <c r="AH13" s="22" t="n">
        <v>2703</v>
      </c>
      <c r="AI13" s="22" t="n">
        <v>2788</v>
      </c>
      <c r="AJ13" s="22" t="n">
        <v>2838</v>
      </c>
      <c r="AK13" s="22" t="n">
        <v>2838</v>
      </c>
      <c r="AL13" s="22" t="n">
        <v>2831</v>
      </c>
      <c r="AM13" s="22" t="n">
        <v>2809</v>
      </c>
      <c r="AN13" s="22" t="n">
        <v>2898</v>
      </c>
      <c r="AO13" s="22" t="n">
        <v>2954</v>
      </c>
      <c r="AP13" s="22" t="n">
        <v>2934</v>
      </c>
      <c r="AQ13" s="22" t="n">
        <v>2979</v>
      </c>
      <c r="AR13" s="22" t="n">
        <v>3015</v>
      </c>
      <c r="AS13" s="22" t="n">
        <v>3000</v>
      </c>
      <c r="AT13" s="22" t="n">
        <v>3020</v>
      </c>
      <c r="AU13" s="22" t="n">
        <v>2959</v>
      </c>
      <c r="AV13" s="22" t="n">
        <v>2964</v>
      </c>
      <c r="AW13" s="22" t="n">
        <v>2923</v>
      </c>
      <c r="AX13" s="22" t="n">
        <v>2936</v>
      </c>
      <c r="AY13" s="22" t="n">
        <v>2860</v>
      </c>
      <c r="AZ13" s="22" t="n">
        <v>2867</v>
      </c>
      <c r="BA13" s="22" t="n">
        <v>2801</v>
      </c>
      <c r="BB13" s="22" t="n">
        <v>2756</v>
      </c>
      <c r="BC13" s="22" t="n">
        <v>2831</v>
      </c>
      <c r="BD13" s="22" t="n">
        <v>2633</v>
      </c>
      <c r="BE13" s="22" t="n">
        <v>2571</v>
      </c>
      <c r="BF13" s="22" t="n">
        <v>2671</v>
      </c>
      <c r="BG13" s="22" t="n">
        <v>2677</v>
      </c>
      <c r="BH13" s="22" t="n">
        <v>2701</v>
      </c>
      <c r="BI13" s="22" t="n">
        <v>2597</v>
      </c>
      <c r="BJ13" s="22" t="n">
        <v>2511</v>
      </c>
      <c r="BK13" s="22" t="n">
        <v>2726</v>
      </c>
      <c r="BL13" s="22" t="n">
        <v>2839</v>
      </c>
    </row>
    <row r="14" ht="15.95" customHeight="1" s="574">
      <c r="A14" s="68" t="inlineStr">
        <is>
          <t>8002</t>
        </is>
      </c>
      <c r="B14" s="44" t="inlineStr">
        <is>
          <t>丸紅</t>
        </is>
      </c>
      <c r="C14" s="669">
        <f>_xll.RssMarket("8002","安値")</f>
        <v/>
      </c>
      <c r="D14" s="661">
        <f>C14-E14</f>
        <v/>
      </c>
      <c r="E14" s="22" t="n">
        <v>4830</v>
      </c>
      <c r="F14" s="22" t="n">
        <v>4805</v>
      </c>
      <c r="G14" s="22" t="n">
        <v>4909</v>
      </c>
      <c r="H14" s="22" t="n">
        <v>4886</v>
      </c>
      <c r="I14" s="22" t="n">
        <v>4900</v>
      </c>
      <c r="J14" s="22" t="n">
        <v>4994</v>
      </c>
      <c r="K14" s="22" t="n">
        <v>4848</v>
      </c>
      <c r="L14" s="22" t="n">
        <v>4713</v>
      </c>
      <c r="M14" s="22" t="n">
        <v>4747</v>
      </c>
      <c r="N14" s="22" t="n">
        <v>4820</v>
      </c>
      <c r="O14" s="22" t="n">
        <v>4983</v>
      </c>
      <c r="P14" s="22" t="n">
        <v>4947</v>
      </c>
      <c r="Q14" s="22" t="n">
        <v>4873</v>
      </c>
      <c r="R14" s="22" t="n">
        <v>4823</v>
      </c>
      <c r="S14" s="22" t="n">
        <v>5135</v>
      </c>
      <c r="T14" s="22" t="n">
        <v>5150</v>
      </c>
      <c r="U14" s="22" t="n">
        <v>5220</v>
      </c>
      <c r="V14" s="22" t="n">
        <v>5216</v>
      </c>
      <c r="W14" s="22" t="n">
        <v>5235</v>
      </c>
      <c r="X14" s="22" t="n">
        <v>5322</v>
      </c>
      <c r="Y14" s="22" t="n">
        <v>5287</v>
      </c>
      <c r="Z14" s="22" t="n">
        <v>5525</v>
      </c>
      <c r="AA14" s="22" t="n">
        <v>5596</v>
      </c>
      <c r="AB14" s="22" t="n">
        <v>5792</v>
      </c>
      <c r="AC14" s="22" t="n">
        <v>5800</v>
      </c>
      <c r="AD14" s="22" t="n">
        <v>5551</v>
      </c>
      <c r="AE14" s="22" t="n">
        <v>5433</v>
      </c>
      <c r="AF14" s="22" t="n">
        <v>5351</v>
      </c>
      <c r="AG14" s="22" t="n">
        <v>5366</v>
      </c>
      <c r="AH14" s="22" t="n">
        <v>5375</v>
      </c>
      <c r="AI14" s="22" t="n">
        <v>5744</v>
      </c>
      <c r="AJ14" s="22" t="n">
        <v>5956</v>
      </c>
      <c r="AK14" s="22" t="n">
        <v>5966</v>
      </c>
      <c r="AL14" s="22" t="n">
        <v>5822</v>
      </c>
      <c r="AM14" s="22" t="n">
        <v>5916</v>
      </c>
      <c r="AN14" s="22" t="n">
        <v>5792</v>
      </c>
      <c r="AO14" s="22" t="n">
        <v>5832</v>
      </c>
      <c r="AP14" s="22" t="n">
        <v>5852</v>
      </c>
      <c r="AQ14" s="22" t="n">
        <v>5872</v>
      </c>
      <c r="AR14" s="22" t="n">
        <v>5838</v>
      </c>
      <c r="AS14" s="22" t="n">
        <v>5899</v>
      </c>
      <c r="AT14" s="22" t="n">
        <v>5882</v>
      </c>
      <c r="AU14" s="22" t="n">
        <v>5902</v>
      </c>
      <c r="AV14" s="22" t="n">
        <v>5861</v>
      </c>
      <c r="AW14" s="22" t="n">
        <v>5892</v>
      </c>
      <c r="AX14" s="22" t="n">
        <v>6061</v>
      </c>
      <c r="AY14" s="22" t="n">
        <v>6042</v>
      </c>
      <c r="AZ14" s="22" t="n">
        <v>5851</v>
      </c>
      <c r="BA14" s="22" t="n">
        <v>5890</v>
      </c>
      <c r="BB14" s="22" t="n">
        <v>5888</v>
      </c>
      <c r="BC14" s="22" t="n">
        <v>5851</v>
      </c>
      <c r="BD14" s="22" t="n">
        <v>5789</v>
      </c>
      <c r="BE14" s="22" t="n">
        <v>5556</v>
      </c>
      <c r="BF14" s="22" t="n">
        <v>5382</v>
      </c>
      <c r="BG14" s="22" t="n">
        <v>5582</v>
      </c>
      <c r="BH14" s="22" t="n">
        <v>5570</v>
      </c>
      <c r="BI14" s="22" t="n">
        <v>5523</v>
      </c>
      <c r="BJ14" s="22" t="n">
        <v>5229</v>
      </c>
      <c r="BK14" s="22" t="n">
        <v>5115</v>
      </c>
      <c r="BL14" s="22" t="n">
        <v>5495</v>
      </c>
    </row>
    <row r="15" ht="15.95" customHeight="1" s="574">
      <c r="A15" s="68" t="inlineStr">
        <is>
          <t>5021</t>
        </is>
      </c>
      <c r="B15" s="44" t="inlineStr">
        <is>
          <t>コスモエネルギーＨＬＤＧＳ</t>
        </is>
      </c>
      <c r="C15" s="669">
        <f>_xll.RssMarket("5021","安値")</f>
        <v/>
      </c>
      <c r="D15" s="661">
        <f>C15-E15</f>
        <v/>
      </c>
      <c r="E15" s="22" t="n">
        <v>3678</v>
      </c>
      <c r="F15" s="22" t="n">
        <v>3687</v>
      </c>
      <c r="G15" s="22" t="n">
        <v>3641</v>
      </c>
      <c r="H15" s="22" t="n">
        <v>3617</v>
      </c>
      <c r="I15" s="22" t="n">
        <v>3622</v>
      </c>
      <c r="J15" s="22" t="n">
        <v>3600</v>
      </c>
      <c r="K15" s="22" t="n">
        <v>3503</v>
      </c>
      <c r="L15" s="22" t="n">
        <v>3451</v>
      </c>
      <c r="M15" s="22" t="n">
        <v>3452</v>
      </c>
      <c r="N15" s="22" t="n">
        <v>3533</v>
      </c>
      <c r="O15" s="22" t="n">
        <v>3595</v>
      </c>
      <c r="P15" s="22" t="n">
        <v>3636</v>
      </c>
      <c r="Q15" s="22" t="n">
        <v>3701</v>
      </c>
      <c r="R15" s="22" t="n">
        <v>3634</v>
      </c>
      <c r="S15" s="22" t="n">
        <v>3676</v>
      </c>
      <c r="T15" s="22" t="n">
        <v>3635</v>
      </c>
      <c r="U15" s="22" t="n">
        <v>3630</v>
      </c>
      <c r="V15" s="22" t="n">
        <v>3676</v>
      </c>
      <c r="W15" s="22" t="n">
        <v>3675</v>
      </c>
      <c r="X15" s="22" t="n">
        <v>3689</v>
      </c>
      <c r="Y15" s="22" t="n">
        <v>3705</v>
      </c>
      <c r="Z15" s="22" t="n">
        <v>3732</v>
      </c>
      <c r="AA15" s="22" t="n">
        <v>3733</v>
      </c>
      <c r="AB15" s="22" t="n">
        <v>3778</v>
      </c>
      <c r="AC15" s="22" t="n">
        <v>3737</v>
      </c>
      <c r="AD15" s="22" t="n">
        <v>3760</v>
      </c>
      <c r="AE15" s="22" t="n">
        <v>3952</v>
      </c>
      <c r="AF15" s="22" t="n">
        <v>3925</v>
      </c>
      <c r="AG15" s="22" t="n">
        <v>3868</v>
      </c>
      <c r="AH15" s="22" t="n">
        <v>3853</v>
      </c>
      <c r="AI15" s="22" t="n">
        <v>3938</v>
      </c>
      <c r="AJ15" s="22" t="n">
        <v>3919</v>
      </c>
      <c r="AK15" s="22" t="n">
        <v>3895</v>
      </c>
      <c r="AL15" s="22" t="n">
        <v>3831</v>
      </c>
      <c r="AM15" s="22" t="n">
        <v>3906</v>
      </c>
      <c r="AN15" s="22" t="n">
        <v>3863</v>
      </c>
      <c r="AO15" s="22" t="n">
        <v>4067</v>
      </c>
      <c r="AP15" s="22" t="n">
        <v>4185</v>
      </c>
      <c r="AQ15" s="22" t="n">
        <v>4228</v>
      </c>
      <c r="AR15" s="22" t="n">
        <v>4342</v>
      </c>
      <c r="AS15" s="22" t="n">
        <v>4356</v>
      </c>
      <c r="AT15" s="22" t="n">
        <v>4330</v>
      </c>
      <c r="AU15" s="22" t="n">
        <v>4303</v>
      </c>
      <c r="AV15" s="22" t="n">
        <v>4350</v>
      </c>
      <c r="AW15" s="22" t="n">
        <v>4419</v>
      </c>
      <c r="AX15" s="22" t="n">
        <v>4477</v>
      </c>
      <c r="AY15" s="22" t="n">
        <v>4445</v>
      </c>
      <c r="AZ15" s="22" t="n">
        <v>4491</v>
      </c>
      <c r="BA15" s="22" t="n">
        <v>4461</v>
      </c>
      <c r="BB15" s="22" t="n">
        <v>4458</v>
      </c>
      <c r="BC15" s="22" t="n">
        <v>4442</v>
      </c>
      <c r="BD15" s="22" t="n">
        <v>4478</v>
      </c>
      <c r="BE15" s="22" t="n">
        <v>4432</v>
      </c>
      <c r="BF15" s="22" t="n">
        <v>4400</v>
      </c>
      <c r="BG15" s="22" t="n">
        <v>4543</v>
      </c>
      <c r="BH15" s="22" t="n">
        <v>4494</v>
      </c>
      <c r="BI15" s="22" t="n">
        <v>4494</v>
      </c>
      <c r="BJ15" s="22" t="n">
        <v>4476</v>
      </c>
      <c r="BK15" s="22" t="n">
        <v>4341</v>
      </c>
      <c r="BL15" s="22" t="n">
        <v>4563</v>
      </c>
    </row>
    <row r="16" ht="15.95" customHeight="1" s="574">
      <c r="A16" s="68" t="inlineStr">
        <is>
          <t>8058</t>
        </is>
      </c>
      <c r="B16" s="44" t="inlineStr">
        <is>
          <t>三菱商事</t>
        </is>
      </c>
      <c r="C16" s="669">
        <f>_xll.RssMarket("8058","安値")</f>
        <v/>
      </c>
      <c r="D16" s="661">
        <f>C16-E16</f>
        <v/>
      </c>
      <c r="E16" s="22" t="n">
        <v>4498</v>
      </c>
      <c r="F16" s="22" t="n">
        <v>4450</v>
      </c>
      <c r="G16" s="22" t="n">
        <v>4570</v>
      </c>
      <c r="H16" s="22" t="n">
        <v>4595</v>
      </c>
      <c r="I16" s="22" t="n">
        <v>4588</v>
      </c>
      <c r="J16" s="22" t="n">
        <v>4728</v>
      </c>
      <c r="K16" s="22" t="n">
        <v>4610</v>
      </c>
      <c r="L16" s="22" t="n">
        <v>4522</v>
      </c>
      <c r="M16" s="22" t="n">
        <v>4575</v>
      </c>
      <c r="N16" s="22" t="n">
        <v>4760</v>
      </c>
      <c r="O16" s="22" t="n">
        <v>4855</v>
      </c>
      <c r="P16" s="22" t="n">
        <v>4871</v>
      </c>
      <c r="Q16" s="22" t="n">
        <v>4931</v>
      </c>
      <c r="R16" s="22" t="n">
        <v>4864</v>
      </c>
      <c r="S16" s="22" t="n">
        <v>4966</v>
      </c>
      <c r="T16" s="22" t="n">
        <v>5003</v>
      </c>
      <c r="U16" s="22" t="n">
        <v>5093</v>
      </c>
      <c r="V16" s="22" t="n">
        <v>5283</v>
      </c>
      <c r="W16" s="22" t="n">
        <v>5290</v>
      </c>
      <c r="X16" s="22" t="n">
        <v>5345</v>
      </c>
      <c r="Y16" s="22" t="n">
        <v>5362</v>
      </c>
      <c r="Z16" s="22" t="n">
        <v>5492</v>
      </c>
      <c r="AA16" s="22" t="n">
        <v>5500</v>
      </c>
      <c r="AB16" s="22" t="n">
        <v>5780</v>
      </c>
      <c r="AC16" s="22" t="n">
        <v>5774</v>
      </c>
      <c r="AD16" s="22" t="n">
        <v>5625</v>
      </c>
      <c r="AE16" s="22" t="n">
        <v>5301</v>
      </c>
      <c r="AF16" s="22" t="n">
        <v>5175</v>
      </c>
      <c r="AG16" s="22" t="n">
        <v>5169</v>
      </c>
      <c r="AH16" s="22" t="n">
        <v>5108</v>
      </c>
      <c r="AI16" s="22" t="n">
        <v>4842</v>
      </c>
      <c r="AJ16" s="22" t="n">
        <v>4867</v>
      </c>
      <c r="AK16" s="22" t="n">
        <v>4835</v>
      </c>
      <c r="AL16" s="22" t="n">
        <v>4738</v>
      </c>
      <c r="AM16" s="22" t="n">
        <v>4824</v>
      </c>
      <c r="AN16" s="22" t="n">
        <v>4693</v>
      </c>
      <c r="AO16" s="22" t="n">
        <v>4744</v>
      </c>
      <c r="AP16" s="22" t="n">
        <v>4844</v>
      </c>
      <c r="AQ16" s="22" t="n">
        <v>4891</v>
      </c>
      <c r="AR16" s="22" t="n">
        <v>4938</v>
      </c>
      <c r="AS16" s="22" t="n">
        <v>5002</v>
      </c>
      <c r="AT16" s="22" t="n">
        <v>4977</v>
      </c>
      <c r="AU16" s="22" t="n">
        <v>5182</v>
      </c>
      <c r="AV16" s="22" t="n">
        <v>5255</v>
      </c>
      <c r="AW16" s="22" t="n">
        <v>5307</v>
      </c>
      <c r="AX16" s="22" t="n">
        <v>5382</v>
      </c>
      <c r="AY16" s="22" t="n">
        <v>5411</v>
      </c>
      <c r="AZ16" s="22" t="n">
        <v>5361</v>
      </c>
      <c r="BA16" s="22" t="n">
        <v>5398</v>
      </c>
      <c r="BB16" s="22" t="n">
        <v>5400</v>
      </c>
      <c r="BC16" s="22" t="n">
        <v>5385</v>
      </c>
      <c r="BD16" s="22" t="n">
        <v>5424</v>
      </c>
      <c r="BE16" s="22" t="n">
        <v>5317</v>
      </c>
      <c r="BF16" s="22" t="n">
        <v>5497</v>
      </c>
      <c r="BG16" s="22" t="n">
        <v>5602</v>
      </c>
      <c r="BH16" s="22" t="n">
        <v>5589</v>
      </c>
      <c r="BI16" s="22" t="n">
        <v>5518</v>
      </c>
      <c r="BJ16" s="22" t="n">
        <v>5318</v>
      </c>
      <c r="BK16" s="22" t="n">
        <v>5145</v>
      </c>
      <c r="BL16" s="22" t="n">
        <v>5397</v>
      </c>
    </row>
    <row r="17" ht="15.95" customHeight="1" s="574">
      <c r="A17" s="68" t="inlineStr">
        <is>
          <t>5333</t>
        </is>
      </c>
      <c r="B17" s="44" t="inlineStr">
        <is>
          <t>ＮＧＫ</t>
        </is>
      </c>
      <c r="C17" s="669">
        <f>_xll.RssMarket("5333","安値")</f>
        <v/>
      </c>
      <c r="D17" s="661">
        <f>C17-E17</f>
        <v/>
      </c>
      <c r="E17" s="22" t="n">
        <v>7372</v>
      </c>
      <c r="F17" s="22" t="n">
        <v>7329</v>
      </c>
      <c r="G17" s="22" t="n">
        <v>6978</v>
      </c>
      <c r="H17" s="22" t="n">
        <v>6706</v>
      </c>
      <c r="I17" s="22" t="n">
        <v>6619</v>
      </c>
      <c r="J17" s="22" t="n">
        <v>6383</v>
      </c>
      <c r="K17" s="22" t="n">
        <v>6106</v>
      </c>
      <c r="L17" s="22" t="n">
        <v>5551</v>
      </c>
      <c r="M17" s="22" t="n">
        <v>5913</v>
      </c>
      <c r="N17" s="22" t="n">
        <v>5966</v>
      </c>
      <c r="O17" s="22" t="n">
        <v>6386</v>
      </c>
      <c r="P17" s="22" t="n">
        <v>6184</v>
      </c>
      <c r="Q17" s="22" t="n">
        <v>6265</v>
      </c>
      <c r="R17" s="22" t="n">
        <v>6063</v>
      </c>
      <c r="S17" s="22" t="n">
        <v>6103</v>
      </c>
      <c r="T17" s="22" t="n">
        <v>5862</v>
      </c>
      <c r="U17" s="22" t="n">
        <v>6069</v>
      </c>
      <c r="V17" s="22" t="n">
        <v>5906</v>
      </c>
      <c r="W17" s="22" t="n">
        <v>5755</v>
      </c>
      <c r="X17" s="22" t="n">
        <v>5543</v>
      </c>
      <c r="Y17" s="22" t="n">
        <v>5292</v>
      </c>
      <c r="Z17" s="22" t="n">
        <v>5470</v>
      </c>
      <c r="AA17" s="22" t="n">
        <v>5570</v>
      </c>
      <c r="AB17" s="22" t="n">
        <v>5613</v>
      </c>
      <c r="AC17" s="22" t="n">
        <v>5707</v>
      </c>
      <c r="AD17" s="22" t="n">
        <v>5521</v>
      </c>
      <c r="AE17" s="22" t="n">
        <v>5534</v>
      </c>
      <c r="AF17" s="22" t="n">
        <v>5444</v>
      </c>
      <c r="AG17" s="22" t="n">
        <v>5218</v>
      </c>
      <c r="AH17" s="22" t="n">
        <v>5245</v>
      </c>
      <c r="AI17" s="22" t="n">
        <v>4887</v>
      </c>
      <c r="AJ17" s="22" t="n">
        <v>4563</v>
      </c>
      <c r="AK17" s="22" t="n">
        <v>4613</v>
      </c>
      <c r="AL17" s="22" t="n">
        <v>4422</v>
      </c>
      <c r="AM17" s="22" t="n">
        <v>4386</v>
      </c>
      <c r="AN17" s="22" t="n">
        <v>4322</v>
      </c>
      <c r="AO17" s="22" t="n">
        <v>4426</v>
      </c>
      <c r="AP17" s="22" t="n">
        <v>4530</v>
      </c>
      <c r="AQ17" s="22" t="n">
        <v>4510</v>
      </c>
      <c r="AR17" s="22" t="n">
        <v>4473</v>
      </c>
      <c r="AS17" s="22" t="n">
        <v>4423</v>
      </c>
      <c r="AT17" s="22" t="n">
        <v>4420</v>
      </c>
      <c r="AU17" s="22" t="n">
        <v>4422</v>
      </c>
      <c r="AV17" s="22" t="n">
        <v>4381</v>
      </c>
      <c r="AW17" s="22" t="n">
        <v>4411</v>
      </c>
      <c r="AX17" s="22" t="n">
        <v>4350</v>
      </c>
      <c r="AY17" s="22" t="n">
        <v>4280</v>
      </c>
      <c r="AZ17" s="22" t="n">
        <v>4100</v>
      </c>
      <c r="BA17" s="22" t="n">
        <v>4120</v>
      </c>
      <c r="BB17" s="22" t="n">
        <v>4091</v>
      </c>
      <c r="BC17" s="22" t="n">
        <v>4056</v>
      </c>
      <c r="BD17" s="22" t="n">
        <v>4084</v>
      </c>
      <c r="BE17" s="22" t="n">
        <v>3906</v>
      </c>
      <c r="BF17" s="22" t="n">
        <v>3846</v>
      </c>
      <c r="BG17" s="22" t="n">
        <v>4071</v>
      </c>
      <c r="BH17" s="22" t="n">
        <v>4106</v>
      </c>
      <c r="BI17" s="22" t="n">
        <v>4041</v>
      </c>
      <c r="BJ17" s="22" t="n">
        <v>3875</v>
      </c>
      <c r="BK17" s="22" t="n">
        <v>3722</v>
      </c>
      <c r="BL17" s="22" t="n">
        <v>3956</v>
      </c>
    </row>
    <row r="18" ht="15.95" customHeight="1" s="574">
      <c r="A18" s="68" t="inlineStr">
        <is>
          <t>1662</t>
        </is>
      </c>
      <c r="B18" s="44" t="inlineStr">
        <is>
          <t>石油資源開発</t>
        </is>
      </c>
      <c r="C18" s="669">
        <f>_xll.RssMarket("1662","安値")</f>
        <v/>
      </c>
      <c r="D18" s="661">
        <f>C18-E18</f>
        <v/>
      </c>
      <c r="E18" s="22" t="n">
        <v>1616</v>
      </c>
      <c r="F18" s="22" t="n">
        <v>1595</v>
      </c>
      <c r="G18" s="22" t="n">
        <v>1633</v>
      </c>
      <c r="H18" s="22" t="n">
        <v>1621</v>
      </c>
      <c r="I18" s="22" t="n">
        <v>1628</v>
      </c>
      <c r="J18" s="22" t="n">
        <v>1635</v>
      </c>
      <c r="K18" s="22" t="n">
        <v>1627</v>
      </c>
      <c r="L18" s="22" t="n">
        <v>1646</v>
      </c>
      <c r="M18" s="22" t="n">
        <v>1631</v>
      </c>
      <c r="N18" s="22" t="n">
        <v>1702</v>
      </c>
      <c r="O18" s="22" t="n">
        <v>1718</v>
      </c>
      <c r="P18" s="22" t="n">
        <v>1708</v>
      </c>
      <c r="Q18" s="22" t="n">
        <v>1741</v>
      </c>
      <c r="R18" s="22" t="n">
        <v>1744</v>
      </c>
      <c r="S18" s="22" t="n">
        <v>1789</v>
      </c>
      <c r="T18" s="22" t="n">
        <v>1832</v>
      </c>
      <c r="U18" s="22" t="n">
        <v>1839</v>
      </c>
      <c r="V18" s="22" t="n">
        <v>1808</v>
      </c>
      <c r="W18" s="22" t="n">
        <v>1867</v>
      </c>
      <c r="X18" s="22" t="n">
        <v>1878</v>
      </c>
      <c r="Y18" s="22" t="n">
        <v>1982</v>
      </c>
      <c r="Z18" s="22" t="n">
        <v>1933</v>
      </c>
      <c r="AA18" s="22" t="n">
        <v>1924</v>
      </c>
      <c r="AB18" s="22" t="n">
        <v>1919</v>
      </c>
      <c r="AC18" s="22" t="n">
        <v>1933</v>
      </c>
      <c r="AD18" s="22" t="n">
        <v>1972</v>
      </c>
      <c r="AE18" s="22" t="n">
        <v>2169</v>
      </c>
      <c r="AF18" s="22" t="n">
        <v>2130</v>
      </c>
      <c r="AG18" s="22" t="n">
        <v>2084</v>
      </c>
      <c r="AH18" s="22" t="n">
        <v>2050</v>
      </c>
      <c r="AI18" s="22" t="n">
        <v>2196</v>
      </c>
      <c r="AJ18" s="22" t="n">
        <v>2235</v>
      </c>
      <c r="AK18" s="22" t="n">
        <v>2191</v>
      </c>
      <c r="AL18" s="22" t="n">
        <v>2151</v>
      </c>
      <c r="AM18" s="22" t="n">
        <v>2246</v>
      </c>
      <c r="AN18" s="22" t="n">
        <v>2182</v>
      </c>
      <c r="AO18" s="22" t="n">
        <v>2126</v>
      </c>
      <c r="AP18" s="22" t="n">
        <v>2095</v>
      </c>
      <c r="AQ18" s="22" t="n">
        <v>2130</v>
      </c>
      <c r="AR18" s="22" t="n">
        <v>2336</v>
      </c>
      <c r="AS18" s="22" t="n">
        <v>2374</v>
      </c>
      <c r="AT18" s="22" t="n">
        <v>2396</v>
      </c>
      <c r="AU18" s="22" t="n">
        <v>2365</v>
      </c>
      <c r="AV18" s="22" t="n">
        <v>2474</v>
      </c>
      <c r="AW18" s="22" t="n">
        <v>2378</v>
      </c>
      <c r="AX18" s="22" t="n">
        <v>2444</v>
      </c>
      <c r="AY18" s="22" t="n">
        <v>2414</v>
      </c>
      <c r="AZ18" s="22" t="n">
        <v>2508</v>
      </c>
      <c r="BA18" s="22" t="n">
        <v>2512</v>
      </c>
      <c r="BB18" s="22" t="n">
        <v>2485</v>
      </c>
      <c r="BC18" s="22" t="n">
        <v>2405</v>
      </c>
      <c r="BD18" s="22" t="n">
        <v>2461</v>
      </c>
      <c r="BE18" s="22" t="n">
        <v>2572</v>
      </c>
      <c r="BF18" s="22" t="n">
        <v>2602</v>
      </c>
      <c r="BG18" s="22" t="n">
        <v>2574</v>
      </c>
      <c r="BH18" s="22" t="n">
        <v>2469</v>
      </c>
      <c r="BI18" s="22" t="n">
        <v>2448</v>
      </c>
      <c r="BJ18" s="22" t="n">
        <v>2475</v>
      </c>
      <c r="BK18" s="22" t="n">
        <v>2444</v>
      </c>
      <c r="BL18" s="22" t="n">
        <v>2591</v>
      </c>
    </row>
    <row r="19" ht="15.95" customHeight="1" s="574">
      <c r="A19" s="68" t="inlineStr">
        <is>
          <t>8411</t>
        </is>
      </c>
      <c r="B19" s="44" t="inlineStr">
        <is>
          <t>みずほフィナンシャルＧ</t>
        </is>
      </c>
      <c r="C19" s="669">
        <f>_xll.RssMarket("8411","安値")</f>
        <v/>
      </c>
      <c r="D19" s="661">
        <f>C19-E19</f>
        <v/>
      </c>
      <c r="E19" s="22" t="n">
        <v>7808</v>
      </c>
      <c r="F19" s="22" t="n">
        <v>7848</v>
      </c>
      <c r="G19" s="22" t="n">
        <v>8094</v>
      </c>
      <c r="H19" s="22" t="n">
        <v>7902</v>
      </c>
      <c r="I19" s="22" t="n">
        <v>7702</v>
      </c>
      <c r="J19" s="22" t="n">
        <v>7717</v>
      </c>
      <c r="K19" s="22" t="n">
        <v>7510</v>
      </c>
      <c r="L19" s="22" t="n">
        <v>7322</v>
      </c>
      <c r="M19" s="22" t="n">
        <v>7555</v>
      </c>
      <c r="N19" s="22" t="n">
        <v>7437</v>
      </c>
      <c r="O19" s="22" t="n">
        <v>7698</v>
      </c>
      <c r="P19" s="22" t="n">
        <v>7472</v>
      </c>
      <c r="Q19" s="22" t="n">
        <v>7389</v>
      </c>
      <c r="R19" s="22" t="n">
        <v>7064</v>
      </c>
      <c r="S19" s="22" t="n">
        <v>7045</v>
      </c>
      <c r="T19" s="22" t="n">
        <v>6996</v>
      </c>
      <c r="U19" s="22" t="n">
        <v>7178</v>
      </c>
      <c r="V19" s="22" t="n">
        <v>7194</v>
      </c>
      <c r="W19" s="22" t="n">
        <v>7302</v>
      </c>
      <c r="X19" s="22" t="n">
        <v>7138</v>
      </c>
      <c r="Y19" s="22" t="n">
        <v>6844</v>
      </c>
      <c r="Z19" s="22" t="n">
        <v>6685</v>
      </c>
      <c r="AA19" s="22" t="n">
        <v>6379</v>
      </c>
      <c r="AB19" s="22" t="n">
        <v>6827</v>
      </c>
      <c r="AC19" s="22" t="n">
        <v>6971</v>
      </c>
      <c r="AD19" s="22" t="n">
        <v>6920</v>
      </c>
      <c r="AE19" s="22" t="n">
        <v>6833</v>
      </c>
      <c r="AF19" s="22" t="n">
        <v>6774</v>
      </c>
      <c r="AG19" s="22" t="n">
        <v>6624</v>
      </c>
      <c r="AH19" s="22" t="n">
        <v>6791</v>
      </c>
      <c r="AI19" s="22" t="n">
        <v>6584</v>
      </c>
      <c r="AJ19" s="22" t="n">
        <v>6609</v>
      </c>
      <c r="AK19" s="22" t="n">
        <v>6598</v>
      </c>
      <c r="AL19" s="22" t="n">
        <v>6350</v>
      </c>
      <c r="AM19" s="22" t="n">
        <v>6389</v>
      </c>
      <c r="AN19" s="22" t="n">
        <v>6467</v>
      </c>
      <c r="AO19" s="22" t="n">
        <v>6552</v>
      </c>
      <c r="AP19" s="22" t="n">
        <v>6625</v>
      </c>
      <c r="AQ19" s="22" t="n">
        <v>6775</v>
      </c>
      <c r="AR19" s="22" t="n">
        <v>6700</v>
      </c>
      <c r="AS19" s="22" t="n">
        <v>6872</v>
      </c>
      <c r="AT19" s="22" t="n">
        <v>6904</v>
      </c>
      <c r="AU19" s="22" t="n">
        <v>6728</v>
      </c>
      <c r="AV19" s="22" t="n">
        <v>6701</v>
      </c>
      <c r="AW19" s="22" t="n">
        <v>6711</v>
      </c>
      <c r="AX19" s="22" t="n">
        <v>6706</v>
      </c>
      <c r="AY19" s="22" t="n">
        <v>6729</v>
      </c>
      <c r="AZ19" s="22" t="n">
        <v>6499</v>
      </c>
      <c r="BA19" s="22" t="n">
        <v>6439</v>
      </c>
      <c r="BB19" s="22" t="n">
        <v>6391</v>
      </c>
      <c r="BC19" s="22" t="n">
        <v>6392</v>
      </c>
      <c r="BD19" s="22" t="n">
        <v>6345</v>
      </c>
      <c r="BE19" s="22" t="n">
        <v>5996</v>
      </c>
      <c r="BF19" s="22" t="n">
        <v>5981</v>
      </c>
      <c r="BG19" s="22" t="n">
        <v>6272</v>
      </c>
      <c r="BH19" s="22" t="n">
        <v>6297</v>
      </c>
      <c r="BI19" s="22" t="n">
        <v>6351</v>
      </c>
      <c r="BJ19" s="22" t="n">
        <v>6052</v>
      </c>
      <c r="BK19" s="22" t="n">
        <v>5834</v>
      </c>
      <c r="BL19" s="22" t="n">
        <v>6102</v>
      </c>
    </row>
    <row r="20" ht="15.95" customHeight="1" s="574">
      <c r="A20" s="68" t="inlineStr">
        <is>
          <t>5541</t>
        </is>
      </c>
      <c r="B20" s="44" t="inlineStr">
        <is>
          <t>大平洋金属</t>
        </is>
      </c>
      <c r="C20" s="669">
        <f>_xll.RssMarket("5541","安値")</f>
        <v/>
      </c>
      <c r="D20" s="661">
        <f>C20-E20</f>
        <v/>
      </c>
      <c r="E20" s="22" t="n">
        <v>2246</v>
      </c>
      <c r="F20" s="22" t="n">
        <v>2245</v>
      </c>
      <c r="G20" s="22" t="n">
        <v>2268</v>
      </c>
      <c r="H20" s="22" t="n">
        <v>2257</v>
      </c>
      <c r="I20" s="22" t="n">
        <v>2262</v>
      </c>
      <c r="J20" s="22" t="n">
        <v>2249</v>
      </c>
      <c r="K20" s="22" t="n">
        <v>2118</v>
      </c>
      <c r="L20" s="22" t="n">
        <v>2061</v>
      </c>
      <c r="M20" s="22" t="n">
        <v>2115</v>
      </c>
      <c r="N20" s="22" t="n">
        <v>2164</v>
      </c>
      <c r="O20" s="22" t="n">
        <v>2234</v>
      </c>
      <c r="P20" s="22" t="n">
        <v>2250</v>
      </c>
      <c r="Q20" s="22" t="n">
        <v>2182</v>
      </c>
      <c r="R20" s="22" t="n">
        <v>2275</v>
      </c>
      <c r="S20" s="22" t="n">
        <v>2212</v>
      </c>
      <c r="T20" s="22" t="n">
        <v>2272</v>
      </c>
      <c r="U20" s="22" t="n">
        <v>2205</v>
      </c>
      <c r="V20" s="22" t="n">
        <v>2140</v>
      </c>
      <c r="W20" s="22" t="n">
        <v>2120</v>
      </c>
      <c r="X20" s="22" t="n">
        <v>2116</v>
      </c>
      <c r="Y20" s="22" t="n">
        <v>2180</v>
      </c>
      <c r="Z20" s="22" t="n">
        <v>2245</v>
      </c>
      <c r="AA20" s="22" t="n">
        <v>2363</v>
      </c>
      <c r="AB20" s="22" t="n">
        <v>2373</v>
      </c>
      <c r="AC20" s="22" t="n">
        <v>2370</v>
      </c>
      <c r="AD20" s="22" t="n">
        <v>2215</v>
      </c>
      <c r="AE20" s="22" t="n">
        <v>2623</v>
      </c>
      <c r="AF20" s="22" t="n">
        <v>2563</v>
      </c>
      <c r="AG20" s="22" t="n">
        <v>2605</v>
      </c>
      <c r="AH20" s="22" t="n">
        <v>2522</v>
      </c>
      <c r="AI20" s="22" t="n">
        <v>2491</v>
      </c>
      <c r="AJ20" s="22" t="n">
        <v>2429</v>
      </c>
      <c r="AK20" s="22" t="n">
        <v>2356</v>
      </c>
      <c r="AL20" s="22" t="n">
        <v>2430</v>
      </c>
      <c r="AM20" s="22" t="n">
        <v>2440</v>
      </c>
      <c r="AN20" s="22" t="n">
        <v>2477</v>
      </c>
      <c r="AO20" s="22" t="n">
        <v>2530</v>
      </c>
      <c r="AP20" s="22" t="n">
        <v>2515</v>
      </c>
      <c r="AQ20" s="22" t="n">
        <v>2582</v>
      </c>
      <c r="AR20" s="22" t="n">
        <v>2660</v>
      </c>
      <c r="AS20" s="22" t="n">
        <v>2626</v>
      </c>
      <c r="AT20" s="22" t="n">
        <v>2619</v>
      </c>
      <c r="AU20" s="22" t="n">
        <v>2585</v>
      </c>
      <c r="AV20" s="22" t="n">
        <v>2644</v>
      </c>
      <c r="AW20" s="22" t="n">
        <v>2692</v>
      </c>
      <c r="AX20" s="22" t="n">
        <v>2745</v>
      </c>
      <c r="AY20" s="22" t="n">
        <v>2642</v>
      </c>
      <c r="AZ20" s="22" t="n">
        <v>2688</v>
      </c>
      <c r="BA20" s="22" t="n">
        <v>2665</v>
      </c>
      <c r="BB20" s="22" t="n">
        <v>2641</v>
      </c>
      <c r="BC20" s="22" t="n">
        <v>2686</v>
      </c>
      <c r="BD20" s="22" t="n">
        <v>2617</v>
      </c>
      <c r="BE20" s="22" t="n">
        <v>2655</v>
      </c>
      <c r="BF20" s="22" t="n">
        <v>2733</v>
      </c>
      <c r="BG20" s="22" t="n">
        <v>2727</v>
      </c>
      <c r="BH20" s="22" t="n">
        <v>2801</v>
      </c>
      <c r="BI20" s="22" t="n">
        <v>2702</v>
      </c>
      <c r="BJ20" s="22" t="n">
        <v>2654</v>
      </c>
      <c r="BK20" s="22" t="n">
        <v>3100</v>
      </c>
      <c r="BL20" s="22" t="n">
        <v>3050</v>
      </c>
    </row>
    <row r="21" ht="15.95" customHeight="1" s="574">
      <c r="A21" s="68" t="inlineStr">
        <is>
          <t>5332</t>
        </is>
      </c>
      <c r="B21" s="44" t="inlineStr">
        <is>
          <t>ＴＯＴＯ</t>
        </is>
      </c>
      <c r="C21" s="669">
        <f>_xll.RssMarket("5332","安値")</f>
        <v/>
      </c>
      <c r="D21" s="661">
        <f>C21-E21</f>
        <v/>
      </c>
      <c r="E21" s="22" t="n">
        <v>8663</v>
      </c>
      <c r="F21" s="22" t="n">
        <v>8330</v>
      </c>
      <c r="G21" s="22" t="n">
        <v>8177</v>
      </c>
      <c r="H21" s="22" t="n">
        <v>7938</v>
      </c>
      <c r="I21" s="22" t="n">
        <v>8105</v>
      </c>
      <c r="J21" s="22" t="n">
        <v>7887</v>
      </c>
      <c r="K21" s="22" t="n">
        <v>7590</v>
      </c>
      <c r="L21" s="22" t="n">
        <v>7120</v>
      </c>
      <c r="M21" s="22" t="n">
        <v>7397</v>
      </c>
      <c r="N21" s="22" t="n">
        <v>7463</v>
      </c>
      <c r="O21" s="22" t="n">
        <v>7803</v>
      </c>
      <c r="P21" s="22" t="n">
        <v>7898</v>
      </c>
      <c r="Q21" s="22" t="n">
        <v>7445</v>
      </c>
      <c r="R21" s="22" t="n">
        <v>7110</v>
      </c>
      <c r="S21" s="22" t="n">
        <v>7430</v>
      </c>
      <c r="T21" s="22" t="n">
        <v>7231</v>
      </c>
      <c r="U21" s="22" t="n">
        <v>7172</v>
      </c>
      <c r="V21" s="22" t="n">
        <v>6815</v>
      </c>
      <c r="W21" s="22" t="n">
        <v>6637</v>
      </c>
      <c r="X21" s="22" t="n">
        <v>6523</v>
      </c>
      <c r="Y21" s="22" t="n">
        <v>6308</v>
      </c>
      <c r="Z21" s="22" t="n">
        <v>6663</v>
      </c>
      <c r="AA21" s="22" t="n">
        <v>6855</v>
      </c>
      <c r="AB21" s="22" t="n">
        <v>7044</v>
      </c>
      <c r="AC21" s="22" t="n">
        <v>6933</v>
      </c>
      <c r="AD21" s="22" t="n">
        <v>6810</v>
      </c>
      <c r="AE21" s="22" t="n">
        <v>6857</v>
      </c>
      <c r="AF21" s="22" t="n">
        <v>7104</v>
      </c>
      <c r="AG21" s="22" t="n">
        <v>6741</v>
      </c>
      <c r="AH21" s="22" t="n">
        <v>6614</v>
      </c>
      <c r="AI21" s="22" t="n">
        <v>6015</v>
      </c>
      <c r="AJ21" s="22" t="n">
        <v>5377</v>
      </c>
      <c r="AK21" s="22" t="n">
        <v>5364</v>
      </c>
      <c r="AL21" s="22" t="n">
        <v>5352</v>
      </c>
      <c r="AM21" s="22" t="n">
        <v>5265</v>
      </c>
      <c r="AN21" s="22" t="n">
        <v>5182</v>
      </c>
      <c r="AO21" s="22" t="n">
        <v>5218</v>
      </c>
      <c r="AP21" s="22" t="n">
        <v>5384</v>
      </c>
      <c r="AQ21" s="22" t="n">
        <v>5532</v>
      </c>
      <c r="AR21" s="22" t="n">
        <v>5507</v>
      </c>
      <c r="AS21" s="22" t="n">
        <v>5432</v>
      </c>
      <c r="AT21" s="22" t="n">
        <v>5464</v>
      </c>
      <c r="AU21" s="22" t="n">
        <v>5385</v>
      </c>
      <c r="AV21" s="22" t="n">
        <v>5226</v>
      </c>
      <c r="AW21" s="22" t="n">
        <v>5686</v>
      </c>
      <c r="AX21" s="22" t="n">
        <v>5670</v>
      </c>
      <c r="AY21" s="22" t="n">
        <v>5507</v>
      </c>
      <c r="AZ21" s="22" t="n">
        <v>5349</v>
      </c>
      <c r="BA21" s="22" t="n">
        <v>5193</v>
      </c>
      <c r="BB21" s="22" t="n">
        <v>5176</v>
      </c>
      <c r="BC21" s="22" t="n">
        <v>5148</v>
      </c>
      <c r="BD21" s="22" t="n">
        <v>5202</v>
      </c>
      <c r="BE21" s="22" t="n">
        <v>5053</v>
      </c>
      <c r="BF21" s="22" t="n">
        <v>5159</v>
      </c>
      <c r="BG21" s="22" t="n">
        <v>5385</v>
      </c>
      <c r="BH21" s="22" t="n">
        <v>5525</v>
      </c>
      <c r="BI21" s="22" t="n">
        <v>5842</v>
      </c>
      <c r="BJ21" s="22" t="n">
        <v>5615</v>
      </c>
      <c r="BK21" s="22" t="n">
        <v>5463</v>
      </c>
      <c r="BL21" s="22" t="n">
        <v>5660</v>
      </c>
    </row>
    <row r="22" ht="15.95" customHeight="1" s="574">
      <c r="A22" s="68" t="inlineStr">
        <is>
          <t>8725</t>
        </is>
      </c>
      <c r="B22" s="44" t="inlineStr">
        <is>
          <t>ＭＳ＆ＡＤ</t>
        </is>
      </c>
      <c r="C22" s="669">
        <f>_xll.RssMarket("8725","安値")</f>
        <v/>
      </c>
      <c r="D22" s="661">
        <f>C22-E22</f>
        <v/>
      </c>
      <c r="E22" s="22" t="n">
        <v>4501</v>
      </c>
      <c r="F22" s="22" t="n">
        <v>4510</v>
      </c>
      <c r="G22" s="22" t="n">
        <v>4534</v>
      </c>
      <c r="H22" s="22" t="n">
        <v>4554</v>
      </c>
      <c r="I22" s="22" t="n">
        <v>4556</v>
      </c>
      <c r="J22" s="22" t="n">
        <v>4597</v>
      </c>
      <c r="K22" s="22" t="n">
        <v>4596</v>
      </c>
      <c r="L22" s="22" t="n">
        <v>4516</v>
      </c>
      <c r="M22" s="22" t="n">
        <v>4569</v>
      </c>
      <c r="N22" s="22" t="n">
        <v>4339</v>
      </c>
      <c r="O22" s="22" t="n">
        <v>4299</v>
      </c>
      <c r="P22" s="22" t="n">
        <v>4224</v>
      </c>
      <c r="Q22" s="22" t="n">
        <v>4294</v>
      </c>
      <c r="R22" s="22" t="n">
        <v>4169</v>
      </c>
      <c r="S22" s="22" t="n">
        <v>4209</v>
      </c>
      <c r="T22" s="22" t="n">
        <v>4219</v>
      </c>
      <c r="U22" s="22" t="n">
        <v>4197</v>
      </c>
      <c r="V22" s="22" t="n">
        <v>4153</v>
      </c>
      <c r="W22" s="22" t="n">
        <v>4182</v>
      </c>
      <c r="X22" s="22" t="n">
        <v>4286</v>
      </c>
      <c r="Y22" s="22" t="n">
        <v>4356</v>
      </c>
      <c r="Z22" s="22" t="n">
        <v>4403</v>
      </c>
      <c r="AA22" s="22" t="n">
        <v>4401</v>
      </c>
      <c r="AB22" s="22" t="n">
        <v>4356</v>
      </c>
      <c r="AC22" s="22" t="n">
        <v>4360</v>
      </c>
      <c r="AD22" s="22" t="n">
        <v>4294</v>
      </c>
      <c r="AE22" s="22" t="n">
        <v>4150</v>
      </c>
      <c r="AF22" s="22" t="n">
        <v>3958</v>
      </c>
      <c r="AG22" s="22" t="n">
        <v>3941</v>
      </c>
      <c r="AH22" s="22" t="n">
        <v>3970</v>
      </c>
      <c r="AI22" s="22" t="n">
        <v>3961</v>
      </c>
      <c r="AJ22" s="22" t="n">
        <v>3960</v>
      </c>
      <c r="AK22" s="22" t="n">
        <v>3939</v>
      </c>
      <c r="AL22" s="22" t="n">
        <v>3886</v>
      </c>
      <c r="AM22" s="22" t="n">
        <v>3946</v>
      </c>
      <c r="AN22" s="22" t="n">
        <v>3916</v>
      </c>
      <c r="AO22" s="22" t="n">
        <v>3996</v>
      </c>
      <c r="AP22" s="22" t="n">
        <v>4014</v>
      </c>
      <c r="AQ22" s="22" t="n">
        <v>4026</v>
      </c>
      <c r="AR22" s="22" t="n">
        <v>4052</v>
      </c>
      <c r="AS22" s="22" t="n">
        <v>4082</v>
      </c>
      <c r="AT22" s="22" t="n">
        <v>4033</v>
      </c>
      <c r="AU22" s="22" t="n">
        <v>4024</v>
      </c>
      <c r="AV22" s="22" t="n">
        <v>4035</v>
      </c>
      <c r="AW22" s="22" t="n">
        <v>4069</v>
      </c>
      <c r="AX22" s="22" t="n">
        <v>4090</v>
      </c>
      <c r="AY22" s="22" t="n">
        <v>4154</v>
      </c>
      <c r="AZ22" s="22" t="n">
        <v>4081</v>
      </c>
      <c r="BA22" s="22" t="n">
        <v>4106</v>
      </c>
      <c r="BB22" s="22" t="n">
        <v>4094</v>
      </c>
      <c r="BC22" s="22" t="n">
        <v>4087</v>
      </c>
      <c r="BD22" s="22" t="n">
        <v>4120</v>
      </c>
      <c r="BE22" s="22" t="n">
        <v>4010</v>
      </c>
      <c r="BF22" s="22" t="n">
        <v>3961</v>
      </c>
      <c r="BG22" s="22" t="n">
        <v>4161</v>
      </c>
      <c r="BH22" s="22" t="n">
        <v>4096</v>
      </c>
      <c r="BI22" s="22" t="n">
        <v>4130</v>
      </c>
      <c r="BJ22" s="22" t="n">
        <v>3978</v>
      </c>
      <c r="BK22" s="22" t="n">
        <v>3874</v>
      </c>
      <c r="BL22" s="22" t="n">
        <v>4028</v>
      </c>
    </row>
    <row r="23" ht="15.95" customHeight="1" s="574">
      <c r="A23" s="68" t="inlineStr">
        <is>
          <t>8795</t>
        </is>
      </c>
      <c r="B23" s="44" t="inlineStr">
        <is>
          <t>Ｔ＆Ｄホールディングス</t>
        </is>
      </c>
      <c r="C23" s="669">
        <f>_xll.RssMarket("8795","安値")</f>
        <v/>
      </c>
      <c r="D23" s="661">
        <f>C23-E23</f>
        <v/>
      </c>
      <c r="E23" s="22" t="n">
        <v>4801</v>
      </c>
      <c r="F23" s="22" t="n">
        <v>4878</v>
      </c>
      <c r="G23" s="22" t="n">
        <v>4811</v>
      </c>
      <c r="H23" s="22" t="n">
        <v>4718</v>
      </c>
      <c r="I23" s="22" t="n">
        <v>4761</v>
      </c>
      <c r="J23" s="22" t="n">
        <v>4789</v>
      </c>
      <c r="K23" s="22" t="n">
        <v>4648</v>
      </c>
      <c r="L23" s="22" t="n">
        <v>4598</v>
      </c>
      <c r="M23" s="22" t="n">
        <v>4654</v>
      </c>
      <c r="N23" s="22" t="n">
        <v>4351</v>
      </c>
      <c r="O23" s="22" t="n">
        <v>4356</v>
      </c>
      <c r="P23" s="22" t="n">
        <v>4091</v>
      </c>
      <c r="Q23" s="22" t="n">
        <v>4130</v>
      </c>
      <c r="R23" s="22" t="n">
        <v>4110</v>
      </c>
      <c r="S23" s="22" t="n">
        <v>4022</v>
      </c>
      <c r="T23" s="22" t="n">
        <v>4054</v>
      </c>
      <c r="U23" s="22" t="n">
        <v>4079</v>
      </c>
      <c r="V23" s="22" t="n">
        <v>4030</v>
      </c>
      <c r="W23" s="22" t="n">
        <v>4069</v>
      </c>
      <c r="X23" s="22" t="n">
        <v>4056</v>
      </c>
      <c r="Y23" s="22" t="n">
        <v>4077</v>
      </c>
      <c r="Z23" s="22" t="n">
        <v>4114</v>
      </c>
      <c r="AA23" s="22" t="n">
        <v>3900</v>
      </c>
      <c r="AB23" s="22" t="n">
        <v>3754</v>
      </c>
      <c r="AC23" s="22" t="n">
        <v>3943</v>
      </c>
      <c r="AD23" s="22" t="n">
        <v>3936</v>
      </c>
      <c r="AE23" s="22" t="n">
        <v>3945</v>
      </c>
      <c r="AF23" s="22" t="n">
        <v>3861</v>
      </c>
      <c r="AG23" s="22" t="n">
        <v>3838</v>
      </c>
      <c r="AH23" s="22" t="n">
        <v>3821</v>
      </c>
      <c r="AI23" s="22" t="n">
        <v>3727</v>
      </c>
      <c r="AJ23" s="22" t="n">
        <v>3707</v>
      </c>
      <c r="AK23" s="22" t="n">
        <v>3671</v>
      </c>
      <c r="AL23" s="22" t="n">
        <v>3606</v>
      </c>
      <c r="AM23" s="22" t="n">
        <v>3679</v>
      </c>
      <c r="AN23" s="22" t="n">
        <v>3657</v>
      </c>
      <c r="AO23" s="22" t="n">
        <v>3728</v>
      </c>
      <c r="AP23" s="22" t="n">
        <v>3820</v>
      </c>
      <c r="AQ23" s="22" t="n">
        <v>3914</v>
      </c>
      <c r="AR23" s="22" t="n">
        <v>4000</v>
      </c>
      <c r="AS23" s="22" t="n">
        <v>4020</v>
      </c>
      <c r="AT23" s="22" t="n">
        <v>4012</v>
      </c>
      <c r="AU23" s="22" t="n">
        <v>4026</v>
      </c>
      <c r="AV23" s="22" t="n">
        <v>3980</v>
      </c>
      <c r="AW23" s="22" t="n">
        <v>4013</v>
      </c>
      <c r="AX23" s="22" t="n">
        <v>4031</v>
      </c>
      <c r="AY23" s="22" t="n">
        <v>4082</v>
      </c>
      <c r="AZ23" s="22" t="n">
        <v>3897</v>
      </c>
      <c r="BA23" s="22" t="n">
        <v>3826</v>
      </c>
      <c r="BB23" s="22" t="n">
        <v>4108</v>
      </c>
      <c r="BC23" s="22" t="n">
        <v>4095</v>
      </c>
      <c r="BD23" s="22" t="n">
        <v>4053</v>
      </c>
      <c r="BE23" s="22" t="n">
        <v>3894</v>
      </c>
      <c r="BF23" s="22" t="n">
        <v>3795</v>
      </c>
      <c r="BG23" s="22" t="n">
        <v>3947</v>
      </c>
      <c r="BH23" s="22" t="n">
        <v>3874</v>
      </c>
      <c r="BI23" s="22" t="n">
        <v>3841</v>
      </c>
      <c r="BJ23" s="22" t="n">
        <v>3675</v>
      </c>
      <c r="BK23" s="22" t="n">
        <v>3571</v>
      </c>
      <c r="BL23" s="22" t="n">
        <v>3726</v>
      </c>
    </row>
    <row r="24" ht="15.95" customHeight="1" s="574">
      <c r="A24" s="68" t="inlineStr">
        <is>
          <t>5019</t>
        </is>
      </c>
      <c r="B24" s="44" t="inlineStr">
        <is>
          <t>出光興産</t>
        </is>
      </c>
      <c r="C24" s="669">
        <f>_xll.RssMarket("5019","安値")</f>
        <v/>
      </c>
      <c r="D24" s="661">
        <f>C24-E24</f>
        <v/>
      </c>
      <c r="E24" s="22" t="n">
        <v>1237.5</v>
      </c>
      <c r="F24" s="22" t="n">
        <v>1216.5</v>
      </c>
      <c r="G24" s="22" t="n">
        <v>1243.5</v>
      </c>
      <c r="H24" s="22" t="n">
        <v>1251</v>
      </c>
      <c r="I24" s="22" t="n">
        <v>1287.5</v>
      </c>
      <c r="J24" s="22" t="n">
        <v>1318.5</v>
      </c>
      <c r="K24" s="22" t="n">
        <v>1301</v>
      </c>
      <c r="L24" s="22" t="n">
        <v>1333</v>
      </c>
      <c r="M24" s="22" t="n">
        <v>1320.5</v>
      </c>
      <c r="N24" s="22" t="n">
        <v>1336.5</v>
      </c>
      <c r="O24" s="22" t="n">
        <v>1373</v>
      </c>
      <c r="P24" s="22" t="n">
        <v>1386</v>
      </c>
      <c r="Q24" s="22" t="n">
        <v>1360.5</v>
      </c>
      <c r="R24" s="22" t="n">
        <v>1318</v>
      </c>
      <c r="S24" s="22" t="n">
        <v>1296</v>
      </c>
      <c r="T24" s="22" t="n">
        <v>1300</v>
      </c>
      <c r="U24" s="22" t="n">
        <v>1305.5</v>
      </c>
      <c r="V24" s="22" t="n">
        <v>1302.5</v>
      </c>
      <c r="W24" s="22" t="n">
        <v>1320.5</v>
      </c>
      <c r="X24" s="22" t="n">
        <v>1336.5</v>
      </c>
      <c r="Y24" s="22" t="n">
        <v>1370.5</v>
      </c>
      <c r="Z24" s="22" t="n">
        <v>1352.5</v>
      </c>
      <c r="AA24" s="22" t="n">
        <v>1365.5</v>
      </c>
      <c r="AB24" s="22" t="n">
        <v>1404.5</v>
      </c>
      <c r="AC24" s="22" t="n">
        <v>1366</v>
      </c>
      <c r="AD24" s="22" t="n">
        <v>1319</v>
      </c>
      <c r="AE24" s="22" t="n">
        <v>1370.5</v>
      </c>
      <c r="AF24" s="22" t="n">
        <v>1323</v>
      </c>
      <c r="AG24" s="22" t="n">
        <v>1326.5</v>
      </c>
      <c r="AH24" s="22" t="n">
        <v>1339.5</v>
      </c>
      <c r="AI24" s="22" t="n">
        <v>1325.5</v>
      </c>
      <c r="AJ24" s="22" t="n">
        <v>1335.5</v>
      </c>
      <c r="AK24" s="22" t="n">
        <v>1326.5</v>
      </c>
      <c r="AL24" s="22" t="n">
        <v>1300</v>
      </c>
      <c r="AM24" s="22" t="n">
        <v>1335.5</v>
      </c>
      <c r="AN24" s="22" t="n">
        <v>1324</v>
      </c>
      <c r="AO24" s="22" t="n">
        <v>1385</v>
      </c>
      <c r="AP24" s="22" t="n">
        <v>1411.5</v>
      </c>
      <c r="AQ24" s="22" t="n">
        <v>1443</v>
      </c>
      <c r="AR24" s="22" t="n">
        <v>1487.5</v>
      </c>
      <c r="AS24" s="22" t="n">
        <v>1505</v>
      </c>
      <c r="AT24" s="22" t="n">
        <v>1498</v>
      </c>
      <c r="AU24" s="22" t="n">
        <v>1495</v>
      </c>
      <c r="AV24" s="22" t="n">
        <v>1538</v>
      </c>
      <c r="AW24" s="22" t="n">
        <v>1537</v>
      </c>
      <c r="AX24" s="22" t="n">
        <v>1522</v>
      </c>
      <c r="AY24" s="22" t="n">
        <v>1561.5</v>
      </c>
      <c r="AZ24" s="22" t="n">
        <v>1633.5</v>
      </c>
      <c r="BA24" s="22" t="n">
        <v>1592</v>
      </c>
      <c r="BB24" s="22" t="n">
        <v>1567</v>
      </c>
      <c r="BC24" s="22" t="n">
        <v>1552</v>
      </c>
      <c r="BD24" s="22" t="n">
        <v>1548.5</v>
      </c>
      <c r="BE24" s="22" t="n">
        <v>1529</v>
      </c>
      <c r="BF24" s="22" t="n">
        <v>1494.5</v>
      </c>
      <c r="BG24" s="22" t="n">
        <v>1517</v>
      </c>
      <c r="BH24" s="22" t="n">
        <v>1504</v>
      </c>
      <c r="BI24" s="22" t="n">
        <v>1476.5</v>
      </c>
      <c r="BJ24" s="22" t="n">
        <v>1439.5</v>
      </c>
      <c r="BK24" s="22" t="n">
        <v>1393</v>
      </c>
      <c r="BL24" s="22" t="n">
        <v>1475</v>
      </c>
    </row>
    <row r="25" ht="15.95" customHeight="1" s="574">
      <c r="A25" s="68" t="inlineStr">
        <is>
          <t>8053</t>
        </is>
      </c>
      <c r="B25" s="44" t="inlineStr">
        <is>
          <t>住友商事</t>
        </is>
      </c>
      <c r="C25" s="669">
        <f>_xll.RssMarket("8053","安値")</f>
        <v/>
      </c>
      <c r="D25" s="661">
        <f>C25-E25</f>
        <v/>
      </c>
      <c r="E25" s="22" t="n">
        <v>6360</v>
      </c>
      <c r="F25" s="22" t="n">
        <v>6332</v>
      </c>
      <c r="G25" s="22" t="n">
        <v>6493</v>
      </c>
      <c r="H25" s="22" t="n">
        <v>6478</v>
      </c>
      <c r="I25" s="22" t="n">
        <v>6470</v>
      </c>
      <c r="J25" s="22" t="n">
        <v>6388</v>
      </c>
      <c r="K25" s="22" t="n">
        <v>6200</v>
      </c>
      <c r="L25" s="22" t="n">
        <v>6119</v>
      </c>
      <c r="M25" s="22" t="n">
        <v>6319</v>
      </c>
      <c r="N25" s="22" t="n">
        <v>6539</v>
      </c>
      <c r="O25" s="22" t="n">
        <v>6775</v>
      </c>
      <c r="P25" s="22" t="n">
        <v>6716</v>
      </c>
      <c r="Q25" s="22" t="n">
        <v>6842</v>
      </c>
      <c r="R25" s="22" t="n">
        <v>6746</v>
      </c>
      <c r="S25" s="22" t="n">
        <v>7099</v>
      </c>
      <c r="T25" s="22" t="n">
        <v>6997</v>
      </c>
      <c r="U25" s="22" t="n">
        <v>7179</v>
      </c>
      <c r="V25" s="22" t="n">
        <v>7098</v>
      </c>
      <c r="W25" s="22" t="n">
        <v>7032</v>
      </c>
      <c r="X25" s="22" t="n">
        <v>7010</v>
      </c>
      <c r="Y25" s="22" t="n">
        <v>6936</v>
      </c>
      <c r="Z25" s="22" t="n">
        <v>7213</v>
      </c>
      <c r="AA25" s="22" t="n">
        <v>7220</v>
      </c>
      <c r="AB25" s="22" t="n">
        <v>7428</v>
      </c>
      <c r="AC25" s="22" t="n">
        <v>7375</v>
      </c>
      <c r="AD25" s="22" t="n">
        <v>7475</v>
      </c>
      <c r="AE25" s="22" t="n">
        <v>7237</v>
      </c>
      <c r="AF25" s="22" t="n">
        <v>7180</v>
      </c>
      <c r="AG25" s="22" t="n">
        <v>7149</v>
      </c>
      <c r="AH25" s="22" t="n">
        <v>6808</v>
      </c>
      <c r="AI25" s="22" t="n">
        <v>5691</v>
      </c>
      <c r="AJ25" s="22" t="n">
        <v>5681</v>
      </c>
      <c r="AK25" s="22" t="n">
        <v>5600</v>
      </c>
      <c r="AL25" s="22" t="n">
        <v>5665</v>
      </c>
      <c r="AM25" s="22" t="n">
        <v>5781</v>
      </c>
      <c r="AN25" s="22" t="n">
        <v>5711</v>
      </c>
      <c r="AO25" s="22" t="n">
        <v>5783</v>
      </c>
      <c r="AP25" s="22" t="n">
        <v>5961</v>
      </c>
      <c r="AQ25" s="22" t="n">
        <v>5991</v>
      </c>
      <c r="AR25" s="22" t="n">
        <v>5954</v>
      </c>
      <c r="AS25" s="22" t="n">
        <v>6071</v>
      </c>
      <c r="AT25" s="22" t="n">
        <v>6043</v>
      </c>
      <c r="AU25" s="22" t="n">
        <v>6065</v>
      </c>
      <c r="AV25" s="22" t="n">
        <v>5996</v>
      </c>
      <c r="AW25" s="22" t="n">
        <v>6084</v>
      </c>
      <c r="AX25" s="22" t="n">
        <v>6208</v>
      </c>
      <c r="AY25" s="22" t="n">
        <v>6216</v>
      </c>
      <c r="AZ25" s="22" t="n">
        <v>5961</v>
      </c>
      <c r="BA25" s="22" t="n">
        <v>5944</v>
      </c>
      <c r="BB25" s="22" t="n">
        <v>5998</v>
      </c>
      <c r="BC25" s="22" t="n">
        <v>5986</v>
      </c>
      <c r="BD25" s="22" t="n">
        <v>5967</v>
      </c>
      <c r="BE25" s="22" t="n">
        <v>5709</v>
      </c>
      <c r="BF25" s="22" t="n">
        <v>5633</v>
      </c>
      <c r="BG25" s="22" t="n">
        <v>5845</v>
      </c>
      <c r="BH25" s="22" t="n">
        <v>5819</v>
      </c>
      <c r="BI25" s="22" t="n">
        <v>5790</v>
      </c>
      <c r="BJ25" s="22" t="n">
        <v>5548</v>
      </c>
      <c r="BK25" s="22" t="n">
        <v>5400</v>
      </c>
      <c r="BL25" s="22" t="n">
        <v>5695</v>
      </c>
    </row>
    <row r="26" ht="15.95" customHeight="1" s="574">
      <c r="A26" s="68" t="inlineStr">
        <is>
          <t>8591</t>
        </is>
      </c>
      <c r="B26" s="44" t="inlineStr">
        <is>
          <t>オリックス</t>
        </is>
      </c>
      <c r="C26" s="669">
        <f>_xll.RssMarket("8591","安値")</f>
        <v/>
      </c>
      <c r="D26" s="661">
        <f>C26-E26</f>
        <v/>
      </c>
      <c r="E26" s="22" t="n">
        <v>6280</v>
      </c>
      <c r="F26" s="22" t="n">
        <v>6306</v>
      </c>
      <c r="G26" s="22" t="n">
        <v>6375</v>
      </c>
      <c r="H26" s="22" t="n">
        <v>6280</v>
      </c>
      <c r="I26" s="22" t="n">
        <v>6168</v>
      </c>
      <c r="J26" s="22" t="n">
        <v>6142</v>
      </c>
      <c r="K26" s="22" t="n">
        <v>6056</v>
      </c>
      <c r="L26" s="22" t="n">
        <v>5961</v>
      </c>
      <c r="M26" s="22" t="n">
        <v>6145</v>
      </c>
      <c r="N26" s="22" t="n">
        <v>6014</v>
      </c>
      <c r="O26" s="22" t="n">
        <v>6113</v>
      </c>
      <c r="P26" s="22" t="n">
        <v>6211</v>
      </c>
      <c r="Q26" s="22" t="n">
        <v>6215</v>
      </c>
      <c r="R26" s="22" t="n">
        <v>6047</v>
      </c>
      <c r="S26" s="22" t="n">
        <v>6087</v>
      </c>
      <c r="T26" s="22" t="n">
        <v>6042</v>
      </c>
      <c r="U26" s="22" t="n">
        <v>6156</v>
      </c>
      <c r="V26" s="22" t="n">
        <v>6187</v>
      </c>
      <c r="W26" s="22" t="n">
        <v>6156</v>
      </c>
      <c r="X26" s="22" t="n">
        <v>6210</v>
      </c>
      <c r="Y26" s="22" t="n">
        <v>5960</v>
      </c>
      <c r="Z26" s="22" t="n">
        <v>5797</v>
      </c>
      <c r="AA26" s="22" t="n">
        <v>5716</v>
      </c>
      <c r="AB26" s="22" t="n">
        <v>5724</v>
      </c>
      <c r="AC26" s="22" t="n">
        <v>5782</v>
      </c>
      <c r="AD26" s="22" t="n">
        <v>5875</v>
      </c>
      <c r="AE26" s="22" t="n">
        <v>5801</v>
      </c>
      <c r="AF26" s="22" t="n">
        <v>5338</v>
      </c>
      <c r="AG26" s="22" t="n">
        <v>5247</v>
      </c>
      <c r="AH26" s="22" t="n">
        <v>5181</v>
      </c>
      <c r="AI26" s="22" t="n">
        <v>5164</v>
      </c>
      <c r="AJ26" s="22" t="n">
        <v>5112</v>
      </c>
      <c r="AK26" s="22" t="n">
        <v>5261</v>
      </c>
      <c r="AL26" s="22" t="n">
        <v>4768</v>
      </c>
      <c r="AM26" s="22" t="n">
        <v>4805</v>
      </c>
      <c r="AN26" s="22" t="n">
        <v>4811</v>
      </c>
      <c r="AO26" s="22" t="n">
        <v>4881</v>
      </c>
      <c r="AP26" s="22" t="n">
        <v>4947</v>
      </c>
      <c r="AQ26" s="22" t="n">
        <v>5005</v>
      </c>
      <c r="AR26" s="22" t="n">
        <v>4978</v>
      </c>
      <c r="AS26" s="22" t="n">
        <v>5052</v>
      </c>
      <c r="AT26" s="22" t="n">
        <v>5015</v>
      </c>
      <c r="AU26" s="22" t="n">
        <v>4891</v>
      </c>
      <c r="AV26" s="22" t="n">
        <v>4801</v>
      </c>
      <c r="AW26" s="22" t="n">
        <v>4866</v>
      </c>
      <c r="AX26" s="22" t="n">
        <v>4830</v>
      </c>
      <c r="AY26" s="22" t="n">
        <v>4863</v>
      </c>
      <c r="AZ26" s="22" t="n">
        <v>4686</v>
      </c>
      <c r="BA26" s="22" t="n">
        <v>4673</v>
      </c>
      <c r="BB26" s="22" t="n">
        <v>4673</v>
      </c>
      <c r="BC26" s="22" t="n">
        <v>4677</v>
      </c>
      <c r="BD26" s="22" t="n">
        <v>4691</v>
      </c>
      <c r="BE26" s="22" t="n">
        <v>4573</v>
      </c>
      <c r="BF26" s="22" t="n">
        <v>4528</v>
      </c>
      <c r="BG26" s="22" t="n">
        <v>4738</v>
      </c>
      <c r="BH26" s="22" t="n">
        <v>4714</v>
      </c>
      <c r="BI26" s="22" t="n">
        <v>4771</v>
      </c>
      <c r="BJ26" s="22" t="n">
        <v>4623</v>
      </c>
      <c r="BK26" s="22" t="n">
        <v>4539</v>
      </c>
      <c r="BL26" s="22" t="n">
        <v>4704</v>
      </c>
    </row>
    <row r="27" ht="15.95" customHeight="1" s="574">
      <c r="A27" s="68" t="inlineStr">
        <is>
          <t>3401</t>
        </is>
      </c>
      <c r="B27" s="44" t="inlineStr">
        <is>
          <t>帝人</t>
        </is>
      </c>
      <c r="C27" s="669">
        <f>_xll.RssMarket("3401","安値")</f>
        <v/>
      </c>
      <c r="D27" s="661">
        <f>C27-E27</f>
        <v/>
      </c>
      <c r="E27" s="22" t="n">
        <v>1591</v>
      </c>
      <c r="F27" s="22" t="n">
        <v>1594.5</v>
      </c>
      <c r="G27" s="22" t="n">
        <v>1620.5</v>
      </c>
      <c r="H27" s="22" t="n">
        <v>1628</v>
      </c>
      <c r="I27" s="22" t="n">
        <v>1625.5</v>
      </c>
      <c r="J27" s="22" t="n">
        <v>1654.5</v>
      </c>
      <c r="K27" s="22" t="n">
        <v>1625</v>
      </c>
      <c r="L27" s="22" t="n">
        <v>1581.5</v>
      </c>
      <c r="M27" s="22" t="n">
        <v>1612</v>
      </c>
      <c r="N27" s="22" t="n">
        <v>1564.5</v>
      </c>
      <c r="O27" s="22" t="n">
        <v>1605</v>
      </c>
      <c r="P27" s="22" t="n">
        <v>1601.5</v>
      </c>
      <c r="Q27" s="22" t="n">
        <v>1608</v>
      </c>
      <c r="R27" s="22" t="n">
        <v>1590</v>
      </c>
      <c r="S27" s="22" t="n">
        <v>1607.5</v>
      </c>
      <c r="T27" s="22" t="n">
        <v>1585.5</v>
      </c>
      <c r="U27" s="22" t="n">
        <v>1601.5</v>
      </c>
      <c r="V27" s="22" t="n">
        <v>1561.5</v>
      </c>
      <c r="W27" s="22" t="n">
        <v>1596.5</v>
      </c>
      <c r="X27" s="22" t="n">
        <v>1594</v>
      </c>
      <c r="Y27" s="22" t="n">
        <v>1626</v>
      </c>
      <c r="Z27" s="22" t="n">
        <v>1611</v>
      </c>
      <c r="AA27" s="22" t="n">
        <v>1642.5</v>
      </c>
      <c r="AB27" s="22" t="n">
        <v>1717</v>
      </c>
      <c r="AC27" s="22" t="n">
        <v>1653</v>
      </c>
      <c r="AD27" s="22" t="n">
        <v>1599</v>
      </c>
      <c r="AE27" s="22" t="n">
        <v>1556.5</v>
      </c>
      <c r="AF27" s="22" t="n">
        <v>1550</v>
      </c>
      <c r="AG27" s="22" t="n">
        <v>1573.5</v>
      </c>
      <c r="AH27" s="22" t="n">
        <v>1545.5</v>
      </c>
      <c r="AI27" s="22" t="n">
        <v>4838</v>
      </c>
      <c r="AJ27" s="22" t="n">
        <v>1580</v>
      </c>
      <c r="AK27" s="22" t="n">
        <v>4751</v>
      </c>
      <c r="AL27" s="22" t="n">
        <v>1568</v>
      </c>
      <c r="AM27" s="22" t="n">
        <v>4729</v>
      </c>
      <c r="AN27" s="22" t="n">
        <v>1536</v>
      </c>
      <c r="AO27" s="22" t="n">
        <v>4700</v>
      </c>
      <c r="AP27" s="22" t="n">
        <v>1549.5</v>
      </c>
      <c r="AQ27" s="22" t="n">
        <v>4776</v>
      </c>
      <c r="AR27" s="22" t="n">
        <v>1562</v>
      </c>
      <c r="AS27" s="22" t="n">
        <v>4896</v>
      </c>
      <c r="AT27" s="22" t="n">
        <v>1585</v>
      </c>
      <c r="AU27" s="22" t="n">
        <v>4893</v>
      </c>
      <c r="AV27" s="22" t="n">
        <v>1559</v>
      </c>
      <c r="AW27" s="22" t="n">
        <v>4764</v>
      </c>
      <c r="AX27" s="22" t="n">
        <v>1524</v>
      </c>
      <c r="AY27" s="22" t="n">
        <v>4890</v>
      </c>
      <c r="AZ27" s="22" t="n">
        <v>1622</v>
      </c>
      <c r="BA27" s="22" t="n">
        <v>4903</v>
      </c>
      <c r="BB27" s="22" t="n">
        <v>1647</v>
      </c>
      <c r="BC27" s="22" t="n">
        <v>4805</v>
      </c>
      <c r="BD27" s="22" t="n">
        <v>1604.5</v>
      </c>
      <c r="BE27" s="22" t="n">
        <v>5122</v>
      </c>
      <c r="BF27" s="22" t="n">
        <v>1676</v>
      </c>
      <c r="BG27" s="22" t="n">
        <v>5312</v>
      </c>
      <c r="BH27" s="22" t="n">
        <v>1687.5</v>
      </c>
      <c r="BI27" s="22" t="n">
        <v>5482</v>
      </c>
      <c r="BJ27" s="22" t="n">
        <v>1689.5</v>
      </c>
      <c r="BK27" s="22" t="n">
        <v>5498</v>
      </c>
      <c r="BL27" s="22" t="n">
        <v>1681</v>
      </c>
    </row>
    <row r="28" ht="15.95" customHeight="1" s="574">
      <c r="A28" s="68" t="inlineStr">
        <is>
          <t>3436</t>
        </is>
      </c>
      <c r="B28" s="44" t="inlineStr">
        <is>
          <t>ＳＵＭＣＯ</t>
        </is>
      </c>
      <c r="C28" s="669">
        <f>_xll.RssMarket("3436","安値")</f>
        <v/>
      </c>
      <c r="D28" s="661">
        <f>C28-E28</f>
        <v/>
      </c>
      <c r="E28" s="22" t="n">
        <v>4188</v>
      </c>
      <c r="F28" s="22" t="n">
        <v>4193</v>
      </c>
      <c r="G28" s="22" t="n">
        <v>4090</v>
      </c>
      <c r="H28" s="22" t="n">
        <v>3978</v>
      </c>
      <c r="I28" s="22" t="n">
        <v>4108</v>
      </c>
      <c r="J28" s="22" t="n">
        <v>3820</v>
      </c>
      <c r="K28" s="22" t="n">
        <v>3562</v>
      </c>
      <c r="L28" s="22" t="n">
        <v>2954</v>
      </c>
      <c r="M28" s="22" t="n">
        <v>3102</v>
      </c>
      <c r="N28" s="22" t="n">
        <v>3461</v>
      </c>
      <c r="O28" s="22" t="n">
        <v>3865</v>
      </c>
      <c r="P28" s="22" t="n">
        <v>4190</v>
      </c>
      <c r="Q28" s="22" t="n">
        <v>4178</v>
      </c>
      <c r="R28" s="22" t="n">
        <v>4015</v>
      </c>
      <c r="S28" s="22" t="n">
        <v>3704</v>
      </c>
      <c r="T28" s="22" t="n">
        <v>3137</v>
      </c>
      <c r="U28" s="22" t="n">
        <v>3220</v>
      </c>
      <c r="V28" s="22" t="n">
        <v>3317</v>
      </c>
      <c r="W28" s="22" t="n">
        <v>3173</v>
      </c>
      <c r="X28" s="22" t="n">
        <v>2956.5</v>
      </c>
      <c r="Y28" s="22" t="n">
        <v>2941</v>
      </c>
      <c r="Z28" s="22" t="n">
        <v>2922</v>
      </c>
      <c r="AA28" s="22" t="n">
        <v>2889</v>
      </c>
      <c r="AB28" s="22" t="n">
        <v>3033</v>
      </c>
      <c r="AC28" s="22" t="n">
        <v>3337</v>
      </c>
      <c r="AD28" s="22" t="n">
        <v>3060</v>
      </c>
      <c r="AE28" s="22" t="n">
        <v>3535</v>
      </c>
      <c r="AF28" s="22" t="n">
        <v>3420</v>
      </c>
      <c r="AG28" s="22" t="n">
        <v>2985</v>
      </c>
      <c r="AH28" s="22" t="n">
        <v>3033</v>
      </c>
      <c r="AI28" s="22" t="n">
        <v>2367</v>
      </c>
      <c r="AJ28" s="22" t="n">
        <v>2452.5</v>
      </c>
      <c r="AK28" s="22" t="n">
        <v>2305.5</v>
      </c>
      <c r="AL28" s="22" t="n">
        <v>2239.5</v>
      </c>
      <c r="AM28" s="22" t="n">
        <v>2153.5</v>
      </c>
      <c r="AN28" s="22" t="n">
        <v>2110</v>
      </c>
      <c r="AO28" s="22" t="n">
        <v>2211</v>
      </c>
      <c r="AP28" s="22" t="n">
        <v>2134.5</v>
      </c>
      <c r="AQ28" s="22" t="n">
        <v>2041</v>
      </c>
      <c r="AR28" s="22" t="n">
        <v>2095</v>
      </c>
      <c r="AS28" s="22" t="n">
        <v>2238.5</v>
      </c>
      <c r="AT28" s="22" t="n">
        <v>2155</v>
      </c>
      <c r="AU28" s="22" t="n">
        <v>2151</v>
      </c>
      <c r="AV28" s="22" t="n">
        <v>1990</v>
      </c>
      <c r="AW28" s="22" t="n">
        <v>1988.5</v>
      </c>
      <c r="AX28" s="22" t="n">
        <v>1882</v>
      </c>
      <c r="AY28" s="22" t="n">
        <v>1832</v>
      </c>
      <c r="AZ28" s="22" t="n">
        <v>1760.5</v>
      </c>
      <c r="BA28" s="22" t="n">
        <v>1712.5</v>
      </c>
      <c r="BB28" s="22" t="n">
        <v>1733.5</v>
      </c>
      <c r="BC28" s="22" t="n">
        <v>1681</v>
      </c>
      <c r="BD28" s="22" t="n">
        <v>1699.5</v>
      </c>
      <c r="BE28" s="22" t="n">
        <v>1631.5</v>
      </c>
      <c r="BF28" s="22" t="n">
        <v>1701</v>
      </c>
      <c r="BG28" s="22" t="n">
        <v>1790.5</v>
      </c>
      <c r="BH28" s="22" t="n">
        <v>1762</v>
      </c>
      <c r="BI28" s="22" t="n">
        <v>1720.5</v>
      </c>
      <c r="BJ28" s="22" t="n">
        <v>1600</v>
      </c>
      <c r="BK28" s="22" t="n">
        <v>1545</v>
      </c>
      <c r="BL28" s="22" t="n">
        <v>1659</v>
      </c>
    </row>
    <row r="29" ht="15.95" customHeight="1" s="574">
      <c r="A29" s="68" t="inlineStr">
        <is>
          <t>5020</t>
        </is>
      </c>
      <c r="B29" s="44" t="inlineStr">
        <is>
          <t>ＥＮＥＯＳホールディングス</t>
        </is>
      </c>
      <c r="C29" s="669">
        <f>_xll.RssMarket("5020","安値")</f>
        <v/>
      </c>
      <c r="D29" s="661">
        <f>C29-E29</f>
        <v/>
      </c>
      <c r="E29" s="22" t="n">
        <v>1249</v>
      </c>
      <c r="F29" s="22" t="n">
        <v>1192.5</v>
      </c>
      <c r="G29" s="22" t="n">
        <v>1220</v>
      </c>
      <c r="H29" s="22" t="n">
        <v>1228.5</v>
      </c>
      <c r="I29" s="22" t="n">
        <v>1219</v>
      </c>
      <c r="J29" s="22" t="n">
        <v>1228</v>
      </c>
      <c r="K29" s="22" t="n">
        <v>1217</v>
      </c>
      <c r="L29" s="22" t="n">
        <v>1201</v>
      </c>
      <c r="M29" s="22" t="n">
        <v>1202</v>
      </c>
      <c r="N29" s="22" t="n">
        <v>1225.5</v>
      </c>
      <c r="O29" s="22" t="n">
        <v>1271.5</v>
      </c>
      <c r="P29" s="22" t="n">
        <v>1283</v>
      </c>
      <c r="Q29" s="22" t="n">
        <v>1305.5</v>
      </c>
      <c r="R29" s="22" t="n">
        <v>1242.5</v>
      </c>
      <c r="S29" s="22" t="n">
        <v>1280.5</v>
      </c>
      <c r="T29" s="22" t="n">
        <v>1279</v>
      </c>
      <c r="U29" s="22" t="n">
        <v>1290</v>
      </c>
      <c r="V29" s="22" t="n">
        <v>1277</v>
      </c>
      <c r="W29" s="22" t="n">
        <v>1282.5</v>
      </c>
      <c r="X29" s="22" t="n">
        <v>1295.5</v>
      </c>
      <c r="Y29" s="22" t="n">
        <v>1305.5</v>
      </c>
      <c r="Z29" s="22" t="n">
        <v>1340.5</v>
      </c>
      <c r="AA29" s="22" t="n">
        <v>1358</v>
      </c>
      <c r="AB29" s="22" t="n">
        <v>1350</v>
      </c>
      <c r="AC29" s="22" t="n">
        <v>1266</v>
      </c>
      <c r="AD29" s="22" t="n">
        <v>1335.5</v>
      </c>
      <c r="AE29" s="22" t="n">
        <v>1343.5</v>
      </c>
      <c r="AF29" s="22" t="n">
        <v>1280.5</v>
      </c>
      <c r="AG29" s="22" t="n">
        <v>1266.5</v>
      </c>
      <c r="AH29" s="22" t="n">
        <v>1311</v>
      </c>
      <c r="AI29" s="22" t="n">
        <v>1278.5</v>
      </c>
      <c r="AJ29" s="22" t="n">
        <v>1276</v>
      </c>
      <c r="AK29" s="22" t="n">
        <v>1285</v>
      </c>
      <c r="AL29" s="22" t="n">
        <v>1257.5</v>
      </c>
      <c r="AM29" s="22" t="n">
        <v>1284.5</v>
      </c>
      <c r="AN29" s="22" t="n">
        <v>1287</v>
      </c>
      <c r="AO29" s="22" t="n">
        <v>1310</v>
      </c>
      <c r="AP29" s="22" t="n">
        <v>1325.5</v>
      </c>
      <c r="AQ29" s="22" t="n">
        <v>1328.5</v>
      </c>
      <c r="AR29" s="22" t="n">
        <v>1375</v>
      </c>
      <c r="AS29" s="22" t="n">
        <v>1406.5</v>
      </c>
      <c r="AT29" s="22" t="n">
        <v>1402.5</v>
      </c>
      <c r="AU29" s="22" t="n">
        <v>1392.5</v>
      </c>
      <c r="AV29" s="22" t="n">
        <v>1426.5</v>
      </c>
      <c r="AW29" s="22" t="n">
        <v>1416.5</v>
      </c>
      <c r="AX29" s="22" t="n">
        <v>1439</v>
      </c>
      <c r="AY29" s="22" t="n">
        <v>1436</v>
      </c>
      <c r="AZ29" s="22" t="n">
        <v>1463</v>
      </c>
      <c r="BA29" s="22" t="n">
        <v>1449.5</v>
      </c>
      <c r="BB29" s="22" t="n">
        <v>1439</v>
      </c>
      <c r="BC29" s="22" t="n">
        <v>1436.5</v>
      </c>
      <c r="BD29" s="22" t="n">
        <v>1439</v>
      </c>
      <c r="BE29" s="22" t="n">
        <v>1394.5</v>
      </c>
      <c r="BF29" s="22" t="n">
        <v>1381.5</v>
      </c>
      <c r="BG29" s="22" t="n">
        <v>1404</v>
      </c>
      <c r="BH29" s="22" t="n">
        <v>1386</v>
      </c>
      <c r="BI29" s="22" t="n">
        <v>1368.5</v>
      </c>
      <c r="BJ29" s="22" t="n">
        <v>1325</v>
      </c>
      <c r="BK29" s="22" t="n">
        <v>1267</v>
      </c>
      <c r="BL29" s="22" t="n">
        <v>1367.5</v>
      </c>
    </row>
    <row r="30" ht="15.95" customHeight="1" s="574">
      <c r="A30" s="68" t="inlineStr">
        <is>
          <t>6254</t>
        </is>
      </c>
      <c r="B30" s="44" t="inlineStr">
        <is>
          <t>野村マイクロ・サイエンス</t>
        </is>
      </c>
      <c r="C30" s="669">
        <f>_xll.RssMarket("6254","安値")</f>
        <v/>
      </c>
      <c r="D30" s="661">
        <f>C30-E30</f>
        <v/>
      </c>
      <c r="E30" s="22" t="n">
        <v>4840</v>
      </c>
      <c r="F30" s="22" t="n">
        <v>4715</v>
      </c>
      <c r="G30" s="22" t="n">
        <v>4940</v>
      </c>
      <c r="H30" s="22" t="n">
        <v>4495</v>
      </c>
      <c r="I30" s="22" t="n">
        <v>4485</v>
      </c>
      <c r="J30" s="22" t="n">
        <v>4525</v>
      </c>
      <c r="K30" s="22" t="n">
        <v>4090</v>
      </c>
      <c r="L30" s="22" t="n">
        <v>3695</v>
      </c>
      <c r="M30" s="22" t="n">
        <v>3915</v>
      </c>
      <c r="N30" s="22" t="n">
        <v>3905</v>
      </c>
      <c r="O30" s="22" t="n">
        <v>4180</v>
      </c>
      <c r="P30" s="22" t="n">
        <v>4290</v>
      </c>
      <c r="Q30" s="22" t="n">
        <v>4245</v>
      </c>
      <c r="R30" s="22" t="n">
        <v>4200</v>
      </c>
      <c r="S30" s="22" t="n">
        <v>4575</v>
      </c>
      <c r="T30" s="22" t="n">
        <v>4485</v>
      </c>
      <c r="U30" s="22" t="n">
        <v>4625</v>
      </c>
      <c r="V30" s="22" t="n">
        <v>5090</v>
      </c>
      <c r="W30" s="22" t="n">
        <v>4710</v>
      </c>
      <c r="X30" s="22" t="n">
        <v>4475</v>
      </c>
      <c r="Y30" s="22" t="n">
        <v>4375</v>
      </c>
      <c r="Z30" s="22" t="n">
        <v>4595</v>
      </c>
      <c r="AA30" s="22" t="n">
        <v>4710</v>
      </c>
      <c r="AB30" s="22" t="n">
        <v>4750</v>
      </c>
      <c r="AC30" s="22" t="n">
        <v>4265</v>
      </c>
      <c r="AD30" s="22" t="n">
        <v>4260</v>
      </c>
      <c r="AE30" s="22" t="n">
        <v>4415</v>
      </c>
      <c r="AF30" s="22" t="n">
        <v>4510</v>
      </c>
      <c r="AG30" s="22" t="n">
        <v>4005</v>
      </c>
      <c r="AH30" s="22" t="n">
        <v>3900</v>
      </c>
      <c r="AI30" s="22" t="n">
        <v>3620</v>
      </c>
      <c r="AJ30" s="22" t="n">
        <v>3655</v>
      </c>
      <c r="AK30" s="22" t="n">
        <v>3665</v>
      </c>
      <c r="AL30" s="22" t="n">
        <v>3620</v>
      </c>
      <c r="AM30" s="22" t="n">
        <v>3630</v>
      </c>
      <c r="AN30" s="22" t="n">
        <v>3600</v>
      </c>
      <c r="AO30" s="22" t="n">
        <v>3660</v>
      </c>
      <c r="AP30" s="22" t="n">
        <v>3795</v>
      </c>
      <c r="AQ30" s="22" t="n">
        <v>3785</v>
      </c>
      <c r="AR30" s="22" t="n">
        <v>3660</v>
      </c>
      <c r="AS30" s="22" t="n">
        <v>3655</v>
      </c>
      <c r="AT30" s="22" t="n">
        <v>3565</v>
      </c>
      <c r="AU30" s="22" t="n">
        <v>3590</v>
      </c>
      <c r="AV30" s="22" t="n">
        <v>3500</v>
      </c>
      <c r="AW30" s="22" t="n">
        <v>3455</v>
      </c>
      <c r="AX30" s="22" t="n">
        <v>3335</v>
      </c>
      <c r="AY30" s="22" t="n">
        <v>3280</v>
      </c>
      <c r="AZ30" s="22" t="n">
        <v>3150</v>
      </c>
      <c r="BA30" s="22" t="n">
        <v>3140</v>
      </c>
      <c r="BB30" s="22" t="n">
        <v>3120</v>
      </c>
      <c r="BC30" s="22" t="n">
        <v>3210</v>
      </c>
      <c r="BD30" s="22" t="n">
        <v>3165</v>
      </c>
      <c r="BE30" s="22" t="n">
        <v>3010</v>
      </c>
      <c r="BF30" s="22" t="n">
        <v>3035</v>
      </c>
      <c r="BG30" s="22" t="n">
        <v>3135</v>
      </c>
      <c r="BH30" s="22" t="n">
        <v>3110</v>
      </c>
      <c r="BI30" s="22" t="n">
        <v>2791</v>
      </c>
      <c r="BJ30" s="22" t="n">
        <v>2652</v>
      </c>
      <c r="BK30" s="22" t="n">
        <v>2606</v>
      </c>
      <c r="BL30" s="22" t="n">
        <v>2834</v>
      </c>
    </row>
    <row r="31" ht="15.95" customHeight="1" s="574">
      <c r="A31" s="68" t="inlineStr">
        <is>
          <t>8309</t>
        </is>
      </c>
      <c r="B31" s="44" t="inlineStr">
        <is>
          <t>三井住友トラストグルー</t>
        </is>
      </c>
      <c r="C31" s="669">
        <f>_xll.RssMarket("8309","安値")</f>
        <v/>
      </c>
      <c r="D31" s="661">
        <f>C31-E31</f>
        <v/>
      </c>
      <c r="E31" s="22" t="n">
        <v>5990</v>
      </c>
      <c r="F31" s="22" t="n">
        <v>6030</v>
      </c>
      <c r="G31" s="22" t="n">
        <v>6066</v>
      </c>
      <c r="H31" s="22" t="n">
        <v>6002</v>
      </c>
      <c r="I31" s="22" t="n">
        <v>5911</v>
      </c>
      <c r="J31" s="22" t="n">
        <v>6002</v>
      </c>
      <c r="K31" s="22" t="n">
        <v>5915</v>
      </c>
      <c r="L31" s="22" t="n">
        <v>5832</v>
      </c>
      <c r="M31" s="22" t="n">
        <v>5887</v>
      </c>
      <c r="N31" s="22" t="n">
        <v>5715</v>
      </c>
      <c r="O31" s="22" t="n">
        <v>5805</v>
      </c>
      <c r="P31" s="22" t="n">
        <v>5628</v>
      </c>
      <c r="Q31" s="22" t="n">
        <v>5576</v>
      </c>
      <c r="R31" s="22" t="n">
        <v>5380</v>
      </c>
      <c r="S31" s="22" t="n">
        <v>5474</v>
      </c>
      <c r="T31" s="22" t="n">
        <v>5499</v>
      </c>
      <c r="U31" s="22" t="n">
        <v>5576</v>
      </c>
      <c r="V31" s="22" t="n">
        <v>5572</v>
      </c>
      <c r="W31" s="22" t="n">
        <v>5596</v>
      </c>
      <c r="X31" s="22" t="n">
        <v>5692</v>
      </c>
      <c r="Y31" s="22" t="n">
        <v>5576</v>
      </c>
      <c r="Z31" s="22" t="n">
        <v>5557</v>
      </c>
      <c r="AA31" s="22" t="n">
        <v>5455</v>
      </c>
      <c r="AB31" s="22" t="n">
        <v>5533</v>
      </c>
      <c r="AC31" s="22" t="n">
        <v>5623</v>
      </c>
      <c r="AD31" s="22" t="n">
        <v>5529</v>
      </c>
      <c r="AE31" s="22" t="n">
        <v>5526</v>
      </c>
      <c r="AF31" s="22" t="n">
        <v>5381</v>
      </c>
      <c r="AG31" s="22" t="n">
        <v>5326</v>
      </c>
      <c r="AH31" s="22" t="n">
        <v>5394</v>
      </c>
      <c r="AI31" s="22" t="n">
        <v>5203</v>
      </c>
      <c r="AJ31" s="22" t="n">
        <v>5139</v>
      </c>
      <c r="AK31" s="22" t="n">
        <v>5124</v>
      </c>
      <c r="AL31" s="22" t="n">
        <v>5018</v>
      </c>
      <c r="AM31" s="22" t="n">
        <v>5088</v>
      </c>
      <c r="AN31" s="22" t="n">
        <v>5091</v>
      </c>
      <c r="AO31" s="22" t="n">
        <v>5135</v>
      </c>
      <c r="AP31" s="22" t="n">
        <v>5176</v>
      </c>
      <c r="AQ31" s="22" t="n">
        <v>5307</v>
      </c>
      <c r="AR31" s="22" t="n">
        <v>5365</v>
      </c>
      <c r="AS31" s="22" t="n">
        <v>5457</v>
      </c>
      <c r="AT31" s="22" t="n">
        <v>5408</v>
      </c>
      <c r="AU31" s="22" t="n">
        <v>5343</v>
      </c>
      <c r="AV31" s="22" t="n">
        <v>5305</v>
      </c>
      <c r="AW31" s="22" t="n">
        <v>5310</v>
      </c>
      <c r="AX31" s="22" t="n">
        <v>5279</v>
      </c>
      <c r="AY31" s="22" t="n">
        <v>5298</v>
      </c>
      <c r="AZ31" s="22" t="n">
        <v>5140</v>
      </c>
      <c r="BA31" s="22" t="n">
        <v>5122</v>
      </c>
      <c r="BB31" s="22" t="n">
        <v>5086</v>
      </c>
      <c r="BC31" s="22" t="n">
        <v>5080</v>
      </c>
      <c r="BD31" s="22" t="n">
        <v>5087</v>
      </c>
      <c r="BE31" s="22" t="n">
        <v>4869</v>
      </c>
      <c r="BF31" s="22" t="n">
        <v>4817</v>
      </c>
      <c r="BG31" s="22" t="n">
        <v>5040</v>
      </c>
      <c r="BH31" s="22" t="n">
        <v>5042</v>
      </c>
      <c r="BI31" s="22" t="n">
        <v>5088</v>
      </c>
      <c r="BJ31" s="22" t="n">
        <v>4904</v>
      </c>
      <c r="BK31" s="22" t="n">
        <v>4808</v>
      </c>
      <c r="BL31" s="22" t="n">
        <v>5014</v>
      </c>
    </row>
    <row r="32" ht="15.95" customHeight="1" s="574">
      <c r="A32" s="68" t="inlineStr">
        <is>
          <t>3863</t>
        </is>
      </c>
      <c r="B32" s="44" t="inlineStr">
        <is>
          <t>日本製紙</t>
        </is>
      </c>
      <c r="C32" s="669">
        <f>_xll.RssMarket("3863","安値")</f>
        <v/>
      </c>
      <c r="D32" s="661">
        <f>C32-E32</f>
        <v/>
      </c>
      <c r="E32" s="22" t="n">
        <v>1191</v>
      </c>
      <c r="F32" s="22" t="n">
        <v>1163</v>
      </c>
      <c r="G32" s="22" t="n">
        <v>1190</v>
      </c>
      <c r="H32" s="22" t="n">
        <v>1241</v>
      </c>
      <c r="I32" s="22" t="n">
        <v>1219</v>
      </c>
      <c r="J32" s="22" t="n">
        <v>1223</v>
      </c>
      <c r="K32" s="22" t="n">
        <v>1204</v>
      </c>
      <c r="L32" s="22" t="n">
        <v>1189</v>
      </c>
      <c r="M32" s="22" t="n">
        <v>1207</v>
      </c>
      <c r="N32" s="22" t="n">
        <v>1214</v>
      </c>
      <c r="O32" s="22" t="n">
        <v>1173</v>
      </c>
      <c r="P32" s="22" t="n">
        <v>1145</v>
      </c>
      <c r="Q32" s="22" t="n">
        <v>1172</v>
      </c>
      <c r="R32" s="22" t="n">
        <v>1194</v>
      </c>
      <c r="S32" s="22" t="n">
        <v>1259</v>
      </c>
      <c r="T32" s="22" t="n">
        <v>1339</v>
      </c>
      <c r="U32" s="22" t="n">
        <v>1318</v>
      </c>
      <c r="V32" s="22" t="n">
        <v>1359</v>
      </c>
      <c r="W32" s="22" t="n">
        <v>1353</v>
      </c>
      <c r="X32" s="22" t="n">
        <v>1368</v>
      </c>
      <c r="Y32" s="22" t="n">
        <v>1348</v>
      </c>
      <c r="Z32" s="22" t="n">
        <v>1428</v>
      </c>
      <c r="AA32" s="22" t="n">
        <v>1414</v>
      </c>
      <c r="AB32" s="22" t="n">
        <v>1421</v>
      </c>
      <c r="AC32" s="22" t="n">
        <v>1456</v>
      </c>
      <c r="AD32" s="22" t="n">
        <v>1463</v>
      </c>
      <c r="AE32" s="22" t="n">
        <v>1445</v>
      </c>
      <c r="AF32" s="22" t="n">
        <v>1422</v>
      </c>
      <c r="AG32" s="22" t="n">
        <v>1399</v>
      </c>
      <c r="AH32" s="22" t="n">
        <v>1372</v>
      </c>
      <c r="AI32" s="22" t="n">
        <v>1300</v>
      </c>
      <c r="AJ32" s="22" t="n">
        <v>1247</v>
      </c>
      <c r="AK32" s="22" t="n">
        <v>1251</v>
      </c>
      <c r="AL32" s="22" t="n">
        <v>1288</v>
      </c>
      <c r="AM32" s="22" t="n">
        <v>1416</v>
      </c>
      <c r="AN32" s="22" t="n">
        <v>1332</v>
      </c>
      <c r="AO32" s="22" t="n">
        <v>1481</v>
      </c>
      <c r="AP32" s="22" t="n">
        <v>1457</v>
      </c>
      <c r="AQ32" s="22" t="n">
        <v>1437</v>
      </c>
      <c r="AR32" s="22" t="n">
        <v>1405</v>
      </c>
      <c r="AS32" s="22" t="n">
        <v>1372</v>
      </c>
      <c r="AT32" s="22" t="n">
        <v>1332</v>
      </c>
      <c r="AU32" s="22" t="n">
        <v>1311</v>
      </c>
      <c r="AV32" s="22" t="n">
        <v>1315</v>
      </c>
      <c r="AW32" s="22" t="n">
        <v>1307</v>
      </c>
      <c r="AX32" s="22" t="n">
        <v>1299</v>
      </c>
      <c r="AY32" s="22" t="n">
        <v>1298</v>
      </c>
      <c r="AZ32" s="22" t="n">
        <v>1290</v>
      </c>
      <c r="BA32" s="22" t="n">
        <v>1280</v>
      </c>
      <c r="BB32" s="22" t="n">
        <v>1279</v>
      </c>
      <c r="BC32" s="22" t="n">
        <v>1269</v>
      </c>
      <c r="BD32" s="22" t="n">
        <v>1272</v>
      </c>
      <c r="BE32" s="22" t="n">
        <v>1256</v>
      </c>
      <c r="BF32" s="22" t="n">
        <v>1211</v>
      </c>
      <c r="BG32" s="22" t="n">
        <v>1245</v>
      </c>
      <c r="BH32" s="22" t="n">
        <v>1217</v>
      </c>
      <c r="BI32" s="22" t="n">
        <v>1211</v>
      </c>
      <c r="BJ32" s="22" t="n">
        <v>1182</v>
      </c>
      <c r="BK32" s="22" t="n">
        <v>1163</v>
      </c>
      <c r="BL32" s="22" t="n">
        <v>1205</v>
      </c>
    </row>
    <row r="33" ht="15.95" customHeight="1" s="574">
      <c r="A33" s="68" t="inlineStr">
        <is>
          <t>8601</t>
        </is>
      </c>
      <c r="B33" s="44" t="inlineStr">
        <is>
          <t>大和証券Ｇ本社</t>
        </is>
      </c>
      <c r="C33" s="669">
        <f>_xll.RssMarket("8601","安値")</f>
        <v/>
      </c>
      <c r="D33" s="661">
        <f>C33-E33</f>
        <v/>
      </c>
      <c r="E33" s="22" t="n">
        <v>1581</v>
      </c>
      <c r="F33" s="22" t="n">
        <v>1588</v>
      </c>
      <c r="G33" s="22" t="n">
        <v>1608.5</v>
      </c>
      <c r="H33" s="22" t="n">
        <v>1593</v>
      </c>
      <c r="I33" s="22" t="n">
        <v>1568</v>
      </c>
      <c r="J33" s="22" t="n">
        <v>1591.5</v>
      </c>
      <c r="K33" s="22" t="n">
        <v>1546.5</v>
      </c>
      <c r="L33" s="22" t="n">
        <v>1518</v>
      </c>
      <c r="M33" s="22" t="n">
        <v>1548.5</v>
      </c>
      <c r="N33" s="22" t="n">
        <v>1516.5</v>
      </c>
      <c r="O33" s="22" t="n">
        <v>1542</v>
      </c>
      <c r="P33" s="22" t="n">
        <v>1522.5</v>
      </c>
      <c r="Q33" s="22" t="n">
        <v>1495</v>
      </c>
      <c r="R33" s="22" t="n">
        <v>1478</v>
      </c>
      <c r="S33" s="22" t="n">
        <v>1476.5</v>
      </c>
      <c r="T33" s="22" t="n">
        <v>1446</v>
      </c>
      <c r="U33" s="22" t="n">
        <v>1442.5</v>
      </c>
      <c r="V33" s="22" t="n">
        <v>1471</v>
      </c>
      <c r="W33" s="22" t="n">
        <v>1482</v>
      </c>
      <c r="X33" s="22" t="n">
        <v>1494</v>
      </c>
      <c r="Y33" s="22" t="n">
        <v>1468</v>
      </c>
      <c r="Z33" s="22" t="n">
        <v>1479.5</v>
      </c>
      <c r="AA33" s="22" t="n">
        <v>1460.5</v>
      </c>
      <c r="AB33" s="22" t="n">
        <v>1474</v>
      </c>
      <c r="AC33" s="22" t="n">
        <v>1478</v>
      </c>
      <c r="AD33" s="22" t="n">
        <v>1464</v>
      </c>
      <c r="AE33" s="22" t="n">
        <v>1453</v>
      </c>
      <c r="AF33" s="22" t="n">
        <v>1439</v>
      </c>
      <c r="AG33" s="22" t="n">
        <v>1437</v>
      </c>
      <c r="AH33" s="22" t="n">
        <v>1452.5</v>
      </c>
      <c r="AI33" s="22" t="n">
        <v>1423.5</v>
      </c>
      <c r="AJ33" s="22" t="n">
        <v>1425</v>
      </c>
      <c r="AK33" s="22" t="n">
        <v>1412.5</v>
      </c>
      <c r="AL33" s="22" t="n">
        <v>1480</v>
      </c>
      <c r="AM33" s="22" t="n">
        <v>1490</v>
      </c>
      <c r="AN33" s="22" t="n">
        <v>1491</v>
      </c>
      <c r="AO33" s="22" t="n">
        <v>1498.5</v>
      </c>
      <c r="AP33" s="22" t="n">
        <v>1519</v>
      </c>
      <c r="AQ33" s="22" t="n">
        <v>1517</v>
      </c>
      <c r="AR33" s="22" t="n">
        <v>1526</v>
      </c>
      <c r="AS33" s="22" t="n">
        <v>1559</v>
      </c>
      <c r="AT33" s="22" t="n">
        <v>1565.5</v>
      </c>
      <c r="AU33" s="22" t="n">
        <v>1545.5</v>
      </c>
      <c r="AV33" s="22" t="n">
        <v>1524</v>
      </c>
      <c r="AW33" s="22" t="n">
        <v>1540</v>
      </c>
      <c r="AX33" s="22" t="n">
        <v>1531</v>
      </c>
      <c r="AY33" s="22" t="n">
        <v>1552.5</v>
      </c>
      <c r="AZ33" s="22" t="n">
        <v>1496</v>
      </c>
      <c r="BA33" s="22" t="n">
        <v>1510.5</v>
      </c>
      <c r="BB33" s="22" t="n">
        <v>1509</v>
      </c>
      <c r="BC33" s="22" t="n">
        <v>1501.5</v>
      </c>
      <c r="BD33" s="22" t="n">
        <v>1500</v>
      </c>
      <c r="BE33" s="22" t="n">
        <v>1460</v>
      </c>
      <c r="BF33" s="22" t="n">
        <v>1476.5</v>
      </c>
      <c r="BG33" s="22" t="n">
        <v>1554.5</v>
      </c>
      <c r="BH33" s="22" t="n">
        <v>1552</v>
      </c>
      <c r="BI33" s="22" t="n">
        <v>1530</v>
      </c>
      <c r="BJ33" s="22" t="n">
        <v>1477.5</v>
      </c>
      <c r="BK33" s="22" t="n">
        <v>1450</v>
      </c>
      <c r="BL33" s="22" t="n">
        <v>1466.5</v>
      </c>
    </row>
    <row r="34" ht="15.95" customHeight="1" s="574">
      <c r="A34" s="68" t="inlineStr">
        <is>
          <t>5233</t>
        </is>
      </c>
      <c r="B34" s="44" t="inlineStr">
        <is>
          <t>太平洋セメント</t>
        </is>
      </c>
      <c r="C34" s="669">
        <f>_xll.RssMarket("5233","安値")</f>
        <v/>
      </c>
      <c r="D34" s="661">
        <f>C34-E34</f>
        <v/>
      </c>
      <c r="E34" s="22" t="n">
        <v>4190</v>
      </c>
      <c r="F34" s="22" t="n">
        <v>4280</v>
      </c>
      <c r="G34" s="22" t="n">
        <v>4344</v>
      </c>
      <c r="H34" s="22" t="n">
        <v>4302</v>
      </c>
      <c r="I34" s="22" t="n">
        <v>4370</v>
      </c>
      <c r="J34" s="22" t="n">
        <v>4301</v>
      </c>
      <c r="K34" s="22" t="n">
        <v>4097</v>
      </c>
      <c r="L34" s="22" t="n">
        <v>4000</v>
      </c>
      <c r="M34" s="22" t="n">
        <v>4115</v>
      </c>
      <c r="N34" s="22" t="n">
        <v>4204</v>
      </c>
      <c r="O34" s="22" t="n">
        <v>4322</v>
      </c>
      <c r="P34" s="22" t="n">
        <v>4361</v>
      </c>
      <c r="Q34" s="22" t="n">
        <v>4381</v>
      </c>
      <c r="R34" s="22" t="n">
        <v>4291</v>
      </c>
      <c r="S34" s="22" t="n">
        <v>4475</v>
      </c>
      <c r="T34" s="22" t="n">
        <v>4213</v>
      </c>
      <c r="U34" s="22" t="n">
        <v>4171</v>
      </c>
      <c r="V34" s="22" t="n">
        <v>4048</v>
      </c>
      <c r="W34" s="22" t="n">
        <v>4113</v>
      </c>
      <c r="X34" s="22" t="n">
        <v>4028</v>
      </c>
      <c r="Y34" s="22" t="n">
        <v>3918</v>
      </c>
      <c r="Z34" s="22" t="n">
        <v>3883</v>
      </c>
      <c r="AA34" s="22" t="n">
        <v>3803</v>
      </c>
      <c r="AB34" s="22" t="n">
        <v>3959</v>
      </c>
      <c r="AC34" s="22" t="n">
        <v>4059</v>
      </c>
      <c r="AD34" s="22" t="n">
        <v>4053</v>
      </c>
      <c r="AE34" s="22" t="n">
        <v>3627</v>
      </c>
      <c r="AF34" s="22" t="n">
        <v>3541</v>
      </c>
      <c r="AG34" s="22" t="n">
        <v>3600</v>
      </c>
      <c r="AH34" s="22" t="n">
        <v>3608</v>
      </c>
      <c r="AI34" s="22" t="n">
        <v>3518</v>
      </c>
      <c r="AJ34" s="22" t="n">
        <v>3523</v>
      </c>
      <c r="AK34" s="22" t="n">
        <v>3601</v>
      </c>
      <c r="AL34" s="22" t="n">
        <v>3537</v>
      </c>
      <c r="AM34" s="22" t="n">
        <v>3519</v>
      </c>
      <c r="AN34" s="22" t="n">
        <v>3486</v>
      </c>
      <c r="AO34" s="22" t="n">
        <v>3601</v>
      </c>
      <c r="AP34" s="22" t="n">
        <v>3657</v>
      </c>
      <c r="AQ34" s="22" t="n">
        <v>3661</v>
      </c>
      <c r="AR34" s="22" t="n">
        <v>3646</v>
      </c>
      <c r="AS34" s="22" t="n">
        <v>3665</v>
      </c>
      <c r="AT34" s="22" t="n">
        <v>3664</v>
      </c>
      <c r="AU34" s="22" t="n">
        <v>3691</v>
      </c>
      <c r="AV34" s="22" t="n">
        <v>3672</v>
      </c>
      <c r="AW34" s="22" t="n">
        <v>3669</v>
      </c>
      <c r="AX34" s="22" t="n">
        <v>3689</v>
      </c>
      <c r="AY34" s="22" t="n">
        <v>3617</v>
      </c>
      <c r="AZ34" s="22" t="n">
        <v>3536</v>
      </c>
      <c r="BA34" s="22" t="n">
        <v>3506</v>
      </c>
      <c r="BB34" s="22" t="n">
        <v>3525</v>
      </c>
      <c r="BC34" s="22" t="n">
        <v>3498</v>
      </c>
      <c r="BD34" s="22" t="n">
        <v>3542</v>
      </c>
      <c r="BE34" s="22" t="n">
        <v>3399</v>
      </c>
      <c r="BF34" s="22" t="n">
        <v>3300</v>
      </c>
      <c r="BG34" s="22" t="n">
        <v>3510</v>
      </c>
      <c r="BH34" s="22" t="n">
        <v>3497</v>
      </c>
      <c r="BI34" s="22" t="n">
        <v>3537</v>
      </c>
      <c r="BJ34" s="22" t="n">
        <v>3394</v>
      </c>
      <c r="BK34" s="22" t="n">
        <v>3265</v>
      </c>
      <c r="BL34" s="22" t="n">
        <v>3439</v>
      </c>
    </row>
    <row r="35" ht="15.95" customHeight="1" s="574">
      <c r="A35" s="68" t="inlineStr">
        <is>
          <t>8308</t>
        </is>
      </c>
      <c r="B35" s="44" t="inlineStr">
        <is>
          <t>りそなホールディングス</t>
        </is>
      </c>
      <c r="C35" s="669">
        <f>_xll.RssMarket("8308","安値")</f>
        <v/>
      </c>
      <c r="D35" s="661">
        <f>C35-E35</f>
        <v/>
      </c>
      <c r="E35" s="22" t="n">
        <v>2150</v>
      </c>
      <c r="F35" s="22" t="n">
        <v>2193</v>
      </c>
      <c r="G35" s="22" t="n">
        <v>2206</v>
      </c>
      <c r="H35" s="22" t="n">
        <v>2160.5</v>
      </c>
      <c r="I35" s="22" t="n">
        <v>2108.5</v>
      </c>
      <c r="J35" s="22" t="n">
        <v>2201</v>
      </c>
      <c r="K35" s="22" t="n">
        <v>2135.5</v>
      </c>
      <c r="L35" s="22" t="n">
        <v>2089.5</v>
      </c>
      <c r="M35" s="22" t="n">
        <v>2124</v>
      </c>
      <c r="N35" s="22" t="n">
        <v>2043.5</v>
      </c>
      <c r="O35" s="22" t="n">
        <v>2117</v>
      </c>
      <c r="P35" s="22" t="n">
        <v>2049</v>
      </c>
      <c r="Q35" s="22" t="n">
        <v>2033.5</v>
      </c>
      <c r="R35" s="22" t="n">
        <v>1958</v>
      </c>
      <c r="S35" s="22" t="n">
        <v>2032</v>
      </c>
      <c r="T35" s="22" t="n">
        <v>2003</v>
      </c>
      <c r="U35" s="22" t="n">
        <v>2023</v>
      </c>
      <c r="V35" s="22" t="n">
        <v>2096.5</v>
      </c>
      <c r="W35" s="22" t="n">
        <v>2099.5</v>
      </c>
      <c r="X35" s="22" t="n">
        <v>2068</v>
      </c>
      <c r="Y35" s="22" t="n">
        <v>2016</v>
      </c>
      <c r="Z35" s="22" t="n">
        <v>2033</v>
      </c>
      <c r="AA35" s="22" t="n">
        <v>2016.5</v>
      </c>
      <c r="AB35" s="22" t="n">
        <v>2006</v>
      </c>
      <c r="AC35" s="22" t="n">
        <v>2032.5</v>
      </c>
      <c r="AD35" s="22" t="n">
        <v>2022.5</v>
      </c>
      <c r="AE35" s="22" t="n">
        <v>1996.5</v>
      </c>
      <c r="AF35" s="22" t="n">
        <v>1933.5</v>
      </c>
      <c r="AG35" s="22" t="n">
        <v>1916.5</v>
      </c>
      <c r="AH35" s="22" t="n">
        <v>1980</v>
      </c>
      <c r="AI35" s="22" t="n">
        <v>1892.5</v>
      </c>
      <c r="AJ35" s="22" t="n">
        <v>1885</v>
      </c>
      <c r="AK35" s="22" t="n">
        <v>1851</v>
      </c>
      <c r="AL35" s="22" t="n">
        <v>1786</v>
      </c>
      <c r="AM35" s="22" t="n">
        <v>1810</v>
      </c>
      <c r="AN35" s="22" t="n">
        <v>1796</v>
      </c>
      <c r="AO35" s="22" t="n">
        <v>1854</v>
      </c>
      <c r="AP35" s="22" t="n">
        <v>1905</v>
      </c>
      <c r="AQ35" s="22" t="n">
        <v>1948.5</v>
      </c>
      <c r="AR35" s="22" t="n">
        <v>1926</v>
      </c>
      <c r="AS35" s="22" t="n">
        <v>1909.5</v>
      </c>
      <c r="AT35" s="22" t="n">
        <v>1904.5</v>
      </c>
      <c r="AU35" s="22" t="n">
        <v>1857.5</v>
      </c>
      <c r="AV35" s="22" t="n">
        <v>1871</v>
      </c>
      <c r="AW35" s="22" t="n">
        <v>1883</v>
      </c>
      <c r="AX35" s="22" t="n">
        <v>1877</v>
      </c>
      <c r="AY35" s="22" t="n">
        <v>1916.5</v>
      </c>
      <c r="AZ35" s="22" t="n">
        <v>1856</v>
      </c>
      <c r="BA35" s="22" t="n">
        <v>1828.5</v>
      </c>
      <c r="BB35" s="22" t="n">
        <v>1812</v>
      </c>
      <c r="BC35" s="22" t="n">
        <v>1802.5</v>
      </c>
      <c r="BD35" s="22" t="n">
        <v>1802.5</v>
      </c>
      <c r="BE35" s="22" t="n">
        <v>1703.5</v>
      </c>
      <c r="BF35" s="22" t="n">
        <v>1691.5</v>
      </c>
      <c r="BG35" s="22" t="n">
        <v>1794.5</v>
      </c>
      <c r="BH35" s="22" t="n">
        <v>1798.5</v>
      </c>
      <c r="BI35" s="22" t="n">
        <v>1808.5</v>
      </c>
      <c r="BJ35" s="22" t="n">
        <v>1748</v>
      </c>
      <c r="BK35" s="22" t="n">
        <v>1652.5</v>
      </c>
      <c r="BL35" s="22" t="n">
        <v>1761</v>
      </c>
    </row>
    <row r="36" ht="15.95" customHeight="1" s="574">
      <c r="A36" s="68" t="inlineStr">
        <is>
          <t>5938</t>
        </is>
      </c>
      <c r="B36" s="44" t="inlineStr">
        <is>
          <t>ＬＩＸＩＬ</t>
        </is>
      </c>
      <c r="C36" s="669">
        <f>_xll.RssMarket("5938","安値")</f>
        <v/>
      </c>
      <c r="D36" s="661">
        <f>C36-E36</f>
        <v/>
      </c>
      <c r="E36" s="22" t="n">
        <v>1723</v>
      </c>
      <c r="F36" s="22" t="n">
        <v>1718.5</v>
      </c>
      <c r="G36" s="22" t="n">
        <v>1703.5</v>
      </c>
      <c r="H36" s="22" t="n">
        <v>1717</v>
      </c>
      <c r="I36" s="22" t="n">
        <v>1727.5</v>
      </c>
      <c r="J36" s="22" t="n">
        <v>1726.5</v>
      </c>
      <c r="K36" s="22" t="n">
        <v>1721</v>
      </c>
      <c r="L36" s="22" t="n">
        <v>1704</v>
      </c>
      <c r="M36" s="22" t="n">
        <v>1711.5</v>
      </c>
      <c r="N36" s="22" t="n">
        <v>1701</v>
      </c>
      <c r="O36" s="22" t="n">
        <v>1693.5</v>
      </c>
      <c r="P36" s="22" t="n">
        <v>1690.5</v>
      </c>
      <c r="Q36" s="22" t="n">
        <v>1677.5</v>
      </c>
      <c r="R36" s="22" t="n">
        <v>1652</v>
      </c>
      <c r="S36" s="22" t="n">
        <v>1686.5</v>
      </c>
      <c r="T36" s="22" t="n">
        <v>1670.5</v>
      </c>
      <c r="U36" s="22" t="n">
        <v>1648</v>
      </c>
      <c r="V36" s="22" t="n">
        <v>1644</v>
      </c>
      <c r="W36" s="22" t="n">
        <v>1630</v>
      </c>
      <c r="X36" s="22" t="n">
        <v>1635</v>
      </c>
      <c r="Y36" s="22" t="n">
        <v>1616.5</v>
      </c>
      <c r="Z36" s="22" t="n">
        <v>1646</v>
      </c>
      <c r="AA36" s="22" t="n">
        <v>1633.5</v>
      </c>
      <c r="AB36" s="22" t="n">
        <v>1655</v>
      </c>
      <c r="AC36" s="22" t="n">
        <v>1651</v>
      </c>
      <c r="AD36" s="22" t="n">
        <v>1673</v>
      </c>
      <c r="AE36" s="22" t="n">
        <v>1669.5</v>
      </c>
      <c r="AF36" s="22" t="n">
        <v>1662.5</v>
      </c>
      <c r="AG36" s="22" t="n">
        <v>1669.5</v>
      </c>
      <c r="AH36" s="22" t="n">
        <v>1639</v>
      </c>
      <c r="AI36" s="22" t="n">
        <v>1605</v>
      </c>
      <c r="AJ36" s="22" t="n">
        <v>1571.5</v>
      </c>
      <c r="AK36" s="22" t="n">
        <v>1604</v>
      </c>
      <c r="AL36" s="22" t="n">
        <v>1595.5</v>
      </c>
      <c r="AM36" s="22" t="n">
        <v>1608</v>
      </c>
      <c r="AN36" s="22" t="n">
        <v>1585</v>
      </c>
      <c r="AO36" s="22" t="n">
        <v>1615</v>
      </c>
      <c r="AP36" s="22" t="n">
        <v>1636</v>
      </c>
      <c r="AQ36" s="22" t="n">
        <v>1628</v>
      </c>
      <c r="AR36" s="22" t="n">
        <v>1615</v>
      </c>
      <c r="AS36" s="22" t="n">
        <v>1616.5</v>
      </c>
      <c r="AT36" s="22" t="n">
        <v>1610</v>
      </c>
      <c r="AU36" s="22" t="n">
        <v>1598</v>
      </c>
      <c r="AV36" s="22" t="n">
        <v>1589</v>
      </c>
      <c r="AW36" s="22" t="n">
        <v>1655</v>
      </c>
      <c r="AX36" s="22" t="n">
        <v>1658</v>
      </c>
      <c r="AY36" s="22" t="n">
        <v>1650.5</v>
      </c>
      <c r="AZ36" s="22" t="n">
        <v>1635</v>
      </c>
      <c r="BA36" s="22" t="n">
        <v>1635</v>
      </c>
      <c r="BB36" s="22" t="n">
        <v>1630</v>
      </c>
      <c r="BC36" s="22" t="n">
        <v>1620</v>
      </c>
      <c r="BD36" s="22" t="n">
        <v>1632.5</v>
      </c>
      <c r="BE36" s="22" t="n">
        <v>1613</v>
      </c>
      <c r="BF36" s="22" t="n">
        <v>1600.5</v>
      </c>
      <c r="BG36" s="22" t="n">
        <v>1689</v>
      </c>
      <c r="BH36" s="22" t="n">
        <v>1685.5</v>
      </c>
      <c r="BI36" s="22" t="n">
        <v>1681</v>
      </c>
      <c r="BJ36" s="22" t="n">
        <v>1640</v>
      </c>
      <c r="BK36" s="22" t="n">
        <v>1628</v>
      </c>
      <c r="BL36" s="22" t="n">
        <v>1655.5</v>
      </c>
    </row>
    <row r="37" ht="15.95" customHeight="1" s="574">
      <c r="A37" s="68" t="inlineStr">
        <is>
          <t>8570</t>
        </is>
      </c>
      <c r="B37" s="44" t="inlineStr">
        <is>
          <t>イオンフィナンシャルサービス</t>
        </is>
      </c>
      <c r="C37" s="669">
        <f>_xll.RssMarket("8570","安値")</f>
        <v/>
      </c>
      <c r="D37" s="661">
        <f>C37-E37</f>
        <v/>
      </c>
      <c r="E37" s="22" t="n">
        <v>1446.5</v>
      </c>
      <c r="F37" s="22" t="n">
        <v>1466.5</v>
      </c>
      <c r="G37" s="22" t="n">
        <v>1473.5</v>
      </c>
      <c r="H37" s="22" t="n">
        <v>1491.5</v>
      </c>
      <c r="I37" s="22" t="n">
        <v>1485</v>
      </c>
      <c r="J37" s="22" t="n">
        <v>1508</v>
      </c>
      <c r="K37" s="22" t="n">
        <v>1493</v>
      </c>
      <c r="L37" s="22" t="n">
        <v>1488</v>
      </c>
      <c r="M37" s="22" t="n">
        <v>1486</v>
      </c>
      <c r="N37" s="22" t="n">
        <v>1442</v>
      </c>
      <c r="O37" s="22" t="n">
        <v>1441</v>
      </c>
      <c r="P37" s="22" t="n">
        <v>1427.5</v>
      </c>
      <c r="Q37" s="22" t="n">
        <v>1447</v>
      </c>
      <c r="R37" s="22" t="n">
        <v>1413.5</v>
      </c>
      <c r="S37" s="22" t="n">
        <v>1496</v>
      </c>
      <c r="T37" s="22" t="n">
        <v>1506</v>
      </c>
      <c r="U37" s="22" t="n">
        <v>1526.5</v>
      </c>
      <c r="V37" s="22" t="n">
        <v>1541</v>
      </c>
      <c r="W37" s="22" t="n">
        <v>1550</v>
      </c>
      <c r="X37" s="22" t="n">
        <v>1584</v>
      </c>
      <c r="Y37" s="22" t="n">
        <v>1562</v>
      </c>
      <c r="Z37" s="22" t="n">
        <v>1563</v>
      </c>
      <c r="AA37" s="22" t="n">
        <v>1560</v>
      </c>
      <c r="AB37" s="22" t="n">
        <v>1545.5</v>
      </c>
      <c r="AC37" s="22" t="n">
        <v>1547.5</v>
      </c>
      <c r="AD37" s="22" t="n">
        <v>1554.5</v>
      </c>
      <c r="AE37" s="22" t="n">
        <v>1545.5</v>
      </c>
      <c r="AF37" s="22" t="n">
        <v>1515</v>
      </c>
      <c r="AG37" s="22" t="n">
        <v>1499.5</v>
      </c>
      <c r="AH37" s="22" t="n">
        <v>1551.5</v>
      </c>
      <c r="AI37" s="22" t="n">
        <v>1532.5</v>
      </c>
      <c r="AJ37" s="22" t="n">
        <v>1531</v>
      </c>
      <c r="AK37" s="22" t="n">
        <v>1531.5</v>
      </c>
      <c r="AL37" s="22" t="n">
        <v>1521.5</v>
      </c>
      <c r="AM37" s="22" t="n">
        <v>1544.5</v>
      </c>
      <c r="AN37" s="22" t="n">
        <v>1538</v>
      </c>
      <c r="AO37" s="22" t="n">
        <v>1536.5</v>
      </c>
      <c r="AP37" s="22" t="n">
        <v>1537</v>
      </c>
      <c r="AQ37" s="22" t="n">
        <v>1558.5</v>
      </c>
      <c r="AR37" s="22" t="n">
        <v>1564.5</v>
      </c>
      <c r="AS37" s="22" t="n">
        <v>1609.5</v>
      </c>
      <c r="AT37" s="22" t="n">
        <v>1606</v>
      </c>
      <c r="AU37" s="22" t="n">
        <v>1586</v>
      </c>
      <c r="AV37" s="22" t="n">
        <v>1516</v>
      </c>
      <c r="AW37" s="22" t="n">
        <v>1523</v>
      </c>
      <c r="AX37" s="22" t="n">
        <v>1500</v>
      </c>
      <c r="AY37" s="22" t="n">
        <v>1637.5</v>
      </c>
      <c r="AZ37" s="22" t="n">
        <v>1610.5</v>
      </c>
      <c r="BA37" s="22" t="n">
        <v>1605</v>
      </c>
      <c r="BB37" s="22" t="n">
        <v>1601.5</v>
      </c>
      <c r="BC37" s="22" t="n">
        <v>1588</v>
      </c>
      <c r="BD37" s="22" t="n">
        <v>1575.5</v>
      </c>
      <c r="BE37" s="22" t="n">
        <v>1556.5</v>
      </c>
      <c r="BF37" s="22" t="n">
        <v>1511.5</v>
      </c>
      <c r="BG37" s="22" t="n">
        <v>1571.5</v>
      </c>
      <c r="BH37" s="22" t="n">
        <v>1568</v>
      </c>
      <c r="BI37" s="22" t="n">
        <v>1591</v>
      </c>
      <c r="BJ37" s="22" t="n">
        <v>1553.5</v>
      </c>
      <c r="BK37" s="22" t="n">
        <v>1528.5</v>
      </c>
      <c r="BL37" s="22" t="n">
        <v>1574</v>
      </c>
    </row>
    <row r="38" ht="15.95" customHeight="1" s="574">
      <c r="A38" s="68" t="inlineStr">
        <is>
          <t>5406</t>
        </is>
      </c>
      <c r="B38" s="44" t="inlineStr">
        <is>
          <t>神戸製鋼所</t>
        </is>
      </c>
      <c r="C38" s="669">
        <f>_xll.RssMarket("5406","安値")</f>
        <v/>
      </c>
      <c r="D38" s="661">
        <f>C38-E38</f>
        <v/>
      </c>
      <c r="E38" s="22" t="n">
        <v>1942.5</v>
      </c>
      <c r="F38" s="22" t="n">
        <v>1965</v>
      </c>
      <c r="G38" s="22" t="n">
        <v>1950.5</v>
      </c>
      <c r="H38" s="22" t="n">
        <v>1973</v>
      </c>
      <c r="I38" s="22" t="n">
        <v>1981.5</v>
      </c>
      <c r="J38" s="22" t="n">
        <v>1953</v>
      </c>
      <c r="K38" s="22" t="n">
        <v>1918.5</v>
      </c>
      <c r="L38" s="22" t="n">
        <v>1860</v>
      </c>
      <c r="M38" s="22" t="n">
        <v>1888</v>
      </c>
      <c r="N38" s="22" t="n">
        <v>1884</v>
      </c>
      <c r="O38" s="22" t="n">
        <v>1932.5</v>
      </c>
      <c r="P38" s="22" t="n">
        <v>1933</v>
      </c>
      <c r="Q38" s="22" t="n">
        <v>1953</v>
      </c>
      <c r="R38" s="22" t="n">
        <v>1929</v>
      </c>
      <c r="S38" s="22" t="n">
        <v>1952.5</v>
      </c>
      <c r="T38" s="22" t="n">
        <v>1933</v>
      </c>
      <c r="U38" s="22" t="n">
        <v>1965.5</v>
      </c>
      <c r="V38" s="22" t="n">
        <v>1934</v>
      </c>
      <c r="W38" s="22" t="n">
        <v>1930</v>
      </c>
      <c r="X38" s="22" t="n">
        <v>1900.5</v>
      </c>
      <c r="Y38" s="22" t="n">
        <v>1857</v>
      </c>
      <c r="Z38" s="22" t="n">
        <v>1885</v>
      </c>
      <c r="AA38" s="22" t="n">
        <v>1873.5</v>
      </c>
      <c r="AB38" s="22" t="n">
        <v>1939.5</v>
      </c>
      <c r="AC38" s="22" t="n">
        <v>1961.5</v>
      </c>
      <c r="AD38" s="22" t="n">
        <v>1960.5</v>
      </c>
      <c r="AE38" s="22" t="n">
        <v>1955</v>
      </c>
      <c r="AF38" s="22" t="n">
        <v>1912</v>
      </c>
      <c r="AG38" s="22" t="n">
        <v>1914</v>
      </c>
      <c r="AH38" s="22" t="n">
        <v>1974</v>
      </c>
      <c r="AI38" s="22" t="n">
        <v>1895</v>
      </c>
      <c r="AJ38" s="22" t="n">
        <v>1877</v>
      </c>
      <c r="AK38" s="22" t="n">
        <v>1870</v>
      </c>
      <c r="AL38" s="22" t="n">
        <v>1840</v>
      </c>
      <c r="AM38" s="22" t="n">
        <v>1843</v>
      </c>
      <c r="AN38" s="22" t="n">
        <v>1839</v>
      </c>
      <c r="AO38" s="22" t="n">
        <v>1870.5</v>
      </c>
      <c r="AP38" s="22" t="n">
        <v>1904</v>
      </c>
      <c r="AQ38" s="22" t="n">
        <v>1927.5</v>
      </c>
      <c r="AR38" s="22" t="n">
        <v>1919</v>
      </c>
      <c r="AS38" s="22" t="n">
        <v>1941</v>
      </c>
      <c r="AT38" s="22" t="n">
        <v>1933.5</v>
      </c>
      <c r="AU38" s="22" t="n">
        <v>1944</v>
      </c>
      <c r="AV38" s="22" t="n">
        <v>1931</v>
      </c>
      <c r="AW38" s="22" t="n">
        <v>1950.5</v>
      </c>
      <c r="AX38" s="22" t="n">
        <v>1947</v>
      </c>
      <c r="AY38" s="22" t="n">
        <v>1955</v>
      </c>
      <c r="AZ38" s="22" t="n">
        <v>1923.5</v>
      </c>
      <c r="BA38" s="22" t="n">
        <v>1928.5</v>
      </c>
      <c r="BB38" s="22" t="n">
        <v>1940.5</v>
      </c>
      <c r="BC38" s="22" t="n">
        <v>1924</v>
      </c>
      <c r="BD38" s="22" t="n">
        <v>1915</v>
      </c>
      <c r="BE38" s="22" t="n">
        <v>1869.5</v>
      </c>
      <c r="BF38" s="22" t="n">
        <v>1859</v>
      </c>
      <c r="BG38" s="22" t="n">
        <v>1936</v>
      </c>
      <c r="BH38" s="22" t="n">
        <v>1911</v>
      </c>
      <c r="BI38" s="22" t="n">
        <v>1951</v>
      </c>
      <c r="BJ38" s="22" t="n">
        <v>1959.5</v>
      </c>
      <c r="BK38" s="22" t="n">
        <v>1935.5</v>
      </c>
      <c r="BL38" s="22" t="n">
        <v>1993.5</v>
      </c>
    </row>
    <row r="39" ht="15.95" customHeight="1" s="574">
      <c r="A39" s="68" t="inlineStr">
        <is>
          <t>8593</t>
        </is>
      </c>
      <c r="B39" s="44" t="inlineStr">
        <is>
          <t>三菱ＨＣキャピタル</t>
        </is>
      </c>
      <c r="C39" s="669">
        <f>_xll.RssMarket("8593","安値")</f>
        <v/>
      </c>
      <c r="D39" s="661">
        <f>C39-E39</f>
        <v/>
      </c>
      <c r="E39" s="22" t="n">
        <v>1289</v>
      </c>
      <c r="F39" s="22" t="n">
        <v>1300.5</v>
      </c>
      <c r="G39" s="22" t="n">
        <v>1305</v>
      </c>
      <c r="H39" s="22" t="n">
        <v>1318.5</v>
      </c>
      <c r="I39" s="22" t="n">
        <v>1310</v>
      </c>
      <c r="J39" s="22" t="n">
        <v>1326.5</v>
      </c>
      <c r="K39" s="22" t="n">
        <v>1307</v>
      </c>
      <c r="L39" s="22" t="n">
        <v>1303</v>
      </c>
      <c r="M39" s="22" t="n">
        <v>1313.5</v>
      </c>
      <c r="N39" s="22" t="n">
        <v>1267</v>
      </c>
      <c r="O39" s="22" t="n">
        <v>1272</v>
      </c>
      <c r="P39" s="22" t="n">
        <v>1254</v>
      </c>
      <c r="Q39" s="22" t="n">
        <v>1249</v>
      </c>
      <c r="R39" s="22" t="n">
        <v>1239.5</v>
      </c>
      <c r="S39" s="22" t="n">
        <v>1301.5</v>
      </c>
      <c r="T39" s="22" t="n">
        <v>1300.5</v>
      </c>
      <c r="U39" s="22" t="n">
        <v>1308</v>
      </c>
      <c r="V39" s="22" t="n">
        <v>1305.5</v>
      </c>
      <c r="W39" s="22" t="n">
        <v>1311</v>
      </c>
      <c r="X39" s="22" t="n">
        <v>1333</v>
      </c>
      <c r="Y39" s="22" t="n">
        <v>1337</v>
      </c>
      <c r="Z39" s="22" t="n">
        <v>1321.5</v>
      </c>
      <c r="AA39" s="22" t="n">
        <v>1410.5</v>
      </c>
      <c r="AB39" s="22" t="n">
        <v>1418</v>
      </c>
      <c r="AC39" s="22" t="n">
        <v>1430.5</v>
      </c>
      <c r="AD39" s="22" t="n">
        <v>1424</v>
      </c>
      <c r="AE39" s="22" t="n">
        <v>1401</v>
      </c>
      <c r="AF39" s="22" t="n">
        <v>1397.5</v>
      </c>
      <c r="AG39" s="22" t="n">
        <v>1393</v>
      </c>
      <c r="AH39" s="22" t="n">
        <v>1400</v>
      </c>
      <c r="AI39" s="22" t="n">
        <v>1412</v>
      </c>
      <c r="AJ39" s="22" t="n">
        <v>1421.5</v>
      </c>
      <c r="AK39" s="22" t="n">
        <v>1398</v>
      </c>
      <c r="AL39" s="22" t="n">
        <v>1400.5</v>
      </c>
      <c r="AM39" s="22" t="n">
        <v>1399</v>
      </c>
      <c r="AN39" s="22" t="n">
        <v>1411</v>
      </c>
      <c r="AO39" s="22" t="n">
        <v>1432</v>
      </c>
      <c r="AP39" s="22" t="n">
        <v>1446</v>
      </c>
      <c r="AQ39" s="22" t="n">
        <v>1460</v>
      </c>
      <c r="AR39" s="22" t="n">
        <v>1466</v>
      </c>
      <c r="AS39" s="22" t="n">
        <v>1462</v>
      </c>
      <c r="AT39" s="22" t="n">
        <v>1459.5</v>
      </c>
      <c r="AU39" s="22" t="n">
        <v>1456</v>
      </c>
      <c r="AV39" s="22" t="n">
        <v>1467</v>
      </c>
      <c r="AW39" s="22" t="n">
        <v>1480</v>
      </c>
      <c r="AX39" s="22" t="n">
        <v>1499</v>
      </c>
      <c r="AY39" s="22" t="n">
        <v>1474.5</v>
      </c>
      <c r="AZ39" s="22" t="n">
        <v>1468</v>
      </c>
      <c r="BA39" s="22" t="n">
        <v>1460</v>
      </c>
      <c r="BB39" s="22" t="n">
        <v>1451</v>
      </c>
      <c r="BC39" s="22" t="n">
        <v>1416</v>
      </c>
      <c r="BD39" s="22" t="n">
        <v>1393.5</v>
      </c>
      <c r="BE39" s="22" t="n">
        <v>1378</v>
      </c>
      <c r="BF39" s="22" t="n">
        <v>1438</v>
      </c>
      <c r="BG39" s="22" t="n">
        <v>1427</v>
      </c>
      <c r="BH39" s="22" t="n">
        <v>1440</v>
      </c>
      <c r="BI39" s="22" t="n">
        <v>1408.5</v>
      </c>
      <c r="BJ39" s="22" t="n">
        <v>1394</v>
      </c>
      <c r="BK39" s="22" t="n">
        <v>1427</v>
      </c>
      <c r="BL39" s="22" t="n">
        <v>1435</v>
      </c>
    </row>
    <row r="40" ht="15.95" customHeight="1" s="574">
      <c r="A40" s="68" t="inlineStr">
        <is>
          <t>8604</t>
        </is>
      </c>
      <c r="B40" s="44" t="inlineStr">
        <is>
          <t>野村ホールディングス</t>
        </is>
      </c>
      <c r="C40" s="669">
        <f>_xll.RssMarket("8604","安値")</f>
        <v/>
      </c>
      <c r="D40" s="661">
        <f>C40-E40</f>
        <v/>
      </c>
      <c r="E40" s="22" t="n">
        <v>1403</v>
      </c>
      <c r="F40" s="22" t="n">
        <v>1397.5</v>
      </c>
      <c r="G40" s="22" t="n">
        <v>1417</v>
      </c>
      <c r="H40" s="22" t="n">
        <v>1428.5</v>
      </c>
      <c r="I40" s="22" t="n">
        <v>1371.5</v>
      </c>
      <c r="J40" s="22" t="n">
        <v>1399.5</v>
      </c>
      <c r="K40" s="22" t="n">
        <v>1351</v>
      </c>
      <c r="L40" s="22" t="n">
        <v>1333.5</v>
      </c>
      <c r="M40" s="22" t="n">
        <v>1377</v>
      </c>
      <c r="N40" s="22" t="n">
        <v>1328.5</v>
      </c>
      <c r="O40" s="22" t="n">
        <v>1360.5</v>
      </c>
      <c r="P40" s="22" t="n">
        <v>1336.5</v>
      </c>
      <c r="Q40" s="22" t="n">
        <v>1321.5</v>
      </c>
      <c r="R40" s="22" t="n">
        <v>1285</v>
      </c>
      <c r="S40" s="22" t="n">
        <v>1260.5</v>
      </c>
      <c r="T40" s="22" t="n">
        <v>1237</v>
      </c>
      <c r="U40" s="22" t="n">
        <v>1247.5</v>
      </c>
      <c r="V40" s="22" t="n">
        <v>1264.5</v>
      </c>
      <c r="W40" s="22" t="n">
        <v>1287</v>
      </c>
      <c r="X40" s="22" t="n">
        <v>1263.5</v>
      </c>
      <c r="Y40" s="22" t="n">
        <v>1239.5</v>
      </c>
      <c r="Z40" s="22" t="n">
        <v>1256</v>
      </c>
      <c r="AA40" s="22" t="n">
        <v>1248</v>
      </c>
      <c r="AB40" s="22" t="n">
        <v>1256.5</v>
      </c>
      <c r="AC40" s="22" t="n">
        <v>1259</v>
      </c>
      <c r="AD40" s="22" t="n">
        <v>1242.5</v>
      </c>
      <c r="AE40" s="22" t="n">
        <v>1219</v>
      </c>
      <c r="AF40" s="22" t="n">
        <v>1210.5</v>
      </c>
      <c r="AG40" s="22" t="n">
        <v>1213.5</v>
      </c>
      <c r="AH40" s="22" t="n">
        <v>1224.5</v>
      </c>
      <c r="AI40" s="22" t="n">
        <v>1214</v>
      </c>
      <c r="AJ40" s="22" t="n">
        <v>1236</v>
      </c>
      <c r="AK40" s="22" t="n">
        <v>1248</v>
      </c>
      <c r="AL40" s="22" t="n">
        <v>1227</v>
      </c>
      <c r="AM40" s="22" t="n">
        <v>1306</v>
      </c>
      <c r="AN40" s="22" t="n">
        <v>1315.5</v>
      </c>
      <c r="AO40" s="22" t="n">
        <v>1325</v>
      </c>
      <c r="AP40" s="22" t="n">
        <v>1334.5</v>
      </c>
      <c r="AQ40" s="22" t="n">
        <v>1333.5</v>
      </c>
      <c r="AR40" s="22" t="n">
        <v>1329.5</v>
      </c>
      <c r="AS40" s="22" t="n">
        <v>1382</v>
      </c>
      <c r="AT40" s="22" t="n">
        <v>1351</v>
      </c>
      <c r="AU40" s="22" t="n">
        <v>1316.5</v>
      </c>
      <c r="AV40" s="22" t="n">
        <v>1295</v>
      </c>
      <c r="AW40" s="22" t="n">
        <v>1305</v>
      </c>
      <c r="AX40" s="22" t="n">
        <v>1304.5</v>
      </c>
      <c r="AY40" s="22" t="n">
        <v>1317</v>
      </c>
      <c r="AZ40" s="22" t="n">
        <v>1265</v>
      </c>
      <c r="BA40" s="22" t="n">
        <v>1255.5</v>
      </c>
      <c r="BB40" s="22" t="n">
        <v>1260</v>
      </c>
      <c r="BC40" s="22" t="n">
        <v>1245</v>
      </c>
      <c r="BD40" s="22" t="n">
        <v>1235.5</v>
      </c>
      <c r="BE40" s="22" t="n">
        <v>1190</v>
      </c>
      <c r="BF40" s="22" t="n">
        <v>1182.5</v>
      </c>
      <c r="BG40" s="22" t="n">
        <v>1235</v>
      </c>
      <c r="BH40" s="22" t="n">
        <v>1246.5</v>
      </c>
      <c r="BI40" s="22" t="n">
        <v>1257.5</v>
      </c>
      <c r="BJ40" s="22" t="n">
        <v>1216.5</v>
      </c>
      <c r="BK40" s="22" t="n">
        <v>1197</v>
      </c>
      <c r="BL40" s="22" t="n">
        <v>1207</v>
      </c>
    </row>
    <row r="41" ht="15.95" customHeight="1" s="574">
      <c r="A41" s="68" t="inlineStr">
        <is>
          <t>3861</t>
        </is>
      </c>
      <c r="B41" s="44" t="inlineStr">
        <is>
          <t>王子ホールディングス</t>
        </is>
      </c>
      <c r="C41" s="669">
        <f>_xll.RssMarket("3861","安値")</f>
        <v/>
      </c>
      <c r="D41" s="661">
        <f>C41-E41</f>
        <v/>
      </c>
      <c r="E41" s="22" t="n">
        <v>789.6</v>
      </c>
      <c r="F41" s="22" t="n">
        <v>787.6</v>
      </c>
      <c r="G41" s="22" t="n">
        <v>797.6</v>
      </c>
      <c r="H41" s="22" t="n">
        <v>796.8</v>
      </c>
      <c r="I41" s="22" t="n">
        <v>787.2</v>
      </c>
      <c r="J41" s="22" t="n">
        <v>797.3</v>
      </c>
      <c r="K41" s="22" t="n">
        <v>783.7</v>
      </c>
      <c r="L41" s="22" t="n">
        <v>776.7</v>
      </c>
      <c r="M41" s="22" t="n">
        <v>770.2</v>
      </c>
      <c r="N41" s="22" t="n">
        <v>770.5</v>
      </c>
      <c r="O41" s="22" t="n">
        <v>768.8</v>
      </c>
      <c r="P41" s="22" t="n">
        <v>774</v>
      </c>
      <c r="Q41" s="22" t="n">
        <v>766.6</v>
      </c>
      <c r="R41" s="22" t="n">
        <v>754.5</v>
      </c>
      <c r="S41" s="22" t="n">
        <v>779.6</v>
      </c>
      <c r="T41" s="22" t="n">
        <v>785.5</v>
      </c>
      <c r="U41" s="22" t="n">
        <v>768.6</v>
      </c>
      <c r="V41" s="22" t="n">
        <v>771</v>
      </c>
      <c r="W41" s="22" t="n">
        <v>777.1</v>
      </c>
      <c r="X41" s="22" t="n">
        <v>793.2</v>
      </c>
      <c r="Y41" s="22" t="n">
        <v>799</v>
      </c>
      <c r="Z41" s="22" t="n">
        <v>809.1</v>
      </c>
      <c r="AA41" s="22" t="n">
        <v>810</v>
      </c>
      <c r="AB41" s="22" t="n">
        <v>805.7</v>
      </c>
      <c r="AC41" s="22" t="n">
        <v>833.7</v>
      </c>
      <c r="AD41" s="22" t="n">
        <v>830.9</v>
      </c>
      <c r="AE41" s="22" t="n">
        <v>820</v>
      </c>
      <c r="AF41" s="22" t="n">
        <v>817.6</v>
      </c>
      <c r="AG41" s="22" t="n">
        <v>826.9</v>
      </c>
      <c r="AH41" s="22" t="n">
        <v>821.5</v>
      </c>
      <c r="AI41" s="22" t="n">
        <v>818.2</v>
      </c>
      <c r="AJ41" s="22" t="n">
        <v>813.3</v>
      </c>
      <c r="AK41" s="22" t="n">
        <v>815.2</v>
      </c>
      <c r="AL41" s="22" t="n">
        <v>815.2</v>
      </c>
      <c r="AM41" s="22" t="n">
        <v>818.8</v>
      </c>
      <c r="AN41" s="22" t="n">
        <v>815</v>
      </c>
      <c r="AO41" s="22" t="n">
        <v>833.6</v>
      </c>
      <c r="AP41" s="22" t="n">
        <v>835.7</v>
      </c>
      <c r="AQ41" s="22" t="n">
        <v>839.5</v>
      </c>
      <c r="AR41" s="22" t="n">
        <v>842.1</v>
      </c>
      <c r="AS41" s="22" t="n">
        <v>848</v>
      </c>
      <c r="AT41" s="22" t="n">
        <v>844.2</v>
      </c>
      <c r="AU41" s="22" t="n">
        <v>850</v>
      </c>
      <c r="AV41" s="22" t="n">
        <v>847.7</v>
      </c>
      <c r="AW41" s="22" t="n">
        <v>848.4</v>
      </c>
      <c r="AX41" s="22" t="n">
        <v>855</v>
      </c>
      <c r="AY41" s="22" t="n">
        <v>850.1</v>
      </c>
      <c r="AZ41" s="22" t="n">
        <v>846.6</v>
      </c>
      <c r="BA41" s="22" t="n">
        <v>849.6</v>
      </c>
      <c r="BB41" s="22" t="n">
        <v>844.3</v>
      </c>
      <c r="BC41" s="22" t="n">
        <v>844.3</v>
      </c>
      <c r="BD41" s="22" t="n">
        <v>843</v>
      </c>
      <c r="BE41" s="22" t="n">
        <v>836.3</v>
      </c>
      <c r="BF41" s="22" t="n">
        <v>824</v>
      </c>
      <c r="BG41" s="22" t="n">
        <v>861.1</v>
      </c>
      <c r="BH41" s="22" t="n">
        <v>851.3</v>
      </c>
      <c r="BI41" s="22" t="n">
        <v>871.7</v>
      </c>
      <c r="BJ41" s="22" t="n">
        <v>862.9</v>
      </c>
      <c r="BK41" s="22" t="n">
        <v>850</v>
      </c>
      <c r="BL41" s="22" t="n">
        <v>875.3</v>
      </c>
    </row>
    <row r="42" ht="15.95" customHeight="1" s="574">
      <c r="A42" s="68" t="inlineStr">
        <is>
          <t>5947</t>
        </is>
      </c>
      <c r="B42" s="44" t="inlineStr">
        <is>
          <t>リンナイ</t>
        </is>
      </c>
      <c r="C42" s="669">
        <f>_xll.RssMarket("5947","安値")</f>
        <v/>
      </c>
      <c r="D42" s="661">
        <f>C42-E42</f>
        <v/>
      </c>
      <c r="E42" s="22" t="n">
        <v>3423</v>
      </c>
      <c r="F42" s="22" t="n">
        <v>3421</v>
      </c>
      <c r="G42" s="22" t="n">
        <v>3420</v>
      </c>
      <c r="H42" s="22" t="n">
        <v>3428</v>
      </c>
      <c r="I42" s="22" t="n">
        <v>3392</v>
      </c>
      <c r="J42" s="22" t="n">
        <v>3461</v>
      </c>
      <c r="K42" s="22" t="n">
        <v>3483</v>
      </c>
      <c r="L42" s="22" t="n">
        <v>3500</v>
      </c>
      <c r="M42" s="22" t="n">
        <v>3522</v>
      </c>
      <c r="N42" s="22" t="n">
        <v>3455</v>
      </c>
      <c r="O42" s="22" t="n">
        <v>3450</v>
      </c>
      <c r="P42" s="22" t="n">
        <v>3377</v>
      </c>
      <c r="Q42" s="22" t="n">
        <v>3326</v>
      </c>
      <c r="R42" s="22" t="n">
        <v>3251</v>
      </c>
      <c r="S42" s="22" t="n">
        <v>3393</v>
      </c>
      <c r="T42" s="22" t="n">
        <v>3405</v>
      </c>
      <c r="U42" s="22" t="n">
        <v>3403</v>
      </c>
      <c r="V42" s="22" t="n">
        <v>3420</v>
      </c>
      <c r="W42" s="22" t="n">
        <v>3475</v>
      </c>
      <c r="X42" s="22" t="n">
        <v>3528</v>
      </c>
      <c r="Y42" s="22" t="n">
        <v>3522</v>
      </c>
      <c r="Z42" s="22" t="n">
        <v>3510</v>
      </c>
      <c r="AA42" s="22" t="n">
        <v>3427</v>
      </c>
      <c r="AB42" s="22" t="n">
        <v>3394</v>
      </c>
      <c r="AC42" s="22" t="n">
        <v>3322</v>
      </c>
      <c r="AD42" s="22" t="n">
        <v>3211</v>
      </c>
      <c r="AE42" s="22" t="n">
        <v>3553</v>
      </c>
      <c r="AF42" s="22" t="n">
        <v>3574</v>
      </c>
      <c r="AG42" s="22" t="n">
        <v>3647</v>
      </c>
      <c r="AH42" s="22" t="n">
        <v>3553</v>
      </c>
      <c r="AI42" s="22" t="n">
        <v>3507</v>
      </c>
      <c r="AJ42" s="22" t="n">
        <v>3536</v>
      </c>
      <c r="AK42" s="22" t="n">
        <v>3492</v>
      </c>
      <c r="AL42" s="22" t="n">
        <v>3481</v>
      </c>
      <c r="AM42" s="22" t="n">
        <v>3478</v>
      </c>
      <c r="AN42" s="22" t="n">
        <v>3479</v>
      </c>
      <c r="AO42" s="22" t="n">
        <v>3486</v>
      </c>
      <c r="AP42" s="22" t="n">
        <v>3518</v>
      </c>
      <c r="AQ42" s="22" t="n">
        <v>3492</v>
      </c>
      <c r="AR42" s="22" t="n">
        <v>3523</v>
      </c>
      <c r="AS42" s="22" t="n">
        <v>3568</v>
      </c>
      <c r="AT42" s="22" t="n">
        <v>3557</v>
      </c>
      <c r="AU42" s="22" t="n">
        <v>3697</v>
      </c>
      <c r="AV42" s="22" t="n">
        <v>3720</v>
      </c>
      <c r="AW42" s="22" t="n">
        <v>3731</v>
      </c>
      <c r="AX42" s="22" t="n">
        <v>3703</v>
      </c>
      <c r="AY42" s="22" t="n">
        <v>3658</v>
      </c>
      <c r="AZ42" s="22" t="n">
        <v>3655</v>
      </c>
      <c r="BA42" s="22" t="n">
        <v>3648</v>
      </c>
      <c r="BB42" s="22" t="n">
        <v>3656</v>
      </c>
      <c r="BC42" s="22" t="n">
        <v>3694</v>
      </c>
      <c r="BD42" s="22" t="n">
        <v>3623</v>
      </c>
      <c r="BE42" s="22" t="n">
        <v>3587</v>
      </c>
      <c r="BF42" s="22" t="n">
        <v>3734</v>
      </c>
      <c r="BG42" s="22" t="n">
        <v>3693</v>
      </c>
      <c r="BH42" s="22" t="n">
        <v>3731</v>
      </c>
      <c r="BI42" s="22" t="n">
        <v>3658</v>
      </c>
      <c r="BJ42" s="22" t="n">
        <v>3601</v>
      </c>
      <c r="BK42" s="22" t="n">
        <v>3656</v>
      </c>
      <c r="BL42" s="22" t="n">
        <v>3745</v>
      </c>
    </row>
    <row r="43" ht="15.95" customHeight="1" s="574">
      <c r="A43" s="68" t="inlineStr">
        <is>
          <t>8750</t>
        </is>
      </c>
      <c r="B43" s="44" t="inlineStr">
        <is>
          <t>第一ライフグループ</t>
        </is>
      </c>
      <c r="C43" s="669">
        <f>_xll.RssMarket("8750","安値")</f>
        <v/>
      </c>
      <c r="D43" s="661">
        <f>C43-E43</f>
        <v/>
      </c>
      <c r="E43" s="22" t="n">
        <v>1790</v>
      </c>
      <c r="F43" s="22" t="n">
        <v>1800</v>
      </c>
      <c r="G43" s="22" t="n">
        <v>1786.5</v>
      </c>
      <c r="H43" s="22" t="n">
        <v>1788.5</v>
      </c>
      <c r="I43" s="22" t="n">
        <v>1756.5</v>
      </c>
      <c r="J43" s="22" t="n">
        <v>1758.5</v>
      </c>
      <c r="K43" s="22" t="n">
        <v>1734.5</v>
      </c>
      <c r="L43" s="22" t="n">
        <v>1704</v>
      </c>
      <c r="M43" s="22" t="n">
        <v>1726</v>
      </c>
      <c r="N43" s="22" t="n">
        <v>1623</v>
      </c>
      <c r="O43" s="22" t="n">
        <v>1657</v>
      </c>
      <c r="P43" s="22" t="n">
        <v>1606</v>
      </c>
      <c r="Q43" s="22" t="n">
        <v>1626.5</v>
      </c>
      <c r="R43" s="22" t="n">
        <v>1587</v>
      </c>
      <c r="S43" s="22" t="n">
        <v>1605</v>
      </c>
      <c r="T43" s="22" t="n">
        <v>1615</v>
      </c>
      <c r="U43" s="22" t="n">
        <v>1648.5</v>
      </c>
      <c r="V43" s="22" t="n">
        <v>1640</v>
      </c>
      <c r="W43" s="22" t="n">
        <v>1625.5</v>
      </c>
      <c r="X43" s="22" t="n">
        <v>1632</v>
      </c>
      <c r="Y43" s="22" t="n">
        <v>1619</v>
      </c>
      <c r="Z43" s="22" t="n">
        <v>1594.5</v>
      </c>
      <c r="AA43" s="22" t="n">
        <v>1594</v>
      </c>
      <c r="AB43" s="22" t="n">
        <v>1474</v>
      </c>
      <c r="AC43" s="22" t="n">
        <v>1479.5</v>
      </c>
      <c r="AD43" s="22" t="n">
        <v>1476</v>
      </c>
      <c r="AE43" s="22" t="n">
        <v>1471.5</v>
      </c>
      <c r="AF43" s="22" t="n">
        <v>1421.5</v>
      </c>
      <c r="AG43" s="22" t="n">
        <v>1416</v>
      </c>
      <c r="AH43" s="22" t="n">
        <v>1433</v>
      </c>
      <c r="AI43" s="22" t="n">
        <v>1408.5</v>
      </c>
      <c r="AJ43" s="22" t="n">
        <v>1411</v>
      </c>
      <c r="AK43" s="22" t="n">
        <v>1395</v>
      </c>
      <c r="AL43" s="22" t="n">
        <v>1371</v>
      </c>
      <c r="AM43" s="22" t="n">
        <v>1396.5</v>
      </c>
      <c r="AN43" s="22" t="n">
        <v>1391</v>
      </c>
      <c r="AO43" s="22" t="n">
        <v>1424</v>
      </c>
      <c r="AP43" s="22" t="n">
        <v>1439</v>
      </c>
      <c r="AQ43" s="22" t="n">
        <v>1446.5</v>
      </c>
      <c r="AR43" s="22" t="n">
        <v>1454</v>
      </c>
      <c r="AS43" s="22" t="n">
        <v>1490</v>
      </c>
      <c r="AT43" s="22" t="n">
        <v>1481</v>
      </c>
      <c r="AU43" s="22" t="n">
        <v>1476</v>
      </c>
      <c r="AV43" s="22" t="n">
        <v>1463</v>
      </c>
      <c r="AW43" s="22" t="n">
        <v>1482</v>
      </c>
      <c r="AX43" s="22" t="n">
        <v>1490.5</v>
      </c>
      <c r="AY43" s="22" t="n">
        <v>1505</v>
      </c>
      <c r="AZ43" s="22" t="n">
        <v>1463</v>
      </c>
      <c r="BA43" s="22" t="n">
        <v>1441</v>
      </c>
      <c r="BB43" s="22" t="n">
        <v>1463</v>
      </c>
      <c r="BC43" s="22" t="n">
        <v>1463.5</v>
      </c>
      <c r="BD43" s="22" t="n">
        <v>1473</v>
      </c>
      <c r="BE43" s="22" t="n">
        <v>1401.5</v>
      </c>
      <c r="BF43" s="22" t="n">
        <v>1367.5</v>
      </c>
      <c r="BG43" s="22" t="n">
        <v>1437</v>
      </c>
      <c r="BH43" s="22" t="n">
        <v>1413</v>
      </c>
      <c r="BI43" s="22" t="n">
        <v>1432.5</v>
      </c>
      <c r="BJ43" s="22" t="n">
        <v>1386</v>
      </c>
      <c r="BK43" s="22" t="n">
        <v>1343.5</v>
      </c>
      <c r="BL43" s="22" t="n">
        <v>1400</v>
      </c>
    </row>
    <row r="44" ht="15.95" customHeight="1" s="574">
      <c r="A44" s="68" t="inlineStr">
        <is>
          <t>3402</t>
        </is>
      </c>
      <c r="B44" s="44" t="inlineStr">
        <is>
          <t>東レ</t>
        </is>
      </c>
      <c r="C44" s="669">
        <f>_xll.RssMarket("3402","安値")</f>
        <v/>
      </c>
      <c r="D44" s="661">
        <f>C44-E44</f>
        <v/>
      </c>
      <c r="E44" s="22" t="n">
        <v>1145</v>
      </c>
      <c r="F44" s="22" t="n">
        <v>1154.5</v>
      </c>
      <c r="G44" s="22" t="n">
        <v>1180</v>
      </c>
      <c r="H44" s="22" t="n">
        <v>1170</v>
      </c>
      <c r="I44" s="22" t="n">
        <v>1172</v>
      </c>
      <c r="J44" s="22" t="n">
        <v>1188.5</v>
      </c>
      <c r="K44" s="22" t="n">
        <v>1126</v>
      </c>
      <c r="L44" s="22" t="n">
        <v>1097.5</v>
      </c>
      <c r="M44" s="22" t="n">
        <v>1091.5</v>
      </c>
      <c r="N44" s="22" t="n">
        <v>1081.5</v>
      </c>
      <c r="O44" s="22" t="n">
        <v>1092</v>
      </c>
      <c r="P44" s="22" t="n">
        <v>1100</v>
      </c>
      <c r="Q44" s="22" t="n">
        <v>1152</v>
      </c>
      <c r="R44" s="22" t="n">
        <v>1107.5</v>
      </c>
      <c r="S44" s="22" t="n">
        <v>1138</v>
      </c>
      <c r="T44" s="22" t="n">
        <v>1116.5</v>
      </c>
      <c r="U44" s="22" t="n">
        <v>1140.5</v>
      </c>
      <c r="V44" s="22" t="n">
        <v>1099</v>
      </c>
      <c r="W44" s="22" t="n">
        <v>1079.5</v>
      </c>
      <c r="X44" s="22" t="n">
        <v>1084</v>
      </c>
      <c r="Y44" s="22" t="n">
        <v>1056</v>
      </c>
      <c r="Z44" s="22" t="n">
        <v>1071.5</v>
      </c>
      <c r="AA44" s="22" t="n">
        <v>1074.5</v>
      </c>
      <c r="AB44" s="22" t="n">
        <v>1142</v>
      </c>
      <c r="AC44" s="22" t="n">
        <v>1158</v>
      </c>
      <c r="AD44" s="22" t="n">
        <v>1102</v>
      </c>
      <c r="AE44" s="22" t="n">
        <v>1129.5</v>
      </c>
      <c r="AF44" s="22" t="n">
        <v>1119</v>
      </c>
      <c r="AG44" s="22" t="n">
        <v>1110.5</v>
      </c>
      <c r="AH44" s="22" t="n">
        <v>1118.5</v>
      </c>
      <c r="AI44" s="22" t="n">
        <v>1104</v>
      </c>
      <c r="AJ44" s="22" t="n">
        <v>1101.5</v>
      </c>
      <c r="AK44" s="22" t="n">
        <v>1123</v>
      </c>
      <c r="AL44" s="22" t="n">
        <v>1094</v>
      </c>
      <c r="AM44" s="22" t="n">
        <v>1105</v>
      </c>
      <c r="AN44" s="22" t="n">
        <v>1100.5</v>
      </c>
      <c r="AO44" s="22" t="n">
        <v>1121</v>
      </c>
      <c r="AP44" s="22" t="n">
        <v>1145</v>
      </c>
      <c r="AQ44" s="22" t="n">
        <v>1145.5</v>
      </c>
      <c r="AR44" s="22" t="n">
        <v>1153</v>
      </c>
      <c r="AS44" s="22" t="n">
        <v>1143</v>
      </c>
      <c r="AT44" s="22" t="n">
        <v>1143.5</v>
      </c>
      <c r="AU44" s="22" t="n">
        <v>1145</v>
      </c>
      <c r="AV44" s="22" t="n">
        <v>1150</v>
      </c>
      <c r="AW44" s="22" t="n">
        <v>1161</v>
      </c>
      <c r="AX44" s="22" t="n">
        <v>1170.5</v>
      </c>
      <c r="AY44" s="22" t="n">
        <v>1161.5</v>
      </c>
      <c r="AZ44" s="22" t="n">
        <v>1115</v>
      </c>
      <c r="BA44" s="22" t="n">
        <v>1125</v>
      </c>
      <c r="BB44" s="22" t="n">
        <v>1119</v>
      </c>
      <c r="BC44" s="22" t="n">
        <v>1121.5</v>
      </c>
      <c r="BD44" s="22" t="n">
        <v>1130.5</v>
      </c>
      <c r="BE44" s="22" t="n">
        <v>1082.5</v>
      </c>
      <c r="BF44" s="22" t="n">
        <v>1051</v>
      </c>
      <c r="BG44" s="22" t="n">
        <v>1101.5</v>
      </c>
      <c r="BH44" s="22" t="n">
        <v>1106</v>
      </c>
      <c r="BI44" s="22" t="n">
        <v>1104.5</v>
      </c>
      <c r="BJ44" s="22" t="n">
        <v>1064</v>
      </c>
      <c r="BK44" s="22" t="n">
        <v>1037</v>
      </c>
      <c r="BL44" s="22" t="n">
        <v>1093</v>
      </c>
    </row>
    <row r="45" ht="15.95" customHeight="1" s="574">
      <c r="A45" s="68" t="inlineStr">
        <is>
          <t>8306</t>
        </is>
      </c>
      <c r="B45" s="44" t="inlineStr">
        <is>
          <t>三菱ＵＦＪフィナンシャルＧ</t>
        </is>
      </c>
      <c r="C45" s="669">
        <f>_xll.RssMarket("8306","安値")</f>
        <v/>
      </c>
      <c r="D45" s="661">
        <f>C45-E45</f>
        <v/>
      </c>
      <c r="E45" s="22" t="n">
        <v>3239</v>
      </c>
      <c r="F45" s="22" t="n">
        <v>3258</v>
      </c>
      <c r="G45" s="22" t="n">
        <v>3317</v>
      </c>
      <c r="H45" s="22" t="n">
        <v>3260</v>
      </c>
      <c r="I45" s="22" t="n">
        <v>3186</v>
      </c>
      <c r="J45" s="22" t="n">
        <v>3225</v>
      </c>
      <c r="K45" s="22" t="n">
        <v>3129</v>
      </c>
      <c r="L45" s="22" t="n">
        <v>3080</v>
      </c>
      <c r="M45" s="22" t="n">
        <v>3171</v>
      </c>
      <c r="N45" s="22" t="n">
        <v>3135</v>
      </c>
      <c r="O45" s="22" t="n">
        <v>3202</v>
      </c>
      <c r="P45" s="22" t="n">
        <v>3081</v>
      </c>
      <c r="Q45" s="22" t="n">
        <v>3052</v>
      </c>
      <c r="R45" s="22" t="n">
        <v>2972.5</v>
      </c>
      <c r="S45" s="22" t="n">
        <v>2984</v>
      </c>
      <c r="T45" s="22" t="n">
        <v>2964</v>
      </c>
      <c r="U45" s="22" t="n">
        <v>3017</v>
      </c>
      <c r="V45" s="22" t="n">
        <v>3043</v>
      </c>
      <c r="W45" s="22" t="n">
        <v>3073</v>
      </c>
      <c r="X45" s="22" t="n">
        <v>3067</v>
      </c>
      <c r="Y45" s="22" t="n">
        <v>3024</v>
      </c>
      <c r="Z45" s="22" t="n">
        <v>3026</v>
      </c>
      <c r="AA45" s="22" t="n">
        <v>2973</v>
      </c>
      <c r="AB45" s="22" t="n">
        <v>2877.5</v>
      </c>
      <c r="AC45" s="22" t="n">
        <v>2875</v>
      </c>
      <c r="AD45" s="22" t="n">
        <v>2863</v>
      </c>
      <c r="AE45" s="22" t="n">
        <v>2846</v>
      </c>
      <c r="AF45" s="22" t="n">
        <v>2801.5</v>
      </c>
      <c r="AG45" s="22" t="n">
        <v>2788</v>
      </c>
      <c r="AH45" s="22" t="n">
        <v>2817.5</v>
      </c>
      <c r="AI45" s="22" t="n">
        <v>2754</v>
      </c>
      <c r="AJ45" s="22" t="n">
        <v>2785</v>
      </c>
      <c r="AK45" s="22" t="n">
        <v>2796.5</v>
      </c>
      <c r="AL45" s="22" t="n">
        <v>2715</v>
      </c>
      <c r="AM45" s="22" t="n">
        <v>2740</v>
      </c>
      <c r="AN45" s="22" t="n">
        <v>2728</v>
      </c>
      <c r="AO45" s="22" t="n">
        <v>2772</v>
      </c>
      <c r="AP45" s="22" t="n">
        <v>2830.5</v>
      </c>
      <c r="AQ45" s="22" t="n">
        <v>2866</v>
      </c>
      <c r="AR45" s="22" t="n">
        <v>2847</v>
      </c>
      <c r="AS45" s="22" t="n">
        <v>2932</v>
      </c>
      <c r="AT45" s="22" t="n">
        <v>2865</v>
      </c>
      <c r="AU45" s="22" t="n">
        <v>2825</v>
      </c>
      <c r="AV45" s="22" t="n">
        <v>2829</v>
      </c>
      <c r="AW45" s="22" t="n">
        <v>2842</v>
      </c>
      <c r="AX45" s="22" t="n">
        <v>2830.5</v>
      </c>
      <c r="AY45" s="22" t="n">
        <v>2865</v>
      </c>
      <c r="AZ45" s="22" t="n">
        <v>2787.5</v>
      </c>
      <c r="BA45" s="22" t="n">
        <v>2770</v>
      </c>
      <c r="BB45" s="22" t="n">
        <v>2753</v>
      </c>
      <c r="BC45" s="22" t="n">
        <v>2732</v>
      </c>
      <c r="BD45" s="22" t="n">
        <v>2691</v>
      </c>
      <c r="BE45" s="22" t="n">
        <v>2573</v>
      </c>
      <c r="BF45" s="22" t="n">
        <v>2572</v>
      </c>
      <c r="BG45" s="22" t="n">
        <v>2676.5</v>
      </c>
      <c r="BH45" s="22" t="n">
        <v>2678.5</v>
      </c>
      <c r="BI45" s="22" t="n">
        <v>2694</v>
      </c>
      <c r="BJ45" s="22" t="n">
        <v>2596.5</v>
      </c>
      <c r="BK45" s="22" t="n">
        <v>2521</v>
      </c>
      <c r="BL45" s="22" t="n">
        <v>2670</v>
      </c>
    </row>
    <row r="46" ht="15.95" customHeight="1" s="574">
      <c r="A46" s="68" t="inlineStr">
        <is>
          <t>5401</t>
        </is>
      </c>
      <c r="B46" s="44" t="inlineStr">
        <is>
          <t>日本製鉄</t>
        </is>
      </c>
      <c r="C46" s="669">
        <f>_xll.RssMarket("5401","安値")</f>
        <v/>
      </c>
      <c r="D46" s="661">
        <f>C46-E46</f>
        <v/>
      </c>
      <c r="E46" s="22" t="n">
        <v>558</v>
      </c>
      <c r="F46" s="22" t="n">
        <v>558.3</v>
      </c>
      <c r="G46" s="22" t="n">
        <v>556.6</v>
      </c>
      <c r="H46" s="22" t="n">
        <v>564.5</v>
      </c>
      <c r="I46" s="22" t="n">
        <v>556.4</v>
      </c>
      <c r="J46" s="22" t="n">
        <v>540.1</v>
      </c>
      <c r="K46" s="22" t="n">
        <v>531.1</v>
      </c>
      <c r="L46" s="22" t="n">
        <v>535.4</v>
      </c>
      <c r="M46" s="22" t="n">
        <v>533.3</v>
      </c>
      <c r="N46" s="22" t="n">
        <v>543.5</v>
      </c>
      <c r="O46" s="22" t="n">
        <v>537.9</v>
      </c>
      <c r="P46" s="22" t="n">
        <v>538.1</v>
      </c>
      <c r="Q46" s="22" t="n">
        <v>536.4</v>
      </c>
      <c r="R46" s="22" t="n">
        <v>565</v>
      </c>
      <c r="S46" s="22" t="n">
        <v>559.6</v>
      </c>
      <c r="T46" s="22" t="n">
        <v>556.4</v>
      </c>
      <c r="U46" s="22" t="n">
        <v>550.4</v>
      </c>
      <c r="V46" s="22" t="n">
        <v>547.3</v>
      </c>
      <c r="W46" s="22" t="n">
        <v>542.5</v>
      </c>
      <c r="X46" s="22" t="n">
        <v>539</v>
      </c>
      <c r="Y46" s="22" t="n">
        <v>547.3</v>
      </c>
      <c r="Z46" s="22" t="n">
        <v>548.8</v>
      </c>
      <c r="AA46" s="22" t="n">
        <v>550.2</v>
      </c>
      <c r="AB46" s="22" t="n">
        <v>553.4</v>
      </c>
      <c r="AC46" s="22" t="n">
        <v>555.2</v>
      </c>
      <c r="AD46" s="22" t="n">
        <v>553.4</v>
      </c>
      <c r="AE46" s="22" t="n">
        <v>559.8</v>
      </c>
      <c r="AF46" s="22" t="n">
        <v>568.1</v>
      </c>
      <c r="AG46" s="22" t="n">
        <v>577.7</v>
      </c>
      <c r="AH46" s="22" t="n">
        <v>566.3</v>
      </c>
      <c r="AI46" s="22" t="n">
        <v>570.7</v>
      </c>
      <c r="AJ46" s="22" t="n">
        <v>571.1</v>
      </c>
      <c r="AK46" s="22" t="n">
        <v>568.6</v>
      </c>
      <c r="AL46" s="22" t="n">
        <v>571.3</v>
      </c>
      <c r="AM46" s="22" t="n">
        <v>577.6</v>
      </c>
      <c r="AN46" s="22" t="n">
        <v>586.8</v>
      </c>
      <c r="AO46" s="22" t="n">
        <v>592.2</v>
      </c>
      <c r="AP46" s="22" t="n">
        <v>595.5</v>
      </c>
      <c r="AQ46" s="22" t="n">
        <v>590.6</v>
      </c>
      <c r="AR46" s="22" t="n">
        <v>594.8</v>
      </c>
      <c r="AS46" s="22" t="n">
        <v>595.1</v>
      </c>
      <c r="AT46" s="22" t="n">
        <v>592</v>
      </c>
      <c r="AU46" s="22" t="n">
        <v>592.8</v>
      </c>
      <c r="AV46" s="22" t="n">
        <v>597.3</v>
      </c>
      <c r="AW46" s="22" t="n">
        <v>597.8</v>
      </c>
      <c r="AX46" s="22" t="n">
        <v>591.9</v>
      </c>
      <c r="AY46" s="22" t="n">
        <v>585.4</v>
      </c>
      <c r="AZ46" s="22" t="n">
        <v>581.6</v>
      </c>
      <c r="BA46" s="22" t="n">
        <v>584.5</v>
      </c>
      <c r="BB46" s="22" t="n">
        <v>581.5</v>
      </c>
      <c r="BC46" s="22" t="n">
        <v>581.9</v>
      </c>
      <c r="BD46" s="22" t="n">
        <v>572.3</v>
      </c>
      <c r="BE46" s="22" t="n">
        <v>571.5</v>
      </c>
      <c r="BF46" s="22" t="n">
        <v>594.1</v>
      </c>
      <c r="BG46" s="22" t="n">
        <v>590.3</v>
      </c>
      <c r="BH46" s="22" t="n">
        <v>593.7</v>
      </c>
      <c r="BI46" s="22" t="n">
        <v>586</v>
      </c>
      <c r="BJ46" s="22" t="n">
        <v>578.6</v>
      </c>
      <c r="BK46" s="22" t="n">
        <v>592.7</v>
      </c>
      <c r="BL46" s="22" t="n">
        <v>598.1</v>
      </c>
    </row>
    <row r="47" ht="15.95" customHeight="1" s="574">
      <c r="A47" s="68" t="inlineStr">
        <is>
          <t>8572</t>
        </is>
      </c>
      <c r="B47" s="44" t="inlineStr">
        <is>
          <t>アコム</t>
        </is>
      </c>
      <c r="C47" s="669">
        <f>_xll.RssMarket("8572","安値")</f>
        <v/>
      </c>
      <c r="D47" s="661">
        <f>C47-E47</f>
        <v/>
      </c>
      <c r="E47" s="22" t="n">
        <v>444.9</v>
      </c>
      <c r="F47" s="22" t="n">
        <v>444.3</v>
      </c>
      <c r="G47" s="22" t="n">
        <v>444.7</v>
      </c>
      <c r="H47" s="22" t="n">
        <v>449</v>
      </c>
      <c r="I47" s="22" t="n">
        <v>446.3</v>
      </c>
      <c r="J47" s="22" t="n">
        <v>453.2</v>
      </c>
      <c r="K47" s="22" t="n">
        <v>446.4</v>
      </c>
      <c r="L47" s="22" t="n">
        <v>446.8</v>
      </c>
      <c r="M47" s="22" t="n">
        <v>448.5</v>
      </c>
      <c r="N47" s="22" t="n">
        <v>440.5</v>
      </c>
      <c r="O47" s="22" t="n">
        <v>445</v>
      </c>
      <c r="P47" s="22" t="n">
        <v>441.8</v>
      </c>
      <c r="Q47" s="22" t="n">
        <v>445.9</v>
      </c>
      <c r="R47" s="22" t="n">
        <v>444.3</v>
      </c>
      <c r="S47" s="22" t="n">
        <v>466.4</v>
      </c>
      <c r="T47" s="22" t="n">
        <v>464.3</v>
      </c>
      <c r="U47" s="22" t="n">
        <v>463.4</v>
      </c>
      <c r="V47" s="22" t="n">
        <v>461.1</v>
      </c>
      <c r="W47" s="22" t="n">
        <v>463.6</v>
      </c>
      <c r="X47" s="22" t="n">
        <v>460.3</v>
      </c>
      <c r="Y47" s="22" t="n">
        <v>458.1</v>
      </c>
      <c r="Z47" s="22" t="n">
        <v>459.8</v>
      </c>
      <c r="AA47" s="22" t="n">
        <v>455.6</v>
      </c>
      <c r="AB47" s="22" t="n">
        <v>457</v>
      </c>
      <c r="AC47" s="22" t="n">
        <v>454.3</v>
      </c>
      <c r="AD47" s="22" t="n">
        <v>451.3</v>
      </c>
      <c r="AE47" s="22" t="n">
        <v>489.3</v>
      </c>
      <c r="AF47" s="22" t="n">
        <v>488</v>
      </c>
      <c r="AG47" s="22" t="n">
        <v>491.2</v>
      </c>
      <c r="AH47" s="22" t="n">
        <v>490.9</v>
      </c>
      <c r="AI47" s="22" t="n">
        <v>490.6</v>
      </c>
      <c r="AJ47" s="22" t="n">
        <v>496.1</v>
      </c>
      <c r="AK47" s="22" t="n">
        <v>495.4</v>
      </c>
      <c r="AL47" s="22" t="n">
        <v>495.3</v>
      </c>
      <c r="AM47" s="22" t="n">
        <v>496</v>
      </c>
      <c r="AN47" s="22" t="n">
        <v>499.1</v>
      </c>
      <c r="AO47" s="22" t="n">
        <v>510.8</v>
      </c>
      <c r="AP47" s="22" t="n">
        <v>501.5</v>
      </c>
      <c r="AQ47" s="22" t="n">
        <v>481.1</v>
      </c>
      <c r="AR47" s="22" t="n">
        <v>481.1</v>
      </c>
      <c r="AS47" s="22" t="n">
        <v>478.4</v>
      </c>
      <c r="AT47" s="22" t="n">
        <v>476.6</v>
      </c>
      <c r="AU47" s="22" t="n">
        <v>472.4</v>
      </c>
      <c r="AV47" s="22" t="n">
        <v>467.6</v>
      </c>
      <c r="AW47" s="22" t="n">
        <v>470</v>
      </c>
      <c r="AX47" s="22" t="n">
        <v>471.5</v>
      </c>
      <c r="AY47" s="22" t="n">
        <v>479.8</v>
      </c>
      <c r="AZ47" s="22" t="n">
        <v>471.5</v>
      </c>
      <c r="BA47" s="22" t="n">
        <v>471.8</v>
      </c>
      <c r="BB47" s="22" t="n">
        <v>470.8</v>
      </c>
      <c r="BC47" s="22" t="n">
        <v>469.9</v>
      </c>
      <c r="BD47" s="22" t="n">
        <v>468</v>
      </c>
      <c r="BE47" s="22" t="n">
        <v>457.1</v>
      </c>
      <c r="BF47" s="22" t="n">
        <v>450.3</v>
      </c>
      <c r="BG47" s="22" t="n">
        <v>476.3</v>
      </c>
      <c r="BH47" s="22" t="n">
        <v>474.8</v>
      </c>
      <c r="BI47" s="22" t="n">
        <v>478.6</v>
      </c>
      <c r="BJ47" s="22" t="n">
        <v>467.9</v>
      </c>
      <c r="BK47" s="22" t="n">
        <v>463</v>
      </c>
      <c r="BL47" s="22" t="n">
        <v>474.1</v>
      </c>
    </row>
    <row r="48" ht="15.95" customHeight="1" s="574">
      <c r="A48" s="68" t="inlineStr">
        <is>
          <t>3941</t>
        </is>
      </c>
      <c r="B48" s="44" t="inlineStr">
        <is>
          <t>レンゴー</t>
        </is>
      </c>
      <c r="C48" s="669">
        <f>_xll.RssMarket("3941","安値")</f>
        <v/>
      </c>
      <c r="D48" s="661">
        <f>C48-E48</f>
        <v/>
      </c>
      <c r="E48" s="22" t="n">
        <v>1398.5</v>
      </c>
      <c r="F48" s="22" t="n">
        <v>1417.5</v>
      </c>
      <c r="G48" s="22" t="n">
        <v>1403</v>
      </c>
      <c r="H48" s="22" t="n">
        <v>1400</v>
      </c>
      <c r="I48" s="22" t="n">
        <v>1391</v>
      </c>
      <c r="J48" s="22" t="n">
        <v>1374</v>
      </c>
      <c r="K48" s="22" t="n">
        <v>1351</v>
      </c>
      <c r="L48" s="22" t="n">
        <v>1386</v>
      </c>
      <c r="M48" s="22" t="n">
        <v>1351</v>
      </c>
      <c r="N48" s="22" t="n">
        <v>1383.5</v>
      </c>
      <c r="O48" s="22" t="n">
        <v>1360.5</v>
      </c>
      <c r="P48" s="22" t="n">
        <v>1394.5</v>
      </c>
      <c r="Q48" s="22" t="n">
        <v>1370</v>
      </c>
      <c r="R48" s="22" t="n">
        <v>1422.5</v>
      </c>
      <c r="S48" s="22" t="n">
        <v>1405.5</v>
      </c>
      <c r="T48" s="22" t="n">
        <v>1400.5</v>
      </c>
      <c r="U48" s="22" t="n">
        <v>1379.5</v>
      </c>
      <c r="V48" s="22" t="n">
        <v>1390.5</v>
      </c>
      <c r="W48" s="22" t="n">
        <v>1397.5</v>
      </c>
      <c r="X48" s="22" t="n">
        <v>1376.5</v>
      </c>
      <c r="Y48" s="22" t="n">
        <v>1390.5</v>
      </c>
      <c r="Z48" s="22" t="n">
        <v>1372.5</v>
      </c>
      <c r="AA48" s="22" t="n">
        <v>1380</v>
      </c>
      <c r="AB48" s="22" t="n">
        <v>1251.5</v>
      </c>
      <c r="AC48" s="22" t="n">
        <v>1227.5</v>
      </c>
      <c r="AD48" s="22" t="n">
        <v>1214</v>
      </c>
      <c r="AE48" s="22" t="n">
        <v>1216.5</v>
      </c>
      <c r="AF48" s="22" t="n">
        <v>1223.5</v>
      </c>
      <c r="AG48" s="22" t="n">
        <v>1212.5</v>
      </c>
      <c r="AH48" s="22" t="n">
        <v>1204.5</v>
      </c>
      <c r="AI48" s="22" t="n">
        <v>1217</v>
      </c>
      <c r="AJ48" s="22" t="n">
        <v>1252.5</v>
      </c>
      <c r="AK48" s="22" t="n">
        <v>1266</v>
      </c>
      <c r="AL48" s="22" t="n">
        <v>1263</v>
      </c>
      <c r="AM48" s="22" t="n">
        <v>1260.5</v>
      </c>
      <c r="AN48" s="22" t="n">
        <v>1290</v>
      </c>
      <c r="AO48" s="22" t="n">
        <v>1281.5</v>
      </c>
      <c r="AP48" s="22" t="n">
        <v>1252</v>
      </c>
      <c r="AQ48" s="22" t="n">
        <v>1245.5</v>
      </c>
      <c r="AR48" s="22" t="n">
        <v>1255</v>
      </c>
      <c r="AS48" s="22" t="n">
        <v>1253.5</v>
      </c>
      <c r="AT48" s="22" t="n">
        <v>1258.5</v>
      </c>
      <c r="AU48" s="22" t="n">
        <v>1259</v>
      </c>
      <c r="AV48" s="22" t="n">
        <v>1264.5</v>
      </c>
      <c r="AW48" s="22" t="n">
        <v>1278.5</v>
      </c>
      <c r="AX48" s="22" t="n">
        <v>1265</v>
      </c>
      <c r="AY48" s="22" t="n">
        <v>1244</v>
      </c>
      <c r="AZ48" s="22" t="n">
        <v>1240</v>
      </c>
      <c r="BA48" s="22" t="n">
        <v>1251</v>
      </c>
      <c r="BB48" s="22" t="n">
        <v>1249.5</v>
      </c>
      <c r="BC48" s="22" t="n">
        <v>1273.5</v>
      </c>
      <c r="BD48" s="22" t="n">
        <v>1238.5</v>
      </c>
      <c r="BE48" s="22" t="n">
        <v>1211.5</v>
      </c>
      <c r="BF48" s="22" t="n">
        <v>1279.5</v>
      </c>
      <c r="BG48" s="22" t="n">
        <v>1267.5</v>
      </c>
      <c r="BH48" s="22" t="n">
        <v>1268.5</v>
      </c>
      <c r="BI48" s="22" t="n">
        <v>1233</v>
      </c>
      <c r="BJ48" s="22" t="n">
        <v>1208.5</v>
      </c>
      <c r="BK48" s="22" t="n">
        <v>1254</v>
      </c>
      <c r="BL48" s="22" t="n">
        <v>1349.5</v>
      </c>
    </row>
    <row r="49" ht="15.95" customHeight="1" s="574">
      <c r="A49" s="68" t="inlineStr">
        <is>
          <t>5929</t>
        </is>
      </c>
      <c r="B49" s="44" t="inlineStr">
        <is>
          <t>三和ホールディングス</t>
        </is>
      </c>
      <c r="C49" s="669">
        <f>_xll.RssMarket("5929","安値")</f>
        <v/>
      </c>
      <c r="D49" s="661">
        <f>C49-E49</f>
        <v/>
      </c>
      <c r="E49" s="22" t="n">
        <v>3655</v>
      </c>
      <c r="F49" s="22" t="n">
        <v>3672</v>
      </c>
      <c r="G49" s="22" t="n">
        <v>3709</v>
      </c>
      <c r="H49" s="22" t="n">
        <v>3698</v>
      </c>
      <c r="I49" s="22" t="n">
        <v>3642</v>
      </c>
      <c r="J49" s="22" t="n">
        <v>3666</v>
      </c>
      <c r="K49" s="22" t="n">
        <v>3599</v>
      </c>
      <c r="L49" s="22" t="n">
        <v>3544</v>
      </c>
      <c r="M49" s="22" t="n">
        <v>3577</v>
      </c>
      <c r="N49" s="22" t="n">
        <v>3467</v>
      </c>
      <c r="O49" s="22" t="n">
        <v>3502</v>
      </c>
      <c r="P49" s="22" t="n">
        <v>3429</v>
      </c>
      <c r="Q49" s="22" t="n">
        <v>3306</v>
      </c>
      <c r="R49" s="22" t="n">
        <v>3326</v>
      </c>
      <c r="S49" s="22" t="n">
        <v>3512</v>
      </c>
      <c r="T49" s="22" t="n">
        <v>3400</v>
      </c>
      <c r="U49" s="22" t="n">
        <v>3307</v>
      </c>
      <c r="V49" s="22" t="n">
        <v>3279</v>
      </c>
      <c r="W49" s="22" t="n">
        <v>3258</v>
      </c>
      <c r="X49" s="22" t="n">
        <v>3297</v>
      </c>
      <c r="Y49" s="22" t="n">
        <v>3265</v>
      </c>
      <c r="Z49" s="22" t="n">
        <v>3303</v>
      </c>
      <c r="AA49" s="22" t="n">
        <v>3315</v>
      </c>
      <c r="AB49" s="22" t="n">
        <v>3430</v>
      </c>
      <c r="AC49" s="22" t="n">
        <v>3445</v>
      </c>
      <c r="AD49" s="22" t="n">
        <v>3462</v>
      </c>
      <c r="AE49" s="22" t="n">
        <v>3508</v>
      </c>
      <c r="AF49" s="22" t="n">
        <v>3591</v>
      </c>
      <c r="AG49" s="22" t="n">
        <v>3599</v>
      </c>
      <c r="AH49" s="22" t="n">
        <v>3547</v>
      </c>
      <c r="AI49" s="22" t="n">
        <v>3529</v>
      </c>
      <c r="AJ49" s="22" t="n">
        <v>3545</v>
      </c>
      <c r="AK49" s="22" t="n">
        <v>3625</v>
      </c>
      <c r="AL49" s="22" t="n">
        <v>3578</v>
      </c>
      <c r="AM49" s="22" t="n">
        <v>3578</v>
      </c>
      <c r="AN49" s="22" t="n">
        <v>3587</v>
      </c>
      <c r="AO49" s="22" t="n">
        <v>3624</v>
      </c>
      <c r="AP49" s="22" t="n">
        <v>3623</v>
      </c>
      <c r="AQ49" s="22" t="n">
        <v>3615</v>
      </c>
      <c r="AR49" s="22" t="n">
        <v>3599</v>
      </c>
      <c r="AS49" s="22" t="n">
        <v>3632</v>
      </c>
      <c r="AT49" s="22" t="n">
        <v>3707</v>
      </c>
      <c r="AU49" s="22" t="n">
        <v>3677</v>
      </c>
      <c r="AV49" s="22" t="n">
        <v>3644</v>
      </c>
      <c r="AW49" s="22" t="n">
        <v>3660</v>
      </c>
      <c r="AX49" s="22" t="n">
        <v>3687</v>
      </c>
      <c r="AY49" s="22" t="n">
        <v>3657</v>
      </c>
      <c r="AZ49" s="22" t="n">
        <v>3570</v>
      </c>
      <c r="BA49" s="22" t="n">
        <v>3539</v>
      </c>
      <c r="BB49" s="22" t="n">
        <v>3543</v>
      </c>
      <c r="BC49" s="22" t="n">
        <v>3560</v>
      </c>
      <c r="BD49" s="22" t="n">
        <v>3587</v>
      </c>
      <c r="BE49" s="22" t="n">
        <v>3504</v>
      </c>
      <c r="BF49" s="22" t="n">
        <v>3492</v>
      </c>
      <c r="BG49" s="22" t="n">
        <v>3640</v>
      </c>
      <c r="BH49" s="22" t="n">
        <v>3674</v>
      </c>
      <c r="BI49" s="22" t="n">
        <v>3676</v>
      </c>
      <c r="BJ49" s="22" t="n">
        <v>3569</v>
      </c>
      <c r="BK49" s="22" t="n">
        <v>3497</v>
      </c>
      <c r="BL49" s="22" t="n">
        <v>3617</v>
      </c>
    </row>
    <row r="50" ht="15.95" customHeight="1" s="574">
      <c r="A50" s="68" t="inlineStr">
        <is>
          <t>8316</t>
        </is>
      </c>
      <c r="B50" s="44" t="inlineStr">
        <is>
          <t>三井住友フィナンシャルＧ</t>
        </is>
      </c>
      <c r="C50" s="669">
        <f>_xll.RssMarket("8316","安値")</f>
        <v/>
      </c>
      <c r="D50" s="661">
        <f>C50-E50</f>
        <v/>
      </c>
      <c r="E50" s="22" t="n">
        <v>6456</v>
      </c>
      <c r="F50" s="22" t="n">
        <v>6471</v>
      </c>
      <c r="G50" s="22" t="n">
        <v>6573</v>
      </c>
      <c r="H50" s="22" t="n">
        <v>6450</v>
      </c>
      <c r="I50" s="22" t="n">
        <v>6363</v>
      </c>
      <c r="J50" s="22" t="n">
        <v>6495</v>
      </c>
      <c r="K50" s="22" t="n">
        <v>6309</v>
      </c>
      <c r="L50" s="22" t="n">
        <v>6077</v>
      </c>
      <c r="M50" s="22" t="n">
        <v>6207</v>
      </c>
      <c r="N50" s="22" t="n">
        <v>6028</v>
      </c>
      <c r="O50" s="22" t="n">
        <v>6213</v>
      </c>
      <c r="P50" s="22" t="n">
        <v>6005</v>
      </c>
      <c r="Q50" s="22" t="n">
        <v>6012</v>
      </c>
      <c r="R50" s="22" t="n">
        <v>5794</v>
      </c>
      <c r="S50" s="22" t="n">
        <v>5819</v>
      </c>
      <c r="T50" s="22" t="n">
        <v>5810</v>
      </c>
      <c r="U50" s="22" t="n">
        <v>5933</v>
      </c>
      <c r="V50" s="22" t="n">
        <v>5970</v>
      </c>
      <c r="W50" s="22" t="n">
        <v>5978</v>
      </c>
      <c r="X50" s="22" t="n">
        <v>6031</v>
      </c>
      <c r="Y50" s="22" t="n">
        <v>5842</v>
      </c>
      <c r="Z50" s="22" t="n">
        <v>5845</v>
      </c>
      <c r="AA50" s="22" t="n">
        <v>5703</v>
      </c>
      <c r="AB50" s="22" t="n">
        <v>5630</v>
      </c>
      <c r="AC50" s="22" t="n">
        <v>5644</v>
      </c>
      <c r="AD50" s="22" t="n">
        <v>5795</v>
      </c>
      <c r="AE50" s="22" t="n">
        <v>5676</v>
      </c>
      <c r="AF50" s="22" t="n">
        <v>5553</v>
      </c>
      <c r="AG50" s="22" t="n">
        <v>5498</v>
      </c>
      <c r="AH50" s="22" t="n">
        <v>5574</v>
      </c>
      <c r="AI50" s="22" t="n">
        <v>5431</v>
      </c>
      <c r="AJ50" s="22" t="n">
        <v>5420</v>
      </c>
      <c r="AK50" s="22" t="n">
        <v>5437</v>
      </c>
      <c r="AL50" s="22" t="n">
        <v>5268</v>
      </c>
      <c r="AM50" s="22" t="n">
        <v>5298</v>
      </c>
      <c r="AN50" s="22" t="n">
        <v>5297</v>
      </c>
      <c r="AO50" s="22" t="n">
        <v>5388</v>
      </c>
      <c r="AP50" s="22" t="n">
        <v>5452</v>
      </c>
      <c r="AQ50" s="22" t="n">
        <v>5568</v>
      </c>
      <c r="AR50" s="22" t="n">
        <v>5559</v>
      </c>
      <c r="AS50" s="22" t="n">
        <v>5660</v>
      </c>
      <c r="AT50" s="22" t="n">
        <v>5611</v>
      </c>
      <c r="AU50" s="22" t="n">
        <v>5522</v>
      </c>
      <c r="AV50" s="22" t="n">
        <v>5520</v>
      </c>
      <c r="AW50" s="22" t="n">
        <v>5536</v>
      </c>
      <c r="AX50" s="22" t="n">
        <v>5546</v>
      </c>
      <c r="AY50" s="22" t="n">
        <v>5598</v>
      </c>
      <c r="AZ50" s="22" t="n">
        <v>5392</v>
      </c>
      <c r="BA50" s="22" t="n">
        <v>5368</v>
      </c>
      <c r="BB50" s="22" t="n">
        <v>5351</v>
      </c>
      <c r="BC50" s="22" t="n">
        <v>5342</v>
      </c>
      <c r="BD50" s="22" t="n">
        <v>5235</v>
      </c>
      <c r="BE50" s="22" t="n">
        <v>4955</v>
      </c>
      <c r="BF50" s="22" t="n">
        <v>4927</v>
      </c>
      <c r="BG50" s="22" t="n">
        <v>5188</v>
      </c>
      <c r="BH50" s="22" t="n">
        <v>5202</v>
      </c>
      <c r="BI50" s="22" t="n">
        <v>5262</v>
      </c>
      <c r="BJ50" s="22" t="n">
        <v>5047</v>
      </c>
      <c r="BK50" s="22" t="n">
        <v>4935</v>
      </c>
      <c r="BL50" s="22" t="n">
        <v>5128</v>
      </c>
    </row>
    <row r="51" ht="15.95" customHeight="1" s="574">
      <c r="A51" s="68" t="inlineStr">
        <is>
          <t>5449</t>
        </is>
      </c>
      <c r="B51" s="44" t="inlineStr">
        <is>
          <t>大阪製鐵</t>
        </is>
      </c>
      <c r="C51" s="669">
        <f>_xll.RssMarket("5449","安値")</f>
        <v/>
      </c>
      <c r="D51" s="661">
        <f>C51-E51</f>
        <v/>
      </c>
      <c r="E51" s="22" t="n">
        <v>2308</v>
      </c>
      <c r="F51" s="22" t="n">
        <v>2293</v>
      </c>
      <c r="G51" s="22" t="n">
        <v>2221</v>
      </c>
      <c r="H51" s="22" t="n">
        <v>2238</v>
      </c>
      <c r="I51" s="22" t="n">
        <v>2373</v>
      </c>
      <c r="J51" s="22" t="n">
        <v>2363</v>
      </c>
      <c r="K51" s="22" t="n">
        <v>2320</v>
      </c>
      <c r="L51" s="22" t="n">
        <v>2284</v>
      </c>
      <c r="M51" s="22" t="n">
        <v>2314</v>
      </c>
      <c r="N51" s="22" t="n">
        <v>2245</v>
      </c>
      <c r="O51" s="22" t="n">
        <v>2335</v>
      </c>
      <c r="P51" s="22" t="n">
        <v>2280</v>
      </c>
      <c r="Q51" s="22" t="n">
        <v>2321</v>
      </c>
      <c r="R51" s="22" t="n">
        <v>2307</v>
      </c>
      <c r="S51" s="22" t="n">
        <v>2557</v>
      </c>
      <c r="T51" s="22" t="n">
        <v>2552</v>
      </c>
      <c r="U51" s="22" t="n">
        <v>2381</v>
      </c>
      <c r="V51" s="22" t="n">
        <v>2325</v>
      </c>
      <c r="W51" s="22" t="n">
        <v>2308</v>
      </c>
      <c r="X51" s="22" t="n">
        <v>2239</v>
      </c>
      <c r="Y51" s="22" t="n">
        <v>2245</v>
      </c>
      <c r="Z51" s="22" t="n">
        <v>2251</v>
      </c>
      <c r="AA51" s="22" t="n">
        <v>2318</v>
      </c>
      <c r="AB51" s="22" t="n">
        <v>2311</v>
      </c>
      <c r="AC51" s="22" t="n">
        <v>2288</v>
      </c>
      <c r="AD51" s="22" t="n">
        <v>2469</v>
      </c>
      <c r="AE51" s="22" t="n">
        <v>2505</v>
      </c>
      <c r="AF51" s="22" t="n">
        <v>2489</v>
      </c>
      <c r="AG51" s="22" t="n">
        <v>2518</v>
      </c>
      <c r="AH51" s="22" t="n">
        <v>2429</v>
      </c>
      <c r="AI51" s="22" t="n">
        <v>2443</v>
      </c>
      <c r="AJ51" s="22" t="n">
        <v>2353</v>
      </c>
      <c r="AK51" s="22" t="n">
        <v>2306</v>
      </c>
      <c r="AL51" s="22" t="n">
        <v>2284</v>
      </c>
      <c r="AM51" s="22" t="n">
        <v>2297</v>
      </c>
      <c r="AN51" s="22" t="n">
        <v>2348</v>
      </c>
      <c r="AO51" s="22" t="n">
        <v>2384</v>
      </c>
      <c r="AP51" s="22" t="n">
        <v>2424</v>
      </c>
      <c r="AQ51" s="22" t="n">
        <v>2383</v>
      </c>
      <c r="AR51" s="22" t="n">
        <v>2405</v>
      </c>
      <c r="AS51" s="22" t="n">
        <v>2435</v>
      </c>
      <c r="AT51" s="22" t="n">
        <v>2368</v>
      </c>
      <c r="AU51" s="22" t="n">
        <v>2364</v>
      </c>
      <c r="AV51" s="22" t="n">
        <v>2481</v>
      </c>
      <c r="AW51" s="22" t="n">
        <v>2648</v>
      </c>
      <c r="AX51" s="22" t="n">
        <v>2694</v>
      </c>
      <c r="AY51" s="22" t="n">
        <v>2645</v>
      </c>
      <c r="AZ51" s="22" t="n">
        <v>2665</v>
      </c>
      <c r="BA51" s="22" t="n">
        <v>2685</v>
      </c>
      <c r="BB51" s="22" t="n">
        <v>2668</v>
      </c>
      <c r="BC51" s="22" t="n">
        <v>2719</v>
      </c>
      <c r="BD51" s="22" t="n">
        <v>2684</v>
      </c>
      <c r="BE51" s="22" t="n">
        <v>2652</v>
      </c>
      <c r="BF51" s="22" t="n">
        <v>2698</v>
      </c>
      <c r="BG51" s="22" t="n">
        <v>2666</v>
      </c>
      <c r="BH51" s="22" t="n">
        <v>2672</v>
      </c>
      <c r="BI51" s="22" t="n">
        <v>2633</v>
      </c>
      <c r="BJ51" s="22" t="n">
        <v>2585</v>
      </c>
      <c r="BK51" s="22" t="n">
        <v>2635</v>
      </c>
      <c r="BL51" s="22" t="n">
        <v>2641</v>
      </c>
    </row>
    <row r="52" ht="15.95" customHeight="1" s="574">
      <c r="A52" s="68" t="inlineStr">
        <is>
          <t>8766</t>
        </is>
      </c>
      <c r="B52" s="44" t="inlineStr">
        <is>
          <t>東京海上ＨＤ</t>
        </is>
      </c>
      <c r="C52" s="669">
        <f>_xll.RssMarket("8766","安値")</f>
        <v/>
      </c>
      <c r="D52" s="661">
        <f>C52-E52</f>
        <v/>
      </c>
      <c r="E52" s="22" t="n">
        <v>7120</v>
      </c>
      <c r="F52" s="22" t="n">
        <v>7186</v>
      </c>
      <c r="G52" s="22" t="n">
        <v>7260</v>
      </c>
      <c r="H52" s="22" t="n">
        <v>7252</v>
      </c>
      <c r="I52" s="22" t="n">
        <v>7190</v>
      </c>
      <c r="J52" s="22" t="n">
        <v>7210</v>
      </c>
      <c r="K52" s="22" t="n">
        <v>7310</v>
      </c>
      <c r="L52" s="22" t="n">
        <v>7326</v>
      </c>
      <c r="M52" s="22" t="n">
        <v>7368</v>
      </c>
      <c r="N52" s="22" t="n">
        <v>6952</v>
      </c>
      <c r="O52" s="22" t="n">
        <v>6960</v>
      </c>
      <c r="P52" s="22" t="n">
        <v>6891</v>
      </c>
      <c r="Q52" s="22" t="n">
        <v>7043</v>
      </c>
      <c r="R52" s="22" t="n">
        <v>6976</v>
      </c>
      <c r="S52" s="22" t="n">
        <v>7075</v>
      </c>
      <c r="T52" s="22" t="n">
        <v>7141</v>
      </c>
      <c r="U52" s="22" t="n">
        <v>7322</v>
      </c>
      <c r="V52" s="22" t="n">
        <v>7306</v>
      </c>
      <c r="W52" s="22" t="n">
        <v>7316</v>
      </c>
      <c r="X52" s="22" t="n">
        <v>7623</v>
      </c>
      <c r="Y52" s="22" t="n">
        <v>7808</v>
      </c>
      <c r="Z52" s="22" t="n">
        <v>7795</v>
      </c>
      <c r="AA52" s="22" t="n">
        <v>7592</v>
      </c>
      <c r="AB52" s="22" t="n">
        <v>7512</v>
      </c>
      <c r="AC52" s="22" t="n">
        <v>7321</v>
      </c>
      <c r="AD52" s="22" t="n">
        <v>7145</v>
      </c>
      <c r="AE52" s="22" t="n">
        <v>7125</v>
      </c>
      <c r="AF52" s="22" t="n">
        <v>6950</v>
      </c>
      <c r="AG52" s="22" t="n">
        <v>7030</v>
      </c>
      <c r="AH52" s="22" t="n">
        <v>7166</v>
      </c>
      <c r="AI52" s="22" t="n">
        <v>7048</v>
      </c>
      <c r="AJ52" s="22" t="n">
        <v>7125</v>
      </c>
      <c r="AK52" s="22" t="n">
        <v>7152</v>
      </c>
      <c r="AL52" s="22" t="n">
        <v>7081</v>
      </c>
      <c r="AM52" s="22" t="n">
        <v>7097</v>
      </c>
      <c r="AN52" s="22" t="n">
        <v>6934</v>
      </c>
      <c r="AO52" s="22" t="n">
        <v>7106</v>
      </c>
      <c r="AP52" s="22" t="n">
        <v>7159</v>
      </c>
      <c r="AQ52" s="22" t="n">
        <v>7033</v>
      </c>
      <c r="AR52" s="22" t="n">
        <v>6839</v>
      </c>
      <c r="AS52" s="22" t="n">
        <v>6894</v>
      </c>
      <c r="AT52" s="22" t="n">
        <v>6822</v>
      </c>
      <c r="AU52" s="22" t="n">
        <v>6913</v>
      </c>
      <c r="AV52" s="22" t="n">
        <v>6996</v>
      </c>
      <c r="AW52" s="22" t="n">
        <v>7025</v>
      </c>
      <c r="AX52" s="22" t="n">
        <v>7202</v>
      </c>
      <c r="AY52" s="22" t="n">
        <v>7370</v>
      </c>
      <c r="AZ52" s="22" t="n">
        <v>7277</v>
      </c>
      <c r="BA52" s="22" t="n">
        <v>7268</v>
      </c>
      <c r="BB52" s="22" t="n">
        <v>7223</v>
      </c>
      <c r="BC52" s="22" t="n">
        <v>7237</v>
      </c>
      <c r="BD52" s="22" t="n">
        <v>7333</v>
      </c>
      <c r="BE52" s="22" t="n">
        <v>7268</v>
      </c>
      <c r="BF52" s="22" t="n">
        <v>7150</v>
      </c>
      <c r="BG52" s="22" t="n">
        <v>7379</v>
      </c>
      <c r="BH52" s="22" t="n">
        <v>7497</v>
      </c>
      <c r="BI52" s="22" t="n">
        <v>7298</v>
      </c>
      <c r="BJ52" s="22" t="n">
        <v>6857</v>
      </c>
      <c r="BK52" s="22" t="n">
        <v>5788</v>
      </c>
      <c r="BL52" s="22" t="n">
        <v>5955</v>
      </c>
    </row>
    <row r="53" ht="15.95" customHeight="1" s="574">
      <c r="A53" s="68" t="inlineStr">
        <is>
          <t>5201</t>
        </is>
      </c>
      <c r="B53" s="44" t="inlineStr">
        <is>
          <t>ＡＧＣ</t>
        </is>
      </c>
      <c r="C53" s="669">
        <f>_xll.RssMarket("5201","安値")</f>
        <v/>
      </c>
      <c r="D53" s="661">
        <f>C53-E53</f>
        <v/>
      </c>
      <c r="E53" s="22" t="n">
        <v>7520</v>
      </c>
      <c r="F53" s="22" t="n">
        <v>7561</v>
      </c>
      <c r="G53" s="22" t="n">
        <v>7373</v>
      </c>
      <c r="H53" s="22" t="n">
        <v>7190</v>
      </c>
      <c r="I53" s="22" t="n">
        <v>7270</v>
      </c>
      <c r="J53" s="22" t="n">
        <v>7156</v>
      </c>
      <c r="K53" s="22" t="n">
        <v>6986</v>
      </c>
      <c r="L53" s="22" t="n">
        <v>6636</v>
      </c>
      <c r="M53" s="22" t="n">
        <v>6907</v>
      </c>
      <c r="N53" s="22" t="n">
        <v>7130</v>
      </c>
      <c r="O53" s="22" t="n">
        <v>7659</v>
      </c>
      <c r="P53" s="22" t="n">
        <v>7519</v>
      </c>
      <c r="Q53" s="22" t="n">
        <v>6990</v>
      </c>
      <c r="R53" s="22" t="n">
        <v>6840</v>
      </c>
      <c r="S53" s="22" t="n">
        <v>6772</v>
      </c>
      <c r="T53" s="22" t="n">
        <v>7011</v>
      </c>
      <c r="U53" s="22" t="n">
        <v>6480</v>
      </c>
      <c r="V53" s="22" t="n">
        <v>6225</v>
      </c>
      <c r="W53" s="22" t="n">
        <v>6067</v>
      </c>
      <c r="X53" s="22" t="n">
        <v>5992</v>
      </c>
      <c r="Y53" s="22" t="n">
        <v>6177</v>
      </c>
      <c r="Z53" s="22" t="n">
        <v>5861</v>
      </c>
      <c r="AA53" s="22" t="n">
        <v>5923</v>
      </c>
      <c r="AB53" s="22" t="n">
        <v>6020</v>
      </c>
      <c r="AC53" s="22" t="n">
        <v>5929</v>
      </c>
      <c r="AD53" s="22" t="n">
        <v>5623</v>
      </c>
      <c r="AE53" s="22" t="n">
        <v>5573</v>
      </c>
      <c r="AF53" s="22" t="n">
        <v>5512</v>
      </c>
      <c r="AG53" s="22" t="n">
        <v>5550</v>
      </c>
      <c r="AH53" s="22" t="n">
        <v>5470</v>
      </c>
      <c r="AI53" s="22" t="n">
        <v>5559</v>
      </c>
      <c r="AJ53" s="22" t="n">
        <v>5697</v>
      </c>
      <c r="AK53" s="22" t="n">
        <v>5577</v>
      </c>
      <c r="AL53" s="22" t="n">
        <v>5616</v>
      </c>
      <c r="AM53" s="22" t="n">
        <v>5546</v>
      </c>
      <c r="AN53" s="22" t="n">
        <v>5662</v>
      </c>
      <c r="AO53" s="22" t="n">
        <v>5739</v>
      </c>
      <c r="AP53" s="22" t="n">
        <v>5727</v>
      </c>
      <c r="AQ53" s="22" t="n">
        <v>5669</v>
      </c>
      <c r="AR53" s="22" t="n">
        <v>5642</v>
      </c>
      <c r="AS53" s="22" t="n">
        <v>5585</v>
      </c>
      <c r="AT53" s="22" t="n">
        <v>5627</v>
      </c>
      <c r="AU53" s="22" t="n">
        <v>5682</v>
      </c>
      <c r="AV53" s="22" t="n">
        <v>5827</v>
      </c>
      <c r="AW53" s="22" t="n">
        <v>5859</v>
      </c>
      <c r="AX53" s="22" t="n">
        <v>5781</v>
      </c>
      <c r="AY53" s="22" t="n">
        <v>5555</v>
      </c>
      <c r="AZ53" s="22" t="n">
        <v>5541</v>
      </c>
      <c r="BA53" s="22" t="n">
        <v>5577</v>
      </c>
      <c r="BB53" s="22" t="n">
        <v>5625</v>
      </c>
      <c r="BC53" s="22" t="n">
        <v>5605</v>
      </c>
      <c r="BD53" s="22" t="n">
        <v>5360</v>
      </c>
      <c r="BE53" s="22" t="n">
        <v>5290</v>
      </c>
      <c r="BF53" s="22" t="n">
        <v>5500</v>
      </c>
      <c r="BG53" s="22" t="n">
        <v>5551</v>
      </c>
      <c r="BH53" s="22" t="n">
        <v>5567</v>
      </c>
      <c r="BI53" s="22" t="n">
        <v>5431</v>
      </c>
      <c r="BJ53" s="22" t="n">
        <v>5291</v>
      </c>
      <c r="BK53" s="22" t="n">
        <v>5533</v>
      </c>
      <c r="BL53" s="22" t="n">
        <v>5662</v>
      </c>
    </row>
    <row r="54" ht="15.95" customHeight="1" s="574">
      <c r="A54" s="68" t="inlineStr">
        <is>
          <t>8630</t>
        </is>
      </c>
      <c r="B54" s="44" t="inlineStr">
        <is>
          <t>ＳＯＭＰＯホールディングス</t>
        </is>
      </c>
      <c r="C54" s="669">
        <f>_xll.RssMarket("8630","安値")</f>
        <v/>
      </c>
      <c r="D54" s="661">
        <f>C54-E54</f>
        <v/>
      </c>
      <c r="E54" s="22" t="n">
        <v>6232</v>
      </c>
      <c r="F54" s="22" t="n">
        <v>6292</v>
      </c>
      <c r="G54" s="22" t="n">
        <v>6250</v>
      </c>
      <c r="H54" s="22" t="n">
        <v>6194</v>
      </c>
      <c r="I54" s="22" t="n">
        <v>6169</v>
      </c>
      <c r="J54" s="22" t="n">
        <v>6150</v>
      </c>
      <c r="K54" s="22" t="n">
        <v>6040</v>
      </c>
      <c r="L54" s="22" t="n">
        <v>6112</v>
      </c>
      <c r="M54" s="22" t="n">
        <v>6115</v>
      </c>
      <c r="N54" s="22" t="n">
        <v>5880</v>
      </c>
      <c r="O54" s="22" t="n">
        <v>5827</v>
      </c>
      <c r="P54" s="22" t="n">
        <v>5736</v>
      </c>
      <c r="Q54" s="22" t="n">
        <v>5870</v>
      </c>
      <c r="R54" s="22" t="n">
        <v>5868</v>
      </c>
      <c r="S54" s="22" t="n">
        <v>5777</v>
      </c>
      <c r="T54" s="22" t="n">
        <v>5813</v>
      </c>
      <c r="U54" s="22" t="n">
        <v>5843</v>
      </c>
      <c r="V54" s="22" t="n">
        <v>5523</v>
      </c>
      <c r="W54" s="22" t="n">
        <v>5568</v>
      </c>
      <c r="X54" s="22" t="n">
        <v>5562</v>
      </c>
      <c r="Y54" s="22" t="n">
        <v>6145</v>
      </c>
      <c r="Z54" s="22" t="n">
        <v>6286</v>
      </c>
      <c r="AA54" s="22" t="n">
        <v>6053</v>
      </c>
      <c r="AB54" s="22" t="n">
        <v>6007</v>
      </c>
      <c r="AC54" s="22" t="n">
        <v>5977</v>
      </c>
      <c r="AD54" s="22" t="n">
        <v>5965</v>
      </c>
      <c r="AE54" s="22" t="n">
        <v>5789</v>
      </c>
      <c r="AF54" s="22" t="n">
        <v>5670</v>
      </c>
      <c r="AG54" s="22" t="n">
        <v>5717</v>
      </c>
      <c r="AH54" s="22" t="n">
        <v>5774</v>
      </c>
      <c r="AI54" s="22" t="n">
        <v>5615</v>
      </c>
      <c r="AJ54" s="22" t="n">
        <v>5676</v>
      </c>
      <c r="AK54" s="22" t="n">
        <v>5704</v>
      </c>
      <c r="AL54" s="22" t="n">
        <v>5620</v>
      </c>
      <c r="AM54" s="22" t="n">
        <v>5805</v>
      </c>
      <c r="AN54" s="22" t="n">
        <v>5734</v>
      </c>
      <c r="AO54" s="22" t="n">
        <v>5820</v>
      </c>
      <c r="AP54" s="22" t="n">
        <v>5870</v>
      </c>
      <c r="AQ54" s="22" t="n">
        <v>5872</v>
      </c>
      <c r="AR54" s="22" t="n">
        <v>5898</v>
      </c>
      <c r="AS54" s="22" t="n">
        <v>5950</v>
      </c>
      <c r="AT54" s="22" t="n">
        <v>5884</v>
      </c>
      <c r="AU54" s="22" t="n">
        <v>5875</v>
      </c>
      <c r="AV54" s="22" t="n">
        <v>5878</v>
      </c>
      <c r="AW54" s="22" t="n">
        <v>5967</v>
      </c>
      <c r="AX54" s="22" t="n">
        <v>5973</v>
      </c>
      <c r="AY54" s="22" t="n">
        <v>6163</v>
      </c>
      <c r="AZ54" s="22" t="n">
        <v>6041</v>
      </c>
      <c r="BA54" s="22" t="n">
        <v>6014</v>
      </c>
      <c r="BB54" s="22" t="n">
        <v>6011</v>
      </c>
      <c r="BC54" s="22" t="n">
        <v>6037</v>
      </c>
      <c r="BD54" s="22" t="n">
        <v>6092</v>
      </c>
      <c r="BE54" s="22" t="n">
        <v>6002</v>
      </c>
      <c r="BF54" s="22" t="n">
        <v>5813</v>
      </c>
      <c r="BG54" s="22" t="n">
        <v>6047</v>
      </c>
      <c r="BH54" s="22" t="n">
        <v>6037</v>
      </c>
      <c r="BI54" s="22" t="n">
        <v>5938</v>
      </c>
      <c r="BJ54" s="22" t="n">
        <v>5722</v>
      </c>
      <c r="BK54" s="22" t="n">
        <v>5607</v>
      </c>
      <c r="BL54" s="22" t="n">
        <v>5799</v>
      </c>
    </row>
    <row r="55" ht="15.95" customHeight="1" s="574">
      <c r="A55" s="68" t="inlineStr">
        <is>
          <t>5901</t>
        </is>
      </c>
      <c r="B55" s="44" t="inlineStr">
        <is>
          <t>東洋製罐グループＨＤ</t>
        </is>
      </c>
      <c r="C55" s="669">
        <f>_xll.RssMarket("5901","安値")</f>
        <v/>
      </c>
      <c r="D55" s="661">
        <f>C55-E55</f>
        <v/>
      </c>
      <c r="E55" s="22" t="n">
        <v>4076</v>
      </c>
      <c r="F55" s="22" t="n">
        <v>3987</v>
      </c>
      <c r="G55" s="22" t="n">
        <v>4050</v>
      </c>
      <c r="H55" s="22" t="n">
        <v>3964</v>
      </c>
      <c r="I55" s="22" t="n">
        <v>3958</v>
      </c>
      <c r="J55" s="22" t="n">
        <v>3945</v>
      </c>
      <c r="K55" s="22" t="n">
        <v>3861</v>
      </c>
      <c r="L55" s="22" t="n">
        <v>3791</v>
      </c>
      <c r="M55" s="22" t="n">
        <v>3804</v>
      </c>
      <c r="N55" s="22" t="n">
        <v>3753</v>
      </c>
      <c r="O55" s="22" t="n">
        <v>3741</v>
      </c>
      <c r="P55" s="22" t="n">
        <v>3786</v>
      </c>
      <c r="Q55" s="22" t="n">
        <v>3750</v>
      </c>
      <c r="R55" s="22" t="n">
        <v>3762</v>
      </c>
      <c r="S55" s="22" t="n">
        <v>3870</v>
      </c>
      <c r="T55" s="22" t="n">
        <v>3813</v>
      </c>
      <c r="U55" s="22" t="n">
        <v>3885</v>
      </c>
      <c r="V55" s="22" t="n">
        <v>3925</v>
      </c>
      <c r="W55" s="22" t="n">
        <v>3961</v>
      </c>
      <c r="X55" s="22" t="n">
        <v>4088</v>
      </c>
      <c r="Y55" s="22" t="n">
        <v>3952</v>
      </c>
      <c r="Z55" s="22" t="n">
        <v>3884</v>
      </c>
      <c r="AA55" s="22" t="n">
        <v>3740</v>
      </c>
      <c r="AB55" s="22" t="n">
        <v>3512</v>
      </c>
      <c r="AC55" s="22" t="n">
        <v>3393</v>
      </c>
      <c r="AD55" s="22" t="n">
        <v>3369</v>
      </c>
      <c r="AE55" s="22" t="n">
        <v>3357</v>
      </c>
      <c r="AF55" s="22" t="n">
        <v>3380</v>
      </c>
      <c r="AG55" s="22" t="n">
        <v>3531</v>
      </c>
      <c r="AH55" s="22" t="n">
        <v>3437</v>
      </c>
      <c r="AI55" s="22" t="n">
        <v>3305</v>
      </c>
      <c r="AJ55" s="22" t="n">
        <v>3116</v>
      </c>
      <c r="AK55" s="22" t="n">
        <v>3150</v>
      </c>
      <c r="AL55" s="22" t="n">
        <v>3132</v>
      </c>
      <c r="AM55" s="22" t="n">
        <v>3175</v>
      </c>
      <c r="AN55" s="22" t="n">
        <v>3173</v>
      </c>
      <c r="AO55" s="22" t="n">
        <v>3288</v>
      </c>
      <c r="AP55" s="22" t="n">
        <v>3372</v>
      </c>
      <c r="AQ55" s="22" t="n">
        <v>3335</v>
      </c>
      <c r="AR55" s="22" t="n">
        <v>3312</v>
      </c>
      <c r="AS55" s="22" t="n">
        <v>3409</v>
      </c>
      <c r="AT55" s="22" t="n">
        <v>3364</v>
      </c>
      <c r="AU55" s="22" t="n">
        <v>3331</v>
      </c>
      <c r="AV55" s="22" t="n">
        <v>3403</v>
      </c>
      <c r="AW55" s="22" t="n">
        <v>3471</v>
      </c>
      <c r="AX55" s="22" t="n">
        <v>3492</v>
      </c>
      <c r="AY55" s="22" t="n">
        <v>3518</v>
      </c>
      <c r="AZ55" s="22" t="n">
        <v>3427</v>
      </c>
      <c r="BA55" s="22" t="n">
        <v>3427</v>
      </c>
      <c r="BB55" s="22" t="n">
        <v>3411</v>
      </c>
      <c r="BC55" s="22" t="n">
        <v>3521</v>
      </c>
      <c r="BD55" s="22" t="n">
        <v>3564</v>
      </c>
      <c r="BE55" s="22" t="n">
        <v>3473</v>
      </c>
      <c r="BF55" s="22" t="n">
        <v>3448</v>
      </c>
      <c r="BG55" s="22" t="n">
        <v>3651</v>
      </c>
      <c r="BH55" s="22" t="n">
        <v>3655</v>
      </c>
      <c r="BI55" s="22" t="n">
        <v>3692</v>
      </c>
      <c r="BJ55" s="22" t="n">
        <v>3586</v>
      </c>
      <c r="BK55" s="22" t="n">
        <v>3517</v>
      </c>
      <c r="BL55" s="22" t="n">
        <v>3689</v>
      </c>
    </row>
    <row r="56" ht="15.95" customHeight="1" s="574">
      <c r="A56" s="68" t="inlineStr">
        <is>
          <t>9412</t>
        </is>
      </c>
      <c r="B56" s="44" t="inlineStr">
        <is>
          <t>スカパーＪＳＡＴ</t>
        </is>
      </c>
      <c r="C56" s="669">
        <f>_xll.RssMarket("9412","安値")</f>
        <v/>
      </c>
      <c r="D56" s="661">
        <f>C56-E56</f>
        <v/>
      </c>
      <c r="E56" s="22" t="n">
        <v>3070</v>
      </c>
      <c r="F56" s="22" t="n">
        <v>3135</v>
      </c>
      <c r="G56" s="22" t="n">
        <v>3275</v>
      </c>
      <c r="H56" s="22" t="n">
        <v>3295</v>
      </c>
      <c r="I56" s="22" t="n">
        <v>3240</v>
      </c>
      <c r="J56" s="22" t="n">
        <v>3195</v>
      </c>
      <c r="K56" s="22" t="n">
        <v>3345</v>
      </c>
      <c r="L56" s="22" t="n">
        <v>3085</v>
      </c>
      <c r="M56" s="22" t="n">
        <v>3105</v>
      </c>
      <c r="N56" s="22" t="n">
        <v>3350</v>
      </c>
      <c r="O56" s="22" t="n">
        <v>3525</v>
      </c>
      <c r="P56" s="22" t="n">
        <v>3290</v>
      </c>
      <c r="Q56" s="22" t="n">
        <v>3570</v>
      </c>
      <c r="R56" s="22" t="n">
        <v>3595</v>
      </c>
      <c r="S56" s="22" t="n">
        <v>4435</v>
      </c>
      <c r="T56" s="22" t="n">
        <v>4265</v>
      </c>
      <c r="U56" s="22" t="n">
        <v>4425</v>
      </c>
      <c r="V56" s="22" t="n">
        <v>4365</v>
      </c>
      <c r="W56" s="22" t="n">
        <v>4050</v>
      </c>
      <c r="X56" s="22" t="n">
        <v>4090</v>
      </c>
      <c r="Y56" s="22" t="n">
        <v>3865</v>
      </c>
      <c r="Z56" s="22" t="n">
        <v>4035</v>
      </c>
      <c r="AA56" s="22" t="n">
        <v>3980</v>
      </c>
      <c r="AB56" s="22" t="n">
        <v>4085</v>
      </c>
      <c r="AC56" s="22" t="n">
        <v>4135</v>
      </c>
      <c r="AD56" s="22" t="n">
        <v>3835</v>
      </c>
      <c r="AE56" s="22" t="n">
        <v>3750</v>
      </c>
      <c r="AF56" s="22" t="n">
        <v>3705</v>
      </c>
      <c r="AG56" s="22" t="n">
        <v>3500</v>
      </c>
      <c r="AH56" s="22" t="n">
        <v>3470</v>
      </c>
      <c r="AI56" s="22" t="n">
        <v>3490</v>
      </c>
      <c r="AJ56" s="22" t="n">
        <v>3330</v>
      </c>
      <c r="AK56" s="22" t="n">
        <v>3085</v>
      </c>
      <c r="AL56" s="22" t="n">
        <v>3060</v>
      </c>
      <c r="AM56" s="22" t="n">
        <v>3140</v>
      </c>
      <c r="AN56" s="22" t="n">
        <v>3100</v>
      </c>
      <c r="AO56" s="22" t="n">
        <v>3170</v>
      </c>
      <c r="AP56" s="22" t="n">
        <v>3260</v>
      </c>
      <c r="AQ56" s="22" t="n">
        <v>3270</v>
      </c>
      <c r="AR56" s="22" t="n">
        <v>3215</v>
      </c>
      <c r="AS56" s="22" t="n">
        <v>3170</v>
      </c>
      <c r="AT56" s="22" t="n">
        <v>3125</v>
      </c>
      <c r="AU56" s="22" t="n">
        <v>3055</v>
      </c>
      <c r="AV56" s="22" t="n">
        <v>2980</v>
      </c>
      <c r="AW56" s="22" t="n">
        <v>3040</v>
      </c>
      <c r="AX56" s="22" t="n">
        <v>3090</v>
      </c>
      <c r="AY56" s="22" t="n">
        <v>3080</v>
      </c>
      <c r="AZ56" s="22" t="n">
        <v>3005</v>
      </c>
      <c r="BA56" s="22" t="n">
        <v>3005</v>
      </c>
      <c r="BB56" s="22" t="n">
        <v>3020</v>
      </c>
      <c r="BC56" s="22" t="n">
        <v>2951</v>
      </c>
      <c r="BD56" s="22" t="n">
        <v>2933</v>
      </c>
      <c r="BE56" s="22" t="n">
        <v>2822</v>
      </c>
      <c r="BF56" s="22" t="n">
        <v>2872</v>
      </c>
      <c r="BG56" s="22" t="n">
        <v>2958</v>
      </c>
      <c r="BH56" s="22" t="n">
        <v>3000</v>
      </c>
      <c r="BI56" s="22" t="n">
        <v>2935</v>
      </c>
      <c r="BJ56" s="22" t="n">
        <v>2800</v>
      </c>
      <c r="BK56" s="22" t="n">
        <v>2696</v>
      </c>
      <c r="BL56" s="22" t="n">
        <v>2760</v>
      </c>
    </row>
    <row r="57" ht="15.95" customHeight="1" s="574">
      <c r="A57" s="68" t="inlineStr">
        <is>
          <t>6203</t>
        </is>
      </c>
      <c r="B57" s="44" t="inlineStr">
        <is>
          <t>豊和工業</t>
        </is>
      </c>
      <c r="C57" s="669">
        <f>_xll.RssMarket("6203","安値")</f>
        <v/>
      </c>
      <c r="D57" s="661">
        <f>C57-E57</f>
        <v/>
      </c>
      <c r="E57" s="22" t="n">
        <v>1610</v>
      </c>
      <c r="F57" s="22" t="n">
        <v>1592</v>
      </c>
      <c r="G57" s="22" t="n">
        <v>1635</v>
      </c>
      <c r="H57" s="22" t="n">
        <v>1570</v>
      </c>
      <c r="I57" s="22" t="n">
        <v>1480</v>
      </c>
      <c r="J57" s="22" t="n">
        <v>1530</v>
      </c>
      <c r="K57" s="22" t="n">
        <v>1500</v>
      </c>
      <c r="L57" s="22" t="n">
        <v>1543</v>
      </c>
      <c r="M57" s="22" t="n">
        <v>1625</v>
      </c>
      <c r="N57" s="22" t="n">
        <v>1700</v>
      </c>
      <c r="O57" s="22" t="n">
        <v>1688</v>
      </c>
      <c r="P57" s="22" t="n">
        <v>1683</v>
      </c>
      <c r="Q57" s="22" t="n">
        <v>1820</v>
      </c>
      <c r="R57" s="22" t="n">
        <v>1802</v>
      </c>
      <c r="S57" s="22" t="n">
        <v>1704</v>
      </c>
      <c r="T57" s="22" t="n">
        <v>1450</v>
      </c>
      <c r="U57" s="22" t="n">
        <v>1340</v>
      </c>
      <c r="V57" s="22" t="n">
        <v>1349</v>
      </c>
      <c r="W57" s="22" t="n">
        <v>1327</v>
      </c>
      <c r="X57" s="22" t="n">
        <v>1297</v>
      </c>
      <c r="Y57" s="22" t="n">
        <v>1262</v>
      </c>
      <c r="Z57" s="22" t="n">
        <v>1298</v>
      </c>
      <c r="AA57" s="22" t="n">
        <v>1272</v>
      </c>
      <c r="AB57" s="22" t="n">
        <v>1319</v>
      </c>
      <c r="AC57" s="22" t="n">
        <v>1380</v>
      </c>
      <c r="AD57" s="22" t="n">
        <v>1406</v>
      </c>
      <c r="AE57" s="22" t="n">
        <v>1450</v>
      </c>
      <c r="AF57" s="22" t="n">
        <v>1491</v>
      </c>
      <c r="AG57" s="22" t="n">
        <v>1441</v>
      </c>
      <c r="AH57" s="22" t="n">
        <v>1530</v>
      </c>
      <c r="AI57" s="22" t="n">
        <v>1503</v>
      </c>
      <c r="AJ57" s="22" t="n">
        <v>1482</v>
      </c>
      <c r="AK57" s="22" t="n">
        <v>1496</v>
      </c>
      <c r="AL57" s="22" t="n">
        <v>1459</v>
      </c>
      <c r="AM57" s="22" t="n">
        <v>1457</v>
      </c>
      <c r="AN57" s="22" t="n">
        <v>1468</v>
      </c>
      <c r="AO57" s="22" t="n">
        <v>1417</v>
      </c>
      <c r="AP57" s="22" t="n">
        <v>1334</v>
      </c>
      <c r="AQ57" s="22" t="n">
        <v>1357</v>
      </c>
      <c r="AR57" s="22" t="n">
        <v>1339</v>
      </c>
      <c r="AS57" s="22" t="n">
        <v>1336</v>
      </c>
      <c r="AT57" s="22" t="n">
        <v>1389</v>
      </c>
      <c r="AU57" s="22" t="n">
        <v>1445</v>
      </c>
      <c r="AV57" s="22" t="n">
        <v>1446</v>
      </c>
      <c r="AW57" s="22" t="n">
        <v>1468</v>
      </c>
      <c r="AX57" s="22" t="n">
        <v>1484</v>
      </c>
      <c r="AY57" s="22" t="n">
        <v>1548</v>
      </c>
      <c r="AZ57" s="22" t="n">
        <v>1485</v>
      </c>
      <c r="BA57" s="22" t="n">
        <v>1478</v>
      </c>
      <c r="BB57" s="22" t="n">
        <v>1504</v>
      </c>
      <c r="BC57" s="22" t="n">
        <v>1489</v>
      </c>
      <c r="BD57" s="22" t="n">
        <v>1450</v>
      </c>
      <c r="BE57" s="22" t="n">
        <v>1405</v>
      </c>
      <c r="BF57" s="22" t="n">
        <v>1423</v>
      </c>
      <c r="BG57" s="22" t="n">
        <v>1514</v>
      </c>
      <c r="BH57" s="22" t="n">
        <v>1520</v>
      </c>
      <c r="BI57" s="22" t="n">
        <v>1542</v>
      </c>
      <c r="BJ57" s="22" t="n">
        <v>1490</v>
      </c>
      <c r="BK57" s="22" t="n">
        <v>1457</v>
      </c>
      <c r="BL57" s="22" t="n">
        <v>1588</v>
      </c>
    </row>
    <row r="58" ht="15.95" customHeight="1" s="574">
      <c r="A58" s="68" t="inlineStr">
        <is>
          <t>4676</t>
        </is>
      </c>
      <c r="B58" s="44" t="inlineStr">
        <is>
          <t>フジ・メディア・ＨＤ</t>
        </is>
      </c>
      <c r="C58" s="669">
        <f>_xll.RssMarket("4676","安値")</f>
        <v/>
      </c>
      <c r="D58" s="661">
        <f>C58-E58</f>
        <v/>
      </c>
      <c r="E58" s="22" t="n">
        <v>3976</v>
      </c>
      <c r="F58" s="22" t="n">
        <v>3914</v>
      </c>
      <c r="G58" s="22" t="n">
        <v>3960</v>
      </c>
      <c r="H58" s="22" t="n">
        <v>3999</v>
      </c>
      <c r="I58" s="22" t="n">
        <v>3952</v>
      </c>
      <c r="J58" s="22" t="n">
        <v>4026</v>
      </c>
      <c r="K58" s="22" t="n">
        <v>4014</v>
      </c>
      <c r="L58" s="22" t="n">
        <v>4037</v>
      </c>
      <c r="M58" s="22" t="n">
        <v>4092</v>
      </c>
      <c r="N58" s="22" t="n">
        <v>4089</v>
      </c>
      <c r="O58" s="22" t="n">
        <v>4033</v>
      </c>
      <c r="P58" s="22" t="n">
        <v>3787</v>
      </c>
      <c r="Q58" s="22" t="n">
        <v>3793</v>
      </c>
      <c r="R58" s="22" t="n">
        <v>3792</v>
      </c>
      <c r="S58" s="22" t="n">
        <v>3703</v>
      </c>
      <c r="T58" s="22" t="n">
        <v>3721</v>
      </c>
      <c r="U58" s="22" t="n">
        <v>3639</v>
      </c>
      <c r="V58" s="22" t="n">
        <v>3686</v>
      </c>
      <c r="W58" s="22" t="n">
        <v>3799</v>
      </c>
      <c r="X58" s="22" t="n">
        <v>3758</v>
      </c>
      <c r="Y58" s="22" t="n">
        <v>3767</v>
      </c>
      <c r="Z58" s="22" t="n">
        <v>3721</v>
      </c>
      <c r="AA58" s="22" t="n">
        <v>3615</v>
      </c>
      <c r="AB58" s="22" t="n">
        <v>3753</v>
      </c>
      <c r="AC58" s="22" t="n">
        <v>3728</v>
      </c>
      <c r="AD58" s="22" t="n">
        <v>3635</v>
      </c>
      <c r="AE58" s="22" t="n">
        <v>3861</v>
      </c>
      <c r="AF58" s="22" t="n">
        <v>3862</v>
      </c>
      <c r="AG58" s="22" t="n">
        <v>3874</v>
      </c>
      <c r="AH58" s="22" t="n">
        <v>3850</v>
      </c>
      <c r="AI58" s="22" t="n">
        <v>3826</v>
      </c>
      <c r="AJ58" s="22" t="n">
        <v>3728</v>
      </c>
      <c r="AK58" s="22" t="n">
        <v>3868</v>
      </c>
      <c r="AL58" s="22" t="n">
        <v>3925</v>
      </c>
      <c r="AM58" s="22" t="n">
        <v>3932</v>
      </c>
      <c r="AN58" s="22" t="n">
        <v>3901</v>
      </c>
      <c r="AO58" s="22" t="n">
        <v>3867</v>
      </c>
      <c r="AP58" s="22" t="n">
        <v>3931</v>
      </c>
      <c r="AQ58" s="22" t="n">
        <v>3831</v>
      </c>
      <c r="AR58" s="22" t="n">
        <v>3761</v>
      </c>
      <c r="AS58" s="22" t="n">
        <v>3718</v>
      </c>
      <c r="AT58" s="22" t="n">
        <v>4148</v>
      </c>
      <c r="AU58" s="22" t="n">
        <v>4171</v>
      </c>
      <c r="AV58" s="22" t="n">
        <v>4170</v>
      </c>
      <c r="AW58" s="22" t="n">
        <v>4244</v>
      </c>
      <c r="AX58" s="22" t="n">
        <v>4268</v>
      </c>
      <c r="AY58" s="22" t="n">
        <v>4267</v>
      </c>
      <c r="AZ58" s="22" t="n">
        <v>4267</v>
      </c>
      <c r="BA58" s="22" t="n">
        <v>4196</v>
      </c>
      <c r="BB58" s="22" t="n">
        <v>4101</v>
      </c>
      <c r="BC58" s="22" t="n">
        <v>4050</v>
      </c>
      <c r="BD58" s="22" t="n">
        <v>4019</v>
      </c>
      <c r="BE58" s="22" t="n">
        <v>3995</v>
      </c>
      <c r="BF58" s="22" t="n">
        <v>4009</v>
      </c>
      <c r="BG58" s="22" t="n">
        <v>4076</v>
      </c>
      <c r="BH58" s="22" t="n">
        <v>3986</v>
      </c>
      <c r="BI58" s="22" t="n">
        <v>3977</v>
      </c>
      <c r="BJ58" s="22" t="n">
        <v>3800</v>
      </c>
      <c r="BK58" s="22" t="n">
        <v>3814</v>
      </c>
      <c r="BL58" s="22" t="n">
        <v>3828</v>
      </c>
    </row>
    <row r="59" ht="15.95" customHeight="1" s="574">
      <c r="A59" s="68" t="inlineStr">
        <is>
          <t>1961</t>
        </is>
      </c>
      <c r="B59" s="44" t="inlineStr">
        <is>
          <t>三機工業</t>
        </is>
      </c>
      <c r="C59" s="669">
        <f>_xll.RssMarket("1961","安値")</f>
        <v/>
      </c>
      <c r="D59" s="661">
        <f>C59-E59</f>
        <v/>
      </c>
      <c r="E59" s="22" t="n">
        <v>3020</v>
      </c>
      <c r="F59" s="22" t="n">
        <v>3005</v>
      </c>
      <c r="G59" s="22" t="n">
        <v>2719</v>
      </c>
      <c r="H59" s="22" t="n">
        <v>2639</v>
      </c>
      <c r="I59" s="22" t="n">
        <v>2556</v>
      </c>
      <c r="J59" s="22" t="n">
        <v>2578</v>
      </c>
      <c r="K59" s="22" t="n">
        <v>2453</v>
      </c>
      <c r="L59" s="22" t="n">
        <v>2383</v>
      </c>
      <c r="M59" s="22" t="n">
        <v>2450</v>
      </c>
      <c r="N59" s="22" t="n">
        <v>2254</v>
      </c>
      <c r="O59" s="22" t="n">
        <v>2287</v>
      </c>
      <c r="P59" s="22" t="n">
        <v>2180</v>
      </c>
      <c r="Q59" s="22" t="n">
        <v>2116</v>
      </c>
      <c r="R59" s="22" t="n">
        <v>2114</v>
      </c>
      <c r="S59" s="22" t="n">
        <v>2235</v>
      </c>
      <c r="T59" s="22" t="n">
        <v>2196</v>
      </c>
      <c r="U59" s="22" t="n">
        <v>2227</v>
      </c>
      <c r="V59" s="22" t="n">
        <v>2198</v>
      </c>
      <c r="W59" s="22" t="n">
        <v>2170</v>
      </c>
      <c r="X59" s="22" t="n">
        <v>2171</v>
      </c>
      <c r="Y59" s="22" t="n">
        <v>2221</v>
      </c>
      <c r="Z59" s="22" t="n">
        <v>2387</v>
      </c>
      <c r="AA59" s="22" t="n">
        <v>2388</v>
      </c>
      <c r="AB59" s="22" t="n">
        <v>2529</v>
      </c>
      <c r="AC59" s="22" t="n">
        <v>2486</v>
      </c>
      <c r="AD59" s="22" t="n">
        <v>2592</v>
      </c>
      <c r="AE59" s="22" t="n">
        <v>2636</v>
      </c>
      <c r="AF59" s="22" t="n">
        <v>2531</v>
      </c>
      <c r="AG59" s="22" t="n">
        <v>2474</v>
      </c>
      <c r="AH59" s="22" t="n">
        <v>2498</v>
      </c>
      <c r="AI59" s="22" t="n">
        <v>2352</v>
      </c>
      <c r="AJ59" s="22" t="n">
        <v>2350</v>
      </c>
      <c r="AK59" s="22" t="n">
        <v>2264</v>
      </c>
      <c r="AL59" s="22" t="n">
        <v>2279</v>
      </c>
      <c r="AM59" s="22" t="n">
        <v>2266</v>
      </c>
      <c r="AN59" s="22" t="n">
        <v>2216</v>
      </c>
      <c r="AO59" s="22" t="n">
        <v>2319</v>
      </c>
      <c r="AP59" s="22" t="n">
        <v>2349</v>
      </c>
      <c r="AQ59" s="22" t="n">
        <v>2326</v>
      </c>
      <c r="AR59" s="22" t="n">
        <v>2356</v>
      </c>
      <c r="AS59" s="22" t="n">
        <v>2359</v>
      </c>
      <c r="AT59" s="22" t="n">
        <v>2436</v>
      </c>
      <c r="AU59" s="22" t="n">
        <v>2636</v>
      </c>
      <c r="AV59" s="22" t="n">
        <v>2699</v>
      </c>
      <c r="AW59" s="22" t="n">
        <v>2679</v>
      </c>
      <c r="AX59" s="22" t="n">
        <v>2583</v>
      </c>
      <c r="AY59" s="22" t="n">
        <v>2529</v>
      </c>
      <c r="AZ59" s="22" t="n">
        <v>2456</v>
      </c>
      <c r="BA59" s="22" t="n">
        <v>2423</v>
      </c>
      <c r="BB59" s="22" t="n">
        <v>2403</v>
      </c>
      <c r="BC59" s="22" t="n">
        <v>2366</v>
      </c>
      <c r="BD59" s="22" t="n">
        <v>2303</v>
      </c>
      <c r="BE59" s="22" t="n">
        <v>2179</v>
      </c>
      <c r="BF59" s="22" t="n">
        <v>2176</v>
      </c>
      <c r="BG59" s="22" t="n">
        <v>2276</v>
      </c>
      <c r="BH59" s="22" t="n">
        <v>2293</v>
      </c>
      <c r="BI59" s="22" t="n">
        <v>2299</v>
      </c>
      <c r="BJ59" s="22" t="n">
        <v>2196</v>
      </c>
      <c r="BK59" s="22" t="n">
        <v>2133</v>
      </c>
      <c r="BL59" s="22" t="n">
        <v>2253</v>
      </c>
    </row>
    <row r="60" ht="15.95" customHeight="1" s="574">
      <c r="A60" s="68" t="inlineStr">
        <is>
          <t>3107</t>
        </is>
      </c>
      <c r="B60" s="44" t="inlineStr">
        <is>
          <t>ダイワボウＨＤ</t>
        </is>
      </c>
      <c r="C60" s="669">
        <f>_xll.RssMarket("3107","安値")</f>
        <v/>
      </c>
      <c r="D60" s="661">
        <f>C60-E60</f>
        <v/>
      </c>
      <c r="E60" s="22" t="n">
        <v>3316</v>
      </c>
      <c r="F60" s="22" t="n">
        <v>3311</v>
      </c>
      <c r="G60" s="22" t="n">
        <v>3309</v>
      </c>
      <c r="H60" s="22" t="n">
        <v>3325</v>
      </c>
      <c r="I60" s="22" t="n">
        <v>3394</v>
      </c>
      <c r="J60" s="22" t="n">
        <v>3412</v>
      </c>
      <c r="K60" s="22" t="n">
        <v>3411</v>
      </c>
      <c r="L60" s="22" t="n">
        <v>3392</v>
      </c>
      <c r="M60" s="22" t="n">
        <v>3408</v>
      </c>
      <c r="N60" s="22" t="n">
        <v>3461</v>
      </c>
      <c r="O60" s="22" t="n">
        <v>3458</v>
      </c>
      <c r="P60" s="22" t="n">
        <v>3451</v>
      </c>
      <c r="Q60" s="22" t="n">
        <v>3534</v>
      </c>
      <c r="R60" s="22" t="n">
        <v>3500</v>
      </c>
      <c r="S60" s="22" t="n">
        <v>3396</v>
      </c>
      <c r="T60" s="22" t="n">
        <v>3346</v>
      </c>
      <c r="U60" s="22" t="n">
        <v>3328</v>
      </c>
      <c r="V60" s="22" t="n">
        <v>3329</v>
      </c>
      <c r="W60" s="22" t="n">
        <v>3481</v>
      </c>
      <c r="X60" s="22" t="n">
        <v>3523</v>
      </c>
      <c r="Y60" s="22" t="n">
        <v>3477</v>
      </c>
      <c r="Z60" s="22" t="n">
        <v>3489</v>
      </c>
      <c r="AA60" s="22" t="n">
        <v>3451</v>
      </c>
      <c r="AB60" s="22" t="n">
        <v>3381</v>
      </c>
      <c r="AC60" s="22" t="n">
        <v>3401</v>
      </c>
      <c r="AD60" s="22" t="n">
        <v>3386</v>
      </c>
      <c r="AE60" s="22" t="n">
        <v>3363</v>
      </c>
      <c r="AF60" s="22" t="n">
        <v>3372</v>
      </c>
      <c r="AG60" s="22" t="n">
        <v>3303</v>
      </c>
      <c r="AH60" s="22" t="n">
        <v>3211</v>
      </c>
      <c r="AI60" s="22" t="n">
        <v>3136</v>
      </c>
      <c r="AJ60" s="22" t="n">
        <v>3149</v>
      </c>
      <c r="AK60" s="22" t="n">
        <v>3181</v>
      </c>
      <c r="AL60" s="22" t="n">
        <v>3122</v>
      </c>
      <c r="AM60" s="22" t="n">
        <v>3091</v>
      </c>
      <c r="AN60" s="22" t="n">
        <v>3064</v>
      </c>
      <c r="AO60" s="22" t="n">
        <v>3060</v>
      </c>
      <c r="AP60" s="22" t="n">
        <v>3083</v>
      </c>
      <c r="AQ60" s="22" t="n">
        <v>3109</v>
      </c>
      <c r="AR60" s="22" t="n">
        <v>3163</v>
      </c>
      <c r="AS60" s="22" t="n">
        <v>3165</v>
      </c>
      <c r="AT60" s="22" t="n">
        <v>3150</v>
      </c>
      <c r="AU60" s="22" t="n">
        <v>3127</v>
      </c>
      <c r="AV60" s="22" t="n">
        <v>3071</v>
      </c>
      <c r="AW60" s="22" t="n">
        <v>3098</v>
      </c>
      <c r="AX60" s="22" t="n">
        <v>3189</v>
      </c>
      <c r="AY60" s="22" t="n">
        <v>3196</v>
      </c>
      <c r="AZ60" s="22" t="n">
        <v>3190</v>
      </c>
      <c r="BA60" s="22" t="n">
        <v>3169</v>
      </c>
      <c r="BB60" s="22" t="n">
        <v>3145</v>
      </c>
      <c r="BC60" s="22" t="n">
        <v>3124</v>
      </c>
      <c r="BD60" s="22" t="n">
        <v>3127</v>
      </c>
      <c r="BE60" s="22" t="n">
        <v>3017</v>
      </c>
      <c r="BF60" s="22" t="n">
        <v>2895.5</v>
      </c>
      <c r="BG60" s="22" t="n">
        <v>3028</v>
      </c>
      <c r="BH60" s="22" t="n">
        <v>2980</v>
      </c>
      <c r="BI60" s="22" t="n">
        <v>2984</v>
      </c>
      <c r="BJ60" s="22" t="n">
        <v>2921.5</v>
      </c>
      <c r="BK60" s="22" t="n">
        <v>2840</v>
      </c>
      <c r="BL60" s="22" t="n">
        <v>2962.5</v>
      </c>
    </row>
    <row r="61" ht="15.95" customHeight="1" s="574">
      <c r="A61" s="68" t="inlineStr">
        <is>
          <t>4045</t>
        </is>
      </c>
      <c r="B61" s="44" t="inlineStr">
        <is>
          <t>東亞合成</t>
        </is>
      </c>
      <c r="C61" s="669">
        <f>_xll.RssMarket("4045","安値")</f>
        <v/>
      </c>
      <c r="D61" s="661">
        <f>C61-E61</f>
        <v/>
      </c>
      <c r="E61" s="22" t="n">
        <v>1759</v>
      </c>
      <c r="F61" s="22" t="n">
        <v>1755</v>
      </c>
      <c r="G61" s="22" t="n">
        <v>1763</v>
      </c>
      <c r="H61" s="22" t="n">
        <v>1749</v>
      </c>
      <c r="I61" s="22" t="n">
        <v>1745.5</v>
      </c>
      <c r="J61" s="22" t="n">
        <v>1750</v>
      </c>
      <c r="K61" s="22" t="n">
        <v>1722</v>
      </c>
      <c r="L61" s="22" t="n">
        <v>1683</v>
      </c>
      <c r="M61" s="22" t="n">
        <v>1688.5</v>
      </c>
      <c r="N61" s="22" t="n">
        <v>1700</v>
      </c>
      <c r="O61" s="22" t="n">
        <v>1728</v>
      </c>
      <c r="P61" s="22" t="n">
        <v>1729.5</v>
      </c>
      <c r="Q61" s="22" t="n">
        <v>1738</v>
      </c>
      <c r="R61" s="22" t="n">
        <v>1705.5</v>
      </c>
      <c r="S61" s="22" t="n">
        <v>1748</v>
      </c>
      <c r="T61" s="22" t="n">
        <v>1725</v>
      </c>
      <c r="U61" s="22" t="n">
        <v>1722</v>
      </c>
      <c r="V61" s="22" t="n">
        <v>1720</v>
      </c>
      <c r="W61" s="22" t="n">
        <v>1705</v>
      </c>
      <c r="X61" s="22" t="n">
        <v>1698.5</v>
      </c>
      <c r="Y61" s="22" t="n">
        <v>1681</v>
      </c>
      <c r="Z61" s="22" t="n">
        <v>1717</v>
      </c>
      <c r="AA61" s="22" t="n">
        <v>1734.5</v>
      </c>
      <c r="AB61" s="22" t="n">
        <v>1733</v>
      </c>
      <c r="AC61" s="22" t="n">
        <v>1747</v>
      </c>
      <c r="AD61" s="22" t="n">
        <v>1723.5</v>
      </c>
      <c r="AE61" s="22" t="n">
        <v>1718</v>
      </c>
      <c r="AF61" s="22" t="n">
        <v>1715</v>
      </c>
      <c r="AG61" s="22" t="n">
        <v>1707</v>
      </c>
      <c r="AH61" s="22" t="n">
        <v>1724.5</v>
      </c>
      <c r="AI61" s="22" t="n">
        <v>1690</v>
      </c>
      <c r="AJ61" s="22" t="n">
        <v>1666</v>
      </c>
      <c r="AK61" s="22" t="n">
        <v>1663.5</v>
      </c>
      <c r="AL61" s="22" t="n">
        <v>1708</v>
      </c>
      <c r="AM61" s="22" t="n">
        <v>1743.5</v>
      </c>
      <c r="AN61" s="22" t="n">
        <v>1751</v>
      </c>
      <c r="AO61" s="22" t="n">
        <v>1748.5</v>
      </c>
      <c r="AP61" s="22" t="n">
        <v>1790</v>
      </c>
      <c r="AQ61" s="22" t="n">
        <v>1783.5</v>
      </c>
      <c r="AR61" s="22" t="n">
        <v>1796</v>
      </c>
      <c r="AS61" s="22" t="n">
        <v>1783</v>
      </c>
      <c r="AT61" s="22" t="n">
        <v>1782.5</v>
      </c>
      <c r="AU61" s="22" t="n">
        <v>1772.5</v>
      </c>
      <c r="AV61" s="22" t="n">
        <v>1770.5</v>
      </c>
      <c r="AW61" s="22" t="n">
        <v>1780.5</v>
      </c>
      <c r="AX61" s="22" t="n">
        <v>1778</v>
      </c>
      <c r="AY61" s="22" t="n">
        <v>1786</v>
      </c>
      <c r="AZ61" s="22" t="n">
        <v>1741.5</v>
      </c>
      <c r="BA61" s="22" t="n">
        <v>1735.5</v>
      </c>
      <c r="BB61" s="22" t="n">
        <v>1729</v>
      </c>
      <c r="BC61" s="22" t="n">
        <v>1730</v>
      </c>
      <c r="BD61" s="22" t="n">
        <v>1721</v>
      </c>
      <c r="BE61" s="22" t="n">
        <v>1701</v>
      </c>
      <c r="BF61" s="22" t="n">
        <v>1681.5</v>
      </c>
      <c r="BG61" s="22" t="n">
        <v>1716</v>
      </c>
      <c r="BH61" s="22" t="n">
        <v>1710</v>
      </c>
      <c r="BI61" s="22" t="n">
        <v>1724</v>
      </c>
      <c r="BJ61" s="22" t="n">
        <v>1683.5</v>
      </c>
      <c r="BK61" s="22" t="n">
        <v>1634.5</v>
      </c>
      <c r="BL61" s="22" t="n">
        <v>1701.5</v>
      </c>
    </row>
    <row r="62" ht="15.95" customHeight="1" s="574">
      <c r="A62" s="68" t="inlineStr">
        <is>
          <t>5857</t>
        </is>
      </c>
      <c r="B62" s="44" t="inlineStr">
        <is>
          <t>ＡＲＥホールディングス</t>
        </is>
      </c>
      <c r="C62" s="669">
        <f>_xll.RssMarket("5857","安値")</f>
        <v/>
      </c>
      <c r="D62" s="661">
        <f>C62-E62</f>
        <v/>
      </c>
      <c r="E62" s="22" t="n">
        <v>3190</v>
      </c>
      <c r="F62" s="22" t="n">
        <v>3150</v>
      </c>
      <c r="G62" s="22" t="n">
        <v>3175</v>
      </c>
      <c r="H62" s="22" t="n">
        <v>3190</v>
      </c>
      <c r="I62" s="22" t="n">
        <v>3155</v>
      </c>
      <c r="J62" s="22" t="n">
        <v>3135</v>
      </c>
      <c r="K62" s="22" t="n">
        <v>2947</v>
      </c>
      <c r="L62" s="22" t="n">
        <v>2865</v>
      </c>
      <c r="M62" s="22" t="n">
        <v>2982</v>
      </c>
      <c r="N62" s="22" t="n">
        <v>3010</v>
      </c>
      <c r="O62" s="22" t="n">
        <v>3150</v>
      </c>
      <c r="P62" s="22" t="n">
        <v>3130</v>
      </c>
      <c r="Q62" s="22" t="n">
        <v>3230</v>
      </c>
      <c r="R62" s="22" t="n">
        <v>3085</v>
      </c>
      <c r="S62" s="22" t="n">
        <v>3260</v>
      </c>
      <c r="T62" s="22" t="n">
        <v>3185</v>
      </c>
      <c r="U62" s="22" t="n">
        <v>3305</v>
      </c>
      <c r="V62" s="22" t="n">
        <v>3445</v>
      </c>
      <c r="W62" s="22" t="n">
        <v>3430</v>
      </c>
      <c r="X62" s="22" t="n">
        <v>3420</v>
      </c>
      <c r="Y62" s="22" t="n">
        <v>3660</v>
      </c>
      <c r="Z62" s="22" t="n">
        <v>3695</v>
      </c>
      <c r="AA62" s="22" t="n">
        <v>3840</v>
      </c>
      <c r="AB62" s="22" t="n">
        <v>3860</v>
      </c>
      <c r="AC62" s="22" t="n">
        <v>3835</v>
      </c>
      <c r="AD62" s="22" t="n">
        <v>3855</v>
      </c>
      <c r="AE62" s="22" t="n">
        <v>3845</v>
      </c>
      <c r="AF62" s="22" t="n">
        <v>3880</v>
      </c>
      <c r="AG62" s="22" t="n">
        <v>3690</v>
      </c>
      <c r="AH62" s="22" t="n">
        <v>3485</v>
      </c>
      <c r="AI62" s="22" t="n">
        <v>3470</v>
      </c>
      <c r="AJ62" s="22" t="n">
        <v>3610</v>
      </c>
      <c r="AK62" s="22" t="n">
        <v>3555</v>
      </c>
      <c r="AL62" s="22" t="n">
        <v>3625</v>
      </c>
      <c r="AM62" s="22" t="n">
        <v>3640</v>
      </c>
      <c r="AN62" s="22" t="n">
        <v>3755</v>
      </c>
      <c r="AO62" s="22" t="n">
        <v>3925</v>
      </c>
      <c r="AP62" s="22" t="n">
        <v>3720</v>
      </c>
      <c r="AQ62" s="22" t="n">
        <v>3775</v>
      </c>
      <c r="AR62" s="22" t="n">
        <v>3735</v>
      </c>
      <c r="AS62" s="22" t="n">
        <v>3730</v>
      </c>
      <c r="AT62" s="22" t="n">
        <v>3710</v>
      </c>
      <c r="AU62" s="22" t="n">
        <v>3650</v>
      </c>
      <c r="AV62" s="22" t="n">
        <v>3670</v>
      </c>
      <c r="AW62" s="22" t="n">
        <v>3690</v>
      </c>
      <c r="AX62" s="22" t="n">
        <v>3715</v>
      </c>
      <c r="AY62" s="22" t="n">
        <v>3550</v>
      </c>
      <c r="AZ62" s="22" t="n">
        <v>3540</v>
      </c>
      <c r="BA62" s="22" t="n">
        <v>3535</v>
      </c>
      <c r="BB62" s="22" t="n">
        <v>3455</v>
      </c>
      <c r="BC62" s="22" t="n">
        <v>3440</v>
      </c>
      <c r="BD62" s="22" t="n">
        <v>3315</v>
      </c>
      <c r="BE62" s="22" t="n">
        <v>3315</v>
      </c>
      <c r="BF62" s="22" t="n">
        <v>3465</v>
      </c>
      <c r="BG62" s="22" t="n">
        <v>3470</v>
      </c>
      <c r="BH62" s="22" t="n">
        <v>3545</v>
      </c>
      <c r="BI62" s="22" t="n">
        <v>3355</v>
      </c>
      <c r="BJ62" s="22" t="n">
        <v>3265</v>
      </c>
      <c r="BK62" s="22" t="n">
        <v>3600</v>
      </c>
      <c r="BL62" s="22" t="n">
        <v>3790</v>
      </c>
    </row>
    <row r="63" ht="15.95" customHeight="1" s="574">
      <c r="A63" s="68" t="inlineStr">
        <is>
          <t>8281</t>
        </is>
      </c>
      <c r="B63" s="44" t="inlineStr">
        <is>
          <t>ゼビオホールディングス</t>
        </is>
      </c>
      <c r="C63" s="669">
        <f>_xll.RssMarket("8281","安値")</f>
        <v/>
      </c>
      <c r="D63" s="661">
        <f>C63-E63</f>
        <v/>
      </c>
      <c r="E63" s="22" t="n">
        <v>1024</v>
      </c>
      <c r="F63" s="22" t="n">
        <v>1035</v>
      </c>
      <c r="G63" s="22" t="n">
        <v>1038</v>
      </c>
      <c r="H63" s="22" t="n">
        <v>1050</v>
      </c>
      <c r="I63" s="22" t="n">
        <v>1044</v>
      </c>
      <c r="J63" s="22" t="n">
        <v>1061</v>
      </c>
      <c r="K63" s="22" t="n">
        <v>1052</v>
      </c>
      <c r="L63" s="22" t="n">
        <v>1048</v>
      </c>
      <c r="M63" s="22" t="n">
        <v>1036</v>
      </c>
      <c r="N63" s="22" t="n">
        <v>1020</v>
      </c>
      <c r="O63" s="22" t="n">
        <v>1018</v>
      </c>
      <c r="P63" s="22" t="n">
        <v>999</v>
      </c>
      <c r="Q63" s="22" t="n">
        <v>1006</v>
      </c>
      <c r="R63" s="22" t="n">
        <v>1013</v>
      </c>
      <c r="S63" s="22" t="n">
        <v>1058</v>
      </c>
      <c r="T63" s="22" t="n">
        <v>1040</v>
      </c>
      <c r="U63" s="22" t="n">
        <v>1029</v>
      </c>
      <c r="V63" s="22" t="n">
        <v>1041</v>
      </c>
      <c r="W63" s="22" t="n">
        <v>1044</v>
      </c>
      <c r="X63" s="22" t="n">
        <v>1035</v>
      </c>
      <c r="Y63" s="22" t="n">
        <v>1021</v>
      </c>
      <c r="Z63" s="22" t="n">
        <v>990</v>
      </c>
      <c r="AA63" s="22" t="n">
        <v>960</v>
      </c>
      <c r="AB63" s="22" t="n">
        <v>954</v>
      </c>
      <c r="AC63" s="22" t="n">
        <v>957</v>
      </c>
      <c r="AD63" s="22" t="n">
        <v>954</v>
      </c>
      <c r="AE63" s="22" t="n">
        <v>959</v>
      </c>
      <c r="AF63" s="22" t="n">
        <v>962</v>
      </c>
      <c r="AG63" s="22" t="n">
        <v>951</v>
      </c>
      <c r="AH63" s="22" t="n">
        <v>984</v>
      </c>
      <c r="AI63" s="22" t="n">
        <v>986</v>
      </c>
      <c r="AJ63" s="22" t="n">
        <v>990</v>
      </c>
      <c r="AK63" s="22" t="n">
        <v>987</v>
      </c>
      <c r="AL63" s="22" t="n">
        <v>991</v>
      </c>
      <c r="AM63" s="22" t="n">
        <v>997</v>
      </c>
      <c r="AN63" s="22" t="n">
        <v>1006</v>
      </c>
      <c r="AO63" s="22" t="n">
        <v>1020</v>
      </c>
      <c r="AP63" s="22" t="n">
        <v>1020</v>
      </c>
      <c r="AQ63" s="22" t="n">
        <v>1015</v>
      </c>
      <c r="AR63" s="22" t="n">
        <v>1015</v>
      </c>
      <c r="AS63" s="22" t="n">
        <v>1013</v>
      </c>
      <c r="AT63" s="22" t="n">
        <v>1004</v>
      </c>
      <c r="AU63" s="22" t="n">
        <v>1001</v>
      </c>
      <c r="AV63" s="22" t="n">
        <v>1008</v>
      </c>
      <c r="AW63" s="22" t="n">
        <v>1024</v>
      </c>
      <c r="AX63" s="22" t="n">
        <v>1033</v>
      </c>
      <c r="AY63" s="22" t="n">
        <v>1023</v>
      </c>
      <c r="AZ63" s="22" t="n">
        <v>1013</v>
      </c>
      <c r="BA63" s="22" t="n">
        <v>1015</v>
      </c>
      <c r="BB63" s="22" t="n">
        <v>1003</v>
      </c>
      <c r="BC63" s="22" t="n">
        <v>999</v>
      </c>
      <c r="BD63" s="22" t="n">
        <v>984</v>
      </c>
      <c r="BE63" s="22" t="n">
        <v>974</v>
      </c>
      <c r="BF63" s="22" t="n">
        <v>1010</v>
      </c>
      <c r="BG63" s="22" t="n">
        <v>1003</v>
      </c>
      <c r="BH63" s="22" t="n">
        <v>1009</v>
      </c>
      <c r="BI63" s="22" t="n">
        <v>997</v>
      </c>
      <c r="BJ63" s="22" t="n">
        <v>987</v>
      </c>
      <c r="BK63" s="22" t="n">
        <v>1015</v>
      </c>
      <c r="BL63" s="22" t="n">
        <v>1044</v>
      </c>
    </row>
    <row r="64" ht="15.95" customHeight="1" s="574">
      <c r="A64" s="68" t="inlineStr">
        <is>
          <t>4540</t>
        </is>
      </c>
      <c r="B64" s="44" t="inlineStr">
        <is>
          <t>ツムラ</t>
        </is>
      </c>
      <c r="C64" s="669">
        <f>_xll.RssMarket("4540","安値")</f>
        <v/>
      </c>
      <c r="D64" s="661">
        <f>C64-E64</f>
        <v/>
      </c>
      <c r="E64" s="22" t="n">
        <v>3709</v>
      </c>
      <c r="F64" s="22" t="n">
        <v>3712</v>
      </c>
      <c r="G64" s="22" t="n">
        <v>3713</v>
      </c>
      <c r="H64" s="22" t="n">
        <v>3703</v>
      </c>
      <c r="I64" s="22" t="n">
        <v>3687</v>
      </c>
      <c r="J64" s="22" t="n">
        <v>3716</v>
      </c>
      <c r="K64" s="22" t="n">
        <v>3715</v>
      </c>
      <c r="L64" s="22" t="n">
        <v>3727</v>
      </c>
      <c r="M64" s="22" t="n">
        <v>3700</v>
      </c>
      <c r="N64" s="22" t="n">
        <v>3661</v>
      </c>
      <c r="O64" s="22" t="n">
        <v>3670</v>
      </c>
      <c r="P64" s="22" t="n">
        <v>3705</v>
      </c>
      <c r="Q64" s="22" t="n">
        <v>3672</v>
      </c>
      <c r="R64" s="22" t="n">
        <v>3677</v>
      </c>
      <c r="S64" s="22" t="n">
        <v>3784</v>
      </c>
      <c r="T64" s="22" t="n">
        <v>3736</v>
      </c>
      <c r="U64" s="22" t="n">
        <v>3723</v>
      </c>
      <c r="V64" s="22" t="n">
        <v>3720</v>
      </c>
      <c r="W64" s="22" t="n">
        <v>3796</v>
      </c>
      <c r="X64" s="22" t="n">
        <v>3895</v>
      </c>
      <c r="Y64" s="22" t="n">
        <v>3898</v>
      </c>
      <c r="Z64" s="22" t="n">
        <v>3821</v>
      </c>
      <c r="AA64" s="22" t="n">
        <v>3780</v>
      </c>
      <c r="AB64" s="22" t="n">
        <v>3750</v>
      </c>
      <c r="AC64" s="22" t="n">
        <v>3668</v>
      </c>
      <c r="AD64" s="22" t="n">
        <v>3536</v>
      </c>
      <c r="AE64" s="22" t="n">
        <v>3513</v>
      </c>
      <c r="AF64" s="22" t="n">
        <v>3557</v>
      </c>
      <c r="AG64" s="22" t="n">
        <v>3569</v>
      </c>
      <c r="AH64" s="22" t="n">
        <v>3591</v>
      </c>
      <c r="AI64" s="22" t="n">
        <v>3615</v>
      </c>
      <c r="AJ64" s="22" t="n">
        <v>3628</v>
      </c>
      <c r="AK64" s="22" t="n">
        <v>3630</v>
      </c>
      <c r="AL64" s="22" t="n">
        <v>3679</v>
      </c>
      <c r="AM64" s="22" t="n">
        <v>3659</v>
      </c>
      <c r="AN64" s="22" t="n">
        <v>3667</v>
      </c>
      <c r="AO64" s="22" t="n">
        <v>3664</v>
      </c>
      <c r="AP64" s="22" t="n">
        <v>3715</v>
      </c>
      <c r="AQ64" s="22" t="n">
        <v>3742</v>
      </c>
      <c r="AR64" s="22" t="n">
        <v>3748</v>
      </c>
      <c r="AS64" s="22" t="n">
        <v>3753</v>
      </c>
      <c r="AT64" s="22" t="n">
        <v>3750</v>
      </c>
      <c r="AU64" s="22" t="n">
        <v>3735</v>
      </c>
      <c r="AV64" s="22" t="n">
        <v>3752</v>
      </c>
      <c r="AW64" s="22" t="n">
        <v>3778</v>
      </c>
      <c r="AX64" s="22" t="n">
        <v>3814</v>
      </c>
      <c r="AY64" s="22" t="n">
        <v>3829</v>
      </c>
      <c r="AZ64" s="22" t="n">
        <v>3800</v>
      </c>
      <c r="BA64" s="22" t="n">
        <v>3831</v>
      </c>
      <c r="BB64" s="22" t="n">
        <v>3834</v>
      </c>
      <c r="BC64" s="22" t="n">
        <v>3808</v>
      </c>
      <c r="BD64" s="22" t="n">
        <v>3794</v>
      </c>
      <c r="BE64" s="22" t="n">
        <v>3714</v>
      </c>
      <c r="BF64" s="22" t="n">
        <v>3674</v>
      </c>
      <c r="BG64" s="22" t="n">
        <v>3842</v>
      </c>
      <c r="BH64" s="22" t="n">
        <v>3808</v>
      </c>
      <c r="BI64" s="22" t="n">
        <v>3806</v>
      </c>
      <c r="BJ64" s="22" t="n">
        <v>3760</v>
      </c>
      <c r="BK64" s="22" t="n">
        <v>3712</v>
      </c>
      <c r="BL64" s="22" t="n">
        <v>3763</v>
      </c>
    </row>
    <row r="65" ht="15.95" customHeight="1" s="574">
      <c r="A65" s="68" t="inlineStr">
        <is>
          <t>9984</t>
        </is>
      </c>
      <c r="B65" s="44" t="inlineStr">
        <is>
          <t>ソフトバンクグループ</t>
        </is>
      </c>
      <c r="C65" s="669">
        <f>_xll.RssMarket("9984","安値")</f>
        <v/>
      </c>
      <c r="D65" s="661">
        <f>C65-E65</f>
        <v/>
      </c>
      <c r="E65" s="22" t="n">
        <v>7104</v>
      </c>
      <c r="F65" s="22" t="n">
        <v>7087</v>
      </c>
      <c r="G65" s="22" t="n">
        <v>7051</v>
      </c>
      <c r="H65" s="22" t="n">
        <v>6730</v>
      </c>
      <c r="I65" s="22" t="n">
        <v>6854</v>
      </c>
      <c r="J65" s="22" t="n">
        <v>7010</v>
      </c>
      <c r="K65" s="22" t="n">
        <v>6373</v>
      </c>
      <c r="L65" s="22" t="n">
        <v>5977</v>
      </c>
      <c r="M65" s="22" t="n">
        <v>6315</v>
      </c>
      <c r="N65" s="22" t="n">
        <v>6641</v>
      </c>
      <c r="O65" s="22" t="n">
        <v>7105</v>
      </c>
      <c r="P65" s="22" t="n">
        <v>7363</v>
      </c>
      <c r="Q65" s="22" t="n">
        <v>8180</v>
      </c>
      <c r="R65" s="22" t="n">
        <v>8261</v>
      </c>
      <c r="S65" s="22" t="n">
        <v>7321</v>
      </c>
      <c r="T65" s="22" t="n">
        <v>6861</v>
      </c>
      <c r="U65" s="22" t="n">
        <v>7262</v>
      </c>
      <c r="V65" s="22" t="n">
        <v>6642</v>
      </c>
      <c r="W65" s="22" t="n">
        <v>6614</v>
      </c>
      <c r="X65" s="22" t="n">
        <v>5700</v>
      </c>
      <c r="Y65" s="22" t="n">
        <v>4880</v>
      </c>
      <c r="Z65" s="22" t="n">
        <v>5278</v>
      </c>
      <c r="AA65" s="22" t="n">
        <v>5430</v>
      </c>
      <c r="AB65" s="22" t="n">
        <v>5686</v>
      </c>
      <c r="AC65" s="22" t="n">
        <v>5714</v>
      </c>
      <c r="AD65" s="22" t="n">
        <v>5781</v>
      </c>
      <c r="AE65" s="22" t="n">
        <v>5812</v>
      </c>
      <c r="AF65" s="22" t="n">
        <v>5700</v>
      </c>
      <c r="AG65" s="22" t="n">
        <v>6008</v>
      </c>
      <c r="AH65" s="22" t="n">
        <v>5887</v>
      </c>
      <c r="AI65" s="22" t="n">
        <v>5249</v>
      </c>
      <c r="AJ65" s="22" t="n">
        <v>4956</v>
      </c>
      <c r="AK65" s="22" t="n">
        <v>5227</v>
      </c>
      <c r="AL65" s="22" t="n">
        <v>5800</v>
      </c>
      <c r="AM65" s="22" t="n">
        <v>5743</v>
      </c>
      <c r="AN65" s="22" t="n">
        <v>5664</v>
      </c>
      <c r="AO65" s="22" t="n">
        <v>5114</v>
      </c>
      <c r="AP65" s="22" t="n">
        <v>4892</v>
      </c>
      <c r="AQ65" s="22" t="n">
        <v>4556</v>
      </c>
      <c r="AR65" s="22" t="n">
        <v>4493</v>
      </c>
      <c r="AS65" s="22" t="n">
        <v>4437</v>
      </c>
      <c r="AT65" s="22" t="n">
        <v>4346</v>
      </c>
      <c r="AU65" s="22" t="n">
        <v>3903</v>
      </c>
      <c r="AV65" s="22" t="n">
        <v>3648</v>
      </c>
      <c r="AW65" s="22" t="n">
        <v>3711</v>
      </c>
      <c r="AX65" s="22" t="n">
        <v>3640</v>
      </c>
      <c r="AY65" s="22" t="n">
        <v>3721</v>
      </c>
      <c r="AZ65" s="22" t="n">
        <v>3540</v>
      </c>
      <c r="BA65" s="22" t="n">
        <v>3615</v>
      </c>
      <c r="BB65" s="22" t="n">
        <v>3555</v>
      </c>
      <c r="BC65" s="22" t="n">
        <v>3575</v>
      </c>
      <c r="BD65" s="22" t="n">
        <v>3705</v>
      </c>
      <c r="BE65" s="22" t="n">
        <v>3482</v>
      </c>
      <c r="BF65" s="22" t="n">
        <v>3562</v>
      </c>
      <c r="BG65" s="22" t="n">
        <v>3768</v>
      </c>
      <c r="BH65" s="22" t="n">
        <v>3781</v>
      </c>
      <c r="BI65" s="22" t="n">
        <v>3635</v>
      </c>
      <c r="BJ65" s="22" t="n">
        <v>3447</v>
      </c>
      <c r="BK65" s="22" t="n">
        <v>3365</v>
      </c>
      <c r="BL65" s="22" t="n">
        <v>3539</v>
      </c>
    </row>
    <row r="66" ht="15.95" customHeight="1" s="574">
      <c r="A66" s="68" t="inlineStr">
        <is>
          <t>4063</t>
        </is>
      </c>
      <c r="B66" s="44" t="inlineStr">
        <is>
          <t>信越化学</t>
        </is>
      </c>
      <c r="C66" s="670">
        <f>_xll.RssMarket("4063","安値")</f>
        <v/>
      </c>
      <c r="D66" s="661">
        <f>C66-E66</f>
        <v/>
      </c>
      <c r="E66" s="22" t="n">
        <v>7139</v>
      </c>
      <c r="F66" s="22" t="n">
        <v>7294</v>
      </c>
      <c r="G66" s="22" t="n">
        <v>7407</v>
      </c>
      <c r="H66" s="22" t="n">
        <v>7372</v>
      </c>
      <c r="I66" s="22" t="n">
        <v>7435</v>
      </c>
      <c r="J66" s="22" t="n">
        <v>7393</v>
      </c>
      <c r="K66" s="22" t="n">
        <v>7025</v>
      </c>
      <c r="L66" s="22" t="n">
        <v>6473</v>
      </c>
      <c r="M66" s="22" t="n">
        <v>6570</v>
      </c>
      <c r="N66" s="22" t="n">
        <v>6783</v>
      </c>
      <c r="O66" s="22" t="n">
        <v>7233</v>
      </c>
      <c r="P66" s="22" t="n">
        <v>7492</v>
      </c>
      <c r="Q66" s="22" t="n">
        <v>7526</v>
      </c>
      <c r="R66" s="22" t="n">
        <v>7194</v>
      </c>
      <c r="S66" s="22" t="n">
        <v>7451</v>
      </c>
      <c r="T66" s="22" t="n">
        <v>7233</v>
      </c>
      <c r="U66" s="22" t="n">
        <v>7219</v>
      </c>
      <c r="V66" s="22" t="n">
        <v>6996</v>
      </c>
      <c r="W66" s="22" t="n">
        <v>6834</v>
      </c>
      <c r="X66" s="22" t="n">
        <v>6857</v>
      </c>
      <c r="Y66" s="22" t="n">
        <v>6766</v>
      </c>
      <c r="Z66" s="22" t="n">
        <v>6928</v>
      </c>
      <c r="AA66" s="22" t="n">
        <v>6945</v>
      </c>
      <c r="AB66" s="22" t="n">
        <v>7040</v>
      </c>
      <c r="AC66" s="22" t="n">
        <v>7363</v>
      </c>
      <c r="AD66" s="22" t="n">
        <v>7334</v>
      </c>
      <c r="AE66" s="22" t="n">
        <v>7455</v>
      </c>
      <c r="AF66" s="22" t="n">
        <v>7509</v>
      </c>
      <c r="AG66" s="22" t="n">
        <v>7451</v>
      </c>
      <c r="AH66" s="22" t="n">
        <v>7509</v>
      </c>
      <c r="AI66" s="22" t="n">
        <v>7054</v>
      </c>
      <c r="AJ66" s="22" t="n">
        <v>7076</v>
      </c>
      <c r="AK66" s="22" t="n">
        <v>6940</v>
      </c>
      <c r="AL66" s="22" t="n">
        <v>6780</v>
      </c>
      <c r="AM66" s="22" t="n">
        <v>6722</v>
      </c>
      <c r="AN66" s="22" t="n">
        <v>6584</v>
      </c>
      <c r="AO66" s="22" t="n">
        <v>6634</v>
      </c>
      <c r="AP66" s="22" t="n">
        <v>6733</v>
      </c>
      <c r="AQ66" s="22" t="n">
        <v>6730</v>
      </c>
      <c r="AR66" s="22" t="n">
        <v>6772</v>
      </c>
      <c r="AS66" s="22" t="n">
        <v>6654</v>
      </c>
      <c r="AT66" s="22" t="n">
        <v>6725</v>
      </c>
      <c r="AU66" s="22" t="n">
        <v>6573</v>
      </c>
      <c r="AV66" s="22" t="n">
        <v>6552</v>
      </c>
      <c r="AW66" s="22" t="n">
        <v>6490</v>
      </c>
      <c r="AX66" s="22" t="n">
        <v>6422</v>
      </c>
      <c r="AY66" s="22" t="n">
        <v>6383</v>
      </c>
      <c r="AZ66" s="22" t="n">
        <v>6551</v>
      </c>
      <c r="BA66" s="22" t="n">
        <v>6438</v>
      </c>
      <c r="BB66" s="22" t="n">
        <v>6390</v>
      </c>
      <c r="BC66" s="22" t="n">
        <v>6316</v>
      </c>
      <c r="BD66" s="22" t="n">
        <v>6313</v>
      </c>
      <c r="BE66" s="22" t="n">
        <v>6157</v>
      </c>
      <c r="BF66" s="22" t="n">
        <v>5902</v>
      </c>
      <c r="BG66" s="22" t="n">
        <v>6125</v>
      </c>
      <c r="BH66" s="22" t="n">
        <v>6217</v>
      </c>
      <c r="BI66" s="22" t="n">
        <v>6217</v>
      </c>
      <c r="BJ66" s="22" t="n">
        <v>6015</v>
      </c>
      <c r="BK66" s="22" t="n">
        <v>5840</v>
      </c>
      <c r="BL66" s="22" t="n">
        <v>6373</v>
      </c>
    </row>
    <row r="67" ht="15.95" customHeight="1" s="574">
      <c r="A67" s="68" t="inlineStr">
        <is>
          <t>4536</t>
        </is>
      </c>
      <c r="B67" s="44" t="inlineStr">
        <is>
          <t>参天製薬</t>
        </is>
      </c>
      <c r="C67" s="669">
        <f>_xll.RssMarket("4536","安値")</f>
        <v/>
      </c>
      <c r="D67" s="661">
        <f>C67-E67</f>
        <v/>
      </c>
      <c r="E67" s="22" t="n">
        <v>1855</v>
      </c>
      <c r="F67" s="22" t="n">
        <v>1835</v>
      </c>
      <c r="G67" s="22" t="n">
        <v>1878</v>
      </c>
      <c r="H67" s="22" t="n">
        <v>1863.5</v>
      </c>
      <c r="I67" s="22" t="n">
        <v>1883</v>
      </c>
      <c r="J67" s="22" t="n">
        <v>1899</v>
      </c>
      <c r="K67" s="22" t="n">
        <v>1882.5</v>
      </c>
      <c r="L67" s="22" t="n">
        <v>1916.5</v>
      </c>
      <c r="M67" s="22" t="n">
        <v>1942</v>
      </c>
      <c r="N67" s="22" t="n">
        <v>1936</v>
      </c>
      <c r="O67" s="22" t="n">
        <v>1903</v>
      </c>
      <c r="P67" s="22" t="n">
        <v>1856</v>
      </c>
      <c r="Q67" s="22" t="n">
        <v>1829</v>
      </c>
      <c r="R67" s="22" t="n">
        <v>1841</v>
      </c>
      <c r="S67" s="22" t="n">
        <v>1887</v>
      </c>
      <c r="T67" s="22" t="n">
        <v>1879</v>
      </c>
      <c r="U67" s="22" t="n">
        <v>1882</v>
      </c>
      <c r="V67" s="22" t="n">
        <v>1919.5</v>
      </c>
      <c r="W67" s="22" t="n">
        <v>1875</v>
      </c>
      <c r="X67" s="22" t="n">
        <v>1872</v>
      </c>
      <c r="Y67" s="22" t="n">
        <v>1890.5</v>
      </c>
      <c r="Z67" s="22" t="n">
        <v>1799</v>
      </c>
      <c r="AA67" s="22" t="n">
        <v>1820</v>
      </c>
      <c r="AB67" s="22" t="n">
        <v>1829</v>
      </c>
      <c r="AC67" s="22" t="n">
        <v>1791</v>
      </c>
      <c r="AD67" s="22" t="n">
        <v>1652.5</v>
      </c>
      <c r="AE67" s="22" t="n">
        <v>1561.5</v>
      </c>
      <c r="AF67" s="22" t="n">
        <v>1602.5</v>
      </c>
      <c r="AG67" s="22" t="n">
        <v>1588</v>
      </c>
      <c r="AH67" s="22" t="n">
        <v>1622</v>
      </c>
      <c r="AI67" s="22" t="n">
        <v>1611</v>
      </c>
      <c r="AJ67" s="22" t="n">
        <v>1595.5</v>
      </c>
      <c r="AK67" s="22" t="n">
        <v>1631</v>
      </c>
      <c r="AL67" s="22" t="n">
        <v>1643</v>
      </c>
      <c r="AM67" s="22" t="n">
        <v>1664.5</v>
      </c>
      <c r="AN67" s="22" t="n">
        <v>1649</v>
      </c>
      <c r="AO67" s="22" t="n">
        <v>1679.5</v>
      </c>
      <c r="AP67" s="22" t="n">
        <v>1712.5</v>
      </c>
      <c r="AQ67" s="22" t="n">
        <v>1747</v>
      </c>
      <c r="AR67" s="22" t="n">
        <v>1772</v>
      </c>
      <c r="AS67" s="22" t="n">
        <v>1772.5</v>
      </c>
      <c r="AT67" s="22" t="n">
        <v>1790.5</v>
      </c>
      <c r="AU67" s="22" t="n">
        <v>1789</v>
      </c>
      <c r="AV67" s="22" t="n">
        <v>1803</v>
      </c>
      <c r="AW67" s="22" t="n">
        <v>1826.5</v>
      </c>
      <c r="AX67" s="22" t="n">
        <v>1892</v>
      </c>
      <c r="AY67" s="22" t="n">
        <v>1905</v>
      </c>
      <c r="AZ67" s="22" t="n">
        <v>1869.5</v>
      </c>
      <c r="BA67" s="22" t="n">
        <v>1831.5</v>
      </c>
      <c r="BB67" s="22" t="n">
        <v>1795</v>
      </c>
      <c r="BC67" s="22" t="n">
        <v>1817.5</v>
      </c>
      <c r="BD67" s="22" t="n">
        <v>1788</v>
      </c>
      <c r="BE67" s="22" t="n">
        <v>1753</v>
      </c>
      <c r="BF67" s="22" t="n">
        <v>1713.5</v>
      </c>
      <c r="BG67" s="22" t="n">
        <v>1756</v>
      </c>
      <c r="BH67" s="22" t="n">
        <v>1734</v>
      </c>
      <c r="BI67" s="22" t="n">
        <v>1730.5</v>
      </c>
      <c r="BJ67" s="22" t="n">
        <v>1672.5</v>
      </c>
      <c r="BK67" s="22" t="n">
        <v>1642.5</v>
      </c>
      <c r="BL67" s="22" t="n">
        <v>1679</v>
      </c>
    </row>
    <row r="68" ht="15.95" customHeight="1" s="574">
      <c r="A68" s="68" t="inlineStr">
        <is>
          <t>6503</t>
        </is>
      </c>
      <c r="B68" s="44" t="inlineStr">
        <is>
          <t>三菱電機</t>
        </is>
      </c>
      <c r="C68" s="669">
        <f>_xll.RssMarket("6503","安値")</f>
        <v/>
      </c>
      <c r="D68" s="661">
        <f>C68-E68</f>
        <v/>
      </c>
      <c r="E68" s="22" t="n">
        <v>6065</v>
      </c>
      <c r="F68" s="22" t="n">
        <v>6023</v>
      </c>
      <c r="G68" s="22" t="n">
        <v>6040</v>
      </c>
      <c r="H68" s="22" t="n">
        <v>5790</v>
      </c>
      <c r="I68" s="22" t="n">
        <v>5820</v>
      </c>
      <c r="J68" s="22" t="n">
        <v>5676</v>
      </c>
      <c r="K68" s="22" t="n">
        <v>5455</v>
      </c>
      <c r="L68" s="22" t="n">
        <v>5225</v>
      </c>
      <c r="M68" s="22" t="n">
        <v>5471</v>
      </c>
      <c r="N68" s="22" t="n">
        <v>5490</v>
      </c>
      <c r="O68" s="22" t="n">
        <v>5797</v>
      </c>
      <c r="P68" s="22" t="n">
        <v>5908</v>
      </c>
      <c r="Q68" s="22" t="n">
        <v>6030</v>
      </c>
      <c r="R68" s="22" t="n">
        <v>5867</v>
      </c>
      <c r="S68" s="22" t="n">
        <v>6290</v>
      </c>
      <c r="T68" s="22" t="n">
        <v>6320</v>
      </c>
      <c r="U68" s="22" t="n">
        <v>6488</v>
      </c>
      <c r="V68" s="22" t="n">
        <v>6392</v>
      </c>
      <c r="W68" s="22" t="n">
        <v>6080</v>
      </c>
      <c r="X68" s="22" t="n">
        <v>5957</v>
      </c>
      <c r="Y68" s="22" t="n">
        <v>5623</v>
      </c>
      <c r="Z68" s="22" t="n">
        <v>6018</v>
      </c>
      <c r="AA68" s="22" t="n">
        <v>6200</v>
      </c>
      <c r="AB68" s="22" t="n">
        <v>6296</v>
      </c>
      <c r="AC68" s="22" t="n">
        <v>6382</v>
      </c>
      <c r="AD68" s="22" t="n">
        <v>6296</v>
      </c>
      <c r="AE68" s="22" t="n">
        <v>6373</v>
      </c>
      <c r="AF68" s="22" t="n">
        <v>6382</v>
      </c>
      <c r="AG68" s="22" t="n">
        <v>6401</v>
      </c>
      <c r="AH68" s="22" t="n">
        <v>6349</v>
      </c>
      <c r="AI68" s="22" t="n">
        <v>6061</v>
      </c>
      <c r="AJ68" s="22" t="n">
        <v>6115</v>
      </c>
      <c r="AK68" s="22" t="n">
        <v>5955</v>
      </c>
      <c r="AL68" s="22" t="n">
        <v>5943</v>
      </c>
      <c r="AM68" s="22" t="n">
        <v>5814</v>
      </c>
      <c r="AN68" s="22" t="n">
        <v>5739</v>
      </c>
      <c r="AO68" s="22" t="n">
        <v>5845</v>
      </c>
      <c r="AP68" s="22" t="n">
        <v>6028</v>
      </c>
      <c r="AQ68" s="22" t="n">
        <v>5866</v>
      </c>
      <c r="AR68" s="22" t="n">
        <v>5799</v>
      </c>
      <c r="AS68" s="22" t="n">
        <v>5878</v>
      </c>
      <c r="AT68" s="22" t="n">
        <v>5777</v>
      </c>
      <c r="AU68" s="22" t="n">
        <v>5835</v>
      </c>
      <c r="AV68" s="22" t="n">
        <v>5704</v>
      </c>
      <c r="AW68" s="22" t="n">
        <v>5664</v>
      </c>
      <c r="AX68" s="22" t="n">
        <v>5590</v>
      </c>
      <c r="AY68" s="22" t="n">
        <v>5546</v>
      </c>
      <c r="AZ68" s="22" t="n">
        <v>5310</v>
      </c>
      <c r="BA68" s="22" t="n">
        <v>5299</v>
      </c>
      <c r="BB68" s="22" t="n">
        <v>5289</v>
      </c>
      <c r="BC68" s="22" t="n">
        <v>5156</v>
      </c>
      <c r="BD68" s="22" t="n">
        <v>5183</v>
      </c>
      <c r="BE68" s="22" t="n">
        <v>4931</v>
      </c>
      <c r="BF68" s="22" t="n">
        <v>4957</v>
      </c>
      <c r="BG68" s="22" t="n">
        <v>5234</v>
      </c>
      <c r="BH68" s="22" t="n">
        <v>5383</v>
      </c>
      <c r="BI68" s="22" t="n">
        <v>5405</v>
      </c>
      <c r="BJ68" s="22" t="n">
        <v>5178</v>
      </c>
      <c r="BK68" s="22" t="n">
        <v>5069</v>
      </c>
      <c r="BL68" s="22" t="n">
        <v>5478</v>
      </c>
    </row>
    <row r="69" ht="15.95" customHeight="1" s="574">
      <c r="A69" s="68" t="inlineStr">
        <is>
          <t>4980</t>
        </is>
      </c>
      <c r="B69" s="44" t="inlineStr">
        <is>
          <t>デクセリアルズ</t>
        </is>
      </c>
      <c r="C69" s="669">
        <f>_xll.RssMarket("4980","安値")</f>
        <v/>
      </c>
      <c r="D69" s="661">
        <f>C69-E69</f>
        <v/>
      </c>
      <c r="E69" s="22" t="n">
        <v>4872</v>
      </c>
      <c r="F69" s="22" t="n">
        <v>4683</v>
      </c>
      <c r="G69" s="22" t="n">
        <v>4582</v>
      </c>
      <c r="H69" s="22" t="n">
        <v>4361</v>
      </c>
      <c r="I69" s="22" t="n">
        <v>4280</v>
      </c>
      <c r="J69" s="22" t="n">
        <v>4122</v>
      </c>
      <c r="K69" s="22" t="n">
        <v>3950</v>
      </c>
      <c r="L69" s="22" t="n">
        <v>3567</v>
      </c>
      <c r="M69" s="22" t="n">
        <v>3653</v>
      </c>
      <c r="N69" s="22" t="n">
        <v>3886</v>
      </c>
      <c r="O69" s="22" t="n">
        <v>4217</v>
      </c>
      <c r="P69" s="22" t="n">
        <v>4232</v>
      </c>
      <c r="Q69" s="22" t="n">
        <v>4448</v>
      </c>
      <c r="R69" s="22" t="n">
        <v>4300</v>
      </c>
      <c r="S69" s="22" t="n">
        <v>3965</v>
      </c>
      <c r="T69" s="22" t="n">
        <v>3913</v>
      </c>
      <c r="U69" s="22" t="n">
        <v>3965</v>
      </c>
      <c r="V69" s="22" t="n">
        <v>4126</v>
      </c>
      <c r="W69" s="22" t="n">
        <v>4081</v>
      </c>
      <c r="X69" s="22" t="n">
        <v>3795</v>
      </c>
      <c r="Y69" s="22" t="n">
        <v>3512</v>
      </c>
      <c r="Z69" s="22" t="n">
        <v>3750</v>
      </c>
      <c r="AA69" s="22" t="n">
        <v>4056</v>
      </c>
      <c r="AB69" s="22" t="n">
        <v>3849</v>
      </c>
      <c r="AC69" s="22" t="n">
        <v>3149</v>
      </c>
      <c r="AD69" s="22" t="n">
        <v>2573.5</v>
      </c>
      <c r="AE69" s="22" t="n">
        <v>2656</v>
      </c>
      <c r="AF69" s="22" t="n">
        <v>2697</v>
      </c>
      <c r="AG69" s="22" t="n">
        <v>2601</v>
      </c>
      <c r="AH69" s="22" t="n">
        <v>2555</v>
      </c>
      <c r="AI69" s="22" t="n">
        <v>2435</v>
      </c>
      <c r="AJ69" s="22" t="n">
        <v>2436.5</v>
      </c>
      <c r="AK69" s="22" t="n">
        <v>2452</v>
      </c>
      <c r="AL69" s="22" t="n">
        <v>2463</v>
      </c>
      <c r="AM69" s="22" t="n">
        <v>2415.5</v>
      </c>
      <c r="AN69" s="22" t="n">
        <v>2359.5</v>
      </c>
      <c r="AO69" s="22" t="n">
        <v>2443.5</v>
      </c>
      <c r="AP69" s="22" t="n">
        <v>2413</v>
      </c>
      <c r="AQ69" s="22" t="n">
        <v>2436</v>
      </c>
      <c r="AR69" s="22" t="n">
        <v>2392.5</v>
      </c>
      <c r="AS69" s="22" t="n">
        <v>2383</v>
      </c>
      <c r="AT69" s="22" t="n">
        <v>2355</v>
      </c>
      <c r="AU69" s="22" t="n">
        <v>2352.5</v>
      </c>
      <c r="AV69" s="22" t="n">
        <v>2302</v>
      </c>
      <c r="AW69" s="22" t="n">
        <v>2348</v>
      </c>
      <c r="AX69" s="22" t="n">
        <v>2300</v>
      </c>
      <c r="AY69" s="22" t="n">
        <v>2277</v>
      </c>
      <c r="AZ69" s="22" t="n">
        <v>2191.5</v>
      </c>
      <c r="BA69" s="22" t="n">
        <v>2175</v>
      </c>
      <c r="BB69" s="22" t="n">
        <v>2159</v>
      </c>
      <c r="BC69" s="22" t="n">
        <v>2136.5</v>
      </c>
      <c r="BD69" s="22" t="n">
        <v>2175</v>
      </c>
      <c r="BE69" s="22" t="n">
        <v>2083</v>
      </c>
      <c r="BF69" s="22" t="n">
        <v>2092</v>
      </c>
      <c r="BG69" s="22" t="n">
        <v>2212.5</v>
      </c>
      <c r="BH69" s="22" t="n">
        <v>2221.5</v>
      </c>
      <c r="BI69" s="22" t="n">
        <v>2220.5</v>
      </c>
      <c r="BJ69" s="22" t="n">
        <v>2154.5</v>
      </c>
      <c r="BK69" s="22" t="n">
        <v>2112</v>
      </c>
      <c r="BL69" s="22" t="n">
        <v>2296</v>
      </c>
    </row>
    <row r="70" ht="15.95" customHeight="1" s="574">
      <c r="A70" s="68" t="inlineStr">
        <is>
          <t>9424</t>
        </is>
      </c>
      <c r="B70" s="44" t="inlineStr">
        <is>
          <t>日本通信</t>
        </is>
      </c>
      <c r="C70" s="669">
        <f>_xll.RssMarket("9424","安値")</f>
        <v/>
      </c>
      <c r="D70" s="661">
        <f>C70-E70</f>
        <v/>
      </c>
      <c r="E70" s="22" t="n">
        <v>112</v>
      </c>
      <c r="F70" s="22" t="n">
        <v>113</v>
      </c>
      <c r="G70" s="22" t="n">
        <v>112</v>
      </c>
      <c r="H70" s="22" t="n">
        <v>111</v>
      </c>
      <c r="I70" s="22" t="n">
        <v>112</v>
      </c>
      <c r="J70" s="22" t="n">
        <v>111</v>
      </c>
      <c r="K70" s="22" t="n">
        <v>114</v>
      </c>
      <c r="L70" s="22" t="n">
        <v>113</v>
      </c>
      <c r="M70" s="22" t="n">
        <v>111</v>
      </c>
      <c r="N70" s="22" t="n">
        <v>113</v>
      </c>
      <c r="O70" s="22" t="n">
        <v>120</v>
      </c>
      <c r="P70" s="22" t="n">
        <v>121</v>
      </c>
      <c r="Q70" s="22" t="n">
        <v>120</v>
      </c>
      <c r="R70" s="22" t="n">
        <v>121</v>
      </c>
      <c r="S70" s="22" t="n">
        <v>122</v>
      </c>
      <c r="T70" s="22" t="n">
        <v>121</v>
      </c>
      <c r="U70" s="22" t="n">
        <v>124</v>
      </c>
      <c r="V70" s="22" t="n">
        <v>125</v>
      </c>
      <c r="W70" s="22" t="n">
        <v>126</v>
      </c>
      <c r="X70" s="22" t="n">
        <v>123</v>
      </c>
      <c r="Y70" s="22" t="n">
        <v>124</v>
      </c>
      <c r="Z70" s="22" t="n">
        <v>123</v>
      </c>
      <c r="AA70" s="22" t="n">
        <v>123</v>
      </c>
      <c r="AB70" s="22" t="n">
        <v>124</v>
      </c>
      <c r="AC70" s="22" t="n">
        <v>125</v>
      </c>
      <c r="AD70" s="22" t="n">
        <v>124</v>
      </c>
      <c r="AE70" s="22" t="n">
        <v>128</v>
      </c>
      <c r="AF70" s="22" t="n">
        <v>129</v>
      </c>
      <c r="AG70" s="22" t="n">
        <v>128</v>
      </c>
      <c r="AH70" s="22" t="n">
        <v>130</v>
      </c>
      <c r="AI70" s="22" t="n">
        <v>131</v>
      </c>
      <c r="AJ70" s="22" t="n">
        <v>126</v>
      </c>
      <c r="AK70" s="22" t="n">
        <v>125</v>
      </c>
      <c r="AL70" s="22" t="n">
        <v>124</v>
      </c>
      <c r="AM70" s="22" t="n">
        <v>126</v>
      </c>
      <c r="AN70" s="22" t="n">
        <v>129</v>
      </c>
      <c r="AO70" s="22" t="n">
        <v>129</v>
      </c>
      <c r="AP70" s="22" t="n">
        <v>127</v>
      </c>
      <c r="AQ70" s="22" t="n">
        <v>127</v>
      </c>
      <c r="AR70" s="22" t="n">
        <v>128</v>
      </c>
      <c r="AS70" s="22" t="n">
        <v>129</v>
      </c>
      <c r="AT70" s="22" t="n">
        <v>129</v>
      </c>
      <c r="AU70" s="22" t="n">
        <v>128</v>
      </c>
      <c r="AV70" s="22" t="n">
        <v>128</v>
      </c>
      <c r="AW70" s="22" t="n">
        <v>130</v>
      </c>
      <c r="AX70" s="22" t="n">
        <v>129</v>
      </c>
      <c r="AY70" s="22" t="n">
        <v>130</v>
      </c>
      <c r="AZ70" s="22" t="n">
        <v>128</v>
      </c>
      <c r="BA70" s="22" t="n">
        <v>124</v>
      </c>
      <c r="BB70" s="22" t="n">
        <v>128</v>
      </c>
      <c r="BC70" s="22" t="n">
        <v>131</v>
      </c>
      <c r="BD70" s="22" t="n">
        <v>130</v>
      </c>
      <c r="BE70" s="22" t="n">
        <v>128</v>
      </c>
      <c r="BF70" s="22" t="n">
        <v>127</v>
      </c>
      <c r="BG70" s="22" t="n">
        <v>130</v>
      </c>
      <c r="BH70" s="22" t="n">
        <v>135</v>
      </c>
      <c r="BI70" s="22" t="n">
        <v>133</v>
      </c>
      <c r="BJ70" s="22" t="n">
        <v>129</v>
      </c>
      <c r="BK70" s="22" t="n">
        <v>133</v>
      </c>
      <c r="BL70" s="22" t="n">
        <v>132</v>
      </c>
    </row>
    <row r="71" ht="15.95" customHeight="1" s="574">
      <c r="A71" s="68" t="inlineStr">
        <is>
          <t>3854</t>
        </is>
      </c>
      <c r="B71" s="44" t="inlineStr">
        <is>
          <t>アイル</t>
        </is>
      </c>
      <c r="C71" s="669">
        <f>_xll.RssMarket("3854","安値")</f>
        <v/>
      </c>
      <c r="D71" s="661">
        <f>C71-E71</f>
        <v/>
      </c>
      <c r="E71" s="22" t="n">
        <v>2171</v>
      </c>
      <c r="F71" s="22" t="n">
        <v>2155</v>
      </c>
      <c r="G71" s="22" t="n">
        <v>2172</v>
      </c>
      <c r="H71" s="22" t="n">
        <v>2159</v>
      </c>
      <c r="I71" s="22" t="n">
        <v>2160</v>
      </c>
      <c r="J71" s="22" t="n">
        <v>2198</v>
      </c>
      <c r="K71" s="22" t="n">
        <v>2210</v>
      </c>
      <c r="L71" s="22" t="n">
        <v>2250</v>
      </c>
      <c r="M71" s="22" t="n">
        <v>2390</v>
      </c>
      <c r="N71" s="22" t="n">
        <v>2414</v>
      </c>
      <c r="O71" s="22" t="n">
        <v>2490</v>
      </c>
      <c r="P71" s="22" t="n">
        <v>2460</v>
      </c>
      <c r="Q71" s="22" t="n">
        <v>2600</v>
      </c>
      <c r="R71" s="22" t="n">
        <v>2551</v>
      </c>
      <c r="S71" s="22" t="n">
        <v>2516</v>
      </c>
      <c r="T71" s="22" t="n">
        <v>2471</v>
      </c>
      <c r="U71" s="22" t="n">
        <v>2496</v>
      </c>
      <c r="V71" s="22" t="n">
        <v>2476</v>
      </c>
      <c r="W71" s="22" t="n">
        <v>2446</v>
      </c>
      <c r="X71" s="22" t="n">
        <v>2425</v>
      </c>
      <c r="Y71" s="22" t="n">
        <v>2405</v>
      </c>
      <c r="Z71" s="22" t="n">
        <v>2384</v>
      </c>
      <c r="AA71" s="22" t="n">
        <v>2325</v>
      </c>
      <c r="AB71" s="22" t="n">
        <v>2307</v>
      </c>
      <c r="AC71" s="22" t="n">
        <v>2363</v>
      </c>
      <c r="AD71" s="22" t="n">
        <v>2368</v>
      </c>
      <c r="AE71" s="22" t="n">
        <v>2391</v>
      </c>
      <c r="AF71" s="22" t="n">
        <v>2371</v>
      </c>
      <c r="AG71" s="22" t="n">
        <v>2360</v>
      </c>
      <c r="AH71" s="22" t="n">
        <v>2334</v>
      </c>
      <c r="AI71" s="22" t="n">
        <v>2370</v>
      </c>
      <c r="AJ71" s="22" t="n">
        <v>2384</v>
      </c>
      <c r="AK71" s="22" t="n">
        <v>2382</v>
      </c>
      <c r="AL71" s="22" t="n">
        <v>2395</v>
      </c>
      <c r="AM71" s="22" t="n">
        <v>2412</v>
      </c>
      <c r="AN71" s="22" t="n">
        <v>2427</v>
      </c>
      <c r="AO71" s="22" t="n">
        <v>2436</v>
      </c>
      <c r="AP71" s="22" t="n">
        <v>2420</v>
      </c>
      <c r="AQ71" s="22" t="n">
        <v>2395</v>
      </c>
      <c r="AR71" s="22" t="n">
        <v>2381</v>
      </c>
      <c r="AS71" s="22" t="n">
        <v>2398</v>
      </c>
      <c r="AT71" s="22" t="n">
        <v>2371</v>
      </c>
      <c r="AU71" s="22" t="n">
        <v>2320</v>
      </c>
      <c r="AV71" s="22" t="n">
        <v>2341</v>
      </c>
      <c r="AW71" s="22" t="n">
        <v>2398</v>
      </c>
      <c r="AX71" s="22" t="n">
        <v>2420</v>
      </c>
      <c r="AY71" s="22" t="n">
        <v>2389</v>
      </c>
      <c r="AZ71" s="22" t="n">
        <v>2408</v>
      </c>
      <c r="BA71" s="22" t="n">
        <v>2380</v>
      </c>
      <c r="BB71" s="22" t="n">
        <v>2372</v>
      </c>
      <c r="BC71" s="22" t="n">
        <v>2396</v>
      </c>
      <c r="BD71" s="22" t="n">
        <v>2370</v>
      </c>
      <c r="BE71" s="22" t="n">
        <v>2335</v>
      </c>
      <c r="BF71" s="22" t="n">
        <v>2378</v>
      </c>
      <c r="BG71" s="22" t="n">
        <v>2353</v>
      </c>
      <c r="BH71" s="22" t="n">
        <v>2373</v>
      </c>
      <c r="BI71" s="22" t="n">
        <v>2357</v>
      </c>
      <c r="BJ71" s="22" t="n">
        <v>2301</v>
      </c>
      <c r="BK71" s="22" t="n">
        <v>2357</v>
      </c>
      <c r="BL71" s="22" t="n">
        <v>2372</v>
      </c>
    </row>
    <row r="72" ht="15.95" customHeight="1" s="574">
      <c r="A72" s="68" t="inlineStr">
        <is>
          <t>6027</t>
        </is>
      </c>
      <c r="B72" s="44" t="inlineStr">
        <is>
          <t>弁護士ドットコム</t>
        </is>
      </c>
      <c r="C72" s="669">
        <f>_xll.RssMarket("6027","安値")</f>
        <v/>
      </c>
      <c r="D72" s="661">
        <f>C72-E72</f>
        <v/>
      </c>
      <c r="E72" s="22" t="n">
        <v>2180</v>
      </c>
      <c r="F72" s="22" t="n">
        <v>2115</v>
      </c>
      <c r="G72" s="22" t="n">
        <v>2120</v>
      </c>
      <c r="H72" s="22" t="n">
        <v>2097</v>
      </c>
      <c r="I72" s="22" t="n">
        <v>2083</v>
      </c>
      <c r="J72" s="22" t="n">
        <v>2080</v>
      </c>
      <c r="K72" s="22" t="n">
        <v>2105</v>
      </c>
      <c r="L72" s="22" t="n">
        <v>2104</v>
      </c>
      <c r="M72" s="22" t="n">
        <v>2143</v>
      </c>
      <c r="N72" s="22" t="n">
        <v>2200</v>
      </c>
      <c r="O72" s="22" t="n">
        <v>2249</v>
      </c>
      <c r="P72" s="22" t="n">
        <v>2212</v>
      </c>
      <c r="Q72" s="22" t="n">
        <v>2235</v>
      </c>
      <c r="R72" s="22" t="n">
        <v>2305</v>
      </c>
      <c r="S72" s="22" t="n">
        <v>2406</v>
      </c>
      <c r="T72" s="22" t="n">
        <v>2394</v>
      </c>
      <c r="U72" s="22" t="n">
        <v>2430</v>
      </c>
      <c r="V72" s="22" t="n">
        <v>2486</v>
      </c>
      <c r="W72" s="22" t="n">
        <v>2539</v>
      </c>
      <c r="X72" s="22" t="n">
        <v>2554</v>
      </c>
      <c r="Y72" s="22" t="n">
        <v>2562</v>
      </c>
      <c r="Z72" s="22" t="n">
        <v>2733</v>
      </c>
      <c r="AA72" s="22" t="n">
        <v>2667</v>
      </c>
      <c r="AB72" s="22" t="n">
        <v>2623</v>
      </c>
      <c r="AC72" s="22" t="n">
        <v>2598</v>
      </c>
      <c r="AD72" s="22" t="n">
        <v>2643</v>
      </c>
      <c r="AE72" s="22" t="n">
        <v>2657</v>
      </c>
      <c r="AF72" s="22" t="n">
        <v>2731</v>
      </c>
      <c r="AG72" s="22" t="n">
        <v>2646</v>
      </c>
      <c r="AH72" s="22" t="n">
        <v>2550</v>
      </c>
      <c r="AI72" s="22" t="n">
        <v>2470</v>
      </c>
      <c r="AJ72" s="22" t="n">
        <v>2461</v>
      </c>
      <c r="AK72" s="22" t="n">
        <v>2412</v>
      </c>
      <c r="AL72" s="22" t="n">
        <v>2410</v>
      </c>
      <c r="AM72" s="22" t="n">
        <v>2500</v>
      </c>
      <c r="AN72" s="22" t="n">
        <v>2560</v>
      </c>
      <c r="AO72" s="22" t="n">
        <v>2580</v>
      </c>
      <c r="AP72" s="22" t="n">
        <v>2557</v>
      </c>
      <c r="AQ72" s="22" t="n">
        <v>2558</v>
      </c>
      <c r="AR72" s="22" t="n">
        <v>2570</v>
      </c>
      <c r="AS72" s="22" t="n">
        <v>2635</v>
      </c>
      <c r="AT72" s="22" t="n">
        <v>2609</v>
      </c>
      <c r="AU72" s="22" t="n">
        <v>2573</v>
      </c>
      <c r="AV72" s="22" t="n">
        <v>2480</v>
      </c>
      <c r="AW72" s="22" t="n">
        <v>2565</v>
      </c>
      <c r="AX72" s="22" t="n">
        <v>2731</v>
      </c>
      <c r="AY72" s="22" t="n">
        <v>2899</v>
      </c>
      <c r="AZ72" s="22" t="n">
        <v>2848</v>
      </c>
      <c r="BA72" s="22" t="n">
        <v>2832</v>
      </c>
      <c r="BB72" s="22" t="n">
        <v>2835</v>
      </c>
      <c r="BC72" s="22" t="n">
        <v>2856</v>
      </c>
      <c r="BD72" s="22" t="n">
        <v>2868</v>
      </c>
      <c r="BE72" s="22" t="n">
        <v>2791</v>
      </c>
      <c r="BF72" s="22" t="n">
        <v>2753</v>
      </c>
      <c r="BG72" s="22" t="n">
        <v>2889</v>
      </c>
      <c r="BH72" s="22" t="n">
        <v>2850</v>
      </c>
      <c r="BI72" s="22" t="n">
        <v>2836</v>
      </c>
      <c r="BJ72" s="22" t="n">
        <v>2792</v>
      </c>
      <c r="BK72" s="22" t="n">
        <v>2750</v>
      </c>
      <c r="BL72" s="22" t="n">
        <v>2762</v>
      </c>
    </row>
    <row r="73" ht="15.95" customHeight="1" s="574">
      <c r="A73" s="68" t="inlineStr">
        <is>
          <t>7806</t>
        </is>
      </c>
      <c r="B73" s="44" t="inlineStr">
        <is>
          <t>ＭＴＧ</t>
        </is>
      </c>
      <c r="C73" s="669">
        <f>_xll.RssMarket("7806","安値")</f>
        <v/>
      </c>
      <c r="D73" s="661">
        <f>C73-E73</f>
        <v/>
      </c>
      <c r="E73" s="22" t="n">
        <v>7540</v>
      </c>
      <c r="F73" s="22" t="n">
        <v>7560</v>
      </c>
      <c r="G73" s="22" t="n">
        <v>7370</v>
      </c>
      <c r="H73" s="22" t="n">
        <v>7150</v>
      </c>
      <c r="I73" s="22" t="n">
        <v>7030</v>
      </c>
      <c r="J73" s="22" t="n">
        <v>6940</v>
      </c>
      <c r="K73" s="22" t="n">
        <v>6970</v>
      </c>
      <c r="L73" s="22" t="n">
        <v>6800</v>
      </c>
      <c r="M73" s="22" t="n">
        <v>6930</v>
      </c>
      <c r="N73" s="22" t="n">
        <v>6680</v>
      </c>
      <c r="O73" s="22" t="n">
        <v>6750</v>
      </c>
      <c r="P73" s="22" t="n">
        <v>6650</v>
      </c>
      <c r="Q73" s="22" t="n">
        <v>7000</v>
      </c>
      <c r="R73" s="22" t="n">
        <v>6880</v>
      </c>
      <c r="S73" s="22" t="n">
        <v>7310</v>
      </c>
      <c r="T73" s="22" t="n">
        <v>7000</v>
      </c>
      <c r="U73" s="22" t="n">
        <v>6970</v>
      </c>
      <c r="V73" s="22" t="n">
        <v>6260</v>
      </c>
      <c r="W73" s="22" t="n">
        <v>6150</v>
      </c>
      <c r="X73" s="22" t="n">
        <v>6300</v>
      </c>
      <c r="Y73" s="22" t="n">
        <v>6340</v>
      </c>
      <c r="Z73" s="22" t="n">
        <v>6210</v>
      </c>
      <c r="AA73" s="22" t="n">
        <v>6240</v>
      </c>
      <c r="AB73" s="22" t="n">
        <v>6620</v>
      </c>
      <c r="AC73" s="22" t="n">
        <v>6760</v>
      </c>
      <c r="AD73" s="22" t="n">
        <v>6540</v>
      </c>
      <c r="AE73" s="22" t="n">
        <v>6080</v>
      </c>
      <c r="AF73" s="22" t="n">
        <v>6280</v>
      </c>
      <c r="AG73" s="22" t="n">
        <v>6160</v>
      </c>
      <c r="AH73" s="22" t="n">
        <v>6050</v>
      </c>
      <c r="AI73" s="22" t="n">
        <v>5800</v>
      </c>
      <c r="AJ73" s="22" t="n">
        <v>5720</v>
      </c>
      <c r="AK73" s="22" t="n">
        <v>5910</v>
      </c>
      <c r="AL73" s="22" t="n">
        <v>5960</v>
      </c>
      <c r="AM73" s="22" t="n">
        <v>6220</v>
      </c>
      <c r="AN73" s="22" t="n">
        <v>6350</v>
      </c>
      <c r="AO73" s="22" t="n">
        <v>6450</v>
      </c>
      <c r="AP73" s="22" t="n">
        <v>6470</v>
      </c>
      <c r="AQ73" s="22" t="n">
        <v>6520</v>
      </c>
      <c r="AR73" s="22" t="n">
        <v>6430</v>
      </c>
      <c r="AS73" s="22" t="n">
        <v>6330</v>
      </c>
      <c r="AT73" s="22" t="n">
        <v>6280</v>
      </c>
      <c r="AU73" s="22" t="n">
        <v>6190</v>
      </c>
      <c r="AV73" s="22" t="n">
        <v>5900</v>
      </c>
      <c r="AW73" s="22" t="n">
        <v>5950</v>
      </c>
      <c r="AX73" s="22" t="n">
        <v>6020</v>
      </c>
      <c r="AY73" s="22" t="n">
        <v>6110</v>
      </c>
      <c r="AZ73" s="22" t="n">
        <v>5980</v>
      </c>
      <c r="BA73" s="22" t="n">
        <v>6120</v>
      </c>
      <c r="BB73" s="22" t="n">
        <v>6250</v>
      </c>
      <c r="BC73" s="22" t="n">
        <v>6260</v>
      </c>
      <c r="BD73" s="22" t="n">
        <v>6170</v>
      </c>
      <c r="BE73" s="22" t="n">
        <v>6090</v>
      </c>
      <c r="BF73" s="22" t="n">
        <v>6040</v>
      </c>
      <c r="BG73" s="22" t="n">
        <v>6210</v>
      </c>
      <c r="BH73" s="22" t="n">
        <v>5860</v>
      </c>
      <c r="BI73" s="22" t="n">
        <v>5910</v>
      </c>
      <c r="BJ73" s="22" t="n">
        <v>5810</v>
      </c>
      <c r="BK73" s="22" t="n">
        <v>5690</v>
      </c>
      <c r="BL73" s="22" t="n">
        <v>6150</v>
      </c>
    </row>
    <row r="74" ht="15.95" customHeight="1" s="574">
      <c r="A74" s="68" t="inlineStr">
        <is>
          <t>9202</t>
        </is>
      </c>
      <c r="B74" s="44" t="inlineStr">
        <is>
          <t>ＡＮＡホールディングス</t>
        </is>
      </c>
      <c r="C74" s="669">
        <f>_xll.RssMarket("9202","安値")</f>
        <v/>
      </c>
      <c r="D74" s="661">
        <f>C74-E74</f>
        <v/>
      </c>
      <c r="E74" s="22" t="n">
        <v>2900.5</v>
      </c>
      <c r="F74" s="22" t="n">
        <v>2943</v>
      </c>
      <c r="G74" s="22" t="n">
        <v>2979</v>
      </c>
      <c r="H74" s="22" t="n">
        <v>3026</v>
      </c>
      <c r="I74" s="22" t="n">
        <v>2988</v>
      </c>
      <c r="J74" s="22" t="n">
        <v>2920</v>
      </c>
      <c r="K74" s="22" t="n">
        <v>2810</v>
      </c>
      <c r="L74" s="22" t="n">
        <v>2780.5</v>
      </c>
      <c r="M74" s="22" t="n">
        <v>2788</v>
      </c>
      <c r="N74" s="22" t="n">
        <v>2783.5</v>
      </c>
      <c r="O74" s="22" t="n">
        <v>2818</v>
      </c>
      <c r="P74" s="22" t="n">
        <v>2795.5</v>
      </c>
      <c r="Q74" s="22" t="n">
        <v>2797</v>
      </c>
      <c r="R74" s="22" t="n">
        <v>2844</v>
      </c>
      <c r="S74" s="22" t="n">
        <v>2920.5</v>
      </c>
      <c r="T74" s="22" t="n">
        <v>2871</v>
      </c>
      <c r="U74" s="22" t="n">
        <v>2858.5</v>
      </c>
      <c r="V74" s="22" t="n">
        <v>2804.5</v>
      </c>
      <c r="W74" s="22" t="n">
        <v>2770.5</v>
      </c>
      <c r="X74" s="22" t="n">
        <v>2762</v>
      </c>
      <c r="Y74" s="22" t="n">
        <v>2700</v>
      </c>
      <c r="Z74" s="22" t="n">
        <v>2727</v>
      </c>
      <c r="AA74" s="22" t="n">
        <v>2717</v>
      </c>
      <c r="AB74" s="22" t="n">
        <v>2731.5</v>
      </c>
      <c r="AC74" s="22" t="n">
        <v>2763</v>
      </c>
      <c r="AD74" s="22" t="n">
        <v>2765.5</v>
      </c>
      <c r="AE74" s="22" t="n">
        <v>2772</v>
      </c>
      <c r="AF74" s="22" t="n">
        <v>2805</v>
      </c>
      <c r="AG74" s="22" t="n">
        <v>2828.5</v>
      </c>
      <c r="AH74" s="22" t="n">
        <v>2734.5</v>
      </c>
      <c r="AI74" s="22" t="n">
        <v>2623</v>
      </c>
      <c r="AJ74" s="22" t="n">
        <v>2582</v>
      </c>
      <c r="AK74" s="22" t="n">
        <v>2603</v>
      </c>
      <c r="AL74" s="22" t="n">
        <v>2666</v>
      </c>
      <c r="AM74" s="22" t="n">
        <v>2690</v>
      </c>
      <c r="AN74" s="22" t="n">
        <v>2713</v>
      </c>
      <c r="AO74" s="22" t="n">
        <v>2814.5</v>
      </c>
      <c r="AP74" s="22" t="n">
        <v>2852.5</v>
      </c>
      <c r="AQ74" s="22" t="n">
        <v>2845</v>
      </c>
      <c r="AR74" s="22" t="n">
        <v>2820</v>
      </c>
      <c r="AS74" s="22" t="n">
        <v>2858.5</v>
      </c>
      <c r="AT74" s="22" t="n">
        <v>2847.5</v>
      </c>
      <c r="AU74" s="22" t="n">
        <v>2845.5</v>
      </c>
      <c r="AV74" s="22" t="n">
        <v>2844.5</v>
      </c>
      <c r="AW74" s="22" t="n">
        <v>2882</v>
      </c>
      <c r="AX74" s="22" t="n">
        <v>2890</v>
      </c>
      <c r="AY74" s="22" t="n">
        <v>2957</v>
      </c>
      <c r="AZ74" s="22" t="n">
        <v>2888</v>
      </c>
      <c r="BA74" s="22" t="n">
        <v>2918</v>
      </c>
      <c r="BB74" s="22" t="n">
        <v>2902</v>
      </c>
      <c r="BC74" s="22" t="n">
        <v>2893</v>
      </c>
      <c r="BD74" s="22" t="n">
        <v>2846.5</v>
      </c>
      <c r="BE74" s="22" t="n">
        <v>2804</v>
      </c>
      <c r="BF74" s="22" t="n">
        <v>2815</v>
      </c>
      <c r="BG74" s="22" t="n">
        <v>2979</v>
      </c>
      <c r="BH74" s="22" t="n">
        <v>2958</v>
      </c>
      <c r="BI74" s="22" t="n">
        <v>2965</v>
      </c>
      <c r="BJ74" s="22" t="n">
        <v>2928</v>
      </c>
      <c r="BK74" s="22" t="n">
        <v>2862.5</v>
      </c>
      <c r="BL74" s="22" t="n">
        <v>2891.5</v>
      </c>
    </row>
    <row r="75" ht="15.95" customHeight="1" s="574">
      <c r="A75" s="68" t="inlineStr">
        <is>
          <t>7846</t>
        </is>
      </c>
      <c r="B75" s="44" t="inlineStr">
        <is>
          <t>パイロットコーポレーション</t>
        </is>
      </c>
      <c r="C75" s="669">
        <f>_xll.RssMarket("7846","安値")</f>
        <v/>
      </c>
      <c r="D75" s="661">
        <f>C75-E75</f>
        <v/>
      </c>
      <c r="E75" s="22" t="n">
        <v>4908</v>
      </c>
      <c r="F75" s="22" t="n">
        <v>4909</v>
      </c>
      <c r="G75" s="22" t="n">
        <v>4927</v>
      </c>
      <c r="H75" s="22" t="n">
        <v>4964</v>
      </c>
      <c r="I75" s="22" t="n">
        <v>4900</v>
      </c>
      <c r="J75" s="22" t="n">
        <v>4925</v>
      </c>
      <c r="K75" s="22" t="n">
        <v>4881</v>
      </c>
      <c r="L75" s="22" t="n">
        <v>4827</v>
      </c>
      <c r="M75" s="22" t="n">
        <v>4856</v>
      </c>
      <c r="N75" s="22" t="n">
        <v>4855</v>
      </c>
      <c r="O75" s="22" t="n">
        <v>4845</v>
      </c>
      <c r="P75" s="22" t="n">
        <v>4805</v>
      </c>
      <c r="Q75" s="22" t="n">
        <v>4851</v>
      </c>
      <c r="R75" s="22" t="n">
        <v>4798</v>
      </c>
      <c r="S75" s="22" t="n">
        <v>4882</v>
      </c>
      <c r="T75" s="22" t="n">
        <v>4855</v>
      </c>
      <c r="U75" s="22" t="n">
        <v>4874</v>
      </c>
      <c r="V75" s="22" t="n">
        <v>4896</v>
      </c>
      <c r="W75" s="22" t="n">
        <v>4890</v>
      </c>
      <c r="X75" s="22" t="n">
        <v>4734</v>
      </c>
      <c r="Y75" s="22" t="n">
        <v>4690</v>
      </c>
      <c r="Z75" s="22" t="n">
        <v>4612</v>
      </c>
      <c r="AA75" s="22" t="n">
        <v>4579</v>
      </c>
      <c r="AB75" s="22" t="n">
        <v>4535</v>
      </c>
      <c r="AC75" s="22" t="n">
        <v>4509</v>
      </c>
      <c r="AD75" s="22" t="n">
        <v>4528</v>
      </c>
      <c r="AE75" s="22" t="n">
        <v>4743</v>
      </c>
      <c r="AF75" s="22" t="n">
        <v>4720</v>
      </c>
      <c r="AG75" s="22" t="n">
        <v>4786</v>
      </c>
      <c r="AH75" s="22" t="n">
        <v>4730</v>
      </c>
      <c r="AI75" s="22" t="n">
        <v>4753</v>
      </c>
      <c r="AJ75" s="22" t="n">
        <v>4771</v>
      </c>
      <c r="AK75" s="22" t="n">
        <v>4753</v>
      </c>
      <c r="AL75" s="22" t="n">
        <v>4775</v>
      </c>
      <c r="AM75" s="22" t="n">
        <v>4736</v>
      </c>
      <c r="AN75" s="22" t="n">
        <v>4780</v>
      </c>
      <c r="AO75" s="22" t="n">
        <v>4756</v>
      </c>
      <c r="AP75" s="22" t="n">
        <v>4800</v>
      </c>
      <c r="AQ75" s="22" t="n">
        <v>4803</v>
      </c>
      <c r="AR75" s="22" t="n">
        <v>4830</v>
      </c>
      <c r="AS75" s="22" t="n">
        <v>4832</v>
      </c>
      <c r="AT75" s="22" t="n">
        <v>4830</v>
      </c>
      <c r="AU75" s="22" t="n">
        <v>4855</v>
      </c>
      <c r="AV75" s="22" t="n">
        <v>4924</v>
      </c>
      <c r="AW75" s="22" t="n">
        <v>4955</v>
      </c>
      <c r="AX75" s="22" t="n">
        <v>4930</v>
      </c>
      <c r="AY75" s="22" t="n">
        <v>4898</v>
      </c>
      <c r="AZ75" s="22" t="n">
        <v>4846</v>
      </c>
      <c r="BA75" s="22" t="n">
        <v>4790</v>
      </c>
      <c r="BB75" s="22" t="n">
        <v>4860</v>
      </c>
      <c r="BC75" s="22" t="n">
        <v>4767</v>
      </c>
      <c r="BD75" s="22" t="n">
        <v>4624</v>
      </c>
      <c r="BE75" s="22" t="n">
        <v>4615</v>
      </c>
      <c r="BF75" s="22" t="n">
        <v>4744</v>
      </c>
      <c r="BG75" s="22" t="n">
        <v>4756</v>
      </c>
      <c r="BH75" s="22" t="n">
        <v>4750</v>
      </c>
      <c r="BI75" s="22" t="n">
        <v>4650</v>
      </c>
      <c r="BJ75" s="22" t="n">
        <v>4502</v>
      </c>
      <c r="BK75" s="22" t="n">
        <v>4570</v>
      </c>
      <c r="BL75" s="22" t="n">
        <v>4555</v>
      </c>
    </row>
    <row r="76" ht="15.95" customHeight="1" s="574">
      <c r="A76" s="68" t="inlineStr">
        <is>
          <t>2802</t>
        </is>
      </c>
      <c r="B76" s="44" t="inlineStr">
        <is>
          <t>味の素</t>
        </is>
      </c>
      <c r="C76" s="669">
        <f>_xll.RssMarket("2802","安値")</f>
        <v/>
      </c>
      <c r="D76" s="661">
        <f>C76-E76</f>
        <v/>
      </c>
      <c r="E76" s="22" t="n">
        <v>5719</v>
      </c>
      <c r="F76" s="22" t="n">
        <v>5726</v>
      </c>
      <c r="G76" s="22" t="n">
        <v>5379</v>
      </c>
      <c r="H76" s="22" t="n">
        <v>5084</v>
      </c>
      <c r="I76" s="22" t="n">
        <v>4979</v>
      </c>
      <c r="J76" s="22" t="n">
        <v>5052</v>
      </c>
      <c r="K76" s="22" t="n">
        <v>5095</v>
      </c>
      <c r="L76" s="22" t="n">
        <v>4845</v>
      </c>
      <c r="M76" s="22" t="n">
        <v>4674</v>
      </c>
      <c r="N76" s="22" t="n">
        <v>4936</v>
      </c>
      <c r="O76" s="22" t="n">
        <v>5095</v>
      </c>
      <c r="P76" s="22" t="n">
        <v>5147</v>
      </c>
      <c r="Q76" s="22" t="n">
        <v>5144</v>
      </c>
      <c r="R76" s="22" t="n">
        <v>5101</v>
      </c>
      <c r="S76" s="22" t="n">
        <v>5110</v>
      </c>
      <c r="T76" s="22" t="n">
        <v>5261</v>
      </c>
      <c r="U76" s="22" t="n">
        <v>5195</v>
      </c>
      <c r="V76" s="22" t="n">
        <v>5183</v>
      </c>
      <c r="W76" s="22" t="n">
        <v>5021</v>
      </c>
      <c r="X76" s="22" t="n">
        <v>5006</v>
      </c>
      <c r="Y76" s="22" t="n">
        <v>5165</v>
      </c>
      <c r="Z76" s="22" t="n">
        <v>5103</v>
      </c>
      <c r="AA76" s="22" t="n">
        <v>5252</v>
      </c>
      <c r="AB76" s="22" t="n">
        <v>5521</v>
      </c>
      <c r="AC76" s="22" t="n">
        <v>5338</v>
      </c>
      <c r="AD76" s="22" t="n">
        <v>5425</v>
      </c>
      <c r="AE76" s="22" t="n">
        <v>5088</v>
      </c>
      <c r="AF76" s="22" t="n">
        <v>4712</v>
      </c>
      <c r="AG76" s="22" t="n">
        <v>4739</v>
      </c>
      <c r="AH76" s="22" t="n">
        <v>4792</v>
      </c>
      <c r="AI76" s="22" t="n">
        <v>4906</v>
      </c>
      <c r="AJ76" s="22" t="n">
        <v>4750</v>
      </c>
      <c r="AK76" s="22" t="n">
        <v>4726</v>
      </c>
      <c r="AL76" s="22" t="n">
        <v>4699</v>
      </c>
      <c r="AM76" s="22" t="n">
        <v>4565</v>
      </c>
      <c r="AN76" s="22" t="n">
        <v>4621</v>
      </c>
      <c r="AO76" s="22" t="n">
        <v>4600</v>
      </c>
      <c r="AP76" s="22" t="n">
        <v>4582</v>
      </c>
      <c r="AQ76" s="22" t="n">
        <v>4574</v>
      </c>
      <c r="AR76" s="22" t="n">
        <v>4623</v>
      </c>
      <c r="AS76" s="22" t="n">
        <v>4636</v>
      </c>
      <c r="AT76" s="22" t="n">
        <v>4596</v>
      </c>
      <c r="AU76" s="22" t="n">
        <v>4565</v>
      </c>
      <c r="AV76" s="22" t="n">
        <v>4652</v>
      </c>
      <c r="AW76" s="22" t="n">
        <v>4690</v>
      </c>
      <c r="AX76" s="22" t="n">
        <v>4735</v>
      </c>
      <c r="AY76" s="22" t="n">
        <v>4573</v>
      </c>
      <c r="AZ76" s="22" t="n">
        <v>4596</v>
      </c>
      <c r="BA76" s="22" t="n">
        <v>4608</v>
      </c>
      <c r="BB76" s="22" t="n">
        <v>4595</v>
      </c>
      <c r="BC76" s="22" t="n">
        <v>4493</v>
      </c>
      <c r="BD76" s="22" t="n">
        <v>4296</v>
      </c>
      <c r="BE76" s="22" t="n">
        <v>4295</v>
      </c>
      <c r="BF76" s="22" t="n">
        <v>4433</v>
      </c>
      <c r="BG76" s="22" t="n">
        <v>4442</v>
      </c>
      <c r="BH76" s="22" t="n">
        <v>4401</v>
      </c>
      <c r="BI76" s="22" t="n">
        <v>4226</v>
      </c>
      <c r="BJ76" s="22" t="n">
        <v>4147</v>
      </c>
      <c r="BK76" s="22" t="n">
        <v>4375</v>
      </c>
      <c r="BL76" s="22" t="n">
        <v>4440</v>
      </c>
    </row>
    <row r="77" ht="15.95" customHeight="1" s="574">
      <c r="A77" s="68" t="inlineStr">
        <is>
          <t>7203</t>
        </is>
      </c>
      <c r="B77" s="44" t="inlineStr">
        <is>
          <t>トヨタ自動車</t>
        </is>
      </c>
      <c r="C77" s="669">
        <f>_xll.RssMarket("7203","安値")</f>
        <v/>
      </c>
      <c r="D77" s="661">
        <f>C77-E77</f>
        <v/>
      </c>
      <c r="E77" s="22" t="n">
        <v>2741.5</v>
      </c>
      <c r="F77" s="22" t="n">
        <v>2755</v>
      </c>
      <c r="G77" s="22" t="n">
        <v>2774.5</v>
      </c>
      <c r="H77" s="22" t="n">
        <v>2803.5</v>
      </c>
      <c r="I77" s="22" t="n">
        <v>2826.5</v>
      </c>
      <c r="J77" s="22" t="n">
        <v>2830</v>
      </c>
      <c r="K77" s="22" t="n">
        <v>2756.5</v>
      </c>
      <c r="L77" s="22" t="n">
        <v>2718.5</v>
      </c>
      <c r="M77" s="22" t="n">
        <v>2787.5</v>
      </c>
      <c r="N77" s="22" t="n">
        <v>2795.5</v>
      </c>
      <c r="O77" s="22" t="n">
        <v>2837</v>
      </c>
      <c r="P77" s="22" t="n">
        <v>2835</v>
      </c>
      <c r="Q77" s="22" t="n">
        <v>2833</v>
      </c>
      <c r="R77" s="22" t="n">
        <v>2805</v>
      </c>
      <c r="S77" s="22" t="n">
        <v>3022</v>
      </c>
      <c r="T77" s="22" t="n">
        <v>3023</v>
      </c>
      <c r="U77" s="22" t="n">
        <v>2998.5</v>
      </c>
      <c r="V77" s="22" t="n">
        <v>3006</v>
      </c>
      <c r="W77" s="22" t="n">
        <v>2975.5</v>
      </c>
      <c r="X77" s="22" t="n">
        <v>2961</v>
      </c>
      <c r="Y77" s="22" t="n">
        <v>2942</v>
      </c>
      <c r="Z77" s="22" t="n">
        <v>2931</v>
      </c>
      <c r="AA77" s="22" t="n">
        <v>2940</v>
      </c>
      <c r="AB77" s="22" t="n">
        <v>2987.5</v>
      </c>
      <c r="AC77" s="22" t="n">
        <v>2943</v>
      </c>
      <c r="AD77" s="22" t="n">
        <v>2879</v>
      </c>
      <c r="AE77" s="22" t="n">
        <v>2820</v>
      </c>
      <c r="AF77" s="22" t="n">
        <v>2798</v>
      </c>
      <c r="AG77" s="22" t="n">
        <v>2874</v>
      </c>
      <c r="AH77" s="22" t="n">
        <v>2978</v>
      </c>
      <c r="AI77" s="22" t="n">
        <v>2971</v>
      </c>
      <c r="AJ77" s="22" t="n">
        <v>2997</v>
      </c>
      <c r="AK77" s="22" t="n">
        <v>3079</v>
      </c>
      <c r="AL77" s="22" t="n">
        <v>3062</v>
      </c>
      <c r="AM77" s="22" t="n">
        <v>3111</v>
      </c>
      <c r="AN77" s="22" t="n">
        <v>3191</v>
      </c>
      <c r="AO77" s="22" t="n">
        <v>3280</v>
      </c>
      <c r="AP77" s="22" t="n">
        <v>3380</v>
      </c>
      <c r="AQ77" s="22" t="n">
        <v>3343</v>
      </c>
      <c r="AR77" s="22" t="n">
        <v>3392</v>
      </c>
      <c r="AS77" s="22" t="n">
        <v>3344</v>
      </c>
      <c r="AT77" s="22" t="n">
        <v>3288</v>
      </c>
      <c r="AU77" s="22" t="n">
        <v>3280</v>
      </c>
      <c r="AV77" s="22" t="n">
        <v>3295</v>
      </c>
      <c r="AW77" s="22" t="n">
        <v>3318</v>
      </c>
      <c r="AX77" s="22" t="n">
        <v>3333</v>
      </c>
      <c r="AY77" s="22" t="n">
        <v>3224</v>
      </c>
      <c r="AZ77" s="22" t="n">
        <v>3244</v>
      </c>
      <c r="BA77" s="22" t="n">
        <v>3255</v>
      </c>
      <c r="BB77" s="22" t="n">
        <v>3251</v>
      </c>
      <c r="BC77" s="22" t="n">
        <v>3253</v>
      </c>
      <c r="BD77" s="22" t="n">
        <v>3162</v>
      </c>
      <c r="BE77" s="22" t="n">
        <v>3168</v>
      </c>
      <c r="BF77" s="22" t="n">
        <v>3346</v>
      </c>
      <c r="BG77" s="22" t="n">
        <v>3348</v>
      </c>
      <c r="BH77" s="22" t="n">
        <v>3328</v>
      </c>
      <c r="BI77" s="22" t="n">
        <v>3258</v>
      </c>
      <c r="BJ77" s="22" t="n">
        <v>3190</v>
      </c>
      <c r="BK77" s="22" t="n">
        <v>3316</v>
      </c>
      <c r="BL77" s="22" t="n">
        <v>3359</v>
      </c>
    </row>
    <row r="78" ht="15.95" customHeight="1" s="574">
      <c r="A78" s="68" t="inlineStr">
        <is>
          <t>6954</t>
        </is>
      </c>
      <c r="B78" s="44" t="inlineStr">
        <is>
          <t>ファナック</t>
        </is>
      </c>
      <c r="C78" s="669">
        <f>_xll.RssMarket("6954","安値")</f>
        <v/>
      </c>
      <c r="D78" s="661">
        <f>C78-E78</f>
        <v/>
      </c>
      <c r="E78" s="22" t="n">
        <v>7705</v>
      </c>
      <c r="F78" s="22" t="n">
        <v>7364</v>
      </c>
      <c r="G78" s="22" t="n">
        <v>7538</v>
      </c>
      <c r="H78" s="22" t="n">
        <v>7223</v>
      </c>
      <c r="I78" s="22" t="n">
        <v>7275</v>
      </c>
      <c r="J78" s="22" t="n">
        <v>7047</v>
      </c>
      <c r="K78" s="22" t="n">
        <v>6914</v>
      </c>
      <c r="L78" s="22" t="n">
        <v>6290</v>
      </c>
      <c r="M78" s="22" t="n">
        <v>6674</v>
      </c>
      <c r="N78" s="22" t="n">
        <v>6974</v>
      </c>
      <c r="O78" s="22" t="n">
        <v>7441</v>
      </c>
      <c r="P78" s="22" t="n">
        <v>7645</v>
      </c>
      <c r="Q78" s="22" t="n">
        <v>7665</v>
      </c>
      <c r="R78" s="22" t="n">
        <v>7453</v>
      </c>
      <c r="S78" s="22" t="n">
        <v>7892</v>
      </c>
      <c r="T78" s="22" t="n">
        <v>7841</v>
      </c>
      <c r="U78" s="22" t="n">
        <v>8154</v>
      </c>
      <c r="V78" s="22" t="n">
        <v>8300</v>
      </c>
      <c r="W78" s="22" t="n">
        <v>8013</v>
      </c>
      <c r="X78" s="22" t="n">
        <v>7469</v>
      </c>
      <c r="Y78" s="22" t="n">
        <v>7279</v>
      </c>
      <c r="Z78" s="22" t="n">
        <v>7620</v>
      </c>
      <c r="AA78" s="22" t="n">
        <v>7933</v>
      </c>
      <c r="AB78" s="22" t="n">
        <v>8085</v>
      </c>
      <c r="AC78" s="22" t="n">
        <v>8036</v>
      </c>
      <c r="AD78" s="22" t="n">
        <v>7501</v>
      </c>
      <c r="AE78" s="22" t="n">
        <v>7570</v>
      </c>
      <c r="AF78" s="22" t="n">
        <v>7380</v>
      </c>
      <c r="AG78" s="22" t="n">
        <v>7093</v>
      </c>
      <c r="AH78" s="22" t="n">
        <v>7076</v>
      </c>
      <c r="AI78" s="22" t="n">
        <v>6693</v>
      </c>
      <c r="AJ78" s="22" t="n">
        <v>6690</v>
      </c>
      <c r="AK78" s="22" t="n">
        <v>6937</v>
      </c>
      <c r="AL78" s="22" t="n">
        <v>6715</v>
      </c>
      <c r="AM78" s="22" t="n">
        <v>6158</v>
      </c>
      <c r="AN78" s="22" t="n">
        <v>6227</v>
      </c>
      <c r="AO78" s="22" t="n">
        <v>6415</v>
      </c>
      <c r="AP78" s="22" t="n">
        <v>6427</v>
      </c>
      <c r="AQ78" s="22" t="n">
        <v>6229</v>
      </c>
      <c r="AR78" s="22" t="n">
        <v>6210</v>
      </c>
      <c r="AS78" s="22" t="n">
        <v>6138</v>
      </c>
      <c r="AT78" s="22" t="n">
        <v>6092</v>
      </c>
      <c r="AU78" s="22" t="n">
        <v>6201</v>
      </c>
      <c r="AV78" s="22" t="n">
        <v>6092</v>
      </c>
      <c r="AW78" s="22" t="n">
        <v>5950</v>
      </c>
      <c r="AX78" s="22" t="n">
        <v>5862</v>
      </c>
      <c r="AY78" s="22" t="n">
        <v>5790</v>
      </c>
      <c r="AZ78" s="22" t="n">
        <v>5439</v>
      </c>
      <c r="BA78" s="22" t="n">
        <v>5492</v>
      </c>
      <c r="BB78" s="22" t="n">
        <v>5453</v>
      </c>
      <c r="BC78" s="22" t="n">
        <v>5463</v>
      </c>
      <c r="BD78" s="22" t="n">
        <v>5582</v>
      </c>
      <c r="BE78" s="22" t="n">
        <v>5256</v>
      </c>
      <c r="BF78" s="22" t="n">
        <v>5252</v>
      </c>
      <c r="BG78" s="22" t="n">
        <v>5649</v>
      </c>
      <c r="BH78" s="22" t="n">
        <v>5794</v>
      </c>
      <c r="BI78" s="22" t="n">
        <v>5876</v>
      </c>
      <c r="BJ78" s="22" t="n">
        <v>5633</v>
      </c>
      <c r="BK78" s="22" t="n">
        <v>5528</v>
      </c>
      <c r="BL78" s="22" t="n">
        <v>5903</v>
      </c>
    </row>
    <row r="79" ht="15.95" customHeight="1" s="574">
      <c r="A79" s="68" t="inlineStr">
        <is>
          <t>6479</t>
        </is>
      </c>
      <c r="B79" s="44" t="inlineStr">
        <is>
          <t>ミネベアミツミ</t>
        </is>
      </c>
      <c r="C79" s="669">
        <f>_xll.RssMarket("6479","安値")</f>
        <v/>
      </c>
      <c r="D79" s="661">
        <f>C79-E79</f>
        <v/>
      </c>
      <c r="E79" s="22" t="n">
        <v>4757</v>
      </c>
      <c r="F79" s="22" t="n">
        <v>4547</v>
      </c>
      <c r="G79" s="22" t="n">
        <v>4584</v>
      </c>
      <c r="H79" s="22" t="n">
        <v>4553</v>
      </c>
      <c r="I79" s="22" t="n">
        <v>4516</v>
      </c>
      <c r="J79" s="22" t="n">
        <v>4392</v>
      </c>
      <c r="K79" s="22" t="n">
        <v>4211</v>
      </c>
      <c r="L79" s="22" t="n">
        <v>4090</v>
      </c>
      <c r="M79" s="22" t="n">
        <v>4367</v>
      </c>
      <c r="N79" s="22" t="n">
        <v>4480</v>
      </c>
      <c r="O79" s="22" t="n">
        <v>4768</v>
      </c>
      <c r="P79" s="22" t="n">
        <v>4791</v>
      </c>
      <c r="Q79" s="22" t="n">
        <v>4766</v>
      </c>
      <c r="R79" s="22" t="n">
        <v>4452</v>
      </c>
      <c r="S79" s="22" t="n">
        <v>4433</v>
      </c>
      <c r="T79" s="22" t="n">
        <v>4152</v>
      </c>
      <c r="U79" s="22" t="n">
        <v>4211</v>
      </c>
      <c r="V79" s="22" t="n">
        <v>4002</v>
      </c>
      <c r="W79" s="22" t="n">
        <v>3932</v>
      </c>
      <c r="X79" s="22" t="n">
        <v>3731</v>
      </c>
      <c r="Y79" s="22" t="n">
        <v>3682</v>
      </c>
      <c r="Z79" s="22" t="n">
        <v>3791</v>
      </c>
      <c r="AA79" s="22" t="n">
        <v>3799</v>
      </c>
      <c r="AB79" s="22" t="n">
        <v>3904</v>
      </c>
      <c r="AC79" s="22" t="n">
        <v>3912</v>
      </c>
      <c r="AD79" s="22" t="n">
        <v>3610</v>
      </c>
      <c r="AE79" s="22" t="n">
        <v>3487</v>
      </c>
      <c r="AF79" s="22" t="n">
        <v>3323</v>
      </c>
      <c r="AG79" s="22" t="n">
        <v>3252</v>
      </c>
      <c r="AH79" s="22" t="n">
        <v>3129</v>
      </c>
      <c r="AI79" s="22" t="n">
        <v>3071</v>
      </c>
      <c r="AJ79" s="22" t="n">
        <v>3073</v>
      </c>
      <c r="AK79" s="22" t="n">
        <v>3037</v>
      </c>
      <c r="AL79" s="22" t="n">
        <v>3062</v>
      </c>
      <c r="AM79" s="22" t="n">
        <v>3046</v>
      </c>
      <c r="AN79" s="22" t="n">
        <v>2993</v>
      </c>
      <c r="AO79" s="22" t="n">
        <v>3063</v>
      </c>
      <c r="AP79" s="22" t="n">
        <v>3084</v>
      </c>
      <c r="AQ79" s="22" t="n">
        <v>3025</v>
      </c>
      <c r="AR79" s="22" t="n">
        <v>2949.5</v>
      </c>
      <c r="AS79" s="22" t="n">
        <v>2906</v>
      </c>
      <c r="AT79" s="22" t="n">
        <v>2835</v>
      </c>
      <c r="AU79" s="22" t="n">
        <v>2849</v>
      </c>
      <c r="AV79" s="22" t="n">
        <v>2812</v>
      </c>
      <c r="AW79" s="22" t="n">
        <v>2730</v>
      </c>
      <c r="AX79" s="22" t="n">
        <v>2723.5</v>
      </c>
      <c r="AY79" s="22" t="n">
        <v>2725.5</v>
      </c>
      <c r="AZ79" s="22" t="n">
        <v>2602</v>
      </c>
      <c r="BA79" s="22" t="n">
        <v>2590.5</v>
      </c>
      <c r="BB79" s="22" t="n">
        <v>2575.5</v>
      </c>
      <c r="BC79" s="22" t="n">
        <v>2568.5</v>
      </c>
      <c r="BD79" s="22" t="n">
        <v>2620</v>
      </c>
      <c r="BE79" s="22" t="n">
        <v>2535</v>
      </c>
      <c r="BF79" s="22" t="n">
        <v>2536</v>
      </c>
      <c r="BG79" s="22" t="n">
        <v>2666</v>
      </c>
      <c r="BH79" s="22" t="n">
        <v>2721</v>
      </c>
      <c r="BI79" s="22" t="n">
        <v>2668</v>
      </c>
      <c r="BJ79" s="22" t="n">
        <v>2588</v>
      </c>
      <c r="BK79" s="22" t="n">
        <v>2518</v>
      </c>
      <c r="BL79" s="22" t="n">
        <v>2675.5</v>
      </c>
    </row>
    <row r="80" ht="15.95" customHeight="1" s="574">
      <c r="A80" s="68" t="inlineStr">
        <is>
          <t>1833</t>
        </is>
      </c>
      <c r="B80" s="44" t="inlineStr">
        <is>
          <t>奥村組</t>
        </is>
      </c>
      <c r="C80" s="669">
        <f>_xll.RssMarket("1833","安値")</f>
        <v/>
      </c>
      <c r="D80" s="661">
        <f>C80-E80</f>
        <v/>
      </c>
      <c r="E80" s="22" t="n">
        <v>5610</v>
      </c>
      <c r="F80" s="22" t="n">
        <v>5670</v>
      </c>
      <c r="G80" s="22" t="n">
        <v>5740</v>
      </c>
      <c r="H80" s="22" t="n">
        <v>5700</v>
      </c>
      <c r="I80" s="22" t="n">
        <v>5680</v>
      </c>
      <c r="J80" s="22" t="n">
        <v>5730</v>
      </c>
      <c r="K80" s="22" t="n">
        <v>5600</v>
      </c>
      <c r="L80" s="22" t="n">
        <v>5470</v>
      </c>
      <c r="M80" s="22" t="n">
        <v>5500</v>
      </c>
      <c r="N80" s="22" t="n">
        <v>5430</v>
      </c>
      <c r="O80" s="22" t="n">
        <v>5530</v>
      </c>
      <c r="P80" s="22" t="n">
        <v>5460</v>
      </c>
      <c r="Q80" s="22" t="n">
        <v>5500</v>
      </c>
      <c r="R80" s="22" t="n">
        <v>5420</v>
      </c>
      <c r="S80" s="22" t="n">
        <v>5510</v>
      </c>
      <c r="T80" s="22" t="n">
        <v>5490</v>
      </c>
      <c r="U80" s="22" t="n">
        <v>5510</v>
      </c>
      <c r="V80" s="22" t="n">
        <v>5490</v>
      </c>
      <c r="W80" s="22" t="n">
        <v>5450</v>
      </c>
      <c r="X80" s="22" t="n">
        <v>5560</v>
      </c>
      <c r="Y80" s="22" t="n">
        <v>5520</v>
      </c>
      <c r="Z80" s="22" t="n">
        <v>5680</v>
      </c>
      <c r="AA80" s="22" t="n">
        <v>5550</v>
      </c>
      <c r="AB80" s="22" t="n">
        <v>5870</v>
      </c>
      <c r="AC80" s="22" t="n">
        <v>5980</v>
      </c>
      <c r="AD80" s="22" t="n">
        <v>6140</v>
      </c>
      <c r="AE80" s="22" t="n">
        <v>6200</v>
      </c>
      <c r="AF80" s="22" t="n">
        <v>6030</v>
      </c>
      <c r="AG80" s="22" t="n">
        <v>6010</v>
      </c>
      <c r="AH80" s="22" t="n">
        <v>6160</v>
      </c>
      <c r="AI80" s="22" t="n">
        <v>6100</v>
      </c>
      <c r="AJ80" s="22" t="n">
        <v>6020</v>
      </c>
      <c r="AK80" s="22" t="n">
        <v>6000</v>
      </c>
      <c r="AL80" s="22" t="n">
        <v>5880</v>
      </c>
      <c r="AM80" s="22" t="n">
        <v>5960</v>
      </c>
      <c r="AN80" s="22" t="n">
        <v>5900</v>
      </c>
      <c r="AO80" s="22" t="n">
        <v>6010</v>
      </c>
      <c r="AP80" s="22" t="n">
        <v>6100</v>
      </c>
      <c r="AQ80" s="22" t="n">
        <v>6080</v>
      </c>
      <c r="AR80" s="22" t="n">
        <v>6110</v>
      </c>
      <c r="AS80" s="22" t="n">
        <v>6190</v>
      </c>
      <c r="AT80" s="22" t="n">
        <v>6230</v>
      </c>
      <c r="AU80" s="22" t="n">
        <v>6230</v>
      </c>
      <c r="AV80" s="22" t="n">
        <v>6190</v>
      </c>
      <c r="AW80" s="22" t="n">
        <v>6280</v>
      </c>
      <c r="AX80" s="22" t="n">
        <v>6390</v>
      </c>
      <c r="AY80" s="22" t="n">
        <v>6470</v>
      </c>
      <c r="AZ80" s="22" t="n">
        <v>6330</v>
      </c>
      <c r="BA80" s="22" t="n">
        <v>6350</v>
      </c>
      <c r="BB80" s="22" t="n">
        <v>6430</v>
      </c>
      <c r="BC80" s="22" t="n">
        <v>6410</v>
      </c>
      <c r="BD80" s="22" t="n">
        <v>6430</v>
      </c>
      <c r="BE80" s="22" t="n">
        <v>6220</v>
      </c>
      <c r="BF80" s="22" t="n">
        <v>6120</v>
      </c>
      <c r="BG80" s="22" t="n">
        <v>6490</v>
      </c>
      <c r="BH80" s="22" t="n">
        <v>6500</v>
      </c>
      <c r="BI80" s="22" t="n">
        <v>6590</v>
      </c>
      <c r="BJ80" s="22" t="n">
        <v>6410</v>
      </c>
      <c r="BK80" s="22" t="n">
        <v>6210</v>
      </c>
      <c r="BL80" s="22" t="n">
        <v>6560</v>
      </c>
    </row>
    <row r="81" ht="15.95" customHeight="1" s="574">
      <c r="A81" s="68" t="inlineStr">
        <is>
          <t>6841</t>
        </is>
      </c>
      <c r="B81" s="44" t="inlineStr">
        <is>
          <t>横河電機</t>
        </is>
      </c>
      <c r="C81" s="669">
        <f>_xll.RssMarket("6841","安値")</f>
        <v/>
      </c>
      <c r="D81" s="661">
        <f>C81-E81</f>
        <v/>
      </c>
      <c r="E81" s="22" t="n">
        <v>5412</v>
      </c>
      <c r="F81" s="22" t="n">
        <v>5374</v>
      </c>
      <c r="G81" s="22" t="n">
        <v>5380</v>
      </c>
      <c r="H81" s="22" t="n">
        <v>5150</v>
      </c>
      <c r="I81" s="22" t="n">
        <v>5131</v>
      </c>
      <c r="J81" s="22" t="n">
        <v>5044</v>
      </c>
      <c r="K81" s="22" t="n">
        <v>4848</v>
      </c>
      <c r="L81" s="22" t="n">
        <v>4584</v>
      </c>
      <c r="M81" s="22" t="n">
        <v>4735</v>
      </c>
      <c r="N81" s="22" t="n">
        <v>4890</v>
      </c>
      <c r="O81" s="22" t="n">
        <v>5169</v>
      </c>
      <c r="P81" s="22" t="n">
        <v>5274</v>
      </c>
      <c r="Q81" s="22" t="n">
        <v>5195</v>
      </c>
      <c r="R81" s="22" t="n">
        <v>5053</v>
      </c>
      <c r="S81" s="22" t="n">
        <v>4877</v>
      </c>
      <c r="T81" s="22" t="n">
        <v>4832</v>
      </c>
      <c r="U81" s="22" t="n">
        <v>4899</v>
      </c>
      <c r="V81" s="22" t="n">
        <v>4895</v>
      </c>
      <c r="W81" s="22" t="n">
        <v>4820</v>
      </c>
      <c r="X81" s="22" t="n">
        <v>4669</v>
      </c>
      <c r="Y81" s="22" t="n">
        <v>4607</v>
      </c>
      <c r="Z81" s="22" t="n">
        <v>4760</v>
      </c>
      <c r="AA81" s="22" t="n">
        <v>4820</v>
      </c>
      <c r="AB81" s="22" t="n">
        <v>4937</v>
      </c>
      <c r="AC81" s="22" t="n">
        <v>5093</v>
      </c>
      <c r="AD81" s="22" t="n">
        <v>5112</v>
      </c>
      <c r="AE81" s="22" t="n">
        <v>5116</v>
      </c>
      <c r="AF81" s="22" t="n">
        <v>5175</v>
      </c>
      <c r="AG81" s="22" t="n">
        <v>5058</v>
      </c>
      <c r="AH81" s="22" t="n">
        <v>5528</v>
      </c>
      <c r="AI81" s="22" t="n">
        <v>5376</v>
      </c>
      <c r="AJ81" s="22" t="n">
        <v>5376</v>
      </c>
      <c r="AK81" s="22" t="n">
        <v>5374</v>
      </c>
      <c r="AL81" s="22" t="n">
        <v>5247</v>
      </c>
      <c r="AM81" s="22" t="n">
        <v>5214</v>
      </c>
      <c r="AN81" s="22" t="n">
        <v>5218</v>
      </c>
      <c r="AO81" s="22" t="n">
        <v>5436</v>
      </c>
      <c r="AP81" s="22" t="n">
        <v>5509</v>
      </c>
      <c r="AQ81" s="22" t="n">
        <v>5415</v>
      </c>
      <c r="AR81" s="22" t="n">
        <v>5371</v>
      </c>
      <c r="AS81" s="22" t="n">
        <v>5399</v>
      </c>
      <c r="AT81" s="22" t="n">
        <v>5375</v>
      </c>
      <c r="AU81" s="22" t="n">
        <v>5597</v>
      </c>
      <c r="AV81" s="22" t="n">
        <v>5526</v>
      </c>
      <c r="AW81" s="22" t="n">
        <v>5609</v>
      </c>
      <c r="AX81" s="22" t="n">
        <v>5453</v>
      </c>
      <c r="AY81" s="22" t="n">
        <v>5200</v>
      </c>
      <c r="AZ81" s="22" t="n">
        <v>4937</v>
      </c>
      <c r="BA81" s="22" t="n">
        <v>4928</v>
      </c>
      <c r="BB81" s="22" t="n">
        <v>4922</v>
      </c>
      <c r="BC81" s="22" t="n">
        <v>4813</v>
      </c>
      <c r="BD81" s="22" t="n">
        <v>4943</v>
      </c>
      <c r="BE81" s="22" t="n">
        <v>4715</v>
      </c>
      <c r="BF81" s="22" t="n">
        <v>4585</v>
      </c>
      <c r="BG81" s="22" t="n">
        <v>4957</v>
      </c>
      <c r="BH81" s="22" t="n">
        <v>5107</v>
      </c>
      <c r="BI81" s="22" t="n">
        <v>5098</v>
      </c>
      <c r="BJ81" s="22" t="n">
        <v>4919</v>
      </c>
      <c r="BK81" s="22" t="n">
        <v>4820</v>
      </c>
      <c r="BL81" s="22" t="n">
        <v>5233</v>
      </c>
    </row>
    <row r="82" ht="15.95" customHeight="1" s="574">
      <c r="A82" s="68" t="inlineStr">
        <is>
          <t>7167</t>
        </is>
      </c>
      <c r="B82" s="44" t="inlineStr">
        <is>
          <t>めぶきフィナンシャルＧ</t>
        </is>
      </c>
      <c r="C82" s="669">
        <f>_xll.RssMarket("7167","安値")</f>
        <v/>
      </c>
      <c r="D82" s="661">
        <f>C82-E82</f>
        <v/>
      </c>
      <c r="E82" s="22" t="n">
        <v>1388.5</v>
      </c>
      <c r="F82" s="22" t="n">
        <v>1403.5</v>
      </c>
      <c r="G82" s="22" t="n">
        <v>1407.5</v>
      </c>
      <c r="H82" s="22" t="n">
        <v>1388.5</v>
      </c>
      <c r="I82" s="22" t="n">
        <v>1381</v>
      </c>
      <c r="J82" s="22" t="n">
        <v>1413.5</v>
      </c>
      <c r="K82" s="22" t="n">
        <v>1386</v>
      </c>
      <c r="L82" s="22" t="n">
        <v>1348.5</v>
      </c>
      <c r="M82" s="22" t="n">
        <v>1368.5</v>
      </c>
      <c r="N82" s="22" t="n">
        <v>1325.5</v>
      </c>
      <c r="O82" s="22" t="n">
        <v>1353.5</v>
      </c>
      <c r="P82" s="22" t="n">
        <v>1285.5</v>
      </c>
      <c r="Q82" s="22" t="n">
        <v>1309</v>
      </c>
      <c r="R82" s="22" t="n">
        <v>1255</v>
      </c>
      <c r="S82" s="22" t="n">
        <v>1328</v>
      </c>
      <c r="T82" s="22" t="n">
        <v>1338.5</v>
      </c>
      <c r="U82" s="22" t="n">
        <v>1354</v>
      </c>
      <c r="V82" s="22" t="n">
        <v>1378.5</v>
      </c>
      <c r="W82" s="22" t="n">
        <v>1389.5</v>
      </c>
      <c r="X82" s="22" t="n">
        <v>1405.5</v>
      </c>
      <c r="Y82" s="22" t="n">
        <v>1367</v>
      </c>
      <c r="Z82" s="22" t="n">
        <v>1357.5</v>
      </c>
      <c r="AA82" s="22" t="n">
        <v>1350.5</v>
      </c>
      <c r="AB82" s="22" t="n">
        <v>1360.5</v>
      </c>
      <c r="AC82" s="22" t="n">
        <v>1353</v>
      </c>
      <c r="AD82" s="22" t="n">
        <v>1336.5</v>
      </c>
      <c r="AE82" s="22" t="n">
        <v>1332.5</v>
      </c>
      <c r="AF82" s="22" t="n">
        <v>1300</v>
      </c>
      <c r="AG82" s="22" t="n">
        <v>1279</v>
      </c>
      <c r="AH82" s="22" t="n">
        <v>1320</v>
      </c>
      <c r="AI82" s="22" t="n">
        <v>1277</v>
      </c>
      <c r="AJ82" s="22" t="n">
        <v>1269</v>
      </c>
      <c r="AK82" s="22" t="n">
        <v>1242</v>
      </c>
      <c r="AL82" s="22" t="n">
        <v>1192</v>
      </c>
      <c r="AM82" s="22" t="n">
        <v>1210</v>
      </c>
      <c r="AN82" s="22" t="n">
        <v>1215.5</v>
      </c>
      <c r="AO82" s="22" t="n">
        <v>1237.5</v>
      </c>
      <c r="AP82" s="22" t="n">
        <v>1281.5</v>
      </c>
      <c r="AQ82" s="22" t="n">
        <v>1317</v>
      </c>
      <c r="AR82" s="22" t="n">
        <v>1339</v>
      </c>
      <c r="AS82" s="22" t="n">
        <v>1355</v>
      </c>
      <c r="AT82" s="22" t="n">
        <v>1350.5</v>
      </c>
      <c r="AU82" s="22" t="n">
        <v>1333.5</v>
      </c>
      <c r="AV82" s="22" t="n">
        <v>1331.5</v>
      </c>
      <c r="AW82" s="22" t="n">
        <v>1352</v>
      </c>
      <c r="AX82" s="22" t="n">
        <v>1337.5</v>
      </c>
      <c r="AY82" s="22" t="n">
        <v>1346</v>
      </c>
      <c r="AZ82" s="22" t="n">
        <v>1302.5</v>
      </c>
      <c r="BA82" s="22" t="n">
        <v>1280</v>
      </c>
      <c r="BB82" s="22" t="n">
        <v>1277.5</v>
      </c>
      <c r="BC82" s="22" t="n">
        <v>1275</v>
      </c>
      <c r="BD82" s="22" t="n">
        <v>1263.5</v>
      </c>
      <c r="BE82" s="22" t="n">
        <v>1186</v>
      </c>
      <c r="BF82" s="22" t="n">
        <v>1175.5</v>
      </c>
      <c r="BG82" s="22" t="n">
        <v>1229.5</v>
      </c>
      <c r="BH82" s="22" t="n">
        <v>1220</v>
      </c>
      <c r="BI82" s="22" t="n">
        <v>1235.5</v>
      </c>
      <c r="BJ82" s="22" t="n">
        <v>1183</v>
      </c>
      <c r="BK82" s="22" t="n">
        <v>1143</v>
      </c>
      <c r="BL82" s="22" t="n">
        <v>1189</v>
      </c>
    </row>
    <row r="83" ht="15.95" customHeight="1" s="574">
      <c r="A83" s="68" t="inlineStr">
        <is>
          <t>1925</t>
        </is>
      </c>
      <c r="B83" s="44" t="inlineStr">
        <is>
          <t>大和ハウス</t>
        </is>
      </c>
      <c r="C83" s="669">
        <f>_xll.RssMarket("1925","安値")</f>
        <v/>
      </c>
      <c r="D83" s="661">
        <f>C83-E83</f>
        <v/>
      </c>
      <c r="E83" s="22" t="n">
        <v>4226</v>
      </c>
      <c r="F83" s="22" t="n">
        <v>4319</v>
      </c>
      <c r="G83" s="22" t="n">
        <v>4358</v>
      </c>
      <c r="H83" s="22" t="n">
        <v>4304</v>
      </c>
      <c r="I83" s="22" t="n">
        <v>4349</v>
      </c>
      <c r="J83" s="22" t="n">
        <v>4285</v>
      </c>
      <c r="K83" s="22" t="n">
        <v>4272</v>
      </c>
      <c r="L83" s="22" t="n">
        <v>4297</v>
      </c>
      <c r="M83" s="22" t="n">
        <v>4180</v>
      </c>
      <c r="N83" s="22" t="n">
        <v>4191</v>
      </c>
      <c r="O83" s="22" t="n">
        <v>4208</v>
      </c>
      <c r="P83" s="22" t="n">
        <v>4164</v>
      </c>
      <c r="Q83" s="22" t="n">
        <v>4081</v>
      </c>
      <c r="R83" s="22" t="n">
        <v>4334</v>
      </c>
      <c r="S83" s="22" t="n">
        <v>4374</v>
      </c>
      <c r="T83" s="22" t="n">
        <v>4394</v>
      </c>
      <c r="U83" s="22" t="n">
        <v>4405</v>
      </c>
      <c r="V83" s="22" t="n">
        <v>4407</v>
      </c>
      <c r="W83" s="22" t="n">
        <v>4453</v>
      </c>
      <c r="X83" s="22" t="n">
        <v>4480</v>
      </c>
      <c r="Y83" s="22" t="n">
        <v>4501</v>
      </c>
      <c r="Z83" s="22" t="n">
        <v>4462</v>
      </c>
      <c r="AA83" s="22" t="n">
        <v>4509</v>
      </c>
      <c r="AB83" s="22" t="n">
        <v>4475</v>
      </c>
      <c r="AC83" s="22" t="n">
        <v>4754</v>
      </c>
      <c r="AD83" s="22" t="n">
        <v>4749</v>
      </c>
      <c r="AE83" s="22" t="n">
        <v>4744</v>
      </c>
      <c r="AF83" s="22" t="n">
        <v>4747</v>
      </c>
      <c r="AG83" s="22" t="n">
        <v>4746</v>
      </c>
      <c r="AH83" s="22" t="n">
        <v>4730</v>
      </c>
      <c r="AI83" s="22" t="n">
        <v>4783</v>
      </c>
      <c r="AJ83" s="22" t="n">
        <v>4740</v>
      </c>
      <c r="AK83" s="22" t="n">
        <v>4777</v>
      </c>
      <c r="AL83" s="22" t="n">
        <v>4811</v>
      </c>
      <c r="AM83" s="22" t="n">
        <v>4818</v>
      </c>
      <c r="AN83" s="22" t="n">
        <v>4896</v>
      </c>
      <c r="AO83" s="22" t="n">
        <v>4856</v>
      </c>
      <c r="AP83" s="22" t="n">
        <v>4852</v>
      </c>
      <c r="AQ83" s="22" t="n">
        <v>4905</v>
      </c>
      <c r="AR83" s="22" t="n">
        <v>4880</v>
      </c>
      <c r="AS83" s="22" t="n">
        <v>4876</v>
      </c>
      <c r="AT83" s="22" t="n">
        <v>4904</v>
      </c>
      <c r="AU83" s="22" t="n">
        <v>4973</v>
      </c>
      <c r="AV83" s="22" t="n">
        <v>4988</v>
      </c>
      <c r="AW83" s="22" t="n">
        <v>5009</v>
      </c>
      <c r="AX83" s="22" t="n">
        <v>4963</v>
      </c>
      <c r="AY83" s="22" t="n">
        <v>4978</v>
      </c>
      <c r="AZ83" s="22" t="n">
        <v>4966</v>
      </c>
      <c r="BA83" s="22" t="n">
        <v>4984</v>
      </c>
      <c r="BB83" s="22" t="n">
        <v>4944</v>
      </c>
      <c r="BC83" s="22" t="n">
        <v>4906</v>
      </c>
      <c r="BD83" s="22" t="n">
        <v>4838</v>
      </c>
      <c r="BE83" s="22" t="n">
        <v>5022</v>
      </c>
      <c r="BF83" s="22" t="n">
        <v>5033</v>
      </c>
      <c r="BG83" s="22" t="n">
        <v>5082</v>
      </c>
      <c r="BH83" s="22" t="n">
        <v>5062</v>
      </c>
      <c r="BI83" s="22" t="n">
        <v>5041</v>
      </c>
      <c r="BJ83" s="22" t="n">
        <v>5159</v>
      </c>
      <c r="BK83" s="22" t="n">
        <v>5202</v>
      </c>
      <c r="BL83" s="22" t="n">
        <v>5201</v>
      </c>
    </row>
    <row r="84" ht="15.95" customHeight="1" s="574">
      <c r="A84" s="68" t="inlineStr">
        <is>
          <t>5411</t>
        </is>
      </c>
      <c r="B84" s="44" t="inlineStr">
        <is>
          <t>ＪＦＥホールディングス</t>
        </is>
      </c>
      <c r="C84" s="669">
        <f>_xll.RssMarket("5411","安値")</f>
        <v/>
      </c>
      <c r="D84" s="661">
        <f>C84-E84</f>
        <v/>
      </c>
      <c r="E84" s="22" t="n">
        <v>1592</v>
      </c>
      <c r="F84" s="22" t="n">
        <v>1613.5</v>
      </c>
      <c r="G84" s="22" t="n">
        <v>1622</v>
      </c>
      <c r="H84" s="22" t="n">
        <v>1630.5</v>
      </c>
      <c r="I84" s="22" t="n">
        <v>1641.5</v>
      </c>
      <c r="J84" s="22" t="n">
        <v>1624.5</v>
      </c>
      <c r="K84" s="22" t="n">
        <v>1590</v>
      </c>
      <c r="L84" s="22" t="n">
        <v>1556</v>
      </c>
      <c r="M84" s="22" t="n">
        <v>1557.5</v>
      </c>
      <c r="N84" s="22" t="n">
        <v>1573.5</v>
      </c>
      <c r="O84" s="22" t="n">
        <v>1599</v>
      </c>
      <c r="P84" s="22" t="n">
        <v>1587</v>
      </c>
      <c r="Q84" s="22" t="n">
        <v>1591.5</v>
      </c>
      <c r="R84" s="22" t="n">
        <v>1596</v>
      </c>
      <c r="S84" s="22" t="n">
        <v>1683</v>
      </c>
      <c r="T84" s="22" t="n">
        <v>1663.5</v>
      </c>
      <c r="U84" s="22" t="n">
        <v>1650.5</v>
      </c>
      <c r="V84" s="22" t="n">
        <v>1626</v>
      </c>
      <c r="W84" s="22" t="n">
        <v>1634.5</v>
      </c>
      <c r="X84" s="22" t="n">
        <v>1645.5</v>
      </c>
      <c r="Y84" s="22" t="n">
        <v>1630.5</v>
      </c>
      <c r="Z84" s="22" t="n">
        <v>1658</v>
      </c>
      <c r="AA84" s="22" t="n">
        <v>1649</v>
      </c>
      <c r="AB84" s="22" t="n">
        <v>1664</v>
      </c>
      <c r="AC84" s="22" t="n">
        <v>1688.5</v>
      </c>
      <c r="AD84" s="22" t="n">
        <v>1694.5</v>
      </c>
      <c r="AE84" s="22" t="n">
        <v>1670.5</v>
      </c>
      <c r="AF84" s="22" t="n">
        <v>1676</v>
      </c>
      <c r="AG84" s="22" t="n">
        <v>1695</v>
      </c>
      <c r="AH84" s="22" t="n">
        <v>1712.5</v>
      </c>
      <c r="AI84" s="22" t="n">
        <v>1701</v>
      </c>
      <c r="AJ84" s="22" t="n">
        <v>1685.5</v>
      </c>
      <c r="AK84" s="22" t="n">
        <v>1675</v>
      </c>
      <c r="AL84" s="22" t="n">
        <v>1667</v>
      </c>
      <c r="AM84" s="22" t="n">
        <v>1679.5</v>
      </c>
      <c r="AN84" s="22" t="n">
        <v>1691</v>
      </c>
      <c r="AO84" s="22" t="n">
        <v>1715</v>
      </c>
      <c r="AP84" s="22" t="n">
        <v>1747.5</v>
      </c>
      <c r="AQ84" s="22" t="n">
        <v>1771.5</v>
      </c>
      <c r="AR84" s="22" t="n">
        <v>1795.5</v>
      </c>
      <c r="AS84" s="22" t="n">
        <v>1821</v>
      </c>
      <c r="AT84" s="22" t="n">
        <v>1818</v>
      </c>
      <c r="AU84" s="22" t="n">
        <v>1815.5</v>
      </c>
      <c r="AV84" s="22" t="n">
        <v>1835</v>
      </c>
      <c r="AW84" s="22" t="n">
        <v>1858.5</v>
      </c>
      <c r="AX84" s="22" t="n">
        <v>1862.5</v>
      </c>
      <c r="AY84" s="22" t="n">
        <v>1843.5</v>
      </c>
      <c r="AZ84" s="22" t="n">
        <v>1823</v>
      </c>
      <c r="BA84" s="22" t="n">
        <v>1830.5</v>
      </c>
      <c r="BB84" s="22" t="n">
        <v>1845</v>
      </c>
      <c r="BC84" s="22" t="n">
        <v>1824.5</v>
      </c>
      <c r="BD84" s="22" t="n">
        <v>1837</v>
      </c>
      <c r="BE84" s="22" t="n">
        <v>1805</v>
      </c>
      <c r="BF84" s="22" t="n">
        <v>1779</v>
      </c>
      <c r="BG84" s="22" t="n">
        <v>1870.5</v>
      </c>
      <c r="BH84" s="22" t="n">
        <v>1866</v>
      </c>
      <c r="BI84" s="22" t="n">
        <v>1887</v>
      </c>
      <c r="BJ84" s="22" t="n">
        <v>1881.5</v>
      </c>
      <c r="BK84" s="22" t="n">
        <v>1837</v>
      </c>
      <c r="BL84" s="22" t="n">
        <v>1885</v>
      </c>
    </row>
    <row r="85" ht="15.95" customHeight="1" s="574">
      <c r="A85" s="68" t="inlineStr">
        <is>
          <t>7182</t>
        </is>
      </c>
      <c r="B85" s="44" t="inlineStr">
        <is>
          <t>ゆうちょ銀行</t>
        </is>
      </c>
      <c r="C85" s="669">
        <f>_xll.RssMarket("7182","安値")</f>
        <v/>
      </c>
      <c r="D85" s="661">
        <f>C85-E85</f>
        <v/>
      </c>
      <c r="E85" s="22" t="n">
        <v>3183</v>
      </c>
      <c r="F85" s="22" t="n">
        <v>3186</v>
      </c>
      <c r="G85" s="22" t="n">
        <v>3215</v>
      </c>
      <c r="H85" s="22" t="n">
        <v>3125</v>
      </c>
      <c r="I85" s="22" t="n">
        <v>3110</v>
      </c>
      <c r="J85" s="22" t="n">
        <v>3198</v>
      </c>
      <c r="K85" s="22" t="n">
        <v>3152</v>
      </c>
      <c r="L85" s="22" t="n">
        <v>3060</v>
      </c>
      <c r="M85" s="22" t="n">
        <v>3164</v>
      </c>
      <c r="N85" s="22" t="n">
        <v>3049</v>
      </c>
      <c r="O85" s="22" t="n">
        <v>3145</v>
      </c>
      <c r="P85" s="22" t="n">
        <v>3104</v>
      </c>
      <c r="Q85" s="22" t="n">
        <v>3108</v>
      </c>
      <c r="R85" s="22" t="n">
        <v>2952.5</v>
      </c>
      <c r="S85" s="22" t="n">
        <v>2968</v>
      </c>
      <c r="T85" s="22" t="n">
        <v>2901</v>
      </c>
      <c r="U85" s="22" t="n">
        <v>2968</v>
      </c>
      <c r="V85" s="22" t="n">
        <v>3061</v>
      </c>
      <c r="W85" s="22" t="n">
        <v>3104</v>
      </c>
      <c r="X85" s="22" t="n">
        <v>3140</v>
      </c>
      <c r="Y85" s="22" t="n">
        <v>3021</v>
      </c>
      <c r="Z85" s="22" t="n">
        <v>2991.5</v>
      </c>
      <c r="AA85" s="22" t="n">
        <v>2859</v>
      </c>
      <c r="AB85" s="22" t="n">
        <v>2766.5</v>
      </c>
      <c r="AC85" s="22" t="n">
        <v>2816</v>
      </c>
      <c r="AD85" s="22" t="n">
        <v>2812.5</v>
      </c>
      <c r="AE85" s="22" t="n">
        <v>2802</v>
      </c>
      <c r="AF85" s="22" t="n">
        <v>2735</v>
      </c>
      <c r="AG85" s="22" t="n">
        <v>2700.5</v>
      </c>
      <c r="AH85" s="22" t="n">
        <v>2730.5</v>
      </c>
      <c r="AI85" s="22" t="n">
        <v>2620</v>
      </c>
      <c r="AJ85" s="22" t="n">
        <v>2613.5</v>
      </c>
      <c r="AK85" s="22" t="n">
        <v>2546.5</v>
      </c>
      <c r="AL85" s="22" t="n">
        <v>2461.5</v>
      </c>
      <c r="AM85" s="22" t="n">
        <v>2460.5</v>
      </c>
      <c r="AN85" s="22" t="n">
        <v>2513</v>
      </c>
      <c r="AO85" s="22" t="n">
        <v>2538.5</v>
      </c>
      <c r="AP85" s="22" t="n">
        <v>2600</v>
      </c>
      <c r="AQ85" s="22" t="n">
        <v>2697.5</v>
      </c>
      <c r="AR85" s="22" t="n">
        <v>2731.5</v>
      </c>
      <c r="AS85" s="22" t="n">
        <v>2772.5</v>
      </c>
      <c r="AT85" s="22" t="n">
        <v>2753.5</v>
      </c>
      <c r="AU85" s="22" t="n">
        <v>2701</v>
      </c>
      <c r="AV85" s="22" t="n">
        <v>2685.5</v>
      </c>
      <c r="AW85" s="22" t="n">
        <v>2698.5</v>
      </c>
      <c r="AX85" s="22" t="n">
        <v>2715</v>
      </c>
      <c r="AY85" s="22" t="n">
        <v>2754.5</v>
      </c>
      <c r="AZ85" s="22" t="n">
        <v>2660</v>
      </c>
      <c r="BA85" s="22" t="n">
        <v>2633.5</v>
      </c>
      <c r="BB85" s="22" t="n">
        <v>2607.5</v>
      </c>
      <c r="BC85" s="22" t="n">
        <v>2608</v>
      </c>
      <c r="BD85" s="22" t="n">
        <v>2640</v>
      </c>
      <c r="BE85" s="22" t="n">
        <v>2458.5</v>
      </c>
      <c r="BF85" s="22" t="n">
        <v>2452</v>
      </c>
      <c r="BG85" s="22" t="n">
        <v>2600</v>
      </c>
      <c r="BH85" s="22" t="n">
        <v>2596</v>
      </c>
      <c r="BI85" s="22" t="n">
        <v>2626</v>
      </c>
      <c r="BJ85" s="22" t="n">
        <v>2525.5</v>
      </c>
      <c r="BK85" s="22" t="n">
        <v>2465</v>
      </c>
      <c r="BL85" s="22" t="n">
        <v>2587</v>
      </c>
    </row>
    <row r="86" ht="15.95" customHeight="1" s="574">
      <c r="A86" s="68" t="inlineStr">
        <is>
          <t>1963</t>
        </is>
      </c>
      <c r="B86" s="44" t="inlineStr">
        <is>
          <t>日揮ホールディングス</t>
        </is>
      </c>
      <c r="C86" s="669">
        <f>_xll.RssMarket("1963","安値")</f>
        <v/>
      </c>
      <c r="D86" s="661">
        <f>C86-E86</f>
        <v/>
      </c>
      <c r="E86" s="22" t="n">
        <v>2597.5</v>
      </c>
      <c r="F86" s="22" t="n">
        <v>2679</v>
      </c>
      <c r="G86" s="22" t="n">
        <v>2764</v>
      </c>
      <c r="H86" s="22" t="n">
        <v>2673.5</v>
      </c>
      <c r="I86" s="22" t="n">
        <v>2622.5</v>
      </c>
      <c r="J86" s="22" t="n">
        <v>2659.5</v>
      </c>
      <c r="K86" s="22" t="n">
        <v>2512</v>
      </c>
      <c r="L86" s="22" t="n">
        <v>2416.5</v>
      </c>
      <c r="M86" s="22" t="n">
        <v>2495</v>
      </c>
      <c r="N86" s="22" t="n">
        <v>2525.5</v>
      </c>
      <c r="O86" s="22" t="n">
        <v>2589</v>
      </c>
      <c r="P86" s="22" t="n">
        <v>2580.5</v>
      </c>
      <c r="Q86" s="22" t="n">
        <v>2615</v>
      </c>
      <c r="R86" s="22" t="n">
        <v>2560</v>
      </c>
      <c r="S86" s="22" t="n">
        <v>2636.5</v>
      </c>
      <c r="T86" s="22" t="n">
        <v>2623</v>
      </c>
      <c r="U86" s="22" t="n">
        <v>2712</v>
      </c>
      <c r="V86" s="22" t="n">
        <v>2767</v>
      </c>
      <c r="W86" s="22" t="n">
        <v>2683</v>
      </c>
      <c r="X86" s="22" t="n">
        <v>2613.5</v>
      </c>
      <c r="Y86" s="22" t="n">
        <v>2597.5</v>
      </c>
      <c r="Z86" s="22" t="n">
        <v>2591</v>
      </c>
      <c r="AA86" s="22" t="n">
        <v>2512.5</v>
      </c>
      <c r="AB86" s="22" t="n">
        <v>2614</v>
      </c>
      <c r="AC86" s="22" t="n">
        <v>2380</v>
      </c>
      <c r="AD86" s="22" t="n">
        <v>2343.5</v>
      </c>
      <c r="AE86" s="22" t="n">
        <v>2406</v>
      </c>
      <c r="AF86" s="22" t="n">
        <v>2392.5</v>
      </c>
      <c r="AG86" s="22" t="n">
        <v>2436</v>
      </c>
      <c r="AH86" s="22" t="n">
        <v>2399</v>
      </c>
      <c r="AI86" s="22" t="n">
        <v>2342</v>
      </c>
      <c r="AJ86" s="22" t="n">
        <v>2363</v>
      </c>
      <c r="AK86" s="22" t="n">
        <v>2368</v>
      </c>
      <c r="AL86" s="22" t="n">
        <v>2276</v>
      </c>
      <c r="AM86" s="22" t="n">
        <v>2331.5</v>
      </c>
      <c r="AN86" s="22" t="n">
        <v>2264</v>
      </c>
      <c r="AO86" s="22" t="n">
        <v>2313</v>
      </c>
      <c r="AP86" s="22" t="n">
        <v>2376.5</v>
      </c>
      <c r="AQ86" s="22" t="n">
        <v>2423.5</v>
      </c>
      <c r="AR86" s="22" t="n">
        <v>2506</v>
      </c>
      <c r="AS86" s="22" t="n">
        <v>2497</v>
      </c>
      <c r="AT86" s="22" t="n">
        <v>2569</v>
      </c>
      <c r="AU86" s="22" t="n">
        <v>2604.5</v>
      </c>
      <c r="AV86" s="22" t="n">
        <v>2688.5</v>
      </c>
      <c r="AW86" s="22" t="n">
        <v>2758</v>
      </c>
      <c r="AX86" s="22" t="n">
        <v>2674</v>
      </c>
      <c r="AY86" s="22" t="n">
        <v>2627</v>
      </c>
      <c r="AZ86" s="22" t="n">
        <v>2511</v>
      </c>
      <c r="BA86" s="22" t="n">
        <v>2455.5</v>
      </c>
      <c r="BB86" s="22" t="n">
        <v>2444</v>
      </c>
      <c r="BC86" s="22" t="n">
        <v>2452</v>
      </c>
      <c r="BD86" s="22" t="n">
        <v>2360</v>
      </c>
      <c r="BE86" s="22" t="n">
        <v>2231.5</v>
      </c>
      <c r="BF86" s="22" t="n">
        <v>2050.5</v>
      </c>
      <c r="BG86" s="22" t="n">
        <v>2138.5</v>
      </c>
      <c r="BH86" s="22" t="n">
        <v>2152</v>
      </c>
      <c r="BI86" s="22" t="n">
        <v>2152</v>
      </c>
      <c r="BJ86" s="22" t="n">
        <v>2078</v>
      </c>
      <c r="BK86" s="22" t="n">
        <v>1995</v>
      </c>
      <c r="BL86" s="22" t="n">
        <v>2125</v>
      </c>
    </row>
    <row r="87" ht="15.95" customHeight="1" s="574">
      <c r="A87" s="68" t="inlineStr">
        <is>
          <t>2914</t>
        </is>
      </c>
      <c r="B87" s="44" t="inlineStr">
        <is>
          <t>日本たばこ産業</t>
        </is>
      </c>
      <c r="C87" s="669">
        <f>_xll.RssMarket("2914","安値")</f>
        <v/>
      </c>
      <c r="D87" s="661">
        <f>C87-E87</f>
        <v/>
      </c>
      <c r="E87" s="22" t="n">
        <v>5941</v>
      </c>
      <c r="F87" s="22" t="n">
        <v>6021</v>
      </c>
      <c r="G87" s="22" t="n">
        <v>6046</v>
      </c>
      <c r="H87" s="22" t="n">
        <v>6071</v>
      </c>
      <c r="I87" s="22" t="n">
        <v>6040</v>
      </c>
      <c r="J87" s="22" t="n">
        <v>6063</v>
      </c>
      <c r="K87" s="22" t="n">
        <v>6177</v>
      </c>
      <c r="L87" s="22" t="n">
        <v>6222</v>
      </c>
      <c r="M87" s="22" t="n">
        <v>6101</v>
      </c>
      <c r="N87" s="22" t="n">
        <v>6002</v>
      </c>
      <c r="O87" s="22" t="n">
        <v>5971</v>
      </c>
      <c r="P87" s="22" t="n">
        <v>6025</v>
      </c>
      <c r="Q87" s="22" t="n">
        <v>6083</v>
      </c>
      <c r="R87" s="22" t="n">
        <v>6022</v>
      </c>
      <c r="S87" s="22" t="n">
        <v>6088</v>
      </c>
      <c r="T87" s="22" t="n">
        <v>6090</v>
      </c>
      <c r="U87" s="22" t="n">
        <v>6062</v>
      </c>
      <c r="V87" s="22" t="n">
        <v>6060</v>
      </c>
      <c r="W87" s="22" t="n">
        <v>6126</v>
      </c>
      <c r="X87" s="22" t="n">
        <v>6233</v>
      </c>
      <c r="Y87" s="22" t="n">
        <v>6308</v>
      </c>
      <c r="Z87" s="22" t="n">
        <v>6325</v>
      </c>
      <c r="AA87" s="22" t="n">
        <v>6313</v>
      </c>
      <c r="AB87" s="22" t="n">
        <v>6236</v>
      </c>
      <c r="AC87" s="22" t="n">
        <v>6172</v>
      </c>
      <c r="AD87" s="22" t="n">
        <v>6056</v>
      </c>
      <c r="AE87" s="22" t="n">
        <v>6044</v>
      </c>
      <c r="AF87" s="22" t="n">
        <v>5990</v>
      </c>
      <c r="AG87" s="22" t="n">
        <v>5769</v>
      </c>
      <c r="AH87" s="22" t="n">
        <v>5831</v>
      </c>
      <c r="AI87" s="22" t="n">
        <v>5795</v>
      </c>
      <c r="AJ87" s="22" t="n">
        <v>5751</v>
      </c>
      <c r="AK87" s="22" t="n">
        <v>5696</v>
      </c>
      <c r="AL87" s="22" t="n">
        <v>5735</v>
      </c>
      <c r="AM87" s="22" t="n">
        <v>5822</v>
      </c>
      <c r="AN87" s="22" t="n">
        <v>5695</v>
      </c>
      <c r="AO87" s="22" t="n">
        <v>5646</v>
      </c>
      <c r="AP87" s="22" t="n">
        <v>5757</v>
      </c>
      <c r="AQ87" s="22" t="n">
        <v>5790</v>
      </c>
      <c r="AR87" s="22" t="n">
        <v>5800</v>
      </c>
      <c r="AS87" s="22" t="n">
        <v>5826</v>
      </c>
      <c r="AT87" s="22" t="n">
        <v>5867</v>
      </c>
      <c r="AU87" s="22" t="n">
        <v>5874</v>
      </c>
      <c r="AV87" s="22" t="n">
        <v>5935</v>
      </c>
      <c r="AW87" s="22" t="n">
        <v>5971</v>
      </c>
      <c r="AX87" s="22" t="n">
        <v>6020</v>
      </c>
      <c r="AY87" s="22" t="n">
        <v>6081</v>
      </c>
      <c r="AZ87" s="22" t="n">
        <v>6065</v>
      </c>
      <c r="BA87" s="22" t="n">
        <v>6083</v>
      </c>
      <c r="BB87" s="22" t="n">
        <v>6036</v>
      </c>
      <c r="BC87" s="22" t="n">
        <v>5990</v>
      </c>
      <c r="BD87" s="22" t="n">
        <v>6008</v>
      </c>
      <c r="BE87" s="22" t="n">
        <v>5981</v>
      </c>
      <c r="BF87" s="22" t="n">
        <v>5865</v>
      </c>
      <c r="BG87" s="22" t="n">
        <v>5940</v>
      </c>
      <c r="BH87" s="22" t="n">
        <v>5917</v>
      </c>
      <c r="BI87" s="22" t="n">
        <v>5907</v>
      </c>
      <c r="BJ87" s="22" t="n">
        <v>5752</v>
      </c>
      <c r="BK87" s="22" t="n">
        <v>5662</v>
      </c>
      <c r="BL87" s="22" t="n">
        <v>5844</v>
      </c>
    </row>
    <row r="88" ht="15.95" customHeight="1" s="574">
      <c r="A88" s="68" t="inlineStr">
        <is>
          <t>3003</t>
        </is>
      </c>
      <c r="B88" s="44" t="inlineStr">
        <is>
          <t>ヒューリック</t>
        </is>
      </c>
      <c r="C88" s="669">
        <f>_xll.RssMarket("3003","安値")</f>
        <v/>
      </c>
      <c r="D88" s="661">
        <f>C88-E88</f>
        <v/>
      </c>
      <c r="E88" s="22" t="n">
        <v>1672.5</v>
      </c>
      <c r="F88" s="22" t="n">
        <v>1689</v>
      </c>
      <c r="G88" s="22" t="n">
        <v>1695</v>
      </c>
      <c r="H88" s="22" t="n">
        <v>1702.5</v>
      </c>
      <c r="I88" s="22" t="n">
        <v>1698.5</v>
      </c>
      <c r="J88" s="22" t="n">
        <v>1733</v>
      </c>
      <c r="K88" s="22" t="n">
        <v>1711</v>
      </c>
      <c r="L88" s="22" t="n">
        <v>1715.5</v>
      </c>
      <c r="M88" s="22" t="n">
        <v>1689.5</v>
      </c>
      <c r="N88" s="22" t="n">
        <v>1654</v>
      </c>
      <c r="O88" s="22" t="n">
        <v>1647.5</v>
      </c>
      <c r="P88" s="22" t="n">
        <v>1630</v>
      </c>
      <c r="Q88" s="22" t="n">
        <v>1643</v>
      </c>
      <c r="R88" s="22" t="n">
        <v>1620.5</v>
      </c>
      <c r="S88" s="22" t="n">
        <v>1671</v>
      </c>
      <c r="T88" s="22" t="n">
        <v>1655</v>
      </c>
      <c r="U88" s="22" t="n">
        <v>1662.5</v>
      </c>
      <c r="V88" s="22" t="n">
        <v>1653</v>
      </c>
      <c r="W88" s="22" t="n">
        <v>1641</v>
      </c>
      <c r="X88" s="22" t="n">
        <v>1732.5</v>
      </c>
      <c r="Y88" s="22" t="n">
        <v>1716</v>
      </c>
      <c r="Z88" s="22" t="n">
        <v>1730</v>
      </c>
      <c r="AA88" s="22" t="n">
        <v>1712.5</v>
      </c>
      <c r="AB88" s="22" t="n">
        <v>1742</v>
      </c>
      <c r="AC88" s="22" t="n">
        <v>1744</v>
      </c>
      <c r="AD88" s="22" t="n">
        <v>1795</v>
      </c>
      <c r="AE88" s="22" t="n">
        <v>1790</v>
      </c>
      <c r="AF88" s="22" t="n">
        <v>1782.5</v>
      </c>
      <c r="AG88" s="22" t="n">
        <v>1785</v>
      </c>
      <c r="AH88" s="22" t="n">
        <v>1788</v>
      </c>
      <c r="AI88" s="22" t="n">
        <v>1763</v>
      </c>
      <c r="AJ88" s="22" t="n">
        <v>1762.5</v>
      </c>
      <c r="AK88" s="22" t="n">
        <v>1777</v>
      </c>
      <c r="AL88" s="22" t="n">
        <v>1742.5</v>
      </c>
      <c r="AM88" s="22" t="n">
        <v>1810.5</v>
      </c>
      <c r="AN88" s="22" t="n">
        <v>1810.5</v>
      </c>
      <c r="AO88" s="22" t="n">
        <v>1818</v>
      </c>
      <c r="AP88" s="22" t="n">
        <v>1862.5</v>
      </c>
      <c r="AQ88" s="22" t="n">
        <v>1890.5</v>
      </c>
      <c r="AR88" s="22" t="n">
        <v>1883.5</v>
      </c>
      <c r="AS88" s="22" t="n">
        <v>1888</v>
      </c>
      <c r="AT88" s="22" t="n">
        <v>1891</v>
      </c>
      <c r="AU88" s="22" t="n">
        <v>1882</v>
      </c>
      <c r="AV88" s="22" t="n">
        <v>1869</v>
      </c>
      <c r="AW88" s="22" t="n">
        <v>1877</v>
      </c>
      <c r="AX88" s="22" t="n">
        <v>1895.5</v>
      </c>
      <c r="AY88" s="22" t="n">
        <v>1912</v>
      </c>
      <c r="AZ88" s="22" t="n">
        <v>1881.5</v>
      </c>
      <c r="BA88" s="22" t="n">
        <v>1875.5</v>
      </c>
      <c r="BB88" s="22" t="n">
        <v>1866</v>
      </c>
      <c r="BC88" s="22" t="n">
        <v>1868.5</v>
      </c>
      <c r="BD88" s="22" t="n">
        <v>1852</v>
      </c>
      <c r="BE88" s="22" t="n">
        <v>1829.5</v>
      </c>
      <c r="BF88" s="22" t="n">
        <v>1806.5</v>
      </c>
      <c r="BG88" s="22" t="n">
        <v>1847.5</v>
      </c>
      <c r="BH88" s="22" t="n">
        <v>1844.5</v>
      </c>
      <c r="BI88" s="22" t="n">
        <v>1850</v>
      </c>
      <c r="BJ88" s="22" t="n">
        <v>1820.5</v>
      </c>
      <c r="BK88" s="22" t="n">
        <v>1796.5</v>
      </c>
      <c r="BL88" s="22" t="n">
        <v>1861.5</v>
      </c>
    </row>
    <row r="89" ht="15.95" customHeight="1" s="574">
      <c r="A89" s="68" t="inlineStr">
        <is>
          <t>5892</t>
        </is>
      </c>
      <c r="B89" s="44" t="inlineStr">
        <is>
          <t>ＹＵＴＯＲＩ</t>
        </is>
      </c>
      <c r="C89" s="669">
        <f>_xll.RssMarket("5892","安値")</f>
        <v/>
      </c>
      <c r="D89" s="661">
        <f>C89-E89</f>
        <v/>
      </c>
      <c r="E89" s="22" t="n">
        <v>2021</v>
      </c>
      <c r="F89" s="22" t="n">
        <v>2002</v>
      </c>
      <c r="G89" s="22" t="n">
        <v>2072</v>
      </c>
      <c r="H89" s="22" t="n">
        <v>2046</v>
      </c>
      <c r="I89" s="22" t="n">
        <v>1935</v>
      </c>
      <c r="J89" s="22" t="n">
        <v>1925</v>
      </c>
      <c r="K89" s="22" t="n">
        <v>1979</v>
      </c>
      <c r="L89" s="22" t="n">
        <v>2081</v>
      </c>
      <c r="M89" s="22" t="n">
        <v>2162</v>
      </c>
      <c r="N89" s="22" t="n">
        <v>2183</v>
      </c>
      <c r="O89" s="22" t="n">
        <v>2229</v>
      </c>
      <c r="P89" s="22" t="n">
        <v>2105</v>
      </c>
      <c r="Q89" s="22" t="n">
        <v>2081</v>
      </c>
      <c r="R89" s="22" t="n">
        <v>2100</v>
      </c>
      <c r="S89" s="22" t="n">
        <v>2268</v>
      </c>
      <c r="T89" s="22" t="n">
        <v>2373</v>
      </c>
      <c r="U89" s="22" t="n">
        <v>2340</v>
      </c>
      <c r="V89" s="22" t="n">
        <v>2371</v>
      </c>
      <c r="W89" s="22" t="n">
        <v>2425</v>
      </c>
      <c r="X89" s="22" t="n">
        <v>2505</v>
      </c>
      <c r="Y89" s="22" t="n">
        <v>2557</v>
      </c>
      <c r="Z89" s="22" t="n">
        <v>2447</v>
      </c>
      <c r="AA89" s="22" t="n">
        <v>2384</v>
      </c>
      <c r="AB89" s="22" t="n">
        <v>1946</v>
      </c>
      <c r="AC89" s="22" t="n">
        <v>1936</v>
      </c>
      <c r="AD89" s="22" t="n">
        <v>1863</v>
      </c>
      <c r="AE89" s="22" t="n">
        <v>1923</v>
      </c>
      <c r="AF89" s="22" t="n">
        <v>1951</v>
      </c>
      <c r="AG89" s="22" t="n">
        <v>1939</v>
      </c>
      <c r="AH89" s="22" t="n">
        <v>1947</v>
      </c>
      <c r="AI89" s="22" t="n">
        <v>1902</v>
      </c>
      <c r="AJ89" s="22" t="n">
        <v>1991</v>
      </c>
      <c r="AK89" s="22" t="n">
        <v>2040</v>
      </c>
      <c r="AL89" s="22" t="n">
        <v>2049</v>
      </c>
      <c r="AM89" s="22" t="n">
        <v>2057</v>
      </c>
      <c r="AN89" s="22" t="n">
        <v>2149</v>
      </c>
      <c r="AO89" s="22" t="n">
        <v>2180</v>
      </c>
      <c r="AP89" s="22" t="n">
        <v>2167</v>
      </c>
      <c r="AQ89" s="22" t="n">
        <v>2186</v>
      </c>
      <c r="AR89" s="22" t="n">
        <v>2185</v>
      </c>
      <c r="AS89" s="22" t="n">
        <v>2189</v>
      </c>
      <c r="AT89" s="22" t="n">
        <v>2213</v>
      </c>
      <c r="AU89" s="22" t="n">
        <v>2155</v>
      </c>
      <c r="AV89" s="22" t="n">
        <v>2135</v>
      </c>
      <c r="AW89" s="22" t="n">
        <v>2145</v>
      </c>
      <c r="AX89" s="22" t="n">
        <v>2080</v>
      </c>
      <c r="AY89" s="22" t="n">
        <v>2026</v>
      </c>
      <c r="AZ89" s="22" t="n">
        <v>2006</v>
      </c>
      <c r="BA89" s="22" t="n">
        <v>2010</v>
      </c>
      <c r="BB89" s="22" t="n">
        <v>2010</v>
      </c>
      <c r="BC89" s="22" t="n">
        <v>2020</v>
      </c>
      <c r="BD89" s="22" t="n">
        <v>1980</v>
      </c>
      <c r="BE89" s="22" t="n">
        <v>1935</v>
      </c>
      <c r="BF89" s="22" t="n">
        <v>2040</v>
      </c>
      <c r="BG89" s="22" t="n">
        <v>2041</v>
      </c>
      <c r="BH89" s="22" t="n">
        <v>2060</v>
      </c>
      <c r="BI89" s="22" t="n">
        <v>2001</v>
      </c>
      <c r="BJ89" s="22" t="n">
        <v>1945</v>
      </c>
      <c r="BK89" s="22" t="n">
        <v>2077</v>
      </c>
      <c r="BL89" s="22" t="n">
        <v>2145</v>
      </c>
    </row>
    <row r="90" ht="15.95" customHeight="1" s="574">
      <c r="A90" s="68" t="inlineStr">
        <is>
          <t>6323</t>
        </is>
      </c>
      <c r="B90" s="44" t="inlineStr">
        <is>
          <t>ローツェ</t>
        </is>
      </c>
      <c r="C90" s="669">
        <f>_xll.RssMarket("6323","安値")</f>
        <v/>
      </c>
      <c r="D90" s="661">
        <f>C90-E90</f>
        <v/>
      </c>
      <c r="E90" s="22" t="n">
        <v>4900</v>
      </c>
      <c r="F90" s="22" t="n">
        <v>4790</v>
      </c>
      <c r="G90" s="22" t="n">
        <v>4535</v>
      </c>
      <c r="H90" s="22" t="n">
        <v>4305</v>
      </c>
      <c r="I90" s="22" t="n">
        <v>4375</v>
      </c>
      <c r="J90" s="22" t="n">
        <v>4286</v>
      </c>
      <c r="K90" s="22" t="n">
        <v>4060</v>
      </c>
      <c r="L90" s="22" t="n">
        <v>3659</v>
      </c>
      <c r="M90" s="22" t="n">
        <v>3788</v>
      </c>
      <c r="N90" s="22" t="n">
        <v>3807</v>
      </c>
      <c r="O90" s="22" t="n">
        <v>4002</v>
      </c>
      <c r="P90" s="22" t="n">
        <v>4213</v>
      </c>
      <c r="Q90" s="22" t="n">
        <v>3959</v>
      </c>
      <c r="R90" s="22" t="n">
        <v>3616</v>
      </c>
      <c r="S90" s="22" t="n">
        <v>3843</v>
      </c>
      <c r="T90" s="22" t="n">
        <v>3742</v>
      </c>
      <c r="U90" s="22" t="n">
        <v>3854</v>
      </c>
      <c r="V90" s="22" t="n">
        <v>3982</v>
      </c>
      <c r="W90" s="22" t="n">
        <v>3755</v>
      </c>
      <c r="X90" s="22" t="n">
        <v>3604</v>
      </c>
      <c r="Y90" s="22" t="n">
        <v>3421</v>
      </c>
      <c r="Z90" s="22" t="n">
        <v>3538</v>
      </c>
      <c r="AA90" s="22" t="n">
        <v>3633</v>
      </c>
      <c r="AB90" s="22" t="n">
        <v>3688</v>
      </c>
      <c r="AC90" s="22" t="n">
        <v>3995</v>
      </c>
      <c r="AD90" s="22" t="n">
        <v>3882</v>
      </c>
      <c r="AE90" s="22" t="n">
        <v>3971</v>
      </c>
      <c r="AF90" s="22" t="n">
        <v>3952</v>
      </c>
      <c r="AG90" s="22" t="n">
        <v>3857</v>
      </c>
      <c r="AH90" s="22" t="n">
        <v>3896</v>
      </c>
      <c r="AI90" s="22" t="n">
        <v>3695</v>
      </c>
      <c r="AJ90" s="22" t="n">
        <v>3643</v>
      </c>
      <c r="AK90" s="22" t="n">
        <v>3820</v>
      </c>
      <c r="AL90" s="22" t="n">
        <v>3868</v>
      </c>
      <c r="AM90" s="22" t="n">
        <v>3556</v>
      </c>
      <c r="AN90" s="22" t="n">
        <v>3491</v>
      </c>
      <c r="AO90" s="22" t="n">
        <v>3523</v>
      </c>
      <c r="AP90" s="22" t="n">
        <v>3582</v>
      </c>
      <c r="AQ90" s="22" t="n">
        <v>3624</v>
      </c>
      <c r="AR90" s="22" t="n">
        <v>3615</v>
      </c>
      <c r="AS90" s="22" t="n">
        <v>3697</v>
      </c>
      <c r="AT90" s="22" t="n">
        <v>3759</v>
      </c>
      <c r="AU90" s="22" t="n">
        <v>3895</v>
      </c>
      <c r="AV90" s="22" t="n">
        <v>3841</v>
      </c>
      <c r="AW90" s="22" t="n">
        <v>3666</v>
      </c>
      <c r="AX90" s="22" t="n">
        <v>3113</v>
      </c>
      <c r="AY90" s="22" t="n">
        <v>3020</v>
      </c>
      <c r="AZ90" s="22" t="n">
        <v>2827.5</v>
      </c>
      <c r="BA90" s="22" t="n">
        <v>2735</v>
      </c>
      <c r="BB90" s="22" t="n">
        <v>2671.5</v>
      </c>
      <c r="BC90" s="22" t="n">
        <v>2596.5</v>
      </c>
      <c r="BD90" s="22" t="n">
        <v>2690</v>
      </c>
      <c r="BE90" s="22" t="n">
        <v>2461.5</v>
      </c>
      <c r="BF90" s="22" t="n">
        <v>2502.5</v>
      </c>
      <c r="BG90" s="22" t="n">
        <v>2636.5</v>
      </c>
      <c r="BH90" s="22" t="n">
        <v>2744.5</v>
      </c>
      <c r="BI90" s="22" t="n">
        <v>2810</v>
      </c>
      <c r="BJ90" s="22" t="n">
        <v>2663.5</v>
      </c>
      <c r="BK90" s="22" t="n">
        <v>2627</v>
      </c>
      <c r="BL90" s="22" t="n">
        <v>2758.5</v>
      </c>
    </row>
    <row r="91" ht="15.95" customHeight="1" s="574">
      <c r="A91" s="68" t="inlineStr">
        <is>
          <t>6501</t>
        </is>
      </c>
      <c r="B91" s="44" t="inlineStr">
        <is>
          <t>日立</t>
        </is>
      </c>
      <c r="C91" s="669">
        <f>_xll.RssMarket("6501","安値")</f>
        <v/>
      </c>
      <c r="D91" s="661">
        <f>C91-E91</f>
        <v/>
      </c>
      <c r="E91" s="22" t="n">
        <v>4702</v>
      </c>
      <c r="F91" s="22" t="n">
        <v>4690</v>
      </c>
      <c r="G91" s="22" t="n">
        <v>4680</v>
      </c>
      <c r="H91" s="22" t="n">
        <v>4670</v>
      </c>
      <c r="I91" s="22" t="n">
        <v>4646</v>
      </c>
      <c r="J91" s="22" t="n">
        <v>4703</v>
      </c>
      <c r="K91" s="22" t="n">
        <v>4585</v>
      </c>
      <c r="L91" s="22" t="n">
        <v>4579</v>
      </c>
      <c r="M91" s="22" t="n">
        <v>4782</v>
      </c>
      <c r="N91" s="22" t="n">
        <v>4968</v>
      </c>
      <c r="O91" s="22" t="n">
        <v>5141</v>
      </c>
      <c r="P91" s="22" t="n">
        <v>5131</v>
      </c>
      <c r="Q91" s="22" t="n">
        <v>5129</v>
      </c>
      <c r="R91" s="22" t="n">
        <v>4987</v>
      </c>
      <c r="S91" s="22" t="n">
        <v>5166</v>
      </c>
      <c r="T91" s="22" t="n">
        <v>4962</v>
      </c>
      <c r="U91" s="22" t="n">
        <v>4955</v>
      </c>
      <c r="V91" s="22" t="n">
        <v>5000</v>
      </c>
      <c r="W91" s="22" t="n">
        <v>4995</v>
      </c>
      <c r="X91" s="22" t="n">
        <v>4882</v>
      </c>
      <c r="Y91" s="22" t="n">
        <v>4814</v>
      </c>
      <c r="Z91" s="22" t="n">
        <v>4863</v>
      </c>
      <c r="AA91" s="22" t="n">
        <v>4723</v>
      </c>
      <c r="AB91" s="22" t="n">
        <v>4683</v>
      </c>
      <c r="AC91" s="22" t="n">
        <v>4646</v>
      </c>
      <c r="AD91" s="22" t="n">
        <v>4702</v>
      </c>
      <c r="AE91" s="22" t="n">
        <v>4812</v>
      </c>
      <c r="AF91" s="22" t="n">
        <v>4795</v>
      </c>
      <c r="AG91" s="22" t="n">
        <v>4806</v>
      </c>
      <c r="AH91" s="22" t="n">
        <v>4850</v>
      </c>
      <c r="AI91" s="22" t="n">
        <v>4775</v>
      </c>
      <c r="AJ91" s="22" t="n">
        <v>4828</v>
      </c>
      <c r="AK91" s="22" t="n">
        <v>4990</v>
      </c>
      <c r="AL91" s="22" t="n">
        <v>5258</v>
      </c>
      <c r="AM91" s="22" t="n">
        <v>5095</v>
      </c>
      <c r="AN91" s="22" t="n">
        <v>5130</v>
      </c>
      <c r="AO91" s="22" t="n">
        <v>5034</v>
      </c>
      <c r="AP91" s="22" t="n">
        <v>5097</v>
      </c>
      <c r="AQ91" s="22" t="n">
        <v>5117</v>
      </c>
      <c r="AR91" s="22" t="n">
        <v>5109</v>
      </c>
      <c r="AS91" s="22" t="n">
        <v>5157</v>
      </c>
      <c r="AT91" s="22" t="n">
        <v>5025</v>
      </c>
      <c r="AU91" s="22" t="n">
        <v>4855</v>
      </c>
      <c r="AV91" s="22" t="n">
        <v>4826</v>
      </c>
      <c r="AW91" s="22" t="n">
        <v>4770</v>
      </c>
      <c r="AX91" s="22" t="n">
        <v>4818</v>
      </c>
      <c r="AY91" s="22" t="n">
        <v>4850</v>
      </c>
      <c r="AZ91" s="22" t="n">
        <v>4712</v>
      </c>
      <c r="BA91" s="22" t="n">
        <v>4719</v>
      </c>
      <c r="BB91" s="22" t="n">
        <v>4780</v>
      </c>
      <c r="BC91" s="22" t="n">
        <v>4639</v>
      </c>
      <c r="BD91" s="22" t="n">
        <v>4642</v>
      </c>
      <c r="BE91" s="22" t="n">
        <v>4446</v>
      </c>
      <c r="BF91" s="22" t="n">
        <v>4388</v>
      </c>
      <c r="BG91" s="22" t="n">
        <v>4672</v>
      </c>
      <c r="BH91" s="22" t="n">
        <v>4719</v>
      </c>
      <c r="BI91" s="22" t="n">
        <v>4812</v>
      </c>
      <c r="BJ91" s="22" t="n">
        <v>4742</v>
      </c>
      <c r="BK91" s="22" t="n">
        <v>4636</v>
      </c>
      <c r="BL91" s="22" t="n">
        <v>4791</v>
      </c>
    </row>
    <row r="92" ht="15.95" customHeight="1" s="574">
      <c r="A92" s="68" t="inlineStr">
        <is>
          <t>6134</t>
        </is>
      </c>
      <c r="B92" s="44" t="inlineStr">
        <is>
          <t>ＦＵＪＩ</t>
        </is>
      </c>
      <c r="C92" s="669">
        <f>_xll.RssMarket("6134","安値")</f>
        <v/>
      </c>
      <c r="D92" s="661">
        <f>C92-E92</f>
        <v/>
      </c>
      <c r="E92" s="22" t="n">
        <v>8420</v>
      </c>
      <c r="F92" s="22" t="n">
        <v>8379</v>
      </c>
      <c r="G92" s="22" t="n">
        <v>8287</v>
      </c>
      <c r="H92" s="22" t="n">
        <v>8162</v>
      </c>
      <c r="I92" s="22" t="n">
        <v>8135</v>
      </c>
      <c r="J92" s="22" t="n">
        <v>7827</v>
      </c>
      <c r="K92" s="22" t="n">
        <v>7530</v>
      </c>
      <c r="L92" s="22" t="n">
        <v>6890</v>
      </c>
      <c r="M92" s="22" t="n">
        <v>7180</v>
      </c>
      <c r="N92" s="22" t="n">
        <v>6879</v>
      </c>
      <c r="O92" s="22" t="n">
        <v>7462</v>
      </c>
      <c r="P92" s="22" t="n">
        <v>7509</v>
      </c>
      <c r="Q92" s="22" t="n">
        <v>7788</v>
      </c>
      <c r="R92" s="22" t="n">
        <v>7637</v>
      </c>
      <c r="S92" s="22" t="n">
        <v>7938</v>
      </c>
      <c r="T92" s="22" t="n">
        <v>7568</v>
      </c>
      <c r="U92" s="22" t="n">
        <v>7760</v>
      </c>
      <c r="V92" s="22" t="n">
        <v>7980</v>
      </c>
      <c r="W92" s="22" t="n">
        <v>7652</v>
      </c>
      <c r="X92" s="22" t="n">
        <v>7550</v>
      </c>
      <c r="Y92" s="22" t="n">
        <v>7051</v>
      </c>
      <c r="Z92" s="22" t="n">
        <v>7385</v>
      </c>
      <c r="AA92" s="22" t="n">
        <v>7735</v>
      </c>
      <c r="AB92" s="22" t="n">
        <v>7694</v>
      </c>
      <c r="AC92" s="22" t="n">
        <v>7001</v>
      </c>
      <c r="AD92" s="22" t="n">
        <v>6712</v>
      </c>
      <c r="AE92" s="22" t="n">
        <v>6751</v>
      </c>
      <c r="AF92" s="22" t="n">
        <v>6559</v>
      </c>
      <c r="AG92" s="22" t="n">
        <v>6227</v>
      </c>
      <c r="AH92" s="22" t="n">
        <v>6188</v>
      </c>
      <c r="AI92" s="22" t="n">
        <v>6000</v>
      </c>
      <c r="AJ92" s="22" t="n">
        <v>5867</v>
      </c>
      <c r="AK92" s="22" t="n">
        <v>5970</v>
      </c>
      <c r="AL92" s="22" t="n">
        <v>5875</v>
      </c>
      <c r="AM92" s="22" t="n">
        <v>5739</v>
      </c>
      <c r="AN92" s="22" t="n">
        <v>5659</v>
      </c>
      <c r="AO92" s="22" t="n">
        <v>5893</v>
      </c>
      <c r="AP92" s="22" t="n">
        <v>5851</v>
      </c>
      <c r="AQ92" s="22" t="n">
        <v>5698</v>
      </c>
      <c r="AR92" s="22" t="n">
        <v>5625</v>
      </c>
      <c r="AS92" s="22" t="n">
        <v>5721</v>
      </c>
      <c r="AT92" s="22" t="n">
        <v>5678</v>
      </c>
      <c r="AU92" s="22" t="n">
        <v>5618</v>
      </c>
      <c r="AV92" s="22" t="n">
        <v>5416</v>
      </c>
      <c r="AW92" s="22" t="n">
        <v>5390</v>
      </c>
      <c r="AX92" s="22" t="n">
        <v>5235</v>
      </c>
      <c r="AY92" s="22" t="n">
        <v>5198</v>
      </c>
      <c r="AZ92" s="22" t="n">
        <v>4855</v>
      </c>
      <c r="BA92" s="22" t="n">
        <v>4910</v>
      </c>
      <c r="BB92" s="22" t="n">
        <v>4875</v>
      </c>
      <c r="BC92" s="22" t="n">
        <v>4810</v>
      </c>
      <c r="BD92" s="22" t="n">
        <v>4875</v>
      </c>
      <c r="BE92" s="22" t="n">
        <v>4587</v>
      </c>
      <c r="BF92" s="22" t="n">
        <v>4644</v>
      </c>
      <c r="BG92" s="22" t="n">
        <v>4880</v>
      </c>
      <c r="BH92" s="22" t="n">
        <v>5106</v>
      </c>
      <c r="BI92" s="22" t="n">
        <v>5069</v>
      </c>
      <c r="BJ92" s="22" t="n">
        <v>4867</v>
      </c>
      <c r="BK92" s="22" t="n">
        <v>4731</v>
      </c>
      <c r="BL92" s="22" t="n">
        <v>5060</v>
      </c>
    </row>
    <row r="93" ht="15.95" customHeight="1" s="574">
      <c r="A93" s="68" t="inlineStr">
        <is>
          <t>7746</t>
        </is>
      </c>
      <c r="B93" s="44" t="inlineStr">
        <is>
          <t>岡本硝子</t>
        </is>
      </c>
      <c r="C93" s="669">
        <f>_xll.RssMarket("7746","安値")</f>
        <v/>
      </c>
      <c r="D93" s="661">
        <f>C93-E93</f>
        <v/>
      </c>
      <c r="E93" s="22" t="n">
        <v>786</v>
      </c>
      <c r="F93" s="22" t="n">
        <v>815</v>
      </c>
      <c r="G93" s="22" t="n">
        <v>811</v>
      </c>
      <c r="H93" s="22" t="n">
        <v>718</v>
      </c>
      <c r="I93" s="22" t="n">
        <v>737</v>
      </c>
      <c r="J93" s="22" t="n">
        <v>702</v>
      </c>
      <c r="K93" s="22" t="n">
        <v>660</v>
      </c>
      <c r="L93" s="22" t="n">
        <v>680</v>
      </c>
      <c r="M93" s="22" t="n">
        <v>722</v>
      </c>
      <c r="N93" s="22" t="n">
        <v>751</v>
      </c>
      <c r="O93" s="22" t="n">
        <v>755</v>
      </c>
      <c r="P93" s="22" t="n">
        <v>763</v>
      </c>
      <c r="Q93" s="22" t="n">
        <v>760</v>
      </c>
      <c r="R93" s="22" t="n">
        <v>818</v>
      </c>
      <c r="S93" s="22" t="n">
        <v>817</v>
      </c>
      <c r="T93" s="22" t="n">
        <v>850</v>
      </c>
      <c r="U93" s="22" t="n">
        <v>880</v>
      </c>
      <c r="V93" s="22" t="n">
        <v>877</v>
      </c>
      <c r="W93" s="22" t="n">
        <v>920</v>
      </c>
      <c r="X93" s="22" t="n">
        <v>958</v>
      </c>
      <c r="Y93" s="22" t="n">
        <v>925</v>
      </c>
      <c r="Z93" s="22" t="n">
        <v>829</v>
      </c>
      <c r="AA93" s="22" t="n">
        <v>746</v>
      </c>
      <c r="AB93" s="22" t="n">
        <v>760</v>
      </c>
      <c r="AC93" s="22" t="n">
        <v>761</v>
      </c>
      <c r="AD93" s="22" t="n">
        <v>758</v>
      </c>
      <c r="AE93" s="22" t="n">
        <v>820</v>
      </c>
      <c r="AF93" s="22" t="n">
        <v>840</v>
      </c>
      <c r="AG93" s="22" t="n">
        <v>833</v>
      </c>
      <c r="AH93" s="22" t="n">
        <v>805</v>
      </c>
      <c r="AI93" s="22" t="n">
        <v>850</v>
      </c>
      <c r="AJ93" s="22" t="n">
        <v>920</v>
      </c>
      <c r="AK93" s="22" t="n">
        <v>917</v>
      </c>
      <c r="AL93" s="22" t="n">
        <v>955</v>
      </c>
      <c r="AM93" s="22" t="n">
        <v>976</v>
      </c>
      <c r="AN93" s="22" t="n">
        <v>985</v>
      </c>
      <c r="AO93" s="22" t="n">
        <v>983</v>
      </c>
      <c r="AP93" s="22" t="n">
        <v>949</v>
      </c>
      <c r="AQ93" s="22" t="n">
        <v>938</v>
      </c>
      <c r="AR93" s="22" t="n">
        <v>958</v>
      </c>
      <c r="AS93" s="22" t="n">
        <v>969</v>
      </c>
      <c r="AT93" s="22" t="n">
        <v>972</v>
      </c>
      <c r="AU93" s="22" t="n">
        <v>952</v>
      </c>
      <c r="AV93" s="22" t="n">
        <v>1010</v>
      </c>
      <c r="AW93" s="22" t="n">
        <v>1033</v>
      </c>
      <c r="AX93" s="22" t="n">
        <v>1001</v>
      </c>
      <c r="AY93" s="22" t="n">
        <v>986</v>
      </c>
      <c r="AZ93" s="22" t="n">
        <v>995</v>
      </c>
      <c r="BA93" s="22" t="n">
        <v>1004</v>
      </c>
      <c r="BB93" s="22" t="n">
        <v>1020</v>
      </c>
      <c r="BC93" s="22" t="n">
        <v>1064</v>
      </c>
      <c r="BD93" s="22" t="n">
        <v>943</v>
      </c>
      <c r="BE93" s="22" t="n">
        <v>910</v>
      </c>
      <c r="BF93" s="22" t="n">
        <v>938</v>
      </c>
      <c r="BG93" s="22" t="n">
        <v>968</v>
      </c>
      <c r="BH93" s="22" t="n">
        <v>997</v>
      </c>
      <c r="BI93" s="22" t="n">
        <v>976</v>
      </c>
      <c r="BJ93" s="22" t="n">
        <v>1008</v>
      </c>
      <c r="BK93" s="22" t="n">
        <v>1055</v>
      </c>
      <c r="BL93" s="22" t="n">
        <v>1089</v>
      </c>
    </row>
    <row r="94" ht="15.95" customHeight="1" s="574">
      <c r="A94" s="68" t="inlineStr">
        <is>
          <t>3407</t>
        </is>
      </c>
      <c r="B94" s="44" t="inlineStr">
        <is>
          <t>旭化成</t>
        </is>
      </c>
      <c r="C94" s="669">
        <f>_xll.RssMarket("3407","安値")</f>
        <v/>
      </c>
      <c r="D94" s="661">
        <f>C94-E94</f>
        <v/>
      </c>
      <c r="E94" s="22" t="n">
        <v>1795.5</v>
      </c>
      <c r="F94" s="22" t="n">
        <v>1785</v>
      </c>
      <c r="G94" s="22" t="n">
        <v>1774</v>
      </c>
      <c r="H94" s="22" t="n">
        <v>1750</v>
      </c>
      <c r="I94" s="22" t="n">
        <v>1730</v>
      </c>
      <c r="J94" s="22" t="n">
        <v>1756</v>
      </c>
      <c r="K94" s="22" t="n">
        <v>1770</v>
      </c>
      <c r="L94" s="22" t="n">
        <v>1707.5</v>
      </c>
      <c r="M94" s="22" t="n">
        <v>1732</v>
      </c>
      <c r="N94" s="22" t="n">
        <v>1727</v>
      </c>
      <c r="O94" s="22" t="n">
        <v>1762.5</v>
      </c>
      <c r="P94" s="22" t="n">
        <v>1745</v>
      </c>
      <c r="Q94" s="22" t="n">
        <v>1743</v>
      </c>
      <c r="R94" s="22" t="n">
        <v>1700.5</v>
      </c>
      <c r="S94" s="22" t="n">
        <v>1765</v>
      </c>
      <c r="T94" s="22" t="n">
        <v>1707</v>
      </c>
      <c r="U94" s="22" t="n">
        <v>1742.5</v>
      </c>
      <c r="V94" s="22" t="n">
        <v>1741</v>
      </c>
      <c r="W94" s="22" t="n">
        <v>1695.5</v>
      </c>
      <c r="X94" s="22" t="n">
        <v>1680.5</v>
      </c>
      <c r="Y94" s="22" t="n">
        <v>1671.5</v>
      </c>
      <c r="Z94" s="22" t="n">
        <v>1678.5</v>
      </c>
      <c r="AA94" s="22" t="n">
        <v>1667</v>
      </c>
      <c r="AB94" s="22" t="n">
        <v>1705.5</v>
      </c>
      <c r="AC94" s="22" t="n">
        <v>1708</v>
      </c>
      <c r="AD94" s="22" t="n">
        <v>1645.5</v>
      </c>
      <c r="AE94" s="22" t="n">
        <v>1541</v>
      </c>
      <c r="AF94" s="22" t="n">
        <v>1516.5</v>
      </c>
      <c r="AG94" s="22" t="n">
        <v>1506.5</v>
      </c>
      <c r="AH94" s="22" t="n">
        <v>1537</v>
      </c>
      <c r="AI94" s="22" t="n">
        <v>1503.5</v>
      </c>
      <c r="AJ94" s="22" t="n">
        <v>1508.5</v>
      </c>
      <c r="AK94" s="22" t="n">
        <v>1527</v>
      </c>
      <c r="AL94" s="22" t="n">
        <v>1505</v>
      </c>
      <c r="AM94" s="22" t="n">
        <v>1508</v>
      </c>
      <c r="AN94" s="22" t="n">
        <v>1488</v>
      </c>
      <c r="AO94" s="22" t="n">
        <v>1528</v>
      </c>
      <c r="AP94" s="22" t="n">
        <v>1558.5</v>
      </c>
      <c r="AQ94" s="22" t="n">
        <v>1556.5</v>
      </c>
      <c r="AR94" s="22" t="n">
        <v>1591</v>
      </c>
      <c r="AS94" s="22" t="n">
        <v>1560</v>
      </c>
      <c r="AT94" s="22" t="n">
        <v>1540.5</v>
      </c>
      <c r="AU94" s="22" t="n">
        <v>1564</v>
      </c>
      <c r="AV94" s="22" t="n">
        <v>1601</v>
      </c>
      <c r="AW94" s="22" t="n">
        <v>1634</v>
      </c>
      <c r="AX94" s="22" t="n">
        <v>1632.5</v>
      </c>
      <c r="AY94" s="22" t="n">
        <v>1621.5</v>
      </c>
      <c r="AZ94" s="22" t="n">
        <v>1529</v>
      </c>
      <c r="BA94" s="22" t="n">
        <v>1537.5</v>
      </c>
      <c r="BB94" s="22" t="n">
        <v>1551</v>
      </c>
      <c r="BC94" s="22" t="n">
        <v>1544.5</v>
      </c>
      <c r="BD94" s="22" t="n">
        <v>1543</v>
      </c>
      <c r="BE94" s="22" t="n">
        <v>1488</v>
      </c>
      <c r="BF94" s="22" t="n">
        <v>1450</v>
      </c>
      <c r="BG94" s="22" t="n">
        <v>1544</v>
      </c>
      <c r="BH94" s="22" t="n">
        <v>1545</v>
      </c>
      <c r="BI94" s="22" t="n">
        <v>1555</v>
      </c>
      <c r="BJ94" s="22" t="n">
        <v>1504.5</v>
      </c>
      <c r="BK94" s="22" t="n">
        <v>1459</v>
      </c>
      <c r="BL94" s="22" t="n">
        <v>1545</v>
      </c>
    </row>
    <row r="95" ht="15.95" customHeight="1" s="574">
      <c r="A95" s="68" t="inlineStr">
        <is>
          <t>4008</t>
        </is>
      </c>
      <c r="B95" s="44" t="inlineStr">
        <is>
          <t>住友精化</t>
        </is>
      </c>
      <c r="C95" s="669">
        <f>_xll.RssMarket("4008","安値")</f>
        <v/>
      </c>
      <c r="D95" s="661">
        <f>C95-E95</f>
        <v/>
      </c>
      <c r="E95" s="2" t="n">
        <v>1325</v>
      </c>
      <c r="F95" s="33" t="n">
        <v>1302</v>
      </c>
      <c r="G95" s="33" t="n">
        <v>1312</v>
      </c>
      <c r="H95" s="33" t="n">
        <v>1317</v>
      </c>
      <c r="I95" s="33" t="n">
        <v>1313</v>
      </c>
      <c r="J95" s="33" t="n">
        <v>1305</v>
      </c>
      <c r="K95" s="33" t="n">
        <v>1277</v>
      </c>
      <c r="L95" s="33" t="n">
        <v>1226</v>
      </c>
      <c r="M95" s="33" t="n">
        <v>1250</v>
      </c>
      <c r="N95" s="33" t="n">
        <v>1236</v>
      </c>
      <c r="O95" s="33" t="n">
        <v>1265</v>
      </c>
      <c r="P95" s="33" t="n">
        <v>1270</v>
      </c>
      <c r="Q95" s="33" t="n">
        <v>1297</v>
      </c>
      <c r="R95" s="33" t="n">
        <v>1233</v>
      </c>
      <c r="S95" s="33" t="n">
        <v>1320</v>
      </c>
      <c r="T95" s="33" t="n">
        <v>1297</v>
      </c>
      <c r="U95" s="33" t="n">
        <v>1260</v>
      </c>
      <c r="V95" s="33" t="n">
        <v>1265</v>
      </c>
      <c r="W95" s="33" t="n">
        <v>1240</v>
      </c>
      <c r="X95" s="33" t="n">
        <v>1231</v>
      </c>
      <c r="Y95" s="33" t="n">
        <v>1201</v>
      </c>
      <c r="Z95" s="33" t="n">
        <v>1218</v>
      </c>
      <c r="AA95" s="33" t="n">
        <v>1237</v>
      </c>
      <c r="AB95" s="33" t="n">
        <v>1228</v>
      </c>
      <c r="AC95" s="33" t="n">
        <v>1229</v>
      </c>
      <c r="AD95" s="33" t="n">
        <v>1201</v>
      </c>
      <c r="AE95" s="33" t="n">
        <v>1151</v>
      </c>
      <c r="AF95" s="33" t="n">
        <v>1204</v>
      </c>
      <c r="AG95" s="33" t="n">
        <v>1189</v>
      </c>
      <c r="AH95" s="33" t="n">
        <v>1206</v>
      </c>
      <c r="AI95" s="33" t="n">
        <v>1182</v>
      </c>
      <c r="AJ95" s="33" t="n">
        <v>1183</v>
      </c>
      <c r="AK95" s="33" t="n">
        <v>1191</v>
      </c>
      <c r="AL95" s="33" t="n">
        <v>1184</v>
      </c>
      <c r="AM95" s="33" t="n">
        <v>1193</v>
      </c>
      <c r="AN95" s="33" t="n">
        <v>1181</v>
      </c>
      <c r="AO95" s="33" t="n">
        <v>1196</v>
      </c>
      <c r="AP95" s="33" t="n">
        <v>1239</v>
      </c>
      <c r="AQ95" s="33" t="n">
        <v>1267</v>
      </c>
      <c r="AR95" s="33" t="n">
        <v>1264</v>
      </c>
      <c r="AS95" s="33" t="n">
        <v>1274</v>
      </c>
      <c r="AT95" s="33" t="n">
        <v>1277</v>
      </c>
      <c r="AU95" s="33" t="n">
        <v>1257</v>
      </c>
      <c r="AV95" s="33" t="n">
        <v>1244</v>
      </c>
      <c r="AW95" s="33" t="n">
        <v>1251</v>
      </c>
      <c r="AX95" s="33" t="n">
        <v>1250</v>
      </c>
      <c r="AY95" s="33" t="n">
        <v>1252</v>
      </c>
      <c r="AZ95" s="33" t="n">
        <v>1224</v>
      </c>
      <c r="BA95" s="33" t="n">
        <v>1220</v>
      </c>
      <c r="BB95" s="33" t="n">
        <v>1210</v>
      </c>
      <c r="BC95" s="33" t="n">
        <v>1205</v>
      </c>
      <c r="BD95" s="33" t="n">
        <v>1198</v>
      </c>
      <c r="BE95" s="33" t="n">
        <v>1167</v>
      </c>
      <c r="BF95" s="33" t="n">
        <v>1141</v>
      </c>
      <c r="BG95" s="33" t="n">
        <v>1248</v>
      </c>
      <c r="BH95" s="33" t="n">
        <v>1256</v>
      </c>
      <c r="BI95" s="33" t="n">
        <v>1264</v>
      </c>
      <c r="BJ95" s="33" t="n">
        <v>1230</v>
      </c>
      <c r="BK95" s="33" t="n">
        <v>1196</v>
      </c>
      <c r="BL95" s="33" t="n">
        <v>1268</v>
      </c>
    </row>
    <row r="96" ht="15.95" customHeight="1" s="574">
      <c r="A96" s="68" t="inlineStr">
        <is>
          <t>4062</t>
        </is>
      </c>
      <c r="B96" s="44" t="inlineStr">
        <is>
          <t>イビデン</t>
        </is>
      </c>
      <c r="C96" s="669">
        <f>_xll.RssMarket("4062","安値")</f>
        <v/>
      </c>
      <c r="D96" s="661">
        <f>C96-E96</f>
        <v/>
      </c>
      <c r="E96" s="33" t="n">
        <v>24205</v>
      </c>
      <c r="F96" s="33" t="n">
        <v>24545</v>
      </c>
      <c r="G96" s="33" t="n">
        <v>23850</v>
      </c>
      <c r="H96" s="33" t="n">
        <v>21860</v>
      </c>
      <c r="I96" s="33" t="n">
        <v>22250</v>
      </c>
      <c r="J96" s="33" t="n">
        <v>20565</v>
      </c>
      <c r="K96" s="33" t="n">
        <v>18905</v>
      </c>
      <c r="L96" s="33" t="n">
        <v>16505</v>
      </c>
      <c r="M96" s="33" t="n">
        <v>17110</v>
      </c>
      <c r="N96" s="33" t="n">
        <v>16120</v>
      </c>
      <c r="O96" s="33" t="n">
        <v>17950</v>
      </c>
      <c r="P96" s="33" t="n">
        <v>19965</v>
      </c>
      <c r="Q96" s="33" t="n">
        <v>21125</v>
      </c>
      <c r="R96" s="33" t="n">
        <v>20265</v>
      </c>
      <c r="S96" s="33" t="n">
        <v>19505</v>
      </c>
      <c r="T96" s="33" t="n">
        <v>19135</v>
      </c>
      <c r="U96" s="33" t="n">
        <v>20110</v>
      </c>
      <c r="V96" s="33" t="n">
        <v>19535</v>
      </c>
      <c r="W96" s="33" t="n">
        <v>17960</v>
      </c>
      <c r="X96" s="33" t="n">
        <v>16975</v>
      </c>
      <c r="Y96" s="33" t="n">
        <v>14650</v>
      </c>
      <c r="Z96" s="33" t="n">
        <v>15005</v>
      </c>
      <c r="AA96" s="33" t="n">
        <v>14970</v>
      </c>
      <c r="AB96" s="33" t="n">
        <v>15280</v>
      </c>
      <c r="AC96" s="33" t="n">
        <v>16625</v>
      </c>
      <c r="AD96" s="33" t="n">
        <v>15865</v>
      </c>
      <c r="AE96" s="33" t="n">
        <v>15235</v>
      </c>
      <c r="AF96" s="33" t="n">
        <v>15200</v>
      </c>
      <c r="AG96" s="33" t="n">
        <v>14820</v>
      </c>
      <c r="AH96" s="33" t="n">
        <v>14805</v>
      </c>
      <c r="AI96" s="33" t="n">
        <v>13035</v>
      </c>
      <c r="AJ96" s="33" t="n">
        <v>13070</v>
      </c>
      <c r="AK96" s="33" t="n">
        <v>12355</v>
      </c>
      <c r="AL96" s="33" t="n">
        <v>12200</v>
      </c>
      <c r="AM96" s="33" t="n">
        <v>12090</v>
      </c>
      <c r="AN96" s="33" t="n">
        <v>10870</v>
      </c>
      <c r="AO96" s="33" t="n">
        <v>10395</v>
      </c>
      <c r="AP96" s="33" t="n">
        <v>9769</v>
      </c>
      <c r="AQ96" s="33" t="n">
        <v>9068</v>
      </c>
      <c r="AR96" s="33" t="n">
        <v>9228</v>
      </c>
      <c r="AS96" s="33" t="n">
        <v>9401</v>
      </c>
      <c r="AT96" s="33" t="n">
        <v>9215</v>
      </c>
      <c r="AU96" s="33" t="n">
        <v>9672</v>
      </c>
      <c r="AV96" s="33" t="n">
        <v>9252</v>
      </c>
      <c r="AW96" s="33" t="n">
        <v>9772</v>
      </c>
      <c r="AX96" s="33" t="n">
        <v>9437</v>
      </c>
      <c r="AY96" s="33" t="n">
        <v>9251</v>
      </c>
      <c r="AZ96" s="33" t="n">
        <v>8490</v>
      </c>
      <c r="BA96" s="33" t="n">
        <v>8257</v>
      </c>
      <c r="BB96" s="33" t="n">
        <v>7952</v>
      </c>
      <c r="BC96" s="33" t="n">
        <v>7641</v>
      </c>
      <c r="BD96" s="33" t="n">
        <v>7821</v>
      </c>
      <c r="BE96" s="33" t="n">
        <v>7199</v>
      </c>
      <c r="BF96" s="33" t="n">
        <v>7464</v>
      </c>
      <c r="BG96" s="33" t="n">
        <v>7870</v>
      </c>
      <c r="BH96" s="33" t="n">
        <v>8318</v>
      </c>
      <c r="BI96" s="33" t="n">
        <v>8118</v>
      </c>
      <c r="BJ96" s="33" t="n">
        <v>7607</v>
      </c>
      <c r="BK96" s="33" t="n">
        <v>7540</v>
      </c>
      <c r="BL96" s="33" t="n">
        <v>8065</v>
      </c>
    </row>
    <row r="97" ht="15.95" customHeight="1" s="574">
      <c r="A97" s="68" t="inlineStr">
        <is>
          <t>4182</t>
        </is>
      </c>
      <c r="B97" s="44" t="inlineStr">
        <is>
          <t>三菱瓦斯化学</t>
        </is>
      </c>
      <c r="C97" s="669">
        <f>_xll.RssMarket("4182","安値")</f>
        <v/>
      </c>
      <c r="D97" s="661">
        <f>C97-E97</f>
        <v/>
      </c>
      <c r="E97" s="33" t="n">
        <v>5418</v>
      </c>
      <c r="F97" s="33" t="n">
        <v>5358</v>
      </c>
      <c r="G97" s="33" t="n">
        <v>5222</v>
      </c>
      <c r="H97" s="33" t="n">
        <v>4945</v>
      </c>
      <c r="I97" s="33" t="n">
        <v>5012</v>
      </c>
      <c r="J97" s="33" t="n">
        <v>4961</v>
      </c>
      <c r="K97" s="33" t="n">
        <v>4744</v>
      </c>
      <c r="L97" s="33" t="n">
        <v>4200</v>
      </c>
      <c r="M97" s="33" t="n">
        <v>4406</v>
      </c>
      <c r="N97" s="33" t="n">
        <v>4640</v>
      </c>
      <c r="O97" s="33" t="n">
        <v>4916</v>
      </c>
      <c r="P97" s="33" t="n">
        <v>5203</v>
      </c>
      <c r="Q97" s="33" t="n">
        <v>5325</v>
      </c>
      <c r="R97" s="33" t="n">
        <v>5119</v>
      </c>
      <c r="S97" s="33" t="n">
        <v>5450</v>
      </c>
      <c r="T97" s="33" t="n">
        <v>5212</v>
      </c>
      <c r="U97" s="33" t="n">
        <v>5283</v>
      </c>
      <c r="V97" s="33" t="n">
        <v>5217</v>
      </c>
      <c r="W97" s="33" t="n">
        <v>4946</v>
      </c>
      <c r="X97" s="33" t="n">
        <v>4742</v>
      </c>
      <c r="Y97" s="33" t="n">
        <v>4389</v>
      </c>
      <c r="Z97" s="33" t="n">
        <v>4466</v>
      </c>
      <c r="AA97" s="33" t="n">
        <v>4443</v>
      </c>
      <c r="AB97" s="33" t="n">
        <v>4594</v>
      </c>
      <c r="AC97" s="33" t="n">
        <v>4799</v>
      </c>
      <c r="AD97" s="33" t="n">
        <v>4650</v>
      </c>
      <c r="AE97" s="33" t="n">
        <v>4795</v>
      </c>
      <c r="AF97" s="33" t="n">
        <v>4590</v>
      </c>
      <c r="AG97" s="33" t="n">
        <v>4477</v>
      </c>
      <c r="AH97" s="33" t="n">
        <v>4445</v>
      </c>
      <c r="AI97" s="33" t="n">
        <v>4296</v>
      </c>
      <c r="AJ97" s="33" t="n">
        <v>4335</v>
      </c>
      <c r="AK97" s="33" t="n">
        <v>4320</v>
      </c>
      <c r="AL97" s="33" t="n">
        <v>4251</v>
      </c>
      <c r="AM97" s="33" t="n">
        <v>4351</v>
      </c>
      <c r="AN97" s="33" t="n">
        <v>4212</v>
      </c>
      <c r="AO97" s="33" t="n">
        <v>4268</v>
      </c>
      <c r="AP97" s="33" t="n">
        <v>4279</v>
      </c>
      <c r="AQ97" s="33" t="n">
        <v>4231</v>
      </c>
      <c r="AR97" s="33" t="n">
        <v>4166</v>
      </c>
      <c r="AS97" s="33" t="n">
        <v>4156</v>
      </c>
      <c r="AT97" s="33" t="n">
        <v>4119</v>
      </c>
      <c r="AU97" s="33" t="n">
        <v>4190</v>
      </c>
      <c r="AV97" s="33" t="n">
        <v>4083</v>
      </c>
      <c r="AW97" s="33" t="n">
        <v>4160</v>
      </c>
      <c r="AX97" s="33" t="n">
        <v>4131</v>
      </c>
      <c r="AY97" s="33" t="n">
        <v>4160</v>
      </c>
      <c r="AZ97" s="33" t="n">
        <v>3890</v>
      </c>
      <c r="BA97" s="33" t="n">
        <v>3772</v>
      </c>
      <c r="BB97" s="33" t="n">
        <v>3750</v>
      </c>
      <c r="BC97" s="33" t="n">
        <v>3677</v>
      </c>
      <c r="BD97" s="33" t="n">
        <v>3690</v>
      </c>
      <c r="BE97" s="33" t="n">
        <v>3508</v>
      </c>
      <c r="BF97" s="33" t="n">
        <v>3591</v>
      </c>
      <c r="BG97" s="33" t="n">
        <v>3805</v>
      </c>
      <c r="BH97" s="33" t="n">
        <v>3890</v>
      </c>
      <c r="BI97" s="33" t="n">
        <v>3996</v>
      </c>
      <c r="BJ97" s="33" t="n">
        <v>3796</v>
      </c>
      <c r="BK97" s="33" t="n">
        <v>3712</v>
      </c>
      <c r="BL97" s="33" t="n">
        <v>3971</v>
      </c>
    </row>
    <row r="98" ht="15.95" customHeight="1" s="574">
      <c r="A98" s="68" t="inlineStr">
        <is>
          <t>4188</t>
        </is>
      </c>
      <c r="B98" s="44" t="inlineStr">
        <is>
          <t>三菱ケミカルグループ</t>
        </is>
      </c>
      <c r="C98" s="669">
        <f>_xll.RssMarket("4188","安値")</f>
        <v/>
      </c>
      <c r="D98" s="661">
        <f>C98-E98</f>
        <v/>
      </c>
      <c r="E98" s="33" t="n">
        <v>1090.5</v>
      </c>
      <c r="F98" s="33" t="n">
        <v>1089.5</v>
      </c>
      <c r="G98" s="33" t="n">
        <v>1120</v>
      </c>
      <c r="H98" s="33" t="n">
        <v>1093</v>
      </c>
      <c r="I98" s="33" t="n">
        <v>1103</v>
      </c>
      <c r="J98" s="33" t="n">
        <v>1120</v>
      </c>
      <c r="K98" s="33" t="n">
        <v>1055.5</v>
      </c>
      <c r="L98" s="33" t="n">
        <v>999</v>
      </c>
      <c r="M98" s="33" t="n">
        <v>1010</v>
      </c>
      <c r="N98" s="33" t="n">
        <v>1020</v>
      </c>
      <c r="O98" s="33" t="n">
        <v>1052</v>
      </c>
      <c r="P98" s="33" t="n">
        <v>1080</v>
      </c>
      <c r="Q98" s="33" t="n">
        <v>1078.5</v>
      </c>
      <c r="R98" s="33" t="n">
        <v>1056.5</v>
      </c>
      <c r="S98" s="33" t="n">
        <v>1117.5</v>
      </c>
      <c r="T98" s="33" t="n">
        <v>1077.5</v>
      </c>
      <c r="U98" s="33" t="n">
        <v>1109.5</v>
      </c>
      <c r="V98" s="33" t="n">
        <v>1041.5</v>
      </c>
      <c r="W98" s="33" t="n">
        <v>1004</v>
      </c>
      <c r="X98" s="33" t="n">
        <v>999.2</v>
      </c>
      <c r="Y98" s="33" t="n">
        <v>986.9</v>
      </c>
      <c r="Z98" s="33" t="n">
        <v>1005</v>
      </c>
      <c r="AA98" s="33" t="n">
        <v>991.8</v>
      </c>
      <c r="AB98" s="33" t="n">
        <v>985.9</v>
      </c>
      <c r="AC98" s="33" t="n">
        <v>1000.5</v>
      </c>
      <c r="AD98" s="33" t="n">
        <v>928.6</v>
      </c>
      <c r="AE98" s="33" t="n">
        <v>919.4</v>
      </c>
      <c r="AF98" s="33" t="n">
        <v>910.1</v>
      </c>
      <c r="AG98" s="33" t="n">
        <v>902</v>
      </c>
      <c r="AH98" s="33" t="n">
        <v>913.8</v>
      </c>
      <c r="AI98" s="33" t="n">
        <v>896.2</v>
      </c>
      <c r="AJ98" s="33" t="n">
        <v>898.1</v>
      </c>
      <c r="AK98" s="33" t="n">
        <v>910.6</v>
      </c>
      <c r="AL98" s="33" t="n">
        <v>899.4</v>
      </c>
      <c r="AM98" s="33" t="n">
        <v>909.6</v>
      </c>
      <c r="AN98" s="33" t="n">
        <v>901.6</v>
      </c>
      <c r="AO98" s="33" t="n">
        <v>937</v>
      </c>
      <c r="AP98" s="33" t="n">
        <v>965</v>
      </c>
      <c r="AQ98" s="33" t="n">
        <v>960.3</v>
      </c>
      <c r="AR98" s="33" t="n">
        <v>983.5</v>
      </c>
      <c r="AS98" s="33" t="n">
        <v>992.8</v>
      </c>
      <c r="AT98" s="33" t="n">
        <v>991</v>
      </c>
      <c r="AU98" s="33" t="n">
        <v>963.9</v>
      </c>
      <c r="AV98" s="33" t="n">
        <v>964</v>
      </c>
      <c r="AW98" s="33" t="n">
        <v>982.8</v>
      </c>
      <c r="AX98" s="33" t="n">
        <v>978.7</v>
      </c>
      <c r="AY98" s="33" t="n">
        <v>969.2</v>
      </c>
      <c r="AZ98" s="33" t="n">
        <v>913.4</v>
      </c>
      <c r="BA98" s="33" t="n">
        <v>917.5</v>
      </c>
      <c r="BB98" s="33" t="n">
        <v>910.4</v>
      </c>
      <c r="BC98" s="33" t="n">
        <v>906.2</v>
      </c>
      <c r="BD98" s="33" t="n">
        <v>918.8</v>
      </c>
      <c r="BE98" s="33" t="n">
        <v>890.1</v>
      </c>
      <c r="BF98" s="33" t="n">
        <v>879</v>
      </c>
      <c r="BG98" s="33" t="n">
        <v>922.6</v>
      </c>
      <c r="BH98" s="33" t="n">
        <v>925.6</v>
      </c>
      <c r="BI98" s="33" t="n">
        <v>928.7</v>
      </c>
      <c r="BJ98" s="33" t="n">
        <v>897</v>
      </c>
      <c r="BK98" s="33" t="n">
        <v>846.4</v>
      </c>
      <c r="BL98" s="33" t="n">
        <v>903.2</v>
      </c>
    </row>
    <row r="99" ht="15.95" customHeight="1" s="574">
      <c r="A99" s="68" t="inlineStr">
        <is>
          <t>4523</t>
        </is>
      </c>
      <c r="B99" s="44" t="inlineStr">
        <is>
          <t>エーザイ</t>
        </is>
      </c>
      <c r="C99" s="669">
        <f>_xll.RssMarket("4523","安値")</f>
        <v/>
      </c>
      <c r="D99" s="661">
        <f>C99-E99</f>
        <v/>
      </c>
      <c r="E99" s="33" t="n">
        <v>3822</v>
      </c>
      <c r="F99" s="33" t="n">
        <v>3872</v>
      </c>
      <c r="G99" s="33" t="n">
        <v>3881</v>
      </c>
      <c r="H99" s="33" t="n">
        <v>3813</v>
      </c>
      <c r="I99" s="33" t="n">
        <v>3719</v>
      </c>
      <c r="J99" s="33" t="n">
        <v>3779</v>
      </c>
      <c r="K99" s="33" t="n">
        <v>3725</v>
      </c>
      <c r="L99" s="33" t="n">
        <v>3660</v>
      </c>
      <c r="M99" s="33" t="n">
        <v>3706</v>
      </c>
      <c r="N99" s="33" t="n">
        <v>3772</v>
      </c>
      <c r="O99" s="33" t="n">
        <v>3767</v>
      </c>
      <c r="P99" s="33" t="n">
        <v>3785</v>
      </c>
      <c r="Q99" s="33" t="n">
        <v>3719</v>
      </c>
      <c r="R99" s="33" t="n">
        <v>3737</v>
      </c>
      <c r="S99" s="33" t="n">
        <v>3901</v>
      </c>
      <c r="T99" s="33" t="n">
        <v>3973</v>
      </c>
      <c r="U99" s="33" t="n">
        <v>4120</v>
      </c>
      <c r="V99" s="33" t="n">
        <v>4157</v>
      </c>
      <c r="W99" s="33" t="n">
        <v>4206</v>
      </c>
      <c r="X99" s="33" t="n">
        <v>4231</v>
      </c>
      <c r="Y99" s="33" t="n">
        <v>4426</v>
      </c>
      <c r="Z99" s="33" t="n">
        <v>4351</v>
      </c>
      <c r="AA99" s="33" t="n">
        <v>4615</v>
      </c>
      <c r="AB99" s="33" t="n">
        <v>4664</v>
      </c>
      <c r="AC99" s="33" t="n">
        <v>4653</v>
      </c>
      <c r="AD99" s="33" t="n">
        <v>4639</v>
      </c>
      <c r="AE99" s="33" t="n">
        <v>4511</v>
      </c>
      <c r="AF99" s="33" t="n">
        <v>4638</v>
      </c>
      <c r="AG99" s="33" t="n">
        <v>4640</v>
      </c>
      <c r="AH99" s="33" t="n">
        <v>4600</v>
      </c>
      <c r="AI99" s="33" t="n">
        <v>4583</v>
      </c>
      <c r="AJ99" s="33" t="n">
        <v>4539</v>
      </c>
      <c r="AK99" s="33" t="n">
        <v>4554</v>
      </c>
      <c r="AL99" s="33" t="n">
        <v>4715</v>
      </c>
      <c r="AM99" s="33" t="n">
        <v>4729</v>
      </c>
      <c r="AN99" s="33" t="n">
        <v>4825</v>
      </c>
      <c r="AO99" s="33" t="n">
        <v>4808</v>
      </c>
      <c r="AP99" s="33" t="n">
        <v>4863</v>
      </c>
      <c r="AQ99" s="33" t="n">
        <v>4891</v>
      </c>
      <c r="AR99" s="33" t="n">
        <v>5020</v>
      </c>
      <c r="AS99" s="33" t="n">
        <v>4890</v>
      </c>
      <c r="AT99" s="33" t="n">
        <v>4850</v>
      </c>
      <c r="AU99" s="33" t="n">
        <v>4935</v>
      </c>
      <c r="AV99" s="33" t="n">
        <v>5016</v>
      </c>
      <c r="AW99" s="33" t="n">
        <v>5163</v>
      </c>
      <c r="AX99" s="33" t="n">
        <v>5152</v>
      </c>
      <c r="AY99" s="33" t="n">
        <v>5078</v>
      </c>
      <c r="AZ99" s="33" t="n">
        <v>5034</v>
      </c>
      <c r="BA99" s="33" t="n">
        <v>4995</v>
      </c>
      <c r="BB99" s="33" t="n">
        <v>5003</v>
      </c>
      <c r="BC99" s="33" t="n">
        <v>4909</v>
      </c>
      <c r="BD99" s="33" t="n">
        <v>4845</v>
      </c>
      <c r="BE99" s="33" t="n">
        <v>4705</v>
      </c>
      <c r="BF99" s="33" t="n">
        <v>4934</v>
      </c>
      <c r="BG99" s="33" t="n">
        <v>4860</v>
      </c>
      <c r="BH99" s="33" t="n">
        <v>4854</v>
      </c>
      <c r="BI99" s="33" t="n">
        <v>4736</v>
      </c>
      <c r="BJ99" s="33" t="n">
        <v>4633</v>
      </c>
      <c r="BK99" s="33" t="n">
        <v>4764</v>
      </c>
      <c r="BL99" s="33" t="n">
        <v>4869</v>
      </c>
    </row>
    <row r="100" ht="15.95" customHeight="1" s="574">
      <c r="A100" s="68" t="inlineStr">
        <is>
          <t>4528</t>
        </is>
      </c>
      <c r="B100" s="44" t="inlineStr">
        <is>
          <t>小野薬品</t>
        </is>
      </c>
      <c r="C100" s="669">
        <f>_xll.RssMarket("4528","安値")</f>
        <v/>
      </c>
      <c r="D100" s="661">
        <f>C100-E100</f>
        <v/>
      </c>
      <c r="E100" s="33" t="n">
        <v>2318.5</v>
      </c>
      <c r="F100" s="33" t="n">
        <v>2208</v>
      </c>
      <c r="G100" s="33" t="n">
        <v>2248</v>
      </c>
      <c r="H100" s="33" t="n">
        <v>2240</v>
      </c>
      <c r="I100" s="33" t="n">
        <v>2245.5</v>
      </c>
      <c r="J100" s="33" t="n">
        <v>2263.5</v>
      </c>
      <c r="K100" s="33" t="n">
        <v>2187.5</v>
      </c>
      <c r="L100" s="33" t="n">
        <v>2186.5</v>
      </c>
      <c r="M100" s="33" t="n">
        <v>2189</v>
      </c>
      <c r="N100" s="33" t="n">
        <v>2221</v>
      </c>
      <c r="O100" s="33" t="n">
        <v>2186.5</v>
      </c>
      <c r="P100" s="33" t="n">
        <v>2157</v>
      </c>
      <c r="Q100" s="33" t="n">
        <v>2114.5</v>
      </c>
      <c r="R100" s="33" t="n">
        <v>2207</v>
      </c>
      <c r="S100" s="33" t="n">
        <v>2385</v>
      </c>
      <c r="T100" s="33" t="n">
        <v>2362</v>
      </c>
      <c r="U100" s="33" t="n">
        <v>2270.5</v>
      </c>
      <c r="V100" s="33" t="n">
        <v>2428.5</v>
      </c>
      <c r="W100" s="33" t="n">
        <v>2466.5</v>
      </c>
      <c r="X100" s="33" t="n">
        <v>2443.5</v>
      </c>
      <c r="Y100" s="33" t="n">
        <v>2415</v>
      </c>
      <c r="Z100" s="33" t="n">
        <v>2393.5</v>
      </c>
      <c r="AA100" s="33" t="n">
        <v>2432.5</v>
      </c>
      <c r="AB100" s="33" t="n">
        <v>2518</v>
      </c>
      <c r="AC100" s="33" t="n">
        <v>2508.5</v>
      </c>
      <c r="AD100" s="33" t="n">
        <v>2489.5</v>
      </c>
      <c r="AE100" s="33" t="n">
        <v>2454.5</v>
      </c>
      <c r="AF100" s="33" t="n">
        <v>2420.5</v>
      </c>
      <c r="AG100" s="33" t="n">
        <v>2251</v>
      </c>
      <c r="AH100" s="33" t="n">
        <v>2292.5</v>
      </c>
      <c r="AI100" s="33" t="n">
        <v>2268.5</v>
      </c>
      <c r="AJ100" s="33" t="n">
        <v>2260</v>
      </c>
      <c r="AK100" s="33" t="n">
        <v>2272</v>
      </c>
      <c r="AL100" s="33" t="n">
        <v>2294</v>
      </c>
      <c r="AM100" s="33" t="n">
        <v>2316</v>
      </c>
      <c r="AN100" s="33" t="n">
        <v>2281</v>
      </c>
      <c r="AO100" s="33" t="n">
        <v>2304.5</v>
      </c>
      <c r="AP100" s="33" t="n">
        <v>2356.5</v>
      </c>
      <c r="AQ100" s="33" t="n">
        <v>2398.5</v>
      </c>
      <c r="AR100" s="33" t="n">
        <v>2399</v>
      </c>
      <c r="AS100" s="33" t="n">
        <v>2444</v>
      </c>
      <c r="AT100" s="33" t="n">
        <v>2435.5</v>
      </c>
      <c r="AU100" s="33" t="n">
        <v>2470</v>
      </c>
      <c r="AV100" s="33" t="n">
        <v>2492</v>
      </c>
      <c r="AW100" s="33" t="n">
        <v>2507</v>
      </c>
      <c r="AX100" s="33" t="n">
        <v>2545</v>
      </c>
      <c r="AY100" s="33" t="n">
        <v>2546.5</v>
      </c>
      <c r="AZ100" s="33" t="n">
        <v>2517</v>
      </c>
      <c r="BA100" s="33" t="n">
        <v>2532</v>
      </c>
      <c r="BB100" s="33" t="n">
        <v>2492.5</v>
      </c>
      <c r="BC100" s="33" t="n">
        <v>2524</v>
      </c>
      <c r="BD100" s="33" t="n">
        <v>2516.5</v>
      </c>
      <c r="BE100" s="33" t="n">
        <v>2486</v>
      </c>
      <c r="BF100" s="33" t="n">
        <v>2406</v>
      </c>
      <c r="BG100" s="33" t="n">
        <v>2495.5</v>
      </c>
      <c r="BH100" s="33" t="n">
        <v>2462</v>
      </c>
      <c r="BI100" s="33" t="n">
        <v>2426</v>
      </c>
      <c r="BJ100" s="33" t="n">
        <v>2360.5</v>
      </c>
      <c r="BK100" s="33" t="n">
        <v>2308</v>
      </c>
      <c r="BL100" s="33" t="n">
        <v>2348.5</v>
      </c>
    </row>
    <row r="101" ht="15.95" customHeight="1" s="574">
      <c r="A101" s="68" t="inlineStr">
        <is>
          <t>4661</t>
        </is>
      </c>
      <c r="B101" s="44" t="inlineStr">
        <is>
          <t>オリエンタルランド</t>
        </is>
      </c>
      <c r="C101" s="669">
        <f>_xll.RssMarket("4661","安値")</f>
        <v/>
      </c>
      <c r="D101" s="661">
        <f>C101-E101</f>
        <v/>
      </c>
      <c r="E101" s="33" t="n">
        <v>2308.5</v>
      </c>
      <c r="F101" s="33" t="n">
        <v>2277.5</v>
      </c>
      <c r="G101" s="33" t="n">
        <v>2244</v>
      </c>
      <c r="H101" s="33" t="n">
        <v>2260.5</v>
      </c>
      <c r="I101" s="33" t="n">
        <v>2242</v>
      </c>
      <c r="J101" s="33" t="n">
        <v>2220</v>
      </c>
      <c r="K101" s="33" t="n">
        <v>2239.5</v>
      </c>
      <c r="L101" s="33" t="n">
        <v>2284</v>
      </c>
      <c r="M101" s="33" t="n">
        <v>2211.5</v>
      </c>
      <c r="N101" s="33" t="n">
        <v>2189</v>
      </c>
      <c r="O101" s="33" t="n">
        <v>2180.5</v>
      </c>
      <c r="P101" s="33" t="n">
        <v>2171.5</v>
      </c>
      <c r="Q101" s="33" t="n">
        <v>2139</v>
      </c>
      <c r="R101" s="33" t="n">
        <v>2173.5</v>
      </c>
      <c r="S101" s="33" t="n">
        <v>2257</v>
      </c>
      <c r="T101" s="33" t="n">
        <v>2213.5</v>
      </c>
      <c r="U101" s="33" t="n">
        <v>2116</v>
      </c>
      <c r="V101" s="33" t="n">
        <v>2103</v>
      </c>
      <c r="W101" s="33" t="n">
        <v>2111</v>
      </c>
      <c r="X101" s="33" t="n">
        <v>2141.5</v>
      </c>
      <c r="Y101" s="33" t="n">
        <v>2199</v>
      </c>
      <c r="Z101" s="33" t="n">
        <v>2141.5</v>
      </c>
      <c r="AA101" s="33" t="n">
        <v>2115.5</v>
      </c>
      <c r="AB101" s="33" t="n">
        <v>2128</v>
      </c>
      <c r="AC101" s="33" t="n">
        <v>2131</v>
      </c>
      <c r="AD101" s="33" t="n">
        <v>2159</v>
      </c>
      <c r="AE101" s="33" t="n">
        <v>2168</v>
      </c>
      <c r="AF101" s="33" t="n">
        <v>2162</v>
      </c>
      <c r="AG101" s="33" t="n">
        <v>2223</v>
      </c>
      <c r="AH101" s="33" t="n">
        <v>2144</v>
      </c>
      <c r="AI101" s="33" t="n">
        <v>2191</v>
      </c>
      <c r="AJ101" s="33" t="n">
        <v>2188</v>
      </c>
      <c r="AK101" s="33" t="n">
        <v>2395</v>
      </c>
      <c r="AL101" s="33" t="n">
        <v>2378</v>
      </c>
      <c r="AM101" s="33" t="n">
        <v>2390</v>
      </c>
      <c r="AN101" s="33" t="n">
        <v>2481.5</v>
      </c>
      <c r="AO101" s="33" t="n">
        <v>2577.5</v>
      </c>
      <c r="AP101" s="33" t="n">
        <v>2613</v>
      </c>
      <c r="AQ101" s="33" t="n">
        <v>2640</v>
      </c>
      <c r="AR101" s="33" t="n">
        <v>2615</v>
      </c>
      <c r="AS101" s="33" t="n">
        <v>2638.5</v>
      </c>
      <c r="AT101" s="33" t="n">
        <v>2556.5</v>
      </c>
      <c r="AU101" s="33" t="n">
        <v>2548</v>
      </c>
      <c r="AV101" s="33" t="n">
        <v>2579</v>
      </c>
      <c r="AW101" s="33" t="n">
        <v>2584</v>
      </c>
      <c r="AX101" s="33" t="n">
        <v>2612.5</v>
      </c>
      <c r="AY101" s="33" t="n">
        <v>2655</v>
      </c>
      <c r="AZ101" s="33" t="n">
        <v>2642</v>
      </c>
      <c r="BA101" s="33" t="n">
        <v>2673</v>
      </c>
      <c r="BB101" s="33" t="n">
        <v>2725.5</v>
      </c>
      <c r="BC101" s="33" t="n">
        <v>2710</v>
      </c>
      <c r="BD101" s="33" t="n">
        <v>2686</v>
      </c>
      <c r="BE101" s="33" t="n">
        <v>2677.5</v>
      </c>
      <c r="BF101" s="33" t="n">
        <v>2601</v>
      </c>
      <c r="BG101" s="33" t="n">
        <v>2698.5</v>
      </c>
      <c r="BH101" s="33" t="n">
        <v>2675</v>
      </c>
      <c r="BI101" s="33" t="n">
        <v>2677.5</v>
      </c>
      <c r="BJ101" s="33" t="n">
        <v>2651</v>
      </c>
      <c r="BK101" s="33" t="n">
        <v>2665</v>
      </c>
      <c r="BL101" s="33" t="n">
        <v>2724</v>
      </c>
    </row>
    <row r="102" ht="15.95" customHeight="1" s="574">
      <c r="A102" s="68" t="inlineStr">
        <is>
          <t>5802</t>
        </is>
      </c>
      <c r="B102" s="44" t="inlineStr">
        <is>
          <t>住友電工</t>
        </is>
      </c>
      <c r="C102" s="669">
        <f>_xll.RssMarket("5802","安値")</f>
        <v/>
      </c>
      <c r="D102" s="661">
        <f>C102-E102</f>
        <v/>
      </c>
      <c r="E102" s="33" t="n">
        <v>13245</v>
      </c>
      <c r="F102" s="33" t="n">
        <v>13230</v>
      </c>
      <c r="G102" s="33" t="n">
        <v>11925</v>
      </c>
      <c r="H102" s="33" t="n">
        <v>11935</v>
      </c>
      <c r="I102" s="33" t="n">
        <v>11475</v>
      </c>
      <c r="J102" s="33" t="n">
        <v>11240</v>
      </c>
      <c r="K102" s="33" t="n">
        <v>10885</v>
      </c>
      <c r="L102" s="33" t="n">
        <v>9817</v>
      </c>
      <c r="M102" s="33" t="n">
        <v>10435</v>
      </c>
      <c r="N102" s="33" t="n">
        <v>11705</v>
      </c>
      <c r="O102" s="33" t="n">
        <v>12660</v>
      </c>
      <c r="P102" s="33" t="n">
        <v>13265</v>
      </c>
      <c r="Q102" s="33" t="n">
        <v>13725</v>
      </c>
      <c r="R102" s="33" t="n">
        <v>12315</v>
      </c>
      <c r="S102" s="33" t="n">
        <v>11855</v>
      </c>
      <c r="T102" s="33" t="n">
        <v>11565</v>
      </c>
      <c r="U102" s="33" t="n">
        <v>11985</v>
      </c>
      <c r="V102" s="33" t="n">
        <v>12110</v>
      </c>
      <c r="W102" s="33" t="n">
        <v>11400</v>
      </c>
      <c r="X102" s="33" t="n">
        <v>10345</v>
      </c>
      <c r="Y102" s="33" t="n">
        <v>10055</v>
      </c>
      <c r="Z102" s="33" t="n">
        <v>10650</v>
      </c>
      <c r="AA102" s="33" t="n">
        <v>10855</v>
      </c>
      <c r="AB102" s="33" t="n">
        <v>11675</v>
      </c>
      <c r="AC102" s="33" t="n">
        <v>11080</v>
      </c>
      <c r="AD102" s="33" t="n">
        <v>10890</v>
      </c>
      <c r="AE102" s="33" t="n">
        <v>11210</v>
      </c>
      <c r="AF102" s="33" t="n">
        <v>10835</v>
      </c>
      <c r="AG102" s="33" t="n">
        <v>10710</v>
      </c>
      <c r="AH102" s="33" t="n">
        <v>9900</v>
      </c>
      <c r="AI102" s="33" t="n">
        <v>10030</v>
      </c>
      <c r="AJ102" s="33" t="n">
        <v>9952</v>
      </c>
      <c r="AK102" s="33" t="n">
        <v>9940</v>
      </c>
      <c r="AL102" s="33" t="n">
        <v>10015</v>
      </c>
      <c r="AM102" s="33" t="n">
        <v>9995</v>
      </c>
      <c r="AN102" s="33" t="n">
        <v>10030</v>
      </c>
      <c r="AO102" s="33" t="n">
        <v>10190</v>
      </c>
      <c r="AP102" s="33" t="n">
        <v>9913</v>
      </c>
      <c r="AQ102" s="33" t="n">
        <v>9852</v>
      </c>
      <c r="AR102" s="33" t="n">
        <v>9627</v>
      </c>
      <c r="AS102" s="33" t="n">
        <v>9551</v>
      </c>
      <c r="AT102" s="33" t="n">
        <v>9859</v>
      </c>
      <c r="AU102" s="33" t="n">
        <v>9778</v>
      </c>
      <c r="AV102" s="33" t="n">
        <v>10100</v>
      </c>
      <c r="AW102" s="33" t="n">
        <v>9970</v>
      </c>
      <c r="AX102" s="33" t="n">
        <v>9916</v>
      </c>
      <c r="AY102" s="33" t="n">
        <v>9079</v>
      </c>
      <c r="AZ102" s="33" t="n">
        <v>9542</v>
      </c>
      <c r="BA102" s="33" t="n">
        <v>9353</v>
      </c>
      <c r="BB102" s="33" t="n">
        <v>8916</v>
      </c>
      <c r="BC102" s="33" t="n">
        <v>8750</v>
      </c>
      <c r="BD102" s="33" t="n">
        <v>8380</v>
      </c>
      <c r="BE102" s="33" t="n">
        <v>8784</v>
      </c>
      <c r="BF102" s="33" t="n">
        <v>9120</v>
      </c>
      <c r="BG102" s="33" t="n">
        <v>9783</v>
      </c>
      <c r="BH102" s="33" t="n">
        <v>10035</v>
      </c>
      <c r="BI102" s="33" t="n">
        <v>9290</v>
      </c>
      <c r="BJ102" s="33" t="n">
        <v>8950</v>
      </c>
      <c r="BK102" s="33" t="n">
        <v>9707</v>
      </c>
      <c r="BL102" s="33" t="n">
        <v>9725</v>
      </c>
    </row>
    <row r="103" ht="15.95" customHeight="1" s="574">
      <c r="A103" s="68" t="inlineStr">
        <is>
          <t>5803</t>
        </is>
      </c>
      <c r="B103" s="44" t="inlineStr">
        <is>
          <t>フジクラ</t>
        </is>
      </c>
      <c r="C103" s="669">
        <f>_xll.RssMarket("5803","安値")</f>
        <v/>
      </c>
      <c r="D103" s="661">
        <f>C103-E103</f>
        <v/>
      </c>
      <c r="E103" s="33" t="n">
        <v>6161</v>
      </c>
      <c r="F103" s="33" t="n">
        <v>5161</v>
      </c>
      <c r="G103" s="33" t="n">
        <v>4461</v>
      </c>
      <c r="H103" s="33" t="n">
        <v>4562</v>
      </c>
      <c r="I103" s="33" t="n">
        <v>4308</v>
      </c>
      <c r="J103" s="33" t="n">
        <v>4301</v>
      </c>
      <c r="K103" s="33" t="n">
        <v>4136</v>
      </c>
      <c r="L103" s="33" t="n">
        <v>3888</v>
      </c>
      <c r="M103" s="33" t="n">
        <v>4118</v>
      </c>
      <c r="N103" s="33" t="n">
        <v>4337</v>
      </c>
      <c r="O103" s="33" t="n">
        <v>4523</v>
      </c>
      <c r="P103" s="33" t="n">
        <v>4610</v>
      </c>
      <c r="Q103" s="33" t="n">
        <v>4745</v>
      </c>
      <c r="R103" s="33" t="n">
        <v>4351</v>
      </c>
      <c r="S103" s="33" t="n">
        <v>4668</v>
      </c>
      <c r="T103" s="33" t="n">
        <v>4803</v>
      </c>
      <c r="U103" s="33" t="n">
        <v>5035</v>
      </c>
      <c r="V103" s="33" t="n">
        <v>5151</v>
      </c>
      <c r="W103" s="33" t="n">
        <v>4558</v>
      </c>
      <c r="X103" s="33" t="n">
        <v>4315</v>
      </c>
      <c r="Y103" s="33" t="n">
        <v>4156</v>
      </c>
      <c r="Z103" s="33" t="n">
        <v>4660</v>
      </c>
      <c r="AA103" s="33" t="n">
        <v>5580</v>
      </c>
      <c r="AB103" s="33" t="n">
        <v>5725</v>
      </c>
      <c r="AC103" s="33" t="n">
        <v>6355</v>
      </c>
      <c r="AD103" s="33" t="n">
        <v>7303</v>
      </c>
      <c r="AE103" s="33" t="n">
        <v>7085</v>
      </c>
      <c r="AF103" s="33" t="n">
        <v>6634</v>
      </c>
      <c r="AG103" s="33" t="n">
        <v>6262</v>
      </c>
      <c r="AH103" s="33" t="n">
        <v>6225</v>
      </c>
      <c r="AI103" s="33" t="n">
        <v>5803</v>
      </c>
      <c r="AJ103" s="33" t="n">
        <v>5916</v>
      </c>
      <c r="AK103" s="33" t="n">
        <v>6120</v>
      </c>
      <c r="AL103" s="33" t="n">
        <v>5993</v>
      </c>
      <c r="AM103" s="33" t="n">
        <v>5894</v>
      </c>
      <c r="AN103" s="33" t="n">
        <v>5780</v>
      </c>
      <c r="AO103" s="33" t="n">
        <v>5688</v>
      </c>
      <c r="AP103" s="33" t="n">
        <v>5574</v>
      </c>
      <c r="AQ103" s="33" t="n">
        <v>5523</v>
      </c>
      <c r="AR103" s="33" t="n">
        <v>5756</v>
      </c>
      <c r="AS103" s="33" t="n">
        <v>5550</v>
      </c>
      <c r="AT103" s="33" t="n">
        <v>5625</v>
      </c>
      <c r="AU103" s="33" t="n">
        <v>5782</v>
      </c>
      <c r="AV103" s="33" t="n">
        <v>5647</v>
      </c>
      <c r="AW103" s="33" t="n">
        <v>5173</v>
      </c>
      <c r="AX103" s="33" t="n">
        <v>4740</v>
      </c>
      <c r="AY103" s="33" t="n">
        <v>4709</v>
      </c>
      <c r="AZ103" s="33" t="n">
        <v>4320</v>
      </c>
      <c r="BA103" s="33" t="n">
        <v>4560</v>
      </c>
      <c r="BB103" s="33" t="n">
        <v>4420</v>
      </c>
      <c r="BC103" s="33" t="n">
        <v>4238</v>
      </c>
      <c r="BD103" s="33" t="n">
        <v>4291</v>
      </c>
      <c r="BE103" s="33" t="n">
        <v>4056</v>
      </c>
      <c r="BF103" s="33" t="n">
        <v>4230</v>
      </c>
      <c r="BG103" s="33" t="n">
        <v>4416.6</v>
      </c>
      <c r="BH103" s="33" t="n">
        <v>4609.1</v>
      </c>
      <c r="BI103" s="33" t="n">
        <v>4469.1</v>
      </c>
      <c r="BJ103" s="33" t="n">
        <v>4125</v>
      </c>
      <c r="BK103" s="33" t="n">
        <v>3940</v>
      </c>
      <c r="BL103" s="33" t="n">
        <v>4194.1</v>
      </c>
    </row>
    <row r="104" ht="15.95" customHeight="1" s="574">
      <c r="A104" s="68" t="inlineStr">
        <is>
          <t>6178</t>
        </is>
      </c>
      <c r="B104" s="44" t="inlineStr">
        <is>
          <t>日本郵政</t>
        </is>
      </c>
      <c r="C104" s="669">
        <f>_xll.RssMarket("6178","安値")</f>
        <v/>
      </c>
      <c r="D104" s="661">
        <f>C104-E104</f>
        <v/>
      </c>
      <c r="E104" s="33" t="n">
        <v>2194.5</v>
      </c>
      <c r="F104" s="33" t="n">
        <v>2201</v>
      </c>
      <c r="G104" s="33" t="n">
        <v>2203.5</v>
      </c>
      <c r="H104" s="33" t="n">
        <v>2196.5</v>
      </c>
      <c r="I104" s="33" t="n">
        <v>2213.5</v>
      </c>
      <c r="J104" s="33" t="n">
        <v>2280</v>
      </c>
      <c r="K104" s="33" t="n">
        <v>2257</v>
      </c>
      <c r="L104" s="33" t="n">
        <v>2182.5</v>
      </c>
      <c r="M104" s="33" t="n">
        <v>2189.5</v>
      </c>
      <c r="N104" s="33" t="n">
        <v>2095.5</v>
      </c>
      <c r="O104" s="33" t="n">
        <v>2106</v>
      </c>
      <c r="P104" s="33" t="n">
        <v>2078.5</v>
      </c>
      <c r="Q104" s="33" t="n">
        <v>2062.5</v>
      </c>
      <c r="R104" s="33" t="n">
        <v>1992.5</v>
      </c>
      <c r="S104" s="33" t="n">
        <v>2037</v>
      </c>
      <c r="T104" s="33" t="n">
        <v>1995</v>
      </c>
      <c r="U104" s="33" t="n">
        <v>2051</v>
      </c>
      <c r="V104" s="33" t="n">
        <v>2056.5</v>
      </c>
      <c r="W104" s="33" t="n">
        <v>2088.5</v>
      </c>
      <c r="X104" s="33" t="n">
        <v>2097</v>
      </c>
      <c r="Y104" s="33" t="n">
        <v>2068</v>
      </c>
      <c r="Z104" s="33" t="n">
        <v>2051</v>
      </c>
      <c r="AA104" s="33" t="n">
        <v>1986.5</v>
      </c>
      <c r="AB104" s="33" t="n">
        <v>1935.5</v>
      </c>
      <c r="AC104" s="33" t="n">
        <v>1929</v>
      </c>
      <c r="AD104" s="33" t="n">
        <v>1895</v>
      </c>
      <c r="AE104" s="33" t="n">
        <v>1869.5</v>
      </c>
      <c r="AF104" s="33" t="n">
        <v>1844</v>
      </c>
      <c r="AG104" s="33" t="n">
        <v>1824</v>
      </c>
      <c r="AH104" s="33" t="n">
        <v>1829.5</v>
      </c>
      <c r="AI104" s="33" t="n">
        <v>1789</v>
      </c>
      <c r="AJ104" s="33" t="n">
        <v>1787.5</v>
      </c>
      <c r="AK104" s="33" t="n">
        <v>1766.5</v>
      </c>
      <c r="AL104" s="33" t="n">
        <v>1740</v>
      </c>
      <c r="AM104" s="33" t="n">
        <v>1761.5</v>
      </c>
      <c r="AN104" s="33" t="n">
        <v>1752.5</v>
      </c>
      <c r="AO104" s="33" t="n">
        <v>1788.5</v>
      </c>
      <c r="AP104" s="33" t="n">
        <v>1812.5</v>
      </c>
      <c r="AQ104" s="33" t="n">
        <v>1858.5</v>
      </c>
      <c r="AR104" s="33" t="n">
        <v>1869</v>
      </c>
      <c r="AS104" s="33" t="n">
        <v>1880</v>
      </c>
      <c r="AT104" s="33" t="n">
        <v>1850</v>
      </c>
      <c r="AU104" s="33" t="n">
        <v>1836</v>
      </c>
      <c r="AV104" s="33" t="n">
        <v>1825</v>
      </c>
      <c r="AW104" s="33" t="n">
        <v>1852</v>
      </c>
      <c r="AX104" s="33" t="n">
        <v>1863</v>
      </c>
      <c r="AY104" s="33" t="n">
        <v>1893</v>
      </c>
      <c r="AZ104" s="33" t="n">
        <v>1842.5</v>
      </c>
      <c r="BA104" s="33" t="n">
        <v>1811</v>
      </c>
      <c r="BB104" s="33" t="n">
        <v>1824</v>
      </c>
      <c r="BC104" s="33" t="n">
        <v>1829</v>
      </c>
      <c r="BD104" s="33" t="n">
        <v>1836</v>
      </c>
      <c r="BE104" s="33" t="n">
        <v>1775.5</v>
      </c>
      <c r="BF104" s="33" t="n">
        <v>1736</v>
      </c>
      <c r="BG104" s="33" t="n">
        <v>1840.5</v>
      </c>
      <c r="BH104" s="33" t="n">
        <v>1821.5</v>
      </c>
      <c r="BI104" s="33" t="n">
        <v>1847.5</v>
      </c>
      <c r="BJ104" s="33" t="n">
        <v>1783.5</v>
      </c>
      <c r="BK104" s="33" t="n">
        <v>1739</v>
      </c>
      <c r="BL104" s="33" t="n">
        <v>1800</v>
      </c>
    </row>
    <row r="105" ht="15.95" customHeight="1" s="574">
      <c r="A105" s="68" t="inlineStr">
        <is>
          <t>6925</t>
        </is>
      </c>
      <c r="B105" s="44" t="inlineStr">
        <is>
          <t>ウシオ電機</t>
        </is>
      </c>
      <c r="C105" s="669">
        <f>_xll.RssMarket("6925","安値")</f>
        <v/>
      </c>
      <c r="D105" s="661">
        <f>C105-E105</f>
        <v/>
      </c>
      <c r="E105" s="33" t="n">
        <v>4652</v>
      </c>
      <c r="F105" s="33" t="n">
        <v>4608</v>
      </c>
      <c r="G105" s="33" t="n">
        <v>4630</v>
      </c>
      <c r="H105" s="33" t="n">
        <v>4405</v>
      </c>
      <c r="I105" s="33" t="n">
        <v>4235</v>
      </c>
      <c r="J105" s="33" t="n">
        <v>4145</v>
      </c>
      <c r="K105" s="33" t="n">
        <v>3960</v>
      </c>
      <c r="L105" s="33" t="n">
        <v>3771</v>
      </c>
      <c r="M105" s="33" t="n">
        <v>3917</v>
      </c>
      <c r="N105" s="33" t="n">
        <v>3883</v>
      </c>
      <c r="O105" s="33" t="n">
        <v>4160</v>
      </c>
      <c r="P105" s="33" t="n">
        <v>4036</v>
      </c>
      <c r="Q105" s="33" t="n">
        <v>4048</v>
      </c>
      <c r="R105" s="33" t="n">
        <v>3914</v>
      </c>
      <c r="S105" s="33" t="n">
        <v>4133</v>
      </c>
      <c r="T105" s="33" t="n">
        <v>4016</v>
      </c>
      <c r="U105" s="33" t="n">
        <v>4143</v>
      </c>
      <c r="V105" s="33" t="n">
        <v>4084</v>
      </c>
      <c r="W105" s="33" t="n">
        <v>4027</v>
      </c>
      <c r="X105" s="33" t="n">
        <v>3812</v>
      </c>
      <c r="Y105" s="33" t="n">
        <v>3756</v>
      </c>
      <c r="Z105" s="33" t="n">
        <v>3889</v>
      </c>
      <c r="AA105" s="33" t="n">
        <v>4154</v>
      </c>
      <c r="AB105" s="33" t="n">
        <v>4239</v>
      </c>
      <c r="AC105" s="33" t="n">
        <v>3410</v>
      </c>
      <c r="AD105" s="33" t="n">
        <v>3415</v>
      </c>
      <c r="AE105" s="33" t="n">
        <v>3436</v>
      </c>
      <c r="AF105" s="33" t="n">
        <v>3370</v>
      </c>
      <c r="AG105" s="33" t="n">
        <v>3326</v>
      </c>
      <c r="AH105" s="33" t="n">
        <v>3199</v>
      </c>
      <c r="AI105" s="33" t="n">
        <v>3095</v>
      </c>
      <c r="AJ105" s="33" t="n">
        <v>3080</v>
      </c>
      <c r="AK105" s="33" t="n">
        <v>3071</v>
      </c>
      <c r="AL105" s="33" t="n">
        <v>3136</v>
      </c>
      <c r="AM105" s="33" t="n">
        <v>3192</v>
      </c>
      <c r="AN105" s="33" t="n">
        <v>3098</v>
      </c>
      <c r="AO105" s="33" t="n">
        <v>3152</v>
      </c>
      <c r="AP105" s="33" t="n">
        <v>3191</v>
      </c>
      <c r="AQ105" s="33" t="n">
        <v>3120</v>
      </c>
      <c r="AR105" s="33" t="n">
        <v>3133</v>
      </c>
      <c r="AS105" s="33" t="n">
        <v>3294</v>
      </c>
      <c r="AT105" s="33" t="n">
        <v>3282</v>
      </c>
      <c r="AU105" s="33" t="n">
        <v>3251</v>
      </c>
      <c r="AV105" s="33" t="n">
        <v>3216</v>
      </c>
      <c r="AW105" s="33" t="n">
        <v>3207</v>
      </c>
      <c r="AX105" s="33" t="n">
        <v>3168</v>
      </c>
      <c r="AY105" s="33" t="n">
        <v>3137</v>
      </c>
      <c r="AZ105" s="33" t="n">
        <v>3031</v>
      </c>
      <c r="BA105" s="33" t="n">
        <v>3063</v>
      </c>
      <c r="BB105" s="33" t="n">
        <v>3056</v>
      </c>
      <c r="BC105" s="33" t="n">
        <v>3033</v>
      </c>
      <c r="BD105" s="33" t="n">
        <v>2917.5</v>
      </c>
      <c r="BE105" s="33" t="n">
        <v>2755</v>
      </c>
      <c r="BF105" s="33" t="n">
        <v>2734.5</v>
      </c>
      <c r="BG105" s="33" t="n">
        <v>2895</v>
      </c>
      <c r="BH105" s="33" t="n">
        <v>2910</v>
      </c>
      <c r="BI105" s="33" t="n">
        <v>2936.5</v>
      </c>
      <c r="BJ105" s="33" t="n">
        <v>2830</v>
      </c>
      <c r="BK105" s="33" t="n">
        <v>2763</v>
      </c>
      <c r="BL105" s="33" t="n">
        <v>2840</v>
      </c>
    </row>
    <row r="106" ht="15.95" customHeight="1" s="574">
      <c r="A106" s="68" t="inlineStr">
        <is>
          <t>7021</t>
        </is>
      </c>
      <c r="B106" s="44" t="inlineStr">
        <is>
          <t>ニッチツ</t>
        </is>
      </c>
      <c r="C106" s="669">
        <f>_xll.RssMarket("7021","安値")</f>
        <v/>
      </c>
      <c r="D106" s="661">
        <f>C106-E106</f>
        <v/>
      </c>
      <c r="E106" s="33" t="n">
        <v>1760</v>
      </c>
      <c r="F106" s="33" t="n">
        <v>1753</v>
      </c>
      <c r="G106" s="33" t="n">
        <v>1751</v>
      </c>
      <c r="H106" s="33" t="n">
        <v>1800</v>
      </c>
      <c r="I106" s="33" t="n">
        <v>1780</v>
      </c>
      <c r="J106" s="33" t="n">
        <v>1764</v>
      </c>
      <c r="K106" s="33" t="n">
        <v>1746</v>
      </c>
      <c r="L106" s="33" t="n">
        <v>1800</v>
      </c>
      <c r="M106" s="33" t="n">
        <v>1763</v>
      </c>
      <c r="N106" s="33" t="n">
        <v>1759</v>
      </c>
      <c r="O106" s="33" t="n">
        <v>1749</v>
      </c>
      <c r="P106" s="33" t="n">
        <v>1754</v>
      </c>
      <c r="Q106" s="33" t="n">
        <v>1800</v>
      </c>
      <c r="R106" s="33" t="n">
        <v>1854</v>
      </c>
      <c r="S106" s="33" t="n">
        <v>1835</v>
      </c>
      <c r="T106" s="33" t="n">
        <v>1805</v>
      </c>
      <c r="U106" s="33" t="n">
        <v>1797</v>
      </c>
      <c r="V106" s="33" t="n">
        <v>1809</v>
      </c>
      <c r="W106" s="33" t="n">
        <v>1812</v>
      </c>
      <c r="X106" s="33" t="n">
        <v>1878</v>
      </c>
      <c r="Y106" s="33" t="n">
        <v>1877</v>
      </c>
      <c r="Z106" s="33" t="n">
        <v>1971</v>
      </c>
      <c r="AA106" s="33" t="n">
        <v>2155</v>
      </c>
      <c r="AB106" s="33" t="n">
        <v>2118</v>
      </c>
      <c r="AC106" s="33" t="n">
        <v>2151</v>
      </c>
      <c r="AD106" s="33" t="n">
        <v>2121</v>
      </c>
      <c r="AE106" s="33" t="n">
        <v>2101</v>
      </c>
      <c r="AF106" s="33" t="n">
        <v>2142</v>
      </c>
      <c r="AG106" s="33" t="n">
        <v>2129</v>
      </c>
      <c r="AH106" s="33" t="n">
        <v>2151</v>
      </c>
      <c r="AI106" s="33" t="n">
        <v>2127</v>
      </c>
      <c r="AJ106" s="33" t="n">
        <v>2212</v>
      </c>
      <c r="AK106" s="33" t="n">
        <v>2251</v>
      </c>
      <c r="AL106" s="33" t="n">
        <v>2249</v>
      </c>
      <c r="AM106" s="33" t="n">
        <v>2289</v>
      </c>
      <c r="AN106" s="33" t="n">
        <v>2312</v>
      </c>
      <c r="AO106" s="33" t="n">
        <v>2308</v>
      </c>
      <c r="AP106" s="33" t="n">
        <v>2313</v>
      </c>
      <c r="AQ106" s="33" t="n">
        <v>2334</v>
      </c>
      <c r="AR106" s="33" t="n">
        <v>2335</v>
      </c>
      <c r="AS106" s="33" t="n">
        <v>2306</v>
      </c>
      <c r="AT106" s="33" t="n">
        <v>2314</v>
      </c>
      <c r="AU106" s="33" t="n">
        <v>2298</v>
      </c>
      <c r="AV106" s="33" t="n">
        <v>2296</v>
      </c>
      <c r="AW106" s="33" t="n">
        <v>2280</v>
      </c>
      <c r="AX106" s="33" t="n">
        <v>2260</v>
      </c>
      <c r="AY106" s="33" t="n">
        <v>2260</v>
      </c>
      <c r="AZ106" s="33" t="n">
        <v>2240</v>
      </c>
      <c r="BA106" s="33" t="n">
        <v>2240</v>
      </c>
      <c r="BB106" s="33" t="n">
        <v>2241</v>
      </c>
      <c r="BC106" s="33" t="n">
        <v>2180</v>
      </c>
      <c r="BD106" s="33" t="n">
        <v>2169</v>
      </c>
      <c r="BE106" s="33" t="n">
        <v>2244</v>
      </c>
      <c r="BF106" s="33" t="n">
        <v>2260</v>
      </c>
      <c r="BG106" s="33" t="n">
        <v>2250</v>
      </c>
      <c r="BH106" s="33" t="n">
        <v>2261</v>
      </c>
      <c r="BI106" s="33" t="n">
        <v>2220</v>
      </c>
      <c r="BJ106" s="33" t="n">
        <v>2249</v>
      </c>
      <c r="BK106" s="33" t="n">
        <v>2248</v>
      </c>
      <c r="BL106" s="33" t="n">
        <v>2236</v>
      </c>
    </row>
    <row r="107" ht="15.95" customHeight="1" s="574">
      <c r="A107" s="68" t="inlineStr">
        <is>
          <t>7729</t>
        </is>
      </c>
      <c r="B107" s="44" t="inlineStr">
        <is>
          <t>東京精密</t>
        </is>
      </c>
      <c r="C107" s="669">
        <f>_xll.RssMarket("7729","安値")</f>
        <v/>
      </c>
      <c r="D107" s="661">
        <f>C107-E107</f>
        <v/>
      </c>
      <c r="E107" s="33" t="n">
        <v>19935</v>
      </c>
      <c r="F107" s="33" t="n">
        <v>19900</v>
      </c>
      <c r="G107" s="33" t="n">
        <v>19785</v>
      </c>
      <c r="H107" s="33" t="n">
        <v>18485</v>
      </c>
      <c r="I107" s="33" t="n">
        <v>19190</v>
      </c>
      <c r="J107" s="33" t="n">
        <v>19085</v>
      </c>
      <c r="K107" s="33" t="n">
        <v>18300</v>
      </c>
      <c r="L107" s="33" t="n">
        <v>16235</v>
      </c>
      <c r="M107" s="33" t="n">
        <v>16925</v>
      </c>
      <c r="N107" s="33" t="n">
        <v>15850</v>
      </c>
      <c r="O107" s="33" t="n">
        <v>17290</v>
      </c>
      <c r="P107" s="33" t="n">
        <v>17310</v>
      </c>
      <c r="Q107" s="33" t="n">
        <v>16975</v>
      </c>
      <c r="R107" s="33" t="n">
        <v>16240</v>
      </c>
      <c r="S107" s="33" t="n">
        <v>17190</v>
      </c>
      <c r="T107" s="33" t="n">
        <v>17135</v>
      </c>
      <c r="U107" s="33" t="n">
        <v>17665</v>
      </c>
      <c r="V107" s="33" t="n">
        <v>17580</v>
      </c>
      <c r="W107" s="33" t="n">
        <v>16555</v>
      </c>
      <c r="X107" s="33" t="n">
        <v>16235</v>
      </c>
      <c r="Y107" s="33" t="n">
        <v>15260</v>
      </c>
      <c r="Z107" s="33" t="n">
        <v>15475</v>
      </c>
      <c r="AA107" s="33" t="n">
        <v>16075</v>
      </c>
      <c r="AB107" s="33" t="n">
        <v>16425</v>
      </c>
      <c r="AC107" s="33" t="n">
        <v>17560</v>
      </c>
      <c r="AD107" s="33" t="n">
        <v>18510</v>
      </c>
      <c r="AE107" s="33" t="n">
        <v>18710</v>
      </c>
      <c r="AF107" s="33" t="n">
        <v>18780</v>
      </c>
      <c r="AG107" s="33" t="n">
        <v>17740</v>
      </c>
      <c r="AH107" s="33" t="n">
        <v>18255</v>
      </c>
      <c r="AI107" s="33" t="n">
        <v>17130</v>
      </c>
      <c r="AJ107" s="33" t="n">
        <v>17095</v>
      </c>
      <c r="AK107" s="33" t="n">
        <v>17140</v>
      </c>
      <c r="AL107" s="33" t="n">
        <v>17225</v>
      </c>
      <c r="AM107" s="33" t="n">
        <v>16905</v>
      </c>
      <c r="AN107" s="33" t="n">
        <v>16745</v>
      </c>
      <c r="AO107" s="33" t="n">
        <v>16460</v>
      </c>
      <c r="AP107" s="33" t="n">
        <v>16270</v>
      </c>
      <c r="AQ107" s="33" t="n">
        <v>16205</v>
      </c>
      <c r="AR107" s="33" t="n">
        <v>16400</v>
      </c>
      <c r="AS107" s="33" t="n">
        <v>16510</v>
      </c>
      <c r="AT107" s="33" t="n">
        <v>16300</v>
      </c>
      <c r="AU107" s="33" t="n">
        <v>15905</v>
      </c>
      <c r="AV107" s="33" t="n">
        <v>15415</v>
      </c>
      <c r="AW107" s="33" t="n">
        <v>15605</v>
      </c>
      <c r="AX107" s="33" t="n">
        <v>15090</v>
      </c>
      <c r="AY107" s="33" t="n">
        <v>14800</v>
      </c>
      <c r="AZ107" s="33" t="n">
        <v>14035</v>
      </c>
      <c r="BA107" s="33" t="n">
        <v>14050</v>
      </c>
      <c r="BB107" s="33" t="n">
        <v>13915</v>
      </c>
      <c r="BC107" s="33" t="n">
        <v>13700</v>
      </c>
      <c r="BD107" s="33" t="n">
        <v>13780</v>
      </c>
      <c r="BE107" s="33" t="n">
        <v>12850</v>
      </c>
      <c r="BF107" s="33" t="n">
        <v>13130</v>
      </c>
      <c r="BG107" s="33" t="n">
        <v>13755</v>
      </c>
      <c r="BH107" s="33" t="n">
        <v>14470</v>
      </c>
      <c r="BI107" s="33" t="n">
        <v>14520</v>
      </c>
      <c r="BJ107" s="33" t="n">
        <v>13850</v>
      </c>
      <c r="BK107" s="33" t="n">
        <v>13495</v>
      </c>
      <c r="BL107" s="33" t="n">
        <v>14280</v>
      </c>
    </row>
    <row r="108" ht="15.95" customHeight="1" s="574">
      <c r="A108" s="68" t="inlineStr">
        <is>
          <t>8424</t>
        </is>
      </c>
      <c r="B108" s="44" t="inlineStr">
        <is>
          <t>芙蓉総合リース</t>
        </is>
      </c>
      <c r="C108" s="669">
        <f>_xll.RssMarket("8424","安値")</f>
        <v/>
      </c>
      <c r="D108" s="661">
        <f>C108-E108</f>
        <v/>
      </c>
      <c r="E108" s="33" t="n">
        <v>4205</v>
      </c>
      <c r="F108" s="33" t="n">
        <v>4199</v>
      </c>
      <c r="G108" s="33" t="n">
        <v>4228</v>
      </c>
      <c r="H108" s="33" t="n">
        <v>4236</v>
      </c>
      <c r="I108" s="33" t="n">
        <v>4295</v>
      </c>
      <c r="J108" s="33" t="n">
        <v>4228</v>
      </c>
      <c r="K108" s="33" t="n">
        <v>4263</v>
      </c>
      <c r="L108" s="33" t="n">
        <v>4253</v>
      </c>
      <c r="M108" s="33" t="n">
        <v>4101</v>
      </c>
      <c r="N108" s="33" t="n">
        <v>4072</v>
      </c>
      <c r="O108" s="33" t="n">
        <v>4060</v>
      </c>
      <c r="P108" s="33" t="n">
        <v>4036</v>
      </c>
      <c r="Q108" s="33" t="n">
        <v>4016</v>
      </c>
      <c r="R108" s="33" t="n">
        <v>4154</v>
      </c>
      <c r="S108" s="33" t="n">
        <v>4158</v>
      </c>
      <c r="T108" s="33" t="n">
        <v>4151</v>
      </c>
      <c r="U108" s="33" t="n">
        <v>4205</v>
      </c>
      <c r="V108" s="33" t="n">
        <v>4255</v>
      </c>
      <c r="W108" s="33" t="n">
        <v>4351</v>
      </c>
      <c r="X108" s="33" t="n">
        <v>4310</v>
      </c>
      <c r="Y108" s="33" t="n">
        <v>4324</v>
      </c>
      <c r="Z108" s="33" t="n">
        <v>4304</v>
      </c>
      <c r="AA108" s="33" t="n">
        <v>4342</v>
      </c>
      <c r="AB108" s="33" t="n">
        <v>4308</v>
      </c>
      <c r="AC108" s="33" t="n">
        <v>4303</v>
      </c>
      <c r="AD108" s="33" t="n">
        <v>4270</v>
      </c>
      <c r="AE108" s="33" t="n">
        <v>4267</v>
      </c>
      <c r="AF108" s="33" t="n">
        <v>4251</v>
      </c>
      <c r="AG108" s="33" t="n">
        <v>4300</v>
      </c>
      <c r="AH108" s="33" t="n">
        <v>4245</v>
      </c>
      <c r="AI108" s="33" t="n">
        <v>4298</v>
      </c>
      <c r="AJ108" s="33" t="n">
        <v>4261</v>
      </c>
      <c r="AK108" s="33" t="n">
        <v>4234</v>
      </c>
      <c r="AL108" s="33" t="n">
        <v>4237</v>
      </c>
      <c r="AM108" s="33" t="n">
        <v>4217</v>
      </c>
      <c r="AN108" s="33" t="n">
        <v>4239</v>
      </c>
      <c r="AO108" s="33" t="n">
        <v>4258</v>
      </c>
      <c r="AP108" s="33" t="n">
        <v>4303</v>
      </c>
      <c r="AQ108" s="33" t="n">
        <v>4326</v>
      </c>
      <c r="AR108" s="33" t="n">
        <v>4329</v>
      </c>
      <c r="AS108" s="33" t="n">
        <v>4311</v>
      </c>
      <c r="AT108" s="33" t="n">
        <v>4302</v>
      </c>
      <c r="AU108" s="33" t="n">
        <v>4314</v>
      </c>
      <c r="AV108" s="33" t="n">
        <v>4338</v>
      </c>
      <c r="AW108" s="33" t="n">
        <v>4395</v>
      </c>
      <c r="AX108" s="33" t="n">
        <v>4425</v>
      </c>
      <c r="AY108" s="33" t="n">
        <v>4347</v>
      </c>
      <c r="AZ108" s="33" t="n">
        <v>4333</v>
      </c>
      <c r="BA108" s="33" t="n">
        <v>4343</v>
      </c>
      <c r="BB108" s="33" t="n">
        <v>4301</v>
      </c>
      <c r="BC108" s="33" t="n">
        <v>4297</v>
      </c>
      <c r="BD108" s="33" t="n">
        <v>4257</v>
      </c>
      <c r="BE108" s="33" t="n">
        <v>4151</v>
      </c>
      <c r="BF108" s="33" t="n">
        <v>4384</v>
      </c>
      <c r="BG108" s="33" t="n">
        <v>4375</v>
      </c>
      <c r="BH108" s="33" t="n">
        <v>4405</v>
      </c>
      <c r="BI108" s="33" t="n">
        <v>4301</v>
      </c>
      <c r="BJ108" s="33" t="n">
        <v>4299</v>
      </c>
      <c r="BK108" s="33" t="n">
        <v>4378</v>
      </c>
      <c r="BL108" s="33" t="n">
        <v>4417</v>
      </c>
    </row>
    <row r="109" ht="15.95" customHeight="1" s="574">
      <c r="A109" s="68" t="inlineStr">
        <is>
          <t>9020</t>
        </is>
      </c>
      <c r="B109" s="44" t="inlineStr">
        <is>
          <t>東日本旅客鉄道</t>
        </is>
      </c>
      <c r="C109" s="669">
        <f>_xll.RssMarket("9020","安値")</f>
        <v/>
      </c>
      <c r="D109" s="661">
        <f>C109-E109</f>
        <v/>
      </c>
      <c r="E109" s="33" t="n">
        <v>3314</v>
      </c>
      <c r="F109" s="33" t="n">
        <v>3320</v>
      </c>
      <c r="G109" s="33" t="n">
        <v>3313</v>
      </c>
      <c r="H109" s="33" t="n">
        <v>3336</v>
      </c>
      <c r="I109" s="33" t="n">
        <v>3356</v>
      </c>
      <c r="J109" s="33" t="n">
        <v>3362</v>
      </c>
      <c r="K109" s="33" t="n">
        <v>3389</v>
      </c>
      <c r="L109" s="33" t="n">
        <v>3414</v>
      </c>
      <c r="M109" s="33" t="n">
        <v>3373</v>
      </c>
      <c r="N109" s="33" t="n">
        <v>3345</v>
      </c>
      <c r="O109" s="33" t="n">
        <v>3279</v>
      </c>
      <c r="P109" s="33" t="n">
        <v>3243</v>
      </c>
      <c r="Q109" s="33" t="n">
        <v>3262</v>
      </c>
      <c r="R109" s="33" t="n">
        <v>3292</v>
      </c>
      <c r="S109" s="33" t="n">
        <v>3412</v>
      </c>
      <c r="T109" s="33" t="n">
        <v>3444</v>
      </c>
      <c r="U109" s="33" t="n">
        <v>3458</v>
      </c>
      <c r="V109" s="33" t="n">
        <v>3518</v>
      </c>
      <c r="W109" s="33" t="n">
        <v>3603</v>
      </c>
      <c r="X109" s="33" t="n">
        <v>3692</v>
      </c>
      <c r="Y109" s="33" t="n">
        <v>3729</v>
      </c>
      <c r="Z109" s="33" t="n">
        <v>3730</v>
      </c>
      <c r="AA109" s="33" t="n">
        <v>3682</v>
      </c>
      <c r="AB109" s="33" t="n">
        <v>3657</v>
      </c>
      <c r="AC109" s="33" t="n">
        <v>3661</v>
      </c>
      <c r="AD109" s="33" t="n">
        <v>3744</v>
      </c>
      <c r="AE109" s="33" t="n">
        <v>3588</v>
      </c>
      <c r="AF109" s="33" t="n">
        <v>3611</v>
      </c>
      <c r="AG109" s="33" t="n">
        <v>3600</v>
      </c>
      <c r="AH109" s="33" t="n">
        <v>3567</v>
      </c>
      <c r="AI109" s="33" t="n">
        <v>3602</v>
      </c>
      <c r="AJ109" s="33" t="n">
        <v>3277</v>
      </c>
      <c r="AK109" s="33" t="n">
        <v>3415</v>
      </c>
      <c r="AL109" s="33" t="n">
        <v>3391</v>
      </c>
      <c r="AM109" s="33" t="n">
        <v>3418</v>
      </c>
      <c r="AN109" s="33" t="n">
        <v>3476</v>
      </c>
      <c r="AO109" s="33" t="n">
        <v>3511</v>
      </c>
      <c r="AP109" s="33" t="n">
        <v>3487</v>
      </c>
      <c r="AQ109" s="33" t="n">
        <v>3491</v>
      </c>
      <c r="AR109" s="33" t="n">
        <v>3475</v>
      </c>
      <c r="AS109" s="33" t="n">
        <v>3525</v>
      </c>
      <c r="AT109" s="33" t="n">
        <v>3525</v>
      </c>
      <c r="AU109" s="33" t="n">
        <v>3505</v>
      </c>
      <c r="AV109" s="33" t="n">
        <v>3559</v>
      </c>
      <c r="AW109" s="33" t="n">
        <v>3545</v>
      </c>
      <c r="AX109" s="33" t="n">
        <v>3550</v>
      </c>
      <c r="AY109" s="33" t="n">
        <v>3591</v>
      </c>
      <c r="AZ109" s="33" t="n">
        <v>3542</v>
      </c>
      <c r="BA109" s="33" t="n">
        <v>3576</v>
      </c>
      <c r="BB109" s="33" t="n">
        <v>3610</v>
      </c>
      <c r="BC109" s="33" t="n">
        <v>3637</v>
      </c>
      <c r="BD109" s="33" t="n">
        <v>3625</v>
      </c>
      <c r="BE109" s="33" t="n">
        <v>3618</v>
      </c>
      <c r="BF109" s="33" t="n">
        <v>3533</v>
      </c>
      <c r="BG109" s="33" t="n">
        <v>3654</v>
      </c>
      <c r="BH109" s="33" t="n">
        <v>3622</v>
      </c>
      <c r="BI109" s="33" t="n">
        <v>3600</v>
      </c>
      <c r="BJ109" s="33" t="n">
        <v>3557</v>
      </c>
      <c r="BK109" s="33" t="n">
        <v>3555</v>
      </c>
      <c r="BL109" s="33" t="n">
        <v>3607</v>
      </c>
    </row>
    <row r="110" ht="15.95" customHeight="1" s="574">
      <c r="A110" s="68" t="inlineStr">
        <is>
          <t>9069</t>
        </is>
      </c>
      <c r="B110" s="44" t="inlineStr">
        <is>
          <t>センコーグループＨＬＤＧＳ</t>
        </is>
      </c>
      <c r="C110" s="669">
        <f>_xll.RssMarket("9069","安値")</f>
        <v/>
      </c>
      <c r="D110" s="661">
        <f>C110-E110</f>
        <v/>
      </c>
      <c r="E110" s="33" t="n">
        <v>1878.5</v>
      </c>
      <c r="F110" s="33" t="n">
        <v>1872</v>
      </c>
      <c r="G110" s="33" t="n">
        <v>1888.5</v>
      </c>
      <c r="H110" s="33" t="n">
        <v>1898</v>
      </c>
      <c r="I110" s="33" t="n">
        <v>1932.5</v>
      </c>
      <c r="J110" s="33" t="n">
        <v>1933.5</v>
      </c>
      <c r="K110" s="33" t="n">
        <v>1908</v>
      </c>
      <c r="L110" s="33" t="n">
        <v>1896.5</v>
      </c>
      <c r="M110" s="33" t="n">
        <v>1940</v>
      </c>
      <c r="N110" s="33" t="n">
        <v>1900</v>
      </c>
      <c r="O110" s="33" t="n">
        <v>1897.5</v>
      </c>
      <c r="P110" s="33" t="n">
        <v>1880.5</v>
      </c>
      <c r="Q110" s="33" t="n">
        <v>1873</v>
      </c>
      <c r="R110" s="33" t="n">
        <v>1860</v>
      </c>
      <c r="S110" s="33" t="n">
        <v>1902.5</v>
      </c>
      <c r="T110" s="33" t="n">
        <v>1892.5</v>
      </c>
      <c r="U110" s="33" t="n">
        <v>1897.5</v>
      </c>
      <c r="V110" s="33" t="n">
        <v>1922</v>
      </c>
      <c r="W110" s="33" t="n">
        <v>1938.5</v>
      </c>
      <c r="X110" s="33" t="n">
        <v>1992.5</v>
      </c>
      <c r="Y110" s="33" t="n">
        <v>1987.5</v>
      </c>
      <c r="Z110" s="33" t="n">
        <v>2004</v>
      </c>
      <c r="AA110" s="33" t="n">
        <v>1979</v>
      </c>
      <c r="AB110" s="33" t="n">
        <v>1986.5</v>
      </c>
      <c r="AC110" s="33" t="n">
        <v>1901</v>
      </c>
      <c r="AD110" s="33" t="n">
        <v>1829.5</v>
      </c>
      <c r="AE110" s="33" t="n">
        <v>1808</v>
      </c>
      <c r="AF110" s="33" t="n">
        <v>1847.5</v>
      </c>
      <c r="AG110" s="33" t="n">
        <v>1847</v>
      </c>
      <c r="AH110" s="33" t="n">
        <v>1812</v>
      </c>
      <c r="AI110" s="33" t="n">
        <v>1824.5</v>
      </c>
      <c r="AJ110" s="33" t="n">
        <v>1834</v>
      </c>
      <c r="AK110" s="33" t="n">
        <v>1834.5</v>
      </c>
      <c r="AL110" s="33" t="n">
        <v>1802.5</v>
      </c>
      <c r="AM110" s="33" t="n">
        <v>1847</v>
      </c>
      <c r="AN110" s="33" t="n">
        <v>1863</v>
      </c>
      <c r="AO110" s="33" t="n">
        <v>1882.5</v>
      </c>
      <c r="AP110" s="33" t="n">
        <v>1900</v>
      </c>
      <c r="AQ110" s="33" t="n">
        <v>1891</v>
      </c>
      <c r="AR110" s="33" t="n">
        <v>1884.5</v>
      </c>
      <c r="AS110" s="33" t="n">
        <v>1888.5</v>
      </c>
      <c r="AT110" s="33" t="n">
        <v>1887</v>
      </c>
      <c r="AU110" s="33" t="n">
        <v>1870.5</v>
      </c>
      <c r="AV110" s="33" t="n">
        <v>1863</v>
      </c>
      <c r="AW110" s="33" t="n">
        <v>1867.5</v>
      </c>
      <c r="AX110" s="33" t="n">
        <v>1904</v>
      </c>
      <c r="AY110" s="33" t="n">
        <v>1895</v>
      </c>
      <c r="AZ110" s="33" t="n">
        <v>1856</v>
      </c>
      <c r="BA110" s="33" t="n">
        <v>1852.5</v>
      </c>
      <c r="BB110" s="33" t="n">
        <v>1854</v>
      </c>
      <c r="BC110" s="33" t="n">
        <v>1869.5</v>
      </c>
      <c r="BD110" s="33" t="n">
        <v>1838</v>
      </c>
      <c r="BE110" s="33" t="n">
        <v>1780</v>
      </c>
      <c r="BF110" s="33" t="n">
        <v>1700</v>
      </c>
      <c r="BG110" s="33" t="n">
        <v>1751</v>
      </c>
      <c r="BH110" s="33" t="n">
        <v>1794</v>
      </c>
      <c r="BI110" s="33" t="n">
        <v>1802.5</v>
      </c>
      <c r="BJ110" s="33" t="n">
        <v>1763.5</v>
      </c>
      <c r="BK110" s="33" t="n">
        <v>1695</v>
      </c>
      <c r="BL110" s="33" t="n">
        <v>1792.5</v>
      </c>
    </row>
    <row r="111" ht="15.95" customHeight="1" s="574">
      <c r="A111" s="68" t="inlineStr">
        <is>
          <t>9227</t>
        </is>
      </c>
      <c r="B111" s="44" t="inlineStr">
        <is>
          <t>マイクロ波化学</t>
        </is>
      </c>
      <c r="C111" s="669">
        <f>_xll.RssMarket("9227","安値")</f>
        <v/>
      </c>
      <c r="D111" s="661">
        <f>C111-E111</f>
        <v/>
      </c>
      <c r="E111" s="33" t="n">
        <v>890</v>
      </c>
      <c r="F111" s="33" t="n">
        <v>884</v>
      </c>
      <c r="G111" s="33" t="n">
        <v>870</v>
      </c>
      <c r="H111" s="33" t="n">
        <v>868</v>
      </c>
      <c r="I111" s="33" t="n">
        <v>862</v>
      </c>
      <c r="J111" s="33" t="n">
        <v>882</v>
      </c>
      <c r="K111" s="33" t="n">
        <v>851</v>
      </c>
      <c r="L111" s="33" t="n">
        <v>834</v>
      </c>
      <c r="M111" s="33" t="n">
        <v>851</v>
      </c>
      <c r="N111" s="33" t="n">
        <v>882</v>
      </c>
      <c r="O111" s="33" t="n">
        <v>885</v>
      </c>
      <c r="P111" s="33" t="n">
        <v>878</v>
      </c>
      <c r="Q111" s="33" t="n">
        <v>903</v>
      </c>
      <c r="R111" s="33" t="n">
        <v>890</v>
      </c>
      <c r="S111" s="33" t="n">
        <v>1025</v>
      </c>
      <c r="T111" s="33" t="n">
        <v>1087</v>
      </c>
      <c r="U111" s="33" t="n">
        <v>1133</v>
      </c>
      <c r="V111" s="33" t="n">
        <v>1093</v>
      </c>
      <c r="W111" s="33" t="n">
        <v>943</v>
      </c>
      <c r="X111" s="33" t="n">
        <v>767</v>
      </c>
      <c r="Y111" s="33" t="n">
        <v>750</v>
      </c>
      <c r="Z111" s="33" t="n">
        <v>797</v>
      </c>
      <c r="AA111" s="33" t="n">
        <v>809</v>
      </c>
      <c r="AB111" s="33" t="n">
        <v>791</v>
      </c>
      <c r="AC111" s="33" t="n">
        <v>840</v>
      </c>
      <c r="AD111" s="33" t="n">
        <v>960</v>
      </c>
      <c r="AE111" s="33" t="n">
        <v>980</v>
      </c>
      <c r="AF111" s="33" t="n">
        <v>987</v>
      </c>
      <c r="AG111" s="33" t="n">
        <v>1004</v>
      </c>
      <c r="AH111" s="33" t="n">
        <v>1018</v>
      </c>
      <c r="AI111" s="33" t="n">
        <v>1018</v>
      </c>
      <c r="AJ111" s="33" t="n">
        <v>1030</v>
      </c>
      <c r="AK111" s="33" t="n">
        <v>1030</v>
      </c>
      <c r="AL111" s="33" t="n">
        <v>1062</v>
      </c>
      <c r="AM111" s="33" t="n">
        <v>1082</v>
      </c>
      <c r="AN111" s="33" t="n">
        <v>1125</v>
      </c>
      <c r="AO111" s="33" t="n">
        <v>1166</v>
      </c>
      <c r="AP111" s="33" t="n">
        <v>1098</v>
      </c>
      <c r="AQ111" s="33" t="n">
        <v>1019</v>
      </c>
      <c r="AR111" s="33" t="n">
        <v>1028</v>
      </c>
      <c r="AS111" s="33" t="n">
        <v>995</v>
      </c>
      <c r="AT111" s="33" t="n">
        <v>988</v>
      </c>
      <c r="AU111" s="33" t="n">
        <v>939</v>
      </c>
      <c r="AV111" s="33" t="n">
        <v>945</v>
      </c>
      <c r="AW111" s="33" t="n">
        <v>967</v>
      </c>
      <c r="AX111" s="33" t="n">
        <v>963</v>
      </c>
      <c r="AY111" s="33" t="n">
        <v>923</v>
      </c>
      <c r="AZ111" s="33" t="n">
        <v>948</v>
      </c>
      <c r="BA111" s="33" t="n">
        <v>953</v>
      </c>
      <c r="BB111" s="33" t="n">
        <v>968</v>
      </c>
      <c r="BC111" s="33" t="n">
        <v>971</v>
      </c>
      <c r="BD111" s="33" t="n">
        <v>948</v>
      </c>
      <c r="BE111" s="33" t="n">
        <v>935</v>
      </c>
      <c r="BF111" s="33" t="n">
        <v>939</v>
      </c>
      <c r="BG111" s="33" t="n">
        <v>959</v>
      </c>
      <c r="BH111" s="33" t="n">
        <v>1004</v>
      </c>
      <c r="BI111" s="33" t="n">
        <v>968</v>
      </c>
      <c r="BJ111" s="33" t="n">
        <v>975</v>
      </c>
      <c r="BK111" s="33" t="n">
        <v>1056</v>
      </c>
      <c r="BL111" s="33" t="n">
        <v>1039</v>
      </c>
    </row>
    <row r="112" ht="15.95" customHeight="1" s="574">
      <c r="A112" s="68" t="inlineStr">
        <is>
          <t>9348</t>
        </is>
      </c>
      <c r="B112" s="44" t="inlineStr">
        <is>
          <t>ｉｓｐａｃｅ</t>
        </is>
      </c>
      <c r="C112" s="669">
        <f>_xll.RssMarket("9348","安値")</f>
        <v/>
      </c>
      <c r="D112" s="661">
        <f>C112-E112</f>
        <v/>
      </c>
      <c r="E112" s="33" t="n">
        <v>450</v>
      </c>
      <c r="F112" s="33" t="n">
        <v>434</v>
      </c>
      <c r="G112" s="33" t="n">
        <v>465</v>
      </c>
      <c r="H112" s="33" t="n">
        <v>468</v>
      </c>
      <c r="I112" s="33" t="n">
        <v>466</v>
      </c>
      <c r="J112" s="33" t="n">
        <v>495</v>
      </c>
      <c r="K112" s="33" t="n">
        <v>543</v>
      </c>
      <c r="L112" s="33" t="n">
        <v>555</v>
      </c>
      <c r="M112" s="33" t="n">
        <v>568</v>
      </c>
      <c r="N112" s="33" t="n">
        <v>576</v>
      </c>
      <c r="O112" s="33" t="n">
        <v>585</v>
      </c>
      <c r="P112" s="33" t="n">
        <v>554</v>
      </c>
      <c r="Q112" s="33" t="n">
        <v>562</v>
      </c>
      <c r="R112" s="33" t="n">
        <v>561</v>
      </c>
      <c r="S112" s="33" t="n">
        <v>651</v>
      </c>
      <c r="T112" s="33" t="n">
        <v>600</v>
      </c>
      <c r="U112" s="33" t="n">
        <v>590</v>
      </c>
      <c r="V112" s="33" t="n">
        <v>563</v>
      </c>
      <c r="W112" s="33" t="n">
        <v>510</v>
      </c>
      <c r="X112" s="33" t="n">
        <v>493</v>
      </c>
      <c r="Y112" s="33" t="n">
        <v>507</v>
      </c>
      <c r="Z112" s="33" t="n">
        <v>485</v>
      </c>
      <c r="AA112" s="33" t="n">
        <v>498</v>
      </c>
      <c r="AB112" s="33" t="n">
        <v>493</v>
      </c>
      <c r="AC112" s="33" t="n">
        <v>484</v>
      </c>
      <c r="AD112" s="33" t="n">
        <v>488</v>
      </c>
      <c r="AE112" s="33" t="n">
        <v>507</v>
      </c>
      <c r="AF112" s="33" t="n">
        <v>482</v>
      </c>
      <c r="AG112" s="33" t="n">
        <v>471</v>
      </c>
      <c r="AH112" s="33" t="n">
        <v>463</v>
      </c>
      <c r="AI112" s="33" t="n">
        <v>463</v>
      </c>
      <c r="AJ112" s="33" t="n">
        <v>463</v>
      </c>
      <c r="AK112" s="33" t="n">
        <v>461</v>
      </c>
      <c r="AL112" s="33" t="n">
        <v>471</v>
      </c>
      <c r="AM112" s="33" t="n">
        <v>469</v>
      </c>
      <c r="AN112" s="33" t="n">
        <v>484</v>
      </c>
      <c r="AO112" s="33" t="n">
        <v>475</v>
      </c>
      <c r="AP112" s="33" t="n">
        <v>493</v>
      </c>
      <c r="AQ112" s="33" t="n">
        <v>492</v>
      </c>
      <c r="AR112" s="33" t="n">
        <v>487</v>
      </c>
      <c r="AS112" s="33" t="n">
        <v>498</v>
      </c>
      <c r="AT112" s="33" t="n">
        <v>492</v>
      </c>
      <c r="AU112" s="33" t="n">
        <v>492</v>
      </c>
      <c r="AV112" s="33" t="n">
        <v>459</v>
      </c>
      <c r="AW112" s="33" t="n">
        <v>449</v>
      </c>
      <c r="AX112" s="33" t="n">
        <v>435</v>
      </c>
      <c r="AY112" s="33" t="n">
        <v>425</v>
      </c>
      <c r="AZ112" s="33" t="n">
        <v>422</v>
      </c>
      <c r="BA112" s="33" t="n">
        <v>423</v>
      </c>
      <c r="BB112" s="33" t="n">
        <v>454</v>
      </c>
      <c r="BC112" s="33" t="n">
        <v>428</v>
      </c>
      <c r="BD112" s="33" t="n">
        <v>410</v>
      </c>
      <c r="BE112" s="33" t="n">
        <v>466</v>
      </c>
      <c r="BF112" s="33" t="n">
        <v>557</v>
      </c>
      <c r="BG112" s="33" t="n">
        <v>561</v>
      </c>
      <c r="BH112" s="33" t="n">
        <v>558</v>
      </c>
      <c r="BI112" s="33" t="n">
        <v>537</v>
      </c>
      <c r="BJ112" s="33" t="n">
        <v>531</v>
      </c>
      <c r="BK112" s="33" t="n">
        <v>578</v>
      </c>
      <c r="BL112" s="33" t="n">
        <v>585</v>
      </c>
    </row>
    <row r="113" ht="15.95" customHeight="1" s="574">
      <c r="A113" s="68" t="inlineStr">
        <is>
          <t>9449</t>
        </is>
      </c>
      <c r="B113" s="44" t="inlineStr">
        <is>
          <t>ＧＭＯインターネットグループ</t>
        </is>
      </c>
      <c r="C113" s="669">
        <f>_xll.RssMarket("9449","安値")</f>
        <v/>
      </c>
      <c r="D113" s="661">
        <f>C113-E113</f>
        <v/>
      </c>
      <c r="E113" s="33" t="n">
        <v>3407</v>
      </c>
      <c r="F113" s="33" t="n">
        <v>2974</v>
      </c>
      <c r="G113" s="33" t="n">
        <v>3057</v>
      </c>
      <c r="H113" s="33" t="n">
        <v>3063</v>
      </c>
      <c r="I113" s="33" t="n">
        <v>3042</v>
      </c>
      <c r="J113" s="33" t="n">
        <v>3080</v>
      </c>
      <c r="K113" s="33" t="n">
        <v>3053</v>
      </c>
      <c r="L113" s="33" t="n">
        <v>3105</v>
      </c>
      <c r="M113" s="33" t="n">
        <v>3132</v>
      </c>
      <c r="N113" s="33" t="n">
        <v>3120</v>
      </c>
      <c r="O113" s="33" t="n">
        <v>3212</v>
      </c>
      <c r="P113" s="33" t="n">
        <v>3221</v>
      </c>
      <c r="Q113" s="33" t="n">
        <v>3141</v>
      </c>
      <c r="R113" s="33" t="n">
        <v>3304</v>
      </c>
      <c r="S113" s="33" t="n">
        <v>3285</v>
      </c>
      <c r="T113" s="33" t="n">
        <v>3242</v>
      </c>
      <c r="U113" s="33" t="n">
        <v>3294</v>
      </c>
      <c r="V113" s="33" t="n">
        <v>3310</v>
      </c>
      <c r="W113" s="33" t="n">
        <v>3293</v>
      </c>
      <c r="X113" s="33" t="n">
        <v>3260</v>
      </c>
      <c r="Y113" s="33" t="n">
        <v>3294</v>
      </c>
      <c r="Z113" s="33" t="n">
        <v>3264</v>
      </c>
      <c r="AA113" s="33" t="n">
        <v>3217</v>
      </c>
      <c r="AB113" s="33" t="n">
        <v>3051</v>
      </c>
      <c r="AC113" s="33" t="n">
        <v>3067</v>
      </c>
      <c r="AD113" s="33" t="n">
        <v>3115</v>
      </c>
      <c r="AE113" s="33" t="n">
        <v>3109</v>
      </c>
      <c r="AF113" s="33" t="n">
        <v>3150</v>
      </c>
      <c r="AG113" s="33" t="n">
        <v>3075</v>
      </c>
      <c r="AH113" s="33" t="n">
        <v>3034</v>
      </c>
      <c r="AI113" s="33" t="n">
        <v>3012</v>
      </c>
      <c r="AJ113" s="33" t="n">
        <v>3012</v>
      </c>
      <c r="AK113" s="33" t="n">
        <v>3097</v>
      </c>
      <c r="AL113" s="33" t="n">
        <v>3072</v>
      </c>
      <c r="AM113" s="33" t="n">
        <v>3101</v>
      </c>
      <c r="AN113" s="33" t="n">
        <v>3168</v>
      </c>
      <c r="AO113" s="33" t="n">
        <v>3261</v>
      </c>
      <c r="AP113" s="33" t="n">
        <v>3222</v>
      </c>
      <c r="AQ113" s="33" t="n">
        <v>3219</v>
      </c>
      <c r="AR113" s="33" t="n">
        <v>3230</v>
      </c>
      <c r="AS113" s="33" t="n">
        <v>3185</v>
      </c>
      <c r="AT113" s="33" t="n">
        <v>3037</v>
      </c>
      <c r="AU113" s="33" t="n">
        <v>3011</v>
      </c>
      <c r="AV113" s="33" t="n">
        <v>2927</v>
      </c>
      <c r="AW113" s="33" t="n">
        <v>2955</v>
      </c>
      <c r="AX113" s="33" t="n">
        <v>3036</v>
      </c>
      <c r="AY113" s="33" t="n">
        <v>3070</v>
      </c>
      <c r="AZ113" s="33" t="n">
        <v>3005</v>
      </c>
      <c r="BA113" s="33" t="n">
        <v>2987.5</v>
      </c>
      <c r="BB113" s="33" t="n">
        <v>2962.5</v>
      </c>
      <c r="BC113" s="33" t="n">
        <v>2901</v>
      </c>
      <c r="BD113" s="33" t="n">
        <v>2900.5</v>
      </c>
      <c r="BE113" s="33" t="n">
        <v>2805.5</v>
      </c>
      <c r="BF113" s="33" t="n">
        <v>2756</v>
      </c>
      <c r="BG113" s="33" t="n">
        <v>2829</v>
      </c>
      <c r="BH113" s="33" t="n">
        <v>2816.5</v>
      </c>
      <c r="BI113" s="33" t="n">
        <v>2818</v>
      </c>
      <c r="BJ113" s="33" t="n">
        <v>2799</v>
      </c>
      <c r="BK113" s="33" t="n">
        <v>2755.5</v>
      </c>
      <c r="BL113" s="33" t="n">
        <v>2826</v>
      </c>
    </row>
    <row r="114" ht="15.95" customHeight="1" s="574">
      <c r="A114" s="68" t="inlineStr">
        <is>
          <t>9501</t>
        </is>
      </c>
      <c r="B114" s="44" t="inlineStr">
        <is>
          <t>東京電力ＨＤ</t>
        </is>
      </c>
      <c r="C114" s="669">
        <f>_xll.RssMarket("9501","安値")</f>
        <v/>
      </c>
      <c r="D114" s="661">
        <f>C114-E114</f>
        <v/>
      </c>
      <c r="E114" s="33" t="n">
        <v>473</v>
      </c>
      <c r="F114" s="33" t="n">
        <v>505.6</v>
      </c>
      <c r="G114" s="33" t="n">
        <v>499.5</v>
      </c>
      <c r="H114" s="33" t="n">
        <v>507.4</v>
      </c>
      <c r="I114" s="33" t="n">
        <v>512.2</v>
      </c>
      <c r="J114" s="33" t="n">
        <v>521.3</v>
      </c>
      <c r="K114" s="33" t="n">
        <v>495.1</v>
      </c>
      <c r="L114" s="33" t="n">
        <v>489.4</v>
      </c>
      <c r="M114" s="33" t="n">
        <v>506.3</v>
      </c>
      <c r="N114" s="33" t="n">
        <v>518.4</v>
      </c>
      <c r="O114" s="33" t="n">
        <v>527</v>
      </c>
      <c r="P114" s="33" t="n">
        <v>536</v>
      </c>
      <c r="Q114" s="33" t="n">
        <v>563.7</v>
      </c>
      <c r="R114" s="33" t="n">
        <v>539.2</v>
      </c>
      <c r="S114" s="33" t="n">
        <v>553</v>
      </c>
      <c r="T114" s="33" t="n">
        <v>551.5</v>
      </c>
      <c r="U114" s="33" t="n">
        <v>567</v>
      </c>
      <c r="V114" s="33" t="n">
        <v>551</v>
      </c>
      <c r="W114" s="33" t="n">
        <v>548.1</v>
      </c>
      <c r="X114" s="33" t="n">
        <v>550.8</v>
      </c>
      <c r="Y114" s="33" t="n">
        <v>543.4</v>
      </c>
      <c r="Z114" s="33" t="n">
        <v>569.6</v>
      </c>
      <c r="AA114" s="33" t="n">
        <v>556.7</v>
      </c>
      <c r="AB114" s="33" t="n">
        <v>588.7</v>
      </c>
      <c r="AC114" s="33" t="n">
        <v>608.9</v>
      </c>
      <c r="AD114" s="33" t="n">
        <v>608.8</v>
      </c>
      <c r="AE114" s="33" t="n">
        <v>642</v>
      </c>
      <c r="AF114" s="33" t="n">
        <v>631.3</v>
      </c>
      <c r="AG114" s="33" t="n">
        <v>616.7</v>
      </c>
      <c r="AH114" s="33" t="n">
        <v>602.4</v>
      </c>
      <c r="AI114" s="33" t="n">
        <v>581.1</v>
      </c>
      <c r="AJ114" s="33" t="n">
        <v>586.4</v>
      </c>
      <c r="AK114" s="33" t="n">
        <v>581.5</v>
      </c>
      <c r="AL114" s="33" t="n">
        <v>578.9</v>
      </c>
      <c r="AM114" s="33" t="n">
        <v>577</v>
      </c>
      <c r="AN114" s="33" t="n">
        <v>584.7</v>
      </c>
      <c r="AO114" s="33" t="n">
        <v>588.7</v>
      </c>
      <c r="AP114" s="33" t="n">
        <v>600.9</v>
      </c>
      <c r="AQ114" s="33" t="n">
        <v>609.4</v>
      </c>
      <c r="AR114" s="33" t="n">
        <v>624</v>
      </c>
      <c r="AS114" s="33" t="n">
        <v>620.7</v>
      </c>
      <c r="AT114" s="33" t="n">
        <v>628</v>
      </c>
      <c r="AU114" s="33" t="n">
        <v>643.4</v>
      </c>
      <c r="AV114" s="33" t="n">
        <v>637.9</v>
      </c>
      <c r="AW114" s="33" t="n">
        <v>663.5</v>
      </c>
      <c r="AX114" s="33" t="n">
        <v>640.3</v>
      </c>
      <c r="AY114" s="33" t="n">
        <v>635.3</v>
      </c>
      <c r="AZ114" s="33" t="n">
        <v>620.9</v>
      </c>
      <c r="BA114" s="33" t="n">
        <v>635.3</v>
      </c>
      <c r="BB114" s="33" t="n">
        <v>641.8</v>
      </c>
      <c r="BC114" s="33" t="n">
        <v>640.3</v>
      </c>
      <c r="BD114" s="33" t="n">
        <v>642.7</v>
      </c>
      <c r="BE114" s="33" t="n">
        <v>633.6</v>
      </c>
      <c r="BF114" s="33" t="n">
        <v>614.4</v>
      </c>
      <c r="BG114" s="33" t="n">
        <v>618.8</v>
      </c>
      <c r="BH114" s="33" t="n">
        <v>616.2</v>
      </c>
      <c r="BI114" s="33" t="n">
        <v>630.5</v>
      </c>
      <c r="BJ114" s="33" t="n">
        <v>611.2</v>
      </c>
      <c r="BK114" s="33" t="n">
        <v>613</v>
      </c>
      <c r="BL114" s="33" t="n">
        <v>641.6</v>
      </c>
    </row>
    <row r="115" ht="15.95" customHeight="1" s="574">
      <c r="A115" s="68" t="inlineStr">
        <is>
          <t>9531</t>
        </is>
      </c>
      <c r="B115" s="44" t="inlineStr">
        <is>
          <t>東京瓦斯</t>
        </is>
      </c>
      <c r="C115" s="669">
        <f>_xll.RssMarket("9531","安値")</f>
        <v/>
      </c>
      <c r="D115" s="661">
        <f>C115-E115</f>
        <v/>
      </c>
      <c r="E115" s="33" t="n">
        <v>6157</v>
      </c>
      <c r="F115" s="33" t="n">
        <v>6077</v>
      </c>
      <c r="G115" s="33" t="n">
        <v>6141</v>
      </c>
      <c r="H115" s="33" t="n">
        <v>6138</v>
      </c>
      <c r="I115" s="33" t="n">
        <v>6178</v>
      </c>
      <c r="J115" s="33" t="n">
        <v>6241</v>
      </c>
      <c r="K115" s="33" t="n">
        <v>6268</v>
      </c>
      <c r="L115" s="33" t="n">
        <v>6286</v>
      </c>
      <c r="M115" s="33" t="n">
        <v>6273</v>
      </c>
      <c r="N115" s="33" t="n">
        <v>6100</v>
      </c>
      <c r="O115" s="33" t="n">
        <v>6163</v>
      </c>
      <c r="P115" s="33" t="n">
        <v>6171</v>
      </c>
      <c r="Q115" s="33" t="n">
        <v>6246</v>
      </c>
      <c r="R115" s="33" t="n">
        <v>6033</v>
      </c>
      <c r="S115" s="33" t="n">
        <v>6196</v>
      </c>
      <c r="T115" s="33" t="n">
        <v>6258</v>
      </c>
      <c r="U115" s="33" t="n">
        <v>6406</v>
      </c>
      <c r="V115" s="33" t="n">
        <v>6396</v>
      </c>
      <c r="W115" s="33" t="n">
        <v>6501</v>
      </c>
      <c r="X115" s="33" t="n">
        <v>6618</v>
      </c>
      <c r="Y115" s="33" t="n">
        <v>6401</v>
      </c>
      <c r="Z115" s="33" t="n">
        <v>6663</v>
      </c>
      <c r="AA115" s="33" t="n">
        <v>6480</v>
      </c>
      <c r="AB115" s="33" t="n">
        <v>6607</v>
      </c>
      <c r="AC115" s="33" t="n">
        <v>6517</v>
      </c>
      <c r="AD115" s="33" t="n">
        <v>6573</v>
      </c>
      <c r="AE115" s="33" t="n">
        <v>6623</v>
      </c>
      <c r="AF115" s="33" t="n">
        <v>6550</v>
      </c>
      <c r="AG115" s="33" t="n">
        <v>6530</v>
      </c>
      <c r="AH115" s="33" t="n">
        <v>6615</v>
      </c>
      <c r="AI115" s="33" t="n">
        <v>6419</v>
      </c>
      <c r="AJ115" s="33" t="n">
        <v>6552</v>
      </c>
      <c r="AK115" s="33" t="n">
        <v>6543</v>
      </c>
      <c r="AL115" s="33" t="n">
        <v>6372</v>
      </c>
      <c r="AM115" s="33" t="n">
        <v>6392</v>
      </c>
      <c r="AN115" s="33" t="n">
        <v>6360</v>
      </c>
      <c r="AO115" s="33" t="n">
        <v>6460</v>
      </c>
      <c r="AP115" s="33" t="n">
        <v>6559</v>
      </c>
      <c r="AQ115" s="33" t="n">
        <v>6627</v>
      </c>
      <c r="AR115" s="33" t="n">
        <v>6913</v>
      </c>
      <c r="AS115" s="33" t="n">
        <v>6972</v>
      </c>
      <c r="AT115" s="33" t="n">
        <v>6918</v>
      </c>
      <c r="AU115" s="33" t="n">
        <v>6920</v>
      </c>
      <c r="AV115" s="33" t="n">
        <v>7054</v>
      </c>
      <c r="AW115" s="33" t="n">
        <v>7225</v>
      </c>
      <c r="AX115" s="33" t="n">
        <v>7236</v>
      </c>
      <c r="AY115" s="33" t="n">
        <v>7271</v>
      </c>
      <c r="AZ115" s="33" t="n">
        <v>7232</v>
      </c>
      <c r="BA115" s="33" t="n">
        <v>7224</v>
      </c>
      <c r="BB115" s="33" t="n">
        <v>7289</v>
      </c>
      <c r="BC115" s="33" t="n">
        <v>7239</v>
      </c>
      <c r="BD115" s="33" t="n">
        <v>7483</v>
      </c>
      <c r="BE115" s="33" t="n">
        <v>7318</v>
      </c>
      <c r="BF115" s="33" t="n">
        <v>7558</v>
      </c>
      <c r="BG115" s="33" t="n">
        <v>7568</v>
      </c>
      <c r="BH115" s="33" t="n">
        <v>7522</v>
      </c>
      <c r="BI115" s="33" t="n">
        <v>7463</v>
      </c>
      <c r="BJ115" s="33" t="n">
        <v>7127</v>
      </c>
      <c r="BK115" s="33" t="n">
        <v>6971</v>
      </c>
      <c r="BL115" s="33" t="n">
        <v>7319</v>
      </c>
    </row>
    <row r="116" ht="15.95" customHeight="1" s="574">
      <c r="A116" s="68" t="inlineStr">
        <is>
          <t>9882</t>
        </is>
      </c>
      <c r="B116" s="44" t="inlineStr">
        <is>
          <t>イエローハット</t>
        </is>
      </c>
      <c r="C116" s="669">
        <f>_xll.RssMarket("9882","安値")</f>
        <v/>
      </c>
      <c r="D116" s="661">
        <f>C116-E116</f>
        <v/>
      </c>
      <c r="E116" s="33" t="n">
        <v>1737</v>
      </c>
      <c r="F116" s="33" t="n">
        <v>1740</v>
      </c>
      <c r="G116" s="33" t="n">
        <v>1738</v>
      </c>
      <c r="H116" s="33" t="n">
        <v>1735</v>
      </c>
      <c r="I116" s="33" t="n">
        <v>1711</v>
      </c>
      <c r="J116" s="33" t="n">
        <v>1731</v>
      </c>
      <c r="K116" s="33" t="n">
        <v>1721</v>
      </c>
      <c r="L116" s="33" t="n">
        <v>1698</v>
      </c>
      <c r="M116" s="33" t="n">
        <v>1700</v>
      </c>
      <c r="N116" s="33" t="n">
        <v>1663</v>
      </c>
      <c r="O116" s="33" t="n">
        <v>1655</v>
      </c>
      <c r="P116" s="33" t="n">
        <v>1643</v>
      </c>
      <c r="Q116" s="33" t="n">
        <v>1618</v>
      </c>
      <c r="R116" s="33" t="n">
        <v>1601</v>
      </c>
      <c r="S116" s="33" t="n">
        <v>1625</v>
      </c>
      <c r="T116" s="33" t="n">
        <v>1622</v>
      </c>
      <c r="U116" s="33" t="n">
        <v>1613</v>
      </c>
      <c r="V116" s="33" t="n">
        <v>1605</v>
      </c>
      <c r="W116" s="33" t="n">
        <v>1612</v>
      </c>
      <c r="X116" s="33" t="n">
        <v>1622</v>
      </c>
      <c r="Y116" s="33" t="n">
        <v>1608</v>
      </c>
      <c r="Z116" s="33" t="n">
        <v>1625</v>
      </c>
      <c r="AA116" s="33" t="n">
        <v>1611</v>
      </c>
      <c r="AB116" s="33" t="n">
        <v>1595</v>
      </c>
      <c r="AC116" s="33" t="n">
        <v>1585</v>
      </c>
      <c r="AD116" s="33" t="n">
        <v>1613</v>
      </c>
      <c r="AE116" s="33" t="n">
        <v>1633</v>
      </c>
      <c r="AF116" s="33" t="n">
        <v>1622</v>
      </c>
      <c r="AG116" s="33" t="n">
        <v>1487</v>
      </c>
      <c r="AH116" s="33" t="n">
        <v>1502</v>
      </c>
      <c r="AI116" s="33" t="n">
        <v>1503</v>
      </c>
      <c r="AJ116" s="33" t="n">
        <v>1502</v>
      </c>
      <c r="AK116" s="33" t="n">
        <v>1504</v>
      </c>
      <c r="AL116" s="33" t="n">
        <v>1504</v>
      </c>
      <c r="AM116" s="33" t="n">
        <v>1506</v>
      </c>
      <c r="AN116" s="33" t="n">
        <v>1509</v>
      </c>
      <c r="AO116" s="33" t="n">
        <v>1538</v>
      </c>
      <c r="AP116" s="33" t="n">
        <v>1561</v>
      </c>
      <c r="AQ116" s="33" t="n">
        <v>1555</v>
      </c>
      <c r="AR116" s="33" t="n">
        <v>1554</v>
      </c>
      <c r="AS116" s="33" t="n">
        <v>1549</v>
      </c>
      <c r="AT116" s="33" t="n">
        <v>1553</v>
      </c>
      <c r="AU116" s="33" t="n">
        <v>1561</v>
      </c>
      <c r="AV116" s="33" t="n">
        <v>1565</v>
      </c>
      <c r="AW116" s="33" t="n">
        <v>1590</v>
      </c>
      <c r="AX116" s="33" t="n">
        <v>1597</v>
      </c>
      <c r="AY116" s="33" t="n">
        <v>1614</v>
      </c>
      <c r="AZ116" s="33" t="n">
        <v>1575</v>
      </c>
      <c r="BA116" s="33" t="n">
        <v>1550</v>
      </c>
      <c r="BB116" s="33" t="n">
        <v>1546</v>
      </c>
      <c r="BC116" s="33" t="n">
        <v>1555</v>
      </c>
      <c r="BD116" s="33" t="n">
        <v>1550</v>
      </c>
      <c r="BE116" s="33" t="n">
        <v>1545</v>
      </c>
      <c r="BF116" s="33" t="n">
        <v>1510</v>
      </c>
      <c r="BG116" s="33" t="n">
        <v>1586</v>
      </c>
      <c r="BH116" s="33" t="n">
        <v>1568</v>
      </c>
      <c r="BI116" s="33" t="n">
        <v>1571</v>
      </c>
      <c r="BJ116" s="33" t="n">
        <v>1536</v>
      </c>
      <c r="BK116" s="33" t="n">
        <v>1503</v>
      </c>
      <c r="BL116" s="33" t="n">
        <v>1542</v>
      </c>
    </row>
    <row r="117" ht="15.95" customHeight="1" s="574">
      <c r="A117" s="68" t="inlineStr">
        <is>
          <t>5838</t>
        </is>
      </c>
      <c r="B117" s="44" t="inlineStr">
        <is>
          <t>楽天銀行</t>
        </is>
      </c>
      <c r="C117" s="669">
        <f>_xll.RssMarket("5838","安値")</f>
        <v/>
      </c>
      <c r="D117" s="661">
        <f>C117-E117</f>
        <v/>
      </c>
      <c r="E117" s="33" t="n">
        <v>4998</v>
      </c>
      <c r="F117" s="33" t="n">
        <v>5084</v>
      </c>
      <c r="G117" s="33" t="n">
        <v>5145</v>
      </c>
      <c r="H117" s="33" t="n">
        <v>5158</v>
      </c>
      <c r="I117" s="33" t="n">
        <v>5102</v>
      </c>
      <c r="J117" s="33" t="n">
        <v>5085</v>
      </c>
      <c r="K117" s="33" t="n">
        <v>5051</v>
      </c>
      <c r="L117" s="33" t="n">
        <v>4938</v>
      </c>
      <c r="M117" s="33" t="n">
        <v>4688</v>
      </c>
      <c r="N117" s="33" t="n">
        <v>4764</v>
      </c>
      <c r="O117" s="33" t="n">
        <v>4903</v>
      </c>
      <c r="P117" s="33" t="n">
        <v>4742</v>
      </c>
      <c r="Q117" s="33" t="n">
        <v>4500</v>
      </c>
      <c r="R117" s="33" t="n">
        <v>4390</v>
      </c>
      <c r="S117" s="33" t="n">
        <v>4653</v>
      </c>
      <c r="T117" s="33" t="n">
        <v>4751</v>
      </c>
      <c r="U117" s="33" t="n">
        <v>4782</v>
      </c>
      <c r="V117" s="33" t="n">
        <v>4821</v>
      </c>
      <c r="W117" s="33" t="n">
        <v>4779</v>
      </c>
      <c r="X117" s="33" t="n">
        <v>5480</v>
      </c>
      <c r="Y117" s="33" t="n">
        <v>6463</v>
      </c>
      <c r="Z117" s="33" t="n">
        <v>6611</v>
      </c>
      <c r="AA117" s="33" t="n">
        <v>6234</v>
      </c>
      <c r="AB117" s="33" t="n">
        <v>5902</v>
      </c>
      <c r="AC117" s="33" t="n">
        <v>5998</v>
      </c>
      <c r="AD117" s="33" t="n">
        <v>5997</v>
      </c>
      <c r="AE117" s="33" t="n">
        <v>6198</v>
      </c>
      <c r="AF117" s="33" t="n">
        <v>6193</v>
      </c>
      <c r="AG117" s="33" t="n">
        <v>6128</v>
      </c>
      <c r="AH117" s="33" t="n">
        <v>6191</v>
      </c>
      <c r="AI117" s="33" t="n">
        <v>6183</v>
      </c>
      <c r="AJ117" s="33" t="n">
        <v>6195</v>
      </c>
      <c r="AK117" s="33" t="n">
        <v>6136</v>
      </c>
      <c r="AL117" s="33" t="n">
        <v>6062</v>
      </c>
      <c r="AM117" s="33" t="n">
        <v>6110</v>
      </c>
      <c r="AN117" s="33" t="n">
        <v>6040</v>
      </c>
      <c r="AO117" s="33" t="n">
        <v>6061</v>
      </c>
      <c r="AP117" s="33" t="n">
        <v>6411</v>
      </c>
      <c r="AQ117" s="33" t="n">
        <v>6488</v>
      </c>
      <c r="AR117" s="33" t="n">
        <v>6552</v>
      </c>
      <c r="AS117" s="33" t="n">
        <v>6656</v>
      </c>
      <c r="AT117" s="33" t="n">
        <v>6724</v>
      </c>
      <c r="AU117" s="33" t="n">
        <v>6731</v>
      </c>
      <c r="AV117" s="33" t="n">
        <v>6621</v>
      </c>
      <c r="AW117" s="33" t="n">
        <v>6662</v>
      </c>
      <c r="AX117" s="33" t="n">
        <v>6517</v>
      </c>
      <c r="AY117" s="33" t="n">
        <v>6330</v>
      </c>
      <c r="AZ117" s="33" t="n">
        <v>6082</v>
      </c>
      <c r="BA117" s="33" t="n">
        <v>6052</v>
      </c>
      <c r="BB117" s="33" t="n">
        <v>6002</v>
      </c>
      <c r="BC117" s="33" t="n">
        <v>5952</v>
      </c>
      <c r="BD117" s="33" t="n">
        <v>5810</v>
      </c>
      <c r="BE117" s="33" t="n">
        <v>5610</v>
      </c>
      <c r="BF117" s="33" t="n">
        <v>5703</v>
      </c>
      <c r="BG117" s="33" t="n">
        <v>5927</v>
      </c>
      <c r="BH117" s="33" t="n">
        <v>5994</v>
      </c>
      <c r="BI117" s="33" t="n">
        <v>6190</v>
      </c>
      <c r="BJ117" s="33" t="n">
        <v>6062</v>
      </c>
      <c r="BK117" s="33" t="n">
        <v>6016</v>
      </c>
      <c r="BL117" s="33" t="n">
        <v>6095</v>
      </c>
    </row>
    <row r="118" ht="15.95" customHeight="1" s="574">
      <c r="A118" s="68" t="inlineStr">
        <is>
          <t>5844</t>
        </is>
      </c>
      <c r="B118" s="44" t="inlineStr">
        <is>
          <t>京都フィナンシャルＧ</t>
        </is>
      </c>
      <c r="C118" s="669">
        <f>_xll.RssMarket("5844","安値")</f>
        <v/>
      </c>
      <c r="D118" s="661">
        <f>C118-E118</f>
        <v/>
      </c>
      <c r="E118" s="33" t="n">
        <v>4791</v>
      </c>
      <c r="F118" s="33" t="n">
        <v>4661</v>
      </c>
      <c r="G118" s="33" t="n">
        <v>4600</v>
      </c>
      <c r="H118" s="33" t="n">
        <v>4519</v>
      </c>
      <c r="I118" s="33" t="n">
        <v>4375</v>
      </c>
      <c r="J118" s="33" t="n">
        <v>4485</v>
      </c>
      <c r="K118" s="33" t="n">
        <v>4456</v>
      </c>
      <c r="L118" s="33" t="n">
        <v>4390</v>
      </c>
      <c r="M118" s="33" t="n">
        <v>4485</v>
      </c>
      <c r="N118" s="33" t="n">
        <v>4511</v>
      </c>
      <c r="O118" s="33" t="n">
        <v>4580</v>
      </c>
      <c r="P118" s="33" t="n">
        <v>4268</v>
      </c>
      <c r="Q118" s="33" t="n">
        <v>4271</v>
      </c>
      <c r="R118" s="33" t="n">
        <v>4193</v>
      </c>
      <c r="S118" s="33" t="n">
        <v>4312</v>
      </c>
      <c r="T118" s="33" t="n">
        <v>4386</v>
      </c>
      <c r="U118" s="33" t="n">
        <v>4437</v>
      </c>
      <c r="V118" s="33" t="n">
        <v>4489</v>
      </c>
      <c r="W118" s="33" t="n">
        <v>4430</v>
      </c>
      <c r="X118" s="33" t="n">
        <v>4443</v>
      </c>
      <c r="Y118" s="33" t="n">
        <v>4344</v>
      </c>
      <c r="Z118" s="33" t="n">
        <v>4366</v>
      </c>
      <c r="AA118" s="33" t="n">
        <v>4282</v>
      </c>
      <c r="AB118" s="33" t="n">
        <v>4231</v>
      </c>
      <c r="AC118" s="33" t="n">
        <v>4380</v>
      </c>
      <c r="AD118" s="33" t="n">
        <v>4393</v>
      </c>
      <c r="AE118" s="33" t="n">
        <v>4381</v>
      </c>
      <c r="AF118" s="33" t="n">
        <v>4341</v>
      </c>
      <c r="AG118" s="33" t="n">
        <v>4338</v>
      </c>
      <c r="AH118" s="33" t="n">
        <v>4396</v>
      </c>
      <c r="AI118" s="33" t="n">
        <v>4285</v>
      </c>
      <c r="AJ118" s="33" t="n">
        <v>4251</v>
      </c>
      <c r="AK118" s="33" t="n">
        <v>4218</v>
      </c>
      <c r="AL118" s="33" t="n">
        <v>4143</v>
      </c>
      <c r="AM118" s="33" t="n">
        <v>4227</v>
      </c>
      <c r="AN118" s="33" t="n">
        <v>4126</v>
      </c>
      <c r="AO118" s="33" t="n">
        <v>4258</v>
      </c>
      <c r="AP118" s="33" t="n">
        <v>4305</v>
      </c>
      <c r="AQ118" s="33" t="n">
        <v>4292</v>
      </c>
      <c r="AR118" s="33" t="n">
        <v>4361</v>
      </c>
      <c r="AS118" s="33" t="n">
        <v>4392</v>
      </c>
      <c r="AT118" s="33" t="n">
        <v>4350</v>
      </c>
      <c r="AU118" s="33" t="n">
        <v>4315</v>
      </c>
      <c r="AV118" s="33" t="n">
        <v>4295</v>
      </c>
      <c r="AW118" s="33" t="n">
        <v>4330</v>
      </c>
      <c r="AX118" s="33" t="n">
        <v>4365</v>
      </c>
      <c r="AY118" s="33" t="n">
        <v>4444</v>
      </c>
      <c r="AZ118" s="33" t="n">
        <v>4379</v>
      </c>
      <c r="BA118" s="33" t="n">
        <v>4358</v>
      </c>
      <c r="BB118" s="33" t="n">
        <v>4297</v>
      </c>
      <c r="BC118" s="33" t="n">
        <v>4257</v>
      </c>
      <c r="BD118" s="33" t="n">
        <v>4231</v>
      </c>
      <c r="BE118" s="33" t="n">
        <v>4061</v>
      </c>
      <c r="BF118" s="33" t="n">
        <v>4159</v>
      </c>
      <c r="BG118" s="33" t="n">
        <v>4369</v>
      </c>
      <c r="BH118" s="33" t="n">
        <v>4323</v>
      </c>
      <c r="BI118" s="33" t="n">
        <v>4333</v>
      </c>
      <c r="BJ118" s="33" t="n">
        <v>4269</v>
      </c>
      <c r="BK118" s="33" t="n">
        <v>4200</v>
      </c>
      <c r="BL118" s="33" t="n">
        <v>4305</v>
      </c>
    </row>
    <row r="119" ht="15.95" customHeight="1" s="574">
      <c r="A119" s="68" t="inlineStr">
        <is>
          <t>9404</t>
        </is>
      </c>
      <c r="B119" s="44" t="inlineStr">
        <is>
          <t>日本テレビＨＬＤＳ</t>
        </is>
      </c>
      <c r="C119" s="669">
        <f>_xll.RssMarket("9404","安値")</f>
        <v/>
      </c>
      <c r="D119" s="661">
        <f>C119-E119</f>
        <v/>
      </c>
      <c r="E119" s="33" t="n">
        <v>2745.5</v>
      </c>
      <c r="F119" s="33" t="n">
        <v>2770</v>
      </c>
      <c r="G119" s="33" t="n">
        <v>2816</v>
      </c>
      <c r="H119" s="33" t="n">
        <v>2834</v>
      </c>
      <c r="I119" s="33" t="n">
        <v>2812</v>
      </c>
      <c r="J119" s="33" t="n">
        <v>2816.5</v>
      </c>
      <c r="K119" s="33" t="n">
        <v>2806.5</v>
      </c>
      <c r="L119" s="33" t="n">
        <v>2858</v>
      </c>
      <c r="M119" s="33" t="n">
        <v>2857.5</v>
      </c>
      <c r="N119" s="33" t="n">
        <v>2811.5</v>
      </c>
      <c r="O119" s="33" t="n">
        <v>2780.5</v>
      </c>
      <c r="P119" s="33" t="n">
        <v>2749.5</v>
      </c>
      <c r="Q119" s="33" t="n">
        <v>2716</v>
      </c>
      <c r="R119" s="33" t="n">
        <v>2782</v>
      </c>
      <c r="S119" s="33" t="n">
        <v>2836</v>
      </c>
      <c r="T119" s="33" t="n">
        <v>2838.5</v>
      </c>
      <c r="U119" s="33" t="n">
        <v>2829</v>
      </c>
      <c r="V119" s="33" t="n">
        <v>2825.5</v>
      </c>
      <c r="W119" s="33" t="n">
        <v>2874</v>
      </c>
      <c r="X119" s="33" t="n">
        <v>2917.5</v>
      </c>
      <c r="Y119" s="33" t="n">
        <v>2909.5</v>
      </c>
      <c r="Z119" s="33" t="n">
        <v>2873.5</v>
      </c>
      <c r="AA119" s="33" t="n">
        <v>2860</v>
      </c>
      <c r="AB119" s="33" t="n">
        <v>2790</v>
      </c>
      <c r="AC119" s="33" t="n">
        <v>2880.5</v>
      </c>
      <c r="AD119" s="33" t="n">
        <v>2934</v>
      </c>
      <c r="AE119" s="33" t="n">
        <v>2922.5</v>
      </c>
      <c r="AF119" s="33" t="n">
        <v>2924</v>
      </c>
      <c r="AG119" s="33" t="n">
        <v>2951.5</v>
      </c>
      <c r="AH119" s="33" t="n">
        <v>2971.5</v>
      </c>
      <c r="AI119" s="33" t="n">
        <v>2936</v>
      </c>
      <c r="AJ119" s="33" t="n">
        <v>2935.5</v>
      </c>
      <c r="AK119" s="33" t="n">
        <v>3000</v>
      </c>
      <c r="AL119" s="33" t="n">
        <v>2975.5</v>
      </c>
      <c r="AM119" s="33" t="n">
        <v>2954</v>
      </c>
      <c r="AN119" s="33" t="n">
        <v>2990.5</v>
      </c>
      <c r="AO119" s="33" t="n">
        <v>3057</v>
      </c>
      <c r="AP119" s="33" t="n">
        <v>3111</v>
      </c>
      <c r="AQ119" s="33" t="n">
        <v>3150</v>
      </c>
      <c r="AR119" s="33" t="n">
        <v>3155</v>
      </c>
      <c r="AS119" s="33" t="n">
        <v>3136</v>
      </c>
      <c r="AT119" s="33" t="n">
        <v>3152</v>
      </c>
      <c r="AU119" s="33" t="n">
        <v>3128</v>
      </c>
      <c r="AV119" s="33" t="n">
        <v>3098</v>
      </c>
      <c r="AW119" s="33" t="n">
        <v>3109</v>
      </c>
      <c r="AX119" s="33" t="n">
        <v>3154</v>
      </c>
      <c r="AY119" s="33" t="n">
        <v>3143</v>
      </c>
      <c r="AZ119" s="33" t="n">
        <v>3098</v>
      </c>
      <c r="BA119" s="33" t="n">
        <v>3080</v>
      </c>
      <c r="BB119" s="33" t="n">
        <v>3100</v>
      </c>
      <c r="BC119" s="33" t="n">
        <v>3100</v>
      </c>
      <c r="BD119" s="33" t="n">
        <v>3148</v>
      </c>
      <c r="BE119" s="33" t="n">
        <v>3157</v>
      </c>
      <c r="BF119" s="33" t="n">
        <v>3096</v>
      </c>
      <c r="BG119" s="33" t="n">
        <v>3224</v>
      </c>
      <c r="BH119" s="33" t="n">
        <v>3162</v>
      </c>
      <c r="BI119" s="33" t="n">
        <v>3197</v>
      </c>
      <c r="BJ119" s="33" t="n">
        <v>3123</v>
      </c>
      <c r="BK119" s="33" t="n">
        <v>3087</v>
      </c>
      <c r="BL119" s="33" t="n">
        <v>3109</v>
      </c>
    </row>
    <row r="120" ht="15.95" customHeight="1" s="574">
      <c r="A120" s="68" t="inlineStr">
        <is>
          <t>6744</t>
        </is>
      </c>
      <c r="B120" s="44" t="inlineStr">
        <is>
          <t>能美防災</t>
        </is>
      </c>
      <c r="C120" s="669">
        <f>_xll.RssMarket("6744","安値")</f>
        <v/>
      </c>
      <c r="D120" s="661">
        <f>C120-E120</f>
        <v/>
      </c>
      <c r="E120" s="33" t="n">
        <v>4205</v>
      </c>
      <c r="F120" s="33" t="n">
        <v>4195</v>
      </c>
      <c r="G120" s="33" t="n">
        <v>4200</v>
      </c>
      <c r="H120" s="33" t="n">
        <v>4155</v>
      </c>
      <c r="I120" s="33" t="n">
        <v>4180</v>
      </c>
      <c r="J120" s="33" t="n">
        <v>4195</v>
      </c>
      <c r="K120" s="33" t="n">
        <v>4185</v>
      </c>
      <c r="L120" s="33" t="n">
        <v>4165</v>
      </c>
      <c r="M120" s="33" t="n">
        <v>4260</v>
      </c>
      <c r="N120" s="33" t="n">
        <v>4310</v>
      </c>
      <c r="O120" s="33" t="n">
        <v>4490</v>
      </c>
      <c r="P120" s="33" t="n">
        <v>4480</v>
      </c>
      <c r="Q120" s="33" t="n">
        <v>4505</v>
      </c>
      <c r="R120" s="33" t="n">
        <v>4540</v>
      </c>
      <c r="S120" s="33" t="n">
        <v>4780</v>
      </c>
      <c r="T120" s="33" t="n">
        <v>4695</v>
      </c>
      <c r="U120" s="33" t="n">
        <v>4770</v>
      </c>
      <c r="V120" s="33" t="n">
        <v>4700</v>
      </c>
      <c r="W120" s="33" t="n">
        <v>4575</v>
      </c>
      <c r="X120" s="33" t="n">
        <v>4505</v>
      </c>
      <c r="Y120" s="33" t="n">
        <v>4635</v>
      </c>
      <c r="Z120" s="33" t="n">
        <v>4640</v>
      </c>
      <c r="AA120" s="33" t="n">
        <v>4620</v>
      </c>
      <c r="AB120" s="33" t="n">
        <v>4330</v>
      </c>
      <c r="AC120" s="33" t="n">
        <v>4220</v>
      </c>
      <c r="AD120" s="33" t="n">
        <v>4250</v>
      </c>
      <c r="AE120" s="33" t="n">
        <v>4320</v>
      </c>
      <c r="AF120" s="33" t="n">
        <v>4275</v>
      </c>
      <c r="AG120" s="33" t="n">
        <v>4255</v>
      </c>
      <c r="AH120" s="33" t="n">
        <v>4090</v>
      </c>
      <c r="AI120" s="33" t="n">
        <v>4005</v>
      </c>
      <c r="AJ120" s="33" t="n">
        <v>3970</v>
      </c>
      <c r="AK120" s="33" t="n">
        <v>3855</v>
      </c>
      <c r="AL120" s="33" t="n">
        <v>3885</v>
      </c>
      <c r="AM120" s="33" t="n">
        <v>3930</v>
      </c>
      <c r="AN120" s="33" t="n">
        <v>4010</v>
      </c>
      <c r="AO120" s="33" t="n">
        <v>4035</v>
      </c>
      <c r="AP120" s="33" t="n">
        <v>4050</v>
      </c>
      <c r="AQ120" s="33" t="n">
        <v>4080</v>
      </c>
      <c r="AR120" s="33" t="n">
        <v>4215</v>
      </c>
      <c r="AS120" s="33" t="n">
        <v>4260</v>
      </c>
      <c r="AT120" s="33" t="n">
        <v>4360</v>
      </c>
      <c r="AU120" s="33" t="n">
        <v>4365</v>
      </c>
      <c r="AV120" s="33" t="n">
        <v>4375</v>
      </c>
      <c r="AW120" s="33" t="n">
        <v>4385</v>
      </c>
      <c r="AX120" s="33" t="n">
        <v>4375</v>
      </c>
      <c r="AY120" s="33" t="n">
        <v>4245</v>
      </c>
      <c r="AZ120" s="33" t="n">
        <v>4205</v>
      </c>
      <c r="BA120" s="33" t="n">
        <v>4140</v>
      </c>
      <c r="BB120" s="33" t="n">
        <v>4175</v>
      </c>
      <c r="BC120" s="33" t="n">
        <v>4165</v>
      </c>
      <c r="BD120" s="33" t="n">
        <v>4065</v>
      </c>
      <c r="BE120" s="33" t="n">
        <v>4085</v>
      </c>
      <c r="BF120" s="33" t="n">
        <v>4245</v>
      </c>
      <c r="BG120" s="33" t="n">
        <v>4260</v>
      </c>
      <c r="BH120" s="33" t="n">
        <v>4370</v>
      </c>
      <c r="BI120" s="33" t="n">
        <v>4230</v>
      </c>
      <c r="BJ120" s="33" t="n">
        <v>4180</v>
      </c>
      <c r="BK120" s="33" t="n">
        <v>4385</v>
      </c>
      <c r="BL120" s="33" t="n">
        <v>4465</v>
      </c>
    </row>
    <row r="121" ht="15.95" customHeight="1" s="574">
      <c r="A121" s="68" t="inlineStr">
        <is>
          <t>7685</t>
        </is>
      </c>
      <c r="B121" s="44" t="inlineStr">
        <is>
          <t>ＢＵＹＳＥＬＬＴＥＣＨ</t>
        </is>
      </c>
      <c r="C121" s="669">
        <f>_xll.RssMarket("7685","安値")</f>
        <v/>
      </c>
      <c r="D121" s="661">
        <f>C121-E121</f>
        <v/>
      </c>
      <c r="E121" s="33" t="n">
        <v>3410</v>
      </c>
      <c r="F121" s="33" t="n">
        <v>3430</v>
      </c>
      <c r="G121" s="33" t="n">
        <v>3480</v>
      </c>
      <c r="H121" s="33" t="n">
        <v>3500</v>
      </c>
      <c r="I121" s="33" t="n">
        <v>3570</v>
      </c>
      <c r="J121" s="33" t="n">
        <v>3500</v>
      </c>
      <c r="K121" s="33" t="n">
        <v>3680</v>
      </c>
      <c r="L121" s="33" t="n">
        <v>3650</v>
      </c>
      <c r="M121" s="33" t="n">
        <v>3530</v>
      </c>
      <c r="N121" s="33" t="n">
        <v>3705</v>
      </c>
      <c r="O121" s="33" t="n">
        <v>3670</v>
      </c>
      <c r="P121" s="33" t="n">
        <v>3855</v>
      </c>
      <c r="Q121" s="33" t="n">
        <v>3815</v>
      </c>
      <c r="R121" s="33" t="n">
        <v>3990</v>
      </c>
      <c r="S121" s="33" t="n">
        <v>3785</v>
      </c>
      <c r="T121" s="33" t="n">
        <v>3790</v>
      </c>
      <c r="U121" s="33" t="n">
        <v>3700</v>
      </c>
      <c r="V121" s="33" t="n">
        <v>3570</v>
      </c>
      <c r="W121" s="33" t="n">
        <v>3605</v>
      </c>
      <c r="X121" s="33" t="n">
        <v>3725</v>
      </c>
      <c r="Y121" s="33" t="n">
        <v>3330</v>
      </c>
      <c r="Z121" s="33" t="n">
        <v>3300</v>
      </c>
      <c r="AA121" s="33" t="n">
        <v>2960</v>
      </c>
      <c r="AB121" s="33" t="n">
        <v>3075</v>
      </c>
      <c r="AC121" s="33" t="n">
        <v>3295</v>
      </c>
      <c r="AD121" s="33" t="n">
        <v>3195</v>
      </c>
      <c r="AE121" s="33" t="n">
        <v>3075</v>
      </c>
      <c r="AF121" s="33" t="n">
        <v>3160</v>
      </c>
      <c r="AG121" s="33" t="n">
        <v>3210</v>
      </c>
      <c r="AH121" s="33" t="n">
        <v>3100</v>
      </c>
      <c r="AI121" s="33" t="n">
        <v>3070</v>
      </c>
      <c r="AJ121" s="33" t="n">
        <v>3105</v>
      </c>
      <c r="AK121" s="33" t="n">
        <v>3230</v>
      </c>
      <c r="AL121" s="33" t="n">
        <v>3240</v>
      </c>
      <c r="AM121" s="33" t="n">
        <v>3370</v>
      </c>
      <c r="AN121" s="33" t="n">
        <v>3320</v>
      </c>
      <c r="AO121" s="33" t="n">
        <v>3510</v>
      </c>
      <c r="AP121" s="33" t="n">
        <v>3605</v>
      </c>
      <c r="AQ121" s="33" t="n">
        <v>3565</v>
      </c>
      <c r="AR121" s="33" t="n">
        <v>3445</v>
      </c>
      <c r="AS121" s="33" t="n">
        <v>3390</v>
      </c>
      <c r="AT121" s="33" t="n">
        <v>3370</v>
      </c>
      <c r="AU121" s="33" t="n">
        <v>3380</v>
      </c>
      <c r="AV121" s="33" t="n">
        <v>3340</v>
      </c>
      <c r="AW121" s="33" t="n">
        <v>3290</v>
      </c>
      <c r="AX121" s="33" t="n">
        <v>3135</v>
      </c>
      <c r="AY121" s="33" t="n">
        <v>3095</v>
      </c>
      <c r="AZ121" s="33" t="n">
        <v>3130</v>
      </c>
      <c r="BA121" s="33" t="n">
        <v>3000</v>
      </c>
      <c r="BB121" s="33" t="n">
        <v>2940</v>
      </c>
      <c r="BC121" s="33" t="n">
        <v>2939</v>
      </c>
      <c r="BD121" s="33" t="n">
        <v>3100</v>
      </c>
      <c r="BE121" s="33" t="n">
        <v>3095</v>
      </c>
      <c r="BF121" s="33" t="n">
        <v>3020</v>
      </c>
      <c r="BG121" s="33" t="n">
        <v>2855</v>
      </c>
      <c r="BH121" s="33" t="n">
        <v>3000</v>
      </c>
      <c r="BI121" s="33" t="n">
        <v>3295</v>
      </c>
      <c r="BJ121" s="33" t="n">
        <v>3375</v>
      </c>
      <c r="BK121" s="33" t="n">
        <v>3320</v>
      </c>
      <c r="BL121" s="33" t="n">
        <v>3215</v>
      </c>
    </row>
    <row r="122" ht="15.95" customHeight="1" s="574">
      <c r="A122" s="68" t="inlineStr">
        <is>
          <t>8334</t>
        </is>
      </c>
      <c r="B122" s="44" t="inlineStr">
        <is>
          <t>群馬銀行</t>
        </is>
      </c>
      <c r="C122" s="669">
        <f>_xll.RssMarket("8334","安値")</f>
        <v/>
      </c>
      <c r="D122" s="661">
        <f>C122-E122</f>
        <v/>
      </c>
      <c r="E122" s="33" t="n">
        <v>2285</v>
      </c>
      <c r="F122" s="33" t="n">
        <v>2271</v>
      </c>
      <c r="G122" s="33" t="n">
        <v>2304.5</v>
      </c>
      <c r="H122" s="33" t="n">
        <v>2307</v>
      </c>
      <c r="I122" s="33" t="n">
        <v>2285</v>
      </c>
      <c r="J122" s="33" t="n">
        <v>2358</v>
      </c>
      <c r="K122" s="33" t="n">
        <v>2323.5</v>
      </c>
      <c r="L122" s="33" t="n">
        <v>2269.5</v>
      </c>
      <c r="M122" s="33" t="n">
        <v>2302</v>
      </c>
      <c r="N122" s="33" t="n">
        <v>2227</v>
      </c>
      <c r="O122" s="33" t="n">
        <v>2254</v>
      </c>
      <c r="P122" s="33" t="n">
        <v>2151</v>
      </c>
      <c r="Q122" s="33" t="n">
        <v>2166.5</v>
      </c>
      <c r="R122" s="33" t="n">
        <v>2093</v>
      </c>
      <c r="S122" s="33" t="n">
        <v>2207</v>
      </c>
      <c r="T122" s="33" t="n">
        <v>2190.5</v>
      </c>
      <c r="U122" s="33" t="n">
        <v>2231</v>
      </c>
      <c r="V122" s="33" t="n">
        <v>2272</v>
      </c>
      <c r="W122" s="33" t="n">
        <v>2295</v>
      </c>
      <c r="X122" s="33" t="n">
        <v>2337</v>
      </c>
      <c r="Y122" s="33" t="n">
        <v>2267</v>
      </c>
      <c r="Z122" s="33" t="n">
        <v>2274.5</v>
      </c>
      <c r="AA122" s="33" t="n">
        <v>2205</v>
      </c>
      <c r="AB122" s="33" t="n">
        <v>2178</v>
      </c>
      <c r="AC122" s="33" t="n">
        <v>2174</v>
      </c>
      <c r="AD122" s="33" t="n">
        <v>2169</v>
      </c>
      <c r="AE122" s="33" t="n">
        <v>2171.5</v>
      </c>
      <c r="AF122" s="33" t="n">
        <v>2169</v>
      </c>
      <c r="AG122" s="33" t="n">
        <v>2120.5</v>
      </c>
      <c r="AH122" s="33" t="n">
        <v>2189.5</v>
      </c>
      <c r="AI122" s="33" t="n">
        <v>2102</v>
      </c>
      <c r="AJ122" s="33" t="n">
        <v>2113.5</v>
      </c>
      <c r="AK122" s="33" t="n">
        <v>2052</v>
      </c>
      <c r="AL122" s="33" t="n">
        <v>1970</v>
      </c>
      <c r="AM122" s="33" t="n">
        <v>2005</v>
      </c>
      <c r="AN122" s="33" t="n">
        <v>2014.5</v>
      </c>
      <c r="AO122" s="33" t="n">
        <v>2046.5</v>
      </c>
      <c r="AP122" s="33" t="n">
        <v>2113</v>
      </c>
      <c r="AQ122" s="33" t="n">
        <v>2180</v>
      </c>
      <c r="AR122" s="33" t="n">
        <v>2214</v>
      </c>
      <c r="AS122" s="33" t="n">
        <v>2250</v>
      </c>
      <c r="AT122" s="33" t="n">
        <v>2246</v>
      </c>
      <c r="AU122" s="33" t="n">
        <v>2225</v>
      </c>
      <c r="AV122" s="33" t="n">
        <v>2245.5</v>
      </c>
      <c r="AW122" s="33" t="n">
        <v>2266</v>
      </c>
      <c r="AX122" s="33" t="n">
        <v>2267.5</v>
      </c>
      <c r="AY122" s="33" t="n">
        <v>2285.5</v>
      </c>
      <c r="AZ122" s="33" t="n">
        <v>2214.5</v>
      </c>
      <c r="BA122" s="33" t="n">
        <v>2208.5</v>
      </c>
      <c r="BB122" s="33" t="n">
        <v>2213.5</v>
      </c>
      <c r="BC122" s="33" t="n">
        <v>2192</v>
      </c>
      <c r="BD122" s="33" t="n">
        <v>2146</v>
      </c>
      <c r="BE122" s="33" t="n">
        <v>2062.5</v>
      </c>
      <c r="BF122" s="33" t="n">
        <v>2142</v>
      </c>
      <c r="BG122" s="33" t="n">
        <v>2169</v>
      </c>
      <c r="BH122" s="33" t="n">
        <v>2094.5</v>
      </c>
      <c r="BI122" s="33" t="n">
        <v>2154.5</v>
      </c>
      <c r="BJ122" s="33" t="n">
        <v>2069.5</v>
      </c>
      <c r="BK122" s="33" t="n">
        <v>2004.5</v>
      </c>
      <c r="BL122" s="33" t="n">
        <v>2103.5</v>
      </c>
    </row>
    <row r="123" ht="15.95" customHeight="1" s="574">
      <c r="A123" s="68" t="inlineStr">
        <is>
          <t>8359</t>
        </is>
      </c>
      <c r="B123" s="44" t="inlineStr">
        <is>
          <t>八十二長野銀行</t>
        </is>
      </c>
      <c r="C123" s="669">
        <f>_xll.RssMarket("8359","安値")</f>
        <v/>
      </c>
      <c r="D123" s="661">
        <f>C123-E123</f>
        <v/>
      </c>
      <c r="E123" s="33" t="n">
        <v>2320</v>
      </c>
      <c r="F123" s="33" t="n">
        <v>2307</v>
      </c>
      <c r="G123" s="33" t="n">
        <v>2290</v>
      </c>
      <c r="H123" s="33" t="n">
        <v>2287</v>
      </c>
      <c r="I123" s="33" t="n">
        <v>2313.5</v>
      </c>
      <c r="J123" s="33" t="n">
        <v>2380</v>
      </c>
      <c r="K123" s="33" t="n">
        <v>2336.5</v>
      </c>
      <c r="L123" s="33" t="n">
        <v>2296.5</v>
      </c>
      <c r="M123" s="33" t="n">
        <v>2331</v>
      </c>
      <c r="N123" s="33" t="n">
        <v>2314</v>
      </c>
      <c r="O123" s="33" t="n">
        <v>2379</v>
      </c>
      <c r="P123" s="33" t="n">
        <v>2262.5</v>
      </c>
      <c r="Q123" s="33" t="n">
        <v>2296</v>
      </c>
      <c r="R123" s="33" t="n">
        <v>2235.5</v>
      </c>
      <c r="S123" s="33" t="n">
        <v>2286</v>
      </c>
      <c r="T123" s="33" t="n">
        <v>2248</v>
      </c>
      <c r="U123" s="33" t="n">
        <v>2257</v>
      </c>
      <c r="V123" s="33" t="n">
        <v>2325</v>
      </c>
      <c r="W123" s="33" t="n">
        <v>2318</v>
      </c>
      <c r="X123" s="33" t="n">
        <v>2335</v>
      </c>
      <c r="Y123" s="33" t="n">
        <v>2260.5</v>
      </c>
      <c r="Z123" s="33" t="n">
        <v>2230</v>
      </c>
      <c r="AA123" s="33" t="n">
        <v>2205</v>
      </c>
      <c r="AB123" s="33" t="n">
        <v>2334.5</v>
      </c>
      <c r="AC123" s="33" t="n">
        <v>2320</v>
      </c>
      <c r="AD123" s="33" t="n">
        <v>2314</v>
      </c>
      <c r="AE123" s="33" t="n">
        <v>2293.5</v>
      </c>
      <c r="AF123" s="33" t="n">
        <v>2209</v>
      </c>
      <c r="AG123" s="33" t="n">
        <v>2159.5</v>
      </c>
      <c r="AH123" s="33" t="n">
        <v>2137</v>
      </c>
      <c r="AI123" s="33" t="n">
        <v>2069.5</v>
      </c>
      <c r="AJ123" s="33" t="n">
        <v>2088</v>
      </c>
      <c r="AK123" s="33" t="n">
        <v>2044.5</v>
      </c>
      <c r="AL123" s="33" t="n">
        <v>1964</v>
      </c>
      <c r="AM123" s="33" t="n">
        <v>2016.5</v>
      </c>
      <c r="AN123" s="33" t="n">
        <v>1981.5</v>
      </c>
      <c r="AO123" s="33" t="n">
        <v>2000.5</v>
      </c>
      <c r="AP123" s="33" t="n">
        <v>2026.5</v>
      </c>
      <c r="AQ123" s="33" t="n">
        <v>2080</v>
      </c>
      <c r="AR123" s="33" t="n">
        <v>2085</v>
      </c>
      <c r="AS123" s="33" t="n">
        <v>2102</v>
      </c>
      <c r="AT123" s="33" t="n">
        <v>2074.5</v>
      </c>
      <c r="AU123" s="33" t="n">
        <v>2048.5</v>
      </c>
      <c r="AV123" s="33" t="n">
        <v>2063</v>
      </c>
      <c r="AW123" s="33" t="n">
        <v>2105</v>
      </c>
      <c r="AX123" s="33" t="n">
        <v>2110</v>
      </c>
      <c r="AY123" s="33" t="n">
        <v>2118</v>
      </c>
      <c r="AZ123" s="33" t="n">
        <v>2063.5</v>
      </c>
      <c r="BA123" s="33" t="n">
        <v>2026</v>
      </c>
      <c r="BB123" s="33" t="n">
        <v>2020</v>
      </c>
      <c r="BC123" s="33" t="n">
        <v>2011.5</v>
      </c>
      <c r="BD123" s="33" t="n">
        <v>2016.5</v>
      </c>
      <c r="BE123" s="33" t="n">
        <v>1918</v>
      </c>
      <c r="BF123" s="33" t="n">
        <v>1911.5</v>
      </c>
      <c r="BG123" s="33" t="n">
        <v>2028</v>
      </c>
      <c r="BH123" s="33" t="n">
        <v>2027.5</v>
      </c>
      <c r="BI123" s="33" t="n">
        <v>2075</v>
      </c>
      <c r="BJ123" s="33" t="n">
        <v>1999</v>
      </c>
      <c r="BK123" s="33" t="n">
        <v>1886.5</v>
      </c>
      <c r="BL123" s="33" t="n">
        <v>1952</v>
      </c>
    </row>
    <row r="124" ht="15.95" customHeight="1" s="574">
      <c r="A124" s="68" t="inlineStr">
        <is>
          <t>8801</t>
        </is>
      </c>
      <c r="B124" s="44" t="inlineStr">
        <is>
          <t>三井不動産</t>
        </is>
      </c>
      <c r="C124" s="669">
        <f>_xll.RssMarket("8801","安値")</f>
        <v/>
      </c>
      <c r="D124" s="661">
        <f>C124-E124</f>
        <v/>
      </c>
      <c r="E124" s="33" t="n">
        <v>1473</v>
      </c>
      <c r="F124" s="33" t="n">
        <v>1475</v>
      </c>
      <c r="G124" s="33" t="n">
        <v>1481</v>
      </c>
      <c r="H124" s="33" t="n">
        <v>1516.5</v>
      </c>
      <c r="I124" s="33" t="n">
        <v>1527</v>
      </c>
      <c r="J124" s="33" t="n">
        <v>1563</v>
      </c>
      <c r="K124" s="33" t="n">
        <v>1548</v>
      </c>
      <c r="L124" s="33" t="n">
        <v>1533.5</v>
      </c>
      <c r="M124" s="33" t="n">
        <v>1505.5</v>
      </c>
      <c r="N124" s="33" t="n">
        <v>1443.5</v>
      </c>
      <c r="O124" s="33" t="n">
        <v>1480</v>
      </c>
      <c r="P124" s="33" t="n">
        <v>1450</v>
      </c>
      <c r="Q124" s="33" t="n">
        <v>1476.5</v>
      </c>
      <c r="R124" s="33" t="n">
        <v>1455</v>
      </c>
      <c r="S124" s="33" t="n">
        <v>1498.5</v>
      </c>
      <c r="T124" s="33" t="n">
        <v>1496.5</v>
      </c>
      <c r="U124" s="33" t="n">
        <v>1530.5</v>
      </c>
      <c r="V124" s="33" t="n">
        <v>1500.5</v>
      </c>
      <c r="W124" s="33" t="n">
        <v>1461.5</v>
      </c>
      <c r="X124" s="33" t="n">
        <v>1520</v>
      </c>
      <c r="Y124" s="33" t="n">
        <v>1497</v>
      </c>
      <c r="Z124" s="33" t="n">
        <v>1512</v>
      </c>
      <c r="AA124" s="33" t="n">
        <v>1498</v>
      </c>
      <c r="AB124" s="33" t="n">
        <v>1489.5</v>
      </c>
      <c r="AC124" s="33" t="n">
        <v>1528</v>
      </c>
      <c r="AD124" s="33" t="n">
        <v>1661</v>
      </c>
      <c r="AE124" s="33" t="n">
        <v>1663</v>
      </c>
      <c r="AF124" s="33" t="n">
        <v>1650</v>
      </c>
      <c r="AG124" s="33" t="n">
        <v>1646.5</v>
      </c>
      <c r="AH124" s="33" t="n">
        <v>1699</v>
      </c>
      <c r="AI124" s="33" t="n">
        <v>1674.5</v>
      </c>
      <c r="AJ124" s="33" t="n">
        <v>1687</v>
      </c>
      <c r="AK124" s="33" t="n">
        <v>1702.5</v>
      </c>
      <c r="AL124" s="33" t="n">
        <v>1681.5</v>
      </c>
      <c r="AM124" s="33" t="n">
        <v>1696</v>
      </c>
      <c r="AN124" s="33" t="n">
        <v>1716</v>
      </c>
      <c r="AO124" s="33" t="n">
        <v>1710</v>
      </c>
      <c r="AP124" s="33" t="n">
        <v>1741.5</v>
      </c>
      <c r="AQ124" s="33" t="n">
        <v>1745.5</v>
      </c>
      <c r="AR124" s="33" t="n">
        <v>1728</v>
      </c>
      <c r="AS124" s="33" t="n">
        <v>1747.5</v>
      </c>
      <c r="AT124" s="33" t="n">
        <v>1773.5</v>
      </c>
      <c r="AU124" s="33" t="n">
        <v>1747</v>
      </c>
      <c r="AV124" s="33" t="n">
        <v>1700</v>
      </c>
      <c r="AW124" s="33" t="n">
        <v>1710</v>
      </c>
      <c r="AX124" s="33" t="n">
        <v>1720</v>
      </c>
      <c r="AY124" s="33" t="n">
        <v>1725</v>
      </c>
      <c r="AZ124" s="33" t="n">
        <v>1657</v>
      </c>
      <c r="BA124" s="33" t="n">
        <v>1650</v>
      </c>
      <c r="BB124" s="33" t="n">
        <v>1681.5</v>
      </c>
      <c r="BC124" s="33" t="n">
        <v>1678</v>
      </c>
      <c r="BD124" s="33" t="n">
        <v>1688</v>
      </c>
      <c r="BE124" s="33" t="n">
        <v>1633</v>
      </c>
      <c r="BF124" s="33" t="n">
        <v>1621</v>
      </c>
      <c r="BG124" s="33" t="n">
        <v>1696.5</v>
      </c>
      <c r="BH124" s="33" t="n">
        <v>1721</v>
      </c>
      <c r="BI124" s="33" t="n">
        <v>1748</v>
      </c>
      <c r="BJ124" s="33" t="n">
        <v>1716</v>
      </c>
      <c r="BK124" s="33" t="n">
        <v>1677</v>
      </c>
      <c r="BL124" s="33" t="n">
        <v>1806.5</v>
      </c>
    </row>
    <row r="125" ht="15.95" customHeight="1" s="574">
      <c r="A125" s="68" t="inlineStr">
        <is>
          <t>8934</t>
        </is>
      </c>
      <c r="B125" s="44" t="inlineStr">
        <is>
          <t>サンフロンティア不動産</t>
        </is>
      </c>
      <c r="C125" s="669">
        <f>_xll.RssMarket("8934","安値")</f>
        <v/>
      </c>
      <c r="D125" s="661">
        <f>C125-E125</f>
        <v/>
      </c>
      <c r="E125" s="33" t="n">
        <v>2329</v>
      </c>
      <c r="F125" s="33" t="n">
        <v>2330</v>
      </c>
      <c r="G125" s="33" t="n">
        <v>2325</v>
      </c>
      <c r="H125" s="33" t="n">
        <v>2353</v>
      </c>
      <c r="I125" s="33" t="n">
        <v>2352</v>
      </c>
      <c r="J125" s="33" t="n">
        <v>2383</v>
      </c>
      <c r="K125" s="33" t="n">
        <v>2349</v>
      </c>
      <c r="L125" s="33" t="n">
        <v>2326</v>
      </c>
      <c r="M125" s="33" t="n">
        <v>2375</v>
      </c>
      <c r="N125" s="33" t="n">
        <v>2288</v>
      </c>
      <c r="O125" s="33" t="n">
        <v>2297</v>
      </c>
      <c r="P125" s="33" t="n">
        <v>2245</v>
      </c>
      <c r="Q125" s="33" t="n">
        <v>2251</v>
      </c>
      <c r="R125" s="33" t="n">
        <v>2195</v>
      </c>
      <c r="S125" s="33" t="n">
        <v>2360</v>
      </c>
      <c r="T125" s="33" t="n">
        <v>2321</v>
      </c>
      <c r="U125" s="33" t="n">
        <v>2320</v>
      </c>
      <c r="V125" s="33" t="n">
        <v>2339</v>
      </c>
      <c r="W125" s="33" t="n">
        <v>2320</v>
      </c>
      <c r="X125" s="33" t="n">
        <v>2372</v>
      </c>
      <c r="Y125" s="33" t="n">
        <v>2330</v>
      </c>
      <c r="Z125" s="33" t="n">
        <v>2412</v>
      </c>
      <c r="AA125" s="33" t="n">
        <v>2390</v>
      </c>
      <c r="AB125" s="33" t="n">
        <v>2443</v>
      </c>
      <c r="AC125" s="33" t="n">
        <v>2413</v>
      </c>
      <c r="AD125" s="33" t="n">
        <v>2407</v>
      </c>
      <c r="AE125" s="33" t="n">
        <v>2539</v>
      </c>
      <c r="AF125" s="33" t="n">
        <v>2560</v>
      </c>
      <c r="AG125" s="33" t="n">
        <v>2621</v>
      </c>
      <c r="AH125" s="33" t="n">
        <v>2634</v>
      </c>
      <c r="AI125" s="33" t="n">
        <v>2675</v>
      </c>
      <c r="AJ125" s="33" t="n">
        <v>2620</v>
      </c>
      <c r="AK125" s="33" t="n">
        <v>2612</v>
      </c>
      <c r="AL125" s="33" t="n">
        <v>2626</v>
      </c>
      <c r="AM125" s="33" t="n">
        <v>2660</v>
      </c>
      <c r="AN125" s="33" t="n">
        <v>2710</v>
      </c>
      <c r="AO125" s="33" t="n">
        <v>2736</v>
      </c>
      <c r="AP125" s="33" t="n">
        <v>2729</v>
      </c>
      <c r="AQ125" s="33" t="n">
        <v>2785</v>
      </c>
      <c r="AR125" s="33" t="n">
        <v>2790</v>
      </c>
      <c r="AS125" s="33" t="n">
        <v>2815</v>
      </c>
      <c r="AT125" s="33" t="n">
        <v>2814</v>
      </c>
      <c r="AU125" s="33" t="n">
        <v>2810</v>
      </c>
      <c r="AV125" s="33" t="n">
        <v>2766</v>
      </c>
      <c r="AW125" s="33" t="n">
        <v>2737</v>
      </c>
      <c r="AX125" s="33" t="n">
        <v>2726</v>
      </c>
      <c r="AY125" s="33" t="n">
        <v>2690</v>
      </c>
      <c r="AZ125" s="33" t="n">
        <v>2690</v>
      </c>
      <c r="BA125" s="33" t="n">
        <v>2669</v>
      </c>
      <c r="BB125" s="33" t="n">
        <v>2670</v>
      </c>
      <c r="BC125" s="33" t="n">
        <v>2651</v>
      </c>
      <c r="BD125" s="33" t="n">
        <v>2626</v>
      </c>
      <c r="BE125" s="33" t="n">
        <v>2617</v>
      </c>
      <c r="BF125" s="33" t="n">
        <v>2679</v>
      </c>
      <c r="BG125" s="33" t="n">
        <v>2659</v>
      </c>
      <c r="BH125" s="33" t="n">
        <v>2681</v>
      </c>
      <c r="BI125" s="33" t="n">
        <v>2642</v>
      </c>
      <c r="BJ125" s="33" t="n">
        <v>2648</v>
      </c>
      <c r="BK125" s="33" t="n">
        <v>2700</v>
      </c>
      <c r="BL125" s="33" t="n">
        <v>2703</v>
      </c>
    </row>
    <row r="126" ht="15.95" customHeight="1" s="574">
      <c r="A126" s="68" t="inlineStr">
        <is>
          <t>9416</t>
        </is>
      </c>
      <c r="B126" s="44" t="inlineStr">
        <is>
          <t>ビジョン</t>
        </is>
      </c>
      <c r="C126" s="669">
        <f>_xll.RssMarket("9416","安値")</f>
        <v/>
      </c>
      <c r="D126" s="661">
        <f>C126-E126</f>
        <v/>
      </c>
      <c r="E126" s="33" t="n">
        <v>1006</v>
      </c>
      <c r="F126" s="33" t="n">
        <v>1021</v>
      </c>
      <c r="G126" s="33" t="n">
        <v>1017</v>
      </c>
      <c r="H126" s="33" t="n">
        <v>1012</v>
      </c>
      <c r="I126" s="33" t="n">
        <v>1009</v>
      </c>
      <c r="J126" s="33" t="n">
        <v>1013</v>
      </c>
      <c r="K126" s="33" t="n">
        <v>1001</v>
      </c>
      <c r="L126" s="33" t="n">
        <v>1005</v>
      </c>
      <c r="M126" s="33" t="n">
        <v>1020</v>
      </c>
      <c r="N126" s="33" t="n">
        <v>1010</v>
      </c>
      <c r="O126" s="33" t="n">
        <v>1002</v>
      </c>
      <c r="P126" s="33" t="n">
        <v>1007</v>
      </c>
      <c r="Q126" s="33" t="n">
        <v>1056</v>
      </c>
      <c r="R126" s="33" t="n">
        <v>1044</v>
      </c>
      <c r="S126" s="33" t="n">
        <v>1046</v>
      </c>
      <c r="T126" s="33" t="n">
        <v>1060</v>
      </c>
      <c r="U126" s="33" t="n">
        <v>1008</v>
      </c>
      <c r="V126" s="33" t="n">
        <v>1015</v>
      </c>
      <c r="W126" s="33" t="n">
        <v>1000</v>
      </c>
      <c r="X126" s="33" t="n">
        <v>1004</v>
      </c>
      <c r="Y126" s="33" t="n">
        <v>1000</v>
      </c>
      <c r="Z126" s="33" t="n">
        <v>994</v>
      </c>
      <c r="AA126" s="33" t="n">
        <v>1091</v>
      </c>
      <c r="AB126" s="33" t="n">
        <v>1089</v>
      </c>
      <c r="AC126" s="33" t="n">
        <v>1094</v>
      </c>
      <c r="AD126" s="33" t="n">
        <v>1105</v>
      </c>
      <c r="AE126" s="33" t="n">
        <v>1104</v>
      </c>
      <c r="AF126" s="33" t="n">
        <v>1100</v>
      </c>
      <c r="AG126" s="33" t="n">
        <v>1085</v>
      </c>
      <c r="AH126" s="33" t="n">
        <v>1083</v>
      </c>
      <c r="AI126" s="33" t="n">
        <v>1093</v>
      </c>
      <c r="AJ126" s="33" t="n">
        <v>1082</v>
      </c>
      <c r="AK126" s="33" t="n">
        <v>1075</v>
      </c>
      <c r="AL126" s="33" t="n">
        <v>1100</v>
      </c>
      <c r="AM126" s="33" t="n">
        <v>1114</v>
      </c>
      <c r="AN126" s="33" t="n">
        <v>1140</v>
      </c>
      <c r="AO126" s="33" t="n">
        <v>1155</v>
      </c>
      <c r="AP126" s="33" t="n">
        <v>1179</v>
      </c>
      <c r="AQ126" s="33" t="n">
        <v>1190</v>
      </c>
      <c r="AR126" s="33" t="n">
        <v>1194</v>
      </c>
      <c r="AS126" s="33" t="n">
        <v>1186</v>
      </c>
      <c r="AT126" s="33" t="n">
        <v>1185</v>
      </c>
      <c r="AU126" s="33" t="n">
        <v>1193</v>
      </c>
      <c r="AV126" s="33" t="n">
        <v>1188</v>
      </c>
      <c r="AW126" s="33" t="n">
        <v>1198</v>
      </c>
      <c r="AX126" s="33" t="n">
        <v>1172</v>
      </c>
      <c r="AY126" s="33" t="n">
        <v>1166</v>
      </c>
      <c r="AZ126" s="33" t="n">
        <v>1153</v>
      </c>
      <c r="BA126" s="33" t="n">
        <v>1147</v>
      </c>
      <c r="BB126" s="33" t="n">
        <v>1138</v>
      </c>
      <c r="BC126" s="33" t="n">
        <v>1130</v>
      </c>
      <c r="BD126" s="33" t="n">
        <v>1130</v>
      </c>
      <c r="BE126" s="33" t="n">
        <v>1150</v>
      </c>
      <c r="BF126" s="33" t="n">
        <v>1142</v>
      </c>
      <c r="BG126" s="33" t="n">
        <v>1152</v>
      </c>
      <c r="BH126" s="33" t="n">
        <v>1128</v>
      </c>
      <c r="BI126" s="33" t="n">
        <v>1100</v>
      </c>
      <c r="BJ126" s="33" t="n">
        <v>1144</v>
      </c>
      <c r="BK126" s="33" t="n">
        <v>1167</v>
      </c>
      <c r="BL126" s="33" t="n">
        <v>1170</v>
      </c>
    </row>
    <row r="127" ht="15.95" customHeight="1" s="574">
      <c r="A127" s="68" t="inlineStr">
        <is>
          <t>9532</t>
        </is>
      </c>
      <c r="B127" s="44" t="inlineStr">
        <is>
          <t>大阪瓦斯</t>
        </is>
      </c>
      <c r="C127" s="669">
        <f>_xll.RssMarket("9532","安値")</f>
        <v/>
      </c>
      <c r="D127" s="661">
        <f>C127-E127</f>
        <v/>
      </c>
      <c r="E127" s="33" t="n">
        <v>5374</v>
      </c>
      <c r="F127" s="33" t="n">
        <v>5304</v>
      </c>
      <c r="G127" s="33" t="n">
        <v>5422</v>
      </c>
      <c r="H127" s="33" t="n">
        <v>5420</v>
      </c>
      <c r="I127" s="33" t="n">
        <v>5450</v>
      </c>
      <c r="J127" s="33" t="n">
        <v>5493</v>
      </c>
      <c r="K127" s="33" t="n">
        <v>5589</v>
      </c>
      <c r="L127" s="33" t="n">
        <v>5497</v>
      </c>
      <c r="M127" s="33" t="n">
        <v>5476</v>
      </c>
      <c r="N127" s="33" t="n">
        <v>5421</v>
      </c>
      <c r="O127" s="33" t="n">
        <v>5454</v>
      </c>
      <c r="P127" s="33" t="n">
        <v>5410</v>
      </c>
      <c r="Q127" s="33" t="n">
        <v>5475</v>
      </c>
      <c r="R127" s="33" t="n">
        <v>5241</v>
      </c>
      <c r="S127" s="33" t="n">
        <v>5270</v>
      </c>
      <c r="T127" s="33" t="n">
        <v>5362</v>
      </c>
      <c r="U127" s="33" t="n">
        <v>5455</v>
      </c>
      <c r="V127" s="33" t="n">
        <v>5556</v>
      </c>
      <c r="W127" s="33" t="n">
        <v>5601</v>
      </c>
      <c r="X127" s="33" t="n">
        <v>5659</v>
      </c>
      <c r="Y127" s="33" t="n">
        <v>5705</v>
      </c>
      <c r="Z127" s="33" t="n">
        <v>5726</v>
      </c>
      <c r="AA127" s="33" t="n">
        <v>5570</v>
      </c>
      <c r="AB127" s="33" t="n">
        <v>5654</v>
      </c>
      <c r="AC127" s="33" t="n">
        <v>5696</v>
      </c>
      <c r="AD127" s="33" t="n">
        <v>5677</v>
      </c>
      <c r="AE127" s="33" t="n">
        <v>5594</v>
      </c>
      <c r="AF127" s="33" t="n">
        <v>5560</v>
      </c>
      <c r="AG127" s="33" t="n">
        <v>5540</v>
      </c>
      <c r="AH127" s="33" t="n">
        <v>5650</v>
      </c>
      <c r="AI127" s="33" t="n">
        <v>5626</v>
      </c>
      <c r="AJ127" s="33" t="n">
        <v>5590</v>
      </c>
      <c r="AK127" s="33" t="n">
        <v>5803</v>
      </c>
      <c r="AL127" s="33" t="n">
        <v>5766</v>
      </c>
      <c r="AM127" s="33" t="n">
        <v>5795</v>
      </c>
      <c r="AN127" s="33" t="n">
        <v>5745</v>
      </c>
      <c r="AO127" s="33" t="n">
        <v>5815</v>
      </c>
      <c r="AP127" s="33" t="n">
        <v>5927</v>
      </c>
      <c r="AQ127" s="33" t="n">
        <v>5958</v>
      </c>
      <c r="AR127" s="33" t="n">
        <v>6105</v>
      </c>
      <c r="AS127" s="33" t="n">
        <v>6142</v>
      </c>
      <c r="AT127" s="33" t="n">
        <v>6179</v>
      </c>
      <c r="AU127" s="33" t="n">
        <v>6192</v>
      </c>
      <c r="AV127" s="33" t="n">
        <v>6218</v>
      </c>
      <c r="AW127" s="33" t="n">
        <v>6448</v>
      </c>
      <c r="AX127" s="33" t="n">
        <v>6411</v>
      </c>
      <c r="AY127" s="33" t="n">
        <v>6484</v>
      </c>
      <c r="AZ127" s="33" t="n">
        <v>6426</v>
      </c>
      <c r="BA127" s="33" t="n">
        <v>6438</v>
      </c>
      <c r="BB127" s="33" t="n">
        <v>6428</v>
      </c>
      <c r="BC127" s="33" t="n">
        <v>6370</v>
      </c>
      <c r="BD127" s="33" t="n">
        <v>6462</v>
      </c>
      <c r="BE127" s="33" t="n">
        <v>6353</v>
      </c>
      <c r="BF127" s="33" t="n">
        <v>6225</v>
      </c>
      <c r="BG127" s="33" t="n">
        <v>6343</v>
      </c>
      <c r="BH127" s="33" t="n">
        <v>6359</v>
      </c>
      <c r="BI127" s="33" t="n">
        <v>6374</v>
      </c>
      <c r="BJ127" s="33" t="n">
        <v>6114</v>
      </c>
      <c r="BK127" s="33" t="n">
        <v>6058</v>
      </c>
      <c r="BL127" s="33" t="n">
        <v>6376</v>
      </c>
    </row>
    <row r="128" ht="15.95" customHeight="1" s="574">
      <c r="A128" s="68" t="inlineStr">
        <is>
          <t>6330</t>
        </is>
      </c>
      <c r="B128" s="44" t="inlineStr">
        <is>
          <t>東洋エンジニア</t>
        </is>
      </c>
      <c r="C128" s="669">
        <f>_xll.RssMarket("6330","安値")</f>
        <v/>
      </c>
      <c r="D128" s="661">
        <f>C128-E128</f>
        <v/>
      </c>
      <c r="E128" s="33" t="n">
        <v>2004</v>
      </c>
      <c r="F128" s="33" t="n">
        <v>2037</v>
      </c>
      <c r="G128" s="33" t="n">
        <v>2107</v>
      </c>
      <c r="H128" s="33" t="n">
        <v>2091</v>
      </c>
      <c r="I128" s="33" t="n">
        <v>1985</v>
      </c>
      <c r="J128" s="33" t="n">
        <v>1987</v>
      </c>
      <c r="K128" s="33" t="n">
        <v>1844</v>
      </c>
      <c r="L128" s="33" t="n">
        <v>1790</v>
      </c>
      <c r="M128" s="33" t="n">
        <v>1878</v>
      </c>
      <c r="N128" s="33" t="n">
        <v>1960</v>
      </c>
      <c r="O128" s="33" t="n">
        <v>1940</v>
      </c>
      <c r="P128" s="33" t="n">
        <v>1946</v>
      </c>
      <c r="Q128" s="33" t="n">
        <v>1864</v>
      </c>
      <c r="R128" s="33" t="n">
        <v>1830</v>
      </c>
      <c r="S128" s="33" t="n">
        <v>2009</v>
      </c>
      <c r="T128" s="33" t="n">
        <v>2056</v>
      </c>
      <c r="U128" s="33" t="n">
        <v>2072</v>
      </c>
      <c r="V128" s="33" t="n">
        <v>2127</v>
      </c>
      <c r="W128" s="33" t="n">
        <v>2004</v>
      </c>
      <c r="X128" s="33" t="n">
        <v>1990</v>
      </c>
      <c r="Y128" s="33" t="n">
        <v>1966</v>
      </c>
      <c r="Z128" s="33" t="n">
        <v>2064</v>
      </c>
      <c r="AA128" s="33" t="n">
        <v>2014</v>
      </c>
      <c r="AB128" s="33" t="n">
        <v>2020</v>
      </c>
      <c r="AC128" s="33" t="n">
        <v>2085</v>
      </c>
      <c r="AD128" s="33" t="n">
        <v>2133</v>
      </c>
      <c r="AE128" s="33" t="n">
        <v>2158</v>
      </c>
      <c r="AF128" s="33" t="n">
        <v>2220</v>
      </c>
      <c r="AG128" s="33" t="n">
        <v>2237</v>
      </c>
      <c r="AH128" s="33" t="n">
        <v>2266</v>
      </c>
      <c r="AI128" s="33" t="n">
        <v>2254</v>
      </c>
      <c r="AJ128" s="33" t="n">
        <v>2266</v>
      </c>
      <c r="AK128" s="33" t="n">
        <v>2300</v>
      </c>
      <c r="AL128" s="33" t="n">
        <v>2270</v>
      </c>
      <c r="AM128" s="33" t="n">
        <v>2329</v>
      </c>
      <c r="AN128" s="33" t="n">
        <v>2348</v>
      </c>
      <c r="AO128" s="33" t="n">
        <v>2424</v>
      </c>
      <c r="AP128" s="33" t="n">
        <v>2533</v>
      </c>
      <c r="AQ128" s="33" t="n">
        <v>2551</v>
      </c>
      <c r="AR128" s="33" t="n">
        <v>2455</v>
      </c>
      <c r="AS128" s="33" t="n">
        <v>2348</v>
      </c>
      <c r="AT128" s="33" t="n">
        <v>2281</v>
      </c>
      <c r="AU128" s="33" t="n">
        <v>2161</v>
      </c>
      <c r="AV128" s="33" t="n">
        <v>2265</v>
      </c>
      <c r="AW128" s="33" t="n">
        <v>2281</v>
      </c>
      <c r="AX128" s="33" t="n">
        <v>2281</v>
      </c>
      <c r="AY128" s="33" t="n">
        <v>2250</v>
      </c>
      <c r="AZ128" s="33" t="n">
        <v>2065</v>
      </c>
      <c r="BA128" s="33" t="n">
        <v>2165</v>
      </c>
      <c r="BB128" s="33" t="n">
        <v>2285</v>
      </c>
      <c r="BC128" s="33" t="n">
        <v>2548</v>
      </c>
      <c r="BD128" s="33" t="n">
        <v>2628</v>
      </c>
      <c r="BE128" s="33" t="n">
        <v>2570</v>
      </c>
      <c r="BF128" s="33" t="n">
        <v>2543</v>
      </c>
      <c r="BG128" s="33" t="n">
        <v>2574</v>
      </c>
      <c r="BH128" s="33" t="n">
        <v>2632</v>
      </c>
      <c r="BI128" s="33" t="n">
        <v>2501</v>
      </c>
      <c r="BJ128" s="33" t="n">
        <v>2450</v>
      </c>
      <c r="BK128" s="33" t="n">
        <v>2910</v>
      </c>
      <c r="BL128" s="33" t="n">
        <v>3265</v>
      </c>
    </row>
    <row r="129" ht="15.95" customHeight="1" s="574">
      <c r="A129" s="68" t="inlineStr">
        <is>
          <t>4082</t>
        </is>
      </c>
      <c r="B129" s="44" t="inlineStr">
        <is>
          <t>第一稀元素化学工</t>
        </is>
      </c>
      <c r="C129" s="669">
        <f>_xll.RssMarket("4082","安値")</f>
        <v/>
      </c>
      <c r="D129" s="661">
        <f>C129-E129</f>
        <v/>
      </c>
      <c r="E129" s="33" t="n">
        <v>2050</v>
      </c>
      <c r="F129" s="33" t="n">
        <v>2008</v>
      </c>
      <c r="G129" s="33" t="n">
        <v>1996</v>
      </c>
      <c r="H129" s="33" t="n">
        <v>1941</v>
      </c>
      <c r="I129" s="33" t="n">
        <v>1919</v>
      </c>
      <c r="J129" s="33" t="n">
        <v>1936</v>
      </c>
      <c r="K129" s="33" t="n">
        <v>1839</v>
      </c>
      <c r="L129" s="33" t="n">
        <v>1765</v>
      </c>
      <c r="M129" s="33" t="n">
        <v>1815</v>
      </c>
      <c r="N129" s="33" t="n">
        <v>1928</v>
      </c>
      <c r="O129" s="33" t="n">
        <v>2041</v>
      </c>
      <c r="P129" s="33" t="n">
        <v>2089</v>
      </c>
      <c r="Q129" s="33" t="n">
        <v>2135</v>
      </c>
      <c r="R129" s="33" t="n">
        <v>2087</v>
      </c>
      <c r="S129" s="33" t="n">
        <v>2236</v>
      </c>
      <c r="T129" s="33" t="n">
        <v>2150</v>
      </c>
      <c r="U129" s="33" t="n">
        <v>2153</v>
      </c>
      <c r="V129" s="33" t="n">
        <v>2016</v>
      </c>
      <c r="W129" s="33" t="n">
        <v>1975</v>
      </c>
      <c r="X129" s="33" t="n">
        <v>1935</v>
      </c>
      <c r="Y129" s="33" t="n">
        <v>1927</v>
      </c>
      <c r="Z129" s="33" t="n">
        <v>2133</v>
      </c>
      <c r="AA129" s="33" t="n">
        <v>2105</v>
      </c>
      <c r="AB129" s="33" t="n">
        <v>2111</v>
      </c>
      <c r="AC129" s="33" t="n">
        <v>2480</v>
      </c>
      <c r="AD129" s="33" t="n">
        <v>2583</v>
      </c>
      <c r="AE129" s="33" t="n">
        <v>2520</v>
      </c>
      <c r="AF129" s="33" t="n">
        <v>2484</v>
      </c>
      <c r="AG129" s="33" t="n">
        <v>2388</v>
      </c>
      <c r="AH129" s="33" t="n">
        <v>2338</v>
      </c>
      <c r="AI129" s="33" t="n">
        <v>2239</v>
      </c>
      <c r="AJ129" s="33" t="n">
        <v>2285</v>
      </c>
      <c r="AK129" s="33" t="n">
        <v>2241</v>
      </c>
      <c r="AL129" s="33" t="n">
        <v>2227</v>
      </c>
      <c r="AM129" s="33" t="n">
        <v>2290</v>
      </c>
      <c r="AN129" s="33" t="n">
        <v>2251</v>
      </c>
      <c r="AO129" s="33" t="n">
        <v>2305</v>
      </c>
      <c r="AP129" s="33" t="n">
        <v>2341</v>
      </c>
      <c r="AQ129" s="33" t="n">
        <v>2314</v>
      </c>
      <c r="AR129" s="33" t="n">
        <v>2202</v>
      </c>
      <c r="AS129" s="33" t="n">
        <v>2140</v>
      </c>
      <c r="AT129" s="33" t="n">
        <v>2072</v>
      </c>
      <c r="AU129" s="33" t="n">
        <v>2046</v>
      </c>
      <c r="AV129" s="33" t="n">
        <v>2031</v>
      </c>
      <c r="AW129" s="33" t="n">
        <v>2065</v>
      </c>
      <c r="AX129" s="33" t="n">
        <v>2105</v>
      </c>
      <c r="AY129" s="33" t="n">
        <v>2120</v>
      </c>
      <c r="AZ129" s="33" t="n">
        <v>2051</v>
      </c>
      <c r="BA129" s="33" t="n">
        <v>2033</v>
      </c>
      <c r="BB129" s="33" t="n">
        <v>2021</v>
      </c>
      <c r="BC129" s="33" t="n">
        <v>2239</v>
      </c>
      <c r="BD129" s="33" t="n">
        <v>2295</v>
      </c>
      <c r="BE129" s="33" t="n">
        <v>2299</v>
      </c>
      <c r="BF129" s="33" t="n">
        <v>2303</v>
      </c>
      <c r="BG129" s="33" t="n">
        <v>2320</v>
      </c>
      <c r="BH129" s="33" t="n">
        <v>2340</v>
      </c>
      <c r="BI129" s="33" t="n">
        <v>2357</v>
      </c>
      <c r="BJ129" s="33" t="n">
        <v>2262</v>
      </c>
      <c r="BK129" s="33" t="n">
        <v>2300</v>
      </c>
      <c r="BL129" s="33" t="n">
        <v>2510</v>
      </c>
    </row>
    <row r="130" ht="15.95" customHeight="1" s="574">
      <c r="A130" s="68" t="inlineStr">
        <is>
          <t>4519</t>
        </is>
      </c>
      <c r="B130" s="44" t="inlineStr">
        <is>
          <t>中外製薬</t>
        </is>
      </c>
      <c r="C130" s="669">
        <f>_xll.RssMarket("4519","安値")</f>
        <v/>
      </c>
      <c r="D130" s="661">
        <f>C130-E130</f>
        <v/>
      </c>
      <c r="E130" s="33" t="n">
        <v>7442</v>
      </c>
      <c r="F130" s="33" t="n">
        <v>7386</v>
      </c>
      <c r="G130" s="33" t="n">
        <v>7480</v>
      </c>
      <c r="H130" s="33" t="n">
        <v>7532</v>
      </c>
      <c r="I130" s="33" t="n">
        <v>7442</v>
      </c>
      <c r="J130" s="33" t="n">
        <v>7376</v>
      </c>
      <c r="K130" s="33" t="n">
        <v>7390</v>
      </c>
      <c r="L130" s="33" t="n">
        <v>7270</v>
      </c>
      <c r="M130" s="33" t="n">
        <v>7331</v>
      </c>
      <c r="N130" s="33" t="n">
        <v>7430</v>
      </c>
      <c r="O130" s="33" t="n">
        <v>7504</v>
      </c>
      <c r="P130" s="33" t="n">
        <v>7357</v>
      </c>
      <c r="Q130" s="33" t="n">
        <v>7387</v>
      </c>
      <c r="R130" s="33" t="n">
        <v>7488</v>
      </c>
      <c r="S130" s="33" t="n">
        <v>7677</v>
      </c>
      <c r="T130" s="33" t="n">
        <v>7726</v>
      </c>
      <c r="U130" s="33" t="n">
        <v>7625</v>
      </c>
      <c r="V130" s="33" t="n">
        <v>8003</v>
      </c>
      <c r="W130" s="33" t="n">
        <v>7795</v>
      </c>
      <c r="X130" s="33" t="n">
        <v>7815</v>
      </c>
      <c r="Y130" s="33" t="n">
        <v>7864</v>
      </c>
      <c r="Z130" s="33" t="n">
        <v>7843</v>
      </c>
      <c r="AA130" s="33" t="n">
        <v>7787</v>
      </c>
      <c r="AB130" s="33" t="n">
        <v>7925</v>
      </c>
      <c r="AC130" s="33" t="n">
        <v>7777</v>
      </c>
      <c r="AD130" s="33" t="n">
        <v>7691</v>
      </c>
      <c r="AE130" s="33" t="n">
        <v>7752</v>
      </c>
      <c r="AF130" s="33" t="n">
        <v>7740</v>
      </c>
      <c r="AG130" s="33" t="n">
        <v>7865</v>
      </c>
      <c r="AH130" s="33" t="n">
        <v>7727</v>
      </c>
      <c r="AI130" s="33" t="n">
        <v>8245</v>
      </c>
      <c r="AJ130" s="33" t="n">
        <v>7833</v>
      </c>
      <c r="AK130" s="33" t="n">
        <v>7570</v>
      </c>
      <c r="AL130" s="33" t="n">
        <v>7402</v>
      </c>
      <c r="AM130" s="33" t="n">
        <v>8702</v>
      </c>
      <c r="AN130" s="33" t="n">
        <v>8681</v>
      </c>
      <c r="AO130" s="33" t="n">
        <v>8663</v>
      </c>
      <c r="AP130" s="33" t="n">
        <v>8467</v>
      </c>
      <c r="AQ130" s="33" t="n">
        <v>8580</v>
      </c>
      <c r="AR130" s="33" t="n">
        <v>8306</v>
      </c>
      <c r="AS130" s="33" t="n">
        <v>8583</v>
      </c>
      <c r="AT130" s="33" t="n">
        <v>8511</v>
      </c>
      <c r="AU130" s="33" t="n">
        <v>8425</v>
      </c>
      <c r="AV130" s="33" t="n">
        <v>8512</v>
      </c>
      <c r="AW130" s="33" t="n">
        <v>8538</v>
      </c>
      <c r="AX130" s="33" t="n">
        <v>8775</v>
      </c>
      <c r="AY130" s="33" t="n">
        <v>8780</v>
      </c>
      <c r="AZ130" s="33" t="n">
        <v>8680</v>
      </c>
      <c r="BA130" s="33" t="n">
        <v>8722</v>
      </c>
      <c r="BB130" s="33" t="n">
        <v>8735</v>
      </c>
      <c r="BC130" s="33" t="n">
        <v>8973</v>
      </c>
      <c r="BD130" s="33" t="n">
        <v>8820</v>
      </c>
      <c r="BE130" s="33" t="n">
        <v>8415</v>
      </c>
      <c r="BF130" s="33" t="n">
        <v>8240</v>
      </c>
      <c r="BG130" s="33" t="n">
        <v>8344</v>
      </c>
      <c r="BH130" s="33" t="n">
        <v>8359</v>
      </c>
      <c r="BI130" s="33" t="n">
        <v>8387</v>
      </c>
      <c r="BJ130" s="33" t="n">
        <v>8046</v>
      </c>
      <c r="BK130" s="33" t="n">
        <v>7946</v>
      </c>
      <c r="BL130" s="33" t="n">
        <v>8609</v>
      </c>
    </row>
    <row r="131" ht="15.95" customHeight="1" s="574">
      <c r="A131" s="68" t="inlineStr">
        <is>
          <t>2160</t>
        </is>
      </c>
      <c r="B131" s="44" t="inlineStr">
        <is>
          <t>ジーエヌアイグループ</t>
        </is>
      </c>
      <c r="C131" s="669">
        <f>_xll.RssMarket("2160","安値")</f>
        <v/>
      </c>
      <c r="D131" s="661">
        <f>C131-E131</f>
        <v/>
      </c>
      <c r="E131" s="33" t="n">
        <v>2464</v>
      </c>
      <c r="F131" s="33" t="n">
        <v>2481</v>
      </c>
      <c r="G131" s="33" t="n">
        <v>2557</v>
      </c>
      <c r="H131" s="33" t="n">
        <v>2500</v>
      </c>
      <c r="I131" s="33" t="n">
        <v>2428</v>
      </c>
      <c r="J131" s="33" t="n">
        <v>2463</v>
      </c>
      <c r="K131" s="33" t="n">
        <v>2482</v>
      </c>
      <c r="L131" s="33" t="n">
        <v>2589</v>
      </c>
      <c r="M131" s="33" t="n">
        <v>2661</v>
      </c>
      <c r="N131" s="33" t="n">
        <v>2763</v>
      </c>
      <c r="O131" s="33" t="n">
        <v>2779</v>
      </c>
      <c r="P131" s="33" t="n">
        <v>2600</v>
      </c>
      <c r="Q131" s="33" t="n">
        <v>2477</v>
      </c>
      <c r="R131" s="33" t="n">
        <v>2501</v>
      </c>
      <c r="S131" s="33" t="n">
        <v>2533</v>
      </c>
      <c r="T131" s="33" t="n">
        <v>2495</v>
      </c>
      <c r="U131" s="33" t="n">
        <v>2631</v>
      </c>
      <c r="V131" s="33" t="n">
        <v>2784</v>
      </c>
      <c r="W131" s="33" t="n">
        <v>2813</v>
      </c>
      <c r="X131" s="33" t="n">
        <v>2779</v>
      </c>
      <c r="Y131" s="33" t="n">
        <v>2706</v>
      </c>
      <c r="Z131" s="33" t="n">
        <v>2673</v>
      </c>
      <c r="AA131" s="33" t="n">
        <v>2668</v>
      </c>
      <c r="AB131" s="33" t="n">
        <v>2905</v>
      </c>
      <c r="AC131" s="33" t="n">
        <v>3005</v>
      </c>
      <c r="AD131" s="33" t="n">
        <v>3105</v>
      </c>
      <c r="AE131" s="33" t="n">
        <v>2953</v>
      </c>
      <c r="AF131" s="33" t="n">
        <v>2955</v>
      </c>
      <c r="AG131" s="33" t="n">
        <v>2962</v>
      </c>
      <c r="AH131" s="33" t="n">
        <v>3055</v>
      </c>
      <c r="AI131" s="33" t="n">
        <v>2952</v>
      </c>
      <c r="AJ131" s="33" t="n">
        <v>2920</v>
      </c>
      <c r="AK131" s="33" t="n">
        <v>3100</v>
      </c>
      <c r="AL131" s="33" t="n">
        <v>3090</v>
      </c>
      <c r="AM131" s="33" t="n">
        <v>3060</v>
      </c>
      <c r="AN131" s="33" t="n">
        <v>3110</v>
      </c>
      <c r="AO131" s="33" t="n">
        <v>3260</v>
      </c>
      <c r="AP131" s="33" t="n">
        <v>3380</v>
      </c>
      <c r="AQ131" s="33" t="n">
        <v>3355</v>
      </c>
      <c r="AR131" s="33" t="n">
        <v>3290</v>
      </c>
      <c r="AS131" s="33" t="n">
        <v>3340</v>
      </c>
      <c r="AT131" s="33" t="n">
        <v>3220</v>
      </c>
      <c r="AU131" s="33" t="n">
        <v>3175</v>
      </c>
      <c r="AV131" s="33" t="n">
        <v>3055</v>
      </c>
      <c r="AW131" s="33" t="n">
        <v>3150</v>
      </c>
      <c r="AX131" s="33" t="n">
        <v>3090</v>
      </c>
      <c r="AY131" s="33" t="n">
        <v>3195</v>
      </c>
      <c r="AZ131" s="33" t="n">
        <v>3080</v>
      </c>
      <c r="BA131" s="33" t="n">
        <v>3100</v>
      </c>
      <c r="BB131" s="33" t="n">
        <v>3075</v>
      </c>
      <c r="BC131" s="33" t="n">
        <v>3065</v>
      </c>
      <c r="BD131" s="33" t="n">
        <v>3070</v>
      </c>
      <c r="BE131" s="33" t="n">
        <v>2940</v>
      </c>
      <c r="BF131" s="33" t="n">
        <v>3040</v>
      </c>
      <c r="BG131" s="33" t="n">
        <v>3060</v>
      </c>
      <c r="BH131" s="33" t="n">
        <v>3025</v>
      </c>
      <c r="BI131" s="33" t="n">
        <v>3010</v>
      </c>
      <c r="BJ131" s="33" t="n">
        <v>2834</v>
      </c>
      <c r="BK131" s="33" t="n">
        <v>2625</v>
      </c>
      <c r="BL131" s="33" t="n">
        <v>2821</v>
      </c>
    </row>
    <row r="132" ht="15.95" customHeight="1" s="574">
      <c r="A132" s="68" t="inlineStr">
        <is>
          <t>6227</t>
        </is>
      </c>
      <c r="B132" s="44" t="inlineStr">
        <is>
          <t>ＡＩメカテック</t>
        </is>
      </c>
      <c r="C132" s="669">
        <f>_xll.RssMarket("6227","安値")</f>
        <v/>
      </c>
      <c r="D132" s="661">
        <f>C132-E132</f>
        <v/>
      </c>
      <c r="E132" s="33" t="n">
        <v>7090</v>
      </c>
      <c r="F132" s="33" t="n">
        <v>6880</v>
      </c>
      <c r="G132" s="33" t="n">
        <v>7210</v>
      </c>
      <c r="H132" s="33" t="n">
        <v>7920</v>
      </c>
      <c r="I132" s="33" t="n">
        <v>7730</v>
      </c>
      <c r="J132" s="33" t="n">
        <v>8030</v>
      </c>
      <c r="K132" s="33" t="n">
        <v>6700</v>
      </c>
      <c r="L132" s="33" t="n">
        <v>6400</v>
      </c>
      <c r="M132" s="33" t="n">
        <v>6820</v>
      </c>
      <c r="N132" s="33" t="n">
        <v>6440</v>
      </c>
      <c r="O132" s="33" t="n">
        <v>6200</v>
      </c>
      <c r="P132" s="33" t="n">
        <v>5820</v>
      </c>
      <c r="Q132" s="33" t="n">
        <v>5930</v>
      </c>
      <c r="R132" s="33" t="n">
        <v>5660</v>
      </c>
      <c r="S132" s="33" t="n">
        <v>5380</v>
      </c>
      <c r="T132" s="33" t="n">
        <v>5240</v>
      </c>
      <c r="U132" s="33" t="n">
        <v>5470</v>
      </c>
      <c r="V132" s="33" t="n">
        <v>5800</v>
      </c>
      <c r="W132" s="33" t="n">
        <v>5560</v>
      </c>
      <c r="X132" s="33" t="n">
        <v>6060</v>
      </c>
      <c r="Y132" s="33" t="n">
        <v>6350</v>
      </c>
      <c r="Z132" s="33" t="n">
        <v>6510</v>
      </c>
      <c r="AA132" s="33" t="n">
        <v>6560</v>
      </c>
      <c r="AB132" s="33" t="n">
        <v>6120</v>
      </c>
      <c r="AC132" s="33" t="n">
        <v>6560</v>
      </c>
      <c r="AD132" s="33" t="n">
        <v>6410</v>
      </c>
      <c r="AE132" s="33" t="n">
        <v>6440</v>
      </c>
      <c r="AF132" s="33" t="n">
        <v>6320</v>
      </c>
      <c r="AG132" s="33" t="n">
        <v>6490</v>
      </c>
      <c r="AH132" s="33" t="n">
        <v>6440</v>
      </c>
      <c r="AI132" s="33" t="n">
        <v>6080</v>
      </c>
      <c r="AJ132" s="33" t="n">
        <v>6040</v>
      </c>
      <c r="AK132" s="33" t="n">
        <v>6100</v>
      </c>
      <c r="AL132" s="33" t="n">
        <v>6240</v>
      </c>
      <c r="AM132" s="33" t="n">
        <v>6420</v>
      </c>
      <c r="AN132" s="33" t="n">
        <v>6160</v>
      </c>
      <c r="AO132" s="33" t="n">
        <v>6630</v>
      </c>
      <c r="AP132" s="33" t="n">
        <v>6870</v>
      </c>
      <c r="AQ132" s="33" t="n">
        <v>7470</v>
      </c>
      <c r="AR132" s="33" t="n">
        <v>7800</v>
      </c>
      <c r="AS132" s="33" t="n">
        <v>8020</v>
      </c>
      <c r="AT132" s="33" t="n">
        <v>7750</v>
      </c>
      <c r="AU132" s="33" t="n">
        <v>6960</v>
      </c>
      <c r="AV132" s="33" t="n">
        <v>6000</v>
      </c>
      <c r="AW132" s="33" t="n">
        <v>5980</v>
      </c>
      <c r="AX132" s="33" t="n">
        <v>5700</v>
      </c>
      <c r="AY132" s="33" t="n">
        <v>5840</v>
      </c>
      <c r="AZ132" s="33" t="n">
        <v>5620</v>
      </c>
      <c r="BA132" s="33" t="n">
        <v>5290</v>
      </c>
      <c r="BB132" s="33" t="n">
        <v>5170</v>
      </c>
      <c r="BC132" s="33" t="n">
        <v>5110</v>
      </c>
      <c r="BD132" s="33" t="n">
        <v>5390</v>
      </c>
      <c r="BE132" s="33" t="n">
        <v>5130</v>
      </c>
      <c r="BF132" s="33" t="n">
        <v>5420</v>
      </c>
      <c r="BG132" s="33" t="n">
        <v>5840</v>
      </c>
      <c r="BH132" s="33" t="n">
        <v>6173.3</v>
      </c>
      <c r="BI132" s="33" t="n">
        <v>6600</v>
      </c>
      <c r="BJ132" s="33" t="n">
        <v>6136.6</v>
      </c>
      <c r="BK132" s="33" t="n">
        <v>6133.3</v>
      </c>
      <c r="BL132" s="33" t="n">
        <v>6276.6</v>
      </c>
    </row>
    <row r="133" ht="15.95" customHeight="1" s="574">
      <c r="A133" s="68" t="inlineStr">
        <is>
          <t>6327</t>
        </is>
      </c>
      <c r="B133" s="44" t="inlineStr">
        <is>
          <t>北川精機</t>
        </is>
      </c>
      <c r="C133" s="669">
        <f>_xll.RssMarket("6327","安値")</f>
        <v/>
      </c>
      <c r="D133" s="661">
        <f>C133-E133</f>
        <v/>
      </c>
      <c r="E133" s="33" t="n">
        <v>5360</v>
      </c>
      <c r="F133" s="33" t="n">
        <v>5150</v>
      </c>
      <c r="G133" s="33" t="n">
        <v>5260</v>
      </c>
      <c r="H133" s="33" t="n">
        <v>4450</v>
      </c>
      <c r="I133" s="33" t="n">
        <v>3920</v>
      </c>
      <c r="J133" s="33" t="n">
        <v>3195</v>
      </c>
      <c r="K133" s="33" t="n">
        <v>2990</v>
      </c>
      <c r="L133" s="33" t="n">
        <v>2863</v>
      </c>
      <c r="M133" s="33" t="n">
        <v>3015</v>
      </c>
      <c r="N133" s="33" t="n">
        <v>3305</v>
      </c>
      <c r="O133" s="33" t="n">
        <v>3455</v>
      </c>
      <c r="P133" s="33" t="n">
        <v>3820</v>
      </c>
      <c r="Q133" s="33" t="n">
        <v>4470</v>
      </c>
      <c r="R133" s="33" t="n">
        <v>4385</v>
      </c>
      <c r="S133" s="33" t="n">
        <v>4615</v>
      </c>
      <c r="T133" s="33" t="n">
        <v>3675</v>
      </c>
      <c r="U133" s="33" t="n">
        <v>3520</v>
      </c>
      <c r="V133" s="33" t="n">
        <v>2920</v>
      </c>
      <c r="W133" s="33" t="n">
        <v>2396</v>
      </c>
      <c r="X133" s="33" t="n">
        <v>2260</v>
      </c>
      <c r="Y133" s="33" t="n">
        <v>2240</v>
      </c>
      <c r="Z133" s="33" t="n">
        <v>2363</v>
      </c>
      <c r="AA133" s="33" t="n">
        <v>2452</v>
      </c>
      <c r="AB133" s="33" t="n">
        <v>2510</v>
      </c>
      <c r="AC133" s="33" t="n">
        <v>2441</v>
      </c>
      <c r="AD133" s="33" t="n">
        <v>2597</v>
      </c>
      <c r="AE133" s="33" t="n">
        <v>2855</v>
      </c>
      <c r="AF133" s="33" t="n">
        <v>3260</v>
      </c>
      <c r="AG133" s="33" t="n">
        <v>3080</v>
      </c>
      <c r="AH133" s="33" t="n">
        <v>2887</v>
      </c>
      <c r="AI133" s="33" t="n">
        <v>2716</v>
      </c>
      <c r="AJ133" s="33" t="n">
        <v>2585</v>
      </c>
      <c r="AK133" s="33" t="n">
        <v>2169</v>
      </c>
      <c r="AL133" s="33" t="n">
        <v>2048</v>
      </c>
      <c r="AM133" s="33" t="n">
        <v>2043</v>
      </c>
      <c r="AN133" s="33" t="n">
        <v>2040</v>
      </c>
      <c r="AO133" s="33" t="n">
        <v>2124</v>
      </c>
      <c r="AP133" s="33" t="n">
        <v>1998</v>
      </c>
      <c r="AQ133" s="33" t="n">
        <v>1996</v>
      </c>
      <c r="AR133" s="33" t="n">
        <v>2020</v>
      </c>
      <c r="AS133" s="33" t="n">
        <v>2011</v>
      </c>
      <c r="AT133" s="33" t="n">
        <v>1995</v>
      </c>
      <c r="AU133" s="33" t="n">
        <v>1965</v>
      </c>
      <c r="AV133" s="33" t="n">
        <v>1887</v>
      </c>
      <c r="AW133" s="33" t="n">
        <v>1826</v>
      </c>
      <c r="AX133" s="33" t="n">
        <v>1819</v>
      </c>
      <c r="AY133" s="33" t="n">
        <v>1724</v>
      </c>
      <c r="AZ133" s="33" t="n">
        <v>1628</v>
      </c>
      <c r="BA133" s="33" t="n">
        <v>1580</v>
      </c>
      <c r="BB133" s="33" t="n">
        <v>1510</v>
      </c>
      <c r="BC133" s="33" t="n">
        <v>1481</v>
      </c>
      <c r="BD133" s="33" t="n">
        <v>1456</v>
      </c>
      <c r="BE133" s="33" t="n">
        <v>1390</v>
      </c>
      <c r="BF133" s="33" t="n">
        <v>1434</v>
      </c>
      <c r="BG133" s="33" t="n">
        <v>1522</v>
      </c>
      <c r="BH133" s="33" t="n">
        <v>1619</v>
      </c>
      <c r="BI133" s="33" t="n">
        <v>1591</v>
      </c>
      <c r="BJ133" s="33" t="n">
        <v>1495</v>
      </c>
      <c r="BK133" s="33" t="n">
        <v>1488</v>
      </c>
      <c r="BL133" s="33" t="n">
        <v>1625</v>
      </c>
    </row>
    <row r="134" ht="15.95" customHeight="1" s="574">
      <c r="A134" s="68" t="inlineStr">
        <is>
          <t>3110</t>
        </is>
      </c>
      <c r="B134" s="44" t="inlineStr">
        <is>
          <t>日東紡績</t>
        </is>
      </c>
      <c r="C134" s="669">
        <f>_xll.RssMarket("3110","安値")</f>
        <v/>
      </c>
      <c r="D134" s="661">
        <f>C134-E134</f>
        <v/>
      </c>
      <c r="E134" s="33" t="n">
        <v>20030</v>
      </c>
      <c r="F134" s="33" t="n">
        <v>18850</v>
      </c>
      <c r="G134" s="33" t="n">
        <v>19190</v>
      </c>
      <c r="H134" s="33" t="n">
        <v>20600</v>
      </c>
      <c r="I134" s="33" t="n">
        <v>19720</v>
      </c>
      <c r="J134" s="33" t="n">
        <v>19450</v>
      </c>
      <c r="K134" s="33" t="n">
        <v>18100</v>
      </c>
      <c r="L134" s="33" t="n">
        <v>16400</v>
      </c>
      <c r="M134" s="33" t="n">
        <v>17040</v>
      </c>
      <c r="N134" s="33" t="n">
        <v>17880</v>
      </c>
      <c r="O134" s="33" t="n">
        <v>19290</v>
      </c>
      <c r="P134" s="33" t="n">
        <v>19550</v>
      </c>
      <c r="Q134" s="33" t="n">
        <v>21110</v>
      </c>
      <c r="R134" s="33" t="n">
        <v>21260</v>
      </c>
      <c r="S134" s="33" t="n">
        <v>21470</v>
      </c>
      <c r="T134" s="33" t="n">
        <v>21500</v>
      </c>
      <c r="U134" s="33" t="n">
        <v>23030</v>
      </c>
      <c r="V134" s="33" t="n">
        <v>25130</v>
      </c>
      <c r="W134" s="33" t="n">
        <v>22790</v>
      </c>
      <c r="X134" s="33" t="n">
        <v>20930</v>
      </c>
      <c r="Y134" s="33" t="n">
        <v>20430</v>
      </c>
      <c r="Z134" s="33" t="n">
        <v>21030</v>
      </c>
      <c r="AA134" s="33" t="n">
        <v>22250</v>
      </c>
      <c r="AB134" s="33" t="n">
        <v>23450</v>
      </c>
      <c r="AC134" s="33" t="n">
        <v>26000</v>
      </c>
      <c r="AD134" s="33" t="n">
        <v>25400</v>
      </c>
      <c r="AE134" s="33" t="n">
        <v>28370</v>
      </c>
      <c r="AF134" s="33" t="n">
        <v>28500</v>
      </c>
      <c r="AG134" s="33" t="n">
        <v>29690</v>
      </c>
      <c r="AH134" s="33" t="n">
        <v>30000</v>
      </c>
      <c r="AI134" s="33" t="n">
        <v>27660</v>
      </c>
      <c r="AJ134" s="33" t="n">
        <v>27840</v>
      </c>
      <c r="AK134" s="33" t="n">
        <v>26670</v>
      </c>
      <c r="AL134" s="33" t="n">
        <v>26380</v>
      </c>
      <c r="AM134" s="33" t="n">
        <v>26250</v>
      </c>
      <c r="AN134" s="33" t="n">
        <v>25410</v>
      </c>
      <c r="AO134" s="33" t="n">
        <v>25540</v>
      </c>
      <c r="AP134" s="33" t="n">
        <v>26340</v>
      </c>
      <c r="AQ134" s="33" t="n">
        <v>26610</v>
      </c>
      <c r="AR134" s="33" t="n">
        <v>26680</v>
      </c>
      <c r="AS134" s="33" t="n">
        <v>26080</v>
      </c>
      <c r="AT134" s="33" t="n">
        <v>26440</v>
      </c>
      <c r="AU134" s="33" t="n">
        <v>29320</v>
      </c>
      <c r="AV134" s="33" t="n">
        <v>27170</v>
      </c>
      <c r="AW134" s="33" t="n">
        <v>26250</v>
      </c>
      <c r="AX134" s="33" t="n">
        <v>24200</v>
      </c>
      <c r="AY134" s="33" t="n">
        <v>23190</v>
      </c>
      <c r="AZ134" s="33" t="n">
        <v>20900</v>
      </c>
      <c r="BA134" s="33" t="n">
        <v>20270</v>
      </c>
      <c r="BB134" s="33" t="n">
        <v>20120</v>
      </c>
      <c r="BC134" s="33" t="n">
        <v>19490</v>
      </c>
      <c r="BD134" s="33" t="n">
        <v>19900</v>
      </c>
      <c r="BE134" s="33" t="n">
        <v>18330</v>
      </c>
      <c r="BF134" s="33" t="n">
        <v>19370</v>
      </c>
      <c r="BG134" s="33" t="n">
        <v>20320</v>
      </c>
      <c r="BH134" s="33" t="n">
        <v>21460</v>
      </c>
      <c r="BI134" s="33" t="n">
        <v>21270</v>
      </c>
      <c r="BJ134" s="33" t="n">
        <v>19370</v>
      </c>
      <c r="BK134" s="33" t="n">
        <v>19710</v>
      </c>
      <c r="BL134" s="33" t="n">
        <v>20900</v>
      </c>
    </row>
    <row r="135" ht="15.95" customHeight="1" s="574">
      <c r="A135" s="68" t="inlineStr">
        <is>
          <t>6232</t>
        </is>
      </c>
      <c r="B135" s="44" t="inlineStr">
        <is>
          <t>ＡＣＳＬ</t>
        </is>
      </c>
      <c r="C135" s="669">
        <f>_xll.RssMarket("6232","安値")</f>
        <v/>
      </c>
      <c r="D135" s="661">
        <f>C135-E135</f>
        <v/>
      </c>
      <c r="E135" s="33" t="n">
        <v>1847</v>
      </c>
      <c r="F135" s="33" t="n">
        <v>1802</v>
      </c>
      <c r="G135" s="33" t="n">
        <v>1751</v>
      </c>
      <c r="H135" s="33" t="n">
        <v>1761</v>
      </c>
      <c r="I135" s="33" t="n">
        <v>1782</v>
      </c>
      <c r="J135" s="33" t="n">
        <v>1723</v>
      </c>
      <c r="K135" s="33" t="n">
        <v>1733</v>
      </c>
      <c r="L135" s="33" t="n">
        <v>1780</v>
      </c>
      <c r="M135" s="33" t="n">
        <v>1875</v>
      </c>
      <c r="N135" s="33" t="n">
        <v>1968</v>
      </c>
      <c r="O135" s="33" t="n">
        <v>1989</v>
      </c>
      <c r="P135" s="33" t="n">
        <v>1943</v>
      </c>
      <c r="Q135" s="33" t="n">
        <v>1978</v>
      </c>
      <c r="R135" s="33" t="n">
        <v>1964</v>
      </c>
      <c r="S135" s="33" t="n">
        <v>2315</v>
      </c>
      <c r="T135" s="33" t="n">
        <v>2263</v>
      </c>
      <c r="U135" s="33" t="n">
        <v>2280</v>
      </c>
      <c r="V135" s="33" t="n">
        <v>2630</v>
      </c>
      <c r="W135" s="33" t="n">
        <v>2644</v>
      </c>
      <c r="X135" s="33" t="n">
        <v>2618</v>
      </c>
      <c r="Y135" s="33" t="n">
        <v>2750</v>
      </c>
      <c r="Z135" s="33" t="n">
        <v>3150</v>
      </c>
      <c r="AA135" s="33" t="n">
        <v>2924</v>
      </c>
      <c r="AB135" s="33" t="n">
        <v>3060</v>
      </c>
      <c r="AC135" s="33" t="n">
        <v>2845</v>
      </c>
      <c r="AD135" s="33" t="n">
        <v>2808</v>
      </c>
      <c r="AE135" s="33" t="n">
        <v>2906</v>
      </c>
      <c r="AF135" s="33" t="n">
        <v>3260</v>
      </c>
      <c r="AG135" s="33" t="n">
        <v>2370</v>
      </c>
      <c r="AH135" s="33" t="n">
        <v>2326</v>
      </c>
      <c r="AI135" s="33" t="n">
        <v>2346</v>
      </c>
      <c r="AJ135" s="33" t="n">
        <v>2239</v>
      </c>
      <c r="AK135" s="33" t="n">
        <v>2211</v>
      </c>
      <c r="AL135" s="33" t="n">
        <v>2271</v>
      </c>
      <c r="AM135" s="33" t="n">
        <v>2309</v>
      </c>
      <c r="AN135" s="33" t="n">
        <v>2136</v>
      </c>
      <c r="AO135" s="33" t="n">
        <v>1857</v>
      </c>
      <c r="AP135" s="33" t="n">
        <v>1704</v>
      </c>
      <c r="AQ135" s="33" t="n">
        <v>1697</v>
      </c>
      <c r="AR135" s="33" t="n">
        <v>1692</v>
      </c>
      <c r="AS135" s="33" t="n">
        <v>1807</v>
      </c>
      <c r="AT135" s="33" t="n">
        <v>1781</v>
      </c>
      <c r="AU135" s="33" t="n">
        <v>1716</v>
      </c>
      <c r="AV135" s="33" t="n">
        <v>1605</v>
      </c>
      <c r="AW135" s="33" t="n">
        <v>1537</v>
      </c>
      <c r="AX135" s="33" t="n">
        <v>1552</v>
      </c>
      <c r="AY135" s="33" t="n">
        <v>1581</v>
      </c>
      <c r="AZ135" s="33" t="n">
        <v>1452</v>
      </c>
      <c r="BA135" s="33" t="n">
        <v>1451</v>
      </c>
      <c r="BB135" s="33" t="n">
        <v>1460</v>
      </c>
      <c r="BC135" s="33" t="n">
        <v>1486</v>
      </c>
      <c r="BD135" s="33" t="n">
        <v>1454</v>
      </c>
      <c r="BE135" s="33" t="n">
        <v>1366</v>
      </c>
      <c r="BF135" s="33" t="n">
        <v>1426</v>
      </c>
      <c r="BG135" s="33" t="n">
        <v>1467</v>
      </c>
      <c r="BH135" s="33" t="n">
        <v>1491</v>
      </c>
      <c r="BI135" s="33" t="n">
        <v>1461</v>
      </c>
      <c r="BJ135" s="33" t="n">
        <v>1364</v>
      </c>
      <c r="BK135" s="33" t="n">
        <v>1387</v>
      </c>
      <c r="BL135" s="33" t="n">
        <v>1540</v>
      </c>
    </row>
    <row r="136" ht="15.95" customHeight="1" s="574">
      <c r="A136" s="68" t="inlineStr">
        <is>
          <t>7794</t>
        </is>
      </c>
      <c r="B136" s="44" t="inlineStr">
        <is>
          <t>イーディーピー</t>
        </is>
      </c>
      <c r="C136" s="669">
        <f>_xll.RssMarket("7794","安値")</f>
        <v/>
      </c>
      <c r="D136" s="661">
        <f>C136-E136</f>
        <v/>
      </c>
      <c r="E136" s="33" t="n">
        <v>1105</v>
      </c>
      <c r="F136" s="33" t="n">
        <v>1068</v>
      </c>
      <c r="G136" s="33" t="n">
        <v>1060</v>
      </c>
      <c r="H136" s="33" t="n">
        <v>1062</v>
      </c>
      <c r="I136" s="33" t="n">
        <v>1050</v>
      </c>
      <c r="J136" s="33" t="n">
        <v>1073</v>
      </c>
      <c r="K136" s="33" t="n">
        <v>1070</v>
      </c>
      <c r="L136" s="33" t="n">
        <v>1048</v>
      </c>
      <c r="M136" s="33" t="n">
        <v>1077</v>
      </c>
      <c r="N136" s="33" t="n">
        <v>1040</v>
      </c>
      <c r="O136" s="33" t="n">
        <v>1005</v>
      </c>
      <c r="P136" s="33" t="n">
        <v>976</v>
      </c>
      <c r="Q136" s="33" t="n">
        <v>1070</v>
      </c>
      <c r="R136" s="33" t="n">
        <v>1073</v>
      </c>
      <c r="S136" s="33" t="n">
        <v>1120</v>
      </c>
      <c r="T136" s="33" t="n">
        <v>1261</v>
      </c>
      <c r="U136" s="33" t="n">
        <v>1088</v>
      </c>
      <c r="V136" s="33" t="n">
        <v>1133</v>
      </c>
      <c r="W136" s="33" t="n">
        <v>1081</v>
      </c>
      <c r="X136" s="33" t="n">
        <v>1050</v>
      </c>
      <c r="Y136" s="33" t="n">
        <v>1062</v>
      </c>
      <c r="Z136" s="33" t="n">
        <v>1108</v>
      </c>
      <c r="AA136" s="33" t="n">
        <v>1085</v>
      </c>
      <c r="AB136" s="33" t="n">
        <v>1095</v>
      </c>
      <c r="AC136" s="33" t="n">
        <v>1116</v>
      </c>
      <c r="AD136" s="33" t="n">
        <v>1310</v>
      </c>
      <c r="AE136" s="33" t="n">
        <v>1318</v>
      </c>
      <c r="AF136" s="33" t="n">
        <v>1400</v>
      </c>
      <c r="AG136" s="33" t="n">
        <v>1302</v>
      </c>
      <c r="AH136" s="33" t="n">
        <v>1280</v>
      </c>
      <c r="AI136" s="33" t="n">
        <v>1282</v>
      </c>
      <c r="AJ136" s="33" t="n">
        <v>1307</v>
      </c>
      <c r="AK136" s="33" t="n">
        <v>1302</v>
      </c>
      <c r="AL136" s="33" t="n">
        <v>1325</v>
      </c>
      <c r="AM136" s="33" t="n">
        <v>1391</v>
      </c>
      <c r="AN136" s="33" t="n">
        <v>1411</v>
      </c>
      <c r="AO136" s="33" t="n">
        <v>1458</v>
      </c>
      <c r="AP136" s="33" t="n">
        <v>1450</v>
      </c>
      <c r="AQ136" s="33" t="n">
        <v>1504</v>
      </c>
      <c r="AR136" s="33" t="n">
        <v>1215</v>
      </c>
      <c r="AS136" s="33" t="n">
        <v>1183</v>
      </c>
      <c r="AT136" s="33" t="n">
        <v>1166</v>
      </c>
      <c r="AU136" s="33" t="n">
        <v>1181</v>
      </c>
      <c r="AV136" s="33" t="n">
        <v>1165</v>
      </c>
      <c r="AW136" s="33" t="n">
        <v>1182</v>
      </c>
      <c r="AX136" s="33" t="n">
        <v>1161</v>
      </c>
      <c r="AY136" s="33" t="n">
        <v>1186</v>
      </c>
      <c r="AZ136" s="33" t="n">
        <v>1140</v>
      </c>
      <c r="BA136" s="33" t="n">
        <v>1168</v>
      </c>
      <c r="BB136" s="33" t="n">
        <v>1204</v>
      </c>
      <c r="BC136" s="33" t="n">
        <v>1193</v>
      </c>
      <c r="BD136" s="33" t="n">
        <v>1254</v>
      </c>
      <c r="BE136" s="33" t="n">
        <v>1236</v>
      </c>
      <c r="BF136" s="33" t="n">
        <v>1225</v>
      </c>
      <c r="BG136" s="33" t="n">
        <v>1314</v>
      </c>
      <c r="BH136" s="33" t="n">
        <v>999</v>
      </c>
      <c r="BI136" s="33" t="n">
        <v>1086</v>
      </c>
      <c r="BJ136" s="33" t="n">
        <v>1080</v>
      </c>
      <c r="BK136" s="33" t="n">
        <v>1106</v>
      </c>
      <c r="BL136" s="33" t="n">
        <v>1224</v>
      </c>
    </row>
    <row r="137" ht="15.95" customHeight="1" s="574">
      <c r="A137" s="68" t="inlineStr">
        <is>
          <t>6085</t>
        </is>
      </c>
      <c r="B137" s="44" t="inlineStr">
        <is>
          <t>アーキテクツＳＪ</t>
        </is>
      </c>
      <c r="C137" s="669">
        <f>_xll.RssMarket("6085","安値")</f>
        <v/>
      </c>
      <c r="D137" s="661">
        <f>C137-E137</f>
        <v/>
      </c>
      <c r="E137" s="33" t="n">
        <v>324</v>
      </c>
      <c r="F137" s="33" t="n">
        <v>312</v>
      </c>
      <c r="G137" s="33" t="n">
        <v>321</v>
      </c>
      <c r="H137" s="33" t="n">
        <v>308</v>
      </c>
      <c r="I137" s="33" t="n">
        <v>301</v>
      </c>
      <c r="J137" s="33" t="n">
        <v>324</v>
      </c>
      <c r="K137" s="33" t="n">
        <v>383</v>
      </c>
      <c r="L137" s="33" t="n">
        <v>370</v>
      </c>
      <c r="M137" s="33" t="n">
        <v>293</v>
      </c>
      <c r="N137" s="33" t="n">
        <v>266</v>
      </c>
      <c r="O137" s="33" t="n">
        <v>228</v>
      </c>
      <c r="P137" s="33" t="n">
        <v>224</v>
      </c>
      <c r="Q137" s="33" t="n">
        <v>281</v>
      </c>
      <c r="R137" s="33" t="n">
        <v>303</v>
      </c>
      <c r="S137" s="33" t="n">
        <v>343</v>
      </c>
      <c r="T137" s="33" t="n">
        <v>423</v>
      </c>
      <c r="U137" s="33" t="n">
        <v>503</v>
      </c>
      <c r="V137" s="33" t="n">
        <v>445</v>
      </c>
      <c r="W137" s="33" t="n">
        <v>412</v>
      </c>
      <c r="X137" s="33" t="n">
        <v>405</v>
      </c>
      <c r="Y137" s="33" t="n">
        <v>463</v>
      </c>
      <c r="Z137" s="33" t="n">
        <v>520</v>
      </c>
      <c r="AA137" s="33" t="n">
        <v>493</v>
      </c>
      <c r="AB137" s="33" t="n">
        <v>498</v>
      </c>
      <c r="AC137" s="33" t="n">
        <v>471</v>
      </c>
      <c r="AD137" s="33" t="n">
        <v>540</v>
      </c>
      <c r="AE137" s="33" t="n">
        <v>521</v>
      </c>
      <c r="AF137" s="33" t="n">
        <v>550</v>
      </c>
      <c r="AG137" s="33" t="n">
        <v>536</v>
      </c>
      <c r="AH137" s="33" t="n">
        <v>515</v>
      </c>
      <c r="AI137" s="33" t="n">
        <v>554</v>
      </c>
      <c r="AJ137" s="33" t="n">
        <v>551</v>
      </c>
      <c r="AK137" s="33" t="n">
        <v>510</v>
      </c>
      <c r="AL137" s="33" t="n">
        <v>460</v>
      </c>
      <c r="AM137" s="33" t="n">
        <v>415</v>
      </c>
      <c r="AN137" s="33" t="n">
        <v>393</v>
      </c>
      <c r="AO137" s="33" t="n">
        <v>370</v>
      </c>
      <c r="AP137" s="33" t="n">
        <v>364</v>
      </c>
      <c r="AQ137" s="33" t="n">
        <v>340</v>
      </c>
      <c r="AR137" s="33" t="n">
        <v>296.5</v>
      </c>
      <c r="AS137" s="33" t="n">
        <v>277.5</v>
      </c>
      <c r="AT137" s="33" t="n">
        <v>285.3</v>
      </c>
      <c r="AU137" s="33" t="n">
        <v>270.1</v>
      </c>
      <c r="AV137" s="33" t="n">
        <v>251</v>
      </c>
      <c r="AW137" s="33" t="n">
        <v>245</v>
      </c>
      <c r="AX137" s="33" t="n">
        <v>243</v>
      </c>
      <c r="AY137" s="33" t="n">
        <v>234.3</v>
      </c>
      <c r="AZ137" s="33" t="n">
        <v>260.2</v>
      </c>
      <c r="BA137" s="33" t="n">
        <v>280</v>
      </c>
      <c r="BB137" s="33" t="n">
        <v>280.2</v>
      </c>
      <c r="BC137" s="33" t="n">
        <v>291.3</v>
      </c>
      <c r="BD137" s="33" t="n">
        <v>293</v>
      </c>
      <c r="BE137" s="33" t="n">
        <v>277</v>
      </c>
      <c r="BF137" s="33" t="n">
        <v>275.6</v>
      </c>
      <c r="BG137" s="33" t="n">
        <v>295</v>
      </c>
      <c r="BH137" s="33" t="n">
        <v>223.9</v>
      </c>
      <c r="BI137" s="33" t="n">
        <v>235.5</v>
      </c>
      <c r="BJ137" s="33" t="n">
        <v>205</v>
      </c>
      <c r="BK137" s="33" t="n">
        <v>260</v>
      </c>
      <c r="BL137" s="33" t="n">
        <v>330</v>
      </c>
    </row>
    <row r="138" ht="15.95" customHeight="1" s="574">
      <c r="A138" s="68" t="inlineStr">
        <is>
          <t>3103</t>
        </is>
      </c>
      <c r="B138" s="44" t="inlineStr">
        <is>
          <t>ユニチカ</t>
        </is>
      </c>
      <c r="C138" s="669">
        <f>_xll.RssMarket("3103","安値")</f>
        <v/>
      </c>
      <c r="D138" s="661">
        <f>C138-E138</f>
        <v/>
      </c>
      <c r="E138" s="33" t="n">
        <v>1123</v>
      </c>
      <c r="F138" s="33" t="n">
        <v>1090</v>
      </c>
      <c r="G138" s="33" t="n">
        <v>1152</v>
      </c>
      <c r="H138" s="33" t="n">
        <v>1125</v>
      </c>
      <c r="I138" s="33" t="n">
        <v>1096</v>
      </c>
      <c r="J138" s="33" t="n">
        <v>1131</v>
      </c>
      <c r="K138" s="33" t="n">
        <v>1006</v>
      </c>
      <c r="L138" s="33" t="n">
        <v>1121</v>
      </c>
      <c r="M138" s="33" t="n">
        <v>1180</v>
      </c>
      <c r="N138" s="33" t="n">
        <v>1145</v>
      </c>
      <c r="O138" s="33" t="n">
        <v>1177</v>
      </c>
      <c r="P138" s="33" t="n">
        <v>1165</v>
      </c>
      <c r="Q138" s="33" t="n">
        <v>1193</v>
      </c>
      <c r="R138" s="33" t="n">
        <v>1181</v>
      </c>
      <c r="S138" s="33" t="n">
        <v>1312</v>
      </c>
      <c r="T138" s="33" t="n">
        <v>1354</v>
      </c>
      <c r="U138" s="33" t="n">
        <v>1406</v>
      </c>
      <c r="V138" s="33" t="n">
        <v>1500</v>
      </c>
      <c r="W138" s="33" t="n">
        <v>1254</v>
      </c>
      <c r="X138" s="33" t="n">
        <v>1234</v>
      </c>
      <c r="Y138" s="33" t="n">
        <v>1283</v>
      </c>
      <c r="Z138" s="33" t="n">
        <v>1303</v>
      </c>
      <c r="AA138" s="33" t="n">
        <v>1315</v>
      </c>
      <c r="AB138" s="33" t="n">
        <v>1415</v>
      </c>
      <c r="AC138" s="33" t="n">
        <v>1815</v>
      </c>
      <c r="AD138" s="33" t="n">
        <v>2136</v>
      </c>
      <c r="AE138" s="33" t="n">
        <v>2240</v>
      </c>
      <c r="AF138" s="33" t="n">
        <v>2294</v>
      </c>
      <c r="AG138" s="33" t="n">
        <v>2373</v>
      </c>
      <c r="AH138" s="33" t="n">
        <v>2200</v>
      </c>
      <c r="AI138" s="33" t="n">
        <v>2310</v>
      </c>
      <c r="AJ138" s="33" t="n">
        <v>2214</v>
      </c>
      <c r="AK138" s="33" t="n">
        <v>2180</v>
      </c>
      <c r="AL138" s="33" t="n">
        <v>2185</v>
      </c>
      <c r="AM138" s="33" t="n">
        <v>2524</v>
      </c>
      <c r="AN138" s="33" t="n">
        <v>2657</v>
      </c>
      <c r="AO138" s="33" t="n">
        <v>2662</v>
      </c>
      <c r="AP138" s="33" t="n">
        <v>3045</v>
      </c>
      <c r="AQ138" s="33" t="n">
        <v>3155</v>
      </c>
      <c r="AR138" s="33" t="n">
        <v>2656</v>
      </c>
      <c r="AS138" s="33" t="n">
        <v>2111</v>
      </c>
      <c r="AT138" s="33" t="n">
        <v>1781</v>
      </c>
      <c r="AU138" s="33" t="n">
        <v>1900</v>
      </c>
      <c r="AV138" s="33" t="n">
        <v>1417</v>
      </c>
      <c r="AW138" s="33" t="n">
        <v>1160</v>
      </c>
      <c r="AX138" s="33" t="n">
        <v>1100</v>
      </c>
      <c r="AY138" s="33" t="n">
        <v>1080</v>
      </c>
      <c r="AZ138" s="33" t="n">
        <v>1005</v>
      </c>
      <c r="BA138" s="33" t="n">
        <v>1071</v>
      </c>
      <c r="BB138" s="33" t="n">
        <v>1077</v>
      </c>
      <c r="BC138" s="33" t="n">
        <v>1170</v>
      </c>
      <c r="BD138" s="33" t="n">
        <v>1170</v>
      </c>
      <c r="BE138" s="33" t="n">
        <v>1138</v>
      </c>
      <c r="BF138" s="33" t="n">
        <v>1124</v>
      </c>
      <c r="BG138" s="33" t="n">
        <v>1095</v>
      </c>
      <c r="BH138" s="33" t="n">
        <v>1097</v>
      </c>
      <c r="BI138" s="33" t="n">
        <v>1342</v>
      </c>
      <c r="BJ138" s="33" t="n">
        <v>1281</v>
      </c>
      <c r="BK138" s="33" t="n">
        <v>1327</v>
      </c>
      <c r="BL138" s="33" t="n">
        <v>1400</v>
      </c>
    </row>
    <row r="139" ht="15.95" customHeight="1" s="574">
      <c r="A139" s="68" t="inlineStr">
        <is>
          <t>4422</t>
        </is>
      </c>
      <c r="B139" s="44" t="inlineStr">
        <is>
          <t>ＶＡＬＵＥＮＥＸ</t>
        </is>
      </c>
      <c r="C139" s="669">
        <f>_xll.RssMarket("4422","安値")</f>
        <v/>
      </c>
      <c r="D139" s="661">
        <f>C139-E139</f>
        <v/>
      </c>
      <c r="E139" s="33" t="n">
        <v>590</v>
      </c>
      <c r="F139" s="33" t="n">
        <v>588</v>
      </c>
      <c r="G139" s="33" t="n">
        <v>607</v>
      </c>
      <c r="H139" s="33" t="n">
        <v>632</v>
      </c>
      <c r="I139" s="33" t="n">
        <v>619</v>
      </c>
      <c r="J139" s="33" t="n">
        <v>612</v>
      </c>
      <c r="K139" s="33" t="n">
        <v>628</v>
      </c>
      <c r="L139" s="33" t="n">
        <v>720</v>
      </c>
      <c r="M139" s="33" t="n">
        <v>706</v>
      </c>
      <c r="N139" s="33" t="n">
        <v>687</v>
      </c>
      <c r="O139" s="33" t="n">
        <v>665</v>
      </c>
      <c r="P139" s="33" t="n">
        <v>657</v>
      </c>
      <c r="Q139" s="33" t="n">
        <v>668</v>
      </c>
      <c r="R139" s="33" t="n">
        <v>678</v>
      </c>
      <c r="S139" s="33" t="n">
        <v>692</v>
      </c>
      <c r="T139" s="33" t="n">
        <v>708</v>
      </c>
      <c r="U139" s="33" t="n">
        <v>733</v>
      </c>
      <c r="V139" s="33" t="n">
        <v>792</v>
      </c>
      <c r="W139" s="33" t="n">
        <v>757</v>
      </c>
      <c r="X139" s="33" t="n">
        <v>751</v>
      </c>
      <c r="Y139" s="33" t="n">
        <v>752</v>
      </c>
      <c r="Z139" s="33" t="n">
        <v>800</v>
      </c>
      <c r="AA139" s="33" t="n">
        <v>828</v>
      </c>
      <c r="AB139" s="33" t="n">
        <v>859</v>
      </c>
      <c r="AC139" s="33" t="n">
        <v>935</v>
      </c>
      <c r="AD139" s="33" t="n">
        <v>982</v>
      </c>
      <c r="AE139" s="33" t="n">
        <v>905</v>
      </c>
      <c r="AF139" s="33" t="n">
        <v>986</v>
      </c>
      <c r="AG139" s="33" t="n">
        <v>963</v>
      </c>
      <c r="AH139" s="33" t="n">
        <v>975</v>
      </c>
      <c r="AI139" s="33" t="n">
        <v>1045</v>
      </c>
      <c r="AJ139" s="33" t="n">
        <v>1122</v>
      </c>
      <c r="AK139" s="33" t="n">
        <v>1172</v>
      </c>
      <c r="AL139" s="33" t="n">
        <v>1248</v>
      </c>
      <c r="AM139" s="33" t="n">
        <v>1155</v>
      </c>
      <c r="AN139" s="33" t="n">
        <v>1094</v>
      </c>
      <c r="AO139" s="33" t="n">
        <v>1262</v>
      </c>
      <c r="AP139" s="33" t="n">
        <v>1325</v>
      </c>
      <c r="AQ139" s="33" t="n">
        <v>1073</v>
      </c>
      <c r="AR139" s="33" t="n">
        <v>962</v>
      </c>
      <c r="AS139" s="33" t="n">
        <v>894</v>
      </c>
      <c r="AT139" s="33" t="n">
        <v>972</v>
      </c>
      <c r="AU139" s="33" t="n">
        <v>1050</v>
      </c>
      <c r="AV139" s="33" t="n">
        <v>812</v>
      </c>
      <c r="AW139" s="33" t="n">
        <v>886</v>
      </c>
      <c r="AX139" s="33" t="n">
        <v>811</v>
      </c>
      <c r="AY139" s="33" t="n">
        <v>741</v>
      </c>
      <c r="AZ139" s="33" t="n">
        <v>630</v>
      </c>
      <c r="BA139" s="33" t="n">
        <v>488</v>
      </c>
      <c r="BB139" s="33" t="n">
        <v>451</v>
      </c>
      <c r="BC139" s="33" t="n">
        <v>467</v>
      </c>
      <c r="BD139" s="33" t="n">
        <v>452</v>
      </c>
      <c r="BE139" s="33" t="n">
        <v>470</v>
      </c>
      <c r="BF139" s="33" t="n">
        <v>474</v>
      </c>
      <c r="BG139" s="33" t="n">
        <v>484</v>
      </c>
      <c r="BH139" s="33" t="n">
        <v>545</v>
      </c>
      <c r="BI139" s="33" t="n">
        <v>470</v>
      </c>
      <c r="BJ139" s="33" t="n">
        <v>418</v>
      </c>
      <c r="BK139" s="33" t="n">
        <v>460</v>
      </c>
      <c r="BL139" s="33" t="n">
        <v>445</v>
      </c>
    </row>
    <row r="140" ht="15.95" customHeight="1" s="574">
      <c r="A140" s="68" t="inlineStr">
        <is>
          <t>6740</t>
        </is>
      </c>
      <c r="B140" s="44" t="inlineStr">
        <is>
          <t>ジャパンディスプレイ</t>
        </is>
      </c>
      <c r="C140" s="669">
        <f>_xll.RssMarket("6740","安値")</f>
        <v/>
      </c>
      <c r="D140" s="661">
        <f>C140-E140</f>
        <v/>
      </c>
      <c r="E140" s="33" t="n">
        <v>51</v>
      </c>
      <c r="F140" s="33" t="n">
        <v>49</v>
      </c>
      <c r="G140" s="33" t="n">
        <v>44</v>
      </c>
      <c r="H140" s="33" t="n">
        <v>48</v>
      </c>
      <c r="I140" s="33" t="n">
        <v>51</v>
      </c>
      <c r="J140" s="33" t="n">
        <v>52</v>
      </c>
      <c r="K140" s="33" t="n">
        <v>53</v>
      </c>
      <c r="L140" s="33" t="n">
        <v>50</v>
      </c>
      <c r="M140" s="33" t="n">
        <v>52</v>
      </c>
      <c r="N140" s="33" t="n">
        <v>51</v>
      </c>
      <c r="O140" s="33" t="n">
        <v>53</v>
      </c>
      <c r="P140" s="33" t="n">
        <v>54</v>
      </c>
      <c r="Q140" s="33" t="n">
        <v>50</v>
      </c>
      <c r="R140" s="33" t="n">
        <v>55</v>
      </c>
      <c r="S140" s="33" t="n">
        <v>62</v>
      </c>
      <c r="T140" s="33" t="n">
        <v>61</v>
      </c>
      <c r="U140" s="33" t="n">
        <v>62</v>
      </c>
      <c r="V140" s="33" t="n">
        <v>66</v>
      </c>
      <c r="W140" s="33" t="n">
        <v>65</v>
      </c>
      <c r="X140" s="33" t="n">
        <v>68</v>
      </c>
      <c r="Y140" s="33" t="n">
        <v>70</v>
      </c>
      <c r="Z140" s="33" t="n">
        <v>71</v>
      </c>
      <c r="AA140" s="33" t="n">
        <v>75</v>
      </c>
      <c r="AB140" s="33" t="n">
        <v>77</v>
      </c>
      <c r="AC140" s="33" t="n">
        <v>80</v>
      </c>
      <c r="AD140" s="33" t="n">
        <v>86</v>
      </c>
      <c r="AE140" s="33" t="n">
        <v>87</v>
      </c>
      <c r="AF140" s="33" t="n">
        <v>99</v>
      </c>
      <c r="AG140" s="33" t="n">
        <v>91</v>
      </c>
      <c r="AH140" s="33" t="n">
        <v>91</v>
      </c>
      <c r="AI140" s="33" t="n">
        <v>93</v>
      </c>
      <c r="AJ140" s="33" t="n">
        <v>94</v>
      </c>
      <c r="AK140" s="33" t="n">
        <v>100</v>
      </c>
      <c r="AL140" s="33" t="n">
        <v>103</v>
      </c>
      <c r="AM140" s="33" t="n">
        <v>110</v>
      </c>
      <c r="AN140" s="33" t="n">
        <v>100</v>
      </c>
      <c r="AO140" s="33" t="n">
        <v>96</v>
      </c>
      <c r="AP140" s="33" t="n">
        <v>91</v>
      </c>
      <c r="AQ140" s="33" t="n">
        <v>81</v>
      </c>
      <c r="AR140" s="33" t="n">
        <v>77</v>
      </c>
      <c r="AS140" s="33" t="n">
        <v>82</v>
      </c>
      <c r="AT140" s="33" t="n">
        <v>82</v>
      </c>
      <c r="AU140" s="33" t="n">
        <v>82</v>
      </c>
      <c r="AV140" s="33" t="n">
        <v>79</v>
      </c>
      <c r="AW140" s="33" t="n">
        <v>82</v>
      </c>
      <c r="AX140" s="33" t="n">
        <v>88</v>
      </c>
      <c r="AY140" s="33" t="n">
        <v>88</v>
      </c>
      <c r="AZ140" s="33" t="n">
        <v>74</v>
      </c>
      <c r="BA140" s="33" t="n">
        <v>72</v>
      </c>
      <c r="BB140" s="33" t="n">
        <v>69</v>
      </c>
      <c r="BC140" s="33" t="n">
        <v>73</v>
      </c>
      <c r="BD140" s="33" t="n">
        <v>76</v>
      </c>
      <c r="BE140" s="33" t="n">
        <v>56</v>
      </c>
      <c r="BF140" s="33" t="n">
        <v>59</v>
      </c>
      <c r="BG140" s="33" t="n">
        <v>65</v>
      </c>
      <c r="BH140" s="33" t="n">
        <v>91</v>
      </c>
      <c r="BI140" s="33" t="n">
        <v>101</v>
      </c>
      <c r="BJ140" s="33" t="n">
        <v>128</v>
      </c>
      <c r="BK140" s="33" t="n">
        <v>92</v>
      </c>
      <c r="BL140" s="33" t="n">
        <v>79</v>
      </c>
    </row>
    <row r="141" ht="15.95" customHeight="1" s="574">
      <c r="A141" s="68" t="inlineStr">
        <is>
          <t>6613</t>
        </is>
      </c>
      <c r="B141" s="44" t="inlineStr">
        <is>
          <t>ＱＤレーザ</t>
        </is>
      </c>
      <c r="C141" s="669">
        <f>_xll.RssMarket("6613","安値")</f>
        <v/>
      </c>
      <c r="D141" s="661">
        <f>C141-E141</f>
        <v/>
      </c>
      <c r="E141" s="33" t="n">
        <v>2906</v>
      </c>
      <c r="F141" s="33" t="n">
        <v>2470</v>
      </c>
      <c r="G141" s="33" t="n">
        <v>2410</v>
      </c>
      <c r="H141" s="33" t="n">
        <v>2335</v>
      </c>
      <c r="I141" s="33" t="n">
        <v>2613</v>
      </c>
      <c r="J141" s="33" t="n">
        <v>2730</v>
      </c>
      <c r="K141" s="33" t="n">
        <v>2387</v>
      </c>
      <c r="L141" s="33" t="n">
        <v>2250</v>
      </c>
      <c r="M141" s="33" t="n">
        <v>2280</v>
      </c>
      <c r="N141" s="33" t="n">
        <v>2338</v>
      </c>
      <c r="O141" s="33" t="n">
        <v>2381</v>
      </c>
      <c r="P141" s="33" t="n">
        <v>2433</v>
      </c>
      <c r="Q141" s="33" t="n">
        <v>2540</v>
      </c>
      <c r="R141" s="33" t="n">
        <v>2642</v>
      </c>
      <c r="S141" s="33" t="n">
        <v>2266</v>
      </c>
      <c r="T141" s="33" t="n">
        <v>2400</v>
      </c>
      <c r="U141" s="33" t="n">
        <v>2620</v>
      </c>
      <c r="V141" s="33" t="n">
        <v>3130</v>
      </c>
      <c r="W141" s="33" t="n">
        <v>2570</v>
      </c>
      <c r="X141" s="33" t="n">
        <v>2406</v>
      </c>
      <c r="Y141" s="33" t="n">
        <v>2203</v>
      </c>
      <c r="Z141" s="33" t="n">
        <v>2024</v>
      </c>
      <c r="AA141" s="33" t="n">
        <v>1836</v>
      </c>
      <c r="AB141" s="33" t="n">
        <v>1671</v>
      </c>
      <c r="AC141" s="33" t="n">
        <v>1547</v>
      </c>
      <c r="AD141" s="33" t="n">
        <v>1565</v>
      </c>
      <c r="AE141" s="33" t="n">
        <v>1641</v>
      </c>
      <c r="AF141" s="33" t="n">
        <v>1684</v>
      </c>
      <c r="AG141" s="33" t="n">
        <v>1490</v>
      </c>
      <c r="AH141" s="33" t="n">
        <v>1458</v>
      </c>
      <c r="AI141" s="33" t="n">
        <v>1415</v>
      </c>
      <c r="AJ141" s="33" t="n">
        <v>1390</v>
      </c>
      <c r="AK141" s="33" t="n">
        <v>1450</v>
      </c>
      <c r="AL141" s="33" t="n">
        <v>1317</v>
      </c>
      <c r="AM141" s="33" t="n">
        <v>1446</v>
      </c>
      <c r="AN141" s="33" t="n">
        <v>1449</v>
      </c>
      <c r="AO141" s="33" t="n">
        <v>1474</v>
      </c>
      <c r="AP141" s="33" t="n">
        <v>1538</v>
      </c>
      <c r="AQ141" s="33" t="n">
        <v>1275</v>
      </c>
      <c r="AR141" s="33" t="n">
        <v>1270</v>
      </c>
      <c r="AS141" s="33" t="n">
        <v>1313</v>
      </c>
      <c r="AT141" s="33" t="n">
        <v>1315</v>
      </c>
      <c r="AU141" s="33" t="n">
        <v>1255</v>
      </c>
      <c r="AV141" s="33" t="n">
        <v>1079</v>
      </c>
      <c r="AW141" s="33" t="n">
        <v>999</v>
      </c>
      <c r="AX141" s="33" t="n">
        <v>1019</v>
      </c>
      <c r="AY141" s="33" t="n">
        <v>1053</v>
      </c>
      <c r="AZ141" s="33" t="n">
        <v>1006</v>
      </c>
      <c r="BA141" s="33" t="n">
        <v>1031</v>
      </c>
      <c r="BB141" s="33" t="n">
        <v>1028</v>
      </c>
      <c r="BC141" s="33" t="n">
        <v>1080</v>
      </c>
      <c r="BD141" s="33" t="n">
        <v>1206</v>
      </c>
      <c r="BE141" s="33" t="n">
        <v>1201</v>
      </c>
      <c r="BF141" s="33" t="n">
        <v>1080</v>
      </c>
      <c r="BG141" s="33" t="n">
        <v>1071</v>
      </c>
      <c r="BH141" s="33" t="n">
        <v>1143</v>
      </c>
      <c r="BI141" s="33" t="n">
        <v>1340</v>
      </c>
      <c r="BJ141" s="33" t="n">
        <v>1328</v>
      </c>
      <c r="BK141" s="33" t="n">
        <v>1300</v>
      </c>
      <c r="BL141" s="33" t="n">
        <v>1510</v>
      </c>
    </row>
    <row r="142" ht="15.95" customHeight="1" s="574">
      <c r="A142" s="68" t="inlineStr">
        <is>
          <t>4568</t>
        </is>
      </c>
      <c r="B142" s="44">
        <f>銘柄管理!C142</f>
        <v/>
      </c>
      <c r="C142" s="669">
        <f>_xll.RssMarket("4568","安値")</f>
        <v/>
      </c>
      <c r="D142" s="661" t="n"/>
      <c r="E142" s="33" t="n">
        <v>2519</v>
      </c>
      <c r="F142" s="33" t="n">
        <v>2537</v>
      </c>
      <c r="G142" s="33" t="n">
        <v>2635</v>
      </c>
      <c r="H142" s="33" t="n">
        <v>2545</v>
      </c>
      <c r="I142" s="33" t="n">
        <v>2489.5</v>
      </c>
      <c r="J142" s="33" t="n">
        <v>2534.5</v>
      </c>
      <c r="K142" s="33" t="n">
        <v>2487.5</v>
      </c>
      <c r="L142" s="33" t="n">
        <v>2472</v>
      </c>
      <c r="M142" s="33" t="n">
        <v>2436</v>
      </c>
      <c r="N142" s="33" t="n">
        <v>2488</v>
      </c>
      <c r="O142" s="33" t="n">
        <v>2390</v>
      </c>
      <c r="P142" s="33" t="n">
        <v>2392</v>
      </c>
      <c r="Q142" s="33" t="n">
        <v>2488</v>
      </c>
      <c r="R142" s="33" t="n">
        <v>2548</v>
      </c>
      <c r="S142" s="33" t="n">
        <v>2700.5</v>
      </c>
      <c r="T142" s="33" t="n">
        <v>2655</v>
      </c>
      <c r="U142" s="33" t="n">
        <v>2668</v>
      </c>
      <c r="V142" s="33" t="n">
        <v>2680</v>
      </c>
      <c r="W142" s="33" t="n">
        <v>2617.5</v>
      </c>
      <c r="X142" s="33" t="n">
        <v>2617</v>
      </c>
      <c r="Y142" s="33" t="n">
        <v>2558</v>
      </c>
      <c r="Z142" s="33" t="n">
        <v>2573</v>
      </c>
      <c r="AA142" s="33" t="n">
        <v>2586</v>
      </c>
      <c r="AB142" s="33" t="n">
        <v>2531.5</v>
      </c>
      <c r="AC142" s="33" t="n">
        <v>2560.5</v>
      </c>
      <c r="AD142" s="33" t="n">
        <v>2673.5</v>
      </c>
      <c r="AE142" s="33" t="n">
        <v>2655.5</v>
      </c>
      <c r="AF142" s="33" t="n">
        <v>2560</v>
      </c>
      <c r="AG142" s="33" t="n">
        <v>2552</v>
      </c>
      <c r="AH142" s="33" t="n">
        <v>2443</v>
      </c>
      <c r="AI142" s="33" t="n">
        <v>2567.5</v>
      </c>
      <c r="AJ142" s="33" t="n">
        <v>2559</v>
      </c>
      <c r="AK142" s="33" t="n">
        <v>2545.5</v>
      </c>
      <c r="AL142" s="33" t="n">
        <v>2463</v>
      </c>
      <c r="AM142" s="33" t="n">
        <v>2488</v>
      </c>
      <c r="AN142" s="33" t="n">
        <v>2775</v>
      </c>
      <c r="AO142" s="33" t="n">
        <v>2817</v>
      </c>
      <c r="AP142" s="33" t="n">
        <v>2906.5</v>
      </c>
      <c r="AQ142" s="33" t="n">
        <v>2920</v>
      </c>
      <c r="AR142" s="33" t="n">
        <v>2865.5</v>
      </c>
      <c r="AS142" s="33" t="n">
        <v>2837.5</v>
      </c>
      <c r="AT142" s="33" t="n">
        <v>2739</v>
      </c>
      <c r="AU142" s="33" t="n">
        <v>2704.5</v>
      </c>
      <c r="AV142" s="33" t="n">
        <v>2727</v>
      </c>
      <c r="AW142" s="33" t="n">
        <v>2753.5</v>
      </c>
      <c r="AX142" s="33" t="n">
        <v>2785</v>
      </c>
      <c r="AY142" s="33" t="n">
        <v>2832.5</v>
      </c>
      <c r="AZ142" s="33" t="n">
        <v>2861.5</v>
      </c>
      <c r="BA142" s="33" t="n">
        <v>2858</v>
      </c>
      <c r="BB142" s="33" t="n">
        <v>2863.5</v>
      </c>
      <c r="BC142" s="33" t="n">
        <v>2878.5</v>
      </c>
      <c r="BD142" s="33" t="n">
        <v>2796.5</v>
      </c>
      <c r="BE142" s="33" t="n">
        <v>2766</v>
      </c>
      <c r="BF142" s="33" t="n">
        <v>2739</v>
      </c>
      <c r="BG142" s="33" t="n">
        <v>2876</v>
      </c>
      <c r="BH142" s="33" t="n">
        <v>2820.5</v>
      </c>
      <c r="BI142" s="33" t="n">
        <v>2973</v>
      </c>
      <c r="BJ142" s="33" t="n">
        <v>2972</v>
      </c>
      <c r="BK142" s="33" t="n">
        <v>2900.5</v>
      </c>
      <c r="BL142" s="33" t="n">
        <v>2903</v>
      </c>
    </row>
    <row r="143" ht="15.95" customHeight="1" s="574">
      <c r="A143" s="68" t="inlineStr">
        <is>
          <t>6522</t>
        </is>
      </c>
      <c r="B143" s="44" t="inlineStr">
        <is>
          <t>アスタリスク</t>
        </is>
      </c>
      <c r="C143" s="669">
        <f>_xll.RssMarket("6522","安値")</f>
        <v/>
      </c>
      <c r="D143" s="661">
        <f>C143-E143</f>
        <v/>
      </c>
      <c r="E143" s="33" t="n">
        <v>929</v>
      </c>
      <c r="F143" s="33" t="n">
        <v>843</v>
      </c>
      <c r="G143" s="33" t="n">
        <v>727</v>
      </c>
      <c r="H143" s="33" t="n">
        <v>716</v>
      </c>
      <c r="I143" s="33" t="n">
        <v>705</v>
      </c>
      <c r="J143" s="33" t="n">
        <v>693</v>
      </c>
      <c r="K143" s="33" t="n">
        <v>683</v>
      </c>
      <c r="L143" s="33" t="n">
        <v>724</v>
      </c>
      <c r="M143" s="33" t="n">
        <v>726</v>
      </c>
      <c r="N143" s="33" t="n">
        <v>720</v>
      </c>
      <c r="O143" s="33" t="n">
        <v>751</v>
      </c>
      <c r="P143" s="33" t="n">
        <v>765</v>
      </c>
      <c r="Q143" s="33" t="n">
        <v>776</v>
      </c>
      <c r="R143" s="33" t="n">
        <v>795</v>
      </c>
      <c r="S143" s="33" t="n">
        <v>789</v>
      </c>
      <c r="T143" s="33" t="n">
        <v>771</v>
      </c>
      <c r="U143" s="33" t="n">
        <v>804</v>
      </c>
      <c r="V143" s="33" t="n">
        <v>934</v>
      </c>
      <c r="W143" s="33" t="n">
        <v>920</v>
      </c>
      <c r="X143" s="33" t="n">
        <v>910</v>
      </c>
      <c r="Y143" s="33" t="n">
        <v>940</v>
      </c>
      <c r="Z143" s="33" t="n">
        <v>987</v>
      </c>
      <c r="AA143" s="33" t="n">
        <v>965</v>
      </c>
      <c r="AB143" s="33" t="n">
        <v>1000</v>
      </c>
      <c r="AC143" s="33" t="n">
        <v>1003</v>
      </c>
      <c r="AD143" s="33" t="n">
        <v>1013</v>
      </c>
      <c r="AE143" s="33" t="n">
        <v>1056</v>
      </c>
      <c r="AF143" s="33" t="n">
        <v>1156</v>
      </c>
      <c r="AG143" s="33" t="n">
        <v>1187</v>
      </c>
      <c r="AH143" s="33" t="n">
        <v>1129</v>
      </c>
      <c r="AI143" s="33" t="n">
        <v>1109</v>
      </c>
      <c r="AJ143" s="33" t="n">
        <v>1121</v>
      </c>
      <c r="AK143" s="33" t="n">
        <v>1156</v>
      </c>
      <c r="AL143" s="33" t="n">
        <v>1151</v>
      </c>
      <c r="AM143" s="33" t="n">
        <v>1157</v>
      </c>
      <c r="AN143" s="33" t="n">
        <v>1210</v>
      </c>
      <c r="AO143" s="33" t="n">
        <v>1320</v>
      </c>
      <c r="AP143" s="33" t="n">
        <v>1026</v>
      </c>
      <c r="AQ143" s="33" t="n">
        <v>1011</v>
      </c>
      <c r="AR143" s="33" t="n">
        <v>1023</v>
      </c>
      <c r="AS143" s="33" t="n">
        <v>941</v>
      </c>
      <c r="AT143" s="33" t="n">
        <v>893</v>
      </c>
      <c r="AU143" s="33" t="n">
        <v>996</v>
      </c>
      <c r="AV143" s="33" t="n">
        <v>971</v>
      </c>
      <c r="AW143" s="33" t="n">
        <v>975</v>
      </c>
      <c r="AX143" s="33" t="n">
        <v>956</v>
      </c>
      <c r="AY143" s="33" t="n">
        <v>1068</v>
      </c>
      <c r="AZ143" s="33" t="n">
        <v>1022</v>
      </c>
      <c r="BA143" s="33" t="n">
        <v>1038</v>
      </c>
      <c r="BB143" s="33" t="n">
        <v>1114</v>
      </c>
      <c r="BC143" s="33" t="n">
        <v>1018</v>
      </c>
      <c r="BD143" s="33" t="n">
        <v>1015</v>
      </c>
      <c r="BE143" s="33" t="n">
        <v>1163</v>
      </c>
      <c r="BF143" s="33" t="n">
        <v>1389</v>
      </c>
      <c r="BG143" s="33" t="n">
        <v>1380</v>
      </c>
      <c r="BH143" s="33" t="n">
        <v>1316</v>
      </c>
      <c r="BI143" s="33" t="n">
        <v>982</v>
      </c>
      <c r="BJ143" s="33" t="n">
        <v>990</v>
      </c>
      <c r="BK143" s="33" t="n">
        <v>1004</v>
      </c>
      <c r="BL143" s="33" t="n">
        <v>660</v>
      </c>
    </row>
    <row r="144" ht="15.95" customHeight="1" s="574">
      <c r="A144" s="68" t="inlineStr">
        <is>
          <t>6777</t>
        </is>
      </c>
      <c r="B144" s="44" t="inlineStr">
        <is>
          <t>ＳＡＮＴＥＣＨＯＬＤＩＮＧＳ</t>
        </is>
      </c>
      <c r="C144" s="669">
        <f>_xll.RssMarket("6777","安値")</f>
        <v/>
      </c>
      <c r="D144" s="661">
        <f>C144-E144</f>
        <v/>
      </c>
      <c r="E144" s="33" t="n">
        <v>28800</v>
      </c>
      <c r="F144" s="33" t="n">
        <v>28500</v>
      </c>
      <c r="G144" s="33" t="n">
        <v>26510</v>
      </c>
      <c r="H144" s="33" t="n">
        <v>25600</v>
      </c>
      <c r="I144" s="33" t="n">
        <v>25690</v>
      </c>
      <c r="J144" s="33" t="n">
        <v>24520</v>
      </c>
      <c r="K144" s="33" t="n">
        <v>22850</v>
      </c>
      <c r="L144" s="33" t="n">
        <v>22070</v>
      </c>
      <c r="M144" s="33" t="n">
        <v>23320</v>
      </c>
      <c r="N144" s="33" t="n">
        <v>21710</v>
      </c>
      <c r="O144" s="33" t="n">
        <v>24600</v>
      </c>
      <c r="P144" s="33" t="n">
        <v>25300</v>
      </c>
      <c r="Q144" s="33" t="n">
        <v>26120</v>
      </c>
      <c r="R144" s="33" t="n">
        <v>23910</v>
      </c>
      <c r="S144" s="33" t="n">
        <v>24120</v>
      </c>
      <c r="T144" s="33" t="n">
        <v>23900</v>
      </c>
      <c r="U144" s="33" t="n">
        <v>24270</v>
      </c>
      <c r="V144" s="33" t="n">
        <v>28250</v>
      </c>
      <c r="W144" s="33" t="n">
        <v>26990</v>
      </c>
      <c r="X144" s="33" t="n">
        <v>25720</v>
      </c>
      <c r="Y144" s="33" t="n">
        <v>26450</v>
      </c>
      <c r="Z144" s="33" t="n">
        <v>27620</v>
      </c>
      <c r="AA144" s="33" t="n">
        <v>31250</v>
      </c>
      <c r="AB144" s="33" t="n">
        <v>28940</v>
      </c>
      <c r="AC144" s="33" t="n">
        <v>31950</v>
      </c>
      <c r="AD144" s="33" t="n">
        <v>29700</v>
      </c>
      <c r="AE144" s="33" t="n">
        <v>29000</v>
      </c>
      <c r="AF144" s="33" t="n">
        <v>27050</v>
      </c>
      <c r="AG144" s="33" t="n">
        <v>26450</v>
      </c>
      <c r="AH144" s="33" t="n">
        <v>27550</v>
      </c>
      <c r="AI144" s="33" t="n">
        <v>27140</v>
      </c>
      <c r="AJ144" s="33" t="n">
        <v>27830</v>
      </c>
      <c r="AK144" s="33" t="n">
        <v>27860</v>
      </c>
      <c r="AL144" s="33" t="n">
        <v>27110</v>
      </c>
      <c r="AM144" s="33" t="n">
        <v>27850</v>
      </c>
      <c r="AN144" s="33" t="n">
        <v>29430</v>
      </c>
      <c r="AO144" s="33" t="n">
        <v>28600</v>
      </c>
      <c r="AP144" s="33" t="n">
        <v>28540</v>
      </c>
      <c r="AQ144" s="33" t="n">
        <v>26250</v>
      </c>
      <c r="AR144" s="33" t="n">
        <v>24120</v>
      </c>
      <c r="AS144" s="33" t="n">
        <v>23600</v>
      </c>
      <c r="AT144" s="33" t="n">
        <v>24350</v>
      </c>
      <c r="AU144" s="33" t="n">
        <v>24230</v>
      </c>
      <c r="AV144" s="33" t="n">
        <v>21410</v>
      </c>
      <c r="AW144" s="33" t="n">
        <v>20650</v>
      </c>
      <c r="AX144" s="33" t="n">
        <v>20610</v>
      </c>
      <c r="AY144" s="33" t="n">
        <v>20660</v>
      </c>
      <c r="AZ144" s="33" t="n">
        <v>19090</v>
      </c>
      <c r="BA144" s="33" t="n">
        <v>19160</v>
      </c>
      <c r="BB144" s="33" t="n">
        <v>18590</v>
      </c>
      <c r="BC144" s="33" t="n">
        <v>17230</v>
      </c>
      <c r="BD144" s="33" t="n">
        <v>17020</v>
      </c>
      <c r="BE144" s="33" t="n">
        <v>16030</v>
      </c>
      <c r="BF144" s="33" t="n">
        <v>16880</v>
      </c>
      <c r="BG144" s="33" t="n">
        <v>17960</v>
      </c>
      <c r="BH144" s="33" t="n">
        <v>18900</v>
      </c>
      <c r="BI144" s="33" t="n">
        <v>19170</v>
      </c>
      <c r="BJ144" s="33" t="n">
        <v>17990</v>
      </c>
      <c r="BK144" s="33" t="n">
        <v>18210</v>
      </c>
      <c r="BL144" s="33" t="n">
        <v>19870</v>
      </c>
    </row>
    <row r="145" ht="15.95" customHeight="1" s="574">
      <c r="A145" s="68" t="inlineStr">
        <is>
          <t>6787</t>
        </is>
      </c>
      <c r="B145" s="44" t="inlineStr">
        <is>
          <t>メイコー</t>
        </is>
      </c>
      <c r="C145" s="669">
        <f>_xll.RssMarket("6787","安値")</f>
        <v/>
      </c>
      <c r="D145" s="661">
        <f>C145-E145</f>
        <v/>
      </c>
      <c r="E145" s="33" t="n">
        <v>37050</v>
      </c>
      <c r="F145" s="33" t="n">
        <v>37400</v>
      </c>
      <c r="G145" s="33" t="n">
        <v>34950</v>
      </c>
      <c r="H145" s="33" t="n">
        <v>33600</v>
      </c>
      <c r="I145" s="33" t="n">
        <v>30150</v>
      </c>
      <c r="J145" s="33" t="n">
        <v>30400</v>
      </c>
      <c r="K145" s="33" t="n">
        <v>29860</v>
      </c>
      <c r="L145" s="33" t="n">
        <v>29160</v>
      </c>
      <c r="M145" s="33" t="n">
        <v>30600</v>
      </c>
      <c r="N145" s="33" t="n">
        <v>32500</v>
      </c>
      <c r="O145" s="33" t="n">
        <v>34150</v>
      </c>
      <c r="P145" s="33" t="n">
        <v>35400</v>
      </c>
      <c r="Q145" s="33" t="n">
        <v>37100</v>
      </c>
      <c r="R145" s="33" t="n">
        <v>36400</v>
      </c>
      <c r="S145" s="33" t="n">
        <v>37100</v>
      </c>
      <c r="T145" s="33" t="n">
        <v>36450</v>
      </c>
      <c r="U145" s="33" t="n">
        <v>37150</v>
      </c>
      <c r="V145" s="33" t="n">
        <v>41500</v>
      </c>
      <c r="W145" s="33" t="n">
        <v>40300</v>
      </c>
      <c r="X145" s="33" t="n">
        <v>36500</v>
      </c>
      <c r="Y145" s="33" t="n">
        <v>34300</v>
      </c>
      <c r="Z145" s="33" t="n">
        <v>36400</v>
      </c>
      <c r="AA145" s="33" t="n">
        <v>35300</v>
      </c>
      <c r="AB145" s="33" t="n">
        <v>38650</v>
      </c>
      <c r="AC145" s="33" t="n">
        <v>29220</v>
      </c>
      <c r="AD145" s="33" t="n">
        <v>30650</v>
      </c>
      <c r="AE145" s="33" t="n">
        <v>31500</v>
      </c>
      <c r="AF145" s="33" t="n">
        <v>30550</v>
      </c>
      <c r="AG145" s="33" t="n">
        <v>30950</v>
      </c>
      <c r="AH145" s="33" t="n">
        <v>29520</v>
      </c>
      <c r="AI145" s="33" t="n">
        <v>30600</v>
      </c>
      <c r="AJ145" s="33" t="n">
        <v>30150</v>
      </c>
      <c r="AK145" s="33" t="n">
        <v>29560</v>
      </c>
      <c r="AL145" s="33" t="n">
        <v>28770</v>
      </c>
      <c r="AM145" s="33" t="n">
        <v>27720</v>
      </c>
      <c r="AN145" s="33" t="n">
        <v>28070</v>
      </c>
      <c r="AO145" s="33" t="n">
        <v>27300</v>
      </c>
      <c r="AP145" s="33" t="n">
        <v>27010</v>
      </c>
      <c r="AQ145" s="33" t="n">
        <v>28480</v>
      </c>
      <c r="AR145" s="33" t="n">
        <v>27910</v>
      </c>
      <c r="AS145" s="33" t="n">
        <v>27720</v>
      </c>
      <c r="AT145" s="33" t="n">
        <v>27580</v>
      </c>
      <c r="AU145" s="33" t="n">
        <v>25300</v>
      </c>
      <c r="AV145" s="33" t="n">
        <v>26410</v>
      </c>
      <c r="AW145" s="33" t="n">
        <v>25790</v>
      </c>
      <c r="AX145" s="33" t="n">
        <v>25380</v>
      </c>
      <c r="AY145" s="33" t="n">
        <v>24000</v>
      </c>
      <c r="AZ145" s="33" t="n">
        <v>25670</v>
      </c>
      <c r="BA145" s="33" t="n">
        <v>26050</v>
      </c>
      <c r="BB145" s="33" t="n">
        <v>26640</v>
      </c>
      <c r="BC145" s="33" t="n">
        <v>26400</v>
      </c>
      <c r="BD145" s="33" t="n">
        <v>24010</v>
      </c>
      <c r="BE145" s="33" t="n">
        <v>26080</v>
      </c>
      <c r="BF145" s="33" t="n">
        <v>26890</v>
      </c>
      <c r="BG145" s="33" t="n">
        <v>28320</v>
      </c>
      <c r="BH145" s="33" t="n">
        <v>26410</v>
      </c>
      <c r="BI145" s="33" t="n">
        <v>25430</v>
      </c>
      <c r="BJ145" s="33" t="n">
        <v>24470</v>
      </c>
      <c r="BK145" s="33" t="n">
        <v>25100</v>
      </c>
      <c r="BL145" s="33" t="n">
        <v>25410</v>
      </c>
    </row>
    <row r="146" ht="15.95" customHeight="1" s="574">
      <c r="A146" s="68" t="inlineStr">
        <is>
          <t>4888</t>
        </is>
      </c>
      <c r="B146" s="44" t="inlineStr">
        <is>
          <t>ステラファーマ</t>
        </is>
      </c>
      <c r="C146" s="669">
        <f>_xll.RssMarket("4888","安値")</f>
        <v/>
      </c>
      <c r="D146" s="661">
        <f>C146-E146</f>
        <v/>
      </c>
      <c r="E146" s="33" t="n">
        <v>327</v>
      </c>
      <c r="F146" s="33" t="n">
        <v>346</v>
      </c>
      <c r="G146" s="33" t="n">
        <v>348</v>
      </c>
      <c r="H146" s="33" t="n">
        <v>333</v>
      </c>
      <c r="I146" s="33" t="n">
        <v>322</v>
      </c>
      <c r="J146" s="33" t="n">
        <v>325</v>
      </c>
      <c r="K146" s="33" t="n">
        <v>321</v>
      </c>
      <c r="L146" s="33" t="n">
        <v>299</v>
      </c>
      <c r="M146" s="33" t="n">
        <v>303</v>
      </c>
      <c r="N146" s="33" t="n">
        <v>288</v>
      </c>
      <c r="O146" s="33" t="n">
        <v>340</v>
      </c>
      <c r="P146" s="33" t="n">
        <v>341</v>
      </c>
      <c r="Q146" s="33" t="n">
        <v>330</v>
      </c>
      <c r="R146" s="33" t="n">
        <v>328</v>
      </c>
      <c r="S146" s="33" t="n">
        <v>352</v>
      </c>
      <c r="T146" s="33" t="n">
        <v>378</v>
      </c>
      <c r="U146" s="33" t="n">
        <v>363</v>
      </c>
      <c r="V146" s="33" t="n">
        <v>429</v>
      </c>
      <c r="W146" s="33" t="n">
        <v>438</v>
      </c>
      <c r="X146" s="33" t="n">
        <v>419</v>
      </c>
      <c r="Y146" s="33" t="n">
        <v>403</v>
      </c>
      <c r="Z146" s="33" t="n">
        <v>425</v>
      </c>
      <c r="AA146" s="33" t="n">
        <v>408</v>
      </c>
      <c r="AB146" s="33" t="n">
        <v>405</v>
      </c>
      <c r="AC146" s="33" t="n">
        <v>399</v>
      </c>
      <c r="AD146" s="33" t="n">
        <v>461</v>
      </c>
      <c r="AE146" s="33" t="n">
        <v>469</v>
      </c>
      <c r="AF146" s="33" t="n">
        <v>466</v>
      </c>
      <c r="AG146" s="33" t="n">
        <v>518</v>
      </c>
      <c r="AH146" s="33" t="n">
        <v>513</v>
      </c>
      <c r="AI146" s="33" t="n">
        <v>520</v>
      </c>
      <c r="AJ146" s="33" t="n">
        <v>500</v>
      </c>
      <c r="AK146" s="33" t="n">
        <v>510</v>
      </c>
      <c r="AL146" s="33" t="n">
        <v>525</v>
      </c>
      <c r="AM146" s="33" t="n">
        <v>531</v>
      </c>
      <c r="AN146" s="33" t="n">
        <v>519</v>
      </c>
      <c r="AO146" s="33" t="n">
        <v>558</v>
      </c>
      <c r="AP146" s="33" t="n">
        <v>620</v>
      </c>
      <c r="AQ146" s="33" t="n">
        <v>709</v>
      </c>
      <c r="AR146" s="33" t="n">
        <v>709</v>
      </c>
      <c r="AS146" s="33" t="n">
        <v>670</v>
      </c>
      <c r="AT146" s="33" t="n">
        <v>650</v>
      </c>
      <c r="AU146" s="33" t="n">
        <v>702</v>
      </c>
      <c r="AV146" s="33" t="n">
        <v>686</v>
      </c>
      <c r="AW146" s="33" t="n">
        <v>707</v>
      </c>
      <c r="AX146" s="33" t="n">
        <v>660</v>
      </c>
      <c r="AY146" s="33" t="n">
        <v>645</v>
      </c>
      <c r="AZ146" s="33" t="n">
        <v>581</v>
      </c>
      <c r="BA146" s="33" t="n">
        <v>534</v>
      </c>
      <c r="BB146" s="33" t="n">
        <v>578</v>
      </c>
      <c r="BC146" s="33" t="n">
        <v>656</v>
      </c>
      <c r="BD146" s="33" t="n">
        <v>682</v>
      </c>
      <c r="BE146" s="33" t="n">
        <v>738</v>
      </c>
      <c r="BF146" s="33" t="n">
        <v>732</v>
      </c>
      <c r="BG146" s="33" t="n">
        <v>725</v>
      </c>
      <c r="BH146" s="33" t="n">
        <v>716</v>
      </c>
      <c r="BI146" s="33" t="n">
        <v>786</v>
      </c>
      <c r="BJ146" s="33" t="n">
        <v>704</v>
      </c>
      <c r="BK146" s="33" t="n">
        <v>591</v>
      </c>
      <c r="BL146" s="33" t="n">
        <v>545</v>
      </c>
    </row>
    <row r="147" ht="15.95" customHeight="1" s="574">
      <c r="A147" s="68" t="inlineStr">
        <is>
          <t>6387</t>
        </is>
      </c>
      <c r="B147" s="44" t="inlineStr">
        <is>
          <t>サムコ</t>
        </is>
      </c>
      <c r="C147" s="669">
        <f>_xll.RssMarket("6387","安値")</f>
        <v/>
      </c>
      <c r="D147" s="661">
        <f>C147-E147</f>
        <v/>
      </c>
      <c r="E147" s="33" t="n">
        <v>14610</v>
      </c>
      <c r="F147" s="33" t="n">
        <v>14250</v>
      </c>
      <c r="G147" s="33" t="n">
        <v>15180</v>
      </c>
      <c r="H147" s="33" t="n">
        <v>14700</v>
      </c>
      <c r="I147" s="33" t="n">
        <v>15120</v>
      </c>
      <c r="J147" s="33" t="n">
        <v>13670</v>
      </c>
      <c r="K147" s="33" t="n">
        <v>11760</v>
      </c>
      <c r="L147" s="33" t="n">
        <v>10840</v>
      </c>
      <c r="M147" s="33" t="n">
        <v>11620</v>
      </c>
      <c r="N147" s="33" t="n">
        <v>11060</v>
      </c>
      <c r="O147" s="33" t="n">
        <v>11820</v>
      </c>
      <c r="P147" s="33" t="n">
        <v>12110</v>
      </c>
      <c r="Q147" s="33" t="n">
        <v>12220</v>
      </c>
      <c r="R147" s="33" t="n">
        <v>10510</v>
      </c>
      <c r="S147" s="33" t="n">
        <v>10080</v>
      </c>
      <c r="T147" s="33" t="n">
        <v>9900</v>
      </c>
      <c r="U147" s="33" t="n">
        <v>10390</v>
      </c>
      <c r="V147" s="33" t="n">
        <v>11580</v>
      </c>
      <c r="W147" s="33" t="n">
        <v>10910</v>
      </c>
      <c r="X147" s="33" t="n">
        <v>10500</v>
      </c>
      <c r="Y147" s="33" t="n">
        <v>10520</v>
      </c>
      <c r="Z147" s="33" t="n">
        <v>10910</v>
      </c>
      <c r="AA147" s="33" t="n">
        <v>11870</v>
      </c>
      <c r="AB147" s="33" t="n">
        <v>11890</v>
      </c>
      <c r="AC147" s="33" t="n">
        <v>13130</v>
      </c>
      <c r="AD147" s="33" t="n">
        <v>12340</v>
      </c>
      <c r="AE147" s="33" t="n">
        <v>12210</v>
      </c>
      <c r="AF147" s="33" t="n">
        <v>12800</v>
      </c>
      <c r="AG147" s="33" t="n">
        <v>12880</v>
      </c>
      <c r="AH147" s="33" t="n">
        <v>12520</v>
      </c>
      <c r="AI147" s="33" t="n">
        <v>11240</v>
      </c>
      <c r="AJ147" s="33" t="n">
        <v>11120</v>
      </c>
      <c r="AK147" s="33" t="n">
        <v>10840</v>
      </c>
      <c r="AL147" s="33" t="n">
        <v>10620</v>
      </c>
      <c r="AM147" s="33" t="n">
        <v>10550</v>
      </c>
      <c r="AN147" s="33" t="n">
        <v>10380</v>
      </c>
      <c r="AO147" s="33" t="n">
        <v>9350</v>
      </c>
      <c r="AP147" s="33" t="n">
        <v>9400</v>
      </c>
      <c r="AQ147" s="33" t="n">
        <v>9400</v>
      </c>
      <c r="AR147" s="33" t="n">
        <v>9600</v>
      </c>
      <c r="AS147" s="33" t="n">
        <v>9760</v>
      </c>
      <c r="AT147" s="33" t="n">
        <v>9600</v>
      </c>
      <c r="AU147" s="33" t="n">
        <v>10180</v>
      </c>
      <c r="AV147" s="33" t="n">
        <v>9090</v>
      </c>
      <c r="AW147" s="33" t="n">
        <v>8980</v>
      </c>
      <c r="AX147" s="33" t="n">
        <v>8910</v>
      </c>
      <c r="AY147" s="33" t="n">
        <v>8760</v>
      </c>
      <c r="AZ147" s="33" t="n">
        <v>8260</v>
      </c>
      <c r="BA147" s="33" t="n">
        <v>8250</v>
      </c>
      <c r="BB147" s="33" t="n">
        <v>8200</v>
      </c>
      <c r="BC147" s="33" t="n">
        <v>8140</v>
      </c>
      <c r="BD147" s="33" t="n">
        <v>8560</v>
      </c>
      <c r="BE147" s="33" t="n">
        <v>7720</v>
      </c>
      <c r="BF147" s="33" t="n">
        <v>7990</v>
      </c>
      <c r="BG147" s="33" t="n">
        <v>8230</v>
      </c>
      <c r="BH147" s="33" t="n">
        <v>8280</v>
      </c>
      <c r="BI147" s="33" t="n">
        <v>8000</v>
      </c>
      <c r="BJ147" s="33" t="n">
        <v>7590</v>
      </c>
      <c r="BK147" s="33" t="n">
        <v>7150</v>
      </c>
      <c r="BL147" s="33" t="n">
        <v>7360</v>
      </c>
    </row>
    <row r="148" ht="15.95" customHeight="1" s="574">
      <c r="A148" s="68" t="inlineStr">
        <is>
          <t>6838</t>
        </is>
      </c>
      <c r="B148" s="44" t="inlineStr">
        <is>
          <t>多摩川ホールディングス</t>
        </is>
      </c>
      <c r="C148" s="669">
        <f>_xll.RssMarket("6838","安値")</f>
        <v/>
      </c>
      <c r="D148" s="661">
        <f>C148-E148</f>
        <v/>
      </c>
      <c r="E148" s="33" t="n">
        <v>2001</v>
      </c>
      <c r="F148" s="33" t="n">
        <v>1940</v>
      </c>
      <c r="G148" s="33" t="n">
        <v>2086</v>
      </c>
      <c r="H148" s="33" t="n">
        <v>2122</v>
      </c>
      <c r="I148" s="33" t="n">
        <v>2280</v>
      </c>
      <c r="J148" s="33" t="n">
        <v>1788</v>
      </c>
      <c r="K148" s="33" t="n">
        <v>1720</v>
      </c>
      <c r="L148" s="33" t="n">
        <v>1655</v>
      </c>
      <c r="M148" s="33" t="n">
        <v>1800</v>
      </c>
      <c r="N148" s="33" t="n">
        <v>2086</v>
      </c>
      <c r="O148" s="33" t="n">
        <v>2320</v>
      </c>
      <c r="P148" s="33" t="n">
        <v>2220</v>
      </c>
      <c r="Q148" s="33" t="n">
        <v>2235</v>
      </c>
      <c r="R148" s="33" t="n">
        <v>2144</v>
      </c>
      <c r="S148" s="33" t="n">
        <v>2062</v>
      </c>
      <c r="T148" s="33" t="n">
        <v>2080</v>
      </c>
      <c r="U148" s="33" t="n">
        <v>2201</v>
      </c>
      <c r="V148" s="33" t="n">
        <v>2029</v>
      </c>
      <c r="W148" s="33" t="n">
        <v>1950</v>
      </c>
      <c r="X148" s="33" t="n">
        <v>1788</v>
      </c>
      <c r="Y148" s="33" t="n">
        <v>1870</v>
      </c>
      <c r="Z148" s="33" t="n">
        <v>1932</v>
      </c>
      <c r="AA148" s="33" t="n">
        <v>1984</v>
      </c>
      <c r="AB148" s="33" t="n">
        <v>1930</v>
      </c>
      <c r="AC148" s="33" t="n">
        <v>1873</v>
      </c>
      <c r="AD148" s="33" t="n">
        <v>1911</v>
      </c>
      <c r="AE148" s="33" t="n">
        <v>1954</v>
      </c>
      <c r="AF148" s="33" t="n">
        <v>1941</v>
      </c>
      <c r="AG148" s="33" t="n">
        <v>1714</v>
      </c>
      <c r="AH148" s="33" t="n">
        <v>1663</v>
      </c>
      <c r="AI148" s="33" t="n">
        <v>1623</v>
      </c>
      <c r="AJ148" s="33" t="n">
        <v>1583</v>
      </c>
      <c r="AK148" s="33" t="n">
        <v>1581</v>
      </c>
      <c r="AL148" s="33" t="n">
        <v>1571</v>
      </c>
      <c r="AM148" s="33" t="n">
        <v>1700</v>
      </c>
      <c r="AN148" s="33" t="n">
        <v>1757</v>
      </c>
      <c r="AO148" s="33" t="n">
        <v>1722</v>
      </c>
      <c r="AP148" s="33" t="n">
        <v>1704</v>
      </c>
      <c r="AQ148" s="33" t="n">
        <v>1615</v>
      </c>
      <c r="AR148" s="33" t="n">
        <v>1391</v>
      </c>
      <c r="AS148" s="33" t="n">
        <v>1268</v>
      </c>
      <c r="AT148" s="33" t="n">
        <v>1257</v>
      </c>
      <c r="AU148" s="33" t="n">
        <v>1278</v>
      </c>
      <c r="AV148" s="33" t="n">
        <v>1265</v>
      </c>
      <c r="AW148" s="33" t="n">
        <v>1262</v>
      </c>
      <c r="AX148" s="33" t="n">
        <v>1310</v>
      </c>
      <c r="AY148" s="33" t="n">
        <v>1361</v>
      </c>
      <c r="AZ148" s="33" t="n">
        <v>1317</v>
      </c>
      <c r="BA148" s="33" t="n">
        <v>1346</v>
      </c>
      <c r="BB148" s="33" t="n">
        <v>1237</v>
      </c>
      <c r="BC148" s="33" t="n">
        <v>1193</v>
      </c>
      <c r="BD148" s="33" t="n">
        <v>1174</v>
      </c>
      <c r="BE148" s="33" t="n">
        <v>1172</v>
      </c>
      <c r="BF148" s="33" t="n">
        <v>1191</v>
      </c>
      <c r="BG148" s="33" t="n">
        <v>1271</v>
      </c>
      <c r="BH148" s="33" t="n">
        <v>1307</v>
      </c>
      <c r="BI148" s="33" t="n">
        <v>1305</v>
      </c>
      <c r="BJ148" s="33" t="n">
        <v>1262</v>
      </c>
      <c r="BK148" s="33" t="n">
        <v>1323</v>
      </c>
      <c r="BL148" s="33" t="n">
        <v>1481</v>
      </c>
    </row>
    <row r="149" ht="15.95" customHeight="1" s="574">
      <c r="A149" s="68" t="inlineStr">
        <is>
          <t>7375</t>
        </is>
      </c>
      <c r="B149" s="44" t="inlineStr">
        <is>
          <t>リファインバースグループ</t>
        </is>
      </c>
      <c r="C149" s="669">
        <f>_xll.RssMarket("7375","安値")</f>
        <v/>
      </c>
      <c r="D149" s="661">
        <f>C149-E149</f>
        <v/>
      </c>
      <c r="E149" s="33" t="n">
        <v>1372</v>
      </c>
      <c r="F149" s="33" t="n">
        <v>1335</v>
      </c>
      <c r="G149" s="33" t="n">
        <v>1314</v>
      </c>
      <c r="H149" s="33" t="n">
        <v>1312</v>
      </c>
      <c r="I149" s="33" t="n">
        <v>1261</v>
      </c>
      <c r="J149" s="33" t="n">
        <v>1220</v>
      </c>
      <c r="K149" s="33" t="n">
        <v>1268</v>
      </c>
      <c r="L149" s="33" t="n">
        <v>1306</v>
      </c>
      <c r="M149" s="33" t="n">
        <v>1307</v>
      </c>
      <c r="N149" s="33" t="n">
        <v>1365</v>
      </c>
      <c r="O149" s="33" t="n">
        <v>1360</v>
      </c>
      <c r="P149" s="33" t="n">
        <v>1394</v>
      </c>
      <c r="Q149" s="33" t="n">
        <v>1340</v>
      </c>
      <c r="R149" s="33" t="n">
        <v>1406</v>
      </c>
      <c r="S149" s="33" t="n">
        <v>1453</v>
      </c>
      <c r="T149" s="33" t="n">
        <v>1562</v>
      </c>
      <c r="U149" s="33" t="n">
        <v>1582</v>
      </c>
      <c r="V149" s="33" t="n">
        <v>1839</v>
      </c>
      <c r="W149" s="33" t="n">
        <v>1716</v>
      </c>
      <c r="X149" s="33" t="n">
        <v>1705</v>
      </c>
      <c r="Y149" s="33" t="n">
        <v>1820</v>
      </c>
      <c r="Z149" s="33" t="n">
        <v>1880</v>
      </c>
      <c r="AA149" s="33" t="n">
        <v>1801</v>
      </c>
      <c r="AB149" s="33" t="n">
        <v>1497</v>
      </c>
      <c r="AC149" s="33" t="n">
        <v>1526</v>
      </c>
      <c r="AD149" s="33" t="n">
        <v>1594</v>
      </c>
      <c r="AE149" s="33" t="n">
        <v>1621</v>
      </c>
      <c r="AF149" s="33" t="n">
        <v>1650</v>
      </c>
      <c r="AG149" s="33" t="n">
        <v>1704</v>
      </c>
      <c r="AH149" s="33" t="n">
        <v>1650</v>
      </c>
      <c r="AI149" s="33" t="n">
        <v>1852</v>
      </c>
      <c r="AJ149" s="33" t="n">
        <v>2111</v>
      </c>
      <c r="AK149" s="33" t="n">
        <v>1982</v>
      </c>
      <c r="AL149" s="33" t="n">
        <v>1907</v>
      </c>
      <c r="AM149" s="33" t="n">
        <v>2024</v>
      </c>
      <c r="AN149" s="33" t="n">
        <v>2024</v>
      </c>
      <c r="AO149" s="33" t="n">
        <v>2215</v>
      </c>
      <c r="AP149" s="33" t="n">
        <v>2172</v>
      </c>
      <c r="AQ149" s="33" t="n">
        <v>1862</v>
      </c>
      <c r="AR149" s="33" t="n">
        <v>1970</v>
      </c>
      <c r="AS149" s="33" t="n">
        <v>1935</v>
      </c>
      <c r="AT149" s="33" t="n">
        <v>1961</v>
      </c>
      <c r="AU149" s="33" t="n">
        <v>1566</v>
      </c>
      <c r="AV149" s="33" t="n">
        <v>1433</v>
      </c>
      <c r="AW149" s="33" t="n">
        <v>1330</v>
      </c>
      <c r="AX149" s="33" t="n">
        <v>1410</v>
      </c>
      <c r="AY149" s="33" t="n">
        <v>1533</v>
      </c>
      <c r="AZ149" s="33" t="n">
        <v>1878</v>
      </c>
      <c r="BA149" s="33" t="n">
        <v>1609</v>
      </c>
      <c r="BB149" s="33" t="n">
        <v>1498</v>
      </c>
      <c r="BC149" s="33" t="n">
        <v>1231</v>
      </c>
      <c r="BD149" s="33" t="n">
        <v>1091</v>
      </c>
      <c r="BE149" s="33" t="n">
        <v>1160</v>
      </c>
      <c r="BF149" s="33" t="n">
        <v>1252</v>
      </c>
      <c r="BG149" s="33" t="n">
        <v>1212</v>
      </c>
      <c r="BH149" s="33" t="n">
        <v>1089</v>
      </c>
      <c r="BI149" s="33" t="n">
        <v>1031</v>
      </c>
      <c r="BJ149" s="33" t="n">
        <v>1016</v>
      </c>
      <c r="BK149" s="33" t="n">
        <v>1093</v>
      </c>
      <c r="BL149" s="33" t="n">
        <v>1027</v>
      </c>
    </row>
    <row r="150" ht="15.95" customHeight="1" s="574">
      <c r="A150" s="68" t="inlineStr">
        <is>
          <t>4307</t>
        </is>
      </c>
      <c r="B150" s="44" t="inlineStr">
        <is>
          <t>野村総合研究所</t>
        </is>
      </c>
      <c r="C150" s="669">
        <f>_xll.RssMarket("4307","安値")</f>
        <v/>
      </c>
      <c r="D150" s="661">
        <f>C150-E150</f>
        <v/>
      </c>
      <c r="E150" s="33" t="n">
        <v>4228</v>
      </c>
      <c r="F150" s="33" t="n">
        <v>4358</v>
      </c>
      <c r="G150" s="33" t="n">
        <v>4551</v>
      </c>
      <c r="H150" s="33" t="n">
        <v>4475</v>
      </c>
      <c r="I150" s="33" t="n">
        <v>4401</v>
      </c>
      <c r="J150" s="33" t="n">
        <v>4550</v>
      </c>
      <c r="K150" s="33" t="n">
        <v>4464</v>
      </c>
      <c r="L150" s="33" t="n">
        <v>4562</v>
      </c>
      <c r="M150" s="33" t="n">
        <v>4605</v>
      </c>
      <c r="N150" s="33" t="n">
        <v>4692</v>
      </c>
      <c r="O150" s="33" t="n">
        <v>4780</v>
      </c>
      <c r="P150" s="33" t="n">
        <v>4638</v>
      </c>
      <c r="Q150" s="33" t="n">
        <v>4780</v>
      </c>
      <c r="R150" s="33" t="n">
        <v>5009</v>
      </c>
      <c r="S150" s="33" t="n">
        <v>4938</v>
      </c>
      <c r="T150" s="33" t="n">
        <v>4700</v>
      </c>
      <c r="U150" s="33" t="n">
        <v>4570</v>
      </c>
      <c r="V150" s="33" t="n">
        <v>4532</v>
      </c>
      <c r="W150" s="33" t="n">
        <v>4571</v>
      </c>
      <c r="X150" s="33" t="n">
        <v>4653</v>
      </c>
      <c r="Y150" s="33" t="n">
        <v>4668</v>
      </c>
      <c r="Z150" s="33" t="n">
        <v>4640</v>
      </c>
      <c r="AA150" s="33" t="n">
        <v>4415</v>
      </c>
      <c r="AB150" s="33" t="n">
        <v>4201</v>
      </c>
      <c r="AC150" s="33" t="n">
        <v>4126</v>
      </c>
      <c r="AD150" s="33" t="n">
        <v>4230</v>
      </c>
      <c r="AE150" s="33" t="n">
        <v>4148</v>
      </c>
      <c r="AF150" s="33" t="n">
        <v>4280</v>
      </c>
      <c r="AG150" s="33" t="n">
        <v>4270</v>
      </c>
      <c r="AH150" s="33" t="n">
        <v>4113</v>
      </c>
      <c r="AI150" s="33" t="n">
        <v>4054</v>
      </c>
      <c r="AJ150" s="33" t="n">
        <v>4098</v>
      </c>
      <c r="AK150" s="33" t="n">
        <v>4286</v>
      </c>
      <c r="AL150" s="33" t="n">
        <v>4357</v>
      </c>
      <c r="AM150" s="33" t="n">
        <v>4974</v>
      </c>
      <c r="AN150" s="33" t="n">
        <v>4951</v>
      </c>
      <c r="AO150" s="33" t="n">
        <v>5050</v>
      </c>
      <c r="AP150" s="33" t="n">
        <v>4967</v>
      </c>
      <c r="AQ150" s="33" t="n">
        <v>4926</v>
      </c>
      <c r="AR150" s="33" t="n">
        <v>4885</v>
      </c>
      <c r="AS150" s="33" t="n">
        <v>4861</v>
      </c>
      <c r="AT150" s="33" t="n">
        <v>4757</v>
      </c>
      <c r="AU150" s="33" t="n">
        <v>4613</v>
      </c>
      <c r="AV150" s="33" t="n">
        <v>4374</v>
      </c>
      <c r="AW150" s="33" t="n">
        <v>4392</v>
      </c>
      <c r="AX150" s="33" t="n">
        <v>4435</v>
      </c>
      <c r="AY150" s="33" t="n">
        <v>4489</v>
      </c>
      <c r="AZ150" s="33" t="n">
        <v>4443</v>
      </c>
      <c r="BA150" s="33" t="n">
        <v>4435</v>
      </c>
      <c r="BB150" s="33" t="n">
        <v>4414</v>
      </c>
      <c r="BC150" s="33" t="n">
        <v>4400</v>
      </c>
      <c r="BD150" s="33" t="n">
        <v>4426</v>
      </c>
      <c r="BE150" s="33" t="n">
        <v>4297</v>
      </c>
      <c r="BF150" s="33" t="n">
        <v>4076</v>
      </c>
      <c r="BG150" s="33" t="n">
        <v>4247</v>
      </c>
      <c r="BH150" s="33" t="n">
        <v>4182</v>
      </c>
      <c r="BI150" s="33" t="n">
        <v>4125</v>
      </c>
      <c r="BJ150" s="33" t="n">
        <v>4253</v>
      </c>
      <c r="BK150" s="33" t="n">
        <v>4188</v>
      </c>
      <c r="BL150" s="33" t="n">
        <v>4274</v>
      </c>
    </row>
    <row r="151" ht="15.95" customHeight="1" s="574">
      <c r="A151" s="68" t="inlineStr">
        <is>
          <t>6516</t>
        </is>
      </c>
      <c r="B151" s="44" t="inlineStr">
        <is>
          <t>山洋電気</t>
        </is>
      </c>
      <c r="C151" s="669">
        <f>_xll.RssMarket("6516","安値")</f>
        <v/>
      </c>
      <c r="D151" s="661">
        <f>C151-E151</f>
        <v/>
      </c>
      <c r="E151" s="33" t="n">
        <v>6820</v>
      </c>
      <c r="F151" s="33" t="n">
        <v>6720</v>
      </c>
      <c r="G151" s="33" t="n">
        <v>6760</v>
      </c>
      <c r="H151" s="33" t="n">
        <v>6430</v>
      </c>
      <c r="I151" s="33" t="n">
        <v>6500</v>
      </c>
      <c r="J151" s="33" t="n">
        <v>6490</v>
      </c>
      <c r="K151" s="33" t="n">
        <v>6220</v>
      </c>
      <c r="L151" s="33" t="n">
        <v>6000</v>
      </c>
      <c r="M151" s="33" t="n">
        <v>6180</v>
      </c>
      <c r="N151" s="33" t="n">
        <v>6230</v>
      </c>
      <c r="O151" s="33" t="n">
        <v>6470</v>
      </c>
      <c r="P151" s="33" t="n">
        <v>6600</v>
      </c>
      <c r="Q151" s="33" t="n">
        <v>6430</v>
      </c>
      <c r="R151" s="33" t="n">
        <v>6290</v>
      </c>
      <c r="S151" s="33" t="n">
        <v>6700</v>
      </c>
      <c r="T151" s="33" t="n">
        <v>6570</v>
      </c>
      <c r="U151" s="33" t="n">
        <v>6790</v>
      </c>
      <c r="V151" s="33" t="n">
        <v>7020</v>
      </c>
      <c r="W151" s="33" t="n">
        <v>7080</v>
      </c>
      <c r="X151" s="33" t="n">
        <v>6960</v>
      </c>
      <c r="Y151" s="33" t="n">
        <v>6740</v>
      </c>
      <c r="Z151" s="33" t="n">
        <v>6960</v>
      </c>
      <c r="AA151" s="33" t="n">
        <v>7240</v>
      </c>
      <c r="AB151" s="33" t="n">
        <v>7280</v>
      </c>
      <c r="AC151" s="33" t="n">
        <v>7460</v>
      </c>
      <c r="AD151" s="33" t="n">
        <v>7390</v>
      </c>
      <c r="AE151" s="33" t="n">
        <v>7320</v>
      </c>
      <c r="AF151" s="33" t="n">
        <v>7380</v>
      </c>
      <c r="AG151" s="33" t="n">
        <v>7070</v>
      </c>
      <c r="AH151" s="33" t="n">
        <v>7010</v>
      </c>
      <c r="AI151" s="33" t="n">
        <v>6650</v>
      </c>
      <c r="AJ151" s="33" t="n">
        <v>6900</v>
      </c>
      <c r="AK151" s="33" t="n">
        <v>6740</v>
      </c>
      <c r="AL151" s="33" t="n">
        <v>5630</v>
      </c>
      <c r="AM151" s="33" t="n">
        <v>5190</v>
      </c>
      <c r="AN151" s="33" t="n">
        <v>5110</v>
      </c>
      <c r="AO151" s="33" t="n">
        <v>5130</v>
      </c>
      <c r="AP151" s="33" t="n">
        <v>5210</v>
      </c>
      <c r="AQ151" s="33" t="n">
        <v>5100</v>
      </c>
      <c r="AR151" s="33" t="n">
        <v>5100</v>
      </c>
      <c r="AS151" s="33" t="n">
        <v>5170</v>
      </c>
      <c r="AT151" s="33" t="n">
        <v>5160</v>
      </c>
      <c r="AU151" s="33" t="n">
        <v>5060</v>
      </c>
      <c r="AV151" s="33" t="n">
        <v>4960</v>
      </c>
      <c r="AW151" s="33" t="n">
        <v>4940</v>
      </c>
      <c r="AX151" s="33" t="n">
        <v>4810</v>
      </c>
      <c r="AY151" s="33" t="n">
        <v>4755</v>
      </c>
      <c r="AZ151" s="33" t="n">
        <v>4560</v>
      </c>
      <c r="BA151" s="33" t="n">
        <v>4560</v>
      </c>
      <c r="BB151" s="33" t="n">
        <v>4490</v>
      </c>
      <c r="BC151" s="33" t="n">
        <v>4485</v>
      </c>
      <c r="BD151" s="33" t="n">
        <v>4475</v>
      </c>
      <c r="BE151" s="33" t="n">
        <v>4300</v>
      </c>
      <c r="BF151" s="33" t="n">
        <v>4200</v>
      </c>
      <c r="BG151" s="33" t="n">
        <v>4430</v>
      </c>
      <c r="BH151" s="33" t="n">
        <v>4475</v>
      </c>
      <c r="BI151" s="33" t="n">
        <v>4510</v>
      </c>
      <c r="BJ151" s="33" t="n">
        <v>4340</v>
      </c>
      <c r="BK151" s="33" t="n">
        <v>4265</v>
      </c>
      <c r="BL151" s="33" t="n">
        <v>4605</v>
      </c>
    </row>
    <row r="152" ht="15.95" customHeight="1" s="574">
      <c r="A152" s="68" t="inlineStr">
        <is>
          <t>7381</t>
        </is>
      </c>
      <c r="B152" s="44" t="inlineStr">
        <is>
          <t>ＣＣＩグループ</t>
        </is>
      </c>
      <c r="C152" s="669">
        <f>_xll.RssMarket("7381","安値")</f>
        <v/>
      </c>
      <c r="D152" s="661">
        <f>C152-E152</f>
        <v/>
      </c>
      <c r="E152" s="33" t="n">
        <v>951</v>
      </c>
      <c r="F152" s="33" t="n">
        <v>945</v>
      </c>
      <c r="G152" s="33" t="n">
        <v>970</v>
      </c>
      <c r="H152" s="33" t="n">
        <v>975</v>
      </c>
      <c r="I152" s="33" t="n">
        <v>1003</v>
      </c>
      <c r="J152" s="33" t="n">
        <v>983</v>
      </c>
      <c r="K152" s="33" t="n">
        <v>956</v>
      </c>
      <c r="L152" s="33" t="n">
        <v>976</v>
      </c>
      <c r="M152" s="33" t="n">
        <v>969</v>
      </c>
      <c r="N152" s="33" t="n">
        <v>1028</v>
      </c>
      <c r="O152" s="33" t="n">
        <v>1002</v>
      </c>
      <c r="P152" s="33" t="n">
        <v>1011</v>
      </c>
      <c r="Q152" s="33" t="n">
        <v>967</v>
      </c>
      <c r="R152" s="33" t="n">
        <v>1034</v>
      </c>
      <c r="S152" s="33" t="n">
        <v>1010</v>
      </c>
      <c r="T152" s="33" t="n">
        <v>1038</v>
      </c>
      <c r="U152" s="33" t="n">
        <v>1052</v>
      </c>
      <c r="V152" s="33" t="n">
        <v>1047</v>
      </c>
      <c r="W152" s="33" t="n">
        <v>1008</v>
      </c>
      <c r="X152" s="33" t="n">
        <v>1009</v>
      </c>
      <c r="Y152" s="33" t="n">
        <v>1024</v>
      </c>
      <c r="Z152" s="33" t="n">
        <v>1033</v>
      </c>
      <c r="AA152" s="33" t="n">
        <v>1020</v>
      </c>
      <c r="AB152" s="33" t="n">
        <v>1011</v>
      </c>
      <c r="AC152" s="33" t="n">
        <v>1003</v>
      </c>
      <c r="AD152" s="33" t="n">
        <v>997</v>
      </c>
      <c r="AE152" s="33" t="n">
        <v>986</v>
      </c>
      <c r="AF152" s="33" t="n">
        <v>975</v>
      </c>
      <c r="AG152" s="33" t="n">
        <v>937</v>
      </c>
      <c r="AH152" s="33" t="n">
        <v>921</v>
      </c>
      <c r="AI152" s="33" t="n">
        <v>907</v>
      </c>
      <c r="AJ152" s="33" t="n">
        <v>896</v>
      </c>
      <c r="AK152" s="33" t="n">
        <v>900</v>
      </c>
      <c r="AL152" s="33" t="n">
        <v>909</v>
      </c>
      <c r="AM152" s="33" t="n">
        <v>923</v>
      </c>
      <c r="AN152" s="33" t="n">
        <v>964</v>
      </c>
      <c r="AO152" s="33" t="n">
        <v>997</v>
      </c>
      <c r="AP152" s="33" t="n">
        <v>1009</v>
      </c>
      <c r="AQ152" s="33" t="n">
        <v>1034</v>
      </c>
      <c r="AR152" s="33" t="n">
        <v>1029</v>
      </c>
      <c r="AS152" s="33" t="n">
        <v>1012</v>
      </c>
      <c r="AT152" s="33" t="n">
        <v>1008</v>
      </c>
      <c r="AU152" s="33" t="n">
        <v>1021</v>
      </c>
      <c r="AV152" s="33" t="n">
        <v>1023</v>
      </c>
      <c r="AW152" s="33" t="n">
        <v>1033</v>
      </c>
      <c r="AX152" s="33" t="n">
        <v>1006</v>
      </c>
      <c r="AY152" s="33" t="n">
        <v>990</v>
      </c>
      <c r="AZ152" s="33" t="n">
        <v>976</v>
      </c>
      <c r="BA152" s="33" t="n">
        <v>975</v>
      </c>
      <c r="BB152" s="33" t="n">
        <v>964</v>
      </c>
      <c r="BC152" s="33" t="n">
        <v>924</v>
      </c>
      <c r="BD152" s="33" t="n">
        <v>921</v>
      </c>
      <c r="BE152" s="33" t="n">
        <v>967</v>
      </c>
      <c r="BF152" s="33" t="n">
        <v>954</v>
      </c>
      <c r="BG152" s="33" t="n">
        <v>970</v>
      </c>
      <c r="BH152" s="33" t="n">
        <v>931</v>
      </c>
      <c r="BI152" s="33" t="n">
        <v>902</v>
      </c>
      <c r="BJ152" s="33" t="n">
        <v>962</v>
      </c>
      <c r="BK152" s="33" t="n">
        <v>976</v>
      </c>
      <c r="BL152" s="33" t="n">
        <v>960</v>
      </c>
    </row>
    <row r="153" ht="15.95" customHeight="1" s="574">
      <c r="A153" s="68" t="inlineStr">
        <is>
          <t>4417</t>
        </is>
      </c>
      <c r="B153" s="44" t="inlineStr">
        <is>
          <t>グローバルセキュ</t>
        </is>
      </c>
      <c r="C153" s="669">
        <f>_xll.RssMarket("4417","安値")</f>
        <v/>
      </c>
      <c r="D153" s="661">
        <f>C153-E153</f>
        <v/>
      </c>
      <c r="E153" s="33" t="n">
        <v>3240</v>
      </c>
      <c r="F153" s="33" t="n">
        <v>3215</v>
      </c>
      <c r="G153" s="33" t="n">
        <v>3225</v>
      </c>
      <c r="H153" s="33" t="n">
        <v>3070</v>
      </c>
      <c r="I153" s="33" t="n">
        <v>3030</v>
      </c>
      <c r="J153" s="33" t="n">
        <v>3055</v>
      </c>
      <c r="K153" s="33" t="n">
        <v>2958</v>
      </c>
      <c r="L153" s="33" t="n">
        <v>3075</v>
      </c>
      <c r="M153" s="33" t="n">
        <v>2958</v>
      </c>
      <c r="N153" s="33" t="n">
        <v>3040</v>
      </c>
      <c r="O153" s="33" t="n">
        <v>2991</v>
      </c>
      <c r="P153" s="33" t="n">
        <v>3115</v>
      </c>
      <c r="Q153" s="33" t="n">
        <v>3230</v>
      </c>
      <c r="R153" s="33" t="n">
        <v>3285</v>
      </c>
      <c r="S153" s="33" t="n">
        <v>3165</v>
      </c>
      <c r="T153" s="33" t="n">
        <v>3280</v>
      </c>
      <c r="U153" s="33" t="n">
        <v>3260</v>
      </c>
      <c r="V153" s="33" t="n">
        <v>3080</v>
      </c>
      <c r="W153" s="33" t="n">
        <v>2988</v>
      </c>
      <c r="X153" s="33" t="n">
        <v>2851</v>
      </c>
      <c r="Y153" s="33" t="n">
        <v>2839</v>
      </c>
      <c r="Z153" s="33" t="n">
        <v>2710</v>
      </c>
      <c r="AA153" s="33" t="n">
        <v>2702</v>
      </c>
      <c r="AB153" s="33" t="n">
        <v>2721</v>
      </c>
      <c r="AC153" s="33" t="n">
        <v>2914</v>
      </c>
      <c r="AD153" s="33" t="n">
        <v>2881</v>
      </c>
      <c r="AE153" s="33" t="n">
        <v>2836</v>
      </c>
      <c r="AF153" s="33" t="n">
        <v>2705</v>
      </c>
      <c r="AG153" s="33" t="n">
        <v>2678</v>
      </c>
      <c r="AH153" s="33" t="n">
        <v>2660</v>
      </c>
      <c r="AI153" s="33" t="n">
        <v>2411</v>
      </c>
      <c r="AJ153" s="33" t="n">
        <v>2452</v>
      </c>
      <c r="AK153" s="33" t="n">
        <v>2450</v>
      </c>
      <c r="AL153" s="33" t="n">
        <v>2450</v>
      </c>
      <c r="AM153" s="33" t="n">
        <v>2438</v>
      </c>
      <c r="AN153" s="33" t="n">
        <v>2440</v>
      </c>
      <c r="AO153" s="33" t="n">
        <v>2423</v>
      </c>
      <c r="AP153" s="33" t="n">
        <v>2483</v>
      </c>
      <c r="AQ153" s="33" t="n">
        <v>2464</v>
      </c>
      <c r="AR153" s="33" t="n">
        <v>2456</v>
      </c>
      <c r="AS153" s="33" t="n">
        <v>2281</v>
      </c>
      <c r="AT153" s="33" t="n">
        <v>2228</v>
      </c>
      <c r="AU153" s="33" t="n">
        <v>2232</v>
      </c>
      <c r="AV153" s="33" t="n">
        <v>2450</v>
      </c>
      <c r="AW153" s="33" t="n">
        <v>2503</v>
      </c>
      <c r="AX153" s="33" t="n">
        <v>2558</v>
      </c>
      <c r="AY153" s="33" t="n">
        <v>2490</v>
      </c>
      <c r="AZ153" s="33" t="n">
        <v>2505</v>
      </c>
      <c r="BA153" s="33" t="n">
        <v>2493</v>
      </c>
      <c r="BB153" s="33" t="n">
        <v>2459</v>
      </c>
      <c r="BC153" s="33" t="n">
        <v>2426</v>
      </c>
      <c r="BD153" s="33" t="n">
        <v>2305</v>
      </c>
      <c r="BE153" s="33" t="n">
        <v>2201</v>
      </c>
      <c r="BF153" s="33" t="n">
        <v>2333</v>
      </c>
      <c r="BG153" s="33" t="n">
        <v>2350</v>
      </c>
      <c r="BH153" s="33" t="n">
        <v>2401</v>
      </c>
      <c r="BI153" s="33" t="n">
        <v>2350</v>
      </c>
      <c r="BJ153" s="33" t="n">
        <v>2300</v>
      </c>
      <c r="BK153" s="33" t="n">
        <v>2381</v>
      </c>
      <c r="BL153" s="33" t="n">
        <v>2413</v>
      </c>
    </row>
    <row r="154" ht="15.95" customHeight="1" s="574">
      <c r="A154" s="68" t="inlineStr">
        <is>
          <t>6981</t>
        </is>
      </c>
      <c r="B154" s="44" t="inlineStr">
        <is>
          <t>村田製作所</t>
        </is>
      </c>
      <c r="C154" s="669">
        <f>_xll.RssMarket("6981","安値")</f>
        <v/>
      </c>
      <c r="D154" s="661">
        <f>C154-E154</f>
        <v/>
      </c>
      <c r="E154" s="33" t="n">
        <v>12120</v>
      </c>
      <c r="F154" s="33" t="n">
        <v>11280</v>
      </c>
      <c r="G154" s="33" t="n">
        <v>11715</v>
      </c>
      <c r="H154" s="33" t="n">
        <v>10200</v>
      </c>
      <c r="I154" s="33" t="n">
        <v>10320</v>
      </c>
      <c r="J154" s="33" t="n">
        <v>9415</v>
      </c>
      <c r="K154" s="33" t="n">
        <v>8521</v>
      </c>
      <c r="L154" s="33" t="n">
        <v>8083</v>
      </c>
      <c r="M154" s="33" t="n">
        <v>8550</v>
      </c>
      <c r="N154" s="33" t="n">
        <v>8624</v>
      </c>
      <c r="O154" s="33" t="n">
        <v>9225</v>
      </c>
      <c r="P154" s="33" t="n">
        <v>9858</v>
      </c>
      <c r="Q154" s="33" t="n">
        <v>9928</v>
      </c>
      <c r="R154" s="33" t="n">
        <v>9700</v>
      </c>
      <c r="S154" s="33" t="n">
        <v>9033</v>
      </c>
      <c r="T154" s="33" t="n">
        <v>7700</v>
      </c>
      <c r="U154" s="33" t="n">
        <v>7750</v>
      </c>
      <c r="V154" s="33" t="n">
        <v>7315</v>
      </c>
      <c r="W154" s="33" t="n">
        <v>6659</v>
      </c>
      <c r="X154" s="33" t="n">
        <v>6316</v>
      </c>
      <c r="Y154" s="33" t="n">
        <v>5825</v>
      </c>
      <c r="Z154" s="33" t="n">
        <v>6128</v>
      </c>
      <c r="AA154" s="33" t="n">
        <v>5930</v>
      </c>
      <c r="AB154" s="33" t="n">
        <v>6035</v>
      </c>
      <c r="AC154" s="33" t="n">
        <v>6138</v>
      </c>
      <c r="AD154" s="33" t="n">
        <v>5900</v>
      </c>
      <c r="AE154" s="33" t="n">
        <v>6040</v>
      </c>
      <c r="AF154" s="33" t="n">
        <v>5808</v>
      </c>
      <c r="AG154" s="33" t="n">
        <v>5551</v>
      </c>
      <c r="AH154" s="33" t="n">
        <v>5398</v>
      </c>
      <c r="AI154" s="33" t="n">
        <v>4905</v>
      </c>
      <c r="AJ154" s="33" t="n">
        <v>4750</v>
      </c>
      <c r="AK154" s="33" t="n">
        <v>4810</v>
      </c>
      <c r="AL154" s="33" t="n">
        <v>4770</v>
      </c>
      <c r="AM154" s="33" t="n">
        <v>4890</v>
      </c>
      <c r="AN154" s="33" t="n">
        <v>4672</v>
      </c>
      <c r="AO154" s="33" t="n">
        <v>4821</v>
      </c>
      <c r="AP154" s="33" t="n">
        <v>4736</v>
      </c>
      <c r="AQ154" s="33" t="n">
        <v>4658</v>
      </c>
      <c r="AR154" s="33" t="n">
        <v>4600</v>
      </c>
      <c r="AS154" s="33" t="n">
        <v>4537</v>
      </c>
      <c r="AT154" s="33" t="n">
        <v>4431</v>
      </c>
      <c r="AU154" s="33" t="n">
        <v>4205</v>
      </c>
      <c r="AV154" s="33" t="n">
        <v>4042</v>
      </c>
      <c r="AW154" s="33" t="n">
        <v>3975</v>
      </c>
      <c r="AX154" s="33" t="n">
        <v>3913</v>
      </c>
      <c r="AY154" s="33" t="n">
        <v>3927</v>
      </c>
      <c r="AZ154" s="33" t="n">
        <v>3761</v>
      </c>
      <c r="BA154" s="33" t="n">
        <v>3777</v>
      </c>
      <c r="BB154" s="33" t="n">
        <v>3706</v>
      </c>
      <c r="BC154" s="33" t="n">
        <v>3461</v>
      </c>
      <c r="BD154" s="33" t="n">
        <v>3571</v>
      </c>
      <c r="BE154" s="33" t="n">
        <v>3381</v>
      </c>
      <c r="BF154" s="33" t="n">
        <v>3457</v>
      </c>
      <c r="BG154" s="33" t="n">
        <v>3638</v>
      </c>
      <c r="BH154" s="33" t="n">
        <v>3672</v>
      </c>
      <c r="BI154" s="33" t="n">
        <v>3604</v>
      </c>
      <c r="BJ154" s="33" t="n">
        <v>3498</v>
      </c>
      <c r="BK154" s="33" t="n">
        <v>3425</v>
      </c>
      <c r="BL154" s="33" t="n">
        <v>3702</v>
      </c>
    </row>
    <row r="155" ht="15.95" customHeight="1" s="574">
      <c r="A155" s="68" t="inlineStr">
        <is>
          <t>6754</t>
        </is>
      </c>
      <c r="B155" s="44" t="inlineStr">
        <is>
          <t>アンリツ</t>
        </is>
      </c>
      <c r="C155" s="669">
        <f>_xll.RssMarket("6754","安値")</f>
        <v/>
      </c>
      <c r="D155" s="661">
        <f>C155-E155</f>
        <v/>
      </c>
      <c r="E155" s="33" t="n">
        <v>4245</v>
      </c>
      <c r="F155" s="33" t="n">
        <v>4196</v>
      </c>
      <c r="G155" s="33" t="n">
        <v>4010</v>
      </c>
      <c r="H155" s="33" t="n">
        <v>3968</v>
      </c>
      <c r="I155" s="33" t="n">
        <v>3935</v>
      </c>
      <c r="J155" s="33" t="n">
        <v>3931</v>
      </c>
      <c r="K155" s="33" t="n">
        <v>3865</v>
      </c>
      <c r="L155" s="33" t="n">
        <v>3621</v>
      </c>
      <c r="M155" s="33" t="n">
        <v>3749</v>
      </c>
      <c r="N155" s="33" t="n">
        <v>4180</v>
      </c>
      <c r="O155" s="33" t="n">
        <v>4402</v>
      </c>
      <c r="P155" s="33" t="n">
        <v>4603</v>
      </c>
      <c r="Q155" s="33" t="n">
        <v>4619</v>
      </c>
      <c r="R155" s="33" t="n">
        <v>4401</v>
      </c>
      <c r="S155" s="33" t="n">
        <v>4434</v>
      </c>
      <c r="T155" s="33" t="n">
        <v>4429</v>
      </c>
      <c r="U155" s="33" t="n">
        <v>4546</v>
      </c>
      <c r="V155" s="33" t="n">
        <v>4621</v>
      </c>
      <c r="W155" s="33" t="n">
        <v>4511</v>
      </c>
      <c r="X155" s="33" t="n">
        <v>4340</v>
      </c>
      <c r="Y155" s="33" t="n">
        <v>4090</v>
      </c>
      <c r="Z155" s="33" t="n">
        <v>4054</v>
      </c>
      <c r="AA155" s="33" t="n">
        <v>4111</v>
      </c>
      <c r="AB155" s="33" t="n">
        <v>4181</v>
      </c>
      <c r="AC155" s="33" t="n">
        <v>4140</v>
      </c>
      <c r="AD155" s="33" t="n">
        <v>3969</v>
      </c>
      <c r="AE155" s="33" t="n">
        <v>3993</v>
      </c>
      <c r="AF155" s="33" t="n">
        <v>4122</v>
      </c>
      <c r="AG155" s="33" t="n">
        <v>4003</v>
      </c>
      <c r="AH155" s="33" t="n">
        <v>3914</v>
      </c>
      <c r="AI155" s="33" t="n">
        <v>3821</v>
      </c>
      <c r="AJ155" s="33" t="n">
        <v>3902</v>
      </c>
      <c r="AK155" s="33" t="n">
        <v>3870</v>
      </c>
      <c r="AL155" s="33" t="n">
        <v>3613</v>
      </c>
      <c r="AM155" s="33" t="n">
        <v>3569</v>
      </c>
      <c r="AN155" s="33" t="n">
        <v>3524</v>
      </c>
      <c r="AO155" s="33" t="n">
        <v>3521</v>
      </c>
      <c r="AP155" s="33" t="n">
        <v>3529</v>
      </c>
      <c r="AQ155" s="33" t="n">
        <v>3373</v>
      </c>
      <c r="AR155" s="33" t="n">
        <v>3400</v>
      </c>
      <c r="AS155" s="33" t="n">
        <v>3337</v>
      </c>
      <c r="AT155" s="33" t="n">
        <v>3381</v>
      </c>
      <c r="AU155" s="33" t="n">
        <v>3374</v>
      </c>
      <c r="AV155" s="33" t="n">
        <v>3341</v>
      </c>
      <c r="AW155" s="33" t="n">
        <v>3252</v>
      </c>
      <c r="AX155" s="33" t="n">
        <v>3241</v>
      </c>
      <c r="AY155" s="33" t="n">
        <v>3126</v>
      </c>
      <c r="AZ155" s="33" t="n">
        <v>2988.5</v>
      </c>
      <c r="BA155" s="33" t="n">
        <v>2998</v>
      </c>
      <c r="BB155" s="33" t="n">
        <v>2945.5</v>
      </c>
      <c r="BC155" s="33" t="n">
        <v>2873.5</v>
      </c>
      <c r="BD155" s="33" t="n">
        <v>2900</v>
      </c>
      <c r="BE155" s="33" t="n">
        <v>2692.5</v>
      </c>
      <c r="BF155" s="33" t="n">
        <v>2657</v>
      </c>
      <c r="BG155" s="33" t="n">
        <v>2755.5</v>
      </c>
      <c r="BH155" s="33" t="n">
        <v>2872.5</v>
      </c>
      <c r="BI155" s="33" t="n">
        <v>2912</v>
      </c>
      <c r="BJ155" s="33" t="n">
        <v>2773</v>
      </c>
      <c r="BK155" s="33" t="n">
        <v>2580</v>
      </c>
      <c r="BL155" s="33" t="n">
        <v>2798.5</v>
      </c>
    </row>
    <row r="156" ht="15.95" customHeight="1" s="574">
      <c r="A156" s="68" t="inlineStr">
        <is>
          <t>4088</t>
        </is>
      </c>
      <c r="B156" s="44" t="inlineStr">
        <is>
          <t>エア・ウォーター</t>
        </is>
      </c>
      <c r="C156" s="669">
        <f>_xll.RssMarket("4088","安値")</f>
        <v/>
      </c>
      <c r="D156" s="661">
        <f>C156-E156</f>
        <v/>
      </c>
      <c r="E156" s="33" t="n">
        <v>2451</v>
      </c>
      <c r="F156" s="33" t="n">
        <v>2458</v>
      </c>
      <c r="G156" s="33" t="n">
        <v>2445</v>
      </c>
      <c r="H156" s="33" t="n">
        <v>2478</v>
      </c>
      <c r="I156" s="33" t="n">
        <v>2517</v>
      </c>
      <c r="J156" s="33" t="n">
        <v>2441</v>
      </c>
      <c r="K156" s="33" t="n">
        <v>2386</v>
      </c>
      <c r="L156" s="33" t="n">
        <v>2393</v>
      </c>
      <c r="M156" s="33" t="n">
        <v>2436</v>
      </c>
      <c r="N156" s="33" t="n">
        <v>2416</v>
      </c>
      <c r="O156" s="33" t="n">
        <v>2420</v>
      </c>
      <c r="P156" s="33" t="n">
        <v>2460</v>
      </c>
      <c r="Q156" s="33" t="n">
        <v>2447</v>
      </c>
      <c r="R156" s="33" t="n">
        <v>2430</v>
      </c>
      <c r="S156" s="33" t="n">
        <v>2562</v>
      </c>
      <c r="T156" s="33" t="n">
        <v>2551</v>
      </c>
      <c r="U156" s="33" t="n">
        <v>2554</v>
      </c>
      <c r="V156" s="33" t="n">
        <v>2513</v>
      </c>
      <c r="W156" s="33" t="n">
        <v>2556</v>
      </c>
      <c r="X156" s="33" t="n">
        <v>2481</v>
      </c>
      <c r="Y156" s="33" t="n">
        <v>2456</v>
      </c>
      <c r="Z156" s="33" t="n">
        <v>2402</v>
      </c>
      <c r="AA156" s="33" t="n">
        <v>2270</v>
      </c>
      <c r="AB156" s="33" t="n">
        <v>2166</v>
      </c>
      <c r="AC156" s="33" t="n">
        <v>2100</v>
      </c>
      <c r="AD156" s="33" t="n">
        <v>2044</v>
      </c>
      <c r="AE156" s="33" t="n">
        <v>1966</v>
      </c>
      <c r="AF156" s="33" t="n">
        <v>1903</v>
      </c>
      <c r="AG156" s="33" t="n">
        <v>1894</v>
      </c>
      <c r="AH156" s="33" t="n">
        <v>1856.5</v>
      </c>
      <c r="AI156" s="33" t="n">
        <v>1718.5</v>
      </c>
      <c r="AJ156" s="33" t="n">
        <v>2207.5</v>
      </c>
      <c r="AK156" s="33" t="n">
        <v>2231.5</v>
      </c>
      <c r="AL156" s="33" t="n">
        <v>2210.5</v>
      </c>
      <c r="AM156" s="33" t="n">
        <v>2211.5</v>
      </c>
      <c r="AN156" s="33" t="n">
        <v>2176</v>
      </c>
      <c r="AO156" s="33" t="n">
        <v>2215.5</v>
      </c>
      <c r="AP156" s="33" t="n">
        <v>2254</v>
      </c>
      <c r="AQ156" s="33" t="n">
        <v>2248.5</v>
      </c>
      <c r="AR156" s="33" t="n">
        <v>2253</v>
      </c>
      <c r="AS156" s="33" t="n">
        <v>2289</v>
      </c>
      <c r="AT156" s="33" t="n">
        <v>2276</v>
      </c>
      <c r="AU156" s="33" t="n">
        <v>2243</v>
      </c>
      <c r="AV156" s="33" t="n">
        <v>2219</v>
      </c>
      <c r="AW156" s="33" t="n">
        <v>2220</v>
      </c>
      <c r="AX156" s="33" t="n">
        <v>2255</v>
      </c>
      <c r="AY156" s="33" t="n">
        <v>2290</v>
      </c>
      <c r="AZ156" s="33" t="n">
        <v>2231.5</v>
      </c>
      <c r="BA156" s="33" t="n">
        <v>2187.5</v>
      </c>
      <c r="BB156" s="33" t="n">
        <v>2162.5</v>
      </c>
      <c r="BC156" s="33" t="n">
        <v>2161</v>
      </c>
      <c r="BD156" s="33" t="n">
        <v>2150.5</v>
      </c>
      <c r="BE156" s="33" t="n">
        <v>2110.5</v>
      </c>
      <c r="BF156" s="33" t="n">
        <v>2103</v>
      </c>
      <c r="BG156" s="33" t="n">
        <v>2150.5</v>
      </c>
      <c r="BH156" s="33" t="n">
        <v>2130.5</v>
      </c>
      <c r="BI156" s="33" t="n">
        <v>2133.5</v>
      </c>
      <c r="BJ156" s="33" t="n">
        <v>2067</v>
      </c>
      <c r="BK156" s="33" t="n">
        <v>2015.5</v>
      </c>
      <c r="BL156" s="33" t="n">
        <v>2085.5</v>
      </c>
    </row>
    <row r="157" ht="15.95" customHeight="1" s="574">
      <c r="A157" s="68" t="inlineStr">
        <is>
          <t>4091</t>
        </is>
      </c>
      <c r="B157" s="44" t="inlineStr">
        <is>
          <t>日本酸素ＨＬＤＧＳ</t>
        </is>
      </c>
      <c r="C157" s="669">
        <f>_xll.RssMarket("4091","安値")</f>
        <v/>
      </c>
      <c r="D157" s="661">
        <f>C157-E157</f>
        <v/>
      </c>
      <c r="E157" s="33" t="n">
        <v>5468</v>
      </c>
      <c r="F157" s="33" t="n">
        <v>5501</v>
      </c>
      <c r="G157" s="33" t="n">
        <v>5533</v>
      </c>
      <c r="H157" s="33" t="n">
        <v>5480</v>
      </c>
      <c r="I157" s="33" t="n">
        <v>5522</v>
      </c>
      <c r="J157" s="33" t="n">
        <v>5462</v>
      </c>
      <c r="K157" s="33" t="n">
        <v>5293</v>
      </c>
      <c r="L157" s="33" t="n">
        <v>5164</v>
      </c>
      <c r="M157" s="33" t="n">
        <v>5248</v>
      </c>
      <c r="N157" s="33" t="n">
        <v>5334</v>
      </c>
      <c r="O157" s="33" t="n">
        <v>5550</v>
      </c>
      <c r="P157" s="33" t="n">
        <v>5581</v>
      </c>
      <c r="Q157" s="33" t="n">
        <v>5657</v>
      </c>
      <c r="R157" s="33" t="n">
        <v>5693</v>
      </c>
      <c r="S157" s="33" t="n">
        <v>6150</v>
      </c>
      <c r="T157" s="33" t="n">
        <v>6203</v>
      </c>
      <c r="U157" s="33" t="n">
        <v>6319</v>
      </c>
      <c r="V157" s="33" t="n">
        <v>6227</v>
      </c>
      <c r="W157" s="33" t="n">
        <v>6100</v>
      </c>
      <c r="X157" s="33" t="n">
        <v>5820</v>
      </c>
      <c r="Y157" s="33" t="n">
        <v>5799</v>
      </c>
      <c r="Z157" s="33" t="n">
        <v>5879</v>
      </c>
      <c r="AA157" s="33" t="n">
        <v>5927</v>
      </c>
      <c r="AB157" s="33" t="n">
        <v>6077</v>
      </c>
      <c r="AC157" s="33" t="n">
        <v>5966</v>
      </c>
      <c r="AD157" s="33" t="n">
        <v>5709</v>
      </c>
      <c r="AE157" s="33" t="n">
        <v>5650</v>
      </c>
      <c r="AF157" s="33" t="n">
        <v>5680</v>
      </c>
      <c r="AG157" s="33" t="n">
        <v>5538</v>
      </c>
      <c r="AH157" s="33" t="n">
        <v>5468</v>
      </c>
      <c r="AI157" s="33" t="n">
        <v>5485</v>
      </c>
      <c r="AJ157" s="33" t="n">
        <v>5492</v>
      </c>
      <c r="AK157" s="33" t="n">
        <v>5615</v>
      </c>
      <c r="AL157" s="33" t="n">
        <v>5569</v>
      </c>
      <c r="AM157" s="33" t="n">
        <v>5597</v>
      </c>
      <c r="AN157" s="33" t="n">
        <v>5600</v>
      </c>
      <c r="AO157" s="33" t="n">
        <v>5637</v>
      </c>
      <c r="AP157" s="33" t="n">
        <v>5772</v>
      </c>
      <c r="AQ157" s="33" t="n">
        <v>5731</v>
      </c>
      <c r="AR157" s="33" t="n">
        <v>5886</v>
      </c>
      <c r="AS157" s="33" t="n">
        <v>5845</v>
      </c>
      <c r="AT157" s="33" t="n">
        <v>5759</v>
      </c>
      <c r="AU157" s="33" t="n">
        <v>5898</v>
      </c>
      <c r="AV157" s="33" t="n">
        <v>5783</v>
      </c>
      <c r="AW157" s="33" t="n">
        <v>5846</v>
      </c>
      <c r="AX157" s="33" t="n">
        <v>5795</v>
      </c>
      <c r="AY157" s="33" t="n">
        <v>5858</v>
      </c>
      <c r="AZ157" s="33" t="n">
        <v>5755</v>
      </c>
      <c r="BA157" s="33" t="n">
        <v>5761</v>
      </c>
      <c r="BB157" s="33" t="n">
        <v>5797</v>
      </c>
      <c r="BC157" s="33" t="n">
        <v>5701</v>
      </c>
      <c r="BD157" s="33" t="n">
        <v>5623</v>
      </c>
      <c r="BE157" s="33" t="n">
        <v>5533</v>
      </c>
      <c r="BF157" s="33" t="n">
        <v>5637</v>
      </c>
      <c r="BG157" s="33" t="n">
        <v>5836</v>
      </c>
      <c r="BH157" s="33" t="n">
        <v>5942</v>
      </c>
      <c r="BI157" s="33" t="n">
        <v>5898</v>
      </c>
      <c r="BJ157" s="33" t="n">
        <v>5763</v>
      </c>
      <c r="BK157" s="33" t="n">
        <v>5691</v>
      </c>
      <c r="BL157" s="33" t="n">
        <v>5989</v>
      </c>
    </row>
    <row r="158" ht="15.95" customHeight="1" s="574">
      <c r="A158" s="68" t="inlineStr">
        <is>
          <t>6857</t>
        </is>
      </c>
      <c r="B158" s="44" t="inlineStr">
        <is>
          <t>アドバンテスト</t>
        </is>
      </c>
      <c r="C158" s="669">
        <f>_xll.RssMarket("6857","安値")</f>
        <v/>
      </c>
      <c r="D158" s="661">
        <f>C158-E158</f>
        <v/>
      </c>
      <c r="E158" s="33" t="n">
        <v>31120</v>
      </c>
      <c r="F158" s="33" t="n">
        <v>31070</v>
      </c>
      <c r="G158" s="33" t="n">
        <v>29720</v>
      </c>
      <c r="H158" s="33" t="n">
        <v>29585</v>
      </c>
      <c r="I158" s="33" t="n">
        <v>29510</v>
      </c>
      <c r="J158" s="33" t="n">
        <v>28450</v>
      </c>
      <c r="K158" s="33" t="n">
        <v>26940</v>
      </c>
      <c r="L158" s="33" t="n">
        <v>24150</v>
      </c>
      <c r="M158" s="33" t="n">
        <v>24910</v>
      </c>
      <c r="N158" s="33" t="n">
        <v>24860</v>
      </c>
      <c r="O158" s="33" t="n">
        <v>26415</v>
      </c>
      <c r="P158" s="33" t="n">
        <v>27160</v>
      </c>
      <c r="Q158" s="33" t="n">
        <v>26620</v>
      </c>
      <c r="R158" s="33" t="n">
        <v>25275</v>
      </c>
      <c r="S158" s="33" t="n">
        <v>25670</v>
      </c>
      <c r="T158" s="33" t="n">
        <v>25915</v>
      </c>
      <c r="U158" s="33" t="n">
        <v>27015</v>
      </c>
      <c r="V158" s="33" t="n">
        <v>27150</v>
      </c>
      <c r="W158" s="33" t="n">
        <v>26460</v>
      </c>
      <c r="X158" s="33" t="n">
        <v>25995</v>
      </c>
      <c r="Y158" s="33" t="n">
        <v>25020</v>
      </c>
      <c r="Z158" s="33" t="n">
        <v>24860</v>
      </c>
      <c r="AA158" s="33" t="n">
        <v>25475</v>
      </c>
      <c r="AB158" s="33" t="n">
        <v>26140</v>
      </c>
      <c r="AC158" s="33" t="n">
        <v>28360</v>
      </c>
      <c r="AD158" s="33" t="n">
        <v>27665</v>
      </c>
      <c r="AE158" s="33" t="n">
        <v>28335</v>
      </c>
      <c r="AF158" s="33" t="n">
        <v>28780</v>
      </c>
      <c r="AG158" s="33" t="n">
        <v>29310</v>
      </c>
      <c r="AH158" s="33" t="n">
        <v>29715</v>
      </c>
      <c r="AI158" s="33" t="n">
        <v>27800</v>
      </c>
      <c r="AJ158" s="33" t="n">
        <v>28190</v>
      </c>
      <c r="AK158" s="33" t="n">
        <v>29335</v>
      </c>
      <c r="AL158" s="33" t="n">
        <v>29390</v>
      </c>
      <c r="AM158" s="33" t="n">
        <v>27920</v>
      </c>
      <c r="AN158" s="33" t="n">
        <v>27615</v>
      </c>
      <c r="AO158" s="33" t="n">
        <v>27050</v>
      </c>
      <c r="AP158" s="33" t="n">
        <v>27120</v>
      </c>
      <c r="AQ158" s="33" t="n">
        <v>27100</v>
      </c>
      <c r="AR158" s="33" t="n">
        <v>27870</v>
      </c>
      <c r="AS158" s="33" t="n">
        <v>27710</v>
      </c>
      <c r="AT158" s="33" t="n">
        <v>27440</v>
      </c>
      <c r="AU158" s="33" t="n">
        <v>25860</v>
      </c>
      <c r="AV158" s="33" t="n">
        <v>24545</v>
      </c>
      <c r="AW158" s="33" t="n">
        <v>24990</v>
      </c>
      <c r="AX158" s="33" t="n">
        <v>24540</v>
      </c>
      <c r="AY158" s="33" t="n">
        <v>23950</v>
      </c>
      <c r="AZ158" s="33" t="n">
        <v>21725</v>
      </c>
      <c r="BA158" s="33" t="n">
        <v>21625</v>
      </c>
      <c r="BB158" s="33" t="n">
        <v>21370</v>
      </c>
      <c r="BC158" s="33" t="n">
        <v>21005</v>
      </c>
      <c r="BD158" s="33" t="n">
        <v>21335</v>
      </c>
      <c r="BE158" s="33" t="n">
        <v>19720</v>
      </c>
      <c r="BF158" s="33" t="n">
        <v>20260</v>
      </c>
      <c r="BG158" s="33" t="n">
        <v>21745</v>
      </c>
      <c r="BH158" s="33" t="n">
        <v>22715</v>
      </c>
      <c r="BI158" s="33" t="n">
        <v>22830</v>
      </c>
      <c r="BJ158" s="33" t="n">
        <v>22010</v>
      </c>
      <c r="BK158" s="33" t="n">
        <v>22145</v>
      </c>
      <c r="BL158" s="33" t="n">
        <v>23750</v>
      </c>
    </row>
    <row r="159" ht="15.95" customHeight="1" s="574">
      <c r="A159" s="68" t="inlineStr">
        <is>
          <t>3891</t>
        </is>
      </c>
      <c r="B159" s="44" t="inlineStr">
        <is>
          <t>ニッポン高度紙工業</t>
        </is>
      </c>
      <c r="C159" s="669">
        <f>_xll.RssMarket("3891","安値")</f>
        <v/>
      </c>
      <c r="D159" s="661">
        <f>C159-E159</f>
        <v/>
      </c>
      <c r="E159" s="33" t="n">
        <v>10080</v>
      </c>
      <c r="F159" s="33" t="n">
        <v>10220</v>
      </c>
      <c r="G159" s="33" t="n">
        <v>9720</v>
      </c>
      <c r="H159" s="33" t="n">
        <v>8780</v>
      </c>
      <c r="I159" s="33" t="n">
        <v>8300</v>
      </c>
      <c r="J159" s="33" t="n">
        <v>8580</v>
      </c>
      <c r="K159" s="33" t="n">
        <v>8370</v>
      </c>
      <c r="L159" s="33" t="n">
        <v>8090</v>
      </c>
      <c r="M159" s="33" t="n">
        <v>8980</v>
      </c>
      <c r="N159" s="33" t="n">
        <v>8100</v>
      </c>
      <c r="O159" s="33" t="n">
        <v>8140</v>
      </c>
      <c r="P159" s="33" t="n">
        <v>8030</v>
      </c>
      <c r="Q159" s="33" t="n">
        <v>8020</v>
      </c>
      <c r="R159" s="33" t="n">
        <v>7690</v>
      </c>
      <c r="S159" s="33" t="n">
        <v>7170</v>
      </c>
      <c r="T159" s="33" t="n">
        <v>6660</v>
      </c>
      <c r="U159" s="33" t="n">
        <v>6870</v>
      </c>
      <c r="V159" s="33" t="n">
        <v>7420</v>
      </c>
      <c r="W159" s="33" t="n">
        <v>6980</v>
      </c>
      <c r="X159" s="33" t="n">
        <v>6680</v>
      </c>
      <c r="Y159" s="33" t="n">
        <v>6070</v>
      </c>
      <c r="Z159" s="33" t="n">
        <v>6410</v>
      </c>
      <c r="AA159" s="33" t="n">
        <v>6110</v>
      </c>
      <c r="AB159" s="33" t="n">
        <v>5960</v>
      </c>
      <c r="AC159" s="33" t="n">
        <v>6190</v>
      </c>
      <c r="AD159" s="33" t="n">
        <v>6300</v>
      </c>
      <c r="AE159" s="33" t="n">
        <v>6260</v>
      </c>
      <c r="AF159" s="33" t="n">
        <v>6420</v>
      </c>
      <c r="AG159" s="33" t="n">
        <v>6270</v>
      </c>
      <c r="AH159" s="33" t="n">
        <v>6180</v>
      </c>
      <c r="AI159" s="33" t="n">
        <v>6050</v>
      </c>
      <c r="AJ159" s="33" t="n">
        <v>6210</v>
      </c>
      <c r="AK159" s="33" t="n">
        <v>6080</v>
      </c>
      <c r="AL159" s="33" t="n">
        <v>5860</v>
      </c>
      <c r="AM159" s="33" t="n">
        <v>4350</v>
      </c>
      <c r="AN159" s="33" t="n">
        <v>4290</v>
      </c>
      <c r="AO159" s="33" t="n">
        <v>4425</v>
      </c>
      <c r="AP159" s="33" t="n">
        <v>4405</v>
      </c>
      <c r="AQ159" s="33" t="n">
        <v>4280</v>
      </c>
      <c r="AR159" s="33" t="n">
        <v>4275</v>
      </c>
      <c r="AS159" s="33" t="n">
        <v>4450</v>
      </c>
      <c r="AT159" s="33" t="n">
        <v>4415</v>
      </c>
      <c r="AU159" s="33" t="n">
        <v>4230</v>
      </c>
      <c r="AV159" s="33" t="n">
        <v>4045</v>
      </c>
      <c r="AW159" s="33" t="n">
        <v>4025</v>
      </c>
      <c r="AX159" s="33" t="n">
        <v>4010</v>
      </c>
      <c r="AY159" s="33" t="n">
        <v>3935</v>
      </c>
      <c r="AZ159" s="33" t="n">
        <v>3755</v>
      </c>
      <c r="BA159" s="33" t="n">
        <v>3690</v>
      </c>
      <c r="BB159" s="33" t="n">
        <v>3670</v>
      </c>
      <c r="BC159" s="33" t="n">
        <v>3610</v>
      </c>
      <c r="BD159" s="33" t="n">
        <v>3580</v>
      </c>
      <c r="BE159" s="33" t="n">
        <v>3360</v>
      </c>
      <c r="BF159" s="33" t="n">
        <v>3385</v>
      </c>
      <c r="BG159" s="33" t="n">
        <v>3615</v>
      </c>
      <c r="BH159" s="33" t="n">
        <v>3725</v>
      </c>
      <c r="BI159" s="33" t="n">
        <v>3730</v>
      </c>
      <c r="BJ159" s="33" t="n">
        <v>3590</v>
      </c>
      <c r="BK159" s="33" t="n">
        <v>3400</v>
      </c>
      <c r="BL159" s="33" t="n">
        <v>3720</v>
      </c>
    </row>
    <row r="160" ht="15.95" customHeight="1" s="574">
      <c r="A160" s="68" t="inlineStr">
        <is>
          <t>4373</t>
        </is>
      </c>
      <c r="B160" s="44" t="inlineStr">
        <is>
          <t>シンプレクスＨＤ</t>
        </is>
      </c>
      <c r="C160" s="669">
        <f>_xll.RssMarket("4373","安値")</f>
        <v/>
      </c>
      <c r="D160" s="661">
        <f>C160-E160</f>
        <v/>
      </c>
      <c r="E160" s="33" t="n">
        <v>928</v>
      </c>
      <c r="F160" s="33" t="n">
        <v>909</v>
      </c>
      <c r="G160" s="33" t="n">
        <v>934</v>
      </c>
      <c r="H160" s="33" t="n">
        <v>950</v>
      </c>
      <c r="I160" s="33" t="n">
        <v>934</v>
      </c>
      <c r="J160" s="33" t="n">
        <v>960</v>
      </c>
      <c r="K160" s="33" t="n">
        <v>975</v>
      </c>
      <c r="L160" s="33" t="n">
        <v>1013</v>
      </c>
      <c r="M160" s="33" t="n">
        <v>1029</v>
      </c>
      <c r="N160" s="33" t="n">
        <v>1063</v>
      </c>
      <c r="O160" s="33" t="n">
        <v>1075</v>
      </c>
      <c r="P160" s="33" t="n">
        <v>1077</v>
      </c>
      <c r="Q160" s="33" t="n">
        <v>1108</v>
      </c>
      <c r="R160" s="33" t="n">
        <v>1039</v>
      </c>
      <c r="S160" s="33" t="n">
        <v>1020</v>
      </c>
      <c r="T160" s="33" t="n">
        <v>996</v>
      </c>
      <c r="U160" s="33" t="n">
        <v>1007</v>
      </c>
      <c r="V160" s="33" t="n">
        <v>1013</v>
      </c>
      <c r="W160" s="33" t="n">
        <v>1000</v>
      </c>
      <c r="X160" s="33" t="n">
        <v>985</v>
      </c>
      <c r="Y160" s="33" t="n">
        <v>1008</v>
      </c>
      <c r="Z160" s="33" t="n">
        <v>941</v>
      </c>
      <c r="AA160" s="33" t="n">
        <v>932</v>
      </c>
      <c r="AB160" s="33" t="n">
        <v>931</v>
      </c>
      <c r="AC160" s="33" t="n">
        <v>947</v>
      </c>
      <c r="AD160" s="33" t="n">
        <v>942</v>
      </c>
      <c r="AE160" s="33" t="n">
        <v>925</v>
      </c>
      <c r="AF160" s="33" t="n">
        <v>915</v>
      </c>
      <c r="AG160" s="33" t="n">
        <v>889</v>
      </c>
      <c r="AH160" s="33" t="n">
        <v>867</v>
      </c>
      <c r="AI160" s="33" t="n">
        <v>868</v>
      </c>
      <c r="AJ160" s="33" t="n">
        <v>870</v>
      </c>
      <c r="AK160" s="33" t="n">
        <v>876</v>
      </c>
      <c r="AL160" s="33" t="n">
        <v>905</v>
      </c>
      <c r="AM160" s="33" t="n">
        <v>923</v>
      </c>
      <c r="AN160" s="33" t="n">
        <v>944</v>
      </c>
      <c r="AO160" s="33" t="n">
        <v>927</v>
      </c>
      <c r="AP160" s="33" t="n">
        <v>939</v>
      </c>
      <c r="AQ160" s="33" t="n">
        <v>899</v>
      </c>
      <c r="AR160" s="33" t="n">
        <v>899</v>
      </c>
      <c r="AS160" s="33" t="n">
        <v>862</v>
      </c>
      <c r="AT160" s="33" t="n">
        <v>836</v>
      </c>
      <c r="AU160" s="33" t="n">
        <v>802</v>
      </c>
      <c r="AV160" s="33" t="n">
        <v>809</v>
      </c>
      <c r="AW160" s="33" t="n">
        <v>836</v>
      </c>
      <c r="AX160" s="33" t="n">
        <v>842</v>
      </c>
      <c r="AY160" s="33" t="n">
        <v>835</v>
      </c>
      <c r="AZ160" s="33" t="n">
        <v>829</v>
      </c>
      <c r="BA160" s="33" t="n">
        <v>822</v>
      </c>
      <c r="BB160" s="33" t="n">
        <v>810</v>
      </c>
      <c r="BC160" s="33" t="n">
        <v>812</v>
      </c>
      <c r="BD160" s="33" t="n">
        <v>783</v>
      </c>
      <c r="BE160" s="33" t="n">
        <v>762</v>
      </c>
      <c r="BF160" s="33" t="n">
        <v>805</v>
      </c>
      <c r="BG160" s="33" t="n">
        <v>798</v>
      </c>
      <c r="BH160" s="33" t="n">
        <v>807</v>
      </c>
      <c r="BI160" s="33" t="n">
        <v>807</v>
      </c>
      <c r="BJ160" s="33" t="n">
        <v>798</v>
      </c>
      <c r="BK160" s="33" t="n">
        <v>823</v>
      </c>
      <c r="BL160" s="33" t="n">
        <v>829</v>
      </c>
    </row>
    <row r="161" ht="15.95" customHeight="1" s="574">
      <c r="A161" s="68" t="inlineStr">
        <is>
          <t>8892</t>
        </is>
      </c>
      <c r="B161" s="44" t="inlineStr">
        <is>
          <t>エスコン</t>
        </is>
      </c>
      <c r="C161" s="669">
        <f>_xll.RssMarket("8892","安値")</f>
        <v/>
      </c>
      <c r="D161" s="661">
        <f>C161-E161</f>
        <v/>
      </c>
      <c r="E161" s="33" t="n">
        <v>1056</v>
      </c>
      <c r="F161" s="33" t="n">
        <v>1062</v>
      </c>
      <c r="G161" s="33" t="n">
        <v>1070</v>
      </c>
      <c r="H161" s="33" t="n">
        <v>1077</v>
      </c>
      <c r="I161" s="33" t="n">
        <v>1093</v>
      </c>
      <c r="J161" s="33" t="n">
        <v>1107</v>
      </c>
      <c r="K161" s="33" t="n">
        <v>1090</v>
      </c>
      <c r="L161" s="33" t="n">
        <v>1087</v>
      </c>
      <c r="M161" s="33" t="n">
        <v>1092</v>
      </c>
      <c r="N161" s="33" t="n">
        <v>1077</v>
      </c>
      <c r="O161" s="33" t="n">
        <v>1069</v>
      </c>
      <c r="P161" s="33" t="n">
        <v>1060</v>
      </c>
      <c r="Q161" s="33" t="n">
        <v>1066</v>
      </c>
      <c r="R161" s="33" t="n">
        <v>1058</v>
      </c>
      <c r="S161" s="33" t="n">
        <v>1087</v>
      </c>
      <c r="T161" s="33" t="n">
        <v>1096</v>
      </c>
      <c r="U161" s="33" t="n">
        <v>1094</v>
      </c>
      <c r="V161" s="33" t="n">
        <v>1100</v>
      </c>
      <c r="W161" s="33" t="n">
        <v>1107</v>
      </c>
      <c r="X161" s="33" t="n">
        <v>1129</v>
      </c>
      <c r="Y161" s="33" t="n">
        <v>1104</v>
      </c>
      <c r="Z161" s="33" t="n">
        <v>1130</v>
      </c>
      <c r="AA161" s="33" t="n">
        <v>1107</v>
      </c>
      <c r="AB161" s="33" t="n">
        <v>1124</v>
      </c>
      <c r="AC161" s="33" t="n">
        <v>1146</v>
      </c>
      <c r="AD161" s="33" t="n">
        <v>1155</v>
      </c>
      <c r="AE161" s="33" t="n">
        <v>1166</v>
      </c>
      <c r="AF161" s="33" t="n">
        <v>1160</v>
      </c>
      <c r="AG161" s="33" t="n">
        <v>1152</v>
      </c>
      <c r="AH161" s="33" t="n">
        <v>1150</v>
      </c>
      <c r="AI161" s="33" t="n">
        <v>1156</v>
      </c>
      <c r="AJ161" s="33" t="n">
        <v>1163</v>
      </c>
      <c r="AK161" s="33" t="n">
        <v>1179</v>
      </c>
      <c r="AL161" s="33" t="n">
        <v>1140</v>
      </c>
      <c r="AM161" s="33" t="n">
        <v>1126</v>
      </c>
      <c r="AN161" s="33" t="n">
        <v>1121</v>
      </c>
      <c r="AO161" s="33" t="n">
        <v>1123</v>
      </c>
      <c r="AP161" s="33" t="n">
        <v>1136</v>
      </c>
      <c r="AQ161" s="33" t="n">
        <v>1135</v>
      </c>
      <c r="AR161" s="33" t="n">
        <v>1128</v>
      </c>
      <c r="AS161" s="33" t="n">
        <v>1135</v>
      </c>
      <c r="AT161" s="33" t="n">
        <v>1138</v>
      </c>
      <c r="AU161" s="33" t="n">
        <v>1121</v>
      </c>
      <c r="AV161" s="33" t="n">
        <v>1121</v>
      </c>
      <c r="AW161" s="33" t="n">
        <v>1120</v>
      </c>
      <c r="AX161" s="33" t="n">
        <v>1118</v>
      </c>
      <c r="AY161" s="33" t="n">
        <v>1130</v>
      </c>
      <c r="AZ161" s="33" t="n">
        <v>1116</v>
      </c>
      <c r="BA161" s="33" t="n">
        <v>1102</v>
      </c>
      <c r="BB161" s="33" t="n">
        <v>1093</v>
      </c>
      <c r="BC161" s="33" t="n">
        <v>1091</v>
      </c>
      <c r="BD161" s="33" t="n">
        <v>1089</v>
      </c>
      <c r="BE161" s="33" t="n">
        <v>1075</v>
      </c>
      <c r="BF161" s="33" t="n">
        <v>1057</v>
      </c>
      <c r="BG161" s="33" t="n">
        <v>1135</v>
      </c>
      <c r="BH161" s="33" t="n">
        <v>1129</v>
      </c>
      <c r="BI161" s="33" t="n">
        <v>1129</v>
      </c>
      <c r="BJ161" s="33" t="n">
        <v>1113</v>
      </c>
      <c r="BK161" s="33" t="n">
        <v>1098</v>
      </c>
      <c r="BL161" s="33" t="n">
        <v>1120</v>
      </c>
    </row>
    <row r="162" ht="15.95" customHeight="1" s="574">
      <c r="A162" s="68" t="inlineStr">
        <is>
          <t>9687</t>
        </is>
      </c>
      <c r="B162" s="44" t="inlineStr">
        <is>
          <t>ＫＳＫ</t>
        </is>
      </c>
      <c r="C162" s="669">
        <f>_xll.RssMarket("9687","安値")</f>
        <v/>
      </c>
      <c r="D162" s="661">
        <f>C162-E162</f>
        <v/>
      </c>
      <c r="E162" s="33" t="n">
        <v>4330</v>
      </c>
      <c r="F162" s="33" t="n">
        <v>4245</v>
      </c>
      <c r="G162" s="33" t="n">
        <v>4315</v>
      </c>
      <c r="H162" s="33" t="n">
        <v>4325</v>
      </c>
      <c r="I162" s="33" t="n">
        <v>4295</v>
      </c>
      <c r="J162" s="33" t="n">
        <v>4290</v>
      </c>
      <c r="K162" s="33" t="n">
        <v>4260</v>
      </c>
      <c r="L162" s="33" t="n">
        <v>4300</v>
      </c>
      <c r="M162" s="33" t="n">
        <v>4335</v>
      </c>
      <c r="N162" s="33" t="n">
        <v>4325</v>
      </c>
      <c r="O162" s="33" t="n">
        <v>4330</v>
      </c>
      <c r="P162" s="33" t="n">
        <v>4350</v>
      </c>
      <c r="Q162" s="33" t="n">
        <v>4355</v>
      </c>
      <c r="R162" s="33" t="n">
        <v>4350</v>
      </c>
      <c r="S162" s="33" t="n">
        <v>4330</v>
      </c>
      <c r="T162" s="33" t="n">
        <v>4305</v>
      </c>
      <c r="U162" s="33" t="n">
        <v>4290</v>
      </c>
      <c r="V162" s="33" t="n">
        <v>4330</v>
      </c>
      <c r="W162" s="33" t="n">
        <v>4335</v>
      </c>
      <c r="X162" s="33" t="n">
        <v>4350</v>
      </c>
      <c r="Y162" s="33" t="n">
        <v>4390</v>
      </c>
      <c r="Z162" s="33" t="n">
        <v>4360</v>
      </c>
      <c r="AA162" s="33" t="n">
        <v>4210</v>
      </c>
      <c r="AB162" s="33" t="n">
        <v>4350</v>
      </c>
      <c r="AC162" s="33" t="n">
        <v>4350</v>
      </c>
      <c r="AD162" s="33" t="n">
        <v>4335</v>
      </c>
      <c r="AE162" s="33" t="n">
        <v>4315</v>
      </c>
      <c r="AF162" s="33" t="n">
        <v>4350</v>
      </c>
      <c r="AG162" s="33" t="n">
        <v>4350</v>
      </c>
      <c r="AH162" s="33" t="n">
        <v>4350</v>
      </c>
      <c r="AI162" s="33" t="n">
        <v>4350</v>
      </c>
      <c r="AJ162" s="33" t="n">
        <v>4360</v>
      </c>
      <c r="AK162" s="33" t="n">
        <v>4315</v>
      </c>
      <c r="AL162" s="33" t="n">
        <v>4250</v>
      </c>
      <c r="AM162" s="33" t="n">
        <v>4320</v>
      </c>
      <c r="AN162" s="33" t="n">
        <v>4350</v>
      </c>
      <c r="AO162" s="33" t="n">
        <v>4375</v>
      </c>
      <c r="AP162" s="33" t="n">
        <v>4400</v>
      </c>
      <c r="AQ162" s="33" t="n">
        <v>4390</v>
      </c>
      <c r="AR162" s="33" t="n">
        <v>4345</v>
      </c>
      <c r="AS162" s="33" t="n">
        <v>4355</v>
      </c>
      <c r="AT162" s="33" t="n">
        <v>4380</v>
      </c>
      <c r="AU162" s="33" t="n">
        <v>4245</v>
      </c>
      <c r="AV162" s="33" t="n">
        <v>4250</v>
      </c>
      <c r="AW162" s="33" t="n">
        <v>4285</v>
      </c>
      <c r="AX162" s="33" t="n">
        <v>4175</v>
      </c>
      <c r="AY162" s="33" t="n">
        <v>4405</v>
      </c>
      <c r="AZ162" s="33" t="n">
        <v>4420</v>
      </c>
      <c r="BA162" s="33" t="n">
        <v>4450</v>
      </c>
      <c r="BB162" s="33" t="n">
        <v>4425</v>
      </c>
      <c r="BC162" s="33" t="n">
        <v>4350</v>
      </c>
      <c r="BD162" s="33" t="n">
        <v>4385</v>
      </c>
      <c r="BE162" s="33" t="n">
        <v>4440</v>
      </c>
      <c r="BF162" s="33" t="n">
        <v>4410</v>
      </c>
      <c r="BG162" s="33" t="n">
        <v>4350</v>
      </c>
      <c r="BH162" s="33" t="n">
        <v>4350</v>
      </c>
      <c r="BI162" s="33" t="n">
        <v>4385</v>
      </c>
      <c r="BJ162" s="33" t="n">
        <v>4410</v>
      </c>
      <c r="BK162" s="33" t="n">
        <v>4420</v>
      </c>
      <c r="BL162" s="33" t="n">
        <v>4300</v>
      </c>
    </row>
    <row r="163" ht="15.95" customHeight="1" s="574">
      <c r="A163" s="68" t="inlineStr">
        <is>
          <t>1930</t>
        </is>
      </c>
      <c r="B163" s="44" t="inlineStr">
        <is>
          <t>北陸電気工事</t>
        </is>
      </c>
      <c r="C163" s="669">
        <f>_xll.RssMarket("1930","安値")</f>
        <v/>
      </c>
      <c r="D163" s="661">
        <f>C163-E163</f>
        <v/>
      </c>
      <c r="E163" s="33" t="n">
        <v>1689</v>
      </c>
      <c r="F163" s="33" t="n">
        <v>1696</v>
      </c>
      <c r="G163" s="33" t="n">
        <v>1700</v>
      </c>
      <c r="H163" s="33" t="n">
        <v>1664</v>
      </c>
      <c r="I163" s="33" t="n">
        <v>1651</v>
      </c>
      <c r="J163" s="33" t="n">
        <v>1655</v>
      </c>
      <c r="K163" s="33" t="n">
        <v>1585</v>
      </c>
      <c r="L163" s="33" t="n">
        <v>1548</v>
      </c>
      <c r="M163" s="33" t="n">
        <v>1577</v>
      </c>
      <c r="N163" s="33" t="n">
        <v>1561</v>
      </c>
      <c r="O163" s="33" t="n">
        <v>1567</v>
      </c>
      <c r="P163" s="33" t="n">
        <v>1551</v>
      </c>
      <c r="Q163" s="33" t="n">
        <v>1560</v>
      </c>
      <c r="R163" s="33" t="n">
        <v>1538</v>
      </c>
      <c r="S163" s="33" t="n">
        <v>1677</v>
      </c>
      <c r="T163" s="33" t="n">
        <v>1654</v>
      </c>
      <c r="U163" s="33" t="n">
        <v>1681</v>
      </c>
      <c r="V163" s="33" t="n">
        <v>1644</v>
      </c>
      <c r="W163" s="33" t="n">
        <v>1582</v>
      </c>
      <c r="X163" s="33" t="n">
        <v>1590</v>
      </c>
      <c r="Y163" s="33" t="n">
        <v>1565</v>
      </c>
      <c r="Z163" s="33" t="n">
        <v>1600</v>
      </c>
      <c r="AA163" s="33" t="n">
        <v>1585</v>
      </c>
      <c r="AB163" s="33" t="n">
        <v>1647</v>
      </c>
      <c r="AC163" s="33" t="n">
        <v>1683</v>
      </c>
      <c r="AD163" s="33" t="n">
        <v>1739</v>
      </c>
      <c r="AE163" s="33" t="n">
        <v>1721</v>
      </c>
      <c r="AF163" s="33" t="n">
        <v>1692</v>
      </c>
      <c r="AG163" s="33" t="n">
        <v>1635</v>
      </c>
      <c r="AH163" s="33" t="n">
        <v>1665</v>
      </c>
      <c r="AI163" s="33" t="n">
        <v>1688</v>
      </c>
      <c r="AJ163" s="33" t="n">
        <v>1616</v>
      </c>
      <c r="AK163" s="33" t="n">
        <v>1454</v>
      </c>
      <c r="AL163" s="33" t="n">
        <v>1438</v>
      </c>
      <c r="AM163" s="33" t="n">
        <v>1434</v>
      </c>
      <c r="AN163" s="33" t="n">
        <v>1423</v>
      </c>
      <c r="AO163" s="33" t="n">
        <v>1437</v>
      </c>
      <c r="AP163" s="33" t="n">
        <v>1468</v>
      </c>
      <c r="AQ163" s="33" t="n">
        <v>1452</v>
      </c>
      <c r="AR163" s="33" t="n">
        <v>1452</v>
      </c>
      <c r="AS163" s="33" t="n">
        <v>1451</v>
      </c>
      <c r="AT163" s="33" t="n">
        <v>1438</v>
      </c>
      <c r="AU163" s="33" t="n">
        <v>1439</v>
      </c>
      <c r="AV163" s="33" t="n">
        <v>1434</v>
      </c>
      <c r="AW163" s="33" t="n">
        <v>1468</v>
      </c>
      <c r="AX163" s="33" t="n">
        <v>1485</v>
      </c>
      <c r="AY163" s="33" t="n">
        <v>1505</v>
      </c>
      <c r="AZ163" s="33" t="n">
        <v>1454</v>
      </c>
      <c r="BA163" s="33" t="n">
        <v>1455</v>
      </c>
      <c r="BB163" s="33" t="n">
        <v>1450</v>
      </c>
      <c r="BC163" s="33" t="n">
        <v>1449</v>
      </c>
      <c r="BD163" s="33" t="n">
        <v>1454</v>
      </c>
      <c r="BE163" s="33" t="n">
        <v>1415</v>
      </c>
      <c r="BF163" s="33" t="n">
        <v>1403</v>
      </c>
      <c r="BG163" s="33" t="n">
        <v>1486</v>
      </c>
      <c r="BH163" s="33" t="n">
        <v>1484</v>
      </c>
      <c r="BI163" s="33" t="n">
        <v>1512</v>
      </c>
      <c r="BJ163" s="33" t="n">
        <v>1464</v>
      </c>
      <c r="BK163" s="33" t="n">
        <v>1443</v>
      </c>
      <c r="BL163" s="33" t="n">
        <v>1540</v>
      </c>
    </row>
    <row r="164" ht="15.95" customHeight="1" s="574">
      <c r="A164" s="68" t="inlineStr">
        <is>
          <t>8704</t>
        </is>
      </c>
      <c r="B164" s="44" t="inlineStr">
        <is>
          <t>トレイダーズＨＬＤＧＳ</t>
        </is>
      </c>
      <c r="C164" s="669">
        <f>_xll.RssMarket("8704","安値")</f>
        <v/>
      </c>
      <c r="D164" s="661">
        <f>C164-E164</f>
        <v/>
      </c>
      <c r="E164" s="33" t="n">
        <v>1155</v>
      </c>
      <c r="F164" s="33" t="n">
        <v>1153</v>
      </c>
      <c r="G164" s="33" t="n">
        <v>1168</v>
      </c>
      <c r="H164" s="33" t="n">
        <v>1145</v>
      </c>
      <c r="I164" s="33" t="n">
        <v>1137</v>
      </c>
      <c r="J164" s="33" t="n">
        <v>1158</v>
      </c>
      <c r="K164" s="33" t="n">
        <v>1113</v>
      </c>
      <c r="L164" s="33" t="n">
        <v>1050</v>
      </c>
      <c r="M164" s="33" t="n">
        <v>1091</v>
      </c>
      <c r="N164" s="33" t="n">
        <v>1103</v>
      </c>
      <c r="O164" s="33" t="n">
        <v>1111</v>
      </c>
      <c r="P164" s="33" t="n">
        <v>1105</v>
      </c>
      <c r="Q164" s="33" t="n">
        <v>1174</v>
      </c>
      <c r="R164" s="33" t="n">
        <v>1158</v>
      </c>
      <c r="S164" s="33" t="n">
        <v>1148</v>
      </c>
      <c r="T164" s="33" t="n">
        <v>1121</v>
      </c>
      <c r="U164" s="33" t="n">
        <v>1136</v>
      </c>
      <c r="V164" s="33" t="n">
        <v>1129</v>
      </c>
      <c r="W164" s="33" t="n">
        <v>1117</v>
      </c>
      <c r="X164" s="33" t="n">
        <v>1120</v>
      </c>
      <c r="Y164" s="33" t="n">
        <v>1087</v>
      </c>
      <c r="Z164" s="33" t="n">
        <v>1131</v>
      </c>
      <c r="AA164" s="33" t="n">
        <v>1135</v>
      </c>
      <c r="AB164" s="33" t="n">
        <v>1151</v>
      </c>
      <c r="AC164" s="33" t="n">
        <v>1169</v>
      </c>
      <c r="AD164" s="33" t="n">
        <v>1174</v>
      </c>
      <c r="AE164" s="33" t="n">
        <v>1208</v>
      </c>
      <c r="AF164" s="33" t="n">
        <v>1197</v>
      </c>
      <c r="AG164" s="33" t="n">
        <v>1155</v>
      </c>
      <c r="AH164" s="33" t="n">
        <v>1130</v>
      </c>
      <c r="AI164" s="33" t="n">
        <v>1096</v>
      </c>
      <c r="AJ164" s="33" t="n">
        <v>1038</v>
      </c>
      <c r="AK164" s="33" t="n">
        <v>1025</v>
      </c>
      <c r="AL164" s="33" t="n">
        <v>1013</v>
      </c>
      <c r="AM164" s="33" t="n">
        <v>1015</v>
      </c>
      <c r="AN164" s="33" t="n">
        <v>1024</v>
      </c>
      <c r="AO164" s="33" t="n">
        <v>1037</v>
      </c>
      <c r="AP164" s="33" t="n">
        <v>1055</v>
      </c>
      <c r="AQ164" s="33" t="n">
        <v>1038</v>
      </c>
      <c r="AR164" s="33" t="n">
        <v>1042</v>
      </c>
      <c r="AS164" s="33" t="n">
        <v>1045</v>
      </c>
      <c r="AT164" s="33" t="n">
        <v>1034</v>
      </c>
      <c r="AU164" s="33" t="n">
        <v>1028</v>
      </c>
      <c r="AV164" s="33" t="n">
        <v>1027</v>
      </c>
      <c r="AW164" s="33" t="n">
        <v>1042</v>
      </c>
      <c r="AX164" s="33" t="n">
        <v>1051</v>
      </c>
      <c r="AY164" s="33" t="n">
        <v>1061</v>
      </c>
      <c r="AZ164" s="33" t="n">
        <v>1040</v>
      </c>
      <c r="BA164" s="33" t="n">
        <v>1037</v>
      </c>
      <c r="BB164" s="33" t="n">
        <v>1038</v>
      </c>
      <c r="BC164" s="33" t="n">
        <v>1020</v>
      </c>
      <c r="BD164" s="33" t="n">
        <v>1021</v>
      </c>
      <c r="BE164" s="33" t="n">
        <v>1008</v>
      </c>
      <c r="BF164" s="33" t="n">
        <v>983</v>
      </c>
      <c r="BG164" s="33" t="n">
        <v>1030</v>
      </c>
      <c r="BH164" s="33" t="n">
        <v>1039</v>
      </c>
      <c r="BI164" s="33" t="n">
        <v>1038</v>
      </c>
      <c r="BJ164" s="33" t="n">
        <v>1017</v>
      </c>
      <c r="BK164" s="33" t="n">
        <v>996</v>
      </c>
      <c r="BL164" s="33" t="n">
        <v>1026</v>
      </c>
    </row>
    <row r="165" ht="15.95" customHeight="1" s="574">
      <c r="A165" s="68" t="inlineStr">
        <is>
          <t>4733</t>
        </is>
      </c>
      <c r="B165" s="44" t="inlineStr">
        <is>
          <t>オービックビジネスＣ</t>
        </is>
      </c>
      <c r="C165" s="669">
        <f>_xll.RssMarket("4733","安値")</f>
        <v/>
      </c>
      <c r="D165" s="661">
        <f>C165-E165</f>
        <v/>
      </c>
      <c r="E165" s="33" t="n">
        <v>5650</v>
      </c>
      <c r="F165" s="33" t="n">
        <v>5643</v>
      </c>
      <c r="G165" s="33" t="n">
        <v>5842</v>
      </c>
      <c r="H165" s="33" t="n">
        <v>5824</v>
      </c>
      <c r="I165" s="33" t="n">
        <v>5796</v>
      </c>
      <c r="J165" s="33" t="n">
        <v>5870</v>
      </c>
      <c r="K165" s="33" t="n">
        <v>5785</v>
      </c>
      <c r="L165" s="33" t="n">
        <v>5880</v>
      </c>
      <c r="M165" s="33" t="n">
        <v>5874</v>
      </c>
      <c r="N165" s="33" t="n">
        <v>5977</v>
      </c>
      <c r="O165" s="33" t="n">
        <v>6006</v>
      </c>
      <c r="P165" s="33" t="n">
        <v>5961</v>
      </c>
      <c r="Q165" s="33" t="n">
        <v>6130</v>
      </c>
      <c r="R165" s="33" t="n">
        <v>6369</v>
      </c>
      <c r="S165" s="33" t="n">
        <v>6071</v>
      </c>
      <c r="T165" s="33" t="n">
        <v>6040</v>
      </c>
      <c r="U165" s="33" t="n">
        <v>5965</v>
      </c>
      <c r="V165" s="33" t="n">
        <v>5897</v>
      </c>
      <c r="W165" s="33" t="n">
        <v>6033</v>
      </c>
      <c r="X165" s="33" t="n">
        <v>6038</v>
      </c>
      <c r="Y165" s="33" t="n">
        <v>6086</v>
      </c>
      <c r="Z165" s="33" t="n">
        <v>6137</v>
      </c>
      <c r="AA165" s="33" t="n">
        <v>6059</v>
      </c>
      <c r="AB165" s="33" t="n">
        <v>5940</v>
      </c>
      <c r="AC165" s="33" t="n">
        <v>5943</v>
      </c>
      <c r="AD165" s="33" t="n">
        <v>6042</v>
      </c>
      <c r="AE165" s="33" t="n">
        <v>6016</v>
      </c>
      <c r="AF165" s="33" t="n">
        <v>6153</v>
      </c>
      <c r="AG165" s="33" t="n">
        <v>6191</v>
      </c>
      <c r="AH165" s="33" t="n">
        <v>6055</v>
      </c>
      <c r="AI165" s="33" t="n">
        <v>6029</v>
      </c>
      <c r="AJ165" s="33" t="n">
        <v>6121</v>
      </c>
      <c r="AK165" s="33" t="n">
        <v>6156</v>
      </c>
      <c r="AL165" s="33" t="n">
        <v>6144</v>
      </c>
      <c r="AM165" s="33" t="n">
        <v>6167</v>
      </c>
      <c r="AN165" s="33" t="n">
        <v>6231</v>
      </c>
      <c r="AO165" s="33" t="n">
        <v>6694</v>
      </c>
      <c r="AP165" s="33" t="n">
        <v>6293</v>
      </c>
      <c r="AQ165" s="33" t="n">
        <v>6671</v>
      </c>
      <c r="AR165" s="33" t="n">
        <v>6619</v>
      </c>
      <c r="AS165" s="33" t="n">
        <v>6598</v>
      </c>
      <c r="AT165" s="33" t="n">
        <v>6584</v>
      </c>
      <c r="AU165" s="33" t="n">
        <v>6510</v>
      </c>
      <c r="AV165" s="33" t="n">
        <v>6087</v>
      </c>
      <c r="AW165" s="33" t="n">
        <v>6121</v>
      </c>
      <c r="AX165" s="33" t="n">
        <v>6278</v>
      </c>
      <c r="AY165" s="33" t="n">
        <v>6433</v>
      </c>
      <c r="AZ165" s="33" t="n">
        <v>6320</v>
      </c>
      <c r="BA165" s="33" t="n">
        <v>6327</v>
      </c>
      <c r="BB165" s="33" t="n">
        <v>6292</v>
      </c>
      <c r="BC165" s="33" t="n">
        <v>6321</v>
      </c>
      <c r="BD165" s="33" t="n">
        <v>6308</v>
      </c>
      <c r="BE165" s="33" t="n">
        <v>6208</v>
      </c>
      <c r="BF165" s="33" t="n">
        <v>5977</v>
      </c>
      <c r="BG165" s="33" t="n">
        <v>6216</v>
      </c>
      <c r="BH165" s="33" t="n">
        <v>6081</v>
      </c>
      <c r="BI165" s="33" t="n">
        <v>6127</v>
      </c>
      <c r="BJ165" s="33" t="n">
        <v>6176</v>
      </c>
      <c r="BK165" s="33" t="n">
        <v>6060</v>
      </c>
      <c r="BL165" s="33" t="n">
        <v>6121</v>
      </c>
    </row>
    <row r="166" ht="15.95" customHeight="1" s="574">
      <c r="A166" s="68" t="inlineStr">
        <is>
          <t>9733</t>
        </is>
      </c>
      <c r="B166" s="44" t="inlineStr">
        <is>
          <t>ナガセ</t>
        </is>
      </c>
      <c r="C166" s="669">
        <f>_xll.RssMarket("9733","安値")</f>
        <v/>
      </c>
      <c r="D166" s="661">
        <f>C166-E166</f>
        <v/>
      </c>
      <c r="E166" s="33" t="n">
        <v>2201</v>
      </c>
      <c r="F166" s="33" t="n">
        <v>2188</v>
      </c>
      <c r="G166" s="33" t="n">
        <v>2195</v>
      </c>
      <c r="H166" s="33" t="n">
        <v>2201</v>
      </c>
      <c r="I166" s="33" t="n">
        <v>2203</v>
      </c>
      <c r="J166" s="33" t="n">
        <v>2222</v>
      </c>
      <c r="K166" s="33" t="n">
        <v>2215</v>
      </c>
      <c r="L166" s="33" t="n">
        <v>2196</v>
      </c>
      <c r="M166" s="33" t="n">
        <v>2223</v>
      </c>
      <c r="N166" s="33" t="n">
        <v>2169</v>
      </c>
      <c r="O166" s="33" t="n">
        <v>2187</v>
      </c>
      <c r="P166" s="33" t="n">
        <v>2180</v>
      </c>
      <c r="Q166" s="33" t="n">
        <v>2191</v>
      </c>
      <c r="R166" s="33" t="n">
        <v>2200</v>
      </c>
      <c r="S166" s="33" t="n">
        <v>2266</v>
      </c>
      <c r="T166" s="33" t="n">
        <v>2241</v>
      </c>
      <c r="U166" s="33" t="n">
        <v>2225</v>
      </c>
      <c r="V166" s="33" t="n">
        <v>2269</v>
      </c>
      <c r="W166" s="33" t="n">
        <v>2279</v>
      </c>
      <c r="X166" s="33" t="n">
        <v>2290</v>
      </c>
      <c r="Y166" s="33" t="n">
        <v>2275</v>
      </c>
      <c r="Z166" s="33" t="n">
        <v>2267</v>
      </c>
      <c r="AA166" s="33" t="n">
        <v>2261</v>
      </c>
      <c r="AB166" s="33" t="n">
        <v>2264</v>
      </c>
      <c r="AC166" s="33" t="n">
        <v>2260</v>
      </c>
      <c r="AD166" s="33" t="n">
        <v>2263</v>
      </c>
      <c r="AE166" s="33" t="n">
        <v>2280</v>
      </c>
      <c r="AF166" s="33" t="n">
        <v>2263</v>
      </c>
      <c r="AG166" s="33" t="n">
        <v>2273</v>
      </c>
      <c r="AH166" s="33" t="n">
        <v>2275</v>
      </c>
      <c r="AI166" s="33" t="n">
        <v>2300</v>
      </c>
      <c r="AJ166" s="33" t="n">
        <v>2297</v>
      </c>
      <c r="AK166" s="33" t="n">
        <v>2286</v>
      </c>
      <c r="AL166" s="33" t="n">
        <v>2311</v>
      </c>
      <c r="AM166" s="33" t="n">
        <v>2339</v>
      </c>
      <c r="AN166" s="33" t="n">
        <v>2351</v>
      </c>
      <c r="AO166" s="33" t="n">
        <v>2358</v>
      </c>
      <c r="AP166" s="33" t="n">
        <v>2405</v>
      </c>
      <c r="AQ166" s="33" t="n">
        <v>2447</v>
      </c>
      <c r="AR166" s="33" t="n">
        <v>2427</v>
      </c>
      <c r="AS166" s="33" t="n">
        <v>2412</v>
      </c>
      <c r="AT166" s="33" t="n">
        <v>2481</v>
      </c>
      <c r="AU166" s="33" t="n">
        <v>2496</v>
      </c>
      <c r="AV166" s="33" t="n">
        <v>2493</v>
      </c>
      <c r="AW166" s="33" t="n">
        <v>2523</v>
      </c>
      <c r="AX166" s="33" t="n">
        <v>2525</v>
      </c>
      <c r="AY166" s="33" t="n">
        <v>2500</v>
      </c>
      <c r="AZ166" s="33" t="n">
        <v>2473</v>
      </c>
      <c r="BA166" s="33" t="n">
        <v>2441</v>
      </c>
      <c r="BB166" s="33" t="n">
        <v>2422</v>
      </c>
      <c r="BC166" s="33" t="n">
        <v>2401</v>
      </c>
      <c r="BD166" s="33" t="n">
        <v>2351</v>
      </c>
      <c r="BE166" s="33" t="n">
        <v>2443</v>
      </c>
      <c r="BF166" s="33" t="n">
        <v>2800</v>
      </c>
      <c r="BG166" s="33" t="n">
        <v>2820</v>
      </c>
      <c r="BH166" s="33" t="n">
        <v>2752</v>
      </c>
      <c r="BI166" s="33" t="n">
        <v>2734</v>
      </c>
      <c r="BJ166" s="33" t="n">
        <v>2705</v>
      </c>
      <c r="BK166" s="33" t="n">
        <v>2750</v>
      </c>
      <c r="BL166" s="33" t="n">
        <v>2761</v>
      </c>
    </row>
    <row r="167" ht="15.95" customHeight="1" s="574">
      <c r="A167" s="68" t="inlineStr">
        <is>
          <t>9551</t>
        </is>
      </c>
      <c r="B167" s="44" t="inlineStr">
        <is>
          <t>メタウォーター</t>
        </is>
      </c>
      <c r="C167" s="669">
        <f>_xll.RssMarket("9551","安値")</f>
        <v/>
      </c>
      <c r="D167" s="661">
        <f>C167-E167</f>
        <v/>
      </c>
      <c r="E167" s="33" t="n">
        <v>3460</v>
      </c>
      <c r="F167" s="33" t="n">
        <v>3450</v>
      </c>
      <c r="G167" s="33" t="n">
        <v>3435</v>
      </c>
      <c r="H167" s="33" t="n">
        <v>3350</v>
      </c>
      <c r="I167" s="33" t="n">
        <v>3320</v>
      </c>
      <c r="J167" s="33" t="n">
        <v>3205</v>
      </c>
      <c r="K167" s="33" t="n">
        <v>3130</v>
      </c>
      <c r="L167" s="33" t="n">
        <v>3045</v>
      </c>
      <c r="M167" s="33" t="n">
        <v>3125</v>
      </c>
      <c r="N167" s="33" t="n">
        <v>3190</v>
      </c>
      <c r="O167" s="33" t="n">
        <v>3280</v>
      </c>
      <c r="P167" s="33" t="n">
        <v>3235</v>
      </c>
      <c r="Q167" s="33" t="n">
        <v>3265</v>
      </c>
      <c r="R167" s="33" t="n">
        <v>3205</v>
      </c>
      <c r="S167" s="33" t="n">
        <v>3525</v>
      </c>
      <c r="T167" s="33" t="n">
        <v>3200</v>
      </c>
      <c r="U167" s="33" t="n">
        <v>3225</v>
      </c>
      <c r="V167" s="33" t="n">
        <v>3265</v>
      </c>
      <c r="W167" s="33" t="n">
        <v>3235</v>
      </c>
      <c r="X167" s="33" t="n">
        <v>3255</v>
      </c>
      <c r="Y167" s="33" t="n">
        <v>3195</v>
      </c>
      <c r="Z167" s="33" t="n">
        <v>3260</v>
      </c>
      <c r="AA167" s="33" t="n">
        <v>3335</v>
      </c>
      <c r="AB167" s="33" t="n">
        <v>3450</v>
      </c>
      <c r="AC167" s="33" t="n">
        <v>3410</v>
      </c>
      <c r="AD167" s="33" t="n">
        <v>3380</v>
      </c>
      <c r="AE167" s="33" t="n">
        <v>3345</v>
      </c>
      <c r="AF167" s="33" t="n">
        <v>3415</v>
      </c>
      <c r="AG167" s="33" t="n">
        <v>3370</v>
      </c>
      <c r="AH167" s="33" t="n">
        <v>3400</v>
      </c>
      <c r="AI167" s="33" t="n">
        <v>3355</v>
      </c>
      <c r="AJ167" s="33" t="n">
        <v>3325</v>
      </c>
      <c r="AK167" s="33" t="n">
        <v>3315</v>
      </c>
      <c r="AL167" s="33" t="n">
        <v>3255</v>
      </c>
      <c r="AM167" s="33" t="n">
        <v>3580</v>
      </c>
      <c r="AN167" s="33" t="n">
        <v>3545</v>
      </c>
      <c r="AO167" s="33" t="n">
        <v>3610</v>
      </c>
      <c r="AP167" s="33" t="n">
        <v>3640</v>
      </c>
      <c r="AQ167" s="33" t="n">
        <v>3680</v>
      </c>
      <c r="AR167" s="33" t="n">
        <v>3685</v>
      </c>
      <c r="AS167" s="33" t="n">
        <v>3665</v>
      </c>
      <c r="AT167" s="33" t="n">
        <v>3645</v>
      </c>
      <c r="AU167" s="33" t="n">
        <v>3670</v>
      </c>
      <c r="AV167" s="33" t="n">
        <v>3595</v>
      </c>
      <c r="AW167" s="33" t="n">
        <v>3655</v>
      </c>
      <c r="AX167" s="33" t="n">
        <v>3680</v>
      </c>
      <c r="AY167" s="33" t="n">
        <v>3690</v>
      </c>
      <c r="AZ167" s="33" t="n">
        <v>3550</v>
      </c>
      <c r="BA167" s="33" t="n">
        <v>3550</v>
      </c>
      <c r="BB167" s="33" t="n">
        <v>3530</v>
      </c>
      <c r="BC167" s="33" t="n">
        <v>3500</v>
      </c>
      <c r="BD167" s="33" t="n">
        <v>3500</v>
      </c>
      <c r="BE167" s="33" t="n">
        <v>3350</v>
      </c>
      <c r="BF167" s="33" t="n">
        <v>3325</v>
      </c>
      <c r="BG167" s="33" t="n">
        <v>3425</v>
      </c>
      <c r="BH167" s="33" t="n">
        <v>3485</v>
      </c>
      <c r="BI167" s="33" t="n">
        <v>3525</v>
      </c>
      <c r="BJ167" s="33" t="n">
        <v>3415</v>
      </c>
      <c r="BK167" s="33" t="n">
        <v>3255</v>
      </c>
      <c r="BL167" s="33" t="n">
        <v>3565</v>
      </c>
    </row>
    <row r="168" ht="15.95" customHeight="1" s="574">
      <c r="A168" s="68" t="inlineStr">
        <is>
          <t>2359</t>
        </is>
      </c>
      <c r="B168" s="44" t="inlineStr">
        <is>
          <t>コア</t>
        </is>
      </c>
      <c r="C168" s="669">
        <f>_xll.RssMarket("2359","安値")</f>
        <v/>
      </c>
      <c r="D168" s="661">
        <f>C168-E168</f>
        <v/>
      </c>
      <c r="E168" s="33" t="n">
        <v>2030</v>
      </c>
      <c r="F168" s="33" t="n">
        <v>2026</v>
      </c>
      <c r="G168" s="33" t="n">
        <v>2020</v>
      </c>
      <c r="H168" s="33" t="n">
        <v>2007</v>
      </c>
      <c r="I168" s="33" t="n">
        <v>1979</v>
      </c>
      <c r="J168" s="33" t="n">
        <v>2008</v>
      </c>
      <c r="K168" s="33" t="n">
        <v>1991</v>
      </c>
      <c r="L168" s="33" t="n">
        <v>2005</v>
      </c>
      <c r="M168" s="33" t="n">
        <v>2017</v>
      </c>
      <c r="N168" s="33" t="n">
        <v>2024</v>
      </c>
      <c r="O168" s="33" t="n">
        <v>2059</v>
      </c>
      <c r="P168" s="33" t="n">
        <v>2020</v>
      </c>
      <c r="Q168" s="33" t="n">
        <v>2016</v>
      </c>
      <c r="R168" s="33" t="n">
        <v>2015</v>
      </c>
      <c r="S168" s="33" t="n">
        <v>2020</v>
      </c>
      <c r="T168" s="33" t="n">
        <v>2014</v>
      </c>
      <c r="U168" s="33" t="n">
        <v>2013</v>
      </c>
      <c r="V168" s="33" t="n">
        <v>2075</v>
      </c>
      <c r="W168" s="33" t="n">
        <v>2081</v>
      </c>
      <c r="X168" s="33" t="n">
        <v>2102</v>
      </c>
      <c r="Y168" s="33" t="n">
        <v>2075</v>
      </c>
      <c r="Z168" s="33" t="n">
        <v>2050</v>
      </c>
      <c r="AA168" s="33" t="n">
        <v>2035</v>
      </c>
      <c r="AB168" s="33" t="n">
        <v>2041</v>
      </c>
      <c r="AC168" s="33" t="n">
        <v>2042</v>
      </c>
      <c r="AD168" s="33" t="n">
        <v>2015</v>
      </c>
      <c r="AE168" s="33" t="n">
        <v>2009</v>
      </c>
      <c r="AF168" s="33" t="n">
        <v>1990</v>
      </c>
      <c r="AG168" s="33" t="n">
        <v>1993</v>
      </c>
      <c r="AH168" s="33" t="n">
        <v>1983</v>
      </c>
      <c r="AI168" s="33" t="n">
        <v>2013</v>
      </c>
      <c r="AJ168" s="33" t="n">
        <v>2010</v>
      </c>
      <c r="AK168" s="33" t="n">
        <v>2165</v>
      </c>
      <c r="AL168" s="33" t="n">
        <v>2144</v>
      </c>
      <c r="AM168" s="33" t="n">
        <v>2137</v>
      </c>
      <c r="AN168" s="33" t="n">
        <v>2137</v>
      </c>
      <c r="AO168" s="33" t="n">
        <v>2206</v>
      </c>
      <c r="AP168" s="33" t="n">
        <v>2235</v>
      </c>
      <c r="AQ168" s="33" t="n">
        <v>2239</v>
      </c>
      <c r="AR168" s="33" t="n">
        <v>2248</v>
      </c>
      <c r="AS168" s="33" t="n">
        <v>2232</v>
      </c>
      <c r="AT168" s="33" t="n">
        <v>2241</v>
      </c>
      <c r="AU168" s="33" t="n">
        <v>2215</v>
      </c>
      <c r="AV168" s="33" t="n">
        <v>2210</v>
      </c>
      <c r="AW168" s="33" t="n">
        <v>2236</v>
      </c>
      <c r="AX168" s="33" t="n">
        <v>2265</v>
      </c>
      <c r="AY168" s="33" t="n">
        <v>2290</v>
      </c>
      <c r="AZ168" s="33" t="n">
        <v>2251</v>
      </c>
      <c r="BA168" s="33" t="n">
        <v>2258</v>
      </c>
      <c r="BB168" s="33" t="n">
        <v>2256</v>
      </c>
      <c r="BC168" s="33" t="n">
        <v>2236</v>
      </c>
      <c r="BD168" s="33" t="n">
        <v>2237</v>
      </c>
      <c r="BE168" s="33" t="n">
        <v>2214</v>
      </c>
      <c r="BF168" s="33" t="n">
        <v>2168</v>
      </c>
      <c r="BG168" s="33" t="n">
        <v>2282</v>
      </c>
      <c r="BH168" s="33" t="n">
        <v>2250</v>
      </c>
      <c r="BI168" s="33" t="n">
        <v>2212</v>
      </c>
      <c r="BJ168" s="33" t="n">
        <v>2154</v>
      </c>
      <c r="BK168" s="33" t="n">
        <v>2130</v>
      </c>
      <c r="BL168" s="33" t="n">
        <v>2185</v>
      </c>
    </row>
    <row r="169" ht="15.95" customHeight="1" s="574">
      <c r="A169" s="68" t="inlineStr">
        <is>
          <t>8103</t>
        </is>
      </c>
      <c r="B169" s="44" t="inlineStr">
        <is>
          <t>明和産業</t>
        </is>
      </c>
      <c r="C169" s="669">
        <f>_xll.RssMarket("8103","安値")</f>
        <v/>
      </c>
      <c r="D169" s="661">
        <f>C169-E169</f>
        <v/>
      </c>
      <c r="E169" s="33" t="n">
        <v>869</v>
      </c>
      <c r="F169" s="33" t="n">
        <v>867</v>
      </c>
      <c r="G169" s="33" t="n">
        <v>868</v>
      </c>
      <c r="H169" s="33" t="n">
        <v>872</v>
      </c>
      <c r="I169" s="33" t="n">
        <v>861</v>
      </c>
      <c r="J169" s="33" t="n">
        <v>853</v>
      </c>
      <c r="K169" s="33" t="n">
        <v>854</v>
      </c>
      <c r="L169" s="33" t="n">
        <v>862</v>
      </c>
      <c r="M169" s="33" t="n">
        <v>879</v>
      </c>
      <c r="N169" s="33" t="n">
        <v>876</v>
      </c>
      <c r="O169" s="33" t="n">
        <v>870</v>
      </c>
      <c r="P169" s="33" t="n">
        <v>864</v>
      </c>
      <c r="Q169" s="33" t="n">
        <v>880</v>
      </c>
      <c r="R169" s="33" t="n">
        <v>875</v>
      </c>
      <c r="S169" s="33" t="n">
        <v>880</v>
      </c>
      <c r="T169" s="33" t="n">
        <v>903</v>
      </c>
      <c r="U169" s="33" t="n">
        <v>891</v>
      </c>
      <c r="V169" s="33" t="n">
        <v>884</v>
      </c>
      <c r="W169" s="33" t="n">
        <v>876</v>
      </c>
      <c r="X169" s="33" t="n">
        <v>903</v>
      </c>
      <c r="Y169" s="33" t="n">
        <v>887</v>
      </c>
      <c r="Z169" s="33" t="n">
        <v>892</v>
      </c>
      <c r="AA169" s="33" t="n">
        <v>900</v>
      </c>
      <c r="AB169" s="33" t="n">
        <v>879</v>
      </c>
      <c r="AC169" s="33" t="n">
        <v>877</v>
      </c>
      <c r="AD169" s="33" t="n">
        <v>885</v>
      </c>
      <c r="AE169" s="33" t="n">
        <v>878</v>
      </c>
      <c r="AF169" s="33" t="n">
        <v>857</v>
      </c>
      <c r="AG169" s="33" t="n">
        <v>832</v>
      </c>
      <c r="AH169" s="33" t="n">
        <v>752</v>
      </c>
      <c r="AI169" s="33" t="n">
        <v>764</v>
      </c>
      <c r="AJ169" s="33" t="n">
        <v>760</v>
      </c>
      <c r="AK169" s="33" t="n">
        <v>762</v>
      </c>
      <c r="AL169" s="33" t="n">
        <v>758</v>
      </c>
      <c r="AM169" s="33" t="n">
        <v>764</v>
      </c>
      <c r="AN169" s="33" t="n">
        <v>773</v>
      </c>
      <c r="AO169" s="33" t="n">
        <v>778</v>
      </c>
      <c r="AP169" s="33" t="n">
        <v>778</v>
      </c>
      <c r="AQ169" s="33" t="n">
        <v>773</v>
      </c>
      <c r="AR169" s="33" t="n">
        <v>773</v>
      </c>
      <c r="AS169" s="33" t="n">
        <v>777</v>
      </c>
      <c r="AT169" s="33" t="n">
        <v>785</v>
      </c>
      <c r="AU169" s="33" t="n">
        <v>795</v>
      </c>
      <c r="AV169" s="33" t="n">
        <v>800</v>
      </c>
      <c r="AW169" s="33" t="n">
        <v>801</v>
      </c>
      <c r="AX169" s="33" t="n">
        <v>791</v>
      </c>
      <c r="AY169" s="33" t="n">
        <v>787</v>
      </c>
      <c r="AZ169" s="33" t="n">
        <v>787</v>
      </c>
      <c r="BA169" s="33" t="n">
        <v>787</v>
      </c>
      <c r="BB169" s="33" t="n">
        <v>793</v>
      </c>
      <c r="BC169" s="33" t="n">
        <v>782</v>
      </c>
      <c r="BD169" s="33" t="n">
        <v>764</v>
      </c>
      <c r="BE169" s="33" t="n">
        <v>817</v>
      </c>
      <c r="BF169" s="33" t="n">
        <v>819</v>
      </c>
      <c r="BG169" s="33" t="n">
        <v>823</v>
      </c>
      <c r="BH169" s="33" t="n">
        <v>813</v>
      </c>
      <c r="BI169" s="33" t="n">
        <v>795</v>
      </c>
      <c r="BJ169" s="33" t="n">
        <v>815</v>
      </c>
      <c r="BK169" s="33" t="n">
        <v>823</v>
      </c>
      <c r="BL169" s="33" t="n">
        <v>818</v>
      </c>
    </row>
    <row r="170" ht="15.95" customHeight="1" s="574">
      <c r="A170" s="68" t="inlineStr">
        <is>
          <t>4709</t>
        </is>
      </c>
      <c r="B170" s="44" t="inlineStr">
        <is>
          <t>ＩＤホールディングス</t>
        </is>
      </c>
      <c r="C170" s="669">
        <f>_xll.RssMarket("4709","安値")</f>
        <v/>
      </c>
      <c r="D170" s="661">
        <f>C170-E170</f>
        <v/>
      </c>
      <c r="E170" s="33" t="n">
        <v>1050</v>
      </c>
      <c r="F170" s="33" t="n">
        <v>1042</v>
      </c>
      <c r="G170" s="33" t="n">
        <v>1064</v>
      </c>
      <c r="H170" s="33" t="n">
        <v>1091</v>
      </c>
      <c r="I170" s="33" t="n">
        <v>1068</v>
      </c>
      <c r="J170" s="33" t="n">
        <v>1061</v>
      </c>
      <c r="K170" s="33" t="n">
        <v>1035</v>
      </c>
      <c r="L170" s="33" t="n">
        <v>1054</v>
      </c>
      <c r="M170" s="33" t="n">
        <v>1042</v>
      </c>
      <c r="N170" s="33" t="n">
        <v>995</v>
      </c>
      <c r="O170" s="33" t="n">
        <v>998</v>
      </c>
      <c r="P170" s="33" t="n">
        <v>981</v>
      </c>
      <c r="Q170" s="33" t="n">
        <v>990</v>
      </c>
      <c r="R170" s="33" t="n">
        <v>1015</v>
      </c>
      <c r="S170" s="33" t="n">
        <v>1020</v>
      </c>
      <c r="T170" s="33" t="n">
        <v>1001</v>
      </c>
      <c r="U170" s="33" t="n">
        <v>996</v>
      </c>
      <c r="V170" s="33" t="n">
        <v>1019</v>
      </c>
      <c r="W170" s="33" t="n">
        <v>1033</v>
      </c>
      <c r="X170" s="33" t="n">
        <v>1045</v>
      </c>
      <c r="Y170" s="33" t="n">
        <v>1022</v>
      </c>
      <c r="Z170" s="33" t="n">
        <v>1017</v>
      </c>
      <c r="AA170" s="33" t="n">
        <v>1016</v>
      </c>
      <c r="AB170" s="33" t="n">
        <v>1018</v>
      </c>
      <c r="AC170" s="33" t="n">
        <v>1007</v>
      </c>
      <c r="AD170" s="33" t="n">
        <v>1060</v>
      </c>
      <c r="AE170" s="33" t="n">
        <v>1066</v>
      </c>
      <c r="AF170" s="33" t="n">
        <v>1044</v>
      </c>
      <c r="AG170" s="33" t="n">
        <v>1015</v>
      </c>
      <c r="AH170" s="33" t="n">
        <v>1035</v>
      </c>
      <c r="AI170" s="33" t="n">
        <v>1006</v>
      </c>
      <c r="AJ170" s="33" t="n">
        <v>885</v>
      </c>
      <c r="AK170" s="33" t="n">
        <v>892</v>
      </c>
      <c r="AL170" s="33" t="n">
        <v>883</v>
      </c>
      <c r="AM170" s="33" t="n">
        <v>881</v>
      </c>
      <c r="AN170" s="33" t="n">
        <v>881</v>
      </c>
      <c r="AO170" s="33" t="n">
        <v>905</v>
      </c>
      <c r="AP170" s="33" t="n">
        <v>919</v>
      </c>
      <c r="AQ170" s="33" t="n">
        <v>917</v>
      </c>
      <c r="AR170" s="33" t="n">
        <v>932</v>
      </c>
      <c r="AS170" s="33" t="n">
        <v>935</v>
      </c>
      <c r="AT170" s="33" t="n">
        <v>918</v>
      </c>
      <c r="AU170" s="33" t="n">
        <v>913</v>
      </c>
      <c r="AV170" s="33" t="n">
        <v>911</v>
      </c>
      <c r="AW170" s="33" t="n">
        <v>927</v>
      </c>
      <c r="AX170" s="33" t="n">
        <v>936</v>
      </c>
      <c r="AY170" s="33" t="n">
        <v>949</v>
      </c>
      <c r="AZ170" s="33" t="n">
        <v>942</v>
      </c>
      <c r="BA170" s="33" t="n">
        <v>944</v>
      </c>
      <c r="BB170" s="33" t="n">
        <v>940</v>
      </c>
      <c r="BC170" s="33" t="n">
        <v>940</v>
      </c>
      <c r="BD170" s="33" t="n">
        <v>945</v>
      </c>
      <c r="BE170" s="33" t="n">
        <v>919</v>
      </c>
      <c r="BF170" s="33" t="n">
        <v>903</v>
      </c>
      <c r="BG170" s="33" t="n">
        <v>940.5</v>
      </c>
      <c r="BH170" s="33" t="n">
        <v>936</v>
      </c>
      <c r="BI170" s="33" t="n">
        <v>941</v>
      </c>
      <c r="BJ170" s="33" t="n">
        <v>925</v>
      </c>
      <c r="BK170" s="33" t="n">
        <v>915</v>
      </c>
      <c r="BL170" s="33" t="n">
        <v>940</v>
      </c>
    </row>
    <row r="171" ht="15.95" customHeight="1" s="574">
      <c r="A171" s="68" t="inlineStr">
        <is>
          <t>7981</t>
        </is>
      </c>
      <c r="B171" s="44" t="inlineStr">
        <is>
          <t>タカラスタンダ－ド</t>
        </is>
      </c>
      <c r="C171" s="669">
        <f>_xll.RssMarket("7981","安値")</f>
        <v/>
      </c>
      <c r="D171" s="661">
        <f>C171-E171</f>
        <v/>
      </c>
      <c r="E171" s="33" t="n">
        <v>2995</v>
      </c>
      <c r="F171" s="33" t="n">
        <v>3015</v>
      </c>
      <c r="G171" s="33" t="n">
        <v>3005</v>
      </c>
      <c r="H171" s="33" t="n">
        <v>2994</v>
      </c>
      <c r="I171" s="33" t="n">
        <v>2979</v>
      </c>
      <c r="J171" s="33" t="n">
        <v>3000</v>
      </c>
      <c r="K171" s="33" t="n">
        <v>2967</v>
      </c>
      <c r="L171" s="33" t="n">
        <v>2891</v>
      </c>
      <c r="M171" s="33" t="n">
        <v>2937</v>
      </c>
      <c r="N171" s="33" t="n">
        <v>2912</v>
      </c>
      <c r="O171" s="33" t="n">
        <v>2941</v>
      </c>
      <c r="P171" s="33" t="n">
        <v>2909</v>
      </c>
      <c r="Q171" s="33" t="n">
        <v>2899</v>
      </c>
      <c r="R171" s="33" t="n">
        <v>2882</v>
      </c>
      <c r="S171" s="33" t="n">
        <v>2935</v>
      </c>
      <c r="T171" s="33" t="n">
        <v>2930</v>
      </c>
      <c r="U171" s="33" t="n">
        <v>2940</v>
      </c>
      <c r="V171" s="33" t="n">
        <v>2973</v>
      </c>
      <c r="W171" s="33" t="n">
        <v>2877</v>
      </c>
      <c r="X171" s="33" t="n">
        <v>2895</v>
      </c>
      <c r="Y171" s="33" t="n">
        <v>2882</v>
      </c>
      <c r="Z171" s="33" t="n">
        <v>2907</v>
      </c>
      <c r="AA171" s="33" t="n">
        <v>2883</v>
      </c>
      <c r="AB171" s="33" t="n">
        <v>2983</v>
      </c>
      <c r="AC171" s="33" t="n">
        <v>2941</v>
      </c>
      <c r="AD171" s="33" t="n">
        <v>2992</v>
      </c>
      <c r="AE171" s="33" t="n">
        <v>3020</v>
      </c>
      <c r="AF171" s="33" t="n">
        <v>3045</v>
      </c>
      <c r="AG171" s="33" t="n">
        <v>3050</v>
      </c>
      <c r="AH171" s="33" t="n">
        <v>3045</v>
      </c>
      <c r="AI171" s="33" t="n">
        <v>2961</v>
      </c>
      <c r="AJ171" s="33" t="n">
        <v>2782</v>
      </c>
      <c r="AK171" s="33" t="n">
        <v>2731</v>
      </c>
      <c r="AL171" s="33" t="n">
        <v>2670</v>
      </c>
      <c r="AM171" s="33" t="n">
        <v>2628</v>
      </c>
      <c r="AN171" s="33" t="n">
        <v>2626</v>
      </c>
      <c r="AO171" s="33" t="n">
        <v>2649</v>
      </c>
      <c r="AP171" s="33" t="n">
        <v>2671</v>
      </c>
      <c r="AQ171" s="33" t="n">
        <v>2713</v>
      </c>
      <c r="AR171" s="33" t="n">
        <v>2717</v>
      </c>
      <c r="AS171" s="33" t="n">
        <v>2746</v>
      </c>
      <c r="AT171" s="33" t="n">
        <v>2693</v>
      </c>
      <c r="AU171" s="33" t="n">
        <v>2646</v>
      </c>
      <c r="AV171" s="33" t="n">
        <v>2740</v>
      </c>
      <c r="AW171" s="33" t="n">
        <v>2925</v>
      </c>
      <c r="AX171" s="33" t="n">
        <v>2923</v>
      </c>
      <c r="AY171" s="33" t="n">
        <v>2897</v>
      </c>
      <c r="AZ171" s="33" t="n">
        <v>2816</v>
      </c>
      <c r="BA171" s="33" t="n">
        <v>2798</v>
      </c>
      <c r="BB171" s="33" t="n">
        <v>2775</v>
      </c>
      <c r="BC171" s="33" t="n">
        <v>2776</v>
      </c>
      <c r="BD171" s="33" t="n">
        <v>2770</v>
      </c>
      <c r="BE171" s="33" t="n">
        <v>2727</v>
      </c>
      <c r="BF171" s="33" t="n">
        <v>2688</v>
      </c>
      <c r="BG171" s="33" t="n">
        <v>2839</v>
      </c>
      <c r="BH171" s="33" t="n">
        <v>2833</v>
      </c>
      <c r="BI171" s="33" t="n">
        <v>2834</v>
      </c>
      <c r="BJ171" s="33" t="n">
        <v>2762</v>
      </c>
      <c r="BK171" s="33" t="n">
        <v>2708</v>
      </c>
      <c r="BL171" s="33" t="n">
        <v>2817</v>
      </c>
    </row>
    <row r="172" ht="15.95" customHeight="1" s="574">
      <c r="A172" s="68" t="inlineStr">
        <is>
          <t>8303</t>
        </is>
      </c>
      <c r="B172" s="44" t="inlineStr">
        <is>
          <t>ＳＢＩ新生銀行</t>
        </is>
      </c>
      <c r="C172" s="669">
        <f>_xll.RssMarket("8303","安値")</f>
        <v/>
      </c>
      <c r="D172" s="661">
        <f>C172-E172</f>
        <v/>
      </c>
      <c r="E172" s="33" t="n">
        <v>1422.5</v>
      </c>
      <c r="F172" s="33" t="n">
        <v>1427</v>
      </c>
      <c r="G172" s="33" t="n">
        <v>1440.5</v>
      </c>
      <c r="H172" s="33" t="n">
        <v>1445</v>
      </c>
      <c r="I172" s="33" t="n">
        <v>1435</v>
      </c>
      <c r="J172" s="33" t="n">
        <v>1473.5</v>
      </c>
      <c r="K172" s="33" t="n">
        <v>1393</v>
      </c>
      <c r="L172" s="33" t="n">
        <v>1417.5</v>
      </c>
      <c r="M172" s="33" t="n">
        <v>1444</v>
      </c>
      <c r="N172" s="33" t="n">
        <v>1362</v>
      </c>
      <c r="O172" s="33" t="n">
        <v>1396</v>
      </c>
      <c r="P172" s="33" t="n">
        <v>1377</v>
      </c>
      <c r="Q172" s="33" t="n">
        <v>1333</v>
      </c>
      <c r="R172" s="33" t="n">
        <v>1325</v>
      </c>
      <c r="S172" s="33" t="n">
        <v>1365</v>
      </c>
      <c r="T172" s="33" t="n">
        <v>1348</v>
      </c>
      <c r="U172" s="33" t="n">
        <v>1361.5</v>
      </c>
      <c r="V172" s="33" t="n">
        <v>1457.5</v>
      </c>
      <c r="W172" s="33" t="n">
        <v>1474</v>
      </c>
      <c r="X172" s="33" t="n">
        <v>1494.5</v>
      </c>
      <c r="Y172" s="33" t="n">
        <v>1555.5</v>
      </c>
      <c r="Z172" s="33" t="n">
        <v>1571</v>
      </c>
      <c r="AA172" s="33" t="n">
        <v>1619.5</v>
      </c>
      <c r="AB172" s="33" t="n">
        <v>1615</v>
      </c>
      <c r="AC172" s="33" t="n">
        <v>1607</v>
      </c>
      <c r="AD172" s="33" t="n">
        <v>1649</v>
      </c>
      <c r="AE172" s="33" t="n">
        <v>1635</v>
      </c>
      <c r="AF172" s="33" t="n">
        <v>1626</v>
      </c>
      <c r="AG172" s="33" t="n">
        <v>1673</v>
      </c>
      <c r="AH172" s="33" t="n">
        <v>1669</v>
      </c>
      <c r="AI172" s="33" t="n">
        <v>1710</v>
      </c>
      <c r="AJ172" s="33" t="n">
        <v>1785</v>
      </c>
      <c r="AK172" s="33" t="n">
        <v>1753</v>
      </c>
      <c r="AL172" s="33" t="n">
        <v>1678</v>
      </c>
      <c r="AM172" s="33" t="n">
        <v>1673.5</v>
      </c>
      <c r="AN172" s="33" t="n">
        <v>1614.5</v>
      </c>
      <c r="AO172" s="33" t="n">
        <v>1611.5</v>
      </c>
      <c r="AP172" s="33" t="n">
        <v>1655</v>
      </c>
      <c r="AQ172" s="33" t="n">
        <v>1673</v>
      </c>
      <c r="AR172" s="33" t="n">
        <v>1685</v>
      </c>
      <c r="AS172" s="33" t="n">
        <v>1698.5</v>
      </c>
      <c r="AT172" s="33" t="n">
        <v>1680</v>
      </c>
      <c r="AU172" s="33" t="n">
        <v>1670</v>
      </c>
      <c r="AV172" s="33" t="n">
        <v>1666</v>
      </c>
      <c r="AW172" s="33" t="n">
        <v>1693.5</v>
      </c>
      <c r="AX172" s="33" t="n">
        <v>1720.5</v>
      </c>
      <c r="AY172" s="33" t="n">
        <v>1766</v>
      </c>
      <c r="AZ172" s="33" t="n">
        <v>1768</v>
      </c>
      <c r="BA172" s="33" t="n">
        <v>1737</v>
      </c>
      <c r="BB172" s="33" t="n">
        <v>1717</v>
      </c>
      <c r="BC172" s="33" t="n">
        <v>1709</v>
      </c>
      <c r="BD172" s="33" t="n">
        <v>1706.5</v>
      </c>
      <c r="BE172" s="33" t="n">
        <v>1682.5</v>
      </c>
      <c r="BF172" s="33" t="n">
        <v>1643</v>
      </c>
      <c r="BG172" s="33" t="n">
        <v>1676</v>
      </c>
      <c r="BH172" s="33" t="n">
        <v>1668.5</v>
      </c>
      <c r="BI172" s="33" t="n">
        <v>1708</v>
      </c>
      <c r="BJ172" s="33" t="n">
        <v>1677</v>
      </c>
      <c r="BK172" s="33" t="n">
        <v>1628</v>
      </c>
      <c r="BL172" s="33" t="n">
        <v>1669</v>
      </c>
    </row>
    <row r="173" ht="15.95" customHeight="1" s="574">
      <c r="A173" s="68" t="inlineStr">
        <is>
          <t>4382</t>
        </is>
      </c>
      <c r="B173" s="44" t="inlineStr">
        <is>
          <t>ＨＥＲＯＺ</t>
        </is>
      </c>
      <c r="C173" s="669">
        <f>_xll.RssMarket("4382","安値")</f>
        <v/>
      </c>
      <c r="D173" s="661">
        <f>C173-E173</f>
        <v/>
      </c>
      <c r="E173" s="33" t="n">
        <v>728</v>
      </c>
      <c r="F173" s="33" t="n">
        <v>723</v>
      </c>
      <c r="G173" s="33" t="n">
        <v>770</v>
      </c>
      <c r="H173" s="33" t="n">
        <v>781</v>
      </c>
      <c r="I173" s="33" t="n">
        <v>762</v>
      </c>
      <c r="J173" s="33" t="n">
        <v>788</v>
      </c>
      <c r="K173" s="33" t="n">
        <v>771</v>
      </c>
      <c r="L173" s="33" t="n">
        <v>751</v>
      </c>
      <c r="M173" s="33" t="n">
        <v>752</v>
      </c>
      <c r="N173" s="33" t="n">
        <v>694</v>
      </c>
      <c r="O173" s="33" t="n">
        <v>696</v>
      </c>
      <c r="P173" s="33" t="n">
        <v>693</v>
      </c>
      <c r="Q173" s="33" t="n">
        <v>699</v>
      </c>
      <c r="R173" s="33" t="n">
        <v>701</v>
      </c>
      <c r="S173" s="33" t="n">
        <v>713</v>
      </c>
      <c r="T173" s="33" t="n">
        <v>717</v>
      </c>
      <c r="U173" s="33" t="n">
        <v>748</v>
      </c>
      <c r="V173" s="33" t="n">
        <v>755</v>
      </c>
      <c r="W173" s="33" t="n">
        <v>760</v>
      </c>
      <c r="X173" s="33" t="n">
        <v>762</v>
      </c>
      <c r="Y173" s="33" t="n">
        <v>760</v>
      </c>
      <c r="Z173" s="33" t="n">
        <v>770</v>
      </c>
      <c r="AA173" s="33" t="n">
        <v>782</v>
      </c>
      <c r="AB173" s="33" t="n">
        <v>781</v>
      </c>
      <c r="AC173" s="33" t="n">
        <v>783</v>
      </c>
      <c r="AD173" s="33" t="n">
        <v>804</v>
      </c>
      <c r="AE173" s="33" t="n">
        <v>809</v>
      </c>
      <c r="AF173" s="33" t="n">
        <v>804</v>
      </c>
      <c r="AG173" s="33" t="n">
        <v>802</v>
      </c>
      <c r="AH173" s="33" t="n">
        <v>810</v>
      </c>
      <c r="AI173" s="33" t="n">
        <v>831</v>
      </c>
      <c r="AJ173" s="33" t="n">
        <v>834</v>
      </c>
      <c r="AK173" s="33" t="n">
        <v>845</v>
      </c>
      <c r="AL173" s="33" t="n">
        <v>851</v>
      </c>
      <c r="AM173" s="33" t="n">
        <v>858</v>
      </c>
      <c r="AN173" s="33" t="n">
        <v>854</v>
      </c>
      <c r="AO173" s="33" t="n">
        <v>879</v>
      </c>
      <c r="AP173" s="33" t="n">
        <v>877</v>
      </c>
      <c r="AQ173" s="33" t="n">
        <v>862</v>
      </c>
      <c r="AR173" s="33" t="n">
        <v>860</v>
      </c>
      <c r="AS173" s="33" t="n">
        <v>850</v>
      </c>
      <c r="AT173" s="33" t="n">
        <v>850</v>
      </c>
      <c r="AU173" s="33" t="n">
        <v>857</v>
      </c>
      <c r="AV173" s="33" t="n">
        <v>871</v>
      </c>
      <c r="AW173" s="33" t="n">
        <v>869</v>
      </c>
      <c r="AX173" s="33" t="n">
        <v>855</v>
      </c>
      <c r="AY173" s="33" t="n">
        <v>851</v>
      </c>
      <c r="AZ173" s="33" t="n">
        <v>845</v>
      </c>
      <c r="BA173" s="33" t="n">
        <v>845</v>
      </c>
      <c r="BB173" s="33" t="n">
        <v>816</v>
      </c>
      <c r="BC173" s="33" t="n">
        <v>794</v>
      </c>
      <c r="BD173" s="33" t="n">
        <v>802</v>
      </c>
      <c r="BE173" s="33" t="n">
        <v>802</v>
      </c>
      <c r="BF173" s="33" t="n">
        <v>817</v>
      </c>
      <c r="BG173" s="33" t="n">
        <v>794</v>
      </c>
      <c r="BH173" s="33" t="n">
        <v>776</v>
      </c>
      <c r="BI173" s="33" t="n">
        <v>813</v>
      </c>
      <c r="BJ173" s="33" t="n">
        <v>840</v>
      </c>
      <c r="BK173" s="33" t="n">
        <v>840</v>
      </c>
      <c r="BL173" s="33" t="n">
        <v>844</v>
      </c>
    </row>
    <row r="174" ht="15.95" customHeight="1" s="574">
      <c r="A174" s="68" t="inlineStr">
        <is>
          <t>2327</t>
        </is>
      </c>
      <c r="B174" s="44" t="inlineStr">
        <is>
          <t>日鉄ソリューションズ</t>
        </is>
      </c>
      <c r="C174" s="669">
        <f>_xll.RssMarket("2327","安値")</f>
        <v/>
      </c>
      <c r="D174" s="661">
        <f>C174-E174</f>
        <v/>
      </c>
      <c r="E174" s="33" t="n">
        <v>3180</v>
      </c>
      <c r="F174" s="33" t="n">
        <v>3075</v>
      </c>
      <c r="G174" s="33" t="n">
        <v>3110</v>
      </c>
      <c r="H174" s="33" t="n">
        <v>3086</v>
      </c>
      <c r="I174" s="33" t="n">
        <v>3215</v>
      </c>
      <c r="J174" s="33" t="n">
        <v>3201</v>
      </c>
      <c r="K174" s="33" t="n">
        <v>3210</v>
      </c>
      <c r="L174" s="33" t="n">
        <v>3224</v>
      </c>
      <c r="M174" s="33" t="n">
        <v>3320</v>
      </c>
      <c r="N174" s="33" t="n">
        <v>3404</v>
      </c>
      <c r="O174" s="33" t="n">
        <v>3325</v>
      </c>
      <c r="P174" s="33" t="n">
        <v>3415</v>
      </c>
      <c r="Q174" s="33" t="n">
        <v>3520</v>
      </c>
      <c r="R174" s="33" t="n">
        <v>3485</v>
      </c>
      <c r="S174" s="33" t="n">
        <v>3490</v>
      </c>
      <c r="T174" s="33" t="n">
        <v>3515</v>
      </c>
      <c r="U174" s="33" t="n">
        <v>3562</v>
      </c>
      <c r="V174" s="33" t="n">
        <v>3501</v>
      </c>
      <c r="W174" s="33" t="n">
        <v>3535</v>
      </c>
      <c r="X174" s="33" t="n">
        <v>3480</v>
      </c>
      <c r="Y174" s="33" t="n">
        <v>3530</v>
      </c>
      <c r="Z174" s="33" t="n">
        <v>3499</v>
      </c>
      <c r="AA174" s="33" t="n">
        <v>3422</v>
      </c>
      <c r="AB174" s="33" t="n">
        <v>3481</v>
      </c>
      <c r="AC174" s="33" t="n">
        <v>3558</v>
      </c>
      <c r="AD174" s="33" t="n">
        <v>3630</v>
      </c>
      <c r="AE174" s="33" t="n">
        <v>3580</v>
      </c>
      <c r="AF174" s="33" t="n">
        <v>3570</v>
      </c>
      <c r="AG174" s="33" t="n">
        <v>3530</v>
      </c>
      <c r="AH174" s="33" t="n">
        <v>3598</v>
      </c>
      <c r="AI174" s="33" t="n">
        <v>3505</v>
      </c>
      <c r="AJ174" s="33" t="n">
        <v>3578</v>
      </c>
      <c r="AK174" s="33" t="n">
        <v>3631</v>
      </c>
      <c r="AL174" s="33" t="n">
        <v>3698</v>
      </c>
      <c r="AM174" s="33" t="n">
        <v>3881</v>
      </c>
      <c r="AN174" s="33" t="n">
        <v>3825</v>
      </c>
      <c r="AO174" s="33" t="n">
        <v>3810</v>
      </c>
      <c r="AP174" s="33" t="n">
        <v>3895</v>
      </c>
      <c r="AQ174" s="33" t="n">
        <v>3858</v>
      </c>
      <c r="AR174" s="33" t="n">
        <v>3793</v>
      </c>
      <c r="AS174" s="33" t="n">
        <v>3735</v>
      </c>
      <c r="AT174" s="33" t="n">
        <v>3702</v>
      </c>
      <c r="AU174" s="33" t="n">
        <v>3754</v>
      </c>
      <c r="AV174" s="33" t="n">
        <v>3799</v>
      </c>
      <c r="AW174" s="33" t="n">
        <v>3845</v>
      </c>
      <c r="AX174" s="33" t="n">
        <v>3848</v>
      </c>
      <c r="AY174" s="33" t="n">
        <v>3806</v>
      </c>
      <c r="AZ174" s="33" t="n">
        <v>3689</v>
      </c>
      <c r="BA174" s="33" t="n">
        <v>3637</v>
      </c>
      <c r="BB174" s="33" t="n">
        <v>3708</v>
      </c>
      <c r="BC174" s="33" t="n">
        <v>3639</v>
      </c>
      <c r="BD174" s="33" t="n">
        <v>3575</v>
      </c>
      <c r="BE174" s="33" t="n">
        <v>3658</v>
      </c>
      <c r="BF174" s="33" t="n">
        <v>3630</v>
      </c>
      <c r="BG174" s="33" t="n">
        <v>3663</v>
      </c>
      <c r="BH174" s="33" t="n">
        <v>3648</v>
      </c>
      <c r="BI174" s="33" t="n">
        <v>3624</v>
      </c>
      <c r="BJ174" s="33" t="n">
        <v>3683</v>
      </c>
      <c r="BK174" s="33" t="n">
        <v>3725</v>
      </c>
      <c r="BL174" s="33" t="n">
        <v>3706</v>
      </c>
    </row>
    <row r="175" ht="15.95" customHeight="1" s="574">
      <c r="A175" s="68" t="inlineStr">
        <is>
          <t>1942</t>
        </is>
      </c>
      <c r="B175" s="44" t="inlineStr">
        <is>
          <t>関電工</t>
        </is>
      </c>
      <c r="C175" s="669">
        <f>_xll.RssMarket("1942","安値")</f>
        <v/>
      </c>
      <c r="D175" s="661">
        <f>C175-E175</f>
        <v/>
      </c>
      <c r="E175" s="33" t="n">
        <v>6634</v>
      </c>
      <c r="F175" s="33" t="n">
        <v>6589</v>
      </c>
      <c r="G175" s="33" t="n">
        <v>6467</v>
      </c>
      <c r="H175" s="33" t="n">
        <v>6388</v>
      </c>
      <c r="I175" s="33" t="n">
        <v>6185</v>
      </c>
      <c r="J175" s="33" t="n">
        <v>6163</v>
      </c>
      <c r="K175" s="33" t="n">
        <v>5711</v>
      </c>
      <c r="L175" s="33" t="n">
        <v>5692</v>
      </c>
      <c r="M175" s="33" t="n">
        <v>5907</v>
      </c>
      <c r="N175" s="33" t="n">
        <v>5700</v>
      </c>
      <c r="O175" s="33" t="n">
        <v>5794</v>
      </c>
      <c r="P175" s="33" t="n">
        <v>5777</v>
      </c>
      <c r="Q175" s="33" t="n">
        <v>5762</v>
      </c>
      <c r="R175" s="33" t="n">
        <v>5932</v>
      </c>
      <c r="S175" s="33" t="n">
        <v>6488</v>
      </c>
      <c r="T175" s="33" t="n">
        <v>6459</v>
      </c>
      <c r="U175" s="33" t="n">
        <v>6433</v>
      </c>
      <c r="V175" s="33" t="n">
        <v>6008</v>
      </c>
      <c r="W175" s="33" t="n">
        <v>5913</v>
      </c>
      <c r="X175" s="33" t="n">
        <v>6037</v>
      </c>
      <c r="Y175" s="33" t="n">
        <v>6028</v>
      </c>
      <c r="Z175" s="33" t="n">
        <v>6330</v>
      </c>
      <c r="AA175" s="33" t="n">
        <v>6441</v>
      </c>
      <c r="AB175" s="33" t="n">
        <v>6741</v>
      </c>
      <c r="AC175" s="33" t="n">
        <v>6912</v>
      </c>
      <c r="AD175" s="33" t="n">
        <v>7190</v>
      </c>
      <c r="AE175" s="33" t="n">
        <v>7209</v>
      </c>
      <c r="AF175" s="33" t="n">
        <v>7014</v>
      </c>
      <c r="AG175" s="33" t="n">
        <v>6841</v>
      </c>
      <c r="AH175" s="33" t="n">
        <v>6818</v>
      </c>
      <c r="AI175" s="33" t="n">
        <v>6729</v>
      </c>
      <c r="AJ175" s="33" t="n">
        <v>6522</v>
      </c>
      <c r="AK175" s="33" t="n">
        <v>6022</v>
      </c>
      <c r="AL175" s="33" t="n">
        <v>5892</v>
      </c>
      <c r="AM175" s="33" t="n">
        <v>5989</v>
      </c>
      <c r="AN175" s="33" t="n">
        <v>5908</v>
      </c>
      <c r="AO175" s="33" t="n">
        <v>6007</v>
      </c>
      <c r="AP175" s="33" t="n">
        <v>6120</v>
      </c>
      <c r="AQ175" s="33" t="n">
        <v>6111</v>
      </c>
      <c r="AR175" s="33" t="n">
        <v>6118</v>
      </c>
      <c r="AS175" s="33" t="n">
        <v>6052</v>
      </c>
      <c r="AT175" s="33" t="n">
        <v>6110</v>
      </c>
      <c r="AU175" s="33" t="n">
        <v>6266</v>
      </c>
      <c r="AV175" s="33" t="n">
        <v>6205</v>
      </c>
      <c r="AW175" s="33" t="n">
        <v>6288</v>
      </c>
      <c r="AX175" s="33" t="n">
        <v>6268</v>
      </c>
      <c r="AY175" s="33" t="n">
        <v>6231</v>
      </c>
      <c r="AZ175" s="33" t="n">
        <v>6010</v>
      </c>
      <c r="BA175" s="33" t="n">
        <v>6063</v>
      </c>
      <c r="BB175" s="33" t="n">
        <v>6041</v>
      </c>
      <c r="BC175" s="33" t="n">
        <v>6002</v>
      </c>
      <c r="BD175" s="33" t="n">
        <v>6031</v>
      </c>
      <c r="BE175" s="33" t="n">
        <v>5680</v>
      </c>
      <c r="BF175" s="33" t="n">
        <v>5838</v>
      </c>
      <c r="BG175" s="33" t="n">
        <v>6117</v>
      </c>
      <c r="BH175" s="33" t="n">
        <v>6234</v>
      </c>
      <c r="BI175" s="33" t="n">
        <v>6230</v>
      </c>
      <c r="BJ175" s="33" t="n">
        <v>5925</v>
      </c>
      <c r="BK175" s="33" t="n">
        <v>5794</v>
      </c>
      <c r="BL175" s="33" t="n">
        <v>6011</v>
      </c>
    </row>
    <row r="176" ht="15.95" customHeight="1" s="574">
      <c r="A176" s="68" t="inlineStr">
        <is>
          <t>1938</t>
        </is>
      </c>
      <c r="B176" s="44" t="inlineStr">
        <is>
          <t>日本リーテック</t>
        </is>
      </c>
      <c r="C176" s="669">
        <f>_xll.RssMarket("1938","安値")</f>
        <v/>
      </c>
      <c r="D176" s="661">
        <f>C176-E176</f>
        <v/>
      </c>
      <c r="E176" s="33" t="n">
        <v>2759</v>
      </c>
      <c r="F176" s="33" t="n">
        <v>2780</v>
      </c>
      <c r="G176" s="33" t="n">
        <v>2775</v>
      </c>
      <c r="H176" s="33" t="n">
        <v>2767</v>
      </c>
      <c r="I176" s="33" t="n">
        <v>2751</v>
      </c>
      <c r="J176" s="33" t="n">
        <v>2727</v>
      </c>
      <c r="K176" s="33" t="n">
        <v>2669</v>
      </c>
      <c r="L176" s="33" t="n">
        <v>2590</v>
      </c>
      <c r="M176" s="33" t="n">
        <v>2698</v>
      </c>
      <c r="N176" s="33" t="n">
        <v>2659</v>
      </c>
      <c r="O176" s="33" t="n">
        <v>2759</v>
      </c>
      <c r="P176" s="33" t="n">
        <v>2668</v>
      </c>
      <c r="Q176" s="33" t="n">
        <v>2697</v>
      </c>
      <c r="R176" s="33" t="n">
        <v>2620</v>
      </c>
      <c r="S176" s="33" t="n">
        <v>2785</v>
      </c>
      <c r="T176" s="33" t="n">
        <v>2731</v>
      </c>
      <c r="U176" s="33" t="n">
        <v>2738</v>
      </c>
      <c r="V176" s="33" t="n">
        <v>2666</v>
      </c>
      <c r="W176" s="33" t="n">
        <v>2591</v>
      </c>
      <c r="X176" s="33" t="n">
        <v>2600</v>
      </c>
      <c r="Y176" s="33" t="n">
        <v>2672</v>
      </c>
      <c r="Z176" s="33" t="n">
        <v>2772</v>
      </c>
      <c r="AA176" s="33" t="n">
        <v>2800</v>
      </c>
      <c r="AB176" s="33" t="n">
        <v>2877</v>
      </c>
      <c r="AC176" s="33" t="n">
        <v>2919</v>
      </c>
      <c r="AD176" s="33" t="n">
        <v>3025</v>
      </c>
      <c r="AE176" s="33" t="n">
        <v>2913</v>
      </c>
      <c r="AF176" s="33" t="n">
        <v>2919</v>
      </c>
      <c r="AG176" s="33" t="n">
        <v>2857</v>
      </c>
      <c r="AH176" s="33" t="n">
        <v>2833</v>
      </c>
      <c r="AI176" s="33" t="n">
        <v>2699</v>
      </c>
      <c r="AJ176" s="33" t="n">
        <v>2665</v>
      </c>
      <c r="AK176" s="33" t="n">
        <v>2575</v>
      </c>
      <c r="AL176" s="33" t="n">
        <v>2490</v>
      </c>
      <c r="AM176" s="33" t="n">
        <v>2537</v>
      </c>
      <c r="AN176" s="33" t="n">
        <v>2490</v>
      </c>
      <c r="AO176" s="33" t="n">
        <v>2476</v>
      </c>
      <c r="AP176" s="33" t="n">
        <v>2564</v>
      </c>
      <c r="AQ176" s="33" t="n">
        <v>2519</v>
      </c>
      <c r="AR176" s="33" t="n">
        <v>2526</v>
      </c>
      <c r="AS176" s="33" t="n">
        <v>2586</v>
      </c>
      <c r="AT176" s="33" t="n">
        <v>2582</v>
      </c>
      <c r="AU176" s="33" t="n">
        <v>2557</v>
      </c>
      <c r="AV176" s="33" t="n">
        <v>2604</v>
      </c>
      <c r="AW176" s="33" t="n">
        <v>2641</v>
      </c>
      <c r="AX176" s="33" t="n">
        <v>2620</v>
      </c>
      <c r="AY176" s="33" t="n">
        <v>2610</v>
      </c>
      <c r="AZ176" s="33" t="n">
        <v>2515</v>
      </c>
      <c r="BA176" s="33" t="n">
        <v>2518</v>
      </c>
      <c r="BB176" s="33" t="n">
        <v>2516</v>
      </c>
      <c r="BC176" s="33" t="n">
        <v>2514</v>
      </c>
      <c r="BD176" s="33" t="n">
        <v>2518</v>
      </c>
      <c r="BE176" s="33" t="n">
        <v>2455</v>
      </c>
      <c r="BF176" s="33" t="n">
        <v>2437</v>
      </c>
      <c r="BG176" s="33" t="n">
        <v>2598</v>
      </c>
      <c r="BH176" s="33" t="n">
        <v>2616</v>
      </c>
      <c r="BI176" s="33" t="n">
        <v>2665</v>
      </c>
      <c r="BJ176" s="33" t="n">
        <v>2552</v>
      </c>
      <c r="BK176" s="33" t="n">
        <v>2515</v>
      </c>
      <c r="BL176" s="33" t="n">
        <v>2673</v>
      </c>
    </row>
    <row r="177" ht="15.95" customHeight="1" s="574">
      <c r="A177" s="68" t="inlineStr">
        <is>
          <t>7236</t>
        </is>
      </c>
      <c r="B177" s="44" t="inlineStr">
        <is>
          <t>ティラド</t>
        </is>
      </c>
      <c r="C177" s="669">
        <f>_xll.RssMarket("7236","安値")</f>
        <v/>
      </c>
      <c r="D177" s="661">
        <f>C177-E177</f>
        <v/>
      </c>
      <c r="E177" s="33" t="n">
        <v>14300</v>
      </c>
      <c r="F177" s="33" t="n">
        <v>14060</v>
      </c>
      <c r="G177" s="33" t="n">
        <v>14220</v>
      </c>
      <c r="H177" s="33" t="n">
        <v>14110</v>
      </c>
      <c r="I177" s="33" t="n">
        <v>14200</v>
      </c>
      <c r="J177" s="33" t="n">
        <v>14310</v>
      </c>
      <c r="K177" s="33" t="n">
        <v>13850</v>
      </c>
      <c r="L177" s="33" t="n">
        <v>13770</v>
      </c>
      <c r="M177" s="33" t="n">
        <v>14150</v>
      </c>
      <c r="N177" s="33" t="n">
        <v>13810</v>
      </c>
      <c r="O177" s="33" t="n">
        <v>13960</v>
      </c>
      <c r="P177" s="33" t="n">
        <v>14420</v>
      </c>
      <c r="Q177" s="33" t="n">
        <v>14530</v>
      </c>
      <c r="R177" s="33" t="n">
        <v>14800</v>
      </c>
      <c r="S177" s="33" t="n">
        <v>14400</v>
      </c>
      <c r="T177" s="33" t="n">
        <v>14960</v>
      </c>
      <c r="U177" s="33" t="n">
        <v>14880</v>
      </c>
      <c r="V177" s="33" t="n">
        <v>14370</v>
      </c>
      <c r="W177" s="33" t="n">
        <v>13600</v>
      </c>
      <c r="X177" s="33" t="n">
        <v>13350</v>
      </c>
      <c r="Y177" s="33" t="n">
        <v>13500</v>
      </c>
      <c r="Z177" s="33" t="n">
        <v>13760</v>
      </c>
      <c r="AA177" s="33" t="n">
        <v>14170</v>
      </c>
      <c r="AB177" s="33" t="n">
        <v>14450</v>
      </c>
      <c r="AC177" s="33" t="n">
        <v>14360</v>
      </c>
      <c r="AD177" s="33" t="n">
        <v>14440</v>
      </c>
      <c r="AE177" s="33" t="n">
        <v>14550</v>
      </c>
      <c r="AF177" s="33" t="n">
        <v>14270</v>
      </c>
      <c r="AG177" s="33" t="n">
        <v>14500</v>
      </c>
      <c r="AH177" s="33" t="n">
        <v>14360</v>
      </c>
      <c r="AI177" s="33" t="n">
        <v>11110</v>
      </c>
      <c r="AJ177" s="33" t="n">
        <v>9610</v>
      </c>
      <c r="AK177" s="33" t="n">
        <v>7910</v>
      </c>
      <c r="AL177" s="33" t="n">
        <v>8120</v>
      </c>
      <c r="AM177" s="33" t="n">
        <v>8510</v>
      </c>
      <c r="AN177" s="33" t="n">
        <v>8800</v>
      </c>
      <c r="AO177" s="33" t="n">
        <v>9000</v>
      </c>
      <c r="AP177" s="33" t="n">
        <v>8910</v>
      </c>
      <c r="AQ177" s="33" t="n">
        <v>8870</v>
      </c>
      <c r="AR177" s="33" t="n">
        <v>8630</v>
      </c>
      <c r="AS177" s="33" t="n">
        <v>8350</v>
      </c>
      <c r="AT177" s="33" t="n">
        <v>8250</v>
      </c>
      <c r="AU177" s="33" t="n">
        <v>8160</v>
      </c>
      <c r="AV177" s="33" t="n">
        <v>8170</v>
      </c>
      <c r="AW177" s="33" t="n">
        <v>8200</v>
      </c>
      <c r="AX177" s="33" t="n">
        <v>8360</v>
      </c>
      <c r="AY177" s="33" t="n">
        <v>8030</v>
      </c>
      <c r="AZ177" s="33" t="n">
        <v>8060</v>
      </c>
      <c r="BA177" s="33" t="n">
        <v>7990</v>
      </c>
      <c r="BB177" s="33" t="n">
        <v>8030</v>
      </c>
      <c r="BC177" s="33" t="n">
        <v>7920</v>
      </c>
      <c r="BD177" s="33" t="n">
        <v>7700</v>
      </c>
      <c r="BE177" s="33" t="n">
        <v>7670</v>
      </c>
      <c r="BF177" s="33" t="n">
        <v>8170</v>
      </c>
      <c r="BG177" s="33" t="n">
        <v>8360</v>
      </c>
      <c r="BH177" s="33" t="n">
        <v>8570</v>
      </c>
      <c r="BI177" s="33" t="n">
        <v>8400</v>
      </c>
      <c r="BJ177" s="33" t="n">
        <v>8170</v>
      </c>
      <c r="BK177" s="33" t="n">
        <v>8830</v>
      </c>
      <c r="BL177" s="33" t="n">
        <v>9100</v>
      </c>
    </row>
    <row r="178" ht="15.95" customHeight="1" s="574">
      <c r="A178" s="68" t="inlineStr">
        <is>
          <t>6436</t>
        </is>
      </c>
      <c r="B178" s="44" t="inlineStr">
        <is>
          <t>アマノ</t>
        </is>
      </c>
      <c r="C178" s="669">
        <f>_xll.RssMarket("6436","安値")</f>
        <v/>
      </c>
      <c r="D178" s="661">
        <f>C178-E178</f>
        <v/>
      </c>
      <c r="E178" s="33" t="n">
        <v>3561</v>
      </c>
      <c r="F178" s="33" t="n">
        <v>3551</v>
      </c>
      <c r="G178" s="33" t="n">
        <v>3548</v>
      </c>
      <c r="H178" s="33" t="n">
        <v>3546</v>
      </c>
      <c r="I178" s="33" t="n">
        <v>3543</v>
      </c>
      <c r="J178" s="33" t="n">
        <v>3577</v>
      </c>
      <c r="K178" s="33" t="n">
        <v>3578</v>
      </c>
      <c r="L178" s="33" t="n">
        <v>3592</v>
      </c>
      <c r="M178" s="33" t="n">
        <v>3566</v>
      </c>
      <c r="N178" s="33" t="n">
        <v>3453</v>
      </c>
      <c r="O178" s="33" t="n">
        <v>3517</v>
      </c>
      <c r="P178" s="33" t="n">
        <v>3482</v>
      </c>
      <c r="Q178" s="33" t="n">
        <v>3506</v>
      </c>
      <c r="R178" s="33" t="n">
        <v>3486</v>
      </c>
      <c r="S178" s="33" t="n">
        <v>3557</v>
      </c>
      <c r="T178" s="33" t="n">
        <v>3556</v>
      </c>
      <c r="U178" s="33" t="n">
        <v>3537</v>
      </c>
      <c r="V178" s="33" t="n">
        <v>3571</v>
      </c>
      <c r="W178" s="33" t="n">
        <v>3593</v>
      </c>
      <c r="X178" s="33" t="n">
        <v>3630</v>
      </c>
      <c r="Y178" s="33" t="n">
        <v>3617</v>
      </c>
      <c r="Z178" s="33" t="n">
        <v>3651</v>
      </c>
      <c r="AA178" s="33" t="n">
        <v>3624</v>
      </c>
      <c r="AB178" s="33" t="n">
        <v>3641</v>
      </c>
      <c r="AC178" s="33" t="n">
        <v>3642</v>
      </c>
      <c r="AD178" s="33" t="n">
        <v>3635</v>
      </c>
      <c r="AE178" s="33" t="n">
        <v>3657</v>
      </c>
      <c r="AF178" s="33" t="n">
        <v>3666</v>
      </c>
      <c r="AG178" s="33" t="n">
        <v>3600</v>
      </c>
      <c r="AH178" s="33" t="n">
        <v>3575</v>
      </c>
      <c r="AI178" s="33" t="n">
        <v>3524</v>
      </c>
      <c r="AJ178" s="33" t="n">
        <v>3583</v>
      </c>
      <c r="AK178" s="33" t="n">
        <v>3648</v>
      </c>
      <c r="AL178" s="33" t="n">
        <v>3580</v>
      </c>
      <c r="AM178" s="33" t="n">
        <v>3793</v>
      </c>
      <c r="AN178" s="33" t="n">
        <v>3801</v>
      </c>
      <c r="AO178" s="33" t="n">
        <v>3821</v>
      </c>
      <c r="AP178" s="33" t="n">
        <v>3824</v>
      </c>
      <c r="AQ178" s="33" t="n">
        <v>3876</v>
      </c>
      <c r="AR178" s="33" t="n">
        <v>3877</v>
      </c>
      <c r="AS178" s="33" t="n">
        <v>3869</v>
      </c>
      <c r="AT178" s="33" t="n">
        <v>3846</v>
      </c>
      <c r="AU178" s="33" t="n">
        <v>3858</v>
      </c>
      <c r="AV178" s="33" t="n">
        <v>3868</v>
      </c>
      <c r="AW178" s="33" t="n">
        <v>3863</v>
      </c>
      <c r="AX178" s="33" t="n">
        <v>3920</v>
      </c>
      <c r="AY178" s="33" t="n">
        <v>3911</v>
      </c>
      <c r="AZ178" s="33" t="n">
        <v>3870</v>
      </c>
      <c r="BA178" s="33" t="n">
        <v>3848</v>
      </c>
      <c r="BB178" s="33" t="n">
        <v>3815</v>
      </c>
      <c r="BC178" s="33" t="n">
        <v>3834</v>
      </c>
      <c r="BD178" s="33" t="n">
        <v>3816</v>
      </c>
      <c r="BE178" s="33" t="n">
        <v>3719</v>
      </c>
      <c r="BF178" s="33" t="n">
        <v>3650</v>
      </c>
      <c r="BG178" s="33" t="n">
        <v>3867</v>
      </c>
      <c r="BH178" s="33" t="n">
        <v>3869</v>
      </c>
      <c r="BI178" s="33" t="n">
        <v>3885</v>
      </c>
      <c r="BJ178" s="33" t="n">
        <v>3842</v>
      </c>
      <c r="BK178" s="33" t="n">
        <v>3770</v>
      </c>
      <c r="BL178" s="33" t="n">
        <v>3851</v>
      </c>
    </row>
    <row r="179" ht="15.95" customHeight="1" s="574">
      <c r="A179" s="68" t="inlineStr">
        <is>
          <t>5410</t>
        </is>
      </c>
      <c r="B179" s="44" t="inlineStr">
        <is>
          <t>合同製鐵</t>
        </is>
      </c>
      <c r="C179" s="669">
        <f>_xll.RssMarket("5410","安値")</f>
        <v/>
      </c>
      <c r="D179" s="661">
        <f>C179-E179</f>
        <v/>
      </c>
      <c r="E179" s="33" t="n">
        <v>2576</v>
      </c>
      <c r="F179" s="33" t="n">
        <v>2594</v>
      </c>
      <c r="G179" s="33" t="n">
        <v>2580</v>
      </c>
      <c r="H179" s="33" t="n">
        <v>2609</v>
      </c>
      <c r="I179" s="33" t="n">
        <v>2591</v>
      </c>
      <c r="J179" s="33" t="n">
        <v>2610</v>
      </c>
      <c r="K179" s="33" t="n">
        <v>2561</v>
      </c>
      <c r="L179" s="33" t="n">
        <v>2506</v>
      </c>
      <c r="M179" s="33" t="n">
        <v>2489</v>
      </c>
      <c r="N179" s="33" t="n">
        <v>2513</v>
      </c>
      <c r="O179" s="33" t="n">
        <v>2543</v>
      </c>
      <c r="P179" s="33" t="n">
        <v>2528</v>
      </c>
      <c r="Q179" s="33" t="n">
        <v>2554</v>
      </c>
      <c r="R179" s="33" t="n">
        <v>2558</v>
      </c>
      <c r="S179" s="33" t="n">
        <v>2704</v>
      </c>
      <c r="T179" s="33" t="n">
        <v>2681</v>
      </c>
      <c r="U179" s="33" t="n">
        <v>2634</v>
      </c>
      <c r="V179" s="33" t="n">
        <v>2644</v>
      </c>
      <c r="W179" s="33" t="n">
        <v>2669</v>
      </c>
      <c r="X179" s="33" t="n">
        <v>2707</v>
      </c>
      <c r="Y179" s="33" t="n">
        <v>2664</v>
      </c>
      <c r="Z179" s="33" t="n">
        <v>2771</v>
      </c>
      <c r="AA179" s="33" t="n">
        <v>2756</v>
      </c>
      <c r="AB179" s="33" t="n">
        <v>2820</v>
      </c>
      <c r="AC179" s="33" t="n">
        <v>2809</v>
      </c>
      <c r="AD179" s="33" t="n">
        <v>2819</v>
      </c>
      <c r="AE179" s="33" t="n">
        <v>2849</v>
      </c>
      <c r="AF179" s="33" t="n">
        <v>2819</v>
      </c>
      <c r="AG179" s="33" t="n">
        <v>2877</v>
      </c>
      <c r="AH179" s="33" t="n">
        <v>2802</v>
      </c>
      <c r="AI179" s="33" t="n">
        <v>2800</v>
      </c>
      <c r="AJ179" s="33" t="n">
        <v>2905</v>
      </c>
      <c r="AK179" s="33" t="n">
        <v>2956</v>
      </c>
      <c r="AL179" s="33" t="n">
        <v>3400</v>
      </c>
      <c r="AM179" s="33" t="n">
        <v>3425</v>
      </c>
      <c r="AN179" s="33" t="n">
        <v>3475</v>
      </c>
      <c r="AO179" s="33" t="n">
        <v>3530</v>
      </c>
      <c r="AP179" s="33" t="n">
        <v>3525</v>
      </c>
      <c r="AQ179" s="33" t="n">
        <v>3535</v>
      </c>
      <c r="AR179" s="33" t="n">
        <v>3550</v>
      </c>
      <c r="AS179" s="33" t="n">
        <v>3540</v>
      </c>
      <c r="AT179" s="33" t="n">
        <v>3545</v>
      </c>
      <c r="AU179" s="33" t="n">
        <v>3535</v>
      </c>
      <c r="AV179" s="33" t="n">
        <v>3570</v>
      </c>
      <c r="AW179" s="33" t="n">
        <v>3640</v>
      </c>
      <c r="AX179" s="33" t="n">
        <v>3700</v>
      </c>
      <c r="AY179" s="33" t="n">
        <v>3665</v>
      </c>
      <c r="AZ179" s="33" t="n">
        <v>3680</v>
      </c>
      <c r="BA179" s="33" t="n">
        <v>3675</v>
      </c>
      <c r="BB179" s="33" t="n">
        <v>3660</v>
      </c>
      <c r="BC179" s="33" t="n">
        <v>3680</v>
      </c>
      <c r="BD179" s="33" t="n">
        <v>3625</v>
      </c>
      <c r="BE179" s="33" t="n">
        <v>3540</v>
      </c>
      <c r="BF179" s="33" t="n">
        <v>3715</v>
      </c>
      <c r="BG179" s="33" t="n">
        <v>3685</v>
      </c>
      <c r="BH179" s="33" t="n">
        <v>3730</v>
      </c>
      <c r="BI179" s="33" t="n">
        <v>3655</v>
      </c>
      <c r="BJ179" s="33" t="n">
        <v>3595</v>
      </c>
      <c r="BK179" s="33" t="n">
        <v>3685</v>
      </c>
      <c r="BL179" s="33" t="n">
        <v>3745</v>
      </c>
    </row>
    <row r="180" ht="15.95" customHeight="1" s="574">
      <c r="A180" s="68" t="inlineStr">
        <is>
          <t>5440</t>
        </is>
      </c>
      <c r="B180" s="44" t="inlineStr">
        <is>
          <t>共英製鋼</t>
        </is>
      </c>
      <c r="C180" s="669">
        <f>_xll.RssMarket("5440","安値")</f>
        <v/>
      </c>
      <c r="D180" s="661">
        <f>C180-E180</f>
        <v/>
      </c>
      <c r="E180" s="33" t="n">
        <v>1722</v>
      </c>
      <c r="F180" s="33" t="n">
        <v>1743</v>
      </c>
      <c r="G180" s="33" t="n">
        <v>1732</v>
      </c>
      <c r="H180" s="33" t="n">
        <v>1742</v>
      </c>
      <c r="I180" s="33" t="n">
        <v>1745</v>
      </c>
      <c r="J180" s="33" t="n">
        <v>1771</v>
      </c>
      <c r="K180" s="33" t="n">
        <v>1728</v>
      </c>
      <c r="L180" s="33" t="n">
        <v>1698</v>
      </c>
      <c r="M180" s="33" t="n">
        <v>1703</v>
      </c>
      <c r="N180" s="33" t="n">
        <v>1711</v>
      </c>
      <c r="O180" s="33" t="n">
        <v>1740</v>
      </c>
      <c r="P180" s="33" t="n">
        <v>1730</v>
      </c>
      <c r="Q180" s="33" t="n">
        <v>1738</v>
      </c>
      <c r="R180" s="33" t="n">
        <v>1712</v>
      </c>
      <c r="S180" s="33" t="n">
        <v>1808</v>
      </c>
      <c r="T180" s="33" t="n">
        <v>1809</v>
      </c>
      <c r="U180" s="33" t="n">
        <v>1810</v>
      </c>
      <c r="V180" s="33" t="n">
        <v>1834</v>
      </c>
      <c r="W180" s="33" t="n">
        <v>1843</v>
      </c>
      <c r="X180" s="33" t="n">
        <v>1821</v>
      </c>
      <c r="Y180" s="33" t="n">
        <v>1784</v>
      </c>
      <c r="Z180" s="33" t="n">
        <v>1821</v>
      </c>
      <c r="AA180" s="33" t="n">
        <v>1817</v>
      </c>
      <c r="AB180" s="33" t="n">
        <v>1846</v>
      </c>
      <c r="AC180" s="33" t="n">
        <v>1824</v>
      </c>
      <c r="AD180" s="33" t="n">
        <v>1802</v>
      </c>
      <c r="AE180" s="33" t="n">
        <v>1811</v>
      </c>
      <c r="AF180" s="33" t="n">
        <v>1796</v>
      </c>
      <c r="AG180" s="33" t="n">
        <v>1781</v>
      </c>
      <c r="AH180" s="33" t="n">
        <v>1795</v>
      </c>
      <c r="AI180" s="33" t="n">
        <v>1821</v>
      </c>
      <c r="AJ180" s="33" t="n">
        <v>1899</v>
      </c>
      <c r="AK180" s="33" t="n">
        <v>2161</v>
      </c>
      <c r="AL180" s="33" t="n">
        <v>2189</v>
      </c>
      <c r="AM180" s="33" t="n">
        <v>2216</v>
      </c>
      <c r="AN180" s="33" t="n">
        <v>2226</v>
      </c>
      <c r="AO180" s="33" t="n">
        <v>2240</v>
      </c>
      <c r="AP180" s="33" t="n">
        <v>2274</v>
      </c>
      <c r="AQ180" s="33" t="n">
        <v>2288</v>
      </c>
      <c r="AR180" s="33" t="n">
        <v>2285</v>
      </c>
      <c r="AS180" s="33" t="n">
        <v>2320</v>
      </c>
      <c r="AT180" s="33" t="n">
        <v>2314</v>
      </c>
      <c r="AU180" s="33" t="n">
        <v>2339</v>
      </c>
      <c r="AV180" s="33" t="n">
        <v>2326</v>
      </c>
      <c r="AW180" s="33" t="n">
        <v>2363</v>
      </c>
      <c r="AX180" s="33" t="n">
        <v>2401</v>
      </c>
      <c r="AY180" s="33" t="n">
        <v>2415</v>
      </c>
      <c r="AZ180" s="33" t="n">
        <v>2371</v>
      </c>
      <c r="BA180" s="33" t="n">
        <v>2380</v>
      </c>
      <c r="BB180" s="33" t="n">
        <v>2351</v>
      </c>
      <c r="BC180" s="33" t="n">
        <v>2359</v>
      </c>
      <c r="BD180" s="33" t="n">
        <v>2366</v>
      </c>
      <c r="BE180" s="33" t="n">
        <v>2311</v>
      </c>
      <c r="BF180" s="33" t="n">
        <v>2254</v>
      </c>
      <c r="BG180" s="33" t="n">
        <v>2394</v>
      </c>
      <c r="BH180" s="33" t="n">
        <v>2371</v>
      </c>
      <c r="BI180" s="33" t="n">
        <v>2385</v>
      </c>
      <c r="BJ180" s="33" t="n">
        <v>2342</v>
      </c>
      <c r="BK180" s="33" t="n">
        <v>2271</v>
      </c>
      <c r="BL180" s="33" t="n">
        <v>2358</v>
      </c>
    </row>
    <row r="181" ht="15.95" customHeight="1" s="574">
      <c r="A181" s="68" t="inlineStr">
        <is>
          <t>9505</t>
        </is>
      </c>
      <c r="B181" s="44" t="inlineStr">
        <is>
          <t>北陸電力</t>
        </is>
      </c>
      <c r="C181" s="669">
        <f>_xll.RssMarket("9505","安値")</f>
        <v/>
      </c>
      <c r="D181" s="661">
        <f>C181-E181</f>
        <v/>
      </c>
      <c r="E181" s="33" t="n">
        <v>839</v>
      </c>
      <c r="F181" s="33" t="n">
        <v>839.1</v>
      </c>
      <c r="G181" s="33" t="n">
        <v>843.4</v>
      </c>
      <c r="H181" s="33" t="n">
        <v>840.1</v>
      </c>
      <c r="I181" s="33" t="n">
        <v>844.1</v>
      </c>
      <c r="J181" s="33" t="n">
        <v>872.4</v>
      </c>
      <c r="K181" s="33" t="n">
        <v>848.2</v>
      </c>
      <c r="L181" s="33" t="n">
        <v>840.7</v>
      </c>
      <c r="M181" s="33" t="n">
        <v>838.6</v>
      </c>
      <c r="N181" s="33" t="n">
        <v>804.5</v>
      </c>
      <c r="O181" s="33" t="n">
        <v>806.1</v>
      </c>
      <c r="P181" s="33" t="n">
        <v>793.9</v>
      </c>
      <c r="Q181" s="33" t="n">
        <v>811</v>
      </c>
      <c r="R181" s="33" t="n">
        <v>782.2</v>
      </c>
      <c r="S181" s="33" t="n">
        <v>821</v>
      </c>
      <c r="T181" s="33" t="n">
        <v>838.9</v>
      </c>
      <c r="U181" s="33" t="n">
        <v>853.1</v>
      </c>
      <c r="V181" s="33" t="n">
        <v>844.3</v>
      </c>
      <c r="W181" s="33" t="n">
        <v>860.6</v>
      </c>
      <c r="X181" s="33" t="n">
        <v>868.5</v>
      </c>
      <c r="Y181" s="33" t="n">
        <v>860.9</v>
      </c>
      <c r="Z181" s="33" t="n">
        <v>863.7</v>
      </c>
      <c r="AA181" s="33" t="n">
        <v>866.4</v>
      </c>
      <c r="AB181" s="33" t="n">
        <v>897</v>
      </c>
      <c r="AC181" s="33" t="n">
        <v>904</v>
      </c>
      <c r="AD181" s="33" t="n">
        <v>906</v>
      </c>
      <c r="AE181" s="33" t="n">
        <v>901.1</v>
      </c>
      <c r="AF181" s="33" t="n">
        <v>871</v>
      </c>
      <c r="AG181" s="33" t="n">
        <v>878.6</v>
      </c>
      <c r="AH181" s="33" t="n">
        <v>856.6</v>
      </c>
      <c r="AI181" s="33" t="n">
        <v>856</v>
      </c>
      <c r="AJ181" s="33" t="n">
        <v>871.3</v>
      </c>
      <c r="AK181" s="33" t="n">
        <v>984</v>
      </c>
      <c r="AL181" s="33" t="n">
        <v>973.5</v>
      </c>
      <c r="AM181" s="33" t="n">
        <v>989.3</v>
      </c>
      <c r="AN181" s="33" t="n">
        <v>978.5</v>
      </c>
      <c r="AO181" s="33" t="n">
        <v>994.5</v>
      </c>
      <c r="AP181" s="33" t="n">
        <v>1010.5</v>
      </c>
      <c r="AQ181" s="33" t="n">
        <v>1025.5</v>
      </c>
      <c r="AR181" s="33" t="n">
        <v>1058.5</v>
      </c>
      <c r="AS181" s="33" t="n">
        <v>1077</v>
      </c>
      <c r="AT181" s="33" t="n">
        <v>1073.5</v>
      </c>
      <c r="AU181" s="33" t="n">
        <v>1073.5</v>
      </c>
      <c r="AV181" s="33" t="n">
        <v>1082.5</v>
      </c>
      <c r="AW181" s="33" t="n">
        <v>1100.5</v>
      </c>
      <c r="AX181" s="33" t="n">
        <v>1101</v>
      </c>
      <c r="AY181" s="33" t="n">
        <v>1104.5</v>
      </c>
      <c r="AZ181" s="33" t="n">
        <v>1093.5</v>
      </c>
      <c r="BA181" s="33" t="n">
        <v>1080</v>
      </c>
      <c r="BB181" s="33" t="n">
        <v>1102.5</v>
      </c>
      <c r="BC181" s="33" t="n">
        <v>1104</v>
      </c>
      <c r="BD181" s="33" t="n">
        <v>1078.5</v>
      </c>
      <c r="BE181" s="33" t="n">
        <v>1063</v>
      </c>
      <c r="BF181" s="33" t="n">
        <v>1045</v>
      </c>
      <c r="BG181" s="33" t="n">
        <v>1081</v>
      </c>
      <c r="BH181" s="33" t="n">
        <v>1065.5</v>
      </c>
      <c r="BI181" s="33" t="n">
        <v>1058</v>
      </c>
      <c r="BJ181" s="33" t="n">
        <v>1048.5</v>
      </c>
      <c r="BK181" s="33" t="n">
        <v>1020.5</v>
      </c>
      <c r="BL181" s="33" t="n">
        <v>1084.5</v>
      </c>
    </row>
    <row r="182" ht="15.95" customHeight="1" s="574">
      <c r="A182" s="68" t="inlineStr">
        <is>
          <t>8091</t>
        </is>
      </c>
      <c r="B182" s="44" t="inlineStr">
        <is>
          <t>ニチモウ</t>
        </is>
      </c>
      <c r="C182" s="669">
        <f>_xll.RssMarket("8091","安値")</f>
        <v/>
      </c>
      <c r="D182" s="661">
        <f>C182-E182</f>
        <v/>
      </c>
      <c r="E182" s="33" t="n">
        <v>2240</v>
      </c>
      <c r="F182" s="33" t="n">
        <v>2261</v>
      </c>
      <c r="G182" s="33" t="n">
        <v>2211</v>
      </c>
      <c r="H182" s="33" t="n">
        <v>2183</v>
      </c>
      <c r="I182" s="33" t="n">
        <v>2184</v>
      </c>
      <c r="J182" s="33" t="n">
        <v>2154</v>
      </c>
      <c r="K182" s="33" t="n">
        <v>2162</v>
      </c>
      <c r="L182" s="33" t="n">
        <v>2166</v>
      </c>
      <c r="M182" s="33" t="n">
        <v>2159</v>
      </c>
      <c r="N182" s="33" t="n">
        <v>2187</v>
      </c>
      <c r="O182" s="33" t="n">
        <v>2128</v>
      </c>
      <c r="P182" s="33" t="n">
        <v>2092</v>
      </c>
      <c r="Q182" s="33" t="n">
        <v>2111</v>
      </c>
      <c r="R182" s="33" t="n">
        <v>2162</v>
      </c>
      <c r="S182" s="33" t="n">
        <v>2132</v>
      </c>
      <c r="T182" s="33" t="n">
        <v>2122</v>
      </c>
      <c r="U182" s="33" t="n">
        <v>2111</v>
      </c>
      <c r="V182" s="33" t="n">
        <v>2130</v>
      </c>
      <c r="W182" s="33" t="n">
        <v>2150</v>
      </c>
      <c r="X182" s="33" t="n">
        <v>2133</v>
      </c>
      <c r="Y182" s="33" t="n">
        <v>2161</v>
      </c>
      <c r="Z182" s="33" t="n">
        <v>2114</v>
      </c>
      <c r="AA182" s="33" t="n">
        <v>2270</v>
      </c>
      <c r="AB182" s="33" t="n">
        <v>2265</v>
      </c>
      <c r="AC182" s="33" t="n">
        <v>2245</v>
      </c>
      <c r="AD182" s="33" t="n">
        <v>2240</v>
      </c>
      <c r="AE182" s="33" t="n">
        <v>2215</v>
      </c>
      <c r="AF182" s="33" t="n">
        <v>2227</v>
      </c>
      <c r="AG182" s="33" t="n">
        <v>2205</v>
      </c>
      <c r="AH182" s="33" t="n">
        <v>2229</v>
      </c>
      <c r="AI182" s="33" t="n">
        <v>2260</v>
      </c>
      <c r="AJ182" s="33" t="n">
        <v>2257</v>
      </c>
      <c r="AK182" s="33" t="n">
        <v>2430</v>
      </c>
      <c r="AL182" s="33" t="n">
        <v>2438</v>
      </c>
      <c r="AM182" s="33" t="n">
        <v>2464</v>
      </c>
      <c r="AN182" s="33" t="n">
        <v>2488</v>
      </c>
      <c r="AO182" s="33" t="n">
        <v>2500</v>
      </c>
      <c r="AP182" s="33" t="n">
        <v>2509</v>
      </c>
      <c r="AQ182" s="33" t="n">
        <v>2520</v>
      </c>
      <c r="AR182" s="33" t="n">
        <v>2520</v>
      </c>
      <c r="AS182" s="33" t="n">
        <v>2520</v>
      </c>
      <c r="AT182" s="33" t="n">
        <v>2509</v>
      </c>
      <c r="AU182" s="33" t="n">
        <v>2533</v>
      </c>
      <c r="AV182" s="33" t="n">
        <v>2565</v>
      </c>
      <c r="AW182" s="33" t="n">
        <v>2569</v>
      </c>
      <c r="AX182" s="33" t="n">
        <v>2543</v>
      </c>
      <c r="AY182" s="33" t="n">
        <v>2547</v>
      </c>
      <c r="AZ182" s="33" t="n">
        <v>2545</v>
      </c>
      <c r="BA182" s="33" t="n">
        <v>2540</v>
      </c>
      <c r="BB182" s="33" t="n">
        <v>2523</v>
      </c>
      <c r="BC182" s="33" t="n">
        <v>2490</v>
      </c>
      <c r="BD182" s="33" t="n">
        <v>2438</v>
      </c>
      <c r="BE182" s="33" t="n">
        <v>2545</v>
      </c>
      <c r="BF182" s="33" t="n">
        <v>2529</v>
      </c>
      <c r="BG182" s="33" t="n">
        <v>2560</v>
      </c>
      <c r="BH182" s="33" t="n">
        <v>2520</v>
      </c>
      <c r="BI182" s="33" t="n">
        <v>2482</v>
      </c>
      <c r="BJ182" s="33" t="n">
        <v>2566</v>
      </c>
      <c r="BK182" s="33" t="n">
        <v>2592</v>
      </c>
      <c r="BL182" s="33" t="n">
        <v>2560</v>
      </c>
    </row>
    <row r="183" ht="15.95" customHeight="1" s="574">
      <c r="A183" s="68" t="inlineStr">
        <is>
          <t>6507</t>
        </is>
      </c>
      <c r="B183" s="44" t="inlineStr">
        <is>
          <t>シンフォニアテクノロジー</t>
        </is>
      </c>
      <c r="C183" s="669">
        <f>_xll.RssMarket("6507","安値")</f>
        <v/>
      </c>
      <c r="D183" s="661">
        <f>C183-E183</f>
        <v/>
      </c>
      <c r="E183" s="33" t="n">
        <v>16470</v>
      </c>
      <c r="F183" s="33" t="n">
        <v>16120</v>
      </c>
      <c r="G183" s="33" t="n">
        <v>15850</v>
      </c>
      <c r="H183" s="33" t="n">
        <v>14590</v>
      </c>
      <c r="I183" s="33" t="n">
        <v>13710</v>
      </c>
      <c r="J183" s="33" t="n">
        <v>13640</v>
      </c>
      <c r="K183" s="33" t="n">
        <v>13190</v>
      </c>
      <c r="L183" s="33" t="n">
        <v>12350</v>
      </c>
      <c r="M183" s="33" t="n">
        <v>13170</v>
      </c>
      <c r="N183" s="33" t="n">
        <v>13940</v>
      </c>
      <c r="O183" s="33" t="n">
        <v>14700</v>
      </c>
      <c r="P183" s="33" t="n">
        <v>13710</v>
      </c>
      <c r="Q183" s="33" t="n">
        <v>13730</v>
      </c>
      <c r="R183" s="33" t="n">
        <v>13430</v>
      </c>
      <c r="S183" s="33" t="n">
        <v>13580</v>
      </c>
      <c r="T183" s="33" t="n">
        <v>13760</v>
      </c>
      <c r="U183" s="33" t="n">
        <v>14420</v>
      </c>
      <c r="V183" s="33" t="n">
        <v>14240</v>
      </c>
      <c r="W183" s="33" t="n">
        <v>13790</v>
      </c>
      <c r="X183" s="33" t="n">
        <v>13220</v>
      </c>
      <c r="Y183" s="33" t="n">
        <v>12740</v>
      </c>
      <c r="Z183" s="33" t="n">
        <v>13520</v>
      </c>
      <c r="AA183" s="33" t="n">
        <v>14850</v>
      </c>
      <c r="AB183" s="33" t="n">
        <v>14930</v>
      </c>
      <c r="AC183" s="33" t="n">
        <v>14140</v>
      </c>
      <c r="AD183" s="33" t="n">
        <v>14320</v>
      </c>
      <c r="AE183" s="33" t="n">
        <v>14670</v>
      </c>
      <c r="AF183" s="33" t="n">
        <v>14720</v>
      </c>
      <c r="AG183" s="33" t="n">
        <v>14400</v>
      </c>
      <c r="AH183" s="33" t="n">
        <v>14870</v>
      </c>
      <c r="AI183" s="33" t="n">
        <v>14090</v>
      </c>
      <c r="AJ183" s="33" t="n">
        <v>13660</v>
      </c>
      <c r="AK183" s="33" t="n">
        <v>13530</v>
      </c>
      <c r="AL183" s="33" t="n">
        <v>13200</v>
      </c>
      <c r="AM183" s="33" t="n">
        <v>13050</v>
      </c>
      <c r="AN183" s="33" t="n">
        <v>12950</v>
      </c>
      <c r="AO183" s="33" t="n">
        <v>13070</v>
      </c>
      <c r="AP183" s="33" t="n">
        <v>13320</v>
      </c>
      <c r="AQ183" s="33" t="n">
        <v>13490</v>
      </c>
      <c r="AR183" s="33" t="n">
        <v>13440</v>
      </c>
      <c r="AS183" s="33" t="n">
        <v>13560</v>
      </c>
      <c r="AT183" s="33" t="n">
        <v>13080</v>
      </c>
      <c r="AU183" s="33" t="n">
        <v>13280</v>
      </c>
      <c r="AV183" s="33" t="n">
        <v>13030</v>
      </c>
      <c r="AW183" s="33" t="n">
        <v>12960</v>
      </c>
      <c r="AX183" s="33" t="n">
        <v>12710</v>
      </c>
      <c r="AY183" s="33" t="n">
        <v>12720</v>
      </c>
      <c r="AZ183" s="33" t="n">
        <v>11970</v>
      </c>
      <c r="BA183" s="33" t="n">
        <v>11970</v>
      </c>
      <c r="BB183" s="33" t="n">
        <v>11800</v>
      </c>
      <c r="BC183" s="33" t="n">
        <v>11650</v>
      </c>
      <c r="BD183" s="33" t="n">
        <v>10780</v>
      </c>
      <c r="BE183" s="33" t="n">
        <v>10150</v>
      </c>
      <c r="BF183" s="33" t="n">
        <v>10510</v>
      </c>
      <c r="BG183" s="33" t="n">
        <v>11170</v>
      </c>
      <c r="BH183" s="33" t="n">
        <v>11850</v>
      </c>
      <c r="BI183" s="33" t="n">
        <v>12040</v>
      </c>
      <c r="BJ183" s="33" t="n">
        <v>11500</v>
      </c>
      <c r="BK183" s="33" t="n">
        <v>11460</v>
      </c>
      <c r="BL183" s="33" t="n">
        <v>12490</v>
      </c>
    </row>
    <row r="184" ht="15.95" customHeight="1" s="574">
      <c r="A184" s="68" t="inlineStr">
        <is>
          <t>9022</t>
        </is>
      </c>
      <c r="B184" s="44" t="inlineStr">
        <is>
          <t>東海旅客鉄道</t>
        </is>
      </c>
      <c r="C184" s="669">
        <f>_xll.RssMarket("9022","安値")</f>
        <v/>
      </c>
      <c r="D184" s="661">
        <f>C184-E184</f>
        <v/>
      </c>
      <c r="E184" s="33" t="n">
        <v>3202</v>
      </c>
      <c r="F184" s="33" t="n">
        <v>3222</v>
      </c>
      <c r="G184" s="33" t="n">
        <v>3276</v>
      </c>
      <c r="H184" s="33" t="n">
        <v>3284</v>
      </c>
      <c r="I184" s="33" t="n">
        <v>3268</v>
      </c>
      <c r="J184" s="33" t="n">
        <v>3331</v>
      </c>
      <c r="K184" s="33" t="n">
        <v>3349</v>
      </c>
      <c r="L184" s="33" t="n">
        <v>3401</v>
      </c>
      <c r="M184" s="33" t="n">
        <v>3436</v>
      </c>
      <c r="N184" s="33" t="n">
        <v>3337</v>
      </c>
      <c r="O184" s="33" t="n">
        <v>3300</v>
      </c>
      <c r="P184" s="33" t="n">
        <v>3277</v>
      </c>
      <c r="Q184" s="33" t="n">
        <v>3304</v>
      </c>
      <c r="R184" s="33" t="n">
        <v>3334</v>
      </c>
      <c r="S184" s="33" t="n">
        <v>3452</v>
      </c>
      <c r="T184" s="33" t="n">
        <v>3469</v>
      </c>
      <c r="U184" s="33" t="n">
        <v>3482</v>
      </c>
      <c r="V184" s="33" t="n">
        <v>3496</v>
      </c>
      <c r="W184" s="33" t="n">
        <v>3512</v>
      </c>
      <c r="X184" s="33" t="n">
        <v>3535</v>
      </c>
      <c r="Y184" s="33" t="n">
        <v>3521</v>
      </c>
      <c r="Z184" s="33" t="n">
        <v>3553</v>
      </c>
      <c r="AA184" s="33" t="n">
        <v>3545</v>
      </c>
      <c r="AB184" s="33" t="n">
        <v>3563</v>
      </c>
      <c r="AC184" s="33" t="n">
        <v>3591</v>
      </c>
      <c r="AD184" s="33" t="n">
        <v>3603</v>
      </c>
      <c r="AE184" s="33" t="n">
        <v>3551</v>
      </c>
      <c r="AF184" s="33" t="n">
        <v>3564</v>
      </c>
      <c r="AG184" s="33" t="n">
        <v>3569</v>
      </c>
      <c r="AH184" s="33" t="n">
        <v>3552</v>
      </c>
      <c r="AI184" s="33" t="n">
        <v>3570</v>
      </c>
      <c r="AJ184" s="33" t="n">
        <v>3691</v>
      </c>
      <c r="AK184" s="33" t="n">
        <v>4063</v>
      </c>
      <c r="AL184" s="33" t="n">
        <v>4027</v>
      </c>
      <c r="AM184" s="33" t="n">
        <v>4062</v>
      </c>
      <c r="AN184" s="33" t="n">
        <v>4010</v>
      </c>
      <c r="AO184" s="33" t="n">
        <v>4135</v>
      </c>
      <c r="AP184" s="33" t="n">
        <v>4206</v>
      </c>
      <c r="AQ184" s="33" t="n">
        <v>4188</v>
      </c>
      <c r="AR184" s="33" t="n">
        <v>4192</v>
      </c>
      <c r="AS184" s="33" t="n">
        <v>4251</v>
      </c>
      <c r="AT184" s="33" t="n">
        <v>4291</v>
      </c>
      <c r="AU184" s="33" t="n">
        <v>4183</v>
      </c>
      <c r="AV184" s="33" t="n">
        <v>4160</v>
      </c>
      <c r="AW184" s="33" t="n">
        <v>4196</v>
      </c>
      <c r="AX184" s="33" t="n">
        <v>4207</v>
      </c>
      <c r="AY184" s="33" t="n">
        <v>4149</v>
      </c>
      <c r="AZ184" s="33" t="n">
        <v>4032</v>
      </c>
      <c r="BA184" s="33" t="n">
        <v>4080</v>
      </c>
      <c r="BB184" s="33" t="n">
        <v>4140</v>
      </c>
      <c r="BC184" s="33" t="n">
        <v>4165</v>
      </c>
      <c r="BD184" s="33" t="n">
        <v>4134</v>
      </c>
      <c r="BE184" s="33" t="n">
        <v>4043</v>
      </c>
      <c r="BF184" s="33" t="n">
        <v>4043</v>
      </c>
      <c r="BG184" s="33" t="n">
        <v>4186</v>
      </c>
      <c r="BH184" s="33" t="n">
        <v>4198</v>
      </c>
      <c r="BI184" s="33" t="n">
        <v>4246</v>
      </c>
      <c r="BJ184" s="33" t="n">
        <v>4130</v>
      </c>
      <c r="BK184" s="33" t="n">
        <v>4102</v>
      </c>
      <c r="BL184" s="33" t="n">
        <v>4217</v>
      </c>
    </row>
    <row r="185" ht="15.95" customHeight="1" s="574">
      <c r="A185" s="68" t="inlineStr">
        <is>
          <t>9536</t>
        </is>
      </c>
      <c r="B185" s="44" t="inlineStr">
        <is>
          <t>西部ガスＨＬＤＧＳ</t>
        </is>
      </c>
      <c r="C185" s="669">
        <f>_xll.RssMarket("9536","安値")</f>
        <v/>
      </c>
      <c r="D185" s="661">
        <f>C185-E185</f>
        <v/>
      </c>
      <c r="E185" s="33" t="n">
        <v>2205</v>
      </c>
      <c r="F185" s="33" t="n">
        <v>2226</v>
      </c>
      <c r="G185" s="33" t="n">
        <v>2224</v>
      </c>
      <c r="H185" s="33" t="n">
        <v>2237</v>
      </c>
      <c r="I185" s="33" t="n">
        <v>2225</v>
      </c>
      <c r="J185" s="33" t="n">
        <v>2248</v>
      </c>
      <c r="K185" s="33" t="n">
        <v>2223</v>
      </c>
      <c r="L185" s="33" t="n">
        <v>2215</v>
      </c>
      <c r="M185" s="33" t="n">
        <v>2221</v>
      </c>
      <c r="N185" s="33" t="n">
        <v>2170</v>
      </c>
      <c r="O185" s="33" t="n">
        <v>2184</v>
      </c>
      <c r="P185" s="33" t="n">
        <v>2168</v>
      </c>
      <c r="Q185" s="33" t="n">
        <v>2165</v>
      </c>
      <c r="R185" s="33" t="n">
        <v>2154</v>
      </c>
      <c r="S185" s="33" t="n">
        <v>2187</v>
      </c>
      <c r="T185" s="33" t="n">
        <v>2172</v>
      </c>
      <c r="U185" s="33" t="n">
        <v>2196</v>
      </c>
      <c r="V185" s="33" t="n">
        <v>2187</v>
      </c>
      <c r="W185" s="33" t="n">
        <v>2196</v>
      </c>
      <c r="X185" s="33" t="n">
        <v>2201</v>
      </c>
      <c r="Y185" s="33" t="n">
        <v>2191</v>
      </c>
      <c r="Z185" s="33" t="n">
        <v>2219</v>
      </c>
      <c r="AA185" s="33" t="n">
        <v>2182</v>
      </c>
      <c r="AB185" s="33" t="n">
        <v>2242</v>
      </c>
      <c r="AC185" s="33" t="n">
        <v>2225</v>
      </c>
      <c r="AD185" s="33" t="n">
        <v>2218</v>
      </c>
      <c r="AE185" s="33" t="n">
        <v>2222</v>
      </c>
      <c r="AF185" s="33" t="n">
        <v>2220</v>
      </c>
      <c r="AG185" s="33" t="n">
        <v>2208</v>
      </c>
      <c r="AH185" s="33" t="n">
        <v>2205</v>
      </c>
      <c r="AI185" s="33" t="n">
        <v>2188</v>
      </c>
      <c r="AJ185" s="33" t="n">
        <v>2236</v>
      </c>
      <c r="AK185" s="33" t="n">
        <v>2422</v>
      </c>
      <c r="AL185" s="33" t="n">
        <v>2423</v>
      </c>
      <c r="AM185" s="33" t="n">
        <v>2445</v>
      </c>
      <c r="AN185" s="33" t="n">
        <v>2430</v>
      </c>
      <c r="AO185" s="33" t="n">
        <v>2452</v>
      </c>
      <c r="AP185" s="33" t="n">
        <v>2514</v>
      </c>
      <c r="AQ185" s="33" t="n">
        <v>2523</v>
      </c>
      <c r="AR185" s="33" t="n">
        <v>2585</v>
      </c>
      <c r="AS185" s="33" t="n">
        <v>2600</v>
      </c>
      <c r="AT185" s="33" t="n">
        <v>2577</v>
      </c>
      <c r="AU185" s="33" t="n">
        <v>2556</v>
      </c>
      <c r="AV185" s="33" t="n">
        <v>2552</v>
      </c>
      <c r="AW185" s="33" t="n">
        <v>2541</v>
      </c>
      <c r="AX185" s="33" t="n">
        <v>2575</v>
      </c>
      <c r="AY185" s="33" t="n">
        <v>2611</v>
      </c>
      <c r="AZ185" s="33" t="n">
        <v>2566</v>
      </c>
      <c r="BA185" s="33" t="n">
        <v>2555</v>
      </c>
      <c r="BB185" s="33" t="n">
        <v>2563</v>
      </c>
      <c r="BC185" s="33" t="n">
        <v>2555</v>
      </c>
      <c r="BD185" s="33" t="n">
        <v>2551</v>
      </c>
      <c r="BE185" s="33" t="n">
        <v>2537</v>
      </c>
      <c r="BF185" s="33" t="n">
        <v>2487</v>
      </c>
      <c r="BG185" s="33" t="n">
        <v>2571</v>
      </c>
      <c r="BH185" s="33" t="n">
        <v>2554</v>
      </c>
      <c r="BI185" s="33" t="n">
        <v>2566</v>
      </c>
      <c r="BJ185" s="33" t="n">
        <v>2484</v>
      </c>
      <c r="BK185" s="33" t="n">
        <v>2403</v>
      </c>
      <c r="BL185" s="33" t="n">
        <v>2496</v>
      </c>
    </row>
    <row r="186" ht="15.95" customHeight="1" s="574">
      <c r="A186" s="68" t="inlineStr">
        <is>
          <t>9506</t>
        </is>
      </c>
      <c r="B186" s="44" t="inlineStr">
        <is>
          <t>東北電力</t>
        </is>
      </c>
      <c r="C186" s="669">
        <f>_xll.RssMarket("9506","安値")</f>
        <v/>
      </c>
      <c r="D186" s="661">
        <f>C186-E186</f>
        <v/>
      </c>
      <c r="E186" s="33" t="n">
        <v>1033</v>
      </c>
      <c r="F186" s="33" t="n">
        <v>1041</v>
      </c>
      <c r="G186" s="33" t="n">
        <v>1039</v>
      </c>
      <c r="H186" s="33" t="n">
        <v>1032.5</v>
      </c>
      <c r="I186" s="33" t="n">
        <v>1039.5</v>
      </c>
      <c r="J186" s="33" t="n">
        <v>1033</v>
      </c>
      <c r="K186" s="33" t="n">
        <v>1008</v>
      </c>
      <c r="L186" s="33" t="n">
        <v>1013</v>
      </c>
      <c r="M186" s="33" t="n">
        <v>1006</v>
      </c>
      <c r="N186" s="33" t="n">
        <v>989.4</v>
      </c>
      <c r="O186" s="33" t="n">
        <v>993</v>
      </c>
      <c r="P186" s="33" t="n">
        <v>989.6</v>
      </c>
      <c r="Q186" s="33" t="n">
        <v>987.1</v>
      </c>
      <c r="R186" s="33" t="n">
        <v>972.2</v>
      </c>
      <c r="S186" s="33" t="n">
        <v>985.9</v>
      </c>
      <c r="T186" s="33" t="n">
        <v>993.2</v>
      </c>
      <c r="U186" s="33" t="n">
        <v>996.5</v>
      </c>
      <c r="V186" s="33" t="n">
        <v>1004</v>
      </c>
      <c r="W186" s="33" t="n">
        <v>1006</v>
      </c>
      <c r="X186" s="33" t="n">
        <v>1012</v>
      </c>
      <c r="Y186" s="33" t="n">
        <v>1002</v>
      </c>
      <c r="Z186" s="33" t="n">
        <v>1012.5</v>
      </c>
      <c r="AA186" s="33" t="n">
        <v>1006.5</v>
      </c>
      <c r="AB186" s="33" t="n">
        <v>1040</v>
      </c>
      <c r="AC186" s="33" t="n">
        <v>1050</v>
      </c>
      <c r="AD186" s="33" t="n">
        <v>1061</v>
      </c>
      <c r="AE186" s="33" t="n">
        <v>1058</v>
      </c>
      <c r="AF186" s="33" t="n">
        <v>1050</v>
      </c>
      <c r="AG186" s="33" t="n">
        <v>1051.5</v>
      </c>
      <c r="AH186" s="33" t="n">
        <v>1060.5</v>
      </c>
      <c r="AI186" s="33" t="n">
        <v>1053.5</v>
      </c>
      <c r="AJ186" s="33" t="n">
        <v>1080.5</v>
      </c>
      <c r="AK186" s="33" t="n">
        <v>1124</v>
      </c>
      <c r="AL186" s="33" t="n">
        <v>1115.5</v>
      </c>
      <c r="AM186" s="33" t="n">
        <v>1127.5</v>
      </c>
      <c r="AN186" s="33" t="n">
        <v>1110</v>
      </c>
      <c r="AO186" s="33" t="n">
        <v>1126.5</v>
      </c>
      <c r="AP186" s="33" t="n">
        <v>1144.5</v>
      </c>
      <c r="AQ186" s="33" t="n">
        <v>1166</v>
      </c>
      <c r="AR186" s="33" t="n">
        <v>1173</v>
      </c>
      <c r="AS186" s="33" t="n">
        <v>1171.5</v>
      </c>
      <c r="AT186" s="33" t="n">
        <v>1170</v>
      </c>
      <c r="AU186" s="33" t="n">
        <v>1162.5</v>
      </c>
      <c r="AV186" s="33" t="n">
        <v>1157</v>
      </c>
      <c r="AW186" s="33" t="n">
        <v>1159.5</v>
      </c>
      <c r="AX186" s="33" t="n">
        <v>1166</v>
      </c>
      <c r="AY186" s="33" t="n">
        <v>1171.5</v>
      </c>
      <c r="AZ186" s="33" t="n">
        <v>1162</v>
      </c>
      <c r="BA186" s="33" t="n">
        <v>1167</v>
      </c>
      <c r="BB186" s="33" t="n">
        <v>1180</v>
      </c>
      <c r="BC186" s="33" t="n">
        <v>1183</v>
      </c>
      <c r="BD186" s="33" t="n">
        <v>1181</v>
      </c>
      <c r="BE186" s="33" t="n">
        <v>1164</v>
      </c>
      <c r="BF186" s="33" t="n">
        <v>1159</v>
      </c>
      <c r="BG186" s="33" t="n">
        <v>1190.5</v>
      </c>
      <c r="BH186" s="33" t="n">
        <v>1168</v>
      </c>
      <c r="BI186" s="33" t="n">
        <v>1157</v>
      </c>
      <c r="BJ186" s="33" t="n">
        <v>1135</v>
      </c>
      <c r="BK186" s="33" t="n">
        <v>1090.5</v>
      </c>
      <c r="BL186" s="33" t="n">
        <v>1141</v>
      </c>
    </row>
    <row r="187" ht="15.95" customHeight="1" s="574">
      <c r="A187" s="68" t="inlineStr">
        <is>
          <t>2127</t>
        </is>
      </c>
      <c r="B187" s="44" t="inlineStr">
        <is>
          <t>日本Ｍ＆Ａセンターホールデ</t>
        </is>
      </c>
      <c r="C187" s="669">
        <f>_xll.RssMarket("2127","安値")</f>
        <v/>
      </c>
      <c r="D187" s="661">
        <f>C187-E187</f>
        <v/>
      </c>
      <c r="E187" s="33" t="n">
        <v>632.3</v>
      </c>
      <c r="F187" s="33" t="n">
        <v>642.3</v>
      </c>
      <c r="G187" s="33" t="n">
        <v>650</v>
      </c>
      <c r="H187" s="33" t="n">
        <v>640.8</v>
      </c>
      <c r="I187" s="33" t="n">
        <v>632.7</v>
      </c>
      <c r="J187" s="33" t="n">
        <v>636</v>
      </c>
      <c r="K187" s="33" t="n">
        <v>633.1</v>
      </c>
      <c r="L187" s="33" t="n">
        <v>632.5</v>
      </c>
      <c r="M187" s="33" t="n">
        <v>633.2</v>
      </c>
      <c r="N187" s="33" t="n">
        <v>627</v>
      </c>
      <c r="O187" s="33" t="n">
        <v>620</v>
      </c>
      <c r="P187" s="33" t="n">
        <v>621.2</v>
      </c>
      <c r="Q187" s="33" t="n">
        <v>628</v>
      </c>
      <c r="R187" s="33" t="n">
        <v>643.5</v>
      </c>
      <c r="S187" s="33" t="n">
        <v>650.5</v>
      </c>
      <c r="T187" s="33" t="n">
        <v>644.7</v>
      </c>
      <c r="U187" s="33" t="n">
        <v>660.2</v>
      </c>
      <c r="V187" s="33" t="n">
        <v>645.8</v>
      </c>
      <c r="W187" s="33" t="n">
        <v>655.4</v>
      </c>
      <c r="X187" s="33" t="n">
        <v>648.6</v>
      </c>
      <c r="Y187" s="33" t="n">
        <v>640.3</v>
      </c>
      <c r="Z187" s="33" t="n">
        <v>639.8</v>
      </c>
      <c r="AA187" s="33" t="n">
        <v>631.1</v>
      </c>
      <c r="AB187" s="33" t="n">
        <v>633.4</v>
      </c>
      <c r="AC187" s="33" t="n">
        <v>634.4</v>
      </c>
      <c r="AD187" s="33" t="n">
        <v>634.1</v>
      </c>
      <c r="AE187" s="33" t="n">
        <v>636.4</v>
      </c>
      <c r="AF187" s="33" t="n">
        <v>650.5</v>
      </c>
      <c r="AG187" s="33" t="n">
        <v>637</v>
      </c>
      <c r="AH187" s="33" t="n">
        <v>607.7</v>
      </c>
      <c r="AI187" s="33" t="n">
        <v>615.1</v>
      </c>
      <c r="AJ187" s="33" t="n">
        <v>654</v>
      </c>
      <c r="AK187" s="33" t="n">
        <v>683.8</v>
      </c>
      <c r="AL187" s="33" t="n">
        <v>669</v>
      </c>
      <c r="AM187" s="33" t="n">
        <v>668.5</v>
      </c>
      <c r="AN187" s="33" t="n">
        <v>676.5</v>
      </c>
      <c r="AO187" s="33" t="n">
        <v>688.8</v>
      </c>
      <c r="AP187" s="33" t="n">
        <v>685.8</v>
      </c>
      <c r="AQ187" s="33" t="n">
        <v>681</v>
      </c>
      <c r="AR187" s="33" t="n">
        <v>687.4</v>
      </c>
      <c r="AS187" s="33" t="n">
        <v>682</v>
      </c>
      <c r="AT187" s="33" t="n">
        <v>670.5</v>
      </c>
      <c r="AU187" s="33" t="n">
        <v>662.5</v>
      </c>
      <c r="AV187" s="33" t="n">
        <v>652.3</v>
      </c>
      <c r="AW187" s="33" t="n">
        <v>654</v>
      </c>
      <c r="AX187" s="33" t="n">
        <v>659.7</v>
      </c>
      <c r="AY187" s="33" t="n">
        <v>663.2</v>
      </c>
      <c r="AZ187" s="33" t="n">
        <v>652.2</v>
      </c>
      <c r="BA187" s="33" t="n">
        <v>647.6</v>
      </c>
      <c r="BB187" s="33" t="n">
        <v>646.6</v>
      </c>
      <c r="BC187" s="33" t="n">
        <v>642.3</v>
      </c>
      <c r="BD187" s="33" t="n">
        <v>634.9</v>
      </c>
      <c r="BE187" s="33" t="n">
        <v>622.4</v>
      </c>
      <c r="BF187" s="33" t="n">
        <v>610</v>
      </c>
      <c r="BG187" s="33" t="n">
        <v>642.6</v>
      </c>
      <c r="BH187" s="33" t="n">
        <v>644</v>
      </c>
      <c r="BI187" s="33" t="n">
        <v>643.8</v>
      </c>
      <c r="BJ187" s="33" t="n">
        <v>631.2</v>
      </c>
      <c r="BK187" s="33" t="n">
        <v>620.8</v>
      </c>
      <c r="BL187" s="33" t="n">
        <v>629</v>
      </c>
    </row>
    <row r="188" ht="15.95" customHeight="1" s="574">
      <c r="A188" s="68" t="inlineStr">
        <is>
          <t>6753</t>
        </is>
      </c>
      <c r="B188" s="44" t="inlineStr">
        <is>
          <t>シャープ</t>
        </is>
      </c>
      <c r="C188" s="669">
        <f>_xll.RssMarket("6753","安値")</f>
        <v/>
      </c>
      <c r="D188" s="661">
        <f>C188-E188</f>
        <v/>
      </c>
      <c r="E188" s="33" t="n">
        <v>569</v>
      </c>
      <c r="F188" s="33" t="n">
        <v>570.2</v>
      </c>
      <c r="G188" s="33" t="n">
        <v>584</v>
      </c>
      <c r="H188" s="33" t="n">
        <v>589</v>
      </c>
      <c r="I188" s="33" t="n">
        <v>590.7</v>
      </c>
      <c r="J188" s="33" t="n">
        <v>610</v>
      </c>
      <c r="K188" s="33" t="n">
        <v>604</v>
      </c>
      <c r="L188" s="33" t="n">
        <v>614.1</v>
      </c>
      <c r="M188" s="33" t="n">
        <v>628.8</v>
      </c>
      <c r="N188" s="33" t="n">
        <v>647</v>
      </c>
      <c r="O188" s="33" t="n">
        <v>654.3</v>
      </c>
      <c r="P188" s="33" t="n">
        <v>652.7</v>
      </c>
      <c r="Q188" s="33" t="n">
        <v>650</v>
      </c>
      <c r="R188" s="33" t="n">
        <v>614</v>
      </c>
      <c r="S188" s="33" t="n">
        <v>603.8</v>
      </c>
      <c r="T188" s="33" t="n">
        <v>612.6</v>
      </c>
      <c r="U188" s="33" t="n">
        <v>605.7</v>
      </c>
      <c r="V188" s="33" t="n">
        <v>620.6</v>
      </c>
      <c r="W188" s="33" t="n">
        <v>613.3</v>
      </c>
      <c r="X188" s="33" t="n">
        <v>600</v>
      </c>
      <c r="Y188" s="33" t="n">
        <v>601</v>
      </c>
      <c r="Z188" s="33" t="n">
        <v>609.2</v>
      </c>
      <c r="AA188" s="33" t="n">
        <v>603.4</v>
      </c>
      <c r="AB188" s="33" t="n">
        <v>574.9</v>
      </c>
      <c r="AC188" s="33" t="n">
        <v>567.6</v>
      </c>
      <c r="AD188" s="33" t="n">
        <v>550</v>
      </c>
      <c r="AE188" s="33" t="n">
        <v>554</v>
      </c>
      <c r="AF188" s="33" t="n">
        <v>554.3</v>
      </c>
      <c r="AG188" s="33" t="n">
        <v>550.8</v>
      </c>
      <c r="AH188" s="33" t="n">
        <v>559.4</v>
      </c>
      <c r="AI188" s="33" t="n">
        <v>554.2</v>
      </c>
      <c r="AJ188" s="33" t="n">
        <v>553.5</v>
      </c>
      <c r="AK188" s="33" t="n">
        <v>552</v>
      </c>
      <c r="AL188" s="33" t="n">
        <v>534.4</v>
      </c>
      <c r="AM188" s="33" t="n">
        <v>555</v>
      </c>
      <c r="AN188" s="33" t="n">
        <v>588.3</v>
      </c>
      <c r="AO188" s="33" t="n">
        <v>604.5</v>
      </c>
      <c r="AP188" s="33" t="n">
        <v>605</v>
      </c>
      <c r="AQ188" s="33" t="n">
        <v>612.6</v>
      </c>
      <c r="AR188" s="33" t="n">
        <v>604</v>
      </c>
      <c r="AS188" s="33" t="n">
        <v>597.5</v>
      </c>
      <c r="AT188" s="33" t="n">
        <v>590.2</v>
      </c>
      <c r="AU188" s="33" t="n">
        <v>585.3</v>
      </c>
      <c r="AV188" s="33" t="n">
        <v>587.8</v>
      </c>
      <c r="AW188" s="33" t="n">
        <v>601.7</v>
      </c>
      <c r="AX188" s="33" t="n">
        <v>608.7</v>
      </c>
      <c r="AY188" s="33" t="n">
        <v>624.2</v>
      </c>
      <c r="AZ188" s="33" t="n">
        <v>621.2</v>
      </c>
      <c r="BA188" s="33" t="n">
        <v>637</v>
      </c>
      <c r="BB188" s="33" t="n">
        <v>610.8</v>
      </c>
      <c r="BC188" s="33" t="n">
        <v>598.1</v>
      </c>
      <c r="BD188" s="33" t="n">
        <v>590.6</v>
      </c>
      <c r="BE188" s="33" t="n">
        <v>573.8</v>
      </c>
      <c r="BF188" s="33" t="n">
        <v>564</v>
      </c>
      <c r="BG188" s="33" t="n">
        <v>585.1</v>
      </c>
      <c r="BH188" s="33" t="n">
        <v>576.2</v>
      </c>
      <c r="BI188" s="33" t="n">
        <v>578.1</v>
      </c>
      <c r="BJ188" s="33" t="n">
        <v>575.1</v>
      </c>
      <c r="BK188" s="33" t="n">
        <v>558</v>
      </c>
      <c r="BL188" s="33" t="n">
        <v>579</v>
      </c>
    </row>
    <row r="189" ht="15.95" customHeight="1" s="574">
      <c r="A189" s="68" t="inlineStr">
        <is>
          <t>9064</t>
        </is>
      </c>
      <c r="B189" s="44">
        <f>銘柄管理!C189</f>
        <v/>
      </c>
      <c r="C189" s="669">
        <f>_xll.RssMarket("9064","安値")</f>
        <v/>
      </c>
      <c r="D189" s="661" t="n"/>
      <c r="E189" s="33" t="n">
        <v>1746</v>
      </c>
      <c r="F189" s="33" t="n">
        <v>1740</v>
      </c>
      <c r="G189" s="33" t="n">
        <v>1734</v>
      </c>
      <c r="H189" s="33" t="n">
        <v>1763</v>
      </c>
      <c r="I189" s="33" t="n">
        <v>1760</v>
      </c>
      <c r="J189" s="33" t="n">
        <v>1768</v>
      </c>
      <c r="K189" s="33" t="n">
        <v>1783.5</v>
      </c>
      <c r="L189" s="33" t="n">
        <v>1790</v>
      </c>
      <c r="M189" s="33" t="n">
        <v>1785.5</v>
      </c>
      <c r="N189" s="33" t="n">
        <v>1775.5</v>
      </c>
      <c r="O189" s="33" t="n">
        <v>1790.5</v>
      </c>
      <c r="P189" s="33" t="n">
        <v>1794.5</v>
      </c>
      <c r="Q189" s="33" t="n">
        <v>1803.5</v>
      </c>
      <c r="R189" s="33" t="n">
        <v>1781.5</v>
      </c>
      <c r="S189" s="33" t="n">
        <v>1794</v>
      </c>
      <c r="T189" s="33" t="n">
        <v>1765</v>
      </c>
      <c r="U189" s="33" t="n">
        <v>1749</v>
      </c>
      <c r="V189" s="33" t="n">
        <v>1752.5</v>
      </c>
      <c r="W189" s="33" t="n">
        <v>1758</v>
      </c>
      <c r="X189" s="33" t="n">
        <v>1756</v>
      </c>
      <c r="Y189" s="33" t="n">
        <v>1735.5</v>
      </c>
      <c r="Z189" s="33" t="n">
        <v>1750</v>
      </c>
      <c r="AA189" s="33" t="n">
        <v>1718</v>
      </c>
      <c r="AB189" s="33" t="n">
        <v>1714</v>
      </c>
      <c r="AC189" s="33" t="n">
        <v>1745</v>
      </c>
      <c r="AD189" s="33" t="n">
        <v>1744.5</v>
      </c>
      <c r="AE189" s="33" t="n">
        <v>1722</v>
      </c>
      <c r="AF189" s="33" t="n">
        <v>1725.5</v>
      </c>
      <c r="AG189" s="33" t="n">
        <v>1776.5</v>
      </c>
      <c r="AH189" s="33" t="n">
        <v>1735</v>
      </c>
      <c r="AI189" s="33" t="n">
        <v>1719.5</v>
      </c>
      <c r="AJ189" s="33" t="n">
        <v>1756.5</v>
      </c>
      <c r="AK189" s="33" t="n">
        <v>1781.5</v>
      </c>
      <c r="AL189" s="33" t="n">
        <v>1748.5</v>
      </c>
      <c r="AM189" s="33" t="n">
        <v>1761</v>
      </c>
      <c r="AN189" s="33" t="n">
        <v>1758.5</v>
      </c>
      <c r="AO189" s="33" t="n">
        <v>1809</v>
      </c>
      <c r="AP189" s="33" t="n">
        <v>1826</v>
      </c>
      <c r="AQ189" s="33" t="n">
        <v>1818.5</v>
      </c>
      <c r="AR189" s="33" t="n">
        <v>1845</v>
      </c>
      <c r="AS189" s="33" t="n">
        <v>1856</v>
      </c>
      <c r="AT189" s="33" t="n">
        <v>1865</v>
      </c>
      <c r="AU189" s="33" t="n">
        <v>1848</v>
      </c>
      <c r="AV189" s="33" t="n">
        <v>1830</v>
      </c>
      <c r="AW189" s="33" t="n">
        <v>1832.5</v>
      </c>
      <c r="AX189" s="33" t="n">
        <v>1848.5</v>
      </c>
      <c r="AY189" s="33" t="n">
        <v>1834.5</v>
      </c>
      <c r="AZ189" s="33" t="n">
        <v>1811</v>
      </c>
      <c r="BA189" s="33" t="n">
        <v>1780</v>
      </c>
      <c r="BB189" s="33" t="n">
        <v>1768</v>
      </c>
      <c r="BC189" s="33" t="n">
        <v>1758.5</v>
      </c>
      <c r="BD189" s="33" t="n">
        <v>1736.5</v>
      </c>
      <c r="BE189" s="33" t="n">
        <v>1736</v>
      </c>
      <c r="BF189" s="33" t="n">
        <v>1701.5</v>
      </c>
      <c r="BG189" s="33" t="n">
        <v>1764.5</v>
      </c>
      <c r="BH189" s="33" t="n">
        <v>1752</v>
      </c>
      <c r="BI189" s="33" t="n">
        <v>1750</v>
      </c>
      <c r="BJ189" s="33" t="n">
        <v>1716</v>
      </c>
      <c r="BK189" s="33" t="n">
        <v>1697</v>
      </c>
      <c r="BL189" s="33" t="n">
        <v>1725.5</v>
      </c>
    </row>
    <row r="190" ht="15.95" customHeight="1" s="574">
      <c r="A190" s="68" t="inlineStr">
        <is>
          <t>7181</t>
        </is>
      </c>
      <c r="B190" s="44" t="inlineStr">
        <is>
          <t>かんぽ生命保険</t>
        </is>
      </c>
      <c r="C190" s="669">
        <f>_xll.RssMarket("7181","安値")</f>
        <v/>
      </c>
      <c r="D190" s="661">
        <f>C190-E190</f>
        <v/>
      </c>
      <c r="E190" s="33" t="n">
        <v>1495</v>
      </c>
      <c r="F190" s="33" t="n">
        <v>1515.5</v>
      </c>
      <c r="G190" s="33" t="n">
        <v>1524</v>
      </c>
      <c r="H190" s="33" t="n">
        <v>1516</v>
      </c>
      <c r="I190" s="33" t="n">
        <v>1532.5</v>
      </c>
      <c r="J190" s="33" t="n">
        <v>1529.5</v>
      </c>
      <c r="K190" s="33" t="n">
        <v>1519.5</v>
      </c>
      <c r="L190" s="33" t="n">
        <v>1529</v>
      </c>
      <c r="M190" s="33" t="n">
        <v>1555</v>
      </c>
      <c r="N190" s="33" t="n">
        <v>1415</v>
      </c>
      <c r="O190" s="33" t="n">
        <v>1419</v>
      </c>
      <c r="P190" s="33" t="n">
        <v>1381.5</v>
      </c>
      <c r="Q190" s="33" t="n">
        <v>1416</v>
      </c>
      <c r="R190" s="33" t="n">
        <v>1367</v>
      </c>
      <c r="S190" s="33" t="n">
        <v>1391</v>
      </c>
      <c r="T190" s="33" t="n">
        <v>1411</v>
      </c>
      <c r="U190" s="33" t="n">
        <v>1461.5</v>
      </c>
      <c r="V190" s="33" t="n">
        <v>1470.5</v>
      </c>
      <c r="W190" s="33" t="n">
        <v>1511.5</v>
      </c>
      <c r="X190" s="33" t="n">
        <v>1527</v>
      </c>
      <c r="Y190" s="33" t="n">
        <v>1515.5</v>
      </c>
      <c r="Z190" s="33" t="n">
        <v>1474.5</v>
      </c>
      <c r="AA190" s="33" t="n">
        <v>1450</v>
      </c>
      <c r="AB190" s="33" t="n">
        <v>1604.5</v>
      </c>
      <c r="AC190" s="33" t="n">
        <v>1594.5</v>
      </c>
      <c r="AD190" s="33" t="n">
        <v>1565</v>
      </c>
      <c r="AE190" s="33" t="n">
        <v>1540.5</v>
      </c>
      <c r="AF190" s="33" t="n">
        <v>1525</v>
      </c>
      <c r="AG190" s="33" t="n">
        <v>1540.5</v>
      </c>
      <c r="AH190" s="33" t="n">
        <v>1543</v>
      </c>
      <c r="AI190" s="33" t="n">
        <v>1508.5</v>
      </c>
      <c r="AJ190" s="33" t="n">
        <v>1497.5</v>
      </c>
      <c r="AK190" s="33" t="n">
        <v>1491.5</v>
      </c>
      <c r="AL190" s="33" t="n">
        <v>1466.5</v>
      </c>
      <c r="AM190" s="33" t="n">
        <v>1474</v>
      </c>
      <c r="AN190" s="33" t="n">
        <v>1458.5</v>
      </c>
      <c r="AO190" s="33" t="n">
        <v>1497.5</v>
      </c>
      <c r="AP190" s="33" t="n">
        <v>1542.5</v>
      </c>
      <c r="AQ190" s="33" t="n">
        <v>1573.5</v>
      </c>
      <c r="AR190" s="33" t="n">
        <v>1600.5</v>
      </c>
      <c r="AS190" s="33" t="n">
        <v>1650.5</v>
      </c>
      <c r="AT190" s="33" t="n">
        <v>1640.5</v>
      </c>
      <c r="AU190" s="33" t="n">
        <v>1608</v>
      </c>
      <c r="AV190" s="33" t="n">
        <v>1576</v>
      </c>
      <c r="AW190" s="33" t="n">
        <v>1589.5</v>
      </c>
      <c r="AX190" s="33" t="n">
        <v>1586.5</v>
      </c>
      <c r="AY190" s="33" t="n">
        <v>1626</v>
      </c>
      <c r="AZ190" s="33" t="n">
        <v>1583</v>
      </c>
      <c r="BA190" s="33" t="n">
        <v>1594</v>
      </c>
      <c r="BB190" s="33" t="n">
        <v>1606</v>
      </c>
      <c r="BC190" s="33" t="n">
        <v>1612</v>
      </c>
      <c r="BD190" s="33" t="n">
        <v>1620</v>
      </c>
      <c r="BE190" s="33" t="n">
        <v>1570</v>
      </c>
      <c r="BF190" s="33" t="n">
        <v>1529.5</v>
      </c>
      <c r="BG190" s="33" t="n">
        <v>1608</v>
      </c>
      <c r="BH190" s="33" t="n">
        <v>1585</v>
      </c>
      <c r="BI190" s="33" t="n">
        <v>1601</v>
      </c>
      <c r="BJ190" s="33" t="n">
        <v>1546.3</v>
      </c>
      <c r="BK190" s="33" t="n">
        <v>1524</v>
      </c>
      <c r="BL190" s="33" t="n">
        <v>1568.6</v>
      </c>
    </row>
    <row r="191" ht="15.95" customHeight="1" s="574">
      <c r="A191" s="68" t="inlineStr">
        <is>
          <t>6485</t>
        </is>
      </c>
      <c r="B191" s="44">
        <f>銘柄管理!C191</f>
        <v/>
      </c>
      <c r="C191" s="669">
        <f>_xll.RssMarket("6485","安値")</f>
        <v/>
      </c>
      <c r="D191" s="661" t="n"/>
      <c r="E191" s="33" t="n">
        <v>1468</v>
      </c>
      <c r="F191" s="33" t="n">
        <v>1459</v>
      </c>
      <c r="G191" s="33" t="n">
        <v>1454</v>
      </c>
      <c r="H191" s="33" t="n">
        <v>1434</v>
      </c>
      <c r="I191" s="33" t="n">
        <v>1430</v>
      </c>
      <c r="J191" s="33" t="n">
        <v>1418</v>
      </c>
      <c r="K191" s="33" t="n">
        <v>1405</v>
      </c>
      <c r="L191" s="33" t="n">
        <v>1418</v>
      </c>
      <c r="M191" s="33" t="n">
        <v>1410</v>
      </c>
      <c r="N191" s="33" t="n">
        <v>1420</v>
      </c>
      <c r="O191" s="33" t="n">
        <v>1388</v>
      </c>
      <c r="P191" s="33" t="n">
        <v>1374</v>
      </c>
      <c r="Q191" s="33" t="n">
        <v>1360</v>
      </c>
      <c r="R191" s="33" t="n">
        <v>1417</v>
      </c>
      <c r="S191" s="33" t="n">
        <v>1407</v>
      </c>
      <c r="T191" s="33" t="n">
        <v>1409</v>
      </c>
      <c r="U191" s="33" t="n">
        <v>1410</v>
      </c>
      <c r="V191" s="33" t="n">
        <v>1412</v>
      </c>
      <c r="W191" s="33" t="n">
        <v>1445</v>
      </c>
      <c r="X191" s="33" t="n">
        <v>1442</v>
      </c>
      <c r="Y191" s="33" t="n">
        <v>1486</v>
      </c>
      <c r="Z191" s="33" t="n">
        <v>1462</v>
      </c>
      <c r="AA191" s="33" t="n">
        <v>1500</v>
      </c>
      <c r="AB191" s="33" t="n">
        <v>1506</v>
      </c>
      <c r="AC191" s="33" t="n">
        <v>1508</v>
      </c>
      <c r="AD191" s="33" t="n">
        <v>1496</v>
      </c>
      <c r="AE191" s="33" t="n">
        <v>1505</v>
      </c>
      <c r="AF191" s="33" t="n">
        <v>1488</v>
      </c>
      <c r="AG191" s="33" t="n">
        <v>1492</v>
      </c>
      <c r="AH191" s="33" t="n">
        <v>1484</v>
      </c>
      <c r="AI191" s="33" t="n">
        <v>1486</v>
      </c>
      <c r="AJ191" s="33" t="n">
        <v>1497</v>
      </c>
      <c r="AK191" s="33" t="n">
        <v>1501</v>
      </c>
      <c r="AL191" s="33" t="n">
        <v>1525</v>
      </c>
      <c r="AM191" s="33" t="n">
        <v>1554</v>
      </c>
      <c r="AN191" s="33" t="n">
        <v>1551</v>
      </c>
      <c r="AO191" s="33" t="n">
        <v>1555</v>
      </c>
      <c r="AP191" s="33" t="n">
        <v>1567</v>
      </c>
      <c r="AQ191" s="33" t="n">
        <v>1568</v>
      </c>
      <c r="AR191" s="33" t="n">
        <v>1574</v>
      </c>
      <c r="AS191" s="33" t="n">
        <v>1591</v>
      </c>
      <c r="AT191" s="33" t="n">
        <v>1607</v>
      </c>
      <c r="AU191" s="33" t="n">
        <v>1618</v>
      </c>
      <c r="AV191" s="33" t="n">
        <v>1620</v>
      </c>
      <c r="AW191" s="33" t="n">
        <v>1589</v>
      </c>
      <c r="AX191" s="33" t="n">
        <v>1586</v>
      </c>
      <c r="AY191" s="33" t="n">
        <v>1580</v>
      </c>
      <c r="AZ191" s="33" t="n">
        <v>1572</v>
      </c>
      <c r="BA191" s="33" t="n">
        <v>1572</v>
      </c>
      <c r="BB191" s="33" t="n">
        <v>1535</v>
      </c>
      <c r="BC191" s="33" t="n">
        <v>1541</v>
      </c>
      <c r="BD191" s="33" t="n">
        <v>1590</v>
      </c>
      <c r="BE191" s="33" t="n">
        <v>1581</v>
      </c>
      <c r="BF191" s="33" t="n">
        <v>1600</v>
      </c>
      <c r="BG191" s="33" t="n">
        <v>1565</v>
      </c>
      <c r="BH191" s="33" t="n">
        <v>1558</v>
      </c>
      <c r="BI191" s="33" t="n">
        <v>1629</v>
      </c>
      <c r="BJ191" s="33" t="n">
        <v>1647</v>
      </c>
      <c r="BK191" s="33" t="n">
        <v>1627</v>
      </c>
      <c r="BL191" s="33" t="n">
        <v>1618</v>
      </c>
    </row>
    <row r="192" ht="15.95" customHeight="1" s="574">
      <c r="A192" s="68" t="inlineStr">
        <is>
          <t>4887</t>
        </is>
      </c>
      <c r="B192" s="44" t="inlineStr">
        <is>
          <t>サワイグループＨＤ</t>
        </is>
      </c>
      <c r="C192" s="669">
        <f>_xll.RssMarket("4887","安値")</f>
        <v/>
      </c>
      <c r="D192" s="661">
        <f>C192-E192</f>
        <v/>
      </c>
      <c r="E192" s="33" t="n">
        <v>1621.5</v>
      </c>
      <c r="F192" s="33" t="n">
        <v>1619</v>
      </c>
      <c r="G192" s="33" t="n">
        <v>1646.5</v>
      </c>
      <c r="H192" s="33" t="n">
        <v>1642.5</v>
      </c>
      <c r="I192" s="33" t="n">
        <v>1648</v>
      </c>
      <c r="J192" s="33" t="n">
        <v>1688</v>
      </c>
      <c r="K192" s="33" t="n">
        <v>1695</v>
      </c>
      <c r="L192" s="33" t="n">
        <v>1713.5</v>
      </c>
      <c r="M192" s="33" t="n">
        <v>1673</v>
      </c>
      <c r="N192" s="33" t="n">
        <v>1703</v>
      </c>
      <c r="O192" s="33" t="n">
        <v>1707.5</v>
      </c>
      <c r="P192" s="33" t="n">
        <v>1664.5</v>
      </c>
      <c r="Q192" s="33" t="n">
        <v>1683</v>
      </c>
      <c r="R192" s="33" t="n">
        <v>1731</v>
      </c>
      <c r="S192" s="33" t="n">
        <v>1726</v>
      </c>
      <c r="T192" s="33" t="n">
        <v>1745</v>
      </c>
      <c r="U192" s="33" t="n">
        <v>1766</v>
      </c>
      <c r="V192" s="33" t="n">
        <v>1740.5</v>
      </c>
      <c r="W192" s="33" t="n">
        <v>1751</v>
      </c>
      <c r="X192" s="33" t="n">
        <v>1778.5</v>
      </c>
      <c r="Y192" s="33" t="n">
        <v>1741</v>
      </c>
      <c r="Z192" s="33" t="n">
        <v>1730.5</v>
      </c>
      <c r="AA192" s="33" t="n">
        <v>1972.5</v>
      </c>
      <c r="AB192" s="33" t="n">
        <v>2055</v>
      </c>
      <c r="AC192" s="33" t="n">
        <v>2063.5</v>
      </c>
      <c r="AD192" s="33" t="n">
        <v>2053</v>
      </c>
      <c r="AE192" s="33" t="n">
        <v>2085</v>
      </c>
      <c r="AF192" s="33" t="n">
        <v>2083</v>
      </c>
      <c r="AG192" s="33" t="n">
        <v>2081</v>
      </c>
      <c r="AH192" s="33" t="n">
        <v>2057.5</v>
      </c>
      <c r="AI192" s="33" t="n">
        <v>2083</v>
      </c>
      <c r="AJ192" s="33" t="n">
        <v>2068</v>
      </c>
      <c r="AK192" s="33" t="n">
        <v>2069.5</v>
      </c>
      <c r="AL192" s="33" t="n">
        <v>2087</v>
      </c>
      <c r="AM192" s="33" t="n">
        <v>2073</v>
      </c>
      <c r="AN192" s="33" t="n">
        <v>2094</v>
      </c>
      <c r="AO192" s="33" t="n">
        <v>2149</v>
      </c>
      <c r="AP192" s="33" t="n">
        <v>2173</v>
      </c>
      <c r="AQ192" s="33" t="n">
        <v>2208</v>
      </c>
      <c r="AR192" s="33" t="n">
        <v>2233.5</v>
      </c>
      <c r="AS192" s="33" t="n">
        <v>2177</v>
      </c>
      <c r="AT192" s="33" t="n">
        <v>2172.5</v>
      </c>
      <c r="AU192" s="33" t="n">
        <v>2224.5</v>
      </c>
      <c r="AV192" s="33" t="n">
        <v>2229.5</v>
      </c>
      <c r="AW192" s="33" t="n">
        <v>2250</v>
      </c>
      <c r="AX192" s="33" t="n">
        <v>2256.5</v>
      </c>
      <c r="AY192" s="33" t="n">
        <v>2260.5</v>
      </c>
      <c r="AZ192" s="33" t="n">
        <v>2256</v>
      </c>
      <c r="BA192" s="33" t="n">
        <v>2236.5</v>
      </c>
      <c r="BB192" s="33" t="n">
        <v>2215</v>
      </c>
      <c r="BC192" s="33" t="n">
        <v>2211.5</v>
      </c>
      <c r="BD192" s="33" t="n">
        <v>2209</v>
      </c>
      <c r="BE192" s="33" t="n">
        <v>2231</v>
      </c>
      <c r="BF192" s="33" t="n">
        <v>2282.5</v>
      </c>
      <c r="BG192" s="33" t="n">
        <v>2251</v>
      </c>
      <c r="BH192" s="33" t="n">
        <v>2225</v>
      </c>
      <c r="BI192" s="33" t="n">
        <v>2141</v>
      </c>
      <c r="BJ192" s="33" t="n">
        <v>2100</v>
      </c>
      <c r="BK192" s="33" t="n">
        <v>2144.5</v>
      </c>
      <c r="BL192" s="33" t="n">
        <v>2173</v>
      </c>
    </row>
    <row r="193" ht="15.95" customHeight="1" s="574">
      <c r="A193" s="68" t="inlineStr">
        <is>
          <t>5243</t>
        </is>
      </c>
      <c r="B193" s="44" t="inlineStr">
        <is>
          <t>ＮＯＴＥ</t>
        </is>
      </c>
      <c r="C193" s="669">
        <f>_xll.RssMarket("5243","安値")</f>
        <v/>
      </c>
      <c r="D193" s="661">
        <f>C193-E193</f>
        <v/>
      </c>
      <c r="E193" s="33" t="n">
        <v>1740</v>
      </c>
      <c r="F193" s="33" t="n">
        <v>1730</v>
      </c>
      <c r="G193" s="33" t="n">
        <v>1803</v>
      </c>
      <c r="H193" s="33" t="n">
        <v>1720</v>
      </c>
      <c r="I193" s="33" t="n">
        <v>1672</v>
      </c>
      <c r="J193" s="33" t="n">
        <v>1655</v>
      </c>
      <c r="K193" s="33" t="n">
        <v>1635</v>
      </c>
      <c r="L193" s="33" t="n">
        <v>1604</v>
      </c>
      <c r="M193" s="33" t="n">
        <v>1635</v>
      </c>
      <c r="N193" s="33" t="n">
        <v>1732</v>
      </c>
      <c r="O193" s="33" t="n">
        <v>1815</v>
      </c>
      <c r="P193" s="33" t="n">
        <v>1810</v>
      </c>
      <c r="Q193" s="33" t="n">
        <v>1862</v>
      </c>
      <c r="R193" s="33" t="n">
        <v>1881</v>
      </c>
      <c r="S193" s="33" t="n">
        <v>2031</v>
      </c>
      <c r="T193" s="33" t="n">
        <v>2027</v>
      </c>
      <c r="U193" s="33" t="n">
        <v>2051</v>
      </c>
      <c r="V193" s="33" t="n">
        <v>2181</v>
      </c>
      <c r="W193" s="33" t="n">
        <v>2172</v>
      </c>
      <c r="X193" s="33" t="n">
        <v>2150</v>
      </c>
      <c r="Y193" s="33" t="n">
        <v>2145</v>
      </c>
      <c r="Z193" s="33" t="n">
        <v>2188</v>
      </c>
      <c r="AA193" s="33" t="n">
        <v>2181</v>
      </c>
      <c r="AB193" s="33" t="n">
        <v>2235</v>
      </c>
      <c r="AC193" s="33" t="n">
        <v>2272</v>
      </c>
      <c r="AD193" s="33" t="n">
        <v>2271</v>
      </c>
      <c r="AE193" s="33" t="n">
        <v>2135</v>
      </c>
      <c r="AF193" s="33" t="n">
        <v>2102</v>
      </c>
      <c r="AG193" s="33" t="n">
        <v>2134</v>
      </c>
      <c r="AH193" s="33" t="n">
        <v>2240</v>
      </c>
      <c r="AI193" s="33" t="n">
        <v>2363</v>
      </c>
      <c r="AJ193" s="33" t="n">
        <v>2396</v>
      </c>
      <c r="AK193" s="33" t="n">
        <v>2330</v>
      </c>
      <c r="AL193" s="33" t="n">
        <v>2265</v>
      </c>
      <c r="AM193" s="33" t="n">
        <v>2380</v>
      </c>
      <c r="AN193" s="33" t="n">
        <v>2467</v>
      </c>
      <c r="AO193" s="33" t="n">
        <v>2432</v>
      </c>
      <c r="AP193" s="33" t="n">
        <v>2535</v>
      </c>
      <c r="AQ193" s="33" t="n">
        <v>2520</v>
      </c>
      <c r="AR193" s="33" t="n">
        <v>2586</v>
      </c>
      <c r="AS193" s="33" t="n">
        <v>2563</v>
      </c>
      <c r="AT193" s="33" t="n">
        <v>2515</v>
      </c>
      <c r="AU193" s="33" t="n">
        <v>2853</v>
      </c>
      <c r="AV193" s="33" t="n">
        <v>2681</v>
      </c>
      <c r="AW193" s="33" t="n">
        <v>2629</v>
      </c>
      <c r="AX193" s="33" t="n">
        <v>2645</v>
      </c>
      <c r="AY193" s="33" t="n">
        <v>2576</v>
      </c>
      <c r="AZ193" s="33" t="n">
        <v>2482</v>
      </c>
      <c r="BA193" s="33" t="n">
        <v>2481</v>
      </c>
      <c r="BB193" s="33" t="n">
        <v>2468</v>
      </c>
      <c r="BC193" s="33" t="n">
        <v>2423</v>
      </c>
      <c r="BD193" s="33" t="n">
        <v>2480</v>
      </c>
      <c r="BE193" s="33" t="n">
        <v>2367</v>
      </c>
      <c r="BF193" s="33" t="n">
        <v>2355</v>
      </c>
      <c r="BG193" s="33" t="n">
        <v>2417</v>
      </c>
      <c r="BH193" s="33" t="n">
        <v>2408</v>
      </c>
      <c r="BI193" s="33" t="n">
        <v>2352</v>
      </c>
      <c r="BJ193" s="33" t="n">
        <v>2175</v>
      </c>
      <c r="BK193" s="33" t="n">
        <v>2055</v>
      </c>
      <c r="BL193" s="33" t="n">
        <v>2170</v>
      </c>
    </row>
    <row r="194" ht="15.95" customHeight="1" s="574">
      <c r="A194" s="68" t="inlineStr">
        <is>
          <t>2702</t>
        </is>
      </c>
      <c r="B194" s="44" t="inlineStr">
        <is>
          <t>日本マクドナルドＨＬＤＧ</t>
        </is>
      </c>
      <c r="C194" s="669">
        <f>_xll.RssMarket("2702","安値")</f>
        <v/>
      </c>
      <c r="D194" s="661">
        <f>C194-E194</f>
        <v/>
      </c>
      <c r="E194" s="33" t="n">
        <v>7130</v>
      </c>
      <c r="F194" s="33" t="n">
        <v>7220</v>
      </c>
      <c r="G194" s="33" t="n">
        <v>7250</v>
      </c>
      <c r="H194" s="33" t="n">
        <v>7350</v>
      </c>
      <c r="I194" s="33" t="n">
        <v>7320</v>
      </c>
      <c r="J194" s="33" t="n">
        <v>7410</v>
      </c>
      <c r="K194" s="33" t="n">
        <v>7330</v>
      </c>
      <c r="L194" s="33" t="n">
        <v>7320</v>
      </c>
      <c r="M194" s="33" t="n">
        <v>7160</v>
      </c>
      <c r="N194" s="33" t="n">
        <v>7340</v>
      </c>
      <c r="O194" s="33" t="n">
        <v>7320</v>
      </c>
      <c r="P194" s="33" t="n">
        <v>7290</v>
      </c>
      <c r="Q194" s="33" t="n">
        <v>7440</v>
      </c>
      <c r="R194" s="33" t="n">
        <v>7540</v>
      </c>
      <c r="S194" s="33" t="n">
        <v>7700</v>
      </c>
      <c r="T194" s="33" t="n">
        <v>7760</v>
      </c>
      <c r="U194" s="33" t="n">
        <v>7870</v>
      </c>
      <c r="V194" s="33" t="n">
        <v>8030</v>
      </c>
      <c r="W194" s="33" t="n">
        <v>8010</v>
      </c>
      <c r="X194" s="33" t="n">
        <v>7960</v>
      </c>
      <c r="Y194" s="33" t="n">
        <v>7800</v>
      </c>
      <c r="Z194" s="33" t="n">
        <v>7780</v>
      </c>
      <c r="AA194" s="33" t="n">
        <v>8110</v>
      </c>
      <c r="AB194" s="33" t="n">
        <v>8290</v>
      </c>
      <c r="AC194" s="33" t="n">
        <v>8320</v>
      </c>
      <c r="AD194" s="33" t="n">
        <v>7650</v>
      </c>
      <c r="AE194" s="33" t="n">
        <v>7740</v>
      </c>
      <c r="AF194" s="33" t="n">
        <v>7870</v>
      </c>
      <c r="AG194" s="33" t="n">
        <v>7960</v>
      </c>
      <c r="AH194" s="33" t="n">
        <v>8090</v>
      </c>
      <c r="AI194" s="33" t="n">
        <v>8110</v>
      </c>
      <c r="AJ194" s="33" t="n">
        <v>8150</v>
      </c>
      <c r="AK194" s="33" t="n">
        <v>8070</v>
      </c>
      <c r="AL194" s="33" t="n">
        <v>8070</v>
      </c>
      <c r="AM194" s="33" t="n">
        <v>8090</v>
      </c>
      <c r="AN194" s="33" t="n">
        <v>8150</v>
      </c>
      <c r="AO194" s="33" t="n">
        <v>8200</v>
      </c>
      <c r="AP194" s="33" t="n">
        <v>8170</v>
      </c>
      <c r="AQ194" s="33" t="n">
        <v>8160</v>
      </c>
      <c r="AR194" s="33" t="n">
        <v>8160</v>
      </c>
      <c r="AS194" s="33" t="n">
        <v>8050</v>
      </c>
      <c r="AT194" s="33" t="n">
        <v>8000</v>
      </c>
      <c r="AU194" s="33" t="n">
        <v>8020</v>
      </c>
      <c r="AV194" s="33" t="n">
        <v>8240</v>
      </c>
      <c r="AW194" s="33" t="n">
        <v>8470</v>
      </c>
      <c r="AX194" s="33" t="n">
        <v>8550</v>
      </c>
      <c r="AY194" s="33" t="n">
        <v>8470</v>
      </c>
      <c r="AZ194" s="33" t="n">
        <v>8340</v>
      </c>
      <c r="BA194" s="33" t="n">
        <v>8200</v>
      </c>
      <c r="BB194" s="33" t="n">
        <v>8190</v>
      </c>
      <c r="BC194" s="33" t="n">
        <v>8170</v>
      </c>
      <c r="BD194" s="33" t="n">
        <v>8260</v>
      </c>
      <c r="BE194" s="33" t="n">
        <v>8230</v>
      </c>
      <c r="BF194" s="33" t="n">
        <v>8110</v>
      </c>
      <c r="BG194" s="33" t="n">
        <v>8040</v>
      </c>
      <c r="BH194" s="33" t="n">
        <v>8040</v>
      </c>
      <c r="BI194" s="33" t="n">
        <v>7910</v>
      </c>
      <c r="BJ194" s="33" t="n">
        <v>7800</v>
      </c>
      <c r="BK194" s="33" t="n">
        <v>7920</v>
      </c>
      <c r="BL194" s="33" t="n">
        <v>7880</v>
      </c>
    </row>
    <row r="195" ht="15.95" customHeight="1" s="574">
      <c r="A195" s="68" t="inlineStr">
        <is>
          <t>6890</t>
        </is>
      </c>
      <c r="B195" s="44" t="inlineStr">
        <is>
          <t>フェローテック</t>
        </is>
      </c>
      <c r="C195" s="669">
        <f>_xll.RssMarket("6890","安値")</f>
        <v/>
      </c>
      <c r="D195" s="661">
        <f>C195-E195</f>
        <v/>
      </c>
      <c r="E195" s="33" t="n">
        <v>10470</v>
      </c>
      <c r="F195" s="33" t="n">
        <v>10300</v>
      </c>
      <c r="G195" s="33" t="n">
        <v>9530</v>
      </c>
      <c r="H195" s="33" t="n">
        <v>8990</v>
      </c>
      <c r="I195" s="33" t="n">
        <v>9010</v>
      </c>
      <c r="J195" s="33" t="n">
        <v>9030</v>
      </c>
      <c r="K195" s="33" t="n">
        <v>8760</v>
      </c>
      <c r="L195" s="33" t="n">
        <v>7430</v>
      </c>
      <c r="M195" s="33" t="n">
        <v>7730</v>
      </c>
      <c r="N195" s="33" t="n">
        <v>8120</v>
      </c>
      <c r="O195" s="33" t="n">
        <v>8450</v>
      </c>
      <c r="P195" s="33" t="n">
        <v>7950</v>
      </c>
      <c r="Q195" s="33" t="n">
        <v>7840</v>
      </c>
      <c r="R195" s="33" t="n">
        <v>7520</v>
      </c>
      <c r="S195" s="33" t="n">
        <v>8480</v>
      </c>
      <c r="T195" s="33" t="n">
        <v>8270</v>
      </c>
      <c r="U195" s="33" t="n">
        <v>8490</v>
      </c>
      <c r="V195" s="33" t="n">
        <v>9060</v>
      </c>
      <c r="W195" s="33" t="n">
        <v>8850</v>
      </c>
      <c r="X195" s="33" t="n">
        <v>8630</v>
      </c>
      <c r="Y195" s="33" t="n">
        <v>8550</v>
      </c>
      <c r="Z195" s="33" t="n">
        <v>8430</v>
      </c>
      <c r="AA195" s="33" t="n">
        <v>8850</v>
      </c>
      <c r="AB195" s="33" t="n">
        <v>9220</v>
      </c>
      <c r="AC195" s="33" t="n">
        <v>9600</v>
      </c>
      <c r="AD195" s="33" t="n">
        <v>9020</v>
      </c>
      <c r="AE195" s="33" t="n">
        <v>9540</v>
      </c>
      <c r="AF195" s="33" t="n">
        <v>9570</v>
      </c>
      <c r="AG195" s="33" t="n">
        <v>9010</v>
      </c>
      <c r="AH195" s="33" t="n">
        <v>8330</v>
      </c>
      <c r="AI195" s="33" t="n">
        <v>7600</v>
      </c>
      <c r="AJ195" s="33" t="n">
        <v>7490</v>
      </c>
      <c r="AK195" s="33" t="n">
        <v>7090</v>
      </c>
      <c r="AL195" s="33" t="n">
        <v>7200</v>
      </c>
      <c r="AM195" s="33" t="n">
        <v>7160</v>
      </c>
      <c r="AN195" s="33" t="n">
        <v>7030</v>
      </c>
      <c r="AO195" s="33" t="n">
        <v>6560</v>
      </c>
      <c r="AP195" s="33" t="n">
        <v>6640</v>
      </c>
      <c r="AQ195" s="33" t="n">
        <v>6670</v>
      </c>
      <c r="AR195" s="33" t="n">
        <v>6610</v>
      </c>
      <c r="AS195" s="33" t="n">
        <v>6720</v>
      </c>
      <c r="AT195" s="33" t="n">
        <v>6670</v>
      </c>
      <c r="AU195" s="33" t="n">
        <v>6930</v>
      </c>
      <c r="AV195" s="33" t="n">
        <v>6870</v>
      </c>
      <c r="AW195" s="33" t="n">
        <v>6920</v>
      </c>
      <c r="AX195" s="33" t="n">
        <v>6710</v>
      </c>
      <c r="AY195" s="33" t="n">
        <v>6670</v>
      </c>
      <c r="AZ195" s="33" t="n">
        <v>6490</v>
      </c>
      <c r="BA195" s="33" t="n">
        <v>6470</v>
      </c>
      <c r="BB195" s="33" t="n">
        <v>6420</v>
      </c>
      <c r="BC195" s="33" t="n">
        <v>6320</v>
      </c>
      <c r="BD195" s="33" t="n">
        <v>6550</v>
      </c>
      <c r="BE195" s="33" t="n">
        <v>6170</v>
      </c>
      <c r="BF195" s="33" t="n">
        <v>6150</v>
      </c>
      <c r="BG195" s="33" t="n">
        <v>6250</v>
      </c>
      <c r="BH195" s="33" t="n">
        <v>6380</v>
      </c>
      <c r="BI195" s="33" t="n">
        <v>6140</v>
      </c>
      <c r="BJ195" s="33" t="n">
        <v>5790</v>
      </c>
      <c r="BK195" s="33" t="n">
        <v>5680</v>
      </c>
      <c r="BL195" s="33" t="n">
        <v>6010</v>
      </c>
    </row>
    <row r="196" ht="15.95" customHeight="1" s="574">
      <c r="A196" s="68" t="inlineStr">
        <is>
          <t>4966</t>
        </is>
      </c>
      <c r="B196" s="44" t="inlineStr">
        <is>
          <t>上村工業</t>
        </is>
      </c>
      <c r="C196" s="669">
        <f>_xll.RssMarket("4966","安値")</f>
        <v/>
      </c>
      <c r="D196" s="661">
        <f>C196-E196</f>
        <v/>
      </c>
      <c r="E196" s="33" t="n">
        <v>27040</v>
      </c>
      <c r="F196" s="33" t="n">
        <v>26660</v>
      </c>
      <c r="G196" s="33" t="n">
        <v>26220</v>
      </c>
      <c r="H196" s="33" t="n">
        <v>25750</v>
      </c>
      <c r="I196" s="33" t="n">
        <v>25890</v>
      </c>
      <c r="J196" s="33" t="n">
        <v>24840</v>
      </c>
      <c r="K196" s="33" t="n">
        <v>23710</v>
      </c>
      <c r="L196" s="33" t="n">
        <v>21820</v>
      </c>
      <c r="M196" s="33" t="n">
        <v>22000</v>
      </c>
      <c r="N196" s="33" t="n">
        <v>20850</v>
      </c>
      <c r="O196" s="33" t="n">
        <v>22270</v>
      </c>
      <c r="P196" s="33" t="n">
        <v>22800</v>
      </c>
      <c r="Q196" s="33" t="n">
        <v>23060</v>
      </c>
      <c r="R196" s="33" t="n">
        <v>22060</v>
      </c>
      <c r="S196" s="33" t="n">
        <v>23020</v>
      </c>
      <c r="T196" s="33" t="n">
        <v>22900</v>
      </c>
      <c r="U196" s="33" t="n">
        <v>23540</v>
      </c>
      <c r="V196" s="33" t="n">
        <v>23860</v>
      </c>
      <c r="W196" s="33" t="n">
        <v>23440</v>
      </c>
      <c r="X196" s="33" t="n">
        <v>23000</v>
      </c>
      <c r="Y196" s="33" t="n">
        <v>21940</v>
      </c>
      <c r="Z196" s="33" t="n">
        <v>22650</v>
      </c>
      <c r="AA196" s="33" t="n">
        <v>23450</v>
      </c>
      <c r="AB196" s="33" t="n">
        <v>23540</v>
      </c>
      <c r="AC196" s="33" t="n">
        <v>25000</v>
      </c>
      <c r="AD196" s="33" t="n">
        <v>21500</v>
      </c>
      <c r="AE196" s="33" t="n">
        <v>24360</v>
      </c>
      <c r="AF196" s="33" t="n">
        <v>23400</v>
      </c>
      <c r="AG196" s="33" t="n">
        <v>23060</v>
      </c>
      <c r="AH196" s="33" t="n">
        <v>23120</v>
      </c>
      <c r="AI196" s="33" t="n">
        <v>22550</v>
      </c>
      <c r="AJ196" s="33" t="n">
        <v>23120</v>
      </c>
      <c r="AK196" s="33" t="n">
        <v>22910</v>
      </c>
      <c r="AL196" s="33" t="n">
        <v>23100</v>
      </c>
      <c r="AM196" s="33" t="n">
        <v>23160</v>
      </c>
      <c r="AN196" s="33" t="n">
        <v>22770</v>
      </c>
      <c r="AO196" s="33" t="n">
        <v>22580</v>
      </c>
      <c r="AP196" s="33" t="n">
        <v>22840</v>
      </c>
      <c r="AQ196" s="33" t="n">
        <v>22660</v>
      </c>
      <c r="AR196" s="33" t="n">
        <v>23140</v>
      </c>
      <c r="AS196" s="33" t="n">
        <v>23340</v>
      </c>
      <c r="AT196" s="33" t="n">
        <v>23680</v>
      </c>
      <c r="AU196" s="33" t="n">
        <v>23750</v>
      </c>
      <c r="AV196" s="33" t="n">
        <v>22780</v>
      </c>
      <c r="AW196" s="33" t="n">
        <v>22560</v>
      </c>
      <c r="AX196" s="33" t="n">
        <v>22380</v>
      </c>
      <c r="AY196" s="33" t="n">
        <v>21550</v>
      </c>
      <c r="AZ196" s="33" t="n">
        <v>20810</v>
      </c>
      <c r="BA196" s="33" t="n">
        <v>21000</v>
      </c>
      <c r="BB196" s="33" t="n">
        <v>20460</v>
      </c>
      <c r="BC196" s="33" t="n">
        <v>20270</v>
      </c>
      <c r="BD196" s="33" t="n">
        <v>20320</v>
      </c>
      <c r="BE196" s="33" t="n">
        <v>19550</v>
      </c>
      <c r="BF196" s="33" t="n">
        <v>20120</v>
      </c>
      <c r="BG196" s="33" t="n">
        <v>21670</v>
      </c>
      <c r="BH196" s="33" t="n">
        <v>22370</v>
      </c>
      <c r="BI196" s="33" t="n">
        <v>22810</v>
      </c>
      <c r="BJ196" s="33" t="n">
        <v>21750</v>
      </c>
      <c r="BK196" s="33" t="n">
        <v>21300</v>
      </c>
      <c r="BL196" s="33" t="n">
        <v>22400</v>
      </c>
    </row>
    <row r="197" ht="15.95" customHeight="1" s="574">
      <c r="A197" s="68" t="inlineStr">
        <is>
          <t>6146</t>
        </is>
      </c>
      <c r="B197" s="44" t="inlineStr">
        <is>
          <t>ディスコ</t>
        </is>
      </c>
      <c r="C197" s="669">
        <f>_xll.RssMarket("6146","安値")</f>
        <v/>
      </c>
      <c r="D197" s="661">
        <f>C197-E197</f>
        <v/>
      </c>
      <c r="E197" s="33" t="n">
        <v>85630</v>
      </c>
      <c r="F197" s="33" t="n">
        <v>84800</v>
      </c>
      <c r="G197" s="33" t="n">
        <v>82440</v>
      </c>
      <c r="H197" s="33" t="n">
        <v>80000</v>
      </c>
      <c r="I197" s="33" t="n">
        <v>81210</v>
      </c>
      <c r="J197" s="33" t="n">
        <v>80450</v>
      </c>
      <c r="K197" s="33" t="n">
        <v>73310</v>
      </c>
      <c r="L197" s="33" t="n">
        <v>66440</v>
      </c>
      <c r="M197" s="33" t="n">
        <v>69320</v>
      </c>
      <c r="N197" s="33" t="n">
        <v>66440</v>
      </c>
      <c r="O197" s="33" t="n">
        <v>70440</v>
      </c>
      <c r="P197" s="33" t="n">
        <v>68080</v>
      </c>
      <c r="Q197" s="33" t="n">
        <v>65130</v>
      </c>
      <c r="R197" s="33" t="n">
        <v>61530</v>
      </c>
      <c r="S197" s="33" t="n">
        <v>63580</v>
      </c>
      <c r="T197" s="33" t="n">
        <v>64800</v>
      </c>
      <c r="U197" s="33" t="n">
        <v>67340</v>
      </c>
      <c r="V197" s="33" t="n">
        <v>67180</v>
      </c>
      <c r="W197" s="33" t="n">
        <v>65090</v>
      </c>
      <c r="X197" s="33" t="n">
        <v>63220</v>
      </c>
      <c r="Y197" s="33" t="n">
        <v>59650</v>
      </c>
      <c r="Z197" s="33" t="n">
        <v>60650</v>
      </c>
      <c r="AA197" s="33" t="n">
        <v>62280</v>
      </c>
      <c r="AB197" s="33" t="n">
        <v>64300</v>
      </c>
      <c r="AC197" s="33" t="n">
        <v>70000</v>
      </c>
      <c r="AD197" s="33" t="n">
        <v>70330</v>
      </c>
      <c r="AE197" s="33" t="n">
        <v>71370</v>
      </c>
      <c r="AF197" s="33" t="n">
        <v>73100</v>
      </c>
      <c r="AG197" s="33" t="n">
        <v>74830</v>
      </c>
      <c r="AH197" s="33" t="n">
        <v>75800</v>
      </c>
      <c r="AI197" s="33" t="n">
        <v>72200</v>
      </c>
      <c r="AJ197" s="33" t="n">
        <v>72910</v>
      </c>
      <c r="AK197" s="33" t="n">
        <v>73600</v>
      </c>
      <c r="AL197" s="33" t="n">
        <v>72800</v>
      </c>
      <c r="AM197" s="33" t="n">
        <v>71090</v>
      </c>
      <c r="AN197" s="33" t="n">
        <v>71230</v>
      </c>
      <c r="AO197" s="33" t="n">
        <v>74180</v>
      </c>
      <c r="AP197" s="33" t="n">
        <v>72000</v>
      </c>
      <c r="AQ197" s="33" t="n">
        <v>71800</v>
      </c>
      <c r="AR197" s="33" t="n">
        <v>72020</v>
      </c>
      <c r="AS197" s="33" t="n">
        <v>70640</v>
      </c>
      <c r="AT197" s="33" t="n">
        <v>70170</v>
      </c>
      <c r="AU197" s="33" t="n">
        <v>69970</v>
      </c>
      <c r="AV197" s="33" t="n">
        <v>66200</v>
      </c>
      <c r="AW197" s="33" t="n">
        <v>65530</v>
      </c>
      <c r="AX197" s="33" t="n">
        <v>64330</v>
      </c>
      <c r="AY197" s="33" t="n">
        <v>66000</v>
      </c>
      <c r="AZ197" s="33" t="n">
        <v>62860</v>
      </c>
      <c r="BA197" s="33" t="n">
        <v>66060</v>
      </c>
      <c r="BB197" s="33" t="n">
        <v>64470</v>
      </c>
      <c r="BC197" s="33" t="n">
        <v>62500</v>
      </c>
      <c r="BD197" s="33" t="n">
        <v>61590</v>
      </c>
      <c r="BE197" s="33" t="n">
        <v>60440</v>
      </c>
      <c r="BF197" s="33" t="n">
        <v>62290</v>
      </c>
      <c r="BG197" s="33" t="n">
        <v>64820</v>
      </c>
      <c r="BH197" s="33" t="n">
        <v>67110</v>
      </c>
      <c r="BI197" s="33" t="n">
        <v>67010</v>
      </c>
      <c r="BJ197" s="33" t="n">
        <v>64430</v>
      </c>
      <c r="BK197" s="33" t="n">
        <v>63860</v>
      </c>
      <c r="BL197" s="33" t="n">
        <v>68650</v>
      </c>
    </row>
    <row r="198" ht="15.95" customHeight="1" s="574">
      <c r="A198" s="68" t="inlineStr">
        <is>
          <t>8035</t>
        </is>
      </c>
      <c r="B198" s="44" t="inlineStr">
        <is>
          <t>東京エレクトロン</t>
        </is>
      </c>
      <c r="C198" s="669">
        <f>_xll.RssMarket("8035","安値")</f>
        <v/>
      </c>
      <c r="D198" s="661">
        <f>C198-E198</f>
        <v/>
      </c>
      <c r="E198" s="33" t="n">
        <v>73980</v>
      </c>
      <c r="F198" s="33" t="n">
        <v>73920</v>
      </c>
      <c r="G198" s="33" t="n">
        <v>73100</v>
      </c>
      <c r="H198" s="33" t="n">
        <v>69850</v>
      </c>
      <c r="I198" s="33" t="n">
        <v>70820</v>
      </c>
      <c r="J198" s="33" t="n">
        <v>72760</v>
      </c>
      <c r="K198" s="33" t="n">
        <v>68000</v>
      </c>
      <c r="L198" s="33" t="n">
        <v>60210</v>
      </c>
      <c r="M198" s="33" t="n">
        <v>60810</v>
      </c>
      <c r="N198" s="33" t="n">
        <v>54650</v>
      </c>
      <c r="O198" s="33" t="n">
        <v>58750</v>
      </c>
      <c r="P198" s="33" t="n">
        <v>59900</v>
      </c>
      <c r="Q198" s="33" t="n">
        <v>56390</v>
      </c>
      <c r="R198" s="33" t="n">
        <v>52180</v>
      </c>
      <c r="S198" s="33" t="n">
        <v>52030</v>
      </c>
      <c r="T198" s="33" t="n">
        <v>51150</v>
      </c>
      <c r="U198" s="33" t="n">
        <v>52500</v>
      </c>
      <c r="V198" s="33" t="n">
        <v>50030</v>
      </c>
      <c r="W198" s="33" t="n">
        <v>48730</v>
      </c>
      <c r="X198" s="33" t="n">
        <v>47450</v>
      </c>
      <c r="Y198" s="33" t="n">
        <v>45030</v>
      </c>
      <c r="Z198" s="33" t="n">
        <v>47160</v>
      </c>
      <c r="AA198" s="33" t="n">
        <v>48810</v>
      </c>
      <c r="AB198" s="33" t="n">
        <v>49480</v>
      </c>
      <c r="AC198" s="33" t="n">
        <v>51200</v>
      </c>
      <c r="AD198" s="33" t="n">
        <v>50830</v>
      </c>
      <c r="AE198" s="33" t="n">
        <v>51630</v>
      </c>
      <c r="AF198" s="33" t="n">
        <v>51870</v>
      </c>
      <c r="AG198" s="33" t="n">
        <v>51220</v>
      </c>
      <c r="AH198" s="33" t="n">
        <v>50240</v>
      </c>
      <c r="AI198" s="33" t="n">
        <v>46710</v>
      </c>
      <c r="AJ198" s="33" t="n">
        <v>43980</v>
      </c>
      <c r="AK198" s="33" t="n">
        <v>45010</v>
      </c>
      <c r="AL198" s="33" t="n">
        <v>46300</v>
      </c>
      <c r="AM198" s="33" t="n">
        <v>45410</v>
      </c>
      <c r="AN198" s="33" t="n">
        <v>44950</v>
      </c>
      <c r="AO198" s="33" t="n">
        <v>45020</v>
      </c>
      <c r="AP198" s="33" t="n">
        <v>44670</v>
      </c>
      <c r="AQ198" s="33" t="n">
        <v>43620</v>
      </c>
      <c r="AR198" s="33" t="n">
        <v>44010</v>
      </c>
      <c r="AS198" s="33" t="n">
        <v>44100</v>
      </c>
      <c r="AT198" s="33" t="n">
        <v>43360</v>
      </c>
      <c r="AU198" s="33" t="n">
        <v>42890</v>
      </c>
      <c r="AV198" s="33" t="n">
        <v>42300</v>
      </c>
      <c r="AW198" s="33" t="n">
        <v>42620</v>
      </c>
      <c r="AX198" s="33" t="n">
        <v>41750</v>
      </c>
      <c r="AY198" s="33" t="n">
        <v>41060</v>
      </c>
      <c r="AZ198" s="33" t="n">
        <v>38270</v>
      </c>
      <c r="BA198" s="33" t="n">
        <v>38200</v>
      </c>
      <c r="BB198" s="33" t="n">
        <v>38280</v>
      </c>
      <c r="BC198" s="33" t="n">
        <v>37960</v>
      </c>
      <c r="BD198" s="33" t="n">
        <v>38380</v>
      </c>
      <c r="BE198" s="33" t="n">
        <v>36520</v>
      </c>
      <c r="BF198" s="33" t="n">
        <v>37210</v>
      </c>
      <c r="BG198" s="33" t="n">
        <v>38670</v>
      </c>
      <c r="BH198" s="33" t="n">
        <v>39940</v>
      </c>
      <c r="BI198" s="33" t="n">
        <v>40360</v>
      </c>
      <c r="BJ198" s="33" t="n">
        <v>38280</v>
      </c>
      <c r="BK198" s="33" t="n">
        <v>37480</v>
      </c>
      <c r="BL198" s="33" t="n">
        <v>38960</v>
      </c>
    </row>
    <row r="199" ht="15.95" customHeight="1" s="574">
      <c r="A199" s="68" t="inlineStr">
        <is>
          <t>6920</t>
        </is>
      </c>
      <c r="B199" s="44" t="inlineStr">
        <is>
          <t>レーザーテック</t>
        </is>
      </c>
      <c r="C199" s="669">
        <f>_xll.RssMarket("6920","安値")</f>
        <v/>
      </c>
      <c r="D199" s="661">
        <f>C199-E199</f>
        <v/>
      </c>
      <c r="E199" s="33" t="n">
        <v>54370</v>
      </c>
      <c r="F199" s="33" t="n">
        <v>53860</v>
      </c>
      <c r="G199" s="33" t="n">
        <v>51910</v>
      </c>
      <c r="H199" s="33" t="n">
        <v>45770</v>
      </c>
      <c r="I199" s="33" t="n">
        <v>46450</v>
      </c>
      <c r="J199" s="33" t="n">
        <v>45460</v>
      </c>
      <c r="K199" s="33" t="n">
        <v>41820</v>
      </c>
      <c r="L199" s="33" t="n">
        <v>37780</v>
      </c>
      <c r="M199" s="33" t="n">
        <v>39660</v>
      </c>
      <c r="N199" s="33" t="n">
        <v>38760</v>
      </c>
      <c r="O199" s="33" t="n">
        <v>41020</v>
      </c>
      <c r="P199" s="33" t="n">
        <v>41230</v>
      </c>
      <c r="Q199" s="33" t="n">
        <v>39340</v>
      </c>
      <c r="R199" s="33" t="n">
        <v>37850</v>
      </c>
      <c r="S199" s="33" t="n">
        <v>38930</v>
      </c>
      <c r="T199" s="33" t="n">
        <v>38860</v>
      </c>
      <c r="U199" s="33" t="n">
        <v>41530</v>
      </c>
      <c r="V199" s="33" t="n">
        <v>40290</v>
      </c>
      <c r="W199" s="33" t="n">
        <v>37870</v>
      </c>
      <c r="X199" s="33" t="n">
        <v>36720</v>
      </c>
      <c r="Y199" s="33" t="n">
        <v>34620</v>
      </c>
      <c r="Z199" s="33" t="n">
        <v>35550</v>
      </c>
      <c r="AA199" s="33" t="n">
        <v>38080</v>
      </c>
      <c r="AB199" s="33" t="n">
        <v>38030</v>
      </c>
      <c r="AC199" s="33" t="n">
        <v>40540</v>
      </c>
      <c r="AD199" s="33" t="n">
        <v>41400</v>
      </c>
      <c r="AE199" s="33" t="n">
        <v>42700</v>
      </c>
      <c r="AF199" s="33" t="n">
        <v>43480</v>
      </c>
      <c r="AG199" s="33" t="n">
        <v>42760</v>
      </c>
      <c r="AH199" s="33" t="n">
        <v>44380</v>
      </c>
      <c r="AI199" s="33" t="n">
        <v>40500</v>
      </c>
      <c r="AJ199" s="33" t="n">
        <v>42520</v>
      </c>
      <c r="AK199" s="33" t="n">
        <v>44060</v>
      </c>
      <c r="AL199" s="33" t="n">
        <v>45000</v>
      </c>
      <c r="AM199" s="33" t="n">
        <v>44350</v>
      </c>
      <c r="AN199" s="33" t="n">
        <v>43100</v>
      </c>
      <c r="AO199" s="33" t="n">
        <v>44110</v>
      </c>
      <c r="AP199" s="33" t="n">
        <v>42340</v>
      </c>
      <c r="AQ199" s="33" t="n">
        <v>40530</v>
      </c>
      <c r="AR199" s="33" t="n">
        <v>39950</v>
      </c>
      <c r="AS199" s="33" t="n">
        <v>40630</v>
      </c>
      <c r="AT199" s="33" t="n">
        <v>41210</v>
      </c>
      <c r="AU199" s="33" t="n">
        <v>41630</v>
      </c>
      <c r="AV199" s="33" t="n">
        <v>40480</v>
      </c>
      <c r="AW199" s="33" t="n">
        <v>39000</v>
      </c>
      <c r="AX199" s="33" t="n">
        <v>38340</v>
      </c>
      <c r="AY199" s="33" t="n">
        <v>37720</v>
      </c>
      <c r="AZ199" s="33" t="n">
        <v>36470</v>
      </c>
      <c r="BA199" s="33" t="n">
        <v>35720</v>
      </c>
      <c r="BB199" s="33" t="n">
        <v>35640</v>
      </c>
      <c r="BC199" s="33" t="n">
        <v>34510</v>
      </c>
      <c r="BD199" s="33" t="n">
        <v>33760</v>
      </c>
      <c r="BE199" s="33" t="n">
        <v>32910</v>
      </c>
      <c r="BF199" s="33" t="n">
        <v>33520</v>
      </c>
      <c r="BG199" s="33" t="n">
        <v>33800</v>
      </c>
      <c r="BH199" s="33" t="n">
        <v>33600</v>
      </c>
      <c r="BI199" s="33" t="n">
        <v>32790</v>
      </c>
      <c r="BJ199" s="33" t="n">
        <v>31200</v>
      </c>
      <c r="BK199" s="33" t="n">
        <v>31580</v>
      </c>
      <c r="BL199" s="33" t="n">
        <v>34660</v>
      </c>
    </row>
    <row r="200" ht="15.95" customHeight="1" s="574">
      <c r="A200" s="68" t="inlineStr">
        <is>
          <t>5801</t>
        </is>
      </c>
      <c r="B200" s="44" t="inlineStr">
        <is>
          <t>古河電工</t>
        </is>
      </c>
      <c r="C200" s="669">
        <f>_xll.RssMarket("5801","安値")</f>
        <v/>
      </c>
      <c r="D200" s="661">
        <f>C200-E200</f>
        <v/>
      </c>
      <c r="E200" s="33" t="n">
        <v>54280</v>
      </c>
      <c r="F200" s="33" t="n">
        <v>52760</v>
      </c>
      <c r="G200" s="33" t="n">
        <v>46290</v>
      </c>
      <c r="H200" s="33" t="n">
        <v>44900</v>
      </c>
      <c r="I200" s="33" t="n">
        <v>43580</v>
      </c>
      <c r="J200" s="33" t="n">
        <v>43970</v>
      </c>
      <c r="K200" s="33" t="n">
        <v>40870</v>
      </c>
      <c r="L200" s="33" t="n">
        <v>38080</v>
      </c>
      <c r="M200" s="33" t="n">
        <v>40220</v>
      </c>
      <c r="N200" s="33" t="n">
        <v>43600</v>
      </c>
      <c r="O200" s="33" t="n">
        <v>48120</v>
      </c>
      <c r="P200" s="33" t="n">
        <v>50050</v>
      </c>
      <c r="Q200" s="33" t="n">
        <v>52720</v>
      </c>
      <c r="R200" s="33" t="n">
        <v>48020</v>
      </c>
      <c r="S200" s="33" t="n">
        <v>49150</v>
      </c>
      <c r="T200" s="33" t="n">
        <v>50650</v>
      </c>
      <c r="U200" s="33" t="n">
        <v>55570</v>
      </c>
      <c r="V200" s="33" t="n">
        <v>55920</v>
      </c>
      <c r="W200" s="33" t="n">
        <v>51010</v>
      </c>
      <c r="X200" s="33" t="n">
        <v>49130</v>
      </c>
      <c r="Y200" s="33" t="n">
        <v>46500</v>
      </c>
      <c r="Z200" s="33" t="n">
        <v>49600</v>
      </c>
      <c r="AA200" s="33" t="n">
        <v>53740</v>
      </c>
      <c r="AB200" s="33" t="n">
        <v>53330</v>
      </c>
      <c r="AC200" s="33" t="n">
        <v>56250</v>
      </c>
      <c r="AD200" s="33" t="n">
        <v>51050</v>
      </c>
      <c r="AE200" s="33" t="n">
        <v>43660</v>
      </c>
      <c r="AF200" s="33" t="n">
        <v>43430</v>
      </c>
      <c r="AG200" s="33" t="n">
        <v>43730</v>
      </c>
      <c r="AH200" s="33" t="n">
        <v>44590</v>
      </c>
      <c r="AI200" s="33" t="n">
        <v>41190</v>
      </c>
      <c r="AJ200" s="33" t="n">
        <v>41580</v>
      </c>
      <c r="AK200" s="33" t="n">
        <v>41130</v>
      </c>
      <c r="AL200" s="33" t="n">
        <v>42090</v>
      </c>
      <c r="AM200" s="33" t="n">
        <v>42530</v>
      </c>
      <c r="AN200" s="33" t="n">
        <v>41530</v>
      </c>
      <c r="AO200" s="33" t="n">
        <v>43090</v>
      </c>
      <c r="AP200" s="33" t="n">
        <v>43600</v>
      </c>
      <c r="AQ200" s="33" t="n">
        <v>43070</v>
      </c>
      <c r="AR200" s="33" t="n">
        <v>44330</v>
      </c>
      <c r="AS200" s="33" t="n">
        <v>43500</v>
      </c>
      <c r="AT200" s="33" t="n">
        <v>44240</v>
      </c>
      <c r="AU200" s="33" t="n">
        <v>46180</v>
      </c>
      <c r="AV200" s="33" t="n">
        <v>44930</v>
      </c>
      <c r="AW200" s="33" t="n">
        <v>44350</v>
      </c>
      <c r="AX200" s="33" t="n">
        <v>41820</v>
      </c>
      <c r="AY200" s="33" t="n">
        <v>39930</v>
      </c>
      <c r="AZ200" s="33" t="n">
        <v>35770</v>
      </c>
      <c r="BA200" s="33" t="n">
        <v>36500</v>
      </c>
      <c r="BB200" s="33" t="n">
        <v>34180</v>
      </c>
      <c r="BC200" s="33" t="n">
        <v>31160</v>
      </c>
      <c r="BD200" s="33" t="n">
        <v>30280</v>
      </c>
      <c r="BE200" s="33" t="n">
        <v>28200</v>
      </c>
      <c r="BF200" s="33" t="n">
        <v>28935</v>
      </c>
      <c r="BG200" s="33" t="n">
        <v>29270</v>
      </c>
      <c r="BH200" s="33" t="n">
        <v>31710</v>
      </c>
      <c r="BI200" s="33" t="n">
        <v>30210</v>
      </c>
      <c r="BJ200" s="33" t="n">
        <v>27185</v>
      </c>
      <c r="BK200" s="33" t="n">
        <v>26850</v>
      </c>
      <c r="BL200" s="33" t="n">
        <v>28110</v>
      </c>
    </row>
    <row r="201" ht="15.95" customHeight="1" s="574">
      <c r="A201" s="68" t="inlineStr">
        <is>
          <t>6506</t>
        </is>
      </c>
      <c r="B201" s="44" t="inlineStr">
        <is>
          <t>安川電機</t>
        </is>
      </c>
      <c r="C201" s="669">
        <f>_xll.RssMarket("6506","安値")</f>
        <v/>
      </c>
      <c r="D201" s="661">
        <f>C201-E201</f>
        <v/>
      </c>
      <c r="E201" s="33" t="n">
        <v>7295</v>
      </c>
      <c r="F201" s="33" t="n">
        <v>7044</v>
      </c>
      <c r="G201" s="33" t="n">
        <v>7116</v>
      </c>
      <c r="H201" s="33" t="n">
        <v>6718</v>
      </c>
      <c r="I201" s="33" t="n">
        <v>6655</v>
      </c>
      <c r="J201" s="33" t="n">
        <v>6483</v>
      </c>
      <c r="K201" s="33" t="n">
        <v>6281</v>
      </c>
      <c r="L201" s="33" t="n">
        <v>5598</v>
      </c>
      <c r="M201" s="33" t="n">
        <v>5880</v>
      </c>
      <c r="N201" s="33" t="n">
        <v>6234</v>
      </c>
      <c r="O201" s="33" t="n">
        <v>6658</v>
      </c>
      <c r="P201" s="33" t="n">
        <v>6788</v>
      </c>
      <c r="Q201" s="33" t="n">
        <v>6888</v>
      </c>
      <c r="R201" s="33" t="n">
        <v>6484</v>
      </c>
      <c r="S201" s="33" t="n">
        <v>7049</v>
      </c>
      <c r="T201" s="33" t="n">
        <v>6860</v>
      </c>
      <c r="U201" s="33" t="n">
        <v>7085</v>
      </c>
      <c r="V201" s="33" t="n">
        <v>7316</v>
      </c>
      <c r="W201" s="33" t="n">
        <v>6740</v>
      </c>
      <c r="X201" s="33" t="n">
        <v>6229</v>
      </c>
      <c r="Y201" s="33" t="n">
        <v>6025</v>
      </c>
      <c r="Z201" s="33" t="n">
        <v>6309</v>
      </c>
      <c r="AA201" s="33" t="n">
        <v>6643</v>
      </c>
      <c r="AB201" s="33" t="n">
        <v>6895</v>
      </c>
      <c r="AC201" s="33" t="n">
        <v>6977</v>
      </c>
      <c r="AD201" s="33" t="n">
        <v>6712</v>
      </c>
      <c r="AE201" s="33" t="n">
        <v>6686</v>
      </c>
      <c r="AF201" s="33" t="n">
        <v>6240</v>
      </c>
      <c r="AG201" s="33" t="n">
        <v>5951</v>
      </c>
      <c r="AH201" s="33" t="n">
        <v>5868</v>
      </c>
      <c r="AI201" s="33" t="n">
        <v>5450</v>
      </c>
      <c r="AJ201" s="33" t="n">
        <v>5436</v>
      </c>
      <c r="AK201" s="33" t="n">
        <v>5335</v>
      </c>
      <c r="AL201" s="33" t="n">
        <v>5192</v>
      </c>
      <c r="AM201" s="33" t="n">
        <v>5106</v>
      </c>
      <c r="AN201" s="33" t="n">
        <v>5121</v>
      </c>
      <c r="AO201" s="33" t="n">
        <v>5304</v>
      </c>
      <c r="AP201" s="33" t="n">
        <v>5411</v>
      </c>
      <c r="AQ201" s="33" t="n">
        <v>5356</v>
      </c>
      <c r="AR201" s="33" t="n">
        <v>5087</v>
      </c>
      <c r="AS201" s="33" t="n">
        <v>5201</v>
      </c>
      <c r="AT201" s="33" t="n">
        <v>5194</v>
      </c>
      <c r="AU201" s="33" t="n">
        <v>5136</v>
      </c>
      <c r="AV201" s="33" t="n">
        <v>4896</v>
      </c>
      <c r="AW201" s="33" t="n">
        <v>4806</v>
      </c>
      <c r="AX201" s="33" t="n">
        <v>4637</v>
      </c>
      <c r="AY201" s="33" t="n">
        <v>4574</v>
      </c>
      <c r="AZ201" s="33" t="n">
        <v>4220</v>
      </c>
      <c r="BA201" s="33" t="n">
        <v>4304</v>
      </c>
      <c r="BB201" s="33" t="n">
        <v>4200</v>
      </c>
      <c r="BC201" s="33" t="n">
        <v>4202</v>
      </c>
      <c r="BD201" s="33" t="n">
        <v>4201</v>
      </c>
      <c r="BE201" s="33" t="n">
        <v>3987</v>
      </c>
      <c r="BF201" s="33" t="n">
        <v>4012</v>
      </c>
      <c r="BG201" s="33" t="n">
        <v>4208</v>
      </c>
      <c r="BH201" s="33" t="n">
        <v>4388</v>
      </c>
      <c r="BI201" s="33" t="n">
        <v>4482</v>
      </c>
      <c r="BJ201" s="33" t="n">
        <v>4236</v>
      </c>
      <c r="BK201" s="33" t="n">
        <v>4081</v>
      </c>
      <c r="BL201" s="33" t="n">
        <v>4426</v>
      </c>
    </row>
    <row r="202" ht="15.95" customHeight="1" s="574">
      <c r="A202" s="68" t="inlineStr">
        <is>
          <t>2768</t>
        </is>
      </c>
      <c r="B202" s="44" t="inlineStr">
        <is>
          <t>双日</t>
        </is>
      </c>
      <c r="C202" s="669">
        <f>_xll.RssMarket("2768","安値")</f>
        <v/>
      </c>
      <c r="D202" s="661">
        <f>C202-E202</f>
        <v/>
      </c>
      <c r="E202" s="33" t="n">
        <v>5226</v>
      </c>
      <c r="F202" s="33" t="n">
        <v>5278</v>
      </c>
      <c r="G202" s="33" t="n">
        <v>5285</v>
      </c>
      <c r="H202" s="33" t="n">
        <v>5239</v>
      </c>
      <c r="I202" s="33" t="n">
        <v>5250</v>
      </c>
      <c r="J202" s="33" t="n">
        <v>5223</v>
      </c>
      <c r="K202" s="33" t="n">
        <v>5011</v>
      </c>
      <c r="L202" s="33" t="n">
        <v>4944</v>
      </c>
      <c r="M202" s="33" t="n">
        <v>5040</v>
      </c>
      <c r="N202" s="33" t="n">
        <v>5165</v>
      </c>
      <c r="O202" s="33" t="n">
        <v>5125</v>
      </c>
      <c r="P202" s="33" t="n">
        <v>5095</v>
      </c>
      <c r="Q202" s="33" t="n">
        <v>5015</v>
      </c>
      <c r="R202" s="33" t="n">
        <v>5391</v>
      </c>
      <c r="S202" s="33" t="n">
        <v>5372</v>
      </c>
      <c r="T202" s="33" t="n">
        <v>5500</v>
      </c>
      <c r="U202" s="33" t="n">
        <v>5508</v>
      </c>
      <c r="V202" s="33" t="n">
        <v>5462</v>
      </c>
      <c r="W202" s="33" t="n">
        <v>5541</v>
      </c>
      <c r="X202" s="33" t="n">
        <v>5512</v>
      </c>
      <c r="Y202" s="33" t="n">
        <v>5655</v>
      </c>
      <c r="Z202" s="33" t="n">
        <v>5693</v>
      </c>
      <c r="AA202" s="33" t="n">
        <v>5837</v>
      </c>
      <c r="AB202" s="33" t="n">
        <v>5794</v>
      </c>
      <c r="AC202" s="33" t="n">
        <v>5845</v>
      </c>
      <c r="AD202" s="33" t="n">
        <v>5745</v>
      </c>
      <c r="AE202" s="33" t="n">
        <v>5628</v>
      </c>
      <c r="AF202" s="33" t="n">
        <v>5636</v>
      </c>
      <c r="AG202" s="33" t="n">
        <v>5909</v>
      </c>
      <c r="AH202" s="33" t="n">
        <v>5790</v>
      </c>
      <c r="AI202" s="33" t="n">
        <v>5845</v>
      </c>
      <c r="AJ202" s="33" t="n">
        <v>5853</v>
      </c>
      <c r="AK202" s="33" t="n">
        <v>5746</v>
      </c>
      <c r="AL202" s="33" t="n">
        <v>5870</v>
      </c>
      <c r="AM202" s="33" t="n">
        <v>5794</v>
      </c>
      <c r="AN202" s="33" t="n">
        <v>5874</v>
      </c>
      <c r="AO202" s="33" t="n">
        <v>6051</v>
      </c>
      <c r="AP202" s="33" t="n">
        <v>6013</v>
      </c>
      <c r="AQ202" s="33" t="n">
        <v>6077</v>
      </c>
      <c r="AR202" s="33" t="n">
        <v>6145</v>
      </c>
      <c r="AS202" s="33" t="n">
        <v>6118</v>
      </c>
      <c r="AT202" s="33" t="n">
        <v>6235</v>
      </c>
      <c r="AU202" s="33" t="n">
        <v>6321</v>
      </c>
      <c r="AV202" s="33" t="n">
        <v>6374</v>
      </c>
      <c r="AW202" s="33" t="n">
        <v>6454</v>
      </c>
      <c r="AX202" s="33" t="n">
        <v>6508</v>
      </c>
      <c r="AY202" s="33" t="n">
        <v>6340</v>
      </c>
      <c r="AZ202" s="33" t="n">
        <v>6328</v>
      </c>
      <c r="BA202" s="33" t="n">
        <v>6334</v>
      </c>
      <c r="BB202" s="33" t="n">
        <v>6258</v>
      </c>
      <c r="BC202" s="33" t="n">
        <v>6271</v>
      </c>
      <c r="BD202" s="33" t="n">
        <v>6047</v>
      </c>
      <c r="BE202" s="33" t="n">
        <v>6031</v>
      </c>
      <c r="BF202" s="33" t="n">
        <v>6306</v>
      </c>
      <c r="BG202" s="33" t="n">
        <v>6274</v>
      </c>
      <c r="BH202" s="33" t="n">
        <v>6292</v>
      </c>
      <c r="BI202" s="33" t="n">
        <v>6073</v>
      </c>
      <c r="BJ202" s="33" t="n">
        <v>5850</v>
      </c>
      <c r="BK202" s="33" t="n">
        <v>6215</v>
      </c>
      <c r="BL202" s="33" t="n">
        <v>6327</v>
      </c>
    </row>
    <row r="203" ht="15.95" customHeight="1" s="574">
      <c r="A203" s="68" t="inlineStr">
        <is>
          <t>6305</t>
        </is>
      </c>
      <c r="B203" s="44" t="inlineStr">
        <is>
          <t>日立建機</t>
        </is>
      </c>
      <c r="C203" s="669">
        <f>_xll.RssMarket("6305","安値")</f>
        <v/>
      </c>
      <c r="D203" s="661">
        <f>C203-E203</f>
        <v/>
      </c>
      <c r="E203" s="33" t="n">
        <v>5307</v>
      </c>
      <c r="F203" s="33" t="n">
        <v>5380</v>
      </c>
      <c r="G203" s="33" t="n">
        <v>5353</v>
      </c>
      <c r="H203" s="33" t="n">
        <v>5306</v>
      </c>
      <c r="I203" s="33" t="n">
        <v>5395</v>
      </c>
      <c r="J203" s="33" t="n">
        <v>5414</v>
      </c>
      <c r="K203" s="33" t="n">
        <v>5191</v>
      </c>
      <c r="L203" s="33" t="n">
        <v>5034</v>
      </c>
      <c r="M203" s="33" t="n">
        <v>5196</v>
      </c>
      <c r="N203" s="33" t="n">
        <v>5177</v>
      </c>
      <c r="O203" s="33" t="n">
        <v>5340</v>
      </c>
      <c r="P203" s="33" t="n">
        <v>5273</v>
      </c>
      <c r="Q203" s="33" t="n">
        <v>5139</v>
      </c>
      <c r="R203" s="33" t="n">
        <v>4890</v>
      </c>
      <c r="S203" s="33" t="n">
        <v>5142</v>
      </c>
      <c r="T203" s="33" t="n">
        <v>5109</v>
      </c>
      <c r="U203" s="33" t="n">
        <v>5172</v>
      </c>
      <c r="V203" s="33" t="n">
        <v>4991</v>
      </c>
      <c r="W203" s="33" t="n">
        <v>4960</v>
      </c>
      <c r="X203" s="33" t="n">
        <v>4939</v>
      </c>
      <c r="Y203" s="33" t="n">
        <v>4882</v>
      </c>
      <c r="Z203" s="33" t="n">
        <v>5001</v>
      </c>
      <c r="AA203" s="33" t="n">
        <v>5052</v>
      </c>
      <c r="AB203" s="33" t="n">
        <v>5205</v>
      </c>
      <c r="AC203" s="33" t="n">
        <v>5298</v>
      </c>
      <c r="AD203" s="33" t="n">
        <v>5143</v>
      </c>
      <c r="AE203" s="33" t="n">
        <v>5180</v>
      </c>
      <c r="AF203" s="33" t="n">
        <v>5607</v>
      </c>
      <c r="AG203" s="33" t="n">
        <v>5494</v>
      </c>
      <c r="AH203" s="33" t="n">
        <v>5407</v>
      </c>
      <c r="AI203" s="33" t="n">
        <v>5419</v>
      </c>
      <c r="AJ203" s="33" t="n">
        <v>5422</v>
      </c>
      <c r="AK203" s="33" t="n">
        <v>5485</v>
      </c>
      <c r="AL203" s="33" t="n">
        <v>5223</v>
      </c>
      <c r="AM203" s="33" t="n">
        <v>5398</v>
      </c>
      <c r="AN203" s="33" t="n">
        <v>5419</v>
      </c>
      <c r="AO203" s="33" t="n">
        <v>5361</v>
      </c>
      <c r="AP203" s="33" t="n">
        <v>5428</v>
      </c>
      <c r="AQ203" s="33" t="n">
        <v>5420</v>
      </c>
      <c r="AR203" s="33" t="n">
        <v>5365</v>
      </c>
      <c r="AS203" s="33" t="n">
        <v>5522</v>
      </c>
      <c r="AT203" s="33" t="n">
        <v>5579</v>
      </c>
      <c r="AU203" s="33" t="n">
        <v>5595</v>
      </c>
      <c r="AV203" s="33" t="n">
        <v>5621</v>
      </c>
      <c r="AW203" s="33" t="n">
        <v>5650</v>
      </c>
      <c r="AX203" s="33" t="n">
        <v>5669</v>
      </c>
      <c r="AY203" s="33" t="n">
        <v>5634</v>
      </c>
      <c r="AZ203" s="33" t="n">
        <v>5294</v>
      </c>
      <c r="BA203" s="33" t="n">
        <v>5373</v>
      </c>
      <c r="BB203" s="33" t="n">
        <v>5404</v>
      </c>
      <c r="BC203" s="33" t="n">
        <v>5367</v>
      </c>
      <c r="BD203" s="33" t="n">
        <v>5418</v>
      </c>
      <c r="BE203" s="33" t="n">
        <v>5148</v>
      </c>
      <c r="BF203" s="33" t="n">
        <v>5100</v>
      </c>
      <c r="BG203" s="33" t="n">
        <v>5447</v>
      </c>
      <c r="BH203" s="33" t="n">
        <v>5460</v>
      </c>
      <c r="BI203" s="33" t="n">
        <v>5494</v>
      </c>
      <c r="BJ203" s="33" t="n">
        <v>5257</v>
      </c>
      <c r="BK203" s="33" t="n">
        <v>5082</v>
      </c>
      <c r="BL203" s="33" t="n">
        <v>5420</v>
      </c>
    </row>
    <row r="204" ht="15.95" customHeight="1" s="574">
      <c r="A204" s="68" t="inlineStr">
        <is>
          <t>8015</t>
        </is>
      </c>
      <c r="B204" s="44" t="inlineStr">
        <is>
          <t>豊田通商</t>
        </is>
      </c>
      <c r="C204" s="669">
        <f>_xll.RssMarket("8015","安値")</f>
        <v/>
      </c>
      <c r="D204" s="661">
        <f>C204-E204</f>
        <v/>
      </c>
      <c r="E204" s="33" t="n">
        <v>6055</v>
      </c>
      <c r="F204" s="33" t="n">
        <v>6053</v>
      </c>
      <c r="G204" s="33" t="n">
        <v>6217</v>
      </c>
      <c r="H204" s="33" t="n">
        <v>6295</v>
      </c>
      <c r="I204" s="33" t="n">
        <v>6394</v>
      </c>
      <c r="J204" s="33" t="n">
        <v>6410</v>
      </c>
      <c r="K204" s="33" t="n">
        <v>6112</v>
      </c>
      <c r="L204" s="33" t="n">
        <v>5816</v>
      </c>
      <c r="M204" s="33" t="n">
        <v>5984</v>
      </c>
      <c r="N204" s="33" t="n">
        <v>6114</v>
      </c>
      <c r="O204" s="33" t="n">
        <v>6388</v>
      </c>
      <c r="P204" s="33" t="n">
        <v>6372</v>
      </c>
      <c r="Q204" s="33" t="n">
        <v>6431</v>
      </c>
      <c r="R204" s="33" t="n">
        <v>6369</v>
      </c>
      <c r="S204" s="33" t="n">
        <v>6683</v>
      </c>
      <c r="T204" s="33" t="n">
        <v>6574</v>
      </c>
      <c r="U204" s="33" t="n">
        <v>6790</v>
      </c>
      <c r="V204" s="33" t="n">
        <v>6852</v>
      </c>
      <c r="W204" s="33" t="n">
        <v>6781</v>
      </c>
      <c r="X204" s="33" t="n">
        <v>6770</v>
      </c>
      <c r="Y204" s="33" t="n">
        <v>6700</v>
      </c>
      <c r="Z204" s="33" t="n">
        <v>6917</v>
      </c>
      <c r="AA204" s="33" t="n">
        <v>6976</v>
      </c>
      <c r="AB204" s="33" t="n">
        <v>7351</v>
      </c>
      <c r="AC204" s="33" t="n">
        <v>7202</v>
      </c>
      <c r="AD204" s="33" t="n">
        <v>7130</v>
      </c>
      <c r="AE204" s="33" t="n">
        <v>7057</v>
      </c>
      <c r="AF204" s="33" t="n">
        <v>6723</v>
      </c>
      <c r="AG204" s="33" t="n">
        <v>6699</v>
      </c>
      <c r="AH204" s="33" t="n">
        <v>6691</v>
      </c>
      <c r="AI204" s="33" t="n">
        <v>6329</v>
      </c>
      <c r="AJ204" s="33" t="n">
        <v>5921</v>
      </c>
      <c r="AK204" s="33" t="n">
        <v>6310</v>
      </c>
      <c r="AL204" s="33" t="n">
        <v>5998</v>
      </c>
      <c r="AM204" s="33" t="n">
        <v>6044</v>
      </c>
      <c r="AN204" s="33" t="n">
        <v>6060</v>
      </c>
      <c r="AO204" s="33" t="n">
        <v>6049</v>
      </c>
      <c r="AP204" s="33" t="n">
        <v>6278</v>
      </c>
      <c r="AQ204" s="33" t="n">
        <v>6275</v>
      </c>
      <c r="AR204" s="33" t="n">
        <v>6202</v>
      </c>
      <c r="AS204" s="33" t="n">
        <v>6274</v>
      </c>
      <c r="AT204" s="33" t="n">
        <v>6218</v>
      </c>
      <c r="AU204" s="33" t="n">
        <v>6376</v>
      </c>
      <c r="AV204" s="33" t="n">
        <v>6386</v>
      </c>
      <c r="AW204" s="33" t="n">
        <v>6566</v>
      </c>
      <c r="AX204" s="33" t="n">
        <v>6525</v>
      </c>
      <c r="AY204" s="33" t="n">
        <v>6361</v>
      </c>
      <c r="AZ204" s="33" t="n">
        <v>5974</v>
      </c>
      <c r="BA204" s="33" t="n">
        <v>6005</v>
      </c>
      <c r="BB204" s="33" t="n">
        <v>6047</v>
      </c>
      <c r="BC204" s="33" t="n">
        <v>6061</v>
      </c>
      <c r="BD204" s="33" t="n">
        <v>6216</v>
      </c>
      <c r="BE204" s="33" t="n">
        <v>5817</v>
      </c>
      <c r="BF204" s="33" t="n">
        <v>5744</v>
      </c>
      <c r="BG204" s="33" t="n">
        <v>6072</v>
      </c>
      <c r="BH204" s="33" t="n">
        <v>6118</v>
      </c>
      <c r="BI204" s="33" t="n">
        <v>6183</v>
      </c>
      <c r="BJ204" s="33" t="n">
        <v>5952</v>
      </c>
      <c r="BK204" s="33" t="n">
        <v>5827</v>
      </c>
      <c r="BL204" s="33" t="n">
        <v>6275</v>
      </c>
    </row>
    <row r="205">
      <c r="A205" s="65" t="inlineStr">
        <is>
          <t>6758</t>
        </is>
      </c>
      <c r="B205" s="570" t="inlineStr">
        <is>
          <t>ソニーグループ</t>
        </is>
      </c>
      <c r="C205" s="660">
        <f>_xll.RssMarket("6758","安値")</f>
        <v/>
      </c>
      <c r="D205" s="661">
        <f>C205-E205</f>
        <v/>
      </c>
      <c r="E205" s="2" t="n">
        <v>3116</v>
      </c>
      <c r="F205" s="2" t="n">
        <v>3113</v>
      </c>
      <c r="G205" s="2" t="n">
        <v>3215</v>
      </c>
      <c r="H205" s="2" t="n">
        <v>3258</v>
      </c>
      <c r="I205" s="2" t="n">
        <v>3226</v>
      </c>
      <c r="J205" s="2" t="n">
        <v>3290</v>
      </c>
      <c r="K205" s="2" t="n">
        <v>3246</v>
      </c>
      <c r="L205" s="2" t="n">
        <v>3312</v>
      </c>
      <c r="M205" s="2" t="n">
        <v>3347</v>
      </c>
      <c r="N205" s="2" t="n">
        <v>3456</v>
      </c>
      <c r="O205" s="2" t="n">
        <v>3559</v>
      </c>
      <c r="P205" s="2" t="n">
        <v>3505</v>
      </c>
      <c r="Q205" s="2" t="n">
        <v>3558</v>
      </c>
      <c r="R205" s="2" t="n">
        <v>3562</v>
      </c>
      <c r="S205" s="2" t="n">
        <v>3419</v>
      </c>
      <c r="T205" s="2" t="n">
        <v>3384</v>
      </c>
      <c r="U205" s="2" t="n">
        <v>3448</v>
      </c>
      <c r="V205" s="2" t="n">
        <v>3532</v>
      </c>
      <c r="W205" s="2" t="n">
        <v>3458</v>
      </c>
      <c r="X205" s="2" t="n">
        <v>3518</v>
      </c>
      <c r="Y205" s="2" t="n">
        <v>3555</v>
      </c>
      <c r="Z205" s="2" t="n">
        <v>3596</v>
      </c>
      <c r="AA205" s="2" t="n">
        <v>3571</v>
      </c>
      <c r="AB205" s="2" t="n">
        <v>3529</v>
      </c>
      <c r="AC205" s="2" t="n">
        <v>3410</v>
      </c>
      <c r="AD205" s="2" t="n">
        <v>3589</v>
      </c>
      <c r="AE205" s="2" t="n">
        <v>3368</v>
      </c>
      <c r="AF205" s="2" t="n">
        <v>3328</v>
      </c>
      <c r="AG205" s="2" t="n">
        <v>6699</v>
      </c>
      <c r="AH205" s="2" t="n">
        <v>6691</v>
      </c>
      <c r="AI205" s="2" t="n">
        <v>6329</v>
      </c>
      <c r="AJ205" s="2" t="n">
        <v>5921</v>
      </c>
      <c r="AK205" s="2" t="n">
        <v>6310</v>
      </c>
      <c r="AL205" s="2" t="n">
        <v>5998</v>
      </c>
      <c r="AM205" s="2" t="n">
        <v>6044</v>
      </c>
      <c r="AN205" s="2" t="n">
        <v>6060</v>
      </c>
      <c r="AO205" s="2" t="n">
        <v>6049</v>
      </c>
      <c r="AP205" s="2" t="n">
        <v>6278</v>
      </c>
      <c r="AQ205" s="2" t="n">
        <v>6275</v>
      </c>
      <c r="AR205" s="2" t="n">
        <v>6202</v>
      </c>
      <c r="AS205" s="2" t="n">
        <v>6274</v>
      </c>
      <c r="AT205" s="2" t="n">
        <v>6218</v>
      </c>
      <c r="AU205" s="2" t="n">
        <v>6376</v>
      </c>
      <c r="AV205" s="2" t="n">
        <v>6386</v>
      </c>
      <c r="AW205" s="2" t="n">
        <v>6566</v>
      </c>
      <c r="AX205" s="2" t="n">
        <v>6525</v>
      </c>
      <c r="AY205" s="2" t="n">
        <v>6361</v>
      </c>
      <c r="AZ205" s="2" t="n">
        <v>5974</v>
      </c>
      <c r="BA205" s="2" t="n">
        <v>6005</v>
      </c>
      <c r="BB205" s="2" t="n">
        <v>6047</v>
      </c>
      <c r="BC205" s="2" t="n">
        <v>6061</v>
      </c>
      <c r="BD205" s="2" t="n">
        <v>6216</v>
      </c>
      <c r="BE205" s="2" t="n">
        <v>5817</v>
      </c>
      <c r="BF205" s="2" t="n">
        <v>5744</v>
      </c>
      <c r="BG205" s="2" t="n">
        <v>6072</v>
      </c>
      <c r="BH205" s="2" t="n">
        <v>6118</v>
      </c>
      <c r="BI205" s="2" t="n">
        <v>6183</v>
      </c>
      <c r="BJ205" s="2" t="n">
        <v>5952</v>
      </c>
      <c r="BK205" s="2" t="n">
        <v>5827</v>
      </c>
      <c r="BL205" s="2" t="n">
        <v>6275</v>
      </c>
    </row>
    <row r="206">
      <c r="A206" s="65" t="inlineStr">
        <is>
          <t>9101</t>
        </is>
      </c>
      <c r="B206" s="570" t="inlineStr">
        <is>
          <t>日本郵船</t>
        </is>
      </c>
      <c r="C206" s="660">
        <f>_xll.RssMarket("9101","安値")</f>
        <v/>
      </c>
      <c r="D206" s="661">
        <f>C206-E206</f>
        <v/>
      </c>
      <c r="E206" s="2" t="n">
        <v>5093</v>
      </c>
      <c r="F206" s="2" t="n">
        <v>5144</v>
      </c>
      <c r="G206" s="2" t="n">
        <v>5210</v>
      </c>
      <c r="H206" s="2" t="n">
        <v>5281</v>
      </c>
      <c r="I206" s="2" t="n">
        <v>5427</v>
      </c>
      <c r="J206" s="2" t="n">
        <v>5466</v>
      </c>
      <c r="K206" s="2" t="n">
        <v>5588</v>
      </c>
      <c r="L206" s="2" t="n">
        <v>5556</v>
      </c>
      <c r="M206" s="2" t="n">
        <v>5520</v>
      </c>
      <c r="N206" s="2" t="n">
        <v>5536</v>
      </c>
      <c r="O206" s="2" t="n">
        <v>5590</v>
      </c>
      <c r="P206" s="2" t="n">
        <v>5388</v>
      </c>
      <c r="Q206" s="2" t="n">
        <v>5250</v>
      </c>
      <c r="R206" s="2" t="n">
        <v>5208</v>
      </c>
      <c r="S206" s="2" t="n">
        <v>5277</v>
      </c>
      <c r="T206" s="2" t="n">
        <v>5252</v>
      </c>
      <c r="U206" s="2" t="n">
        <v>5190</v>
      </c>
      <c r="V206" s="2" t="n">
        <v>5317</v>
      </c>
      <c r="W206" s="2" t="n">
        <v>5362</v>
      </c>
      <c r="X206" s="2" t="n">
        <v>5497</v>
      </c>
      <c r="Y206" s="2" t="n">
        <v>5483</v>
      </c>
      <c r="Z206" s="2" t="n">
        <v>5485</v>
      </c>
      <c r="AA206" s="2" t="n">
        <v>5503</v>
      </c>
      <c r="AB206" s="2" t="n">
        <v>5356</v>
      </c>
      <c r="AC206" s="2" t="n">
        <v>5310</v>
      </c>
      <c r="AD206" s="2" t="n">
        <v>5262</v>
      </c>
      <c r="AE206" s="2" t="n">
        <v>5301</v>
      </c>
      <c r="AF206" s="2" t="n">
        <v>5381</v>
      </c>
      <c r="AG206" s="2" t="n">
        <v>5478</v>
      </c>
      <c r="AH206" s="2" t="n">
        <v>5474</v>
      </c>
      <c r="AI206" s="2" t="n">
        <v>5541</v>
      </c>
      <c r="AJ206" s="2" t="n">
        <v>5552</v>
      </c>
      <c r="AK206" s="2" t="n">
        <v>5590</v>
      </c>
      <c r="AL206" s="2" t="n">
        <v>5580</v>
      </c>
      <c r="AM206" s="2" t="n">
        <v>5825</v>
      </c>
      <c r="AN206" s="2" t="n">
        <v>5740</v>
      </c>
      <c r="AO206" s="2" t="n">
        <v>5808</v>
      </c>
      <c r="AP206" s="2" t="n">
        <v>5850</v>
      </c>
      <c r="AQ206" s="2" t="n">
        <v>5870</v>
      </c>
      <c r="AR206" s="2" t="n">
        <v>6052</v>
      </c>
      <c r="AS206" s="2" t="n">
        <v>5989</v>
      </c>
      <c r="AT206" s="2" t="n">
        <v>6013</v>
      </c>
      <c r="AU206" s="2" t="n">
        <v>6045</v>
      </c>
      <c r="AV206" s="2" t="n">
        <v>6074</v>
      </c>
      <c r="AW206" s="2" t="n">
        <v>6128</v>
      </c>
      <c r="AX206" s="2" t="n">
        <v>6127</v>
      </c>
      <c r="AY206" s="2" t="n">
        <v>6024</v>
      </c>
      <c r="AZ206" s="2" t="n">
        <v>6252</v>
      </c>
      <c r="BA206" s="2" t="n">
        <v>6161</v>
      </c>
      <c r="BB206" s="2" t="n">
        <v>6117</v>
      </c>
      <c r="BC206" s="2" t="n">
        <v>6074</v>
      </c>
      <c r="BD206" s="2" t="n">
        <v>5769</v>
      </c>
      <c r="BE206" s="2" t="n">
        <v>5660</v>
      </c>
      <c r="BF206" s="2" t="n">
        <v>5586</v>
      </c>
      <c r="BG206" s="2" t="n">
        <v>5729</v>
      </c>
      <c r="BH206" s="2" t="n">
        <v>5708</v>
      </c>
      <c r="BI206" s="2" t="n">
        <v>5658</v>
      </c>
      <c r="BJ206" s="2" t="n">
        <v>5642</v>
      </c>
      <c r="BK206" s="2" t="n">
        <v>5637</v>
      </c>
      <c r="BL206" s="2" t="n">
        <v>6100</v>
      </c>
    </row>
    <row r="207">
      <c r="A207" s="65" t="inlineStr">
        <is>
          <t>7011</t>
        </is>
      </c>
      <c r="B207" s="570" t="inlineStr">
        <is>
          <t>三菱重工業</t>
        </is>
      </c>
      <c r="C207" s="660">
        <f>_xll.RssMarket("7011","安値")</f>
        <v/>
      </c>
      <c r="D207" s="661">
        <f>C207-E207</f>
        <v/>
      </c>
      <c r="E207" s="2" t="n">
        <v>3825</v>
      </c>
      <c r="F207" s="2" t="n">
        <v>3830</v>
      </c>
      <c r="G207" s="2" t="n">
        <v>3943</v>
      </c>
      <c r="H207" s="2" t="n">
        <v>3796</v>
      </c>
      <c r="I207" s="2" t="n">
        <v>3670</v>
      </c>
      <c r="J207" s="2" t="n">
        <v>3591</v>
      </c>
      <c r="K207" s="2" t="n">
        <v>3486</v>
      </c>
      <c r="L207" s="2" t="n">
        <v>3404</v>
      </c>
      <c r="M207" s="2" t="n">
        <v>3548</v>
      </c>
      <c r="N207" s="2" t="n">
        <v>3644</v>
      </c>
      <c r="O207" s="2" t="n">
        <v>3688</v>
      </c>
      <c r="P207" s="2" t="n">
        <v>3551</v>
      </c>
      <c r="Q207" s="2" t="n">
        <v>3481</v>
      </c>
      <c r="R207" s="2" t="n">
        <v>3415</v>
      </c>
      <c r="S207" s="2" t="n">
        <v>3744</v>
      </c>
      <c r="T207" s="2" t="n">
        <v>3766</v>
      </c>
      <c r="U207" s="2" t="n">
        <v>3863</v>
      </c>
      <c r="V207" s="2" t="n">
        <v>3860</v>
      </c>
      <c r="W207" s="2" t="n">
        <v>3905</v>
      </c>
      <c r="X207" s="2" t="n">
        <v>3885</v>
      </c>
      <c r="Y207" s="2" t="n">
        <v>3940</v>
      </c>
      <c r="Z207" s="2" t="n">
        <v>4080</v>
      </c>
      <c r="AA207" s="2" t="n">
        <v>4060</v>
      </c>
      <c r="AB207" s="2" t="n">
        <v>4027</v>
      </c>
      <c r="AC207" s="2" t="n">
        <v>4096</v>
      </c>
      <c r="AD207" s="2" t="n">
        <v>4271</v>
      </c>
      <c r="AE207" s="2" t="n">
        <v>4084</v>
      </c>
      <c r="AF207" s="2" t="n">
        <v>4326</v>
      </c>
      <c r="AG207" s="2" t="n">
        <v>4451</v>
      </c>
      <c r="AH207" s="2" t="n">
        <v>4483</v>
      </c>
      <c r="AI207" s="2" t="n">
        <v>4543</v>
      </c>
      <c r="AJ207" s="2" t="n">
        <v>4519</v>
      </c>
      <c r="AK207" s="2" t="n">
        <v>4676</v>
      </c>
      <c r="AL207" s="2" t="n">
        <v>4590</v>
      </c>
      <c r="AM207" s="2" t="n">
        <v>4704</v>
      </c>
      <c r="AN207" s="2" t="n">
        <v>4571</v>
      </c>
      <c r="AO207" s="2" t="n">
        <v>4362</v>
      </c>
      <c r="AP207" s="2" t="n">
        <v>4381</v>
      </c>
      <c r="AQ207" s="2" t="n">
        <v>4504</v>
      </c>
      <c r="AR207" s="2" t="n">
        <v>4371</v>
      </c>
      <c r="AS207" s="2" t="n">
        <v>4496</v>
      </c>
      <c r="AT207" s="2" t="n">
        <v>4541</v>
      </c>
      <c r="AU207" s="2" t="n">
        <v>4715</v>
      </c>
      <c r="AV207" s="2" t="n">
        <v>4675</v>
      </c>
      <c r="AW207" s="2" t="n">
        <v>4704</v>
      </c>
      <c r="AX207" s="2" t="n">
        <v>4742</v>
      </c>
      <c r="AY207" s="2" t="n">
        <v>4758</v>
      </c>
      <c r="AZ207" s="2" t="n">
        <v>4746</v>
      </c>
      <c r="BA207" s="2" t="n">
        <v>4712</v>
      </c>
      <c r="BB207" s="2" t="n">
        <v>4762</v>
      </c>
      <c r="BC207" s="2" t="n">
        <v>4671</v>
      </c>
      <c r="BD207" s="2" t="n">
        <v>4393</v>
      </c>
      <c r="BE207" s="2" t="n">
        <v>4204</v>
      </c>
      <c r="BF207" s="2" t="n">
        <v>4299</v>
      </c>
      <c r="BG207" s="2" t="n">
        <v>4452</v>
      </c>
      <c r="BH207" s="2" t="n">
        <v>4488</v>
      </c>
      <c r="BI207" s="2" t="n">
        <v>4480</v>
      </c>
      <c r="BJ207" s="2" t="n">
        <v>4373</v>
      </c>
      <c r="BK207" s="2" t="n">
        <v>4491</v>
      </c>
      <c r="BL207" s="2" t="n">
        <v>4848</v>
      </c>
    </row>
    <row r="208">
      <c r="A208" s="65" t="inlineStr">
        <is>
          <t>1812</t>
        </is>
      </c>
      <c r="B208" s="570" t="inlineStr">
        <is>
          <t>鹿島建設</t>
        </is>
      </c>
      <c r="C208" s="660">
        <f>_xll.RssMarket("1812","安値")</f>
        <v/>
      </c>
      <c r="D208" s="661">
        <f>C208-E208</f>
        <v/>
      </c>
      <c r="E208" s="2" t="n">
        <v>5857</v>
      </c>
      <c r="F208" s="2" t="n">
        <v>5903</v>
      </c>
      <c r="G208" s="2" t="n">
        <v>5910</v>
      </c>
      <c r="H208" s="2" t="n">
        <v>5871</v>
      </c>
      <c r="I208" s="2" t="n">
        <v>5890</v>
      </c>
      <c r="J208" s="2" t="n">
        <v>5778</v>
      </c>
      <c r="K208" s="2" t="n">
        <v>5515</v>
      </c>
      <c r="L208" s="2" t="n">
        <v>5363</v>
      </c>
      <c r="M208" s="2" t="n">
        <v>5480</v>
      </c>
      <c r="N208" s="2" t="n">
        <v>5296</v>
      </c>
      <c r="O208" s="2" t="n">
        <v>5425</v>
      </c>
      <c r="P208" s="2" t="n">
        <v>5410</v>
      </c>
      <c r="Q208" s="2" t="n">
        <v>5470</v>
      </c>
      <c r="R208" s="2" t="n">
        <v>5401</v>
      </c>
      <c r="S208" s="2" t="n">
        <v>5745</v>
      </c>
      <c r="T208" s="2" t="n">
        <v>5725</v>
      </c>
      <c r="U208" s="2" t="n">
        <v>5754</v>
      </c>
      <c r="V208" s="2" t="n">
        <v>5546</v>
      </c>
      <c r="W208" s="2" t="n">
        <v>5451</v>
      </c>
      <c r="X208" s="2" t="n">
        <v>5562</v>
      </c>
      <c r="Y208" s="2" t="n">
        <v>5518</v>
      </c>
      <c r="Z208" s="2" t="n">
        <v>5685</v>
      </c>
      <c r="AA208" s="2" t="n">
        <v>5545</v>
      </c>
      <c r="AB208" s="2" t="n">
        <v>5812</v>
      </c>
      <c r="AC208" s="2" t="n">
        <v>6152</v>
      </c>
      <c r="AD208" s="2" t="n">
        <v>6327</v>
      </c>
      <c r="AE208" s="2" t="n">
        <v>6185</v>
      </c>
      <c r="AF208" s="2" t="n">
        <v>6001</v>
      </c>
      <c r="AG208" s="2" t="n">
        <v>6030</v>
      </c>
      <c r="AH208" s="2" t="n">
        <v>6110</v>
      </c>
      <c r="AI208" s="2" t="n">
        <v>6061</v>
      </c>
      <c r="AJ208" s="2" t="n">
        <v>6031</v>
      </c>
      <c r="AK208" s="2" t="n">
        <v>6037</v>
      </c>
      <c r="AL208" s="2" t="n">
        <v>5793</v>
      </c>
      <c r="AM208" s="2" t="n">
        <v>5843</v>
      </c>
      <c r="AN208" s="2" t="n">
        <v>5821</v>
      </c>
      <c r="AO208" s="2" t="n">
        <v>5871</v>
      </c>
      <c r="AP208" s="2" t="n">
        <v>6015</v>
      </c>
      <c r="AQ208" s="2" t="n">
        <v>5962</v>
      </c>
      <c r="AR208" s="2" t="n">
        <v>5891</v>
      </c>
      <c r="AS208" s="2" t="n">
        <v>6017</v>
      </c>
      <c r="AT208" s="2" t="n">
        <v>6104</v>
      </c>
      <c r="AU208" s="2" t="n">
        <v>6130</v>
      </c>
      <c r="AV208" s="2" t="n">
        <v>6103</v>
      </c>
      <c r="AW208" s="2" t="n">
        <v>6187</v>
      </c>
      <c r="AX208" s="2" t="n">
        <v>6278</v>
      </c>
      <c r="AY208" s="2" t="n">
        <v>6200</v>
      </c>
      <c r="AZ208" s="2" t="n">
        <v>6007</v>
      </c>
      <c r="BA208" s="2" t="n">
        <v>5993</v>
      </c>
      <c r="BB208" s="2" t="n">
        <v>6054</v>
      </c>
      <c r="BC208" s="2" t="n">
        <v>6039</v>
      </c>
      <c r="BD208" s="2" t="n">
        <v>6056</v>
      </c>
      <c r="BE208" s="2" t="n">
        <v>5751</v>
      </c>
      <c r="BF208" s="2" t="n">
        <v>5682</v>
      </c>
      <c r="BG208" s="2" t="n">
        <v>6013</v>
      </c>
      <c r="BH208" s="2" t="n">
        <v>6015</v>
      </c>
      <c r="BI208" s="2" t="n">
        <v>6037</v>
      </c>
      <c r="BJ208" s="2" t="n">
        <v>5740</v>
      </c>
      <c r="BK208" s="2" t="n">
        <v>5647</v>
      </c>
      <c r="BL208" s="2" t="n">
        <v>6099</v>
      </c>
    </row>
    <row r="209">
      <c r="A209" s="65" t="inlineStr">
        <is>
          <t>6861</t>
        </is>
      </c>
      <c r="B209" s="570">
        <f>銘柄管理!C209</f>
        <v/>
      </c>
      <c r="C209" s="660">
        <f>_xll.RssMarket("6861","安値")</f>
        <v/>
      </c>
      <c r="D209" s="661" t="n"/>
      <c r="E209" s="2" t="n">
        <v>77000</v>
      </c>
      <c r="F209" s="2" t="n">
        <v>75810</v>
      </c>
      <c r="G209" s="2" t="n">
        <v>76420</v>
      </c>
      <c r="H209" s="2" t="n">
        <v>73490</v>
      </c>
      <c r="I209" s="2" t="n">
        <v>74810</v>
      </c>
      <c r="J209" s="2" t="n">
        <v>74410</v>
      </c>
      <c r="K209" s="2" t="n">
        <v>71700</v>
      </c>
      <c r="L209" s="2" t="n">
        <v>69000</v>
      </c>
      <c r="M209" s="2" t="n">
        <v>72020</v>
      </c>
      <c r="N209" s="2" t="n">
        <v>73000</v>
      </c>
      <c r="O209" s="2" t="n">
        <v>77400</v>
      </c>
      <c r="P209" s="2" t="n">
        <v>79020</v>
      </c>
      <c r="Q209" s="2" t="n">
        <v>78410</v>
      </c>
      <c r="R209" s="2" t="n">
        <v>77510</v>
      </c>
      <c r="S209" s="2" t="n">
        <v>79060</v>
      </c>
      <c r="T209" s="2" t="n">
        <v>74270</v>
      </c>
      <c r="U209" s="2" t="n">
        <v>75390</v>
      </c>
      <c r="V209" s="2" t="n">
        <v>77690</v>
      </c>
      <c r="W209" s="2" t="n">
        <v>77880</v>
      </c>
      <c r="X209" s="2" t="n">
        <v>75250</v>
      </c>
      <c r="Y209" s="2" t="n">
        <v>72310</v>
      </c>
      <c r="Z209" s="2" t="n">
        <v>74910</v>
      </c>
      <c r="AA209" s="2" t="n">
        <v>75540</v>
      </c>
      <c r="AB209" s="2" t="n">
        <v>76230</v>
      </c>
      <c r="AC209" s="2" t="n">
        <v>77310</v>
      </c>
      <c r="AD209" s="2" t="n">
        <v>78100</v>
      </c>
      <c r="AE209" s="2" t="n">
        <v>78740</v>
      </c>
      <c r="AF209" s="2" t="n">
        <v>81670</v>
      </c>
      <c r="AG209" s="2" t="n">
        <v>81010</v>
      </c>
      <c r="AH209" s="2" t="n">
        <v>78960</v>
      </c>
      <c r="AI209" s="2" t="n">
        <v>72470</v>
      </c>
      <c r="AJ209" s="2" t="n">
        <v>71070</v>
      </c>
      <c r="AK209" s="2" t="n">
        <v>72930</v>
      </c>
      <c r="AL209" s="2" t="n">
        <v>72730</v>
      </c>
      <c r="AM209" s="2" t="n">
        <v>63000</v>
      </c>
      <c r="AN209" s="2" t="n">
        <v>63090</v>
      </c>
      <c r="AO209" s="2" t="n">
        <v>62820</v>
      </c>
      <c r="AP209" s="2" t="n">
        <v>63170</v>
      </c>
      <c r="AQ209" s="2" t="n">
        <v>63000</v>
      </c>
      <c r="AR209" s="2" t="n">
        <v>62800</v>
      </c>
      <c r="AS209" s="2" t="n">
        <v>62530</v>
      </c>
      <c r="AT209" s="2" t="n">
        <v>61420</v>
      </c>
      <c r="AU209" s="2" t="n">
        <v>62740</v>
      </c>
      <c r="AV209" s="2" t="n">
        <v>61350</v>
      </c>
      <c r="AW209" s="2" t="n">
        <v>61520</v>
      </c>
      <c r="AX209" s="2" t="n">
        <v>60340</v>
      </c>
      <c r="AY209" s="2" t="n">
        <v>59700</v>
      </c>
      <c r="AZ209" s="2" t="n">
        <v>57670</v>
      </c>
      <c r="BA209" s="2" t="n">
        <v>57850</v>
      </c>
      <c r="BB209" s="2" t="n">
        <v>57360</v>
      </c>
      <c r="BC209" s="2" t="n">
        <v>56680</v>
      </c>
      <c r="BD209" s="2" t="n">
        <v>55930</v>
      </c>
      <c r="BE209" s="2" t="n">
        <v>54340</v>
      </c>
      <c r="BF209" s="2" t="n">
        <v>54680</v>
      </c>
      <c r="BG209" s="2" t="n">
        <v>56410</v>
      </c>
      <c r="BH209" s="2" t="n">
        <v>57350</v>
      </c>
      <c r="BI209" s="2" t="n">
        <v>57900</v>
      </c>
      <c r="BJ209" s="2" t="n">
        <v>56290</v>
      </c>
      <c r="BK209" s="2" t="n">
        <v>55870</v>
      </c>
      <c r="BL209" s="2" t="n">
        <v>59080</v>
      </c>
    </row>
    <row r="210">
      <c r="A210" s="65" t="inlineStr">
        <is>
          <t>6324</t>
        </is>
      </c>
      <c r="B210" s="570" t="inlineStr">
        <is>
          <t>ハーモニック・ドライブ・シス</t>
        </is>
      </c>
      <c r="C210" s="660">
        <f>_xll.RssMarket("6324","安値")</f>
        <v/>
      </c>
      <c r="D210" s="661">
        <f>C210-E210</f>
        <v/>
      </c>
      <c r="E210" s="2" t="n">
        <v>8170</v>
      </c>
      <c r="F210" s="2" t="n">
        <v>7630</v>
      </c>
      <c r="G210" s="2" t="n">
        <v>7770</v>
      </c>
      <c r="H210" s="2" t="n">
        <v>7190</v>
      </c>
      <c r="I210" s="2" t="n">
        <v>6730</v>
      </c>
      <c r="J210" s="2" t="n">
        <v>6760</v>
      </c>
      <c r="K210" s="2" t="n">
        <v>6520</v>
      </c>
      <c r="L210" s="2" t="n">
        <v>5770</v>
      </c>
      <c r="M210" s="2" t="n">
        <v>6100</v>
      </c>
      <c r="N210" s="2" t="n">
        <v>6420</v>
      </c>
      <c r="O210" s="2" t="n">
        <v>6550</v>
      </c>
      <c r="P210" s="2" t="n">
        <v>6830</v>
      </c>
      <c r="Q210" s="2" t="n">
        <v>7110</v>
      </c>
      <c r="R210" s="2" t="n">
        <v>6890</v>
      </c>
      <c r="S210" s="2" t="n">
        <v>7540</v>
      </c>
      <c r="T210" s="2" t="n">
        <v>7320</v>
      </c>
      <c r="U210" s="2" t="n">
        <v>7730</v>
      </c>
      <c r="V210" s="2" t="n">
        <v>7420</v>
      </c>
      <c r="W210" s="2" t="n">
        <v>6640</v>
      </c>
      <c r="X210" s="2" t="n">
        <v>6150</v>
      </c>
      <c r="Y210" s="2" t="n">
        <v>5800</v>
      </c>
      <c r="Z210" s="2" t="n">
        <v>5920</v>
      </c>
      <c r="AA210" s="2" t="n">
        <v>6640</v>
      </c>
      <c r="AB210" s="2" t="n">
        <v>6680</v>
      </c>
      <c r="AC210" s="2" t="n">
        <v>6430</v>
      </c>
      <c r="AD210" s="2" t="n">
        <v>6440</v>
      </c>
      <c r="AE210" s="2" t="n">
        <v>6390</v>
      </c>
      <c r="AF210" s="2" t="n">
        <v>6300</v>
      </c>
      <c r="AG210" s="2" t="n">
        <v>5590</v>
      </c>
      <c r="AH210" s="2" t="n">
        <v>5420</v>
      </c>
      <c r="AI210" s="2" t="n">
        <v>5070</v>
      </c>
      <c r="AJ210" s="2" t="n">
        <v>4745</v>
      </c>
      <c r="AK210" s="2" t="n">
        <v>4705</v>
      </c>
      <c r="AL210" s="2" t="n">
        <v>4380</v>
      </c>
      <c r="AM210" s="2" t="n">
        <v>4190</v>
      </c>
      <c r="AN210" s="2" t="n">
        <v>4245</v>
      </c>
      <c r="AO210" s="2" t="n">
        <v>4315</v>
      </c>
      <c r="AP210" s="2" t="n">
        <v>4455</v>
      </c>
      <c r="AQ210" s="2" t="n">
        <v>4470</v>
      </c>
      <c r="AR210" s="2" t="n">
        <v>4420</v>
      </c>
      <c r="AS210" s="2" t="n">
        <v>4520</v>
      </c>
      <c r="AT210" s="2" t="n">
        <v>4220</v>
      </c>
      <c r="AU210" s="2" t="n">
        <v>4080</v>
      </c>
      <c r="AV210" s="2" t="n">
        <v>3990</v>
      </c>
      <c r="AW210" s="2" t="n">
        <v>3920</v>
      </c>
      <c r="AX210" s="2" t="n">
        <v>3935</v>
      </c>
      <c r="AY210" s="2" t="n">
        <v>3870</v>
      </c>
      <c r="AZ210" s="2" t="n">
        <v>3755</v>
      </c>
      <c r="BA210" s="2" t="n">
        <v>3740</v>
      </c>
      <c r="BB210" s="2" t="n">
        <v>3600</v>
      </c>
      <c r="BC210" s="2" t="n">
        <v>3485</v>
      </c>
      <c r="BD210" s="2" t="n">
        <v>3550</v>
      </c>
      <c r="BE210" s="2" t="n">
        <v>3440</v>
      </c>
      <c r="BF210" s="2" t="n">
        <v>3735</v>
      </c>
      <c r="BG210" s="2" t="n">
        <v>3955</v>
      </c>
      <c r="BH210" s="2" t="n">
        <v>4025</v>
      </c>
      <c r="BI210" s="2" t="n">
        <v>3975</v>
      </c>
      <c r="BJ210" s="2" t="n">
        <v>3795</v>
      </c>
      <c r="BK210" s="2" t="n">
        <v>3695</v>
      </c>
      <c r="BL210" s="2" t="n">
        <v>4110</v>
      </c>
    </row>
    <row r="211">
      <c r="A211" s="65" t="inlineStr">
        <is>
          <t>6273</t>
        </is>
      </c>
      <c r="B211" s="570" t="inlineStr">
        <is>
          <t>ＳＭＣ</t>
        </is>
      </c>
      <c r="C211" s="660">
        <f>_xll.RssMarket("6273","安値")</f>
        <v/>
      </c>
      <c r="D211" s="661">
        <f>C211-E211</f>
        <v/>
      </c>
      <c r="E211" s="2" t="n">
        <v>72070</v>
      </c>
      <c r="F211" s="2" t="n">
        <v>72600</v>
      </c>
      <c r="G211" s="2" t="n">
        <v>72250</v>
      </c>
      <c r="H211" s="2" t="n">
        <v>70450</v>
      </c>
      <c r="I211" s="2" t="n">
        <v>68420</v>
      </c>
      <c r="J211" s="2" t="n">
        <v>67650</v>
      </c>
      <c r="K211" s="2" t="n">
        <v>65400</v>
      </c>
      <c r="L211" s="2" t="n">
        <v>58310</v>
      </c>
      <c r="M211" s="2" t="n">
        <v>60060</v>
      </c>
      <c r="N211" s="2" t="n">
        <v>61150</v>
      </c>
      <c r="O211" s="2" t="n">
        <v>63690</v>
      </c>
      <c r="P211" s="2" t="n">
        <v>64120</v>
      </c>
      <c r="Q211" s="2" t="n">
        <v>63890</v>
      </c>
      <c r="R211" s="2" t="n">
        <v>63460</v>
      </c>
      <c r="S211" s="2" t="n">
        <v>67550</v>
      </c>
      <c r="T211" s="2" t="n">
        <v>65980</v>
      </c>
      <c r="U211" s="2" t="n">
        <v>66450</v>
      </c>
      <c r="V211" s="2" t="n">
        <v>65030</v>
      </c>
      <c r="W211" s="2" t="n">
        <v>64390</v>
      </c>
      <c r="X211" s="2" t="n">
        <v>64090</v>
      </c>
      <c r="Y211" s="2" t="n">
        <v>63160</v>
      </c>
      <c r="Z211" s="2" t="n">
        <v>66660</v>
      </c>
      <c r="AA211" s="2" t="n">
        <v>65250</v>
      </c>
      <c r="AB211" s="2" t="n">
        <v>67550</v>
      </c>
      <c r="AC211" s="2" t="n">
        <v>79470</v>
      </c>
      <c r="AD211" s="2" t="n">
        <v>82120</v>
      </c>
      <c r="AE211" s="2" t="n">
        <v>82710</v>
      </c>
      <c r="AF211" s="2" t="n">
        <v>80830</v>
      </c>
      <c r="AG211" s="2" t="n">
        <v>79340</v>
      </c>
      <c r="AH211" s="2" t="n">
        <v>77440</v>
      </c>
      <c r="AI211" s="2" t="n">
        <v>74920</v>
      </c>
      <c r="AJ211" s="2" t="n">
        <v>75220</v>
      </c>
      <c r="AK211" s="2" t="n">
        <v>75660</v>
      </c>
      <c r="AL211" s="2" t="n">
        <v>72100</v>
      </c>
      <c r="AM211" s="2" t="n">
        <v>68850</v>
      </c>
      <c r="AN211" s="2" t="n">
        <v>69400</v>
      </c>
      <c r="AO211" s="2" t="n">
        <v>70330</v>
      </c>
      <c r="AP211" s="2" t="n">
        <v>71300</v>
      </c>
      <c r="AQ211" s="2" t="n">
        <v>70510</v>
      </c>
      <c r="AR211" s="2" t="n">
        <v>69890</v>
      </c>
      <c r="AS211" s="2" t="n">
        <v>71400</v>
      </c>
      <c r="AT211" s="2" t="n">
        <v>70950</v>
      </c>
      <c r="AU211" s="2" t="n">
        <v>70840</v>
      </c>
      <c r="AV211" s="2" t="n">
        <v>69600</v>
      </c>
      <c r="AW211" s="2" t="n">
        <v>68100</v>
      </c>
      <c r="AX211" s="2" t="n">
        <v>67110</v>
      </c>
      <c r="AY211" s="2" t="n">
        <v>65220</v>
      </c>
      <c r="AZ211" s="2" t="n">
        <v>61180</v>
      </c>
      <c r="BA211" s="2" t="n">
        <v>62120</v>
      </c>
      <c r="BB211" s="2" t="n">
        <v>61640</v>
      </c>
      <c r="BC211" s="2" t="n">
        <v>61030</v>
      </c>
      <c r="BD211" s="2" t="n">
        <v>62050</v>
      </c>
      <c r="BE211" s="2" t="n">
        <v>59350</v>
      </c>
      <c r="BF211" s="2" t="n">
        <v>59030</v>
      </c>
      <c r="BG211" s="2" t="n">
        <v>61610</v>
      </c>
      <c r="BH211" s="2" t="n">
        <v>64160</v>
      </c>
      <c r="BI211" s="2" t="n">
        <v>64300</v>
      </c>
      <c r="BJ211" s="2" t="n">
        <v>62050</v>
      </c>
      <c r="BK211" s="2" t="n">
        <v>60070</v>
      </c>
      <c r="BL211" s="2" t="n">
        <v>64790</v>
      </c>
    </row>
    <row r="212">
      <c r="A212" s="65" t="inlineStr">
        <is>
          <t>4502</t>
        </is>
      </c>
      <c r="B212" s="570" t="inlineStr">
        <is>
          <t>武田薬品</t>
        </is>
      </c>
      <c r="C212" s="660">
        <f>_xll.RssMarket("4502","安値")</f>
        <v/>
      </c>
      <c r="D212" s="661">
        <f>C212-E212</f>
        <v/>
      </c>
      <c r="E212" s="2" t="n">
        <v>4897</v>
      </c>
      <c r="F212" s="2" t="n">
        <v>4909</v>
      </c>
      <c r="G212" s="2" t="n">
        <v>4950</v>
      </c>
      <c r="H212" s="2" t="n">
        <v>4938</v>
      </c>
      <c r="I212" s="2" t="n">
        <v>4954</v>
      </c>
      <c r="J212" s="2" t="n">
        <v>5069</v>
      </c>
      <c r="K212" s="2" t="n">
        <v>5031</v>
      </c>
      <c r="L212" s="2" t="n">
        <v>4998</v>
      </c>
      <c r="M212" s="2" t="n">
        <v>5013</v>
      </c>
      <c r="N212" s="2" t="n">
        <v>4896</v>
      </c>
      <c r="O212" s="2" t="n">
        <v>4909</v>
      </c>
      <c r="P212" s="2" t="n">
        <v>4766</v>
      </c>
      <c r="Q212" s="2" t="n">
        <v>4710</v>
      </c>
      <c r="R212" s="2" t="n">
        <v>4784</v>
      </c>
      <c r="S212" s="2" t="n">
        <v>5074</v>
      </c>
      <c r="T212" s="2" t="n">
        <v>5113</v>
      </c>
      <c r="U212" s="2" t="n">
        <v>5056</v>
      </c>
      <c r="V212" s="2" t="n">
        <v>5077</v>
      </c>
      <c r="W212" s="2" t="n">
        <v>5109</v>
      </c>
      <c r="X212" s="2" t="n">
        <v>5180</v>
      </c>
      <c r="Y212" s="2" t="n">
        <v>5187</v>
      </c>
      <c r="Z212" s="2" t="n">
        <v>5244</v>
      </c>
      <c r="AA212" s="2" t="n">
        <v>5221</v>
      </c>
      <c r="AB212" s="2" t="n">
        <v>5252</v>
      </c>
      <c r="AC212" s="2" t="n">
        <v>5039</v>
      </c>
      <c r="AD212" s="2" t="n">
        <v>5174</v>
      </c>
      <c r="AE212" s="2" t="n">
        <v>5138</v>
      </c>
      <c r="AF212" s="2" t="n">
        <v>5151</v>
      </c>
      <c r="AG212" s="2" t="n">
        <v>5205</v>
      </c>
      <c r="AH212" s="2" t="n">
        <v>5195</v>
      </c>
      <c r="AI212" s="2" t="n">
        <v>5191</v>
      </c>
      <c r="AJ212" s="2" t="n">
        <v>5170</v>
      </c>
      <c r="AK212" s="2" t="n">
        <v>5224</v>
      </c>
      <c r="AL212" s="2" t="n">
        <v>5187</v>
      </c>
      <c r="AM212" s="2" t="n">
        <v>5306</v>
      </c>
      <c r="AN212" s="2" t="n">
        <v>5258</v>
      </c>
      <c r="AO212" s="2" t="n">
        <v>5316</v>
      </c>
      <c r="AP212" s="2" t="n">
        <v>5457</v>
      </c>
      <c r="AQ212" s="2" t="n">
        <v>5545</v>
      </c>
      <c r="AR212" s="2" t="n">
        <v>5585</v>
      </c>
      <c r="AS212" s="2" t="n">
        <v>5639</v>
      </c>
      <c r="AT212" s="2" t="n">
        <v>5598</v>
      </c>
      <c r="AU212" s="2" t="n">
        <v>5582</v>
      </c>
      <c r="AV212" s="2" t="n">
        <v>5630</v>
      </c>
      <c r="AW212" s="2" t="n">
        <v>5696</v>
      </c>
      <c r="AX212" s="2" t="n">
        <v>5801</v>
      </c>
      <c r="AY212" s="2" t="n">
        <v>5763</v>
      </c>
      <c r="AZ212" s="2" t="n">
        <v>5745</v>
      </c>
      <c r="BA212" s="2" t="n">
        <v>5754</v>
      </c>
      <c r="BB212" s="2" t="n">
        <v>5802</v>
      </c>
      <c r="BC212" s="2" t="n">
        <v>5885</v>
      </c>
      <c r="BD212" s="2" t="n">
        <v>5784</v>
      </c>
      <c r="BE212" s="2" t="n">
        <v>5645</v>
      </c>
      <c r="BF212" s="2" t="n">
        <v>5515</v>
      </c>
      <c r="BG212" s="2" t="n">
        <v>5758</v>
      </c>
      <c r="BH212" s="2" t="n">
        <v>5738</v>
      </c>
      <c r="BI212" s="2" t="n">
        <v>5769</v>
      </c>
      <c r="BJ212" s="2" t="n">
        <v>5623</v>
      </c>
      <c r="BK212" s="2" t="n">
        <v>5553</v>
      </c>
      <c r="BL212" s="2" t="n">
        <v>5750</v>
      </c>
    </row>
    <row r="213">
      <c r="A213" s="65" t="inlineStr">
        <is>
          <t>4004</t>
        </is>
      </c>
      <c r="B213" s="570" t="inlineStr">
        <is>
          <t>レゾナック・ホールディング</t>
        </is>
      </c>
      <c r="C213" s="660">
        <f>_xll.RssMarket("4004","安値")</f>
        <v/>
      </c>
      <c r="D213" s="661">
        <f>C213-E213</f>
        <v/>
      </c>
      <c r="E213" s="2" t="n">
        <v>18340</v>
      </c>
      <c r="F213" s="2" t="n">
        <v>18380</v>
      </c>
      <c r="G213" s="2" t="n">
        <v>18250</v>
      </c>
      <c r="H213" s="2" t="n">
        <v>17630</v>
      </c>
      <c r="I213" s="2" t="n">
        <v>18000</v>
      </c>
      <c r="J213" s="2" t="n">
        <v>17780</v>
      </c>
      <c r="K213" s="2" t="n">
        <v>16950</v>
      </c>
      <c r="L213" s="2" t="n">
        <v>14505</v>
      </c>
      <c r="M213" s="2" t="n">
        <v>15170</v>
      </c>
      <c r="N213" s="2" t="n">
        <v>15540</v>
      </c>
      <c r="O213" s="2" t="n">
        <v>16765</v>
      </c>
      <c r="P213" s="2" t="n">
        <v>17520</v>
      </c>
      <c r="Q213" s="2" t="n">
        <v>18660</v>
      </c>
      <c r="R213" s="2" t="n">
        <v>16930</v>
      </c>
      <c r="S213" s="2" t="n">
        <v>17840</v>
      </c>
      <c r="T213" s="2" t="n">
        <v>17760</v>
      </c>
      <c r="U213" s="2" t="n">
        <v>18955</v>
      </c>
      <c r="V213" s="2" t="n">
        <v>18510</v>
      </c>
      <c r="W213" s="2" t="n">
        <v>17255</v>
      </c>
      <c r="X213" s="2" t="n">
        <v>16160</v>
      </c>
      <c r="Y213" s="2" t="n">
        <v>15780</v>
      </c>
      <c r="Z213" s="2" t="n">
        <v>15805</v>
      </c>
      <c r="AA213" s="2" t="n">
        <v>16690</v>
      </c>
      <c r="AB213" s="2" t="n">
        <v>17010</v>
      </c>
      <c r="AC213" s="2" t="n">
        <v>18050</v>
      </c>
      <c r="AD213" s="2" t="n">
        <v>17080</v>
      </c>
      <c r="AE213" s="2" t="n">
        <v>17165</v>
      </c>
      <c r="AF213" s="2" t="n">
        <v>16245</v>
      </c>
      <c r="AG213" s="2" t="n">
        <v>15180</v>
      </c>
      <c r="AH213" s="2" t="n">
        <v>15010</v>
      </c>
      <c r="AI213" s="2" t="n">
        <v>13920</v>
      </c>
      <c r="AJ213" s="2" t="n">
        <v>13820</v>
      </c>
      <c r="AK213" s="2" t="n">
        <v>13630</v>
      </c>
      <c r="AL213" s="2" t="n">
        <v>13725</v>
      </c>
      <c r="AM213" s="2" t="n">
        <v>13755</v>
      </c>
      <c r="AN213" s="2" t="n">
        <v>13475</v>
      </c>
      <c r="AO213" s="2" t="n">
        <v>13750</v>
      </c>
      <c r="AP213" s="2" t="n">
        <v>12710</v>
      </c>
      <c r="AQ213" s="2" t="n">
        <v>12440</v>
      </c>
      <c r="AR213" s="2" t="n">
        <v>12425</v>
      </c>
      <c r="AS213" s="2" t="n">
        <v>12945</v>
      </c>
      <c r="AT213" s="2" t="n">
        <v>12775</v>
      </c>
      <c r="AU213" s="2" t="n">
        <v>13440</v>
      </c>
      <c r="AV213" s="2" t="n">
        <v>12935</v>
      </c>
      <c r="AW213" s="2" t="n">
        <v>13350</v>
      </c>
      <c r="AX213" s="2" t="n">
        <v>12575</v>
      </c>
      <c r="AY213" s="2" t="n">
        <v>12610</v>
      </c>
      <c r="AZ213" s="2" t="n">
        <v>11525</v>
      </c>
      <c r="BA213" s="2" t="n">
        <v>11300</v>
      </c>
      <c r="BB213" s="2" t="n">
        <v>11010</v>
      </c>
      <c r="BC213" s="2" t="n">
        <v>10135</v>
      </c>
      <c r="BD213" s="2" t="n">
        <v>10280</v>
      </c>
      <c r="BE213" s="2" t="n">
        <v>9654</v>
      </c>
      <c r="BF213" s="2" t="n">
        <v>9960</v>
      </c>
      <c r="BG213" s="2" t="n">
        <v>10340</v>
      </c>
      <c r="BH213" s="2" t="n">
        <v>10720</v>
      </c>
      <c r="BI213" s="2" t="n">
        <v>10690</v>
      </c>
      <c r="BJ213" s="2" t="n">
        <v>10280</v>
      </c>
      <c r="BK213" s="2" t="n">
        <v>10160</v>
      </c>
      <c r="BL213" s="2" t="n">
        <v>10710</v>
      </c>
    </row>
    <row r="214">
      <c r="A214" s="65" t="inlineStr">
        <is>
          <t>9519</t>
        </is>
      </c>
      <c r="B214" s="570" t="inlineStr">
        <is>
          <t>レノバ</t>
        </is>
      </c>
      <c r="C214" s="660">
        <f>_xll.RssMarket("9519","安値")</f>
        <v/>
      </c>
      <c r="D214" s="661">
        <f>C214-E214</f>
        <v/>
      </c>
      <c r="E214" s="2" t="n">
        <v>834</v>
      </c>
      <c r="F214" s="2" t="n">
        <v>812</v>
      </c>
      <c r="G214" s="2" t="n">
        <v>831</v>
      </c>
      <c r="H214" s="2" t="n">
        <v>857</v>
      </c>
      <c r="I214" s="2" t="n">
        <v>865</v>
      </c>
      <c r="J214" s="2" t="n">
        <v>885</v>
      </c>
      <c r="K214" s="2" t="n">
        <v>888</v>
      </c>
      <c r="L214" s="2" t="n">
        <v>874</v>
      </c>
      <c r="M214" s="2" t="n">
        <v>884</v>
      </c>
      <c r="N214" s="2" t="n">
        <v>988</v>
      </c>
      <c r="O214" s="2" t="n">
        <v>945</v>
      </c>
      <c r="P214" s="2" t="n">
        <v>966</v>
      </c>
      <c r="Q214" s="2" t="n">
        <v>1018</v>
      </c>
      <c r="R214" s="2" t="n">
        <v>1105</v>
      </c>
      <c r="S214" s="2" t="n">
        <v>1201</v>
      </c>
      <c r="T214" s="2" t="n">
        <v>1159</v>
      </c>
      <c r="U214" s="2" t="n">
        <v>1264</v>
      </c>
      <c r="V214" s="2" t="n">
        <v>1291</v>
      </c>
      <c r="W214" s="2" t="n">
        <v>1316</v>
      </c>
      <c r="X214" s="2" t="n">
        <v>1233</v>
      </c>
      <c r="Y214" s="2" t="n">
        <v>1245</v>
      </c>
      <c r="Z214" s="2" t="n">
        <v>1293</v>
      </c>
      <c r="AA214" s="2" t="n">
        <v>1262</v>
      </c>
      <c r="AB214" s="2" t="n">
        <v>1287</v>
      </c>
      <c r="AC214" s="2" t="n">
        <v>1242</v>
      </c>
      <c r="AD214" s="2" t="n">
        <v>1188</v>
      </c>
      <c r="AE214" s="2" t="n">
        <v>1209</v>
      </c>
      <c r="AF214" s="2" t="n">
        <v>1160</v>
      </c>
      <c r="AG214" s="2" t="n">
        <v>1129</v>
      </c>
      <c r="AH214" s="2" t="n">
        <v>1103</v>
      </c>
      <c r="AI214" s="2" t="n">
        <v>1089</v>
      </c>
      <c r="AJ214" s="2" t="n">
        <v>1100</v>
      </c>
      <c r="AK214" s="2" t="n">
        <v>1078</v>
      </c>
      <c r="AL214" s="2" t="n">
        <v>1005</v>
      </c>
      <c r="AM214" s="2" t="n">
        <v>991</v>
      </c>
      <c r="AN214" s="2" t="n">
        <v>957</v>
      </c>
      <c r="AO214" s="2" t="n">
        <v>947</v>
      </c>
      <c r="AP214" s="2" t="n">
        <v>977</v>
      </c>
      <c r="AQ214" s="2" t="n">
        <v>997</v>
      </c>
      <c r="AR214" s="2" t="n">
        <v>1008</v>
      </c>
      <c r="AS214" s="2" t="n">
        <v>1059</v>
      </c>
      <c r="AT214" s="2" t="n">
        <v>1016</v>
      </c>
      <c r="AU214" s="2" t="n">
        <v>977</v>
      </c>
      <c r="AV214" s="2" t="n">
        <v>952</v>
      </c>
      <c r="AW214" s="2" t="n">
        <v>935</v>
      </c>
      <c r="AX214" s="2" t="n">
        <v>927</v>
      </c>
      <c r="AY214" s="2" t="n">
        <v>917</v>
      </c>
      <c r="AZ214" s="2" t="n">
        <v>855</v>
      </c>
      <c r="BA214" s="2" t="n">
        <v>905</v>
      </c>
      <c r="BB214" s="2" t="n">
        <v>901</v>
      </c>
      <c r="BC214" s="2" t="n">
        <v>868</v>
      </c>
      <c r="BD214" s="2" t="n">
        <v>860</v>
      </c>
      <c r="BE214" s="2" t="n">
        <v>838</v>
      </c>
      <c r="BF214" s="2" t="n">
        <v>789</v>
      </c>
      <c r="BG214" s="2" t="n">
        <v>780</v>
      </c>
      <c r="BH214" s="2" t="n">
        <v>769</v>
      </c>
      <c r="BI214" s="2" t="n">
        <v>769</v>
      </c>
      <c r="BJ214" s="2" t="n">
        <v>736</v>
      </c>
      <c r="BK214" s="2" t="n">
        <v>704</v>
      </c>
      <c r="BL214" s="2" t="n">
        <v>757</v>
      </c>
    </row>
    <row r="215">
      <c r="A215" s="65" t="inlineStr">
        <is>
          <t>6752</t>
        </is>
      </c>
      <c r="B215" s="570" t="inlineStr">
        <is>
          <t>パナソニックホールディンク</t>
        </is>
      </c>
      <c r="C215" s="660">
        <f>_xll.RssMarket("6752","安値")</f>
        <v/>
      </c>
      <c r="D215" s="661">
        <f>C215-E215</f>
        <v/>
      </c>
      <c r="E215" s="2" t="n">
        <v>4376</v>
      </c>
      <c r="F215" s="2" t="n">
        <v>4326</v>
      </c>
      <c r="G215" s="2" t="n">
        <v>4216</v>
      </c>
      <c r="H215" s="2" t="n">
        <v>4152</v>
      </c>
      <c r="I215" s="2" t="n">
        <v>3993</v>
      </c>
      <c r="J215" s="2" t="n">
        <v>3914</v>
      </c>
      <c r="K215" s="2" t="n">
        <v>3762</v>
      </c>
      <c r="L215" s="2" t="n">
        <v>3571</v>
      </c>
      <c r="M215" s="2" t="n">
        <v>3712</v>
      </c>
      <c r="N215" s="2" t="n">
        <v>3431</v>
      </c>
      <c r="O215" s="2" t="n">
        <v>3638</v>
      </c>
      <c r="P215" s="2" t="n">
        <v>3633</v>
      </c>
      <c r="Q215" s="2" t="n">
        <v>3680</v>
      </c>
      <c r="R215" s="2" t="n">
        <v>3487</v>
      </c>
      <c r="S215" s="2" t="n">
        <v>3529</v>
      </c>
      <c r="T215" s="2" t="n">
        <v>3416</v>
      </c>
      <c r="U215" s="2" t="n">
        <v>3544</v>
      </c>
      <c r="V215" s="2" t="n">
        <v>3491</v>
      </c>
      <c r="W215" s="2" t="n">
        <v>3420</v>
      </c>
      <c r="X215" s="2" t="n">
        <v>3214</v>
      </c>
      <c r="Y215" s="2" t="n">
        <v>3183</v>
      </c>
      <c r="Z215" s="2" t="n">
        <v>3300</v>
      </c>
      <c r="AA215" s="2" t="n">
        <v>3221</v>
      </c>
      <c r="AB215" s="2" t="n">
        <v>3263</v>
      </c>
      <c r="AC215" s="2" t="n">
        <v>3295</v>
      </c>
      <c r="AD215" s="2" t="n">
        <v>3121</v>
      </c>
      <c r="AE215" s="2" t="n">
        <v>3333</v>
      </c>
      <c r="AF215" s="2" t="n">
        <v>3221</v>
      </c>
      <c r="AG215" s="2" t="n">
        <v>3222</v>
      </c>
      <c r="AH215" s="2" t="n">
        <v>3297</v>
      </c>
      <c r="AI215" s="2" t="n">
        <v>3232</v>
      </c>
      <c r="AJ215" s="2" t="n">
        <v>3071</v>
      </c>
      <c r="AK215" s="2" t="n">
        <v>3036</v>
      </c>
      <c r="AL215" s="2" t="n">
        <v>2931</v>
      </c>
      <c r="AM215" s="2" t="n">
        <v>2836.5</v>
      </c>
      <c r="AN215" s="2" t="n">
        <v>2877</v>
      </c>
      <c r="AO215" s="2" t="n">
        <v>2957.5</v>
      </c>
      <c r="AP215" s="2" t="n">
        <v>2999</v>
      </c>
      <c r="AQ215" s="2" t="n">
        <v>2880</v>
      </c>
      <c r="AR215" s="2" t="n">
        <v>2897</v>
      </c>
      <c r="AS215" s="2" t="n">
        <v>2927.5</v>
      </c>
      <c r="AT215" s="2" t="n">
        <v>2889.5</v>
      </c>
      <c r="AU215" s="2" t="n">
        <v>2870</v>
      </c>
      <c r="AV215" s="2" t="n">
        <v>2810</v>
      </c>
      <c r="AW215" s="2" t="n">
        <v>2855</v>
      </c>
      <c r="AX215" s="2" t="n">
        <v>2832</v>
      </c>
      <c r="AY215" s="2" t="n">
        <v>2935.5</v>
      </c>
      <c r="AZ215" s="2" t="n">
        <v>2785</v>
      </c>
      <c r="BA215" s="2" t="n">
        <v>2716</v>
      </c>
      <c r="BB215" s="2" t="n">
        <v>2712</v>
      </c>
      <c r="BC215" s="2" t="n">
        <v>2715.5</v>
      </c>
      <c r="BD215" s="2" t="n">
        <v>2695.5</v>
      </c>
      <c r="BE215" s="2" t="n">
        <v>2533</v>
      </c>
      <c r="BF215" s="2" t="n">
        <v>2543.5</v>
      </c>
      <c r="BG215" s="2" t="n">
        <v>2658</v>
      </c>
      <c r="BH215" s="2" t="n">
        <v>2631.5</v>
      </c>
      <c r="BI215" s="2" t="n">
        <v>2605</v>
      </c>
      <c r="BJ215" s="2" t="n">
        <v>2533</v>
      </c>
      <c r="BK215" s="2" t="n">
        <v>2438</v>
      </c>
      <c r="BL215" s="2" t="n">
        <v>2577.5</v>
      </c>
    </row>
    <row r="216">
      <c r="A216" s="65" t="inlineStr">
        <is>
          <t>6622</t>
        </is>
      </c>
      <c r="B216" s="570" t="inlineStr">
        <is>
          <t>ダイヘン</t>
        </is>
      </c>
      <c r="C216" s="660">
        <f>_xll.RssMarket("6622","安値")</f>
        <v/>
      </c>
      <c r="D216" s="661">
        <f>C216-E216</f>
        <v/>
      </c>
      <c r="E216" s="2" t="n">
        <v>17870</v>
      </c>
      <c r="F216" s="2" t="n">
        <v>17630</v>
      </c>
      <c r="G216" s="2" t="n">
        <v>17290</v>
      </c>
      <c r="H216" s="2" t="n">
        <v>16030</v>
      </c>
      <c r="I216" s="2" t="n">
        <v>16050</v>
      </c>
      <c r="J216" s="2" t="n">
        <v>15490</v>
      </c>
      <c r="K216" s="2" t="n">
        <v>14700</v>
      </c>
      <c r="L216" s="2" t="n">
        <v>13690</v>
      </c>
      <c r="M216" s="2" t="n">
        <v>14580</v>
      </c>
      <c r="N216" s="2" t="n">
        <v>14440</v>
      </c>
      <c r="O216" s="2" t="n">
        <v>15310</v>
      </c>
      <c r="P216" s="2" t="n">
        <v>15300</v>
      </c>
      <c r="Q216" s="2" t="n">
        <v>15130</v>
      </c>
      <c r="R216" s="2" t="n">
        <v>14840</v>
      </c>
      <c r="S216" s="2" t="n">
        <v>15750</v>
      </c>
      <c r="T216" s="2" t="n">
        <v>15840</v>
      </c>
      <c r="U216" s="2" t="n">
        <v>16560</v>
      </c>
      <c r="V216" s="2" t="n">
        <v>16710</v>
      </c>
      <c r="W216" s="2" t="n">
        <v>16220</v>
      </c>
      <c r="X216" s="2" t="n">
        <v>15360</v>
      </c>
      <c r="Y216" s="2" t="n">
        <v>14980</v>
      </c>
      <c r="Z216" s="2" t="n">
        <v>15650</v>
      </c>
      <c r="AA216" s="2" t="n">
        <v>16510</v>
      </c>
      <c r="AB216" s="2" t="n">
        <v>16670</v>
      </c>
      <c r="AC216" s="2" t="n">
        <v>17250</v>
      </c>
      <c r="AD216" s="2" t="n">
        <v>17500</v>
      </c>
      <c r="AE216" s="2" t="n">
        <v>17640</v>
      </c>
      <c r="AF216" s="2" t="n">
        <v>17370</v>
      </c>
      <c r="AG216" s="2" t="n">
        <v>16570</v>
      </c>
      <c r="AH216" s="2" t="n">
        <v>16500</v>
      </c>
      <c r="AI216" s="2" t="n">
        <v>15150</v>
      </c>
      <c r="AJ216" s="2" t="n">
        <v>15000</v>
      </c>
      <c r="AK216" s="2" t="n">
        <v>14500</v>
      </c>
      <c r="AL216" s="2" t="n">
        <v>13940</v>
      </c>
      <c r="AM216" s="2" t="n">
        <v>13650</v>
      </c>
      <c r="AN216" s="2" t="n">
        <v>13420</v>
      </c>
      <c r="AO216" s="2" t="n">
        <v>13750</v>
      </c>
      <c r="AP216" s="2" t="n">
        <v>13940</v>
      </c>
      <c r="AQ216" s="2" t="n">
        <v>13820</v>
      </c>
      <c r="AR216" s="2" t="n">
        <v>13820</v>
      </c>
      <c r="AS216" s="2" t="n">
        <v>14090</v>
      </c>
      <c r="AT216" s="2" t="n">
        <v>13880</v>
      </c>
      <c r="AU216" s="2" t="n">
        <v>14270</v>
      </c>
      <c r="AV216" s="2" t="n">
        <v>13810</v>
      </c>
      <c r="AW216" s="2" t="n">
        <v>13760</v>
      </c>
      <c r="AX216" s="2" t="n">
        <v>13210</v>
      </c>
      <c r="AY216" s="2" t="n">
        <v>12960</v>
      </c>
      <c r="AZ216" s="2" t="n">
        <v>12280</v>
      </c>
      <c r="BA216" s="2" t="n">
        <v>11910</v>
      </c>
      <c r="BB216" s="2" t="n">
        <v>11930</v>
      </c>
      <c r="BC216" s="2" t="n">
        <v>11830</v>
      </c>
      <c r="BD216" s="2" t="n">
        <v>11880</v>
      </c>
      <c r="BE216" s="2" t="n">
        <v>10960</v>
      </c>
      <c r="BF216" s="2" t="n">
        <v>11160</v>
      </c>
      <c r="BG216" s="2" t="n">
        <v>11820</v>
      </c>
      <c r="BH216" s="2" t="n">
        <v>12310</v>
      </c>
      <c r="BI216" s="2" t="n">
        <v>12450</v>
      </c>
      <c r="BJ216" s="2" t="n">
        <v>11730</v>
      </c>
      <c r="BK216" s="2" t="n">
        <v>11570</v>
      </c>
      <c r="BL216" s="2" t="n">
        <v>12300</v>
      </c>
    </row>
    <row r="217">
      <c r="A217" s="65" t="inlineStr">
        <is>
          <t>1407</t>
        </is>
      </c>
      <c r="B217" s="570" t="inlineStr">
        <is>
          <t>ウエストホールディングス</t>
        </is>
      </c>
      <c r="C217" s="660">
        <f>_xll.RssMarket("1407","安値")</f>
        <v/>
      </c>
      <c r="D217" s="661">
        <f>C217-E217</f>
        <v/>
      </c>
      <c r="E217" s="2" t="n">
        <v>2207</v>
      </c>
      <c r="F217" s="2" t="n">
        <v>2196</v>
      </c>
      <c r="G217" s="2" t="n">
        <v>2285</v>
      </c>
      <c r="H217" s="2" t="n">
        <v>2220</v>
      </c>
      <c r="I217" s="2" t="n">
        <v>2211</v>
      </c>
      <c r="J217" s="2" t="n">
        <v>2240</v>
      </c>
      <c r="K217" s="2" t="n">
        <v>2290</v>
      </c>
      <c r="L217" s="2" t="n">
        <v>2191</v>
      </c>
      <c r="M217" s="2" t="n">
        <v>2251</v>
      </c>
      <c r="N217" s="2" t="n">
        <v>2307</v>
      </c>
      <c r="O217" s="2" t="n">
        <v>2290</v>
      </c>
      <c r="P217" s="2" t="n">
        <v>2436</v>
      </c>
      <c r="Q217" s="2" t="n">
        <v>2503</v>
      </c>
      <c r="R217" s="2" t="n">
        <v>2430</v>
      </c>
      <c r="S217" s="2" t="n">
        <v>2691</v>
      </c>
      <c r="T217" s="2" t="n">
        <v>2845</v>
      </c>
      <c r="U217" s="2" t="n">
        <v>3075</v>
      </c>
      <c r="V217" s="2" t="n">
        <v>2877</v>
      </c>
      <c r="W217" s="2" t="n">
        <v>2833</v>
      </c>
      <c r="X217" s="2" t="n">
        <v>2892</v>
      </c>
      <c r="Y217" s="2" t="n">
        <v>2903</v>
      </c>
      <c r="Z217" s="2" t="n">
        <v>2839</v>
      </c>
      <c r="AA217" s="2" t="n">
        <v>2901</v>
      </c>
      <c r="AB217" s="2" t="n">
        <v>2985</v>
      </c>
      <c r="AC217" s="2" t="n">
        <v>2980</v>
      </c>
      <c r="AD217" s="2" t="n">
        <v>2790</v>
      </c>
      <c r="AE217" s="2" t="n">
        <v>2917</v>
      </c>
      <c r="AF217" s="2" t="n">
        <v>3050</v>
      </c>
      <c r="AG217" s="2" t="n">
        <v>2830</v>
      </c>
      <c r="AH217" s="2" t="n">
        <v>2714</v>
      </c>
      <c r="AI217" s="2" t="n">
        <v>2820</v>
      </c>
      <c r="AJ217" s="2" t="n">
        <v>2702</v>
      </c>
      <c r="AK217" s="2" t="n">
        <v>2620</v>
      </c>
      <c r="AL217" s="2" t="n">
        <v>2495</v>
      </c>
      <c r="AM217" s="2" t="n">
        <v>2383</v>
      </c>
      <c r="AN217" s="2" t="n">
        <v>2310</v>
      </c>
      <c r="AO217" s="2" t="n">
        <v>2211</v>
      </c>
      <c r="AP217" s="2" t="n">
        <v>2274</v>
      </c>
      <c r="AQ217" s="2" t="n">
        <v>2161</v>
      </c>
      <c r="AR217" s="2" t="n">
        <v>2206</v>
      </c>
      <c r="AS217" s="2" t="n">
        <v>2090</v>
      </c>
      <c r="AT217" s="2" t="n">
        <v>1903</v>
      </c>
      <c r="AU217" s="2" t="n">
        <v>1730</v>
      </c>
      <c r="AV217" s="2" t="n">
        <v>1802</v>
      </c>
      <c r="AW217" s="2" t="n">
        <v>1827</v>
      </c>
      <c r="AX217" s="2" t="n">
        <v>1803</v>
      </c>
      <c r="AY217" s="2" t="n">
        <v>1833</v>
      </c>
      <c r="AZ217" s="2" t="n">
        <v>1806</v>
      </c>
      <c r="BA217" s="2" t="n">
        <v>1894</v>
      </c>
      <c r="BB217" s="2" t="n">
        <v>1824</v>
      </c>
      <c r="BC217" s="2" t="n">
        <v>1821</v>
      </c>
      <c r="BD217" s="2" t="n">
        <v>1770</v>
      </c>
      <c r="BE217" s="2" t="n">
        <v>1736</v>
      </c>
      <c r="BF217" s="2" t="n">
        <v>1668</v>
      </c>
      <c r="BG217" s="2" t="n">
        <v>1713</v>
      </c>
      <c r="BH217" s="2" t="n">
        <v>1705</v>
      </c>
      <c r="BI217" s="2" t="n">
        <v>1750</v>
      </c>
      <c r="BJ217" s="2" t="n">
        <v>1663</v>
      </c>
      <c r="BK217" s="2" t="n">
        <v>1604</v>
      </c>
      <c r="BL217" s="2" t="n">
        <v>1730</v>
      </c>
    </row>
    <row r="218">
      <c r="A218" s="65" t="inlineStr">
        <is>
          <t>285A</t>
        </is>
      </c>
      <c r="B218" s="570" t="inlineStr">
        <is>
          <t>QPS研究所</t>
        </is>
      </c>
      <c r="C218" s="660">
        <f>_xll.RssMarket("285A","安値")</f>
        <v/>
      </c>
      <c r="D218" s="661">
        <f>C218-E218</f>
        <v/>
      </c>
      <c r="E218" s="2" t="n">
        <v>104250</v>
      </c>
      <c r="F218" s="2" t="n">
        <v>99970</v>
      </c>
      <c r="G218" s="2" t="n">
        <v>95800</v>
      </c>
      <c r="H218" s="2" t="n">
        <v>92320</v>
      </c>
      <c r="I218" s="2" t="n">
        <v>90920</v>
      </c>
      <c r="J218" s="2" t="n">
        <v>85200</v>
      </c>
      <c r="K218" s="2" t="n">
        <v>78920</v>
      </c>
      <c r="L218" s="2" t="n">
        <v>67600</v>
      </c>
      <c r="M218" s="2" t="n">
        <v>70130</v>
      </c>
      <c r="N218" s="2" t="n">
        <v>69010</v>
      </c>
      <c r="O218" s="2" t="n">
        <v>73290</v>
      </c>
      <c r="P218" s="2" t="n">
        <v>75000</v>
      </c>
      <c r="Q218" s="2" t="n">
        <v>76240</v>
      </c>
      <c r="R218" s="2" t="n">
        <v>70230</v>
      </c>
      <c r="S218" s="2" t="n">
        <v>61110</v>
      </c>
      <c r="T218" s="2" t="n">
        <v>56900</v>
      </c>
      <c r="U218" s="2" t="n">
        <v>60170</v>
      </c>
      <c r="V218" s="2" t="n">
        <v>58090</v>
      </c>
      <c r="W218" s="2" t="n">
        <v>56280</v>
      </c>
      <c r="X218" s="2" t="n">
        <v>51120</v>
      </c>
      <c r="Y218" s="2" t="n">
        <v>48270</v>
      </c>
      <c r="Z218" s="2" t="n">
        <v>48000</v>
      </c>
      <c r="AA218" s="2" t="n">
        <v>51450</v>
      </c>
      <c r="AB218" s="2" t="n">
        <v>42100</v>
      </c>
      <c r="AC218" s="2" t="n">
        <v>45110</v>
      </c>
      <c r="AD218" s="2" t="n">
        <v>44740</v>
      </c>
      <c r="AE218" s="2" t="n">
        <v>43630</v>
      </c>
      <c r="AF218" s="2" t="n">
        <v>45690</v>
      </c>
      <c r="AG218" s="2" t="n">
        <v>41900</v>
      </c>
      <c r="AH218" s="2" t="n">
        <v>43410</v>
      </c>
      <c r="AI218" s="2" t="n">
        <v>36050</v>
      </c>
      <c r="AJ218" s="2" t="n">
        <v>36920</v>
      </c>
      <c r="AK218" s="2" t="n">
        <v>36200</v>
      </c>
      <c r="AL218" s="2" t="n">
        <v>35030</v>
      </c>
      <c r="AM218" s="2" t="n">
        <v>34150</v>
      </c>
      <c r="AN218" s="2" t="n">
        <v>33750</v>
      </c>
      <c r="AO218" s="2" t="n">
        <v>32400</v>
      </c>
      <c r="AP218" s="2" t="n">
        <v>30710</v>
      </c>
      <c r="AQ218" s="2" t="n">
        <v>30090</v>
      </c>
      <c r="AR218" s="2" t="n">
        <v>30460</v>
      </c>
      <c r="AS218" s="2" t="n">
        <v>31010</v>
      </c>
      <c r="AT218" s="2" t="n">
        <v>32100</v>
      </c>
      <c r="AU218" s="2" t="n">
        <v>33820</v>
      </c>
      <c r="AV218" s="2" t="n">
        <v>29530</v>
      </c>
      <c r="AW218" s="2" t="n">
        <v>28890</v>
      </c>
      <c r="AX218" s="2" t="n">
        <v>26600</v>
      </c>
      <c r="AY218" s="2" t="n">
        <v>25840</v>
      </c>
      <c r="AZ218" s="2" t="n">
        <v>22575</v>
      </c>
      <c r="BA218" s="2" t="n">
        <v>21955</v>
      </c>
      <c r="BB218" s="2" t="n">
        <v>21500</v>
      </c>
      <c r="BC218" s="2" t="n">
        <v>20650</v>
      </c>
      <c r="BD218" s="2" t="n">
        <v>20410</v>
      </c>
      <c r="BE218" s="2" t="n">
        <v>18540</v>
      </c>
      <c r="BF218" s="2" t="n">
        <v>19070</v>
      </c>
      <c r="BG218" s="2" t="n">
        <v>19075</v>
      </c>
      <c r="BH218" s="2" t="n">
        <v>20945</v>
      </c>
      <c r="BI218" s="2" t="n">
        <v>21410</v>
      </c>
      <c r="BJ218" s="2" t="n">
        <v>20025</v>
      </c>
      <c r="BK218" s="2" t="n">
        <v>20800</v>
      </c>
      <c r="BL218" s="2" t="n">
        <v>22080</v>
      </c>
    </row>
    <row r="219">
      <c r="A219" s="65" t="inlineStr">
        <is>
          <t>141A</t>
        </is>
      </c>
      <c r="B219" s="570" t="inlineStr">
        <is>
          <t>トライアルホールディングス</t>
        </is>
      </c>
      <c r="C219" s="660">
        <f>_xll.RssMarket("141A","安値")</f>
        <v/>
      </c>
      <c r="D219" s="661">
        <f>C219-E219</f>
        <v/>
      </c>
      <c r="E219" s="2" t="n">
        <v>2700</v>
      </c>
      <c r="F219" s="2" t="n">
        <v>2721</v>
      </c>
      <c r="G219" s="2" t="n">
        <v>2717</v>
      </c>
      <c r="H219" s="2" t="n">
        <v>2768</v>
      </c>
      <c r="I219" s="2" t="n">
        <v>2721</v>
      </c>
      <c r="J219" s="2" t="n">
        <v>2746</v>
      </c>
      <c r="K219" s="2" t="n">
        <v>2789</v>
      </c>
      <c r="L219" s="2" t="n">
        <v>2811</v>
      </c>
      <c r="M219" s="2" t="n">
        <v>2725</v>
      </c>
      <c r="N219" s="2" t="n">
        <v>2716</v>
      </c>
      <c r="O219" s="2" t="n">
        <v>2669</v>
      </c>
      <c r="P219" s="2" t="n">
        <v>2667</v>
      </c>
      <c r="Q219" s="2" t="n">
        <v>2506</v>
      </c>
      <c r="R219" s="2" t="n">
        <v>2545</v>
      </c>
      <c r="S219" s="2" t="n">
        <v>2865</v>
      </c>
      <c r="T219" s="2" t="n">
        <v>2813</v>
      </c>
      <c r="U219" s="2" t="n">
        <v>2617</v>
      </c>
      <c r="V219" s="2" t="n">
        <v>2874</v>
      </c>
      <c r="W219" s="2" t="n">
        <v>2952</v>
      </c>
      <c r="X219" s="2" t="n">
        <v>2929</v>
      </c>
      <c r="Y219" s="2" t="n">
        <v>3085</v>
      </c>
      <c r="Z219" s="2" t="n">
        <v>2921</v>
      </c>
      <c r="AA219" s="2" t="n">
        <v>2887</v>
      </c>
      <c r="AB219" s="2" t="n">
        <v>3570</v>
      </c>
      <c r="AC219" s="2" t="n">
        <v>4205</v>
      </c>
      <c r="AD219" s="2" t="n">
        <v>4280</v>
      </c>
      <c r="AE219" s="2" t="n">
        <v>4265</v>
      </c>
      <c r="AF219" s="2" t="n">
        <v>4090</v>
      </c>
      <c r="AG219" s="2" t="n">
        <v>4090</v>
      </c>
      <c r="AH219" s="2" t="n">
        <v>3875</v>
      </c>
      <c r="AI219" s="2" t="n">
        <v>3870</v>
      </c>
      <c r="AJ219" s="2" t="n">
        <v>3845</v>
      </c>
      <c r="AK219" s="2" t="n">
        <v>3810</v>
      </c>
      <c r="AL219" s="2" t="n">
        <v>3850</v>
      </c>
      <c r="AM219" s="2" t="n">
        <v>3970</v>
      </c>
      <c r="AN219" s="2" t="n">
        <v>4135</v>
      </c>
      <c r="AO219" s="2" t="n">
        <v>4490</v>
      </c>
      <c r="AP219" s="2" t="n">
        <v>4610</v>
      </c>
      <c r="AQ219" s="2" t="n">
        <v>4455</v>
      </c>
      <c r="AR219" s="2" t="n">
        <v>4440</v>
      </c>
      <c r="AS219" s="2" t="n">
        <v>4350</v>
      </c>
      <c r="AT219" s="2" t="n">
        <v>4310</v>
      </c>
      <c r="AU219" s="2" t="n">
        <v>4125</v>
      </c>
      <c r="AV219" s="2" t="n">
        <v>4115</v>
      </c>
      <c r="AW219" s="2" t="n">
        <v>4445</v>
      </c>
      <c r="AX219" s="2" t="n">
        <v>4370</v>
      </c>
      <c r="AY219" s="2" t="n">
        <v>4570</v>
      </c>
      <c r="AZ219" s="2" t="n">
        <v>4680</v>
      </c>
      <c r="BA219" s="2" t="n">
        <v>4645</v>
      </c>
      <c r="BB219" s="2" t="n">
        <v>4535</v>
      </c>
      <c r="BC219" s="2" t="n">
        <v>4430</v>
      </c>
      <c r="BD219" s="2" t="n">
        <v>4260</v>
      </c>
      <c r="BE219" s="2" t="n">
        <v>4105</v>
      </c>
      <c r="BF219" s="2" t="n">
        <v>4035</v>
      </c>
      <c r="BG219" s="2" t="n">
        <v>4100</v>
      </c>
      <c r="BH219" s="2" t="n">
        <v>4065</v>
      </c>
      <c r="BI219" s="2" t="n">
        <v>4195</v>
      </c>
      <c r="BJ219" s="2" t="n">
        <v>4050</v>
      </c>
      <c r="BK219" s="2" t="n">
        <v>3995</v>
      </c>
      <c r="BL219" s="2" t="n">
        <v>4215</v>
      </c>
    </row>
    <row r="220">
      <c r="A220" s="65" t="inlineStr">
        <is>
          <t>464A</t>
        </is>
      </c>
      <c r="B220" s="570" t="inlineStr">
        <is>
          <t>QPSホールディングス</t>
        </is>
      </c>
      <c r="C220" s="660">
        <f>_xll.RssMarket("464A","安値")</f>
        <v/>
      </c>
      <c r="D220" s="661">
        <f>C220-E220</f>
        <v/>
      </c>
      <c r="E220" s="2" t="n">
        <v>2170</v>
      </c>
      <c r="F220" s="2" t="n">
        <v>2151</v>
      </c>
      <c r="G220" s="2" t="n">
        <v>2215</v>
      </c>
      <c r="H220" s="2" t="n">
        <v>2166</v>
      </c>
      <c r="I220" s="2" t="n">
        <v>2247</v>
      </c>
      <c r="J220" s="2" t="n">
        <v>2307</v>
      </c>
      <c r="K220" s="2" t="n">
        <v>2685</v>
      </c>
      <c r="L220" s="2" t="n">
        <v>2430</v>
      </c>
      <c r="M220" s="2" t="n">
        <v>2461</v>
      </c>
      <c r="N220" s="2" t="n">
        <v>2695</v>
      </c>
      <c r="O220" s="2" t="n">
        <v>2833</v>
      </c>
      <c r="P220" s="2" t="n">
        <v>2600</v>
      </c>
      <c r="Q220" s="2" t="n">
        <v>2894</v>
      </c>
      <c r="R220" s="2" t="n">
        <v>2900</v>
      </c>
      <c r="S220" s="2" t="n">
        <v>3915</v>
      </c>
      <c r="T220" s="2" t="n">
        <v>4075</v>
      </c>
      <c r="U220" s="2" t="n">
        <v>4080</v>
      </c>
      <c r="V220" s="2" t="n">
        <v>3780</v>
      </c>
      <c r="W220" s="2" t="n">
        <v>3385</v>
      </c>
      <c r="X220" s="2" t="n">
        <v>3175</v>
      </c>
      <c r="Y220" s="2" t="n">
        <v>3220</v>
      </c>
      <c r="Z220" s="2" t="n">
        <v>3320</v>
      </c>
      <c r="AA220" s="2" t="n">
        <v>3170</v>
      </c>
      <c r="AB220" s="2" t="n">
        <v>3230</v>
      </c>
      <c r="AC220" s="2" t="n">
        <v>3175</v>
      </c>
      <c r="AD220" s="2" t="n">
        <v>2868</v>
      </c>
      <c r="AE220" s="2" t="n">
        <v>2840</v>
      </c>
      <c r="AF220" s="2" t="n">
        <v>2949</v>
      </c>
      <c r="AG220" s="2" t="n">
        <v>2635</v>
      </c>
      <c r="AH220" s="2" t="n">
        <v>2631</v>
      </c>
      <c r="AI220" s="2" t="n">
        <v>2493</v>
      </c>
      <c r="AJ220" s="2" t="n">
        <v>2473</v>
      </c>
      <c r="AK220" s="2" t="n">
        <v>2432</v>
      </c>
      <c r="AL220" s="2" t="n">
        <v>2404</v>
      </c>
      <c r="AM220" s="2" t="n">
        <v>2477</v>
      </c>
      <c r="AN220" s="2" t="n">
        <v>2501</v>
      </c>
      <c r="AO220" s="2" t="n">
        <v>2652</v>
      </c>
      <c r="AP220" s="2" t="n">
        <v>2650</v>
      </c>
      <c r="AQ220" s="2" t="n">
        <v>2596</v>
      </c>
      <c r="AR220" s="2" t="n">
        <v>2581</v>
      </c>
      <c r="AS220" s="2" t="n">
        <v>2530</v>
      </c>
      <c r="AT220" s="2" t="n">
        <v>2496</v>
      </c>
      <c r="AU220" s="2" t="n">
        <v>2543</v>
      </c>
      <c r="AV220" s="2" t="n">
        <v>2732</v>
      </c>
      <c r="AW220" s="2" t="n">
        <v>2660</v>
      </c>
      <c r="AX220" s="2" t="n">
        <v>2576</v>
      </c>
      <c r="AY220" s="2" t="n">
        <v>2512</v>
      </c>
      <c r="AZ220" s="2" t="n">
        <v>2394</v>
      </c>
      <c r="BA220" s="2" t="n">
        <v>2366</v>
      </c>
      <c r="BB220" s="2" t="n">
        <v>2289</v>
      </c>
      <c r="BC220" s="2" t="n">
        <v>2269</v>
      </c>
      <c r="BD220" s="2" t="n">
        <v>2150</v>
      </c>
      <c r="BE220" s="2" t="n">
        <v>2063</v>
      </c>
      <c r="BF220" s="2" t="n">
        <v>2086</v>
      </c>
      <c r="BG220" s="2" t="n">
        <v>2281</v>
      </c>
      <c r="BH220" s="2" t="n">
        <v>2335</v>
      </c>
      <c r="BI220" s="2" t="n">
        <v>2300</v>
      </c>
      <c r="BJ220" s="2" t="n">
        <v>2191</v>
      </c>
      <c r="BK220" s="2" t="n">
        <v>2260</v>
      </c>
      <c r="BL220" s="2" t="n">
        <v>2473</v>
      </c>
    </row>
    <row r="221">
      <c r="A221" s="65" t="inlineStr">
        <is>
          <t>485A</t>
        </is>
      </c>
      <c r="B221" s="570" t="inlineStr">
        <is>
          <t>パワーエックス</t>
        </is>
      </c>
      <c r="C221" s="660">
        <f>_xll.RssMarket("485A","安値")</f>
        <v/>
      </c>
      <c r="D221" s="661">
        <f>C221-E221</f>
        <v/>
      </c>
      <c r="E221" s="2" t="n">
        <v>1982</v>
      </c>
      <c r="F221" s="2" t="n">
        <v>1731</v>
      </c>
      <c r="G221" s="2" t="n">
        <v>1955</v>
      </c>
      <c r="H221" s="2" t="n">
        <v>2291</v>
      </c>
      <c r="I221" s="2" t="n">
        <v>2345</v>
      </c>
      <c r="J221" s="2" t="n">
        <v>2323</v>
      </c>
      <c r="K221" s="2" t="n">
        <v>2430</v>
      </c>
      <c r="L221" s="2" t="n">
        <v>2130</v>
      </c>
      <c r="M221" s="2" t="n">
        <v>2217</v>
      </c>
      <c r="N221" s="2" t="n">
        <v>2628</v>
      </c>
      <c r="O221" s="2" t="n">
        <v>2657</v>
      </c>
      <c r="P221" s="2" t="n">
        <v>2853</v>
      </c>
      <c r="Q221" s="2" t="n">
        <v>3120</v>
      </c>
      <c r="R221" s="2" t="n">
        <v>3075</v>
      </c>
      <c r="S221" s="2" t="n">
        <v>3640</v>
      </c>
      <c r="T221" s="2" t="n">
        <v>4075</v>
      </c>
      <c r="U221" s="2" t="n">
        <v>13500</v>
      </c>
      <c r="V221" s="2" t="n">
        <v>12950</v>
      </c>
      <c r="W221" s="2" t="n">
        <v>12700</v>
      </c>
      <c r="X221" s="2" t="n">
        <v>12930</v>
      </c>
      <c r="Y221" s="2" t="n">
        <v>13220</v>
      </c>
      <c r="Z221" s="2" t="n">
        <v>14180</v>
      </c>
      <c r="AA221" s="2" t="n">
        <v>12600</v>
      </c>
      <c r="AB221" s="2" t="n">
        <v>12040</v>
      </c>
      <c r="AC221" s="2" t="n">
        <v>11890</v>
      </c>
      <c r="AD221" s="2" t="n">
        <v>11120</v>
      </c>
      <c r="AE221" s="2" t="n">
        <v>11960</v>
      </c>
      <c r="AF221" s="2" t="n">
        <v>13800</v>
      </c>
      <c r="AG221" s="2" t="n">
        <v>12350</v>
      </c>
      <c r="AH221" s="2" t="n">
        <v>9910</v>
      </c>
      <c r="AI221" s="2" t="n">
        <v>10210</v>
      </c>
      <c r="AJ221" s="2" t="n">
        <v>9530</v>
      </c>
      <c r="AK221" s="2" t="n">
        <v>8810</v>
      </c>
      <c r="AL221" s="2" t="n">
        <v>8000</v>
      </c>
      <c r="AM221" s="2" t="n">
        <v>7260</v>
      </c>
      <c r="AN221" s="2" t="n">
        <v>6960</v>
      </c>
      <c r="AO221" s="2" t="n">
        <v>6940</v>
      </c>
      <c r="AP221" s="2" t="n">
        <v>6810</v>
      </c>
      <c r="AQ221" s="2" t="n">
        <v>6540</v>
      </c>
      <c r="AR221" s="2" t="n">
        <v>6530</v>
      </c>
      <c r="AS221" s="2" t="n">
        <v>6650</v>
      </c>
      <c r="AT221" s="2" t="n">
        <v>6700</v>
      </c>
      <c r="AU221" s="2" t="n">
        <v>6620</v>
      </c>
      <c r="AV221" s="2" t="n">
        <v>7110</v>
      </c>
      <c r="AW221" s="2" t="n">
        <v>6660</v>
      </c>
      <c r="AX221" s="2" t="n">
        <v>6110</v>
      </c>
      <c r="AY221" s="2" t="n">
        <v>5540</v>
      </c>
      <c r="AZ221" s="2" t="n">
        <v>5530</v>
      </c>
      <c r="BA221" s="2" t="n">
        <v>5980</v>
      </c>
      <c r="BB221" s="2" t="n">
        <v>5490</v>
      </c>
      <c r="BC221" s="2" t="n">
        <v>4995</v>
      </c>
      <c r="BD221" s="2" t="n">
        <v>4900</v>
      </c>
      <c r="BE221" s="2" t="n">
        <v>4480</v>
      </c>
      <c r="BF221" s="2" t="n">
        <v>4120</v>
      </c>
      <c r="BG221" s="2" t="n">
        <v>3800</v>
      </c>
      <c r="BH221" s="2" t="n">
        <v>3850</v>
      </c>
      <c r="BI221" s="2" t="n">
        <v>4180</v>
      </c>
      <c r="BJ221" s="2" t="n">
        <v>4730</v>
      </c>
      <c r="BK221" s="2" t="n">
        <v>5310</v>
      </c>
      <c r="BL221" s="2" t="n">
        <v>5460</v>
      </c>
    </row>
    <row r="222">
      <c r="A222" s="65" t="inlineStr">
        <is>
          <t>1570</t>
        </is>
      </c>
      <c r="B222" s="570">
        <f>銘柄管理!C222</f>
        <v/>
      </c>
      <c r="C222" s="660">
        <f>_xll.RssMarket("1570","安値")</f>
        <v/>
      </c>
      <c r="D222" s="661" t="n"/>
      <c r="E222" s="2" t="n">
        <v>82340</v>
      </c>
      <c r="F222" s="2" t="n">
        <v>81150</v>
      </c>
      <c r="G222" s="2" t="n">
        <v>80310</v>
      </c>
      <c r="H222" s="2" t="n">
        <v>76880</v>
      </c>
      <c r="I222" s="2" t="n">
        <v>77580</v>
      </c>
      <c r="J222" s="2" t="n">
        <v>76230</v>
      </c>
      <c r="K222" s="2" t="n">
        <v>70550</v>
      </c>
      <c r="L222" s="2" t="n">
        <v>63340</v>
      </c>
      <c r="M222" s="2" t="n">
        <v>66310</v>
      </c>
      <c r="N222" s="2" t="n">
        <v>65660</v>
      </c>
      <c r="O222" s="2" t="n">
        <v>71000</v>
      </c>
      <c r="P222" s="2" t="n">
        <v>73330</v>
      </c>
      <c r="Q222" s="2" t="n">
        <v>74440</v>
      </c>
      <c r="R222" s="2" t="n">
        <v>70450</v>
      </c>
      <c r="S222" s="2" t="n">
        <v>70540</v>
      </c>
      <c r="T222" s="2" t="n">
        <v>66970</v>
      </c>
      <c r="U222" s="2" t="n">
        <v>69560</v>
      </c>
      <c r="V222" s="2" t="n">
        <v>66840</v>
      </c>
      <c r="W222" s="2" t="n">
        <v>63840</v>
      </c>
      <c r="X222" s="2" t="n">
        <v>61640</v>
      </c>
      <c r="Y222" s="2" t="n">
        <v>57900</v>
      </c>
      <c r="Z222" s="2" t="n">
        <v>59830</v>
      </c>
      <c r="AA222" s="2" t="n">
        <v>60050</v>
      </c>
      <c r="AB222" s="2" t="n">
        <v>61210</v>
      </c>
      <c r="AC222" s="2" t="n">
        <v>64770</v>
      </c>
      <c r="AD222" s="2" t="n">
        <v>63870</v>
      </c>
      <c r="AE222" s="2" t="n">
        <v>63710</v>
      </c>
      <c r="AF222" s="2" t="n">
        <v>64200</v>
      </c>
      <c r="AG222" s="2" t="n">
        <v>63700</v>
      </c>
      <c r="AH222" s="2" t="n">
        <v>63130</v>
      </c>
      <c r="AI222" s="2" t="n">
        <v>58360</v>
      </c>
      <c r="AJ222" s="2" t="n">
        <v>57500</v>
      </c>
      <c r="AK222" s="2" t="n">
        <v>59080</v>
      </c>
      <c r="AL222" s="2" t="n">
        <v>58860</v>
      </c>
      <c r="AM222" s="2" t="n">
        <v>58180</v>
      </c>
      <c r="AN222" s="2" t="n">
        <v>56960</v>
      </c>
      <c r="AO222" s="2" t="n">
        <v>57740</v>
      </c>
      <c r="AP222" s="2" t="n">
        <v>57800</v>
      </c>
      <c r="AQ222" s="2" t="n">
        <v>57230</v>
      </c>
      <c r="AR222" s="2" t="n">
        <v>57070</v>
      </c>
      <c r="AS222" s="2" t="n">
        <v>56910</v>
      </c>
      <c r="AT222" s="2" t="n">
        <v>55960</v>
      </c>
      <c r="AU222" s="2" t="n">
        <v>54700</v>
      </c>
      <c r="AV222" s="2" t="n">
        <v>52570</v>
      </c>
      <c r="AW222" s="2" t="n">
        <v>53010</v>
      </c>
      <c r="AX222" s="2" t="n">
        <v>51790</v>
      </c>
      <c r="AY222" s="2" t="n">
        <v>51520</v>
      </c>
      <c r="AZ222" s="2" t="n">
        <v>47150</v>
      </c>
      <c r="BA222" s="2" t="n">
        <v>47190</v>
      </c>
      <c r="BB222" s="2" t="n">
        <v>46760</v>
      </c>
      <c r="BC222" s="2" t="n">
        <v>45610</v>
      </c>
      <c r="BD222" s="2" t="n">
        <v>46470</v>
      </c>
      <c r="BE222" s="2" t="n">
        <v>42820</v>
      </c>
      <c r="BF222" s="2" t="n">
        <v>42940</v>
      </c>
      <c r="BG222" s="2" t="n">
        <v>45560</v>
      </c>
      <c r="BH222" s="2" t="n">
        <v>46760</v>
      </c>
      <c r="BI222" s="2" t="n">
        <v>47270</v>
      </c>
      <c r="BJ222" s="2" t="n">
        <v>44160</v>
      </c>
      <c r="BK222" s="2" t="n">
        <v>42510</v>
      </c>
      <c r="BL222" s="2" t="n">
        <v>46980</v>
      </c>
    </row>
    <row r="223">
      <c r="A223" s="65" t="inlineStr">
        <is>
          <t>6135</t>
        </is>
      </c>
      <c r="B223" s="570">
        <f>銘柄管理!C223</f>
        <v/>
      </c>
      <c r="C223" s="660">
        <f>_xll.RssMarket("6135","安値")</f>
        <v/>
      </c>
      <c r="D223" s="661" t="n"/>
      <c r="E223" s="2" t="n">
        <v>14450</v>
      </c>
      <c r="F223" s="570" t="n">
        <v>14280</v>
      </c>
      <c r="G223" s="570" t="n">
        <v>14230</v>
      </c>
      <c r="H223" s="570" t="n">
        <v>14110</v>
      </c>
      <c r="I223" s="570" t="n">
        <v>14060</v>
      </c>
      <c r="J223" s="570" t="n">
        <v>14030</v>
      </c>
      <c r="K223" s="570" t="n">
        <v>13970</v>
      </c>
      <c r="L223" s="570" t="n">
        <v>13930</v>
      </c>
      <c r="M223" s="570" t="n">
        <v>14420</v>
      </c>
      <c r="N223" s="570" t="n">
        <v>13730</v>
      </c>
      <c r="O223" s="570" t="n">
        <v>14000</v>
      </c>
      <c r="P223" s="570" t="n">
        <v>13840</v>
      </c>
      <c r="Q223" s="570" t="n">
        <v>13530</v>
      </c>
      <c r="R223" s="570" t="n">
        <v>13700</v>
      </c>
      <c r="S223" s="570" t="n">
        <v>13210</v>
      </c>
      <c r="T223" s="570" t="n">
        <v>12920</v>
      </c>
      <c r="U223" s="570" t="n">
        <v>12960</v>
      </c>
      <c r="V223" s="570" t="n">
        <v>13190</v>
      </c>
      <c r="W223" s="570" t="n">
        <v>12850</v>
      </c>
      <c r="X223" s="570" t="n">
        <v>13180</v>
      </c>
      <c r="Y223" s="570" t="n">
        <v>13110</v>
      </c>
      <c r="Z223" s="570" t="n">
        <v>13620</v>
      </c>
      <c r="AA223" s="570" t="n">
        <v>13510</v>
      </c>
      <c r="AB223" s="570" t="n">
        <v>13400</v>
      </c>
      <c r="AC223" s="570" t="n">
        <v>13390</v>
      </c>
      <c r="AD223" s="570" t="n">
        <v>13580</v>
      </c>
      <c r="AE223" s="570" t="n">
        <v>13510</v>
      </c>
      <c r="AF223" s="570" t="n">
        <v>12930</v>
      </c>
      <c r="AG223" s="570" t="n">
        <v>13190</v>
      </c>
      <c r="AH223" s="570" t="n">
        <v>12950</v>
      </c>
      <c r="AI223" s="570" t="n">
        <v>11920</v>
      </c>
      <c r="AJ223" s="570" t="n">
        <v>11730</v>
      </c>
      <c r="AK223" s="570" t="n">
        <v>11640</v>
      </c>
      <c r="AL223" s="570" t="n">
        <v>11640</v>
      </c>
      <c r="AM223" s="570" t="n">
        <v>11700</v>
      </c>
      <c r="AN223" s="570" t="n">
        <v>10370</v>
      </c>
      <c r="AO223" s="570" t="n">
        <v>11590</v>
      </c>
      <c r="AP223" s="570" t="n">
        <v>11610</v>
      </c>
      <c r="AQ223" s="570" t="n">
        <v>11600</v>
      </c>
      <c r="AR223" s="570" t="n">
        <v>11600</v>
      </c>
      <c r="AS223" s="570" t="n">
        <v>11580</v>
      </c>
      <c r="AT223" s="570" t="n">
        <v>11580</v>
      </c>
      <c r="AU223" s="570" t="n">
        <v>11580</v>
      </c>
      <c r="AV223" s="570" t="n">
        <v>11550</v>
      </c>
      <c r="AW223" s="570" t="n">
        <v>11590</v>
      </c>
      <c r="AX223" s="570" t="n">
        <v>11550</v>
      </c>
      <c r="AY223" s="570" t="n">
        <v>11540</v>
      </c>
      <c r="AZ223" s="570" t="n">
        <v>11520</v>
      </c>
      <c r="BA223" s="570" t="n">
        <v>11520</v>
      </c>
      <c r="BB223" s="570" t="n">
        <v>11520</v>
      </c>
      <c r="BC223" s="570" t="n">
        <v>11480</v>
      </c>
      <c r="BD223" s="570" t="n">
        <v>11490</v>
      </c>
      <c r="BE223" s="570" t="n">
        <v>11440</v>
      </c>
      <c r="BF223" s="570" t="n">
        <v>11470</v>
      </c>
      <c r="BG223" s="570" t="n">
        <v>11480</v>
      </c>
      <c r="BH223" s="570" t="n">
        <v>11480</v>
      </c>
      <c r="BI223" s="570" t="n">
        <v>11480</v>
      </c>
      <c r="BJ223" s="570" t="n">
        <v>11460</v>
      </c>
      <c r="BK223" s="570" t="n">
        <v>11440</v>
      </c>
      <c r="BL223" s="570" t="n">
        <v>11540</v>
      </c>
    </row>
    <row r="224">
      <c r="A224" s="65" t="inlineStr">
        <is>
          <t>6055</t>
        </is>
      </c>
      <c r="B224" s="570">
        <f>銘柄管理!C224</f>
        <v/>
      </c>
      <c r="C224" s="660">
        <f>_xll.RssMarket("6055","安値")</f>
        <v/>
      </c>
      <c r="D224" s="661" t="n"/>
      <c r="E224" s="2" t="n">
        <v>2451</v>
      </c>
      <c r="F224" s="570" t="n">
        <v>2427</v>
      </c>
      <c r="G224" s="570" t="n">
        <v>2368</v>
      </c>
      <c r="H224" s="570" t="n">
        <v>2325</v>
      </c>
      <c r="I224" s="570" t="n">
        <v>2391</v>
      </c>
      <c r="J224" s="570" t="n">
        <v>2388</v>
      </c>
      <c r="K224" s="570" t="n">
        <v>2251</v>
      </c>
      <c r="L224" s="570" t="n">
        <v>2051</v>
      </c>
      <c r="M224" s="570" t="n">
        <v>2087</v>
      </c>
      <c r="N224" s="570" t="n">
        <v>2051</v>
      </c>
      <c r="O224" s="570" t="n">
        <v>2155</v>
      </c>
      <c r="P224" s="570" t="n">
        <v>2117</v>
      </c>
      <c r="Q224" s="570" t="n">
        <v>2039</v>
      </c>
      <c r="R224" s="570" t="n">
        <v>1956</v>
      </c>
      <c r="S224" s="570" t="n">
        <v>2030</v>
      </c>
      <c r="T224" s="570" t="n">
        <v>2000</v>
      </c>
      <c r="U224" s="570" t="n">
        <v>2041</v>
      </c>
      <c r="V224" s="570" t="n">
        <v>2016</v>
      </c>
      <c r="W224" s="570" t="n">
        <v>1981</v>
      </c>
      <c r="X224" s="570" t="n">
        <v>1963</v>
      </c>
      <c r="Y224" s="570" t="n">
        <v>1885</v>
      </c>
      <c r="Z224" s="570" t="n">
        <v>1938</v>
      </c>
      <c r="AA224" s="570" t="n">
        <v>2065</v>
      </c>
      <c r="AB224" s="570" t="n">
        <v>1953</v>
      </c>
      <c r="AC224" s="570" t="n">
        <v>2006</v>
      </c>
      <c r="AD224" s="570" t="n">
        <v>2052</v>
      </c>
      <c r="AE224" s="570" t="n">
        <v>2095</v>
      </c>
      <c r="AF224" s="570" t="n">
        <v>1996</v>
      </c>
      <c r="AG224" s="570" t="n">
        <v>1922</v>
      </c>
      <c r="AH224" s="570" t="n">
        <v>1914</v>
      </c>
      <c r="AI224" s="570" t="n">
        <v>1778</v>
      </c>
      <c r="AJ224" s="570" t="n">
        <v>1768</v>
      </c>
      <c r="AK224" s="570" t="n">
        <v>1794</v>
      </c>
      <c r="AL224" s="570" t="n">
        <v>1838</v>
      </c>
      <c r="AM224" s="570" t="n">
        <v>1786</v>
      </c>
      <c r="AN224" s="570" t="n">
        <v>1751</v>
      </c>
      <c r="AO224" s="570" t="n">
        <v>1803</v>
      </c>
      <c r="AP224" s="570" t="n">
        <v>1834</v>
      </c>
      <c r="AQ224" s="570" t="n">
        <v>1836</v>
      </c>
      <c r="AR224" s="570" t="n">
        <v>1850</v>
      </c>
      <c r="AS224" s="570" t="n">
        <v>1886</v>
      </c>
      <c r="AT224" s="570" t="n">
        <v>1880</v>
      </c>
      <c r="AU224" s="570" t="n">
        <v>1840</v>
      </c>
      <c r="AV224" s="570" t="n">
        <v>1768</v>
      </c>
      <c r="AW224" s="570" t="n">
        <v>1789</v>
      </c>
      <c r="AX224" s="570" t="n">
        <v>1752</v>
      </c>
      <c r="AY224" s="570" t="n">
        <v>1724</v>
      </c>
      <c r="AZ224" s="570" t="n">
        <v>1645</v>
      </c>
      <c r="BA224" s="570" t="n">
        <v>1625</v>
      </c>
      <c r="BB224" s="570" t="n">
        <v>1616</v>
      </c>
      <c r="BC224" s="570" t="n">
        <v>1603</v>
      </c>
      <c r="BD224" s="570" t="n">
        <v>1611</v>
      </c>
      <c r="BE224" s="570" t="n">
        <v>1540</v>
      </c>
      <c r="BF224" s="570" t="n">
        <v>1568</v>
      </c>
      <c r="BG224" s="570" t="n">
        <v>1686</v>
      </c>
      <c r="BH224" s="570" t="n">
        <v>1696</v>
      </c>
      <c r="BI224" s="570" t="n">
        <v>1710</v>
      </c>
      <c r="BJ224" s="570" t="n">
        <v>1642</v>
      </c>
      <c r="BK224" s="570" t="n">
        <v>1608</v>
      </c>
      <c r="BL224" s="570" t="n">
        <v>1713</v>
      </c>
    </row>
    <row r="225">
      <c r="A225" s="65" t="inlineStr">
        <is>
          <t>6862</t>
        </is>
      </c>
      <c r="B225" s="570">
        <f>銘柄管理!C225</f>
        <v/>
      </c>
      <c r="C225" s="570">
        <f>_xll.RssMarket("6862","安値")</f>
        <v/>
      </c>
      <c r="E225" s="2" t="n">
        <v>2327</v>
      </c>
      <c r="F225" s="570" t="n">
        <v>2276</v>
      </c>
      <c r="G225" s="570" t="n">
        <v>2214</v>
      </c>
      <c r="H225" s="570" t="n">
        <v>2050</v>
      </c>
      <c r="I225" s="570" t="n">
        <v>2036</v>
      </c>
      <c r="J225" s="570" t="n">
        <v>1980</v>
      </c>
      <c r="K225" s="570" t="n">
        <v>1900</v>
      </c>
      <c r="L225" s="570" t="n">
        <v>1891</v>
      </c>
      <c r="M225" s="570" t="n">
        <v>1915</v>
      </c>
      <c r="N225" s="570" t="n">
        <v>2040</v>
      </c>
      <c r="O225" s="570" t="n">
        <v>2103</v>
      </c>
      <c r="P225" s="570" t="n">
        <v>2097</v>
      </c>
      <c r="Q225" s="570" t="n">
        <v>2202</v>
      </c>
      <c r="R225" s="570" t="n">
        <v>2068</v>
      </c>
      <c r="S225" s="570" t="n">
        <v>2180</v>
      </c>
      <c r="T225" s="570" t="n">
        <v>2130</v>
      </c>
      <c r="U225" s="570" t="n">
        <v>2232</v>
      </c>
      <c r="V225" s="570" t="n">
        <v>2541</v>
      </c>
      <c r="W225" s="570" t="n">
        <v>2513</v>
      </c>
      <c r="X225" s="570" t="n">
        <v>2335</v>
      </c>
      <c r="Y225" s="570" t="n">
        <v>2320</v>
      </c>
      <c r="Z225" s="570" t="n">
        <v>2500</v>
      </c>
      <c r="AA225" s="570" t="n">
        <v>2680</v>
      </c>
      <c r="AB225" s="570" t="n">
        <v>2671</v>
      </c>
      <c r="AC225" s="570" t="n">
        <v>2853</v>
      </c>
      <c r="AD225" s="570" t="n">
        <v>2930</v>
      </c>
      <c r="AE225" s="570" t="n">
        <v>3505</v>
      </c>
      <c r="AF225" s="570" t="n">
        <v>3450</v>
      </c>
      <c r="AG225" s="570" t="n">
        <v>3550</v>
      </c>
      <c r="AH225" s="570" t="n">
        <v>3640</v>
      </c>
      <c r="AI225" s="570" t="n">
        <v>2752</v>
      </c>
      <c r="AJ225" s="570" t="n">
        <v>2622</v>
      </c>
      <c r="AK225" s="570" t="n">
        <v>2585</v>
      </c>
      <c r="AL225" s="570" t="n">
        <v>2480</v>
      </c>
      <c r="AM225" s="570" t="n">
        <v>2379</v>
      </c>
      <c r="AN225" s="570" t="n">
        <v>2390</v>
      </c>
      <c r="AO225" s="570" t="n">
        <v>2430</v>
      </c>
      <c r="AP225" s="570" t="n">
        <v>2498</v>
      </c>
      <c r="AQ225" s="570" t="n">
        <v>2417</v>
      </c>
      <c r="AR225" s="570" t="n">
        <v>2367</v>
      </c>
      <c r="AS225" s="570" t="n">
        <v>2380</v>
      </c>
      <c r="AT225" s="570" t="n">
        <v>2360</v>
      </c>
      <c r="AU225" s="570" t="n">
        <v>2420</v>
      </c>
      <c r="AV225" s="570" t="n">
        <v>2171</v>
      </c>
      <c r="AW225" s="570" t="n">
        <v>2145</v>
      </c>
      <c r="AX225" s="570" t="n">
        <v>2170</v>
      </c>
      <c r="AY225" s="570" t="n">
        <v>2149</v>
      </c>
      <c r="AZ225" s="570" t="n">
        <v>2012</v>
      </c>
      <c r="BA225" s="570" t="n">
        <v>2080</v>
      </c>
      <c r="BB225" s="570" t="n">
        <v>2018</v>
      </c>
      <c r="BC225" s="570" t="n">
        <v>2013</v>
      </c>
      <c r="BD225" s="570" t="n">
        <v>2022</v>
      </c>
      <c r="BE225" s="570" t="n">
        <v>1974</v>
      </c>
      <c r="BF225" s="570" t="n">
        <v>2104</v>
      </c>
      <c r="BG225" s="570" t="n">
        <v>2250</v>
      </c>
      <c r="BH225" s="570" t="n">
        <v>2445</v>
      </c>
      <c r="BI225" s="570" t="n">
        <v>2180</v>
      </c>
      <c r="BJ225" s="570" t="n">
        <v>2065</v>
      </c>
      <c r="BK225" s="570" t="n">
        <v>2065</v>
      </c>
      <c r="BL225" s="570" t="n">
        <v>2237</v>
      </c>
    </row>
    <row r="226">
      <c r="A226" s="65" t="inlineStr">
        <is>
          <t>2267</t>
        </is>
      </c>
      <c r="B226" s="570">
        <f>銘柄管理!C226</f>
        <v/>
      </c>
      <c r="C226" s="570">
        <f>_xll.RssMarket("2267","安値")</f>
        <v/>
      </c>
      <c r="E226" s="2" t="n">
        <v>2656</v>
      </c>
      <c r="F226" s="570" t="n">
        <v>2669.5</v>
      </c>
      <c r="G226" s="570" t="n">
        <v>2604.5</v>
      </c>
      <c r="H226" s="570" t="n">
        <v>2612.5</v>
      </c>
      <c r="I226" s="570" t="n">
        <v>2619</v>
      </c>
      <c r="J226" s="570" t="n">
        <v>2645.5</v>
      </c>
      <c r="K226" s="570" t="n">
        <v>2640</v>
      </c>
      <c r="L226" s="570" t="n">
        <v>2648</v>
      </c>
      <c r="M226" s="570" t="n">
        <v>2656</v>
      </c>
      <c r="N226" s="570" t="n">
        <v>2633.5</v>
      </c>
      <c r="O226" s="570" t="n">
        <v>2626</v>
      </c>
      <c r="P226" s="570" t="n">
        <v>2669</v>
      </c>
      <c r="Q226" s="570" t="n">
        <v>2685</v>
      </c>
      <c r="R226" s="570" t="n">
        <v>2630.5</v>
      </c>
      <c r="S226" s="570" t="n">
        <v>2664.5</v>
      </c>
      <c r="T226" s="570" t="n">
        <v>2706</v>
      </c>
      <c r="U226" s="570" t="n">
        <v>2660</v>
      </c>
      <c r="V226" s="570" t="n">
        <v>2752</v>
      </c>
      <c r="W226" s="570" t="n">
        <v>2704.5</v>
      </c>
      <c r="X226" s="570" t="n">
        <v>2754</v>
      </c>
      <c r="Y226" s="570" t="n">
        <v>2757.5</v>
      </c>
      <c r="Z226" s="570" t="n">
        <v>2714</v>
      </c>
      <c r="AA226" s="570" t="n">
        <v>2700</v>
      </c>
      <c r="AB226" s="570" t="n">
        <v>2730</v>
      </c>
      <c r="AC226" s="570" t="n">
        <v>2760</v>
      </c>
      <c r="AD226" s="570" t="n">
        <v>2642</v>
      </c>
      <c r="AE226" s="570" t="n">
        <v>2620</v>
      </c>
      <c r="AF226" s="570" t="n">
        <v>2844.5</v>
      </c>
      <c r="AG226" s="570" t="n">
        <v>2885</v>
      </c>
      <c r="AH226" s="570" t="n">
        <v>2911</v>
      </c>
      <c r="AI226" s="570" t="n">
        <v>2798</v>
      </c>
      <c r="AJ226" s="570" t="n">
        <v>2706.5</v>
      </c>
      <c r="AK226" s="570" t="n">
        <v>2711</v>
      </c>
      <c r="AL226" s="570" t="n">
        <v>2701.5</v>
      </c>
      <c r="AM226" s="570" t="n">
        <v>2615.5</v>
      </c>
      <c r="AN226" s="570" t="n">
        <v>2583.5</v>
      </c>
      <c r="AO226" s="570" t="n">
        <v>2598.5</v>
      </c>
      <c r="AP226" s="570" t="n">
        <v>2604.5</v>
      </c>
      <c r="AQ226" s="570" t="n">
        <v>2618.5</v>
      </c>
      <c r="AR226" s="570" t="n">
        <v>2641</v>
      </c>
      <c r="AS226" s="570" t="n">
        <v>2645.5</v>
      </c>
      <c r="AT226" s="570" t="n">
        <v>2625.5</v>
      </c>
      <c r="AU226" s="570" t="n">
        <v>2604</v>
      </c>
      <c r="AV226" s="570" t="n">
        <v>2637</v>
      </c>
      <c r="AW226" s="570" t="n">
        <v>2647</v>
      </c>
      <c r="AX226" s="570" t="n">
        <v>2690</v>
      </c>
      <c r="AY226" s="570" t="n">
        <v>2760.5</v>
      </c>
      <c r="AZ226" s="570" t="n">
        <v>2734.5</v>
      </c>
      <c r="BA226" s="570" t="n">
        <v>2711.5</v>
      </c>
      <c r="BB226" s="570" t="n">
        <v>2648.5</v>
      </c>
      <c r="BC226" s="570" t="n">
        <v>2658.5</v>
      </c>
      <c r="BD226" s="570" t="n">
        <v>2634</v>
      </c>
      <c r="BE226" s="570" t="n">
        <v>2660</v>
      </c>
      <c r="BF226" s="570" t="n">
        <v>2598</v>
      </c>
      <c r="BG226" s="570" t="n">
        <v>2641.5</v>
      </c>
      <c r="BH226" s="570" t="n">
        <v>2600.5</v>
      </c>
      <c r="BI226" s="570" t="n">
        <v>2600</v>
      </c>
      <c r="BJ226" s="570" t="n">
        <v>2581</v>
      </c>
      <c r="BK226" s="570" t="n">
        <v>2565</v>
      </c>
      <c r="BL226" s="570" t="n">
        <v>2581.5</v>
      </c>
    </row>
    <row r="227">
      <c r="A227" s="65" t="inlineStr">
        <is>
          <t>1618</t>
        </is>
      </c>
      <c r="B227" s="570">
        <f>銘柄管理!C227</f>
        <v/>
      </c>
      <c r="C227" s="570">
        <f>_xll.RssMarket("1618","安値")</f>
        <v/>
      </c>
      <c r="E227" s="2" t="n">
        <v>32500</v>
      </c>
      <c r="F227" s="570" t="n">
        <v>31810</v>
      </c>
      <c r="G227" s="570" t="n">
        <v>32120</v>
      </c>
      <c r="H227" s="570" t="n">
        <v>31780</v>
      </c>
      <c r="I227" s="570" t="n">
        <v>32100</v>
      </c>
      <c r="J227" s="570" t="n">
        <v>32730</v>
      </c>
      <c r="K227" s="570" t="n">
        <v>32420</v>
      </c>
      <c r="L227" s="570" t="n">
        <v>32350</v>
      </c>
      <c r="M227" s="570" t="n">
        <v>32130</v>
      </c>
      <c r="N227" s="570" t="n">
        <v>33010</v>
      </c>
      <c r="O227" s="570" t="n">
        <v>33910</v>
      </c>
      <c r="P227" s="570" t="n">
        <v>33790</v>
      </c>
      <c r="Q227" s="570" t="n">
        <v>34100</v>
      </c>
      <c r="R227" s="570" t="n">
        <v>32760</v>
      </c>
      <c r="S227" s="570" t="n">
        <v>33520</v>
      </c>
      <c r="T227" s="570" t="n">
        <v>33490</v>
      </c>
      <c r="U227" s="570" t="n">
        <v>33570</v>
      </c>
      <c r="V227" s="570" t="n">
        <v>33740</v>
      </c>
      <c r="W227" s="570" t="n">
        <v>34370</v>
      </c>
      <c r="X227" s="570" t="n">
        <v>34870</v>
      </c>
      <c r="Y227" s="570" t="n">
        <v>35400</v>
      </c>
      <c r="Z227" s="570" t="n">
        <v>35710</v>
      </c>
      <c r="AA227" s="570" t="n">
        <v>35800</v>
      </c>
      <c r="AB227" s="570" t="n">
        <v>35530</v>
      </c>
      <c r="AC227" s="570" t="n">
        <v>35000</v>
      </c>
      <c r="AD227" s="570" t="n">
        <v>35800</v>
      </c>
      <c r="AE227" s="570" t="n">
        <v>35720</v>
      </c>
      <c r="AF227" s="570" t="n">
        <v>34580</v>
      </c>
      <c r="AG227" s="570" t="n">
        <v>34250</v>
      </c>
      <c r="AH227" s="570" t="n">
        <v>35260</v>
      </c>
      <c r="AI227" s="570" t="n">
        <v>35650</v>
      </c>
      <c r="AJ227" s="570" t="n">
        <v>35700</v>
      </c>
      <c r="AK227" s="570" t="n">
        <v>35220</v>
      </c>
      <c r="AL227" s="570" t="n">
        <v>34600</v>
      </c>
      <c r="AM227" s="570" t="n">
        <v>35510</v>
      </c>
      <c r="AN227" s="570" t="n">
        <v>35000</v>
      </c>
      <c r="AO227" s="570" t="n">
        <v>35340</v>
      </c>
      <c r="AP227" s="570" t="n">
        <v>35630</v>
      </c>
      <c r="AQ227" s="570" t="n">
        <v>35950</v>
      </c>
      <c r="AR227" s="570" t="n">
        <v>37150</v>
      </c>
      <c r="AS227" s="570" t="n">
        <v>37580</v>
      </c>
      <c r="AT227" s="570" t="n">
        <v>37650</v>
      </c>
      <c r="AU227" s="570" t="n">
        <v>37800</v>
      </c>
      <c r="AV227" s="570" t="n">
        <v>38820</v>
      </c>
      <c r="AW227" s="570" t="n">
        <v>38340</v>
      </c>
      <c r="AX227" s="570" t="n">
        <v>38820</v>
      </c>
      <c r="AY227" s="570" t="n">
        <v>39080</v>
      </c>
      <c r="AZ227" s="570" t="n">
        <v>40570</v>
      </c>
      <c r="BA227" s="570" t="n">
        <v>40620</v>
      </c>
      <c r="BB227" s="570" t="n">
        <v>40240</v>
      </c>
      <c r="BC227" s="570" t="n">
        <v>39670</v>
      </c>
      <c r="BD227" s="570" t="n">
        <v>39920</v>
      </c>
      <c r="BE227" s="570" t="n">
        <v>40320</v>
      </c>
      <c r="BF227" s="570" t="n">
        <v>40600</v>
      </c>
      <c r="BG227" s="570" t="n">
        <v>39940</v>
      </c>
      <c r="BH227" s="570" t="n">
        <v>39420</v>
      </c>
      <c r="BI227" s="570" t="n">
        <v>38380</v>
      </c>
      <c r="BJ227" s="570" t="n">
        <v>37720</v>
      </c>
      <c r="BK227" s="570" t="n">
        <v>37050</v>
      </c>
      <c r="BL227" s="570" t="n">
        <v>39590</v>
      </c>
    </row>
    <row r="228">
      <c r="A228" s="65" t="inlineStr">
        <is>
          <t>3696</t>
        </is>
      </c>
      <c r="C228" s="570">
        <f>_xll.RssMarket("3696","安値")</f>
        <v/>
      </c>
      <c r="E228" s="2" t="n">
        <v>1734</v>
      </c>
      <c r="F228" s="570" t="n">
        <v>1747</v>
      </c>
      <c r="G228" s="570" t="n">
        <v>1788</v>
      </c>
      <c r="H228" s="570" t="n">
        <v>1794</v>
      </c>
      <c r="I228" s="570" t="n">
        <v>1780</v>
      </c>
      <c r="J228" s="570" t="n">
        <v>1801</v>
      </c>
      <c r="K228" s="570" t="n">
        <v>1709</v>
      </c>
      <c r="L228" s="570" t="n">
        <v>1701</v>
      </c>
      <c r="M228" s="570" t="n">
        <v>1752</v>
      </c>
      <c r="N228" s="570" t="n">
        <v>1725</v>
      </c>
      <c r="O228" s="570" t="n">
        <v>1742</v>
      </c>
      <c r="P228" s="570" t="n">
        <v>1694</v>
      </c>
      <c r="Q228" s="570" t="n">
        <v>1747</v>
      </c>
      <c r="R228" s="570" t="n">
        <v>1782</v>
      </c>
      <c r="S228" s="570" t="n">
        <v>1754</v>
      </c>
      <c r="T228" s="570" t="n">
        <v>1713</v>
      </c>
      <c r="U228" s="570" t="n">
        <v>1691</v>
      </c>
      <c r="V228" s="570" t="n">
        <v>1755</v>
      </c>
      <c r="W228" s="570" t="n">
        <v>1774</v>
      </c>
      <c r="X228" s="570" t="n">
        <v>1815</v>
      </c>
      <c r="Y228" s="570" t="n">
        <v>1779</v>
      </c>
      <c r="Z228" s="570" t="n">
        <v>1883</v>
      </c>
      <c r="AA228" s="570" t="n">
        <v>1859</v>
      </c>
      <c r="AB228" s="570" t="n">
        <v>1887</v>
      </c>
      <c r="AC228" s="570" t="n">
        <v>1845</v>
      </c>
      <c r="AD228" s="570" t="n">
        <v>1886</v>
      </c>
      <c r="AE228" s="570" t="n">
        <v>4265</v>
      </c>
      <c r="AF228" s="570" t="n">
        <v>4090</v>
      </c>
      <c r="AG228" s="570" t="n">
        <v>4090</v>
      </c>
      <c r="AH228" s="570" t="n">
        <v>3875</v>
      </c>
      <c r="AI228" s="570" t="n">
        <v>3870</v>
      </c>
      <c r="AJ228" s="570" t="n">
        <v>3845</v>
      </c>
      <c r="AK228" s="570" t="n">
        <v>3810</v>
      </c>
      <c r="AL228" s="570" t="n">
        <v>3850</v>
      </c>
      <c r="AM228" s="570" t="n">
        <v>3970</v>
      </c>
      <c r="AN228" s="570" t="n">
        <v>4135</v>
      </c>
      <c r="AO228" s="570" t="n">
        <v>4490</v>
      </c>
      <c r="AP228" s="570" t="n">
        <v>4610</v>
      </c>
      <c r="AQ228" s="570" t="n">
        <v>4455</v>
      </c>
      <c r="AR228" s="570" t="n">
        <v>4440</v>
      </c>
      <c r="AS228" s="570" t="n">
        <v>4350</v>
      </c>
      <c r="AT228" s="570" t="n">
        <v>4310</v>
      </c>
      <c r="AU228" s="570" t="n">
        <v>4125</v>
      </c>
      <c r="AV228" s="570" t="n">
        <v>4115</v>
      </c>
      <c r="AW228" s="570" t="n">
        <v>4445</v>
      </c>
      <c r="AX228" s="570" t="n">
        <v>4370</v>
      </c>
      <c r="AY228" s="570" t="n">
        <v>4570</v>
      </c>
      <c r="AZ228" s="570" t="n">
        <v>4680</v>
      </c>
      <c r="BA228" s="570" t="n">
        <v>4645</v>
      </c>
      <c r="BB228" s="570" t="n">
        <v>4535</v>
      </c>
      <c r="BC228" s="570" t="n">
        <v>4430</v>
      </c>
      <c r="BD228" s="570" t="n">
        <v>4260</v>
      </c>
      <c r="BE228" s="570" t="n">
        <v>4105</v>
      </c>
      <c r="BF228" s="570" t="n">
        <v>4035</v>
      </c>
      <c r="BG228" s="570" t="n">
        <v>4100</v>
      </c>
      <c r="BH228" s="570" t="n">
        <v>4065</v>
      </c>
      <c r="BI228" s="570" t="n">
        <v>4195</v>
      </c>
      <c r="BJ228" s="570" t="n">
        <v>4050</v>
      </c>
      <c r="BK228" s="570" t="n">
        <v>3995</v>
      </c>
      <c r="BL228" s="570" t="n">
        <v>4215</v>
      </c>
    </row>
    <row r="229">
      <c r="A229" s="65" t="inlineStr">
        <is>
          <t>4222</t>
        </is>
      </c>
      <c r="B229" s="570">
        <f>銘柄管理!C229</f>
        <v/>
      </c>
      <c r="C229" s="570">
        <f>_xll.RssMarket("4222","安値")</f>
        <v/>
      </c>
      <c r="E229" s="2" t="n">
        <v>709</v>
      </c>
      <c r="F229" s="570" t="n">
        <v>698</v>
      </c>
      <c r="G229" s="570" t="n">
        <v>701</v>
      </c>
      <c r="H229" s="570" t="n">
        <v>683</v>
      </c>
      <c r="I229" s="570" t="n">
        <v>677</v>
      </c>
      <c r="J229" s="570" t="n">
        <v>664</v>
      </c>
      <c r="K229" s="570" t="n">
        <v>642</v>
      </c>
      <c r="L229" s="570" t="n">
        <v>653</v>
      </c>
      <c r="M229" s="570" t="n">
        <v>648</v>
      </c>
      <c r="N229" s="570" t="n">
        <v>673</v>
      </c>
      <c r="O229" s="570" t="n">
        <v>699</v>
      </c>
      <c r="P229" s="570" t="n">
        <v>693</v>
      </c>
      <c r="Q229" s="570" t="n">
        <v>687</v>
      </c>
      <c r="R229" s="570" t="n">
        <v>681</v>
      </c>
      <c r="S229" s="570" t="n">
        <v>726</v>
      </c>
      <c r="T229" s="570" t="n">
        <v>728</v>
      </c>
      <c r="U229" s="570" t="n">
        <v>753</v>
      </c>
      <c r="V229" s="570" t="n">
        <v>790</v>
      </c>
      <c r="W229" s="570" t="n">
        <v>774</v>
      </c>
      <c r="X229" s="570" t="n">
        <v>800</v>
      </c>
      <c r="Y229" s="570" t="n">
        <v>846</v>
      </c>
      <c r="Z229" s="570" t="n">
        <v>851</v>
      </c>
      <c r="AA229" s="570" t="n">
        <v>894</v>
      </c>
      <c r="AB229" s="570" t="n">
        <v>1161</v>
      </c>
      <c r="AC229" s="570" t="n">
        <v>1189</v>
      </c>
      <c r="AD229" s="570" t="n">
        <v>1241</v>
      </c>
      <c r="AE229" s="570" t="n">
        <v>1169</v>
      </c>
      <c r="AF229" s="570" t="n">
        <v>1130</v>
      </c>
      <c r="AG229" s="570" t="n">
        <v>1121</v>
      </c>
      <c r="AH229" s="570" t="n">
        <v>1084</v>
      </c>
      <c r="AI229" s="570" t="n">
        <v>1101</v>
      </c>
      <c r="AJ229" s="570" t="n">
        <v>1115</v>
      </c>
      <c r="AK229" s="570" t="n">
        <v>1132</v>
      </c>
      <c r="AL229" s="570" t="n">
        <v>1110</v>
      </c>
      <c r="AM229" s="570" t="n">
        <v>1116</v>
      </c>
      <c r="AN229" s="570" t="n">
        <v>1145</v>
      </c>
      <c r="AO229" s="570" t="n">
        <v>1151</v>
      </c>
      <c r="AP229" s="570" t="n">
        <v>1145</v>
      </c>
      <c r="AQ229" s="570" t="n">
        <v>1137</v>
      </c>
      <c r="AR229" s="570" t="n">
        <v>1142</v>
      </c>
      <c r="AS229" s="570" t="n">
        <v>1130</v>
      </c>
      <c r="AT229" s="570" t="n">
        <v>1124</v>
      </c>
      <c r="AU229" s="570" t="n">
        <v>1082</v>
      </c>
      <c r="AV229" s="570" t="n">
        <v>1105</v>
      </c>
      <c r="AW229" s="570" t="n">
        <v>1107</v>
      </c>
      <c r="AX229" s="570" t="n">
        <v>1062</v>
      </c>
      <c r="AY229" s="570" t="n">
        <v>1012</v>
      </c>
      <c r="AZ229" s="570" t="n">
        <v>1020</v>
      </c>
      <c r="BA229" s="570" t="n">
        <v>1002</v>
      </c>
      <c r="BB229" s="570" t="n">
        <v>987</v>
      </c>
      <c r="BC229" s="570" t="n">
        <v>984</v>
      </c>
      <c r="BD229" s="570" t="n">
        <v>986</v>
      </c>
      <c r="BE229" s="570" t="n">
        <v>980</v>
      </c>
      <c r="BF229" s="570" t="n">
        <v>1033</v>
      </c>
      <c r="BG229" s="570" t="n">
        <v>1060</v>
      </c>
      <c r="BH229" s="570" t="n">
        <v>1027</v>
      </c>
      <c r="BI229" s="570" t="n">
        <v>970</v>
      </c>
      <c r="BJ229" s="570" t="n">
        <v>955</v>
      </c>
      <c r="BK229" s="570" t="n">
        <v>1028</v>
      </c>
      <c r="BL229" s="570" t="n">
        <v>1065</v>
      </c>
    </row>
    <row r="230">
      <c r="A230" s="65" t="inlineStr">
        <is>
          <t>3563</t>
        </is>
      </c>
      <c r="B230" s="570">
        <f>銘柄管理!C230</f>
        <v/>
      </c>
      <c r="C230" s="570">
        <f>_xll.RssMarket("3563","安値")</f>
        <v/>
      </c>
      <c r="E230" s="570" t="n">
        <v>9183</v>
      </c>
      <c r="F230" s="570" t="n">
        <v>9193</v>
      </c>
      <c r="G230" s="570" t="n">
        <v>9302</v>
      </c>
      <c r="H230" s="570" t="n">
        <v>9625</v>
      </c>
      <c r="I230" s="570" t="n">
        <v>9789</v>
      </c>
      <c r="J230" s="570" t="n">
        <v>9917</v>
      </c>
      <c r="K230" s="570" t="n">
        <v>9669</v>
      </c>
      <c r="L230" s="570" t="n">
        <v>9776</v>
      </c>
      <c r="M230" s="570" t="n">
        <v>9585</v>
      </c>
      <c r="N230" s="570" t="n">
        <v>9699</v>
      </c>
      <c r="O230" s="570" t="n">
        <v>9660</v>
      </c>
      <c r="P230" s="570" t="n">
        <v>9629</v>
      </c>
      <c r="Q230" s="570" t="n">
        <v>10270</v>
      </c>
      <c r="R230" s="570" t="n">
        <v>10280</v>
      </c>
      <c r="S230" s="570" t="n">
        <v>10360</v>
      </c>
      <c r="T230" s="570" t="n">
        <v>10110</v>
      </c>
      <c r="U230" s="570" t="n">
        <v>9910</v>
      </c>
      <c r="V230" s="570" t="n">
        <v>10115</v>
      </c>
      <c r="W230" s="570" t="n">
        <v>10545</v>
      </c>
      <c r="X230" s="570" t="n">
        <v>10510</v>
      </c>
      <c r="Y230" s="570" t="n">
        <v>10680</v>
      </c>
      <c r="Z230" s="570" t="n">
        <v>10505</v>
      </c>
      <c r="AA230" s="570" t="n">
        <v>10250</v>
      </c>
      <c r="AB230" s="570" t="n">
        <v>10300</v>
      </c>
      <c r="AC230" s="570" t="n">
        <v>10520</v>
      </c>
      <c r="AD230" s="570" t="n">
        <v>10255</v>
      </c>
      <c r="AE230" s="570" t="n">
        <v>10255</v>
      </c>
      <c r="AF230" s="570" t="n">
        <v>10185</v>
      </c>
      <c r="AG230" s="570" t="n">
        <v>9720</v>
      </c>
      <c r="AH230" s="570" t="n">
        <v>9147</v>
      </c>
      <c r="AI230" s="570" t="n">
        <v>8955</v>
      </c>
      <c r="AJ230" s="570" t="n">
        <v>8815</v>
      </c>
      <c r="AK230" s="570" t="n">
        <v>8930</v>
      </c>
      <c r="AL230" s="570" t="n">
        <v>8926</v>
      </c>
      <c r="AM230" s="570" t="n">
        <v>9015</v>
      </c>
      <c r="AN230" s="570" t="n">
        <v>8938</v>
      </c>
      <c r="AO230" s="570" t="n">
        <v>9139</v>
      </c>
      <c r="AP230" s="570" t="n">
        <v>9363</v>
      </c>
      <c r="AQ230" s="570" t="n">
        <v>9242</v>
      </c>
      <c r="AR230" s="570" t="n">
        <v>9132</v>
      </c>
      <c r="AS230" s="570" t="n">
        <v>9424</v>
      </c>
      <c r="AT230" s="570" t="n">
        <v>9425</v>
      </c>
      <c r="AU230" s="570" t="n">
        <v>9481</v>
      </c>
      <c r="AV230" s="570" t="n">
        <v>9402</v>
      </c>
      <c r="AW230" s="570" t="n">
        <v>9302</v>
      </c>
      <c r="AX230" s="570" t="n">
        <v>9381</v>
      </c>
      <c r="AY230" s="570" t="n">
        <v>9630</v>
      </c>
      <c r="AZ230" s="570" t="n">
        <v>9529</v>
      </c>
      <c r="BA230" s="570" t="n">
        <v>9611</v>
      </c>
      <c r="BB230" s="570" t="n">
        <v>9562</v>
      </c>
      <c r="BC230" s="570" t="n">
        <v>9563</v>
      </c>
      <c r="BD230" s="570" t="n">
        <v>9434</v>
      </c>
      <c r="BE230" s="570" t="n">
        <v>9196</v>
      </c>
      <c r="BF230" s="570" t="n">
        <v>9276</v>
      </c>
      <c r="BG230" s="570" t="n">
        <v>9746</v>
      </c>
      <c r="BH230" s="570" t="n">
        <v>9795</v>
      </c>
      <c r="BI230" s="570" t="n">
        <v>9938</v>
      </c>
      <c r="BJ230" s="570" t="n">
        <v>9661</v>
      </c>
      <c r="BK230" s="570" t="n">
        <v>9266</v>
      </c>
      <c r="BL230" s="570" t="n">
        <v>9510</v>
      </c>
    </row>
    <row r="231">
      <c r="A231" s="65" t="inlineStr">
        <is>
          <t>7013</t>
        </is>
      </c>
      <c r="B231" s="570">
        <f>銘柄管理!C231</f>
        <v/>
      </c>
      <c r="C231" s="570">
        <f>_xll.RssMarket("7013","安値")</f>
        <v/>
      </c>
      <c r="E231" s="570" t="n">
        <v>2794</v>
      </c>
      <c r="F231" s="570" t="n">
        <v>2748</v>
      </c>
      <c r="G231" s="570" t="n">
        <v>2862</v>
      </c>
      <c r="H231" s="570" t="n">
        <v>2800</v>
      </c>
      <c r="I231" s="570" t="n">
        <v>2762</v>
      </c>
      <c r="J231" s="570" t="n">
        <v>2498</v>
      </c>
      <c r="K231" s="570" t="n">
        <v>2371</v>
      </c>
      <c r="L231" s="570" t="n">
        <v>2245</v>
      </c>
      <c r="M231" s="570" t="n">
        <v>2416.5</v>
      </c>
      <c r="N231" s="570" t="n">
        <v>2475.5</v>
      </c>
      <c r="O231" s="570" t="n">
        <v>2542.5</v>
      </c>
      <c r="P231" s="570" t="n">
        <v>2452</v>
      </c>
      <c r="Q231" s="570" t="n">
        <v>2411</v>
      </c>
      <c r="R231" s="570" t="n">
        <v>2526.5</v>
      </c>
      <c r="S231" s="570" t="n">
        <v>2718</v>
      </c>
      <c r="T231" s="570" t="n">
        <v>2694</v>
      </c>
      <c r="U231" s="570" t="n">
        <v>2809</v>
      </c>
      <c r="V231" s="570" t="n">
        <v>2738</v>
      </c>
      <c r="W231" s="570" t="n">
        <v>2711</v>
      </c>
      <c r="X231" s="570" t="n">
        <v>2598.5</v>
      </c>
      <c r="Y231" s="570" t="n">
        <v>2468</v>
      </c>
      <c r="Z231" s="570" t="n">
        <v>2561</v>
      </c>
      <c r="AA231" s="570" t="n">
        <v>2664.5</v>
      </c>
      <c r="AB231" s="570" t="n">
        <v>2635</v>
      </c>
      <c r="AC231" s="570" t="n">
        <v>2642</v>
      </c>
      <c r="AD231" s="570" t="n">
        <v>2735.5</v>
      </c>
      <c r="AE231" s="570" t="n">
        <v>2778.5</v>
      </c>
      <c r="AF231" s="570" t="n">
        <v>2803.5</v>
      </c>
      <c r="AG231" s="570" t="n">
        <v>3001</v>
      </c>
      <c r="AH231" s="570" t="n">
        <v>2838</v>
      </c>
      <c r="AI231" s="570" t="n">
        <v>2827.5</v>
      </c>
      <c r="AJ231" s="570" t="n">
        <v>2832.5</v>
      </c>
      <c r="AK231" s="570" t="n">
        <v>2905</v>
      </c>
      <c r="AL231" s="570" t="n">
        <v>2811</v>
      </c>
      <c r="AM231" s="570" t="n">
        <v>2969</v>
      </c>
      <c r="AN231" s="570" t="n">
        <v>3001</v>
      </c>
      <c r="AO231" s="570" t="n">
        <v>2912</v>
      </c>
      <c r="AP231" s="570" t="n">
        <v>3041</v>
      </c>
      <c r="AQ231" s="570" t="n">
        <v>3099</v>
      </c>
      <c r="AR231" s="570" t="n">
        <v>3081</v>
      </c>
      <c r="AS231" s="570" t="n">
        <v>3141</v>
      </c>
      <c r="AT231" s="570" t="n">
        <v>3145</v>
      </c>
      <c r="AU231" s="570" t="n">
        <v>3241</v>
      </c>
      <c r="AV231" s="570" t="n">
        <v>3260</v>
      </c>
      <c r="AW231" s="570" t="n">
        <v>3271</v>
      </c>
      <c r="AX231" s="570" t="n">
        <v>3354</v>
      </c>
      <c r="AY231" s="570" t="n">
        <v>3335</v>
      </c>
      <c r="AZ231" s="570" t="n">
        <v>3291</v>
      </c>
      <c r="BA231" s="570" t="n">
        <v>3301</v>
      </c>
      <c r="BB231" s="570" t="n">
        <v>3370</v>
      </c>
      <c r="BC231" s="570" t="n">
        <v>3342</v>
      </c>
      <c r="BD231" s="570" t="n">
        <v>3191</v>
      </c>
      <c r="BE231" s="570" t="n">
        <v>3125</v>
      </c>
      <c r="BF231" s="570" t="n">
        <v>3226</v>
      </c>
      <c r="BG231" s="570" t="n">
        <v>3397</v>
      </c>
      <c r="BH231" s="570" t="n">
        <v>3445</v>
      </c>
      <c r="BI231" s="570" t="n">
        <v>3477</v>
      </c>
      <c r="BJ231" s="570" t="n">
        <v>3343</v>
      </c>
      <c r="BK231" s="570" t="n">
        <v>3467</v>
      </c>
      <c r="BL231" s="570" t="n">
        <v>3769</v>
      </c>
    </row>
    <row r="232">
      <c r="A232" s="65" t="inlineStr">
        <is>
          <t>8793</t>
        </is>
      </c>
      <c r="B232" s="570">
        <f>銘柄管理!C232</f>
        <v/>
      </c>
      <c r="C232" s="570">
        <f>_xll.RssMarket("8793","安値")</f>
        <v/>
      </c>
      <c r="E232" s="570" t="n">
        <v>4050</v>
      </c>
      <c r="F232" s="570" t="n">
        <v>4090</v>
      </c>
      <c r="G232" s="570" t="n">
        <v>4060</v>
      </c>
      <c r="H232" s="570" t="n">
        <v>4100</v>
      </c>
      <c r="I232" s="570" t="n">
        <v>4070</v>
      </c>
      <c r="J232" s="570" t="n">
        <v>4135</v>
      </c>
      <c r="K232" s="570" t="n">
        <v>4105</v>
      </c>
      <c r="L232" s="570" t="n">
        <v>4075</v>
      </c>
      <c r="M232" s="570" t="n">
        <v>4105</v>
      </c>
      <c r="N232" s="570" t="n">
        <v>3985</v>
      </c>
      <c r="O232" s="570" t="n">
        <v>3950</v>
      </c>
      <c r="P232" s="570" t="n">
        <v>3900</v>
      </c>
      <c r="Q232" s="570" t="n">
        <v>3850</v>
      </c>
      <c r="R232" s="570" t="n">
        <v>3960</v>
      </c>
      <c r="S232" s="570" t="n">
        <v>3915</v>
      </c>
      <c r="T232" s="570" t="n">
        <v>3930</v>
      </c>
      <c r="U232" s="570" t="n">
        <v>3950</v>
      </c>
      <c r="V232" s="570" t="n">
        <v>3960</v>
      </c>
      <c r="W232" s="570" t="n">
        <v>3950</v>
      </c>
      <c r="X232" s="570" t="n">
        <v>3910</v>
      </c>
      <c r="Y232" s="570" t="n">
        <v>3925</v>
      </c>
      <c r="Z232" s="570" t="n">
        <v>3905</v>
      </c>
      <c r="AA232" s="570" t="n">
        <v>3940</v>
      </c>
      <c r="AB232" s="570" t="n">
        <v>3975</v>
      </c>
      <c r="AC232" s="570" t="n">
        <v>4015</v>
      </c>
      <c r="AD232" s="570" t="n">
        <v>4000</v>
      </c>
      <c r="AE232" s="570" t="n">
        <v>4005</v>
      </c>
      <c r="AF232" s="570" t="n">
        <v>4020</v>
      </c>
      <c r="AG232" s="570" t="n">
        <v>3970</v>
      </c>
      <c r="AH232" s="570" t="n">
        <v>4000</v>
      </c>
      <c r="AI232" s="570" t="n">
        <v>4025</v>
      </c>
      <c r="AJ232" s="570" t="n">
        <v>4180</v>
      </c>
      <c r="AK232" s="570" t="n">
        <v>4165</v>
      </c>
      <c r="AL232" s="570" t="n">
        <v>4200</v>
      </c>
      <c r="AM232" s="570" t="n">
        <v>4175</v>
      </c>
      <c r="AN232" s="570" t="n">
        <v>4190</v>
      </c>
      <c r="AO232" s="570" t="n">
        <v>4240</v>
      </c>
      <c r="AP232" s="570" t="n">
        <v>4255</v>
      </c>
      <c r="AQ232" s="570" t="n">
        <v>4235</v>
      </c>
      <c r="AR232" s="570" t="n">
        <v>4265</v>
      </c>
      <c r="AS232" s="570" t="n">
        <v>4240</v>
      </c>
      <c r="AT232" s="570" t="n">
        <v>4150</v>
      </c>
      <c r="AU232" s="570" t="n">
        <v>4145</v>
      </c>
      <c r="AV232" s="570" t="n">
        <v>4145</v>
      </c>
      <c r="AW232" s="570" t="n">
        <v>4205</v>
      </c>
      <c r="AX232" s="570" t="n">
        <v>4230</v>
      </c>
      <c r="AY232" s="570" t="n">
        <v>4175</v>
      </c>
      <c r="AZ232" s="570" t="n">
        <v>4145</v>
      </c>
      <c r="BA232" s="570" t="n">
        <v>4145</v>
      </c>
      <c r="BB232" s="570" t="n">
        <v>4135</v>
      </c>
      <c r="BC232" s="570" t="n">
        <v>4065</v>
      </c>
      <c r="BD232" s="570" t="n">
        <v>4015</v>
      </c>
      <c r="BE232" s="570" t="n">
        <v>3930</v>
      </c>
      <c r="BF232" s="570" t="n">
        <v>4145</v>
      </c>
      <c r="BG232" s="570" t="n">
        <v>4125</v>
      </c>
      <c r="BH232" s="570" t="n">
        <v>4150</v>
      </c>
      <c r="BI232" s="570" t="n">
        <v>4075</v>
      </c>
      <c r="BJ232" s="570" t="n">
        <v>4020</v>
      </c>
      <c r="BK232" s="570" t="n">
        <v>4100</v>
      </c>
      <c r="BL232" s="570" t="n">
        <v>4105</v>
      </c>
    </row>
    <row r="233">
      <c r="A233" s="65" t="inlineStr">
        <is>
          <t>9962</t>
        </is>
      </c>
      <c r="B233" s="570">
        <f>銘柄管理!C233</f>
        <v/>
      </c>
      <c r="C233" s="570">
        <f>_xll.RssMarket("9962","安値")</f>
        <v/>
      </c>
      <c r="E233" s="570" t="n">
        <v>3829</v>
      </c>
      <c r="F233" s="570" t="n">
        <v>3815</v>
      </c>
      <c r="G233" s="570" t="n">
        <v>3861</v>
      </c>
      <c r="H233" s="570" t="n">
        <v>3832</v>
      </c>
      <c r="I233" s="570" t="n">
        <v>3806</v>
      </c>
      <c r="J233" s="570" t="n">
        <v>3746</v>
      </c>
      <c r="K233" s="570" t="n">
        <v>3680</v>
      </c>
      <c r="L233" s="570" t="n">
        <v>3505</v>
      </c>
      <c r="M233" s="570" t="n">
        <v>3530</v>
      </c>
      <c r="N233" s="570" t="n">
        <v>3547</v>
      </c>
      <c r="O233" s="570" t="n">
        <v>3669</v>
      </c>
      <c r="P233" s="570" t="n">
        <v>3726</v>
      </c>
      <c r="Q233" s="570" t="n">
        <v>3678</v>
      </c>
      <c r="R233" s="570" t="n">
        <v>3559</v>
      </c>
      <c r="S233" s="570" t="n">
        <v>3683</v>
      </c>
      <c r="T233" s="570" t="n">
        <v>3506</v>
      </c>
      <c r="U233" s="570" t="n">
        <v>3505</v>
      </c>
      <c r="V233" s="570" t="n">
        <v>3405</v>
      </c>
      <c r="W233" s="570" t="n">
        <v>3376</v>
      </c>
      <c r="X233" s="570" t="n">
        <v>3184</v>
      </c>
      <c r="Y233" s="570" t="n">
        <v>3053</v>
      </c>
      <c r="Z233" s="570" t="n">
        <v>3071</v>
      </c>
      <c r="AA233" s="570" t="n">
        <v>3104</v>
      </c>
      <c r="AB233" s="570" t="n">
        <v>3205</v>
      </c>
      <c r="AC233" s="570" t="n">
        <v>3348</v>
      </c>
      <c r="AD233" s="570" t="n">
        <v>3248</v>
      </c>
      <c r="AE233" s="570" t="n">
        <v>3356</v>
      </c>
      <c r="AF233" s="570" t="n">
        <v>3356</v>
      </c>
      <c r="AG233" s="570" t="n">
        <v>3386</v>
      </c>
      <c r="AH233" s="570" t="n">
        <v>3400</v>
      </c>
      <c r="AI233" s="570" t="n">
        <v>3246</v>
      </c>
      <c r="AJ233" s="570" t="n">
        <v>3350</v>
      </c>
      <c r="AK233" s="570" t="n">
        <v>3309</v>
      </c>
      <c r="AL233" s="570" t="n">
        <v>3044</v>
      </c>
      <c r="AM233" s="570" t="n">
        <v>2982</v>
      </c>
      <c r="AN233" s="570" t="n">
        <v>2963.5</v>
      </c>
      <c r="AO233" s="570" t="n">
        <v>3048</v>
      </c>
      <c r="AP233" s="570" t="n">
        <v>3107</v>
      </c>
      <c r="AQ233" s="570" t="n">
        <v>3062</v>
      </c>
      <c r="AR233" s="570" t="n">
        <v>3000</v>
      </c>
      <c r="AS233" s="570" t="n">
        <v>3006</v>
      </c>
      <c r="AT233" s="570" t="n">
        <v>2982.5</v>
      </c>
      <c r="AU233" s="570" t="n">
        <v>2938</v>
      </c>
      <c r="AV233" s="570" t="n">
        <v>2935.5</v>
      </c>
      <c r="AW233" s="570" t="n">
        <v>2995.5</v>
      </c>
      <c r="AX233" s="570" t="n">
        <v>2958.5</v>
      </c>
      <c r="AY233" s="570" t="n">
        <v>2890</v>
      </c>
      <c r="AZ233" s="570" t="n">
        <v>2767</v>
      </c>
      <c r="BA233" s="570" t="n">
        <v>2787</v>
      </c>
      <c r="BB233" s="570" t="n">
        <v>2735</v>
      </c>
      <c r="BC233" s="570" t="n">
        <v>2702</v>
      </c>
      <c r="BD233" s="570" t="n">
        <v>2691</v>
      </c>
      <c r="BE233" s="570" t="n">
        <v>2528</v>
      </c>
      <c r="BF233" s="570" t="n">
        <v>2562.5</v>
      </c>
      <c r="BG233" s="570" t="n">
        <v>2734</v>
      </c>
      <c r="BH233" s="570" t="n">
        <v>2788.5</v>
      </c>
      <c r="BI233" s="570" t="n">
        <v>2802</v>
      </c>
      <c r="BJ233" s="570" t="n">
        <v>2668.5</v>
      </c>
      <c r="BK233" s="570" t="n">
        <v>2630</v>
      </c>
      <c r="BL233" s="570" t="n">
        <v>2786.5</v>
      </c>
    </row>
    <row r="234">
      <c r="A234" s="65" t="inlineStr">
        <is>
          <t>6762</t>
        </is>
      </c>
      <c r="B234" s="570">
        <f>銘柄管理!C234</f>
        <v/>
      </c>
      <c r="C234" s="570">
        <f>_xll.RssMarket("6762","安値")</f>
        <v/>
      </c>
      <c r="E234" s="570" t="n">
        <v>3961</v>
      </c>
      <c r="F234" s="570" t="n">
        <v>3867</v>
      </c>
      <c r="G234" s="570" t="n">
        <v>3835</v>
      </c>
      <c r="H234" s="570" t="n">
        <v>3728</v>
      </c>
      <c r="I234" s="570" t="n">
        <v>3802</v>
      </c>
      <c r="J234" s="570" t="n">
        <v>3638</v>
      </c>
      <c r="K234" s="570" t="n">
        <v>3469</v>
      </c>
      <c r="L234" s="570" t="n">
        <v>3415</v>
      </c>
      <c r="M234" s="570" t="n">
        <v>3587</v>
      </c>
      <c r="N234" s="570" t="n">
        <v>3637</v>
      </c>
      <c r="O234" s="570" t="n">
        <v>3851</v>
      </c>
      <c r="P234" s="570" t="n">
        <v>3872</v>
      </c>
      <c r="Q234" s="570" t="n">
        <v>3895</v>
      </c>
      <c r="R234" s="570" t="n">
        <v>3822</v>
      </c>
      <c r="S234" s="570" t="n">
        <v>3958</v>
      </c>
      <c r="T234" s="570" t="n">
        <v>3572</v>
      </c>
      <c r="U234" s="570" t="n">
        <v>3608</v>
      </c>
      <c r="V234" s="570" t="n">
        <v>3473</v>
      </c>
      <c r="W234" s="570" t="n">
        <v>3132</v>
      </c>
      <c r="X234" s="570" t="n">
        <v>2962.5</v>
      </c>
      <c r="Y234" s="570" t="n">
        <v>2836</v>
      </c>
      <c r="Z234" s="570" t="n">
        <v>2947</v>
      </c>
      <c r="AA234" s="570" t="n">
        <v>2929</v>
      </c>
      <c r="AB234" s="570" t="n">
        <v>2965.5</v>
      </c>
      <c r="AC234" s="570" t="n">
        <v>2975</v>
      </c>
      <c r="AD234" s="570" t="n">
        <v>2851</v>
      </c>
      <c r="AE234" s="570" t="n">
        <v>2906</v>
      </c>
      <c r="AF234" s="570" t="n">
        <v>2913.5</v>
      </c>
      <c r="AG234" s="570" t="n">
        <v>2890.5</v>
      </c>
      <c r="AH234" s="570" t="n">
        <v>2817.5</v>
      </c>
      <c r="AI234" s="570" t="n">
        <v>2775</v>
      </c>
      <c r="AJ234" s="570" t="n">
        <v>2839</v>
      </c>
      <c r="AK234" s="570" t="n">
        <v>2659</v>
      </c>
      <c r="AL234" s="570" t="n">
        <v>2636.5</v>
      </c>
      <c r="AM234" s="570" t="n">
        <v>2674</v>
      </c>
      <c r="AN234" s="570" t="n">
        <v>2621</v>
      </c>
      <c r="AO234" s="570" t="n">
        <v>2546</v>
      </c>
      <c r="AP234" s="570" t="n">
        <v>2498</v>
      </c>
      <c r="AQ234" s="570" t="n">
        <v>2518.5</v>
      </c>
      <c r="AR234" s="570" t="n">
        <v>2491.5</v>
      </c>
      <c r="AS234" s="570" t="n">
        <v>2270.5</v>
      </c>
      <c r="AT234" s="570" t="n">
        <v>2226</v>
      </c>
      <c r="AU234" s="570" t="n">
        <v>2259.5</v>
      </c>
      <c r="AV234" s="570" t="n">
        <v>2261.5</v>
      </c>
      <c r="AW234" s="570" t="n">
        <v>2226</v>
      </c>
      <c r="AX234" s="570" t="n">
        <v>2167</v>
      </c>
      <c r="AY234" s="570" t="n">
        <v>2169</v>
      </c>
      <c r="AZ234" s="570" t="n">
        <v>2018.5</v>
      </c>
      <c r="BA234" s="570" t="n">
        <v>2005.5</v>
      </c>
      <c r="BB234" s="570" t="n">
        <v>1974</v>
      </c>
      <c r="BC234" s="570" t="n">
        <v>1945.5</v>
      </c>
      <c r="BD234" s="570" t="n">
        <v>2014.5</v>
      </c>
      <c r="BE234" s="570" t="n">
        <v>1919</v>
      </c>
      <c r="BF234" s="570" t="n">
        <v>1920</v>
      </c>
      <c r="BG234" s="570" t="n">
        <v>2038</v>
      </c>
      <c r="BH234" s="570" t="n">
        <v>2064.5</v>
      </c>
      <c r="BI234" s="570" t="n">
        <v>2066</v>
      </c>
      <c r="BJ234" s="570" t="n">
        <v>1994.5</v>
      </c>
      <c r="BK234" s="570" t="n">
        <v>1962</v>
      </c>
      <c r="BL234" s="570" t="n">
        <v>2092</v>
      </c>
    </row>
    <row r="235">
      <c r="A235" s="65" t="inlineStr">
        <is>
          <t>4392</t>
        </is>
      </c>
      <c r="B235" s="570">
        <f>銘柄管理!C235</f>
        <v/>
      </c>
      <c r="C235" s="570">
        <f>_xll.RssMarket("4392","安値")</f>
        <v/>
      </c>
      <c r="E235" s="570" t="n">
        <v>1165</v>
      </c>
      <c r="F235" s="570" t="n">
        <v>1138</v>
      </c>
      <c r="G235" s="570" t="n">
        <v>1250</v>
      </c>
      <c r="H235" s="570" t="n">
        <v>1210</v>
      </c>
      <c r="I235" s="570" t="n">
        <v>1190</v>
      </c>
      <c r="J235" s="570" t="n">
        <v>1315</v>
      </c>
      <c r="K235" s="570" t="n">
        <v>1305</v>
      </c>
      <c r="L235" s="570" t="n">
        <v>1407</v>
      </c>
      <c r="M235" s="570" t="n">
        <v>1470</v>
      </c>
      <c r="N235" s="570" t="n">
        <v>1251</v>
      </c>
      <c r="O235" s="570" t="n">
        <v>1300</v>
      </c>
      <c r="P235" s="570" t="n">
        <v>1340</v>
      </c>
      <c r="Q235" s="570" t="n">
        <v>1499</v>
      </c>
      <c r="R235" s="570" t="n">
        <v>1668</v>
      </c>
      <c r="S235" s="570" t="n">
        <v>1617</v>
      </c>
      <c r="T235" s="570" t="n">
        <v>1880</v>
      </c>
      <c r="U235" s="570" t="n">
        <v>2071</v>
      </c>
      <c r="V235" s="570" t="n">
        <v>1980</v>
      </c>
      <c r="W235" s="570" t="n">
        <v>1684</v>
      </c>
      <c r="X235" s="570" t="n">
        <v>1701</v>
      </c>
      <c r="Y235" s="570" t="n">
        <v>1261</v>
      </c>
      <c r="Z235" s="570" t="n">
        <v>1360</v>
      </c>
      <c r="AA235" s="570" t="n">
        <v>1060</v>
      </c>
      <c r="AB235" s="570" t="n">
        <v>910</v>
      </c>
      <c r="AC235" s="570" t="n">
        <v>742</v>
      </c>
      <c r="AD235" s="570" t="n">
        <v>720</v>
      </c>
      <c r="AE235" s="570" t="n">
        <v>727</v>
      </c>
      <c r="AF235" s="570" t="n">
        <v>509</v>
      </c>
      <c r="AG235" s="570" t="n">
        <v>429</v>
      </c>
      <c r="AH235" s="570" t="n">
        <v>346</v>
      </c>
      <c r="AI235" s="570" t="n">
        <v>339</v>
      </c>
      <c r="AJ235" s="570" t="n">
        <v>344</v>
      </c>
      <c r="AK235" s="570" t="n">
        <v>350</v>
      </c>
      <c r="AL235" s="570" t="n">
        <v>351</v>
      </c>
      <c r="AM235" s="570" t="n">
        <v>341</v>
      </c>
      <c r="AN235" s="570" t="n">
        <v>342</v>
      </c>
      <c r="AO235" s="570" t="n">
        <v>344</v>
      </c>
      <c r="AP235" s="570" t="n">
        <v>337</v>
      </c>
      <c r="AQ235" s="570" t="n">
        <v>327</v>
      </c>
      <c r="AR235" s="570" t="n">
        <v>326</v>
      </c>
      <c r="AS235" s="570" t="n">
        <v>325</v>
      </c>
      <c r="AT235" s="570" t="n">
        <v>320</v>
      </c>
      <c r="AU235" s="570" t="n">
        <v>321</v>
      </c>
      <c r="AV235" s="570" t="n">
        <v>316</v>
      </c>
      <c r="AW235" s="570" t="n">
        <v>320</v>
      </c>
      <c r="AX235" s="570" t="n">
        <v>324</v>
      </c>
      <c r="AY235" s="570" t="n">
        <v>327</v>
      </c>
      <c r="AZ235" s="570" t="n">
        <v>320</v>
      </c>
      <c r="BA235" s="570" t="n">
        <v>320</v>
      </c>
      <c r="BB235" s="570" t="n">
        <v>317</v>
      </c>
      <c r="BC235" s="570" t="n">
        <v>313</v>
      </c>
      <c r="BD235" s="570" t="n">
        <v>315</v>
      </c>
      <c r="BE235" s="570" t="n">
        <v>306</v>
      </c>
      <c r="BF235" s="570" t="n">
        <v>305</v>
      </c>
      <c r="BG235" s="570" t="n">
        <v>319</v>
      </c>
      <c r="BH235" s="570" t="n">
        <v>317</v>
      </c>
      <c r="BI235" s="570" t="n">
        <v>315</v>
      </c>
      <c r="BJ235" s="570" t="n">
        <v>307</v>
      </c>
      <c r="BK235" s="570" t="n">
        <v>297</v>
      </c>
      <c r="BL235" s="570" t="n">
        <v>308</v>
      </c>
    </row>
    <row r="236">
      <c r="A236" s="65" t="inlineStr">
        <is>
          <t>8005</t>
        </is>
      </c>
      <c r="B236" s="570">
        <f>銘柄管理!C236</f>
        <v/>
      </c>
      <c r="C236" s="570">
        <f>_xll.RssMarket("8005","安値")</f>
        <v/>
      </c>
      <c r="E236" s="570" t="n">
        <v>1620</v>
      </c>
      <c r="F236" s="570" t="n">
        <v>1630</v>
      </c>
      <c r="G236" s="570" t="n">
        <v>1626</v>
      </c>
      <c r="H236" s="570" t="n">
        <v>1639</v>
      </c>
      <c r="I236" s="570" t="n">
        <v>1609</v>
      </c>
      <c r="J236" s="570" t="n">
        <v>1617</v>
      </c>
      <c r="K236" s="570" t="n">
        <v>1612</v>
      </c>
      <c r="L236" s="570" t="n">
        <v>1610</v>
      </c>
      <c r="M236" s="570" t="n">
        <v>1612</v>
      </c>
      <c r="N236" s="570" t="n">
        <v>1613</v>
      </c>
      <c r="O236" s="570" t="n">
        <v>1621</v>
      </c>
      <c r="P236" s="570" t="n">
        <v>1620</v>
      </c>
      <c r="Q236" s="570" t="n">
        <v>1632</v>
      </c>
      <c r="R236" s="570" t="n">
        <v>1634</v>
      </c>
      <c r="S236" s="570" t="n">
        <v>1626</v>
      </c>
      <c r="T236" s="570" t="n">
        <v>1616</v>
      </c>
      <c r="U236" s="570" t="n">
        <v>1625</v>
      </c>
      <c r="V236" s="570" t="n">
        <v>1624</v>
      </c>
      <c r="W236" s="570" t="n">
        <v>1628</v>
      </c>
      <c r="X236" s="570" t="n">
        <v>1642</v>
      </c>
      <c r="Y236" s="570" t="n">
        <v>1631</v>
      </c>
      <c r="Z236" s="570" t="n">
        <v>1642</v>
      </c>
      <c r="AA236" s="570" t="n">
        <v>1610</v>
      </c>
      <c r="AB236" s="570" t="n">
        <v>1618</v>
      </c>
      <c r="AC236" s="570" t="n">
        <v>1631</v>
      </c>
      <c r="AD236" s="570" t="n">
        <v>1652</v>
      </c>
      <c r="AE236" s="570" t="n">
        <v>1652</v>
      </c>
      <c r="AF236" s="570" t="n">
        <v>1705</v>
      </c>
      <c r="AG236" s="570" t="n">
        <v>1597</v>
      </c>
      <c r="AH236" s="570" t="n">
        <v>1291</v>
      </c>
      <c r="AI236" s="570" t="n">
        <v>1286</v>
      </c>
      <c r="AJ236" s="570" t="n">
        <v>1312</v>
      </c>
      <c r="AK236" s="570" t="n">
        <v>1310</v>
      </c>
      <c r="AL236" s="570" t="n">
        <v>1313</v>
      </c>
      <c r="AM236" s="570" t="n">
        <v>1311</v>
      </c>
      <c r="AN236" s="570" t="n">
        <v>1310</v>
      </c>
      <c r="AO236" s="570" t="n">
        <v>1325</v>
      </c>
      <c r="AP236" s="570" t="n">
        <v>1341</v>
      </c>
      <c r="AQ236" s="570" t="n">
        <v>1342</v>
      </c>
      <c r="AR236" s="570" t="n">
        <v>1346</v>
      </c>
      <c r="AS236" s="570" t="n">
        <v>1347</v>
      </c>
      <c r="AT236" s="570" t="n">
        <v>1329</v>
      </c>
      <c r="AU236" s="570" t="n">
        <v>1309</v>
      </c>
      <c r="AV236" s="570" t="n">
        <v>1309</v>
      </c>
      <c r="AW236" s="570" t="n">
        <v>1323</v>
      </c>
      <c r="AX236" s="570" t="n">
        <v>1351</v>
      </c>
      <c r="AY236" s="570" t="n">
        <v>1352</v>
      </c>
      <c r="AZ236" s="570" t="n">
        <v>1341</v>
      </c>
      <c r="BA236" s="570" t="n">
        <v>1336</v>
      </c>
      <c r="BB236" s="570" t="n">
        <v>1334</v>
      </c>
      <c r="BC236" s="570" t="n">
        <v>1339</v>
      </c>
      <c r="BD236" s="570" t="n">
        <v>1328</v>
      </c>
      <c r="BE236" s="570" t="n">
        <v>1300</v>
      </c>
      <c r="BF236" s="570" t="n">
        <v>1247</v>
      </c>
      <c r="BG236" s="570" t="n">
        <v>1334</v>
      </c>
      <c r="BH236" s="570" t="n">
        <v>1322</v>
      </c>
      <c r="BI236" s="570" t="n">
        <v>1321</v>
      </c>
      <c r="BJ236" s="570" t="n">
        <v>1296</v>
      </c>
      <c r="BK236" s="570" t="n">
        <v>1277</v>
      </c>
      <c r="BL236" s="570" t="n">
        <v>1305</v>
      </c>
    </row>
    <row r="237">
      <c r="A237" s="65" t="inlineStr">
        <is>
          <t>2326</t>
        </is>
      </c>
      <c r="B237" s="570">
        <f>銘柄管理!C237</f>
        <v/>
      </c>
      <c r="C237" s="570">
        <f>_xll.RssMarket("2326","安値")</f>
        <v/>
      </c>
      <c r="E237" s="570" t="n">
        <v>3520</v>
      </c>
      <c r="F237" s="570" t="n">
        <v>3505</v>
      </c>
      <c r="G237" s="570" t="n">
        <v>3575</v>
      </c>
      <c r="H237" s="570" t="n">
        <v>3585</v>
      </c>
      <c r="I237" s="570" t="n">
        <v>3500</v>
      </c>
      <c r="J237" s="570" t="n">
        <v>3565</v>
      </c>
      <c r="K237" s="570" t="n">
        <v>3540</v>
      </c>
      <c r="L237" s="570" t="n">
        <v>3575</v>
      </c>
      <c r="M237" s="570" t="n">
        <v>3690</v>
      </c>
      <c r="N237" s="570" t="n">
        <v>3700</v>
      </c>
      <c r="O237" s="570" t="n">
        <v>3585</v>
      </c>
      <c r="P237" s="570" t="n">
        <v>3595</v>
      </c>
      <c r="Q237" s="570" t="n">
        <v>3660</v>
      </c>
      <c r="R237" s="570" t="n">
        <v>3980</v>
      </c>
      <c r="S237" s="570" t="n">
        <v>3990</v>
      </c>
      <c r="T237" s="570" t="n">
        <v>4040</v>
      </c>
      <c r="U237" s="570" t="n">
        <v>4055</v>
      </c>
      <c r="V237" s="570" t="n">
        <v>4080</v>
      </c>
      <c r="W237" s="570" t="n">
        <v>4105</v>
      </c>
      <c r="X237" s="570" t="n">
        <v>4235</v>
      </c>
      <c r="Y237" s="570" t="n">
        <v>4105</v>
      </c>
      <c r="Z237" s="570" t="n">
        <v>4015</v>
      </c>
      <c r="AA237" s="570" t="n">
        <v>3945</v>
      </c>
      <c r="AB237" s="570" t="n">
        <v>3925</v>
      </c>
      <c r="AC237" s="570" t="n">
        <v>3955</v>
      </c>
      <c r="AD237" s="570" t="n">
        <v>4240</v>
      </c>
      <c r="AE237" s="570" t="n">
        <v>4940</v>
      </c>
      <c r="AF237" s="570" t="n">
        <v>5730</v>
      </c>
      <c r="AG237" s="570" t="n">
        <v>5500</v>
      </c>
      <c r="AH237" s="570" t="n">
        <v>5420</v>
      </c>
      <c r="AI237" s="570" t="n">
        <v>5450</v>
      </c>
      <c r="AJ237" s="570" t="n">
        <v>5400</v>
      </c>
      <c r="AK237" s="570" t="n">
        <v>5500</v>
      </c>
      <c r="AL237" s="570" t="n">
        <v>5650</v>
      </c>
      <c r="AM237" s="570" t="n">
        <v>5950</v>
      </c>
      <c r="AN237" s="570" t="n">
        <v>5880</v>
      </c>
      <c r="AO237" s="570" t="n">
        <v>5760</v>
      </c>
      <c r="AP237" s="570" t="n">
        <v>5760</v>
      </c>
      <c r="AQ237" s="570" t="n">
        <v>5740</v>
      </c>
      <c r="AR237" s="570" t="n">
        <v>5520</v>
      </c>
      <c r="AS237" s="570" t="n">
        <v>5470</v>
      </c>
      <c r="AT237" s="570" t="n">
        <v>5340</v>
      </c>
      <c r="AU237" s="570" t="n">
        <v>5280</v>
      </c>
      <c r="AV237" s="570" t="n">
        <v>5400</v>
      </c>
      <c r="AW237" s="570" t="n">
        <v>5500</v>
      </c>
      <c r="AX237" s="570" t="n">
        <v>5400</v>
      </c>
      <c r="AY237" s="570" t="n">
        <v>5330</v>
      </c>
      <c r="AZ237" s="570" t="n">
        <v>5310</v>
      </c>
      <c r="BA237" s="570" t="n">
        <v>5250</v>
      </c>
      <c r="BB237" s="570" t="n">
        <v>5240</v>
      </c>
      <c r="BC237" s="570" t="n">
        <v>5150</v>
      </c>
      <c r="BD237" s="570" t="n">
        <v>4875</v>
      </c>
      <c r="BE237" s="570" t="n">
        <v>5080</v>
      </c>
      <c r="BF237" s="570" t="n">
        <v>5020</v>
      </c>
      <c r="BG237" s="570" t="n">
        <v>4945</v>
      </c>
      <c r="BH237" s="570" t="n">
        <v>4925</v>
      </c>
      <c r="BI237" s="570" t="n">
        <v>4810</v>
      </c>
      <c r="BJ237" s="570" t="n">
        <v>5020</v>
      </c>
      <c r="BK237" s="570" t="n">
        <v>5160</v>
      </c>
      <c r="BL237" s="570" t="n">
        <v>5180</v>
      </c>
    </row>
    <row r="238">
      <c r="A238" s="65" t="inlineStr">
        <is>
          <t>6809</t>
        </is>
      </c>
      <c r="B238" s="570">
        <f>銘柄管理!C238</f>
        <v/>
      </c>
      <c r="C238" s="570">
        <f>_xll.RssMarket("6809","安値")</f>
        <v/>
      </c>
      <c r="E238" s="570" t="n">
        <v>1551</v>
      </c>
      <c r="F238" s="570" t="n">
        <v>1560</v>
      </c>
      <c r="G238" s="570" t="n">
        <v>1556</v>
      </c>
      <c r="H238" s="570" t="n">
        <v>1563</v>
      </c>
      <c r="I238" s="570" t="n">
        <v>1551</v>
      </c>
      <c r="J238" s="570" t="n">
        <v>1566</v>
      </c>
      <c r="K238" s="570" t="n">
        <v>1546</v>
      </c>
      <c r="L238" s="570" t="n">
        <v>1527</v>
      </c>
      <c r="M238" s="570" t="n">
        <v>1548</v>
      </c>
      <c r="N238" s="570" t="n">
        <v>1533</v>
      </c>
      <c r="O238" s="570" t="n">
        <v>1547</v>
      </c>
      <c r="P238" s="570" t="n">
        <v>1533</v>
      </c>
      <c r="Q238" s="570" t="n">
        <v>1536</v>
      </c>
      <c r="R238" s="570" t="n">
        <v>1522</v>
      </c>
      <c r="S238" s="570" t="n">
        <v>1535</v>
      </c>
      <c r="T238" s="570" t="n">
        <v>1514</v>
      </c>
      <c r="U238" s="570" t="n">
        <v>1530</v>
      </c>
      <c r="V238" s="570" t="n">
        <v>1557</v>
      </c>
      <c r="W238" s="570" t="n">
        <v>1530</v>
      </c>
      <c r="X238" s="570" t="n">
        <v>1525</v>
      </c>
      <c r="Y238" s="570" t="n">
        <v>1512</v>
      </c>
      <c r="Z238" s="570" t="n">
        <v>1577</v>
      </c>
      <c r="AA238" s="570" t="n">
        <v>1567</v>
      </c>
      <c r="AB238" s="570" t="n">
        <v>1584</v>
      </c>
      <c r="AC238" s="570" t="n">
        <v>1562</v>
      </c>
      <c r="AD238" s="570" t="n">
        <v>1554</v>
      </c>
      <c r="AE238" s="570" t="n">
        <v>1555</v>
      </c>
      <c r="AF238" s="570" t="n">
        <v>1566</v>
      </c>
      <c r="AG238" s="570" t="n">
        <v>1565</v>
      </c>
      <c r="AH238" s="570" t="n">
        <v>1760</v>
      </c>
      <c r="AI238" s="570" t="n">
        <v>1707</v>
      </c>
      <c r="AJ238" s="570" t="n">
        <v>1702</v>
      </c>
      <c r="AK238" s="570" t="n">
        <v>1699</v>
      </c>
      <c r="AL238" s="570" t="n">
        <v>1700</v>
      </c>
      <c r="AM238" s="570" t="n">
        <v>1713</v>
      </c>
      <c r="AN238" s="570" t="n">
        <v>1725</v>
      </c>
      <c r="AO238" s="570" t="n">
        <v>1752</v>
      </c>
      <c r="AP238" s="570" t="n">
        <v>1759</v>
      </c>
      <c r="AQ238" s="570" t="n">
        <v>1769</v>
      </c>
      <c r="AR238" s="570" t="n">
        <v>1774</v>
      </c>
      <c r="AS238" s="570" t="n">
        <v>1770</v>
      </c>
      <c r="AT238" s="570" t="n">
        <v>1768</v>
      </c>
      <c r="AU238" s="570" t="n">
        <v>1774</v>
      </c>
      <c r="AV238" s="570" t="n">
        <v>1782</v>
      </c>
      <c r="AW238" s="570" t="n">
        <v>1803</v>
      </c>
      <c r="AX238" s="570" t="n">
        <v>1813</v>
      </c>
      <c r="AY238" s="570" t="n">
        <v>1817</v>
      </c>
      <c r="AZ238" s="570" t="n">
        <v>1801</v>
      </c>
      <c r="BA238" s="570" t="n">
        <v>1765</v>
      </c>
      <c r="BB238" s="570" t="n">
        <v>1785</v>
      </c>
      <c r="BC238" s="570" t="n">
        <v>1776</v>
      </c>
      <c r="BD238" s="570" t="n">
        <v>1766</v>
      </c>
      <c r="BE238" s="570" t="n">
        <v>1741</v>
      </c>
      <c r="BF238" s="570" t="n">
        <v>1773</v>
      </c>
      <c r="BG238" s="570" t="n">
        <v>1871</v>
      </c>
      <c r="BH238" s="570" t="n">
        <v>1857</v>
      </c>
      <c r="BI238" s="570" t="n">
        <v>1854</v>
      </c>
      <c r="BJ238" s="570" t="n">
        <v>1805</v>
      </c>
      <c r="BK238" s="570" t="n">
        <v>1753</v>
      </c>
      <c r="BL238" s="570" t="n">
        <v>1801</v>
      </c>
    </row>
    <row r="239">
      <c r="A239" s="65" t="inlineStr">
        <is>
          <t>3984</t>
        </is>
      </c>
      <c r="B239" s="570">
        <f>銘柄管理!C239</f>
        <v/>
      </c>
      <c r="C239" s="570">
        <f>_xll.RssMarket("3984","安値")</f>
        <v/>
      </c>
      <c r="E239" s="570" t="n">
        <v>1726</v>
      </c>
      <c r="F239" s="570" t="n">
        <v>1725</v>
      </c>
      <c r="G239" s="570" t="n">
        <v>1782</v>
      </c>
      <c r="H239" s="570" t="n">
        <v>1763</v>
      </c>
      <c r="I239" s="570" t="n">
        <v>1755</v>
      </c>
      <c r="J239" s="570" t="n">
        <v>1760</v>
      </c>
      <c r="K239" s="570" t="n">
        <v>1746</v>
      </c>
      <c r="L239" s="570" t="n">
        <v>1728</v>
      </c>
      <c r="M239" s="570" t="n">
        <v>1777</v>
      </c>
      <c r="N239" s="570" t="n">
        <v>1811</v>
      </c>
      <c r="O239" s="570" t="n">
        <v>1836</v>
      </c>
      <c r="P239" s="570" t="n">
        <v>1795</v>
      </c>
      <c r="Q239" s="570" t="n">
        <v>1772</v>
      </c>
      <c r="R239" s="570" t="n">
        <v>1697</v>
      </c>
      <c r="S239" s="570" t="n">
        <v>1652</v>
      </c>
      <c r="T239" s="570" t="n">
        <v>1689</v>
      </c>
      <c r="U239" s="570" t="n">
        <v>1711</v>
      </c>
      <c r="V239" s="570" t="n">
        <v>1755</v>
      </c>
      <c r="W239" s="570" t="n">
        <v>1746</v>
      </c>
      <c r="X239" s="570" t="n">
        <v>1719</v>
      </c>
      <c r="Y239" s="570" t="n">
        <v>1709</v>
      </c>
      <c r="Z239" s="570" t="n">
        <v>1693</v>
      </c>
      <c r="AA239" s="570" t="n">
        <v>1679</v>
      </c>
      <c r="AB239" s="570" t="n">
        <v>1691</v>
      </c>
      <c r="AC239" s="570" t="n">
        <v>1721</v>
      </c>
      <c r="AD239" s="570" t="n">
        <v>1723</v>
      </c>
      <c r="AE239" s="570" t="n">
        <v>1786</v>
      </c>
      <c r="AF239" s="570" t="n">
        <v>1723</v>
      </c>
      <c r="AG239" s="570" t="n">
        <v>1576</v>
      </c>
      <c r="AH239" s="570" t="n">
        <v>1532</v>
      </c>
      <c r="AI239" s="570" t="n">
        <v>1532</v>
      </c>
      <c r="AJ239" s="570" t="n">
        <v>1540</v>
      </c>
      <c r="AK239" s="570" t="n">
        <v>1547</v>
      </c>
      <c r="AL239" s="570" t="n">
        <v>1554</v>
      </c>
      <c r="AM239" s="570" t="n">
        <v>1555</v>
      </c>
      <c r="AN239" s="570" t="n">
        <v>1586</v>
      </c>
      <c r="AO239" s="570" t="n">
        <v>1569</v>
      </c>
      <c r="AP239" s="570" t="n">
        <v>1556</v>
      </c>
      <c r="AQ239" s="570" t="n">
        <v>1567</v>
      </c>
      <c r="AR239" s="570" t="n">
        <v>1554</v>
      </c>
      <c r="AS239" s="570" t="n">
        <v>1495</v>
      </c>
      <c r="AT239" s="570" t="n">
        <v>1452</v>
      </c>
      <c r="AU239" s="570" t="n">
        <v>1428</v>
      </c>
      <c r="AV239" s="570" t="n">
        <v>1448</v>
      </c>
      <c r="AW239" s="570" t="n">
        <v>1490</v>
      </c>
      <c r="AX239" s="570" t="n">
        <v>1495</v>
      </c>
      <c r="AY239" s="570" t="n">
        <v>1456</v>
      </c>
      <c r="AZ239" s="570" t="n">
        <v>1451</v>
      </c>
      <c r="BA239" s="570" t="n">
        <v>1451</v>
      </c>
      <c r="BB239" s="570" t="n">
        <v>1432</v>
      </c>
      <c r="BC239" s="570" t="n">
        <v>1435</v>
      </c>
      <c r="BD239" s="570" t="n">
        <v>1380</v>
      </c>
      <c r="BE239" s="570" t="n">
        <v>1350</v>
      </c>
      <c r="BF239" s="570" t="n">
        <v>1420</v>
      </c>
      <c r="BG239" s="570" t="n">
        <v>1419</v>
      </c>
      <c r="BH239" s="570" t="n">
        <v>1466</v>
      </c>
      <c r="BI239" s="570" t="n">
        <v>1440</v>
      </c>
      <c r="BJ239" s="570" t="n">
        <v>1419</v>
      </c>
      <c r="BK239" s="570" t="n">
        <v>1473</v>
      </c>
      <c r="BL239" s="570" t="n">
        <v>1517</v>
      </c>
    </row>
    <row r="240">
      <c r="A240" s="65" t="inlineStr">
        <is>
          <t>7609</t>
        </is>
      </c>
      <c r="B240" s="570">
        <f>銘柄管理!C240</f>
        <v/>
      </c>
      <c r="C240" s="570">
        <f>_xll.RssMarket("7609","安値")</f>
        <v/>
      </c>
      <c r="E240" s="570" t="n">
        <v>3890</v>
      </c>
      <c r="F240" s="570" t="n">
        <v>3855</v>
      </c>
      <c r="G240" s="570" t="n">
        <v>3750</v>
      </c>
      <c r="H240" s="570" t="n">
        <v>3525</v>
      </c>
      <c r="I240" s="570" t="n">
        <v>3545</v>
      </c>
      <c r="J240" s="570" t="n">
        <v>3580</v>
      </c>
      <c r="K240" s="570" t="n">
        <v>3380</v>
      </c>
      <c r="L240" s="570" t="n">
        <v>3260</v>
      </c>
      <c r="M240" s="570" t="n">
        <v>3380</v>
      </c>
      <c r="N240" s="570" t="n">
        <v>3490</v>
      </c>
      <c r="O240" s="570" t="n">
        <v>3570</v>
      </c>
      <c r="P240" s="570" t="n">
        <v>3635</v>
      </c>
      <c r="Q240" s="570" t="n">
        <v>3585</v>
      </c>
      <c r="R240" s="570" t="n">
        <v>3440</v>
      </c>
      <c r="S240" s="570" t="n">
        <v>3550</v>
      </c>
      <c r="T240" s="570" t="n">
        <v>3425</v>
      </c>
      <c r="U240" s="570" t="n">
        <v>3530</v>
      </c>
      <c r="V240" s="570" t="n">
        <v>3585</v>
      </c>
      <c r="W240" s="570" t="n">
        <v>3560</v>
      </c>
      <c r="X240" s="570" t="n">
        <v>3535</v>
      </c>
      <c r="Y240" s="570" t="n">
        <v>3415</v>
      </c>
      <c r="Z240" s="570" t="n">
        <v>3575</v>
      </c>
      <c r="AA240" s="570" t="n">
        <v>3825</v>
      </c>
      <c r="AB240" s="570" t="n">
        <v>3740</v>
      </c>
      <c r="AC240" s="570" t="n">
        <v>3915</v>
      </c>
      <c r="AD240" s="570" t="n">
        <v>3785</v>
      </c>
      <c r="AE240" s="570" t="n">
        <v>3860</v>
      </c>
      <c r="AF240" s="570" t="n">
        <v>3805</v>
      </c>
      <c r="AG240" s="570" t="n">
        <v>3660</v>
      </c>
      <c r="AH240" s="570" t="n">
        <v>3215</v>
      </c>
      <c r="AI240" s="570" t="n">
        <v>2912</v>
      </c>
      <c r="AJ240" s="570" t="n">
        <v>2854</v>
      </c>
      <c r="AK240" s="570" t="n">
        <v>2860</v>
      </c>
      <c r="AL240" s="570" t="n">
        <v>2851</v>
      </c>
      <c r="AM240" s="570" t="n">
        <v>2848</v>
      </c>
      <c r="AN240" s="570" t="n">
        <v>2815</v>
      </c>
      <c r="AO240" s="570" t="n">
        <v>2822</v>
      </c>
      <c r="AP240" s="570" t="n">
        <v>2862</v>
      </c>
      <c r="AQ240" s="570" t="n">
        <v>2833</v>
      </c>
      <c r="AR240" s="570" t="n">
        <v>2852</v>
      </c>
      <c r="AS240" s="570" t="n">
        <v>2885</v>
      </c>
      <c r="AT240" s="570" t="n">
        <v>2868</v>
      </c>
      <c r="AU240" s="570" t="n">
        <v>2832</v>
      </c>
      <c r="AV240" s="570" t="n">
        <v>2798</v>
      </c>
      <c r="AW240" s="570" t="n">
        <v>2775</v>
      </c>
      <c r="AX240" s="570" t="n">
        <v>2770</v>
      </c>
      <c r="AY240" s="570" t="n">
        <v>2784</v>
      </c>
      <c r="AZ240" s="570" t="n">
        <v>2686</v>
      </c>
      <c r="BA240" s="570" t="n">
        <v>2709</v>
      </c>
      <c r="BB240" s="570" t="n">
        <v>2701</v>
      </c>
      <c r="BC240" s="570" t="n">
        <v>2714</v>
      </c>
      <c r="BD240" s="570" t="n">
        <v>2731</v>
      </c>
      <c r="BE240" s="570" t="n">
        <v>2635</v>
      </c>
      <c r="BF240" s="570" t="n">
        <v>2710</v>
      </c>
      <c r="BG240" s="570" t="n">
        <v>2794</v>
      </c>
      <c r="BH240" s="570" t="n">
        <v>2837</v>
      </c>
      <c r="BI240" s="570" t="n">
        <v>2829</v>
      </c>
      <c r="BJ240" s="570" t="n">
        <v>2749</v>
      </c>
      <c r="BK240" s="570" t="n">
        <v>2688</v>
      </c>
      <c r="BL240" s="570" t="n">
        <v>2822</v>
      </c>
    </row>
    <row r="241">
      <c r="A241" s="65" t="inlineStr">
        <is>
          <t>7972</t>
        </is>
      </c>
      <c r="B241" s="570">
        <f>銘柄管理!C241</f>
        <v/>
      </c>
      <c r="C241" s="570">
        <f>_xll.RssMarket("7972","安値")</f>
        <v/>
      </c>
      <c r="E241" s="570" t="n">
        <v>2499</v>
      </c>
      <c r="F241" s="570" t="n">
        <v>2476</v>
      </c>
      <c r="G241" s="570" t="n">
        <v>2421</v>
      </c>
      <c r="H241" s="570" t="n">
        <v>2429</v>
      </c>
      <c r="I241" s="570" t="n">
        <v>2417</v>
      </c>
      <c r="J241" s="570" t="n">
        <v>2445</v>
      </c>
      <c r="K241" s="570" t="n">
        <v>2409</v>
      </c>
      <c r="L241" s="570" t="n">
        <v>2386</v>
      </c>
      <c r="M241" s="570" t="n">
        <v>2392</v>
      </c>
      <c r="N241" s="570" t="n">
        <v>2381</v>
      </c>
      <c r="O241" s="570" t="n">
        <v>2389</v>
      </c>
      <c r="P241" s="570" t="n">
        <v>2355</v>
      </c>
      <c r="Q241" s="570" t="n">
        <v>2389</v>
      </c>
      <c r="R241" s="570" t="n">
        <v>2412</v>
      </c>
      <c r="S241" s="570" t="n">
        <v>2544</v>
      </c>
      <c r="T241" s="570" t="n">
        <v>2551</v>
      </c>
      <c r="U241" s="570" t="n">
        <v>2677</v>
      </c>
      <c r="V241" s="570" t="n">
        <v>2581</v>
      </c>
      <c r="W241" s="570" t="n">
        <v>2580</v>
      </c>
      <c r="X241" s="570" t="n">
        <v>2573</v>
      </c>
      <c r="Y241" s="570" t="n">
        <v>2619</v>
      </c>
      <c r="Z241" s="570" t="n">
        <v>2684</v>
      </c>
      <c r="AA241" s="570" t="n">
        <v>2652</v>
      </c>
      <c r="AB241" s="570" t="n">
        <v>2690</v>
      </c>
      <c r="AC241" s="570" t="n">
        <v>2789</v>
      </c>
      <c r="AD241" s="570" t="n">
        <v>2791</v>
      </c>
      <c r="AE241" s="570" t="n">
        <v>2783</v>
      </c>
      <c r="AF241" s="570" t="n">
        <v>2760</v>
      </c>
      <c r="AG241" s="570" t="n">
        <v>2775</v>
      </c>
      <c r="AH241" s="570" t="n">
        <v>3160</v>
      </c>
      <c r="AI241" s="570" t="n">
        <v>3120</v>
      </c>
      <c r="AJ241" s="570" t="n">
        <v>3080</v>
      </c>
      <c r="AK241" s="570" t="n">
        <v>3210</v>
      </c>
      <c r="AL241" s="570" t="n">
        <v>3170</v>
      </c>
      <c r="AM241" s="570" t="n">
        <v>3160</v>
      </c>
      <c r="AN241" s="570" t="n">
        <v>3185</v>
      </c>
      <c r="AO241" s="570" t="n">
        <v>3250</v>
      </c>
      <c r="AP241" s="570" t="n">
        <v>3285</v>
      </c>
      <c r="AQ241" s="570" t="n">
        <v>3275</v>
      </c>
      <c r="AR241" s="570" t="n">
        <v>3265</v>
      </c>
      <c r="AS241" s="570" t="n">
        <v>3330</v>
      </c>
      <c r="AT241" s="570" t="n">
        <v>3355</v>
      </c>
      <c r="AU241" s="570" t="n">
        <v>3530</v>
      </c>
      <c r="AV241" s="570" t="n">
        <v>3490</v>
      </c>
      <c r="AW241" s="570" t="n">
        <v>3465</v>
      </c>
      <c r="AX241" s="570" t="n">
        <v>3435</v>
      </c>
      <c r="AY241" s="570" t="n">
        <v>3450</v>
      </c>
      <c r="AZ241" s="570" t="n">
        <v>3295</v>
      </c>
      <c r="BA241" s="570" t="n">
        <v>3260</v>
      </c>
      <c r="BB241" s="570" t="n">
        <v>3240</v>
      </c>
      <c r="BC241" s="570" t="n">
        <v>3230</v>
      </c>
      <c r="BD241" s="570" t="n">
        <v>3170</v>
      </c>
      <c r="BE241" s="570" t="n">
        <v>3000</v>
      </c>
      <c r="BF241" s="570" t="n">
        <v>3060</v>
      </c>
      <c r="BG241" s="570" t="n">
        <v>3240</v>
      </c>
      <c r="BH241" s="570" t="n">
        <v>3240</v>
      </c>
      <c r="BI241" s="570" t="n">
        <v>3355</v>
      </c>
      <c r="BJ241" s="570" t="n">
        <v>3265</v>
      </c>
      <c r="BK241" s="570" t="n">
        <v>3150</v>
      </c>
      <c r="BL241" s="570" t="n">
        <v>3280</v>
      </c>
    </row>
    <row r="242">
      <c r="A242" s="65" t="inlineStr">
        <is>
          <t>6521</t>
        </is>
      </c>
      <c r="B242" s="570">
        <f>銘柄管理!C242</f>
        <v/>
      </c>
      <c r="C242" s="570">
        <f>_xll.RssMarket("6521","安値")</f>
        <v/>
      </c>
      <c r="E242" s="570" t="n">
        <v>4935</v>
      </c>
      <c r="F242" s="570" t="n">
        <v>4795</v>
      </c>
      <c r="G242" s="570" t="n">
        <v>4635</v>
      </c>
      <c r="H242" s="570" t="n">
        <v>4455</v>
      </c>
      <c r="I242" s="570" t="n">
        <v>4390</v>
      </c>
      <c r="J242" s="570" t="n">
        <v>4415</v>
      </c>
      <c r="K242" s="570" t="n">
        <v>4265</v>
      </c>
      <c r="L242" s="570" t="n">
        <v>4255</v>
      </c>
      <c r="M242" s="570" t="n">
        <v>4290</v>
      </c>
      <c r="N242" s="570" t="n">
        <v>4670</v>
      </c>
      <c r="O242" s="570" t="n">
        <v>4855</v>
      </c>
      <c r="P242" s="570" t="n">
        <v>4790</v>
      </c>
      <c r="Q242" s="570" t="n">
        <v>5040</v>
      </c>
      <c r="R242" s="570" t="n">
        <v>4785</v>
      </c>
      <c r="S242" s="570" t="n">
        <v>5270</v>
      </c>
      <c r="T242" s="570" t="n">
        <v>5550</v>
      </c>
      <c r="U242" s="570" t="n">
        <v>5520</v>
      </c>
      <c r="V242" s="570" t="n">
        <v>5900</v>
      </c>
      <c r="W242" s="570" t="n">
        <v>5740</v>
      </c>
      <c r="X242" s="570" t="n">
        <v>5420</v>
      </c>
      <c r="Y242" s="570" t="n">
        <v>5540</v>
      </c>
      <c r="Z242" s="570" t="n">
        <v>5780</v>
      </c>
      <c r="AA242" s="570" t="n">
        <v>6260</v>
      </c>
      <c r="AB242" s="570" t="n">
        <v>5910</v>
      </c>
      <c r="AC242" s="570" t="n">
        <v>6300</v>
      </c>
      <c r="AD242" s="570" t="n">
        <v>5930</v>
      </c>
      <c r="AE242" s="570" t="n">
        <v>6400</v>
      </c>
      <c r="AF242" s="570" t="n">
        <v>6310</v>
      </c>
      <c r="AG242" s="570" t="n">
        <v>5110</v>
      </c>
      <c r="AH242" s="570" t="n">
        <v>4770</v>
      </c>
      <c r="AI242" s="570" t="n">
        <v>4545</v>
      </c>
      <c r="AJ242" s="570" t="n">
        <v>4590</v>
      </c>
      <c r="AK242" s="570" t="n">
        <v>4545</v>
      </c>
      <c r="AL242" s="570" t="n">
        <v>4355</v>
      </c>
      <c r="AM242" s="570" t="n">
        <v>4610</v>
      </c>
      <c r="AN242" s="570" t="n">
        <v>4600</v>
      </c>
      <c r="AO242" s="570" t="n">
        <v>4800</v>
      </c>
      <c r="AP242" s="570" t="n">
        <v>4555</v>
      </c>
      <c r="AQ242" s="570" t="n">
        <v>4055</v>
      </c>
      <c r="AR242" s="570" t="n">
        <v>4040</v>
      </c>
      <c r="AS242" s="570" t="n">
        <v>4250</v>
      </c>
      <c r="AT242" s="570" t="n">
        <v>4315</v>
      </c>
      <c r="AU242" s="570" t="n">
        <v>4745</v>
      </c>
      <c r="AV242" s="570" t="n">
        <v>4620</v>
      </c>
      <c r="AW242" s="570" t="n">
        <v>4515</v>
      </c>
      <c r="AX242" s="570" t="n">
        <v>4360</v>
      </c>
      <c r="AY242" s="570" t="n">
        <v>4460</v>
      </c>
      <c r="AZ242" s="570" t="n">
        <v>4240</v>
      </c>
      <c r="BA242" s="570" t="n">
        <v>4320</v>
      </c>
      <c r="BB242" s="570" t="n">
        <v>4120</v>
      </c>
      <c r="BC242" s="570" t="n">
        <v>4050</v>
      </c>
      <c r="BD242" s="570" t="n">
        <v>4390</v>
      </c>
      <c r="BE242" s="570" t="n">
        <v>4155</v>
      </c>
      <c r="BF242" s="570" t="n">
        <v>3980</v>
      </c>
      <c r="BG242" s="570" t="n">
        <v>4285</v>
      </c>
      <c r="BH242" s="570" t="n">
        <v>4300</v>
      </c>
      <c r="BI242" s="570" t="n">
        <v>4470</v>
      </c>
      <c r="BJ242" s="570" t="n">
        <v>4765</v>
      </c>
      <c r="BK242" s="570" t="n">
        <v>4610</v>
      </c>
      <c r="BL242" s="570" t="n">
        <v>4905</v>
      </c>
    </row>
    <row r="243">
      <c r="A243" s="65" t="inlineStr">
        <is>
          <t>9165</t>
        </is>
      </c>
      <c r="B243" s="570">
        <f>銘柄管理!C243</f>
        <v/>
      </c>
      <c r="C243" s="570">
        <f>_xll.RssMarket("9165","安値")</f>
        <v/>
      </c>
      <c r="E243" s="570" t="n">
        <v>1721</v>
      </c>
      <c r="F243" s="570" t="n">
        <v>1670</v>
      </c>
      <c r="G243" s="570" t="n">
        <v>1685</v>
      </c>
      <c r="H243" s="570" t="n">
        <v>1686</v>
      </c>
      <c r="I243" s="570" t="n">
        <v>1680</v>
      </c>
      <c r="J243" s="570" t="n">
        <v>1702</v>
      </c>
      <c r="K243" s="570" t="n">
        <v>1676</v>
      </c>
      <c r="L243" s="570" t="n">
        <v>1625</v>
      </c>
      <c r="M243" s="570" t="n">
        <v>1678</v>
      </c>
      <c r="N243" s="570" t="n">
        <v>1690</v>
      </c>
      <c r="O243" s="570" t="n">
        <v>1801</v>
      </c>
      <c r="P243" s="570" t="n">
        <v>1776</v>
      </c>
      <c r="Q243" s="570" t="n">
        <v>1755</v>
      </c>
      <c r="R243" s="570" t="n">
        <v>1720</v>
      </c>
      <c r="S243" s="570" t="n">
        <v>1800</v>
      </c>
      <c r="T243" s="570" t="n">
        <v>1757</v>
      </c>
      <c r="U243" s="570" t="n">
        <v>1890</v>
      </c>
      <c r="V243" s="570" t="n">
        <v>2140</v>
      </c>
      <c r="W243" s="570" t="n">
        <v>1790</v>
      </c>
      <c r="X243" s="570" t="n">
        <v>1725</v>
      </c>
      <c r="Y243" s="570" t="n">
        <v>1779</v>
      </c>
      <c r="Z243" s="570" t="n">
        <v>1763</v>
      </c>
      <c r="AA243" s="570" t="n">
        <v>1708</v>
      </c>
      <c r="AB243" s="570" t="n">
        <v>1650</v>
      </c>
      <c r="AC243" s="570" t="n">
        <v>1716</v>
      </c>
      <c r="AD243" s="570" t="n">
        <v>1708</v>
      </c>
      <c r="AE243" s="570" t="n">
        <v>1723</v>
      </c>
      <c r="AF243" s="570" t="n">
        <v>1761</v>
      </c>
      <c r="AG243" s="570" t="n">
        <v>1680</v>
      </c>
      <c r="AH243" s="570" t="n">
        <v>1476</v>
      </c>
      <c r="AI243" s="570" t="n">
        <v>1470</v>
      </c>
      <c r="AJ243" s="570" t="n">
        <v>1458</v>
      </c>
      <c r="AK243" s="570" t="n">
        <v>1456</v>
      </c>
      <c r="AL243" s="570" t="n">
        <v>1460</v>
      </c>
      <c r="AM243" s="570" t="n">
        <v>1457</v>
      </c>
      <c r="AN243" s="570" t="n">
        <v>1445</v>
      </c>
      <c r="AO243" s="570" t="n">
        <v>1458</v>
      </c>
      <c r="AP243" s="570" t="n">
        <v>1450</v>
      </c>
      <c r="AQ243" s="570" t="n">
        <v>1446</v>
      </c>
      <c r="AR243" s="570" t="n">
        <v>1443</v>
      </c>
      <c r="AS243" s="570" t="n">
        <v>1427</v>
      </c>
      <c r="AT243" s="570" t="n">
        <v>1446</v>
      </c>
      <c r="AU243" s="570" t="n">
        <v>1425</v>
      </c>
      <c r="AV243" s="570" t="n">
        <v>1422</v>
      </c>
      <c r="AW243" s="570" t="n">
        <v>1420</v>
      </c>
      <c r="AX243" s="570" t="n">
        <v>1434</v>
      </c>
      <c r="AY243" s="570" t="n">
        <v>1420</v>
      </c>
      <c r="AZ243" s="570" t="n">
        <v>1418</v>
      </c>
      <c r="BA243" s="570" t="n">
        <v>1410</v>
      </c>
      <c r="BB243" s="570" t="n">
        <v>1400</v>
      </c>
      <c r="BC243" s="570" t="n">
        <v>1396</v>
      </c>
      <c r="BD243" s="570" t="n">
        <v>1406</v>
      </c>
      <c r="BE243" s="570" t="n">
        <v>1390</v>
      </c>
      <c r="BF243" s="570" t="n">
        <v>1391</v>
      </c>
      <c r="BG243" s="570" t="n">
        <v>1414</v>
      </c>
      <c r="BH243" s="570" t="n">
        <v>1408</v>
      </c>
      <c r="BI243" s="570" t="n">
        <v>1398</v>
      </c>
      <c r="BJ243" s="570" t="n">
        <v>1420</v>
      </c>
      <c r="BK243" s="570" t="n">
        <v>1379</v>
      </c>
      <c r="BL243" s="570" t="n">
        <v>1395</v>
      </c>
    </row>
    <row r="244">
      <c r="A244" s="65" t="inlineStr">
        <is>
          <t>6902</t>
        </is>
      </c>
      <c r="B244" s="570">
        <f>銘柄管理!C244</f>
        <v/>
      </c>
      <c r="C244" s="570">
        <f>_xll.RssMarket("6902","安値")</f>
        <v/>
      </c>
      <c r="E244" s="570" t="n">
        <v>1877.5</v>
      </c>
      <c r="F244" s="570" t="n">
        <v>1887</v>
      </c>
      <c r="G244" s="570" t="n">
        <v>1905.5</v>
      </c>
      <c r="H244" s="570" t="n">
        <v>1900.5</v>
      </c>
      <c r="I244" s="570" t="n">
        <v>1882.5</v>
      </c>
      <c r="J244" s="570" t="n">
        <v>1876.5</v>
      </c>
      <c r="K244" s="570" t="n">
        <v>1841</v>
      </c>
      <c r="L244" s="570" t="n">
        <v>1813</v>
      </c>
      <c r="M244" s="570" t="n">
        <v>1865</v>
      </c>
      <c r="N244" s="570" t="n">
        <v>1872</v>
      </c>
      <c r="O244" s="570" t="n">
        <v>1870</v>
      </c>
      <c r="P244" s="570" t="n">
        <v>1901.5</v>
      </c>
      <c r="Q244" s="570" t="n">
        <v>1861.5</v>
      </c>
      <c r="R244" s="570" t="n">
        <v>1824.5</v>
      </c>
      <c r="S244" s="570" t="n">
        <v>1868</v>
      </c>
      <c r="T244" s="570" t="n">
        <v>1871.5</v>
      </c>
      <c r="U244" s="570" t="n">
        <v>1852</v>
      </c>
      <c r="V244" s="570" t="n">
        <v>1817</v>
      </c>
      <c r="W244" s="570" t="n">
        <v>1833.5</v>
      </c>
      <c r="X244" s="570" t="n">
        <v>1843.5</v>
      </c>
      <c r="Y244" s="570" t="n">
        <v>1814.5</v>
      </c>
      <c r="Z244" s="570" t="n">
        <v>1835.5</v>
      </c>
      <c r="AA244" s="570" t="n">
        <v>1838.5</v>
      </c>
      <c r="AB244" s="570" t="n">
        <v>1885</v>
      </c>
      <c r="AC244" s="570" t="n">
        <v>1850</v>
      </c>
      <c r="AD244" s="570" t="n">
        <v>1872</v>
      </c>
      <c r="AE244" s="570" t="n">
        <v>1867</v>
      </c>
      <c r="AF244" s="570" t="n">
        <v>1873</v>
      </c>
      <c r="AG244" s="570" t="n">
        <v>1912.5</v>
      </c>
      <c r="AH244" s="570" t="n">
        <v>1848</v>
      </c>
      <c r="AI244" s="570" t="n">
        <v>1850</v>
      </c>
      <c r="AJ244" s="570" t="n">
        <v>1827</v>
      </c>
      <c r="AK244" s="570" t="n">
        <v>1801</v>
      </c>
      <c r="AL244" s="570" t="n">
        <v>1874</v>
      </c>
      <c r="AM244" s="570" t="n">
        <v>1864</v>
      </c>
      <c r="AN244" s="570" t="n">
        <v>1885</v>
      </c>
      <c r="AO244" s="570" t="n">
        <v>1918</v>
      </c>
      <c r="AP244" s="570" t="n">
        <v>1936</v>
      </c>
      <c r="AQ244" s="570" t="n">
        <v>1942</v>
      </c>
      <c r="AR244" s="570" t="n">
        <v>1921.5</v>
      </c>
      <c r="AS244" s="570" t="n">
        <v>1917.5</v>
      </c>
      <c r="AT244" s="570" t="n">
        <v>1915</v>
      </c>
      <c r="AU244" s="570" t="n">
        <v>1918.5</v>
      </c>
      <c r="AV244" s="570" t="n">
        <v>1909</v>
      </c>
      <c r="AW244" s="570" t="n">
        <v>1933</v>
      </c>
      <c r="AX244" s="570" t="n">
        <v>1949.5</v>
      </c>
      <c r="AY244" s="570" t="n">
        <v>1949</v>
      </c>
      <c r="AZ244" s="570" t="n">
        <v>1894</v>
      </c>
      <c r="BA244" s="570" t="n">
        <v>1907.5</v>
      </c>
      <c r="BB244" s="570" t="n">
        <v>1911</v>
      </c>
      <c r="BC244" s="570" t="n">
        <v>1930</v>
      </c>
      <c r="BD244" s="570" t="n">
        <v>1921</v>
      </c>
      <c r="BE244" s="570" t="n">
        <v>1875.5</v>
      </c>
      <c r="BF244" s="570" t="n">
        <v>1848.5</v>
      </c>
      <c r="BG244" s="570" t="n">
        <v>1928.5</v>
      </c>
      <c r="BH244" s="570" t="n">
        <v>1923</v>
      </c>
      <c r="BI244" s="570" t="n">
        <v>1913</v>
      </c>
      <c r="BJ244" s="570" t="n">
        <v>1878</v>
      </c>
      <c r="BK244" s="570" t="n">
        <v>1822</v>
      </c>
      <c r="BL244" s="570" t="n">
        <v>1908.5</v>
      </c>
    </row>
    <row r="245">
      <c r="A245" s="65" t="inlineStr">
        <is>
          <t>3936</t>
        </is>
      </c>
      <c r="B245" s="570">
        <f>銘柄管理!C245</f>
        <v/>
      </c>
      <c r="C245" s="570">
        <f>_xll.RssMarket("3936","安値")</f>
        <v/>
      </c>
      <c r="E245" s="570" t="n">
        <v>164</v>
      </c>
      <c r="F245" s="570" t="n">
        <v>162</v>
      </c>
      <c r="G245" s="570" t="n">
        <v>155</v>
      </c>
      <c r="H245" s="570" t="n">
        <v>152</v>
      </c>
      <c r="I245" s="570" t="n">
        <v>151</v>
      </c>
      <c r="J245" s="570" t="n">
        <v>162</v>
      </c>
      <c r="K245" s="570" t="n">
        <v>159</v>
      </c>
      <c r="L245" s="570" t="n">
        <v>158</v>
      </c>
      <c r="M245" s="570" t="n">
        <v>166</v>
      </c>
      <c r="N245" s="570" t="n">
        <v>171</v>
      </c>
      <c r="O245" s="570" t="n">
        <v>167</v>
      </c>
      <c r="P245" s="570" t="n">
        <v>165</v>
      </c>
      <c r="Q245" s="570" t="n">
        <v>161</v>
      </c>
      <c r="R245" s="570" t="n">
        <v>163</v>
      </c>
      <c r="S245" s="570" t="n">
        <v>164</v>
      </c>
      <c r="T245" s="570" t="n">
        <v>156</v>
      </c>
      <c r="U245" s="570" t="n">
        <v>160</v>
      </c>
      <c r="V245" s="570" t="n">
        <v>155</v>
      </c>
      <c r="W245" s="570" t="n">
        <v>160</v>
      </c>
      <c r="X245" s="570" t="n">
        <v>165</v>
      </c>
      <c r="Y245" s="570" t="n">
        <v>166</v>
      </c>
      <c r="Z245" s="570" t="n">
        <v>164</v>
      </c>
      <c r="AA245" s="570" t="n">
        <v>161</v>
      </c>
      <c r="AB245" s="570" t="n">
        <v>192</v>
      </c>
      <c r="AC245" s="570" t="n">
        <v>206</v>
      </c>
      <c r="AD245" s="570" t="n">
        <v>155</v>
      </c>
      <c r="AE245" s="570" t="n">
        <v>166</v>
      </c>
      <c r="AF245" s="570" t="n">
        <v>169</v>
      </c>
      <c r="AG245" s="570" t="n">
        <v>162</v>
      </c>
      <c r="AH245" s="570" t="n">
        <v>173</v>
      </c>
      <c r="AI245" s="570" t="n">
        <v>166</v>
      </c>
      <c r="AJ245" s="570" t="n">
        <v>170</v>
      </c>
      <c r="AK245" s="570" t="n">
        <v>191</v>
      </c>
      <c r="AL245" s="570" t="n">
        <v>208</v>
      </c>
      <c r="AM245" s="570" t="n">
        <v>227</v>
      </c>
      <c r="AN245" s="570" t="n">
        <v>176</v>
      </c>
      <c r="AO245" s="570" t="n">
        <v>198</v>
      </c>
      <c r="AP245" s="570" t="n">
        <v>139</v>
      </c>
      <c r="AQ245" s="570" t="n">
        <v>130</v>
      </c>
      <c r="AR245" s="570" t="n">
        <v>126</v>
      </c>
      <c r="AS245" s="570" t="n">
        <v>124</v>
      </c>
      <c r="AT245" s="570" t="n">
        <v>124</v>
      </c>
      <c r="AU245" s="570" t="n">
        <v>123</v>
      </c>
      <c r="AV245" s="570" t="n">
        <v>125</v>
      </c>
      <c r="AW245" s="570" t="n">
        <v>127</v>
      </c>
      <c r="AX245" s="570" t="n">
        <v>127</v>
      </c>
      <c r="AY245" s="570" t="n">
        <v>126</v>
      </c>
      <c r="AZ245" s="570" t="n">
        <v>126</v>
      </c>
      <c r="BA245" s="570" t="n">
        <v>126</v>
      </c>
      <c r="BB245" s="570" t="n">
        <v>125</v>
      </c>
      <c r="BC245" s="570" t="n">
        <v>126</v>
      </c>
      <c r="BD245" s="570" t="n">
        <v>124</v>
      </c>
      <c r="BE245" s="570" t="n">
        <v>124</v>
      </c>
      <c r="BF245" s="570" t="n">
        <v>124</v>
      </c>
      <c r="BG245" s="570" t="n">
        <v>124</v>
      </c>
      <c r="BH245" s="570" t="n">
        <v>128</v>
      </c>
      <c r="BI245" s="570" t="n">
        <v>125</v>
      </c>
      <c r="BJ245" s="570" t="n">
        <v>122</v>
      </c>
      <c r="BK245" s="570" t="n">
        <v>128</v>
      </c>
      <c r="BL245" s="570" t="n">
        <v>132</v>
      </c>
    </row>
    <row r="246">
      <c r="A246" s="65" t="inlineStr">
        <is>
          <t>6928</t>
        </is>
      </c>
      <c r="B246" s="570">
        <f>銘柄管理!C246</f>
        <v/>
      </c>
      <c r="C246" s="570">
        <f>_xll.RssMarket("6928","安値")</f>
        <v/>
      </c>
      <c r="E246" s="570" t="n">
        <v>3465</v>
      </c>
      <c r="F246" s="570" t="n">
        <v>3435</v>
      </c>
      <c r="G246" s="570" t="n">
        <v>3365</v>
      </c>
      <c r="H246" s="570" t="n">
        <v>3275</v>
      </c>
      <c r="I246" s="570" t="n">
        <v>3270</v>
      </c>
      <c r="J246" s="570" t="n">
        <v>3230</v>
      </c>
      <c r="K246" s="570" t="n">
        <v>3160</v>
      </c>
      <c r="L246" s="570" t="n">
        <v>3270</v>
      </c>
      <c r="M246" s="570" t="n">
        <v>3350</v>
      </c>
      <c r="N246" s="570" t="n">
        <v>3270</v>
      </c>
      <c r="O246" s="570" t="n">
        <v>3540</v>
      </c>
      <c r="P246" s="570" t="n">
        <v>3615</v>
      </c>
      <c r="Q246" s="570" t="n">
        <v>3655</v>
      </c>
      <c r="R246" s="570" t="n">
        <v>3635</v>
      </c>
      <c r="S246" s="570" t="n">
        <v>3735</v>
      </c>
      <c r="T246" s="570" t="n">
        <v>3425</v>
      </c>
      <c r="U246" s="570" t="n">
        <v>3505</v>
      </c>
      <c r="V246" s="570" t="n">
        <v>3595</v>
      </c>
      <c r="W246" s="570" t="n">
        <v>3500</v>
      </c>
      <c r="X246" s="570" t="n">
        <v>3485</v>
      </c>
      <c r="Y246" s="570" t="n">
        <v>3355</v>
      </c>
      <c r="Z246" s="570" t="n">
        <v>3380</v>
      </c>
      <c r="AA246" s="570" t="n">
        <v>3420</v>
      </c>
      <c r="AB246" s="570" t="n">
        <v>3405</v>
      </c>
      <c r="AC246" s="570" t="n">
        <v>3425</v>
      </c>
      <c r="AD246" s="570" t="n">
        <v>3380</v>
      </c>
      <c r="AE246" s="570" t="n">
        <v>3400</v>
      </c>
      <c r="AF246" s="570" t="n">
        <v>3355</v>
      </c>
      <c r="AG246" s="570" t="n">
        <v>3500</v>
      </c>
      <c r="AH246" s="570" t="n">
        <v>3480</v>
      </c>
      <c r="AI246" s="570" t="n">
        <v>3200</v>
      </c>
      <c r="AJ246" s="570" t="n">
        <v>3105</v>
      </c>
      <c r="AK246" s="570" t="n">
        <v>3160</v>
      </c>
      <c r="AL246" s="570" t="n">
        <v>3075</v>
      </c>
      <c r="AM246" s="570" t="n">
        <v>3140</v>
      </c>
      <c r="AN246" s="570" t="n">
        <v>3090</v>
      </c>
      <c r="AO246" s="570" t="n">
        <v>3170</v>
      </c>
      <c r="AP246" s="570" t="n">
        <v>3205</v>
      </c>
      <c r="AQ246" s="570" t="n">
        <v>3190</v>
      </c>
      <c r="AR246" s="570" t="n">
        <v>3210</v>
      </c>
      <c r="AS246" s="570" t="n">
        <v>3280</v>
      </c>
      <c r="AT246" s="570" t="n">
        <v>3230</v>
      </c>
      <c r="AU246" s="570" t="n">
        <v>3170</v>
      </c>
      <c r="AV246" s="570" t="n">
        <v>3105</v>
      </c>
      <c r="AW246" s="570" t="n">
        <v>3085</v>
      </c>
      <c r="AX246" s="570" t="n">
        <v>3045</v>
      </c>
      <c r="AY246" s="570" t="n">
        <v>2999</v>
      </c>
      <c r="AZ246" s="570" t="n">
        <v>2885</v>
      </c>
      <c r="BA246" s="570" t="n">
        <v>2851</v>
      </c>
      <c r="BB246" s="570" t="n">
        <v>2828</v>
      </c>
      <c r="BC246" s="570" t="n">
        <v>2835</v>
      </c>
      <c r="BD246" s="570" t="n">
        <v>2833</v>
      </c>
      <c r="BE246" s="570" t="n">
        <v>2766</v>
      </c>
      <c r="BF246" s="570" t="n">
        <v>2682</v>
      </c>
      <c r="BG246" s="570" t="n">
        <v>2820</v>
      </c>
      <c r="BH246" s="570" t="n">
        <v>2835</v>
      </c>
      <c r="BI246" s="570" t="n">
        <v>2892</v>
      </c>
      <c r="BJ246" s="570" t="n">
        <v>2789</v>
      </c>
      <c r="BK246" s="570" t="n">
        <v>2691</v>
      </c>
      <c r="BL246" s="570" t="n">
        <v>2840</v>
      </c>
    </row>
    <row r="247">
      <c r="A247" s="65" t="inlineStr">
        <is>
          <t>5632</t>
        </is>
      </c>
      <c r="B247" s="570">
        <f>銘柄管理!C247</f>
        <v/>
      </c>
      <c r="C247" s="570">
        <f>_xll.RssMarket("5632","安値")</f>
        <v/>
      </c>
      <c r="E247" s="570" t="n">
        <v>2315</v>
      </c>
      <c r="F247" s="570" t="n">
        <v>2287</v>
      </c>
      <c r="G247" s="570" t="n">
        <v>2167</v>
      </c>
      <c r="H247" s="570" t="n">
        <v>2141</v>
      </c>
      <c r="I247" s="570" t="n">
        <v>2162</v>
      </c>
      <c r="J247" s="570" t="n">
        <v>2169</v>
      </c>
      <c r="K247" s="570" t="n">
        <v>2130</v>
      </c>
      <c r="L247" s="570" t="n">
        <v>2041</v>
      </c>
      <c r="M247" s="570" t="n">
        <v>2072</v>
      </c>
      <c r="N247" s="570" t="n">
        <v>2037</v>
      </c>
      <c r="O247" s="570" t="n">
        <v>2115</v>
      </c>
      <c r="P247" s="570" t="n">
        <v>2044</v>
      </c>
      <c r="Q247" s="570" t="n">
        <v>2079</v>
      </c>
      <c r="R247" s="570" t="n">
        <v>2042</v>
      </c>
      <c r="S247" s="570" t="n">
        <v>2128</v>
      </c>
      <c r="T247" s="570" t="n">
        <v>2094</v>
      </c>
      <c r="U247" s="570" t="n">
        <v>2115</v>
      </c>
      <c r="V247" s="570" t="n">
        <v>2102</v>
      </c>
      <c r="W247" s="570" t="n">
        <v>2104</v>
      </c>
      <c r="X247" s="570" t="n">
        <v>2047</v>
      </c>
      <c r="Y247" s="570" t="n">
        <v>1993</v>
      </c>
      <c r="Z247" s="570" t="n">
        <v>2061</v>
      </c>
      <c r="AA247" s="570" t="n">
        <v>2037</v>
      </c>
      <c r="AB247" s="570" t="n">
        <v>2054</v>
      </c>
      <c r="AC247" s="570" t="n">
        <v>1994</v>
      </c>
      <c r="AD247" s="570" t="n">
        <v>1819</v>
      </c>
      <c r="AE247" s="570" t="n">
        <v>1857</v>
      </c>
      <c r="AF247" s="570" t="n">
        <v>1800</v>
      </c>
      <c r="AG247" s="570" t="n">
        <v>1815</v>
      </c>
      <c r="AH247" s="570" t="n">
        <v>1817</v>
      </c>
      <c r="AI247" s="570" t="n">
        <v>1774</v>
      </c>
      <c r="AJ247" s="570" t="n">
        <v>1782</v>
      </c>
      <c r="AK247" s="570" t="n">
        <v>1780</v>
      </c>
      <c r="AL247" s="570" t="n">
        <v>1774</v>
      </c>
      <c r="AM247" s="570" t="n">
        <v>1776</v>
      </c>
      <c r="AN247" s="570" t="n">
        <v>1788</v>
      </c>
      <c r="AO247" s="570" t="n">
        <v>1802</v>
      </c>
      <c r="AP247" s="570" t="n">
        <v>1823</v>
      </c>
      <c r="AQ247" s="570" t="n">
        <v>1829</v>
      </c>
      <c r="AR247" s="570" t="n">
        <v>1821</v>
      </c>
      <c r="AS247" s="570" t="n">
        <v>1821</v>
      </c>
      <c r="AT247" s="570" t="n">
        <v>1813</v>
      </c>
      <c r="AU247" s="570" t="n">
        <v>1798</v>
      </c>
      <c r="AV247" s="570" t="n">
        <v>1782</v>
      </c>
      <c r="AW247" s="570" t="n">
        <v>1790</v>
      </c>
      <c r="AX247" s="570" t="n">
        <v>1808</v>
      </c>
      <c r="AY247" s="570" t="n">
        <v>1831</v>
      </c>
      <c r="AZ247" s="570" t="n">
        <v>1792</v>
      </c>
      <c r="BA247" s="570" t="n">
        <v>1796</v>
      </c>
      <c r="BB247" s="570" t="n">
        <v>1813</v>
      </c>
      <c r="BC247" s="570" t="n">
        <v>1791</v>
      </c>
      <c r="BD247" s="570" t="n">
        <v>1810</v>
      </c>
      <c r="BE247" s="570" t="n">
        <v>1781</v>
      </c>
      <c r="BF247" s="570" t="n">
        <v>1760</v>
      </c>
      <c r="BG247" s="570" t="n">
        <v>1859</v>
      </c>
      <c r="BH247" s="570" t="n">
        <v>1845</v>
      </c>
      <c r="BI247" s="570" t="n">
        <v>1869</v>
      </c>
      <c r="BJ247" s="570" t="n">
        <v>1804</v>
      </c>
      <c r="BK247" s="570" t="n">
        <v>1745</v>
      </c>
      <c r="BL247" s="570" t="n">
        <v>1834</v>
      </c>
    </row>
    <row r="248">
      <c r="A248" s="65" t="inlineStr">
        <is>
          <t>6098</t>
        </is>
      </c>
      <c r="B248" s="570">
        <f>銘柄管理!C248</f>
        <v/>
      </c>
      <c r="C248" s="570">
        <f>_xll.RssMarket("6098","安値")</f>
        <v/>
      </c>
      <c r="E248" s="570" t="n">
        <v>10770</v>
      </c>
      <c r="F248" s="570" t="n">
        <v>10685</v>
      </c>
      <c r="G248" s="570" t="n">
        <v>11165</v>
      </c>
      <c r="H248" s="570" t="n">
        <v>10505</v>
      </c>
      <c r="I248" s="570" t="n">
        <v>10520</v>
      </c>
      <c r="J248" s="570" t="n">
        <v>10700</v>
      </c>
      <c r="K248" s="570" t="n">
        <v>10760</v>
      </c>
      <c r="L248" s="570" t="n">
        <v>10990</v>
      </c>
      <c r="M248" s="570" t="n">
        <v>11125</v>
      </c>
      <c r="N248" s="570" t="n">
        <v>10635</v>
      </c>
      <c r="O248" s="570" t="n">
        <v>10555</v>
      </c>
      <c r="P248" s="570" t="n">
        <v>10560</v>
      </c>
      <c r="Q248" s="570" t="n">
        <v>10540</v>
      </c>
      <c r="R248" s="570" t="n">
        <v>10695</v>
      </c>
      <c r="S248" s="570" t="n">
        <v>10325</v>
      </c>
      <c r="T248" s="570" t="n">
        <v>9933</v>
      </c>
      <c r="U248" s="570" t="n">
        <v>9907</v>
      </c>
      <c r="V248" s="570" t="n">
        <v>9537</v>
      </c>
      <c r="W248" s="570" t="n">
        <v>9401</v>
      </c>
      <c r="X248" s="570" t="n">
        <v>9504</v>
      </c>
      <c r="Y248" s="570" t="n">
        <v>9600</v>
      </c>
      <c r="Z248" s="570" t="n">
        <v>9308</v>
      </c>
      <c r="AA248" s="570" t="n">
        <v>8800</v>
      </c>
      <c r="AB248" s="570" t="n">
        <v>7670</v>
      </c>
      <c r="AC248" s="570" t="n">
        <v>7542</v>
      </c>
      <c r="AD248" s="570" t="n">
        <v>7660</v>
      </c>
      <c r="AE248" s="570" t="n">
        <v>7508</v>
      </c>
      <c r="AF248" s="570" t="n">
        <v>7680</v>
      </c>
      <c r="AG248" s="570" t="n">
        <v>7781</v>
      </c>
      <c r="AH248" s="570" t="n">
        <v>7358</v>
      </c>
      <c r="AI248" s="570" t="n">
        <v>7163</v>
      </c>
      <c r="AJ248" s="570" t="n">
        <v>7102</v>
      </c>
      <c r="AK248" s="570" t="n">
        <v>7324</v>
      </c>
      <c r="AL248" s="570" t="n">
        <v>7273</v>
      </c>
      <c r="AM248" s="570" t="n">
        <v>7211</v>
      </c>
      <c r="AN248" s="570" t="n">
        <v>7382</v>
      </c>
      <c r="AO248" s="570" t="n">
        <v>7826</v>
      </c>
      <c r="AP248" s="570" t="n">
        <v>7572</v>
      </c>
      <c r="AQ248" s="570" t="n">
        <v>7482</v>
      </c>
      <c r="AR248" s="570" t="n">
        <v>7270</v>
      </c>
      <c r="AS248" s="570" t="n">
        <v>7241</v>
      </c>
      <c r="AT248" s="570" t="n">
        <v>6960</v>
      </c>
      <c r="AU248" s="570" t="n">
        <v>6985</v>
      </c>
      <c r="AV248" s="570" t="n">
        <v>6902</v>
      </c>
      <c r="AW248" s="570" t="n">
        <v>6995</v>
      </c>
      <c r="AX248" s="570" t="n">
        <v>7102</v>
      </c>
      <c r="AY248" s="570" t="n">
        <v>7201</v>
      </c>
      <c r="AZ248" s="570" t="n">
        <v>6931</v>
      </c>
      <c r="BA248" s="570" t="n">
        <v>6909</v>
      </c>
      <c r="BB248" s="570" t="n">
        <v>6876</v>
      </c>
      <c r="BC248" s="570" t="n">
        <v>6896</v>
      </c>
      <c r="BD248" s="570" t="n">
        <v>6865</v>
      </c>
      <c r="BE248" s="570" t="n">
        <v>6396</v>
      </c>
      <c r="BF248" s="570" t="n">
        <v>6117</v>
      </c>
      <c r="BG248" s="570" t="n">
        <v>6418</v>
      </c>
      <c r="BH248" s="570" t="n">
        <v>6375</v>
      </c>
      <c r="BI248" s="570" t="n">
        <v>6366</v>
      </c>
      <c r="BJ248" s="570" t="n">
        <v>6345</v>
      </c>
      <c r="BK248" s="570" t="n">
        <v>6132</v>
      </c>
      <c r="BL248" s="570" t="n">
        <v>6264</v>
      </c>
    </row>
    <row r="249">
      <c r="A249" s="65" t="inlineStr">
        <is>
          <t>6361</t>
        </is>
      </c>
      <c r="B249" s="570">
        <f>銘柄管理!C249</f>
        <v/>
      </c>
      <c r="C249" s="570">
        <f>_xll.RssMarket("6361","安値")</f>
        <v/>
      </c>
      <c r="E249" s="570" t="n">
        <v>6555</v>
      </c>
      <c r="F249" s="570" t="n">
        <v>6477</v>
      </c>
      <c r="G249" s="570" t="n">
        <v>6538</v>
      </c>
      <c r="H249" s="570" t="n">
        <v>6089</v>
      </c>
      <c r="I249" s="570" t="n">
        <v>6074</v>
      </c>
      <c r="J249" s="570" t="n">
        <v>5719</v>
      </c>
      <c r="K249" s="570" t="n">
        <v>5471</v>
      </c>
      <c r="L249" s="570" t="n">
        <v>5011</v>
      </c>
      <c r="M249" s="570" t="n">
        <v>5171</v>
      </c>
      <c r="N249" s="570" t="n">
        <v>4969</v>
      </c>
      <c r="O249" s="570" t="n">
        <v>5342</v>
      </c>
      <c r="P249" s="570" t="n">
        <v>5375</v>
      </c>
      <c r="Q249" s="570" t="n">
        <v>5237</v>
      </c>
      <c r="R249" s="570" t="n">
        <v>5247</v>
      </c>
      <c r="S249" s="570" t="n">
        <v>5490</v>
      </c>
      <c r="T249" s="570" t="n">
        <v>5361</v>
      </c>
      <c r="U249" s="570" t="n">
        <v>5467</v>
      </c>
      <c r="V249" s="570" t="n">
        <v>5651</v>
      </c>
      <c r="W249" s="570" t="n">
        <v>5278</v>
      </c>
      <c r="X249" s="570" t="n">
        <v>4951</v>
      </c>
      <c r="Y249" s="570" t="n">
        <v>4870</v>
      </c>
      <c r="Z249" s="570" t="n">
        <v>5121</v>
      </c>
      <c r="AA249" s="570" t="n">
        <v>5279</v>
      </c>
      <c r="AB249" s="570" t="n">
        <v>5445</v>
      </c>
      <c r="AC249" s="570" t="n">
        <v>5727</v>
      </c>
      <c r="AD249" s="570" t="n">
        <v>5644</v>
      </c>
      <c r="AE249" s="570" t="n">
        <v>5797</v>
      </c>
      <c r="AF249" s="570" t="n">
        <v>5624</v>
      </c>
      <c r="AG249" s="570" t="n">
        <v>5637</v>
      </c>
      <c r="AH249" s="570" t="n">
        <v>5651</v>
      </c>
      <c r="AI249" s="570" t="n">
        <v>5242</v>
      </c>
      <c r="AJ249" s="570" t="n">
        <v>5272</v>
      </c>
      <c r="AK249" s="570" t="n">
        <v>5422</v>
      </c>
      <c r="AL249" s="570" t="n">
        <v>5231</v>
      </c>
      <c r="AM249" s="570" t="n">
        <v>5269</v>
      </c>
      <c r="AN249" s="570" t="n">
        <v>5223</v>
      </c>
      <c r="AO249" s="570" t="n">
        <v>5171</v>
      </c>
      <c r="AP249" s="570" t="n">
        <v>5114</v>
      </c>
      <c r="AQ249" s="570" t="n">
        <v>5050</v>
      </c>
      <c r="AR249" s="570" t="n">
        <v>4933</v>
      </c>
      <c r="AS249" s="570" t="n">
        <v>4965</v>
      </c>
      <c r="AT249" s="570" t="n">
        <v>4988</v>
      </c>
      <c r="AU249" s="570" t="n">
        <v>5166</v>
      </c>
      <c r="AV249" s="570" t="n">
        <v>5016</v>
      </c>
      <c r="AW249" s="570" t="n">
        <v>4940</v>
      </c>
      <c r="AX249" s="570" t="n">
        <v>4947</v>
      </c>
      <c r="AY249" s="570" t="n">
        <v>4858</v>
      </c>
      <c r="AZ249" s="570" t="n">
        <v>4522</v>
      </c>
      <c r="BA249" s="570" t="n">
        <v>4486</v>
      </c>
      <c r="BB249" s="570" t="n">
        <v>4415</v>
      </c>
      <c r="BC249" s="570" t="n">
        <v>4410</v>
      </c>
      <c r="BD249" s="570" t="n">
        <v>4445</v>
      </c>
      <c r="BE249" s="570" t="n">
        <v>4074</v>
      </c>
      <c r="BF249" s="570" t="n">
        <v>4176</v>
      </c>
      <c r="BG249" s="570" t="n">
        <v>4350</v>
      </c>
      <c r="BH249" s="570" t="n">
        <v>4612</v>
      </c>
      <c r="BI249" s="570" t="n">
        <v>4679</v>
      </c>
      <c r="BJ249" s="570" t="n">
        <v>4379</v>
      </c>
      <c r="BK249" s="570" t="n">
        <v>4307</v>
      </c>
      <c r="BL249" s="570" t="n">
        <v>4740</v>
      </c>
    </row>
    <row r="250">
      <c r="A250" s="65" t="inlineStr">
        <is>
          <t>155A</t>
        </is>
      </c>
      <c r="B250" s="570">
        <f>銘柄管理!C250</f>
        <v/>
      </c>
      <c r="C250" s="570">
        <f>_xll.RssMarket("155A","安値")</f>
        <v/>
      </c>
      <c r="E250" s="570" t="n">
        <v>888</v>
      </c>
      <c r="F250" s="570" t="n">
        <v>874</v>
      </c>
      <c r="G250" s="570" t="n">
        <v>872</v>
      </c>
      <c r="H250" s="570" t="n">
        <v>830</v>
      </c>
      <c r="I250" s="570" t="n">
        <v>816</v>
      </c>
      <c r="J250" s="570" t="n">
        <v>832</v>
      </c>
      <c r="K250" s="570" t="n">
        <v>830</v>
      </c>
      <c r="L250" s="570" t="n">
        <v>853</v>
      </c>
      <c r="M250" s="570" t="n">
        <v>860</v>
      </c>
      <c r="N250" s="570" t="n">
        <v>828</v>
      </c>
      <c r="O250" s="570" t="n">
        <v>834</v>
      </c>
      <c r="P250" s="570" t="n">
        <v>827</v>
      </c>
      <c r="Q250" s="570" t="n">
        <v>828</v>
      </c>
      <c r="R250" s="570" t="n">
        <v>803</v>
      </c>
      <c r="S250" s="570" t="n">
        <v>866</v>
      </c>
      <c r="T250" s="570" t="n">
        <v>849</v>
      </c>
      <c r="U250" s="570" t="n">
        <v>851</v>
      </c>
      <c r="V250" s="570" t="n">
        <v>858</v>
      </c>
      <c r="W250" s="570" t="n">
        <v>824</v>
      </c>
      <c r="X250" s="570" t="n">
        <v>837</v>
      </c>
      <c r="Y250" s="570" t="n">
        <v>823</v>
      </c>
      <c r="Z250" s="570" t="n">
        <v>855</v>
      </c>
      <c r="AA250" s="570" t="n">
        <v>867</v>
      </c>
      <c r="AB250" s="570" t="n">
        <v>831</v>
      </c>
      <c r="AC250" s="570" t="n">
        <v>727</v>
      </c>
      <c r="AD250" s="570" t="n">
        <v>751</v>
      </c>
      <c r="AE250" s="570" t="n">
        <v>785</v>
      </c>
      <c r="AF250" s="570" t="n">
        <v>798</v>
      </c>
      <c r="AG250" s="570" t="n">
        <v>813</v>
      </c>
      <c r="AH250" s="570" t="n">
        <v>803</v>
      </c>
      <c r="AI250" s="570" t="n">
        <v>796</v>
      </c>
      <c r="AJ250" s="570" t="n">
        <v>789</v>
      </c>
      <c r="AK250" s="570" t="n">
        <v>803</v>
      </c>
      <c r="AL250" s="570" t="n">
        <v>807</v>
      </c>
      <c r="AM250" s="570" t="n">
        <v>820</v>
      </c>
      <c r="AN250" s="570" t="n">
        <v>825</v>
      </c>
      <c r="AO250" s="570" t="n">
        <v>844</v>
      </c>
      <c r="AP250" s="570" t="n">
        <v>832</v>
      </c>
      <c r="AQ250" s="570" t="n">
        <v>833</v>
      </c>
      <c r="AR250" s="570" t="n">
        <v>830</v>
      </c>
      <c r="AS250" s="570" t="n">
        <v>829</v>
      </c>
      <c r="AT250" s="570" t="n">
        <v>813</v>
      </c>
      <c r="AU250" s="570" t="n">
        <v>806</v>
      </c>
      <c r="AV250" s="570" t="n">
        <v>794</v>
      </c>
      <c r="AW250" s="570" t="n">
        <v>817</v>
      </c>
      <c r="AX250" s="570" t="n">
        <v>843</v>
      </c>
      <c r="AY250" s="570" t="n">
        <v>853</v>
      </c>
      <c r="AZ250" s="570" t="n">
        <v>840</v>
      </c>
      <c r="BA250" s="570" t="n">
        <v>843</v>
      </c>
      <c r="BB250" s="570" t="n">
        <v>838</v>
      </c>
      <c r="BC250" s="570" t="n">
        <v>835</v>
      </c>
      <c r="BD250" s="570" t="n">
        <v>832</v>
      </c>
      <c r="BE250" s="570" t="n">
        <v>805</v>
      </c>
      <c r="BF250" s="570" t="n">
        <v>825</v>
      </c>
      <c r="BG250" s="570" t="n">
        <v>850</v>
      </c>
      <c r="BH250" s="570" t="n">
        <v>856</v>
      </c>
      <c r="BI250" s="570" t="n">
        <v>879</v>
      </c>
      <c r="BJ250" s="570" t="n">
        <v>860</v>
      </c>
      <c r="BK250" s="570" t="n">
        <v>844</v>
      </c>
      <c r="BL250" s="570" t="n">
        <v>887</v>
      </c>
    </row>
    <row r="251">
      <c r="A251" s="65" t="inlineStr">
        <is>
          <t>278A</t>
        </is>
      </c>
      <c r="B251" s="570">
        <f>銘柄管理!C251</f>
        <v/>
      </c>
      <c r="C251" s="570">
        <f>_xll.RssMarket("278A","安値")</f>
        <v/>
      </c>
      <c r="E251" s="570" t="n">
        <v>7830</v>
      </c>
      <c r="F251" s="570" t="n">
        <v>7820</v>
      </c>
      <c r="G251" s="570" t="n">
        <v>7840</v>
      </c>
      <c r="H251" s="570" t="n">
        <v>7940</v>
      </c>
      <c r="I251" s="570" t="n">
        <v>8350</v>
      </c>
      <c r="J251" s="570" t="n">
        <v>7050</v>
      </c>
      <c r="K251" s="570" t="n">
        <v>8100</v>
      </c>
      <c r="L251" s="570" t="n">
        <v>8080</v>
      </c>
      <c r="M251" s="570" t="n">
        <v>8520</v>
      </c>
      <c r="N251" s="570" t="n">
        <v>7930</v>
      </c>
      <c r="O251" s="570" t="n">
        <v>7890</v>
      </c>
      <c r="P251" s="570" t="n">
        <v>7820</v>
      </c>
      <c r="Q251" s="570" t="n">
        <v>8230</v>
      </c>
      <c r="R251" s="570" t="n">
        <v>8350</v>
      </c>
      <c r="S251" s="570" t="n">
        <v>9690</v>
      </c>
      <c r="T251" s="570" t="n">
        <v>8900</v>
      </c>
      <c r="U251" s="570" t="n">
        <v>8660</v>
      </c>
      <c r="V251" s="570" t="n">
        <v>10440</v>
      </c>
      <c r="W251" s="570" t="n">
        <v>10550</v>
      </c>
      <c r="X251" s="570" t="n">
        <v>10270</v>
      </c>
      <c r="Y251" s="570" t="n">
        <v>11030</v>
      </c>
      <c r="Z251" s="570" t="n">
        <v>12350</v>
      </c>
      <c r="AA251" s="570" t="n">
        <v>11220</v>
      </c>
      <c r="AB251" s="570" t="n">
        <v>10930</v>
      </c>
      <c r="AC251" s="570" t="n">
        <v>10500</v>
      </c>
      <c r="AD251" s="570" t="n">
        <v>9420</v>
      </c>
      <c r="AE251" s="570" t="n">
        <v>12400</v>
      </c>
      <c r="AF251" s="570" t="n">
        <v>15060</v>
      </c>
      <c r="AG251" s="570" t="n">
        <v>12020</v>
      </c>
      <c r="AH251" s="570" t="n">
        <v>11100</v>
      </c>
      <c r="AI251" s="570" t="n">
        <v>9960</v>
      </c>
      <c r="AJ251" s="570" t="n">
        <v>8000</v>
      </c>
      <c r="AK251" s="570" t="n">
        <v>7030</v>
      </c>
      <c r="AL251" s="570" t="n">
        <v>7230</v>
      </c>
      <c r="AM251" s="570" t="n">
        <v>7780</v>
      </c>
      <c r="AN251" s="570" t="n">
        <v>7170</v>
      </c>
      <c r="AO251" s="570" t="n">
        <v>6830</v>
      </c>
      <c r="AP251" s="570" t="n">
        <v>6100</v>
      </c>
      <c r="AQ251" s="570" t="n">
        <v>6390</v>
      </c>
      <c r="AR251" s="570" t="n">
        <v>6320</v>
      </c>
      <c r="AS251" s="570" t="n">
        <v>6230</v>
      </c>
      <c r="AT251" s="570" t="n">
        <v>5510</v>
      </c>
      <c r="AU251" s="570" t="n">
        <v>5460</v>
      </c>
      <c r="AV251" s="570" t="n">
        <v>5310</v>
      </c>
      <c r="AW251" s="570" t="n">
        <v>4370</v>
      </c>
      <c r="AX251" s="570" t="n">
        <v>4125</v>
      </c>
      <c r="AY251" s="570" t="n">
        <v>4030</v>
      </c>
      <c r="AZ251" s="570" t="n">
        <v>4200</v>
      </c>
      <c r="BA251" s="570" t="n">
        <v>4420</v>
      </c>
      <c r="BB251" s="570" t="n">
        <v>4430</v>
      </c>
      <c r="BC251" s="570" t="n">
        <v>4630</v>
      </c>
      <c r="BD251" s="570" t="n">
        <v>4495</v>
      </c>
      <c r="BE251" s="570" t="n">
        <v>3610</v>
      </c>
      <c r="BF251" s="570" t="n">
        <v>3720</v>
      </c>
      <c r="BG251" s="570" t="n">
        <v>3715</v>
      </c>
      <c r="BH251" s="570" t="n">
        <v>3830</v>
      </c>
      <c r="BI251" s="570" t="n">
        <v>3510</v>
      </c>
      <c r="BJ251" s="570" t="n">
        <v>3395</v>
      </c>
      <c r="BK251" s="570" t="n">
        <v>2763</v>
      </c>
      <c r="BL251" s="570" t="n">
        <v>2910</v>
      </c>
    </row>
    <row r="252">
      <c r="A252" s="65" t="inlineStr">
        <is>
          <t>300A</t>
        </is>
      </c>
      <c r="B252" s="570">
        <f>銘柄管理!C252</f>
        <v/>
      </c>
      <c r="C252" s="570">
        <f>_xll.RssMarket("300A","安値")</f>
        <v/>
      </c>
      <c r="E252" s="570" t="n">
        <v>2790</v>
      </c>
      <c r="F252" s="570" t="n">
        <v>2773</v>
      </c>
      <c r="G252" s="570" t="n">
        <v>2725</v>
      </c>
      <c r="H252" s="570" t="n">
        <v>2810</v>
      </c>
      <c r="I252" s="570" t="n">
        <v>2797</v>
      </c>
      <c r="J252" s="570" t="n">
        <v>2775</v>
      </c>
      <c r="K252" s="570" t="n">
        <v>2764</v>
      </c>
      <c r="L252" s="570" t="n">
        <v>2737</v>
      </c>
      <c r="M252" s="570" t="n">
        <v>2797</v>
      </c>
      <c r="N252" s="570" t="n">
        <v>2719</v>
      </c>
      <c r="O252" s="570" t="n">
        <v>2754</v>
      </c>
      <c r="P252" s="570" t="n">
        <v>2733</v>
      </c>
      <c r="Q252" s="570" t="n">
        <v>2753</v>
      </c>
      <c r="R252" s="570" t="n">
        <v>2752</v>
      </c>
      <c r="S252" s="570" t="n">
        <v>2835</v>
      </c>
      <c r="T252" s="570" t="n">
        <v>2810</v>
      </c>
      <c r="U252" s="570" t="n">
        <v>2833</v>
      </c>
      <c r="V252" s="570" t="n">
        <v>2869</v>
      </c>
      <c r="W252" s="570" t="n">
        <v>2864</v>
      </c>
      <c r="X252" s="570" t="n">
        <v>2836</v>
      </c>
      <c r="Y252" s="570" t="n">
        <v>2874</v>
      </c>
      <c r="Z252" s="570" t="n">
        <v>2848</v>
      </c>
      <c r="AA252" s="570" t="n">
        <v>2748</v>
      </c>
      <c r="AB252" s="570" t="n">
        <v>2904</v>
      </c>
      <c r="AC252" s="570" t="n">
        <v>2595</v>
      </c>
      <c r="AD252" s="570" t="n">
        <v>2753</v>
      </c>
      <c r="AE252" s="570" t="n">
        <v>2731</v>
      </c>
      <c r="AF252" s="570" t="n">
        <v>2777</v>
      </c>
      <c r="AG252" s="570" t="n">
        <v>2709</v>
      </c>
      <c r="AH252" s="570" t="n">
        <v>2733</v>
      </c>
      <c r="AI252" s="570" t="n">
        <v>2687</v>
      </c>
      <c r="AJ252" s="570" t="n">
        <v>2747</v>
      </c>
      <c r="AK252" s="570" t="n">
        <v>2783</v>
      </c>
      <c r="AL252" s="570" t="n">
        <v>2720</v>
      </c>
      <c r="AM252" s="570" t="n">
        <v>2859</v>
      </c>
      <c r="AN252" s="570" t="n">
        <v>2931</v>
      </c>
      <c r="AO252" s="570" t="n">
        <v>3045</v>
      </c>
      <c r="AP252" s="570" t="n">
        <v>3005</v>
      </c>
      <c r="AQ252" s="570" t="n">
        <v>2982</v>
      </c>
      <c r="AR252" s="570" t="n">
        <v>2964</v>
      </c>
      <c r="AS252" s="570" t="n">
        <v>2964</v>
      </c>
      <c r="AT252" s="570" t="n">
        <v>2879</v>
      </c>
      <c r="AU252" s="570" t="n">
        <v>2868</v>
      </c>
      <c r="AV252" s="570" t="n">
        <v>2828</v>
      </c>
      <c r="AW252" s="570" t="n">
        <v>2853</v>
      </c>
      <c r="AX252" s="570" t="n">
        <v>2768</v>
      </c>
      <c r="AY252" s="570" t="n">
        <v>2740</v>
      </c>
      <c r="AZ252" s="570" t="n">
        <v>2770</v>
      </c>
      <c r="BA252" s="570" t="n">
        <v>2801</v>
      </c>
      <c r="BB252" s="570" t="n">
        <v>2792</v>
      </c>
      <c r="BC252" s="570" t="n">
        <v>2763</v>
      </c>
      <c r="BD252" s="570" t="n">
        <v>2777</v>
      </c>
      <c r="BE252" s="570" t="n">
        <v>2702</v>
      </c>
      <c r="BF252" s="570" t="n">
        <v>2660</v>
      </c>
      <c r="BG252" s="570" t="n">
        <v>2760</v>
      </c>
      <c r="BH252" s="570" t="n">
        <v>2742</v>
      </c>
      <c r="BI252" s="570" t="n">
        <v>2750</v>
      </c>
      <c r="BJ252" s="570" t="n">
        <v>2684</v>
      </c>
      <c r="BK252" s="570" t="n">
        <v>2626</v>
      </c>
      <c r="BL252" s="570" t="n">
        <v>2740</v>
      </c>
    </row>
    <row r="253">
      <c r="A253" s="65" t="inlineStr">
        <is>
          <t>4776</t>
        </is>
      </c>
      <c r="B253" s="570">
        <f>銘柄管理!C253</f>
        <v/>
      </c>
      <c r="C253" s="570">
        <f>_xll.RssMarket("4776","安値")</f>
        <v/>
      </c>
      <c r="E253" s="570" t="n">
        <v>2280</v>
      </c>
      <c r="F253" s="570" t="n">
        <v>2307</v>
      </c>
      <c r="G253" s="570" t="n">
        <v>2301</v>
      </c>
      <c r="H253" s="570" t="n">
        <v>2266</v>
      </c>
      <c r="I253" s="570" t="n">
        <v>2285</v>
      </c>
      <c r="J253" s="570" t="n">
        <v>2306</v>
      </c>
      <c r="K253" s="570" t="n">
        <v>2235</v>
      </c>
      <c r="L253" s="570" t="n">
        <v>2274</v>
      </c>
      <c r="M253" s="570" t="n">
        <v>2309</v>
      </c>
      <c r="N253" s="570" t="n">
        <v>2361</v>
      </c>
      <c r="O253" s="570" t="n">
        <v>2425</v>
      </c>
      <c r="P253" s="570" t="n">
        <v>2385</v>
      </c>
      <c r="Q253" s="570" t="n">
        <v>2468</v>
      </c>
      <c r="R253" s="570" t="n">
        <v>2572</v>
      </c>
      <c r="S253" s="570" t="n">
        <v>2537</v>
      </c>
      <c r="T253" s="570" t="n">
        <v>2506</v>
      </c>
      <c r="U253" s="570" t="n">
        <v>2523</v>
      </c>
      <c r="V253" s="570" t="n">
        <v>2500</v>
      </c>
      <c r="W253" s="570" t="n">
        <v>2474</v>
      </c>
      <c r="X253" s="570" t="n">
        <v>2469</v>
      </c>
      <c r="Y253" s="570" t="n">
        <v>2416</v>
      </c>
      <c r="Z253" s="570" t="n">
        <v>2372</v>
      </c>
      <c r="AA253" s="570" t="n">
        <v>2320</v>
      </c>
      <c r="AB253" s="570" t="n">
        <v>2265</v>
      </c>
      <c r="AC253" s="570" t="n">
        <v>2086</v>
      </c>
      <c r="AD253" s="570" t="n">
        <v>2126</v>
      </c>
      <c r="AE253" s="570" t="n">
        <v>2115</v>
      </c>
      <c r="AF253" s="570" t="n">
        <v>2150</v>
      </c>
      <c r="AG253" s="570" t="n">
        <v>2108</v>
      </c>
      <c r="AH253" s="570" t="n">
        <v>2047</v>
      </c>
      <c r="AI253" s="570" t="n">
        <v>2076</v>
      </c>
      <c r="AJ253" s="570" t="n">
        <v>2050</v>
      </c>
      <c r="AK253" s="570" t="n">
        <v>2099</v>
      </c>
      <c r="AL253" s="570" t="n">
        <v>2098</v>
      </c>
      <c r="AM253" s="570" t="n">
        <v>2095</v>
      </c>
      <c r="AN253" s="570" t="n">
        <v>2086</v>
      </c>
      <c r="AO253" s="570" t="n">
        <v>2136</v>
      </c>
      <c r="AP253" s="570" t="n">
        <v>2133</v>
      </c>
      <c r="AQ253" s="570" t="n">
        <v>2177</v>
      </c>
      <c r="AR253" s="570" t="n">
        <v>2226</v>
      </c>
      <c r="AS253" s="570" t="n">
        <v>2185</v>
      </c>
      <c r="AT253" s="570" t="n">
        <v>2064</v>
      </c>
      <c r="AU253" s="570" t="n">
        <v>2014</v>
      </c>
      <c r="AV253" s="570" t="n">
        <v>1948</v>
      </c>
      <c r="AW253" s="570" t="n">
        <v>1965</v>
      </c>
      <c r="AX253" s="570" t="n">
        <v>2034</v>
      </c>
      <c r="AY253" s="570" t="n">
        <v>2082</v>
      </c>
      <c r="AZ253" s="570" t="n">
        <v>2069</v>
      </c>
      <c r="BA253" s="570" t="n">
        <v>2033</v>
      </c>
      <c r="BB253" s="570" t="n">
        <v>2033</v>
      </c>
      <c r="BC253" s="570" t="n">
        <v>2026</v>
      </c>
      <c r="BD253" s="570" t="n">
        <v>2073</v>
      </c>
      <c r="BE253" s="570" t="n">
        <v>2065</v>
      </c>
      <c r="BF253" s="570" t="n">
        <v>2012</v>
      </c>
      <c r="BG253" s="570" t="n">
        <v>2053</v>
      </c>
      <c r="BH253" s="570" t="n">
        <v>2032</v>
      </c>
      <c r="BI253" s="570" t="n">
        <v>2012</v>
      </c>
      <c r="BJ253" s="570" t="n">
        <v>2000</v>
      </c>
      <c r="BK253" s="570" t="n">
        <v>1990</v>
      </c>
      <c r="BL253" s="570" t="n">
        <v>2074</v>
      </c>
    </row>
    <row r="254">
      <c r="A254" s="65" t="inlineStr">
        <is>
          <t>4704</t>
        </is>
      </c>
      <c r="B254" s="570">
        <f>銘柄管理!C254</f>
        <v/>
      </c>
      <c r="C254" s="570">
        <f>_xll.RssMarket("4704","安値")</f>
        <v/>
      </c>
      <c r="E254" s="570" t="n">
        <v>5606</v>
      </c>
      <c r="F254" s="570" t="n">
        <v>5727</v>
      </c>
      <c r="G254" s="570" t="n">
        <v>5717</v>
      </c>
      <c r="H254" s="570" t="n">
        <v>5662</v>
      </c>
      <c r="I254" s="570" t="n">
        <v>5833</v>
      </c>
      <c r="J254" s="570" t="n">
        <v>5900</v>
      </c>
      <c r="K254" s="570" t="n">
        <v>6092</v>
      </c>
      <c r="L254" s="570" t="n">
        <v>6113</v>
      </c>
      <c r="M254" s="570" t="n">
        <v>6302</v>
      </c>
      <c r="N254" s="570" t="n">
        <v>6615</v>
      </c>
      <c r="O254" s="570" t="n">
        <v>6040</v>
      </c>
      <c r="P254" s="570" t="n">
        <v>6103</v>
      </c>
      <c r="Q254" s="570" t="n">
        <v>6310</v>
      </c>
      <c r="R254" s="570" t="n">
        <v>5977</v>
      </c>
      <c r="S254" s="570" t="n">
        <v>5865</v>
      </c>
      <c r="T254" s="570" t="n">
        <v>5993</v>
      </c>
      <c r="U254" s="570" t="n">
        <v>6072</v>
      </c>
      <c r="V254" s="570" t="n">
        <v>6009</v>
      </c>
      <c r="W254" s="570" t="n">
        <v>5861</v>
      </c>
      <c r="X254" s="570" t="n">
        <v>5854</v>
      </c>
      <c r="Y254" s="570" t="n">
        <v>6024</v>
      </c>
      <c r="Z254" s="570" t="n">
        <v>5682</v>
      </c>
      <c r="AA254" s="570" t="n">
        <v>5307</v>
      </c>
      <c r="AB254" s="570" t="n">
        <v>5375</v>
      </c>
      <c r="AC254" s="570" t="n">
        <v>5605</v>
      </c>
      <c r="AD254" s="570" t="n">
        <v>5569</v>
      </c>
      <c r="AE254" s="570" t="n">
        <v>5612</v>
      </c>
      <c r="AF254" s="570" t="n">
        <v>5581</v>
      </c>
      <c r="AG254" s="570" t="n">
        <v>5259</v>
      </c>
      <c r="AH254" s="570" t="n">
        <v>5226</v>
      </c>
      <c r="AI254" s="570" t="n">
        <v>5386</v>
      </c>
      <c r="AJ254" s="570" t="n">
        <v>5468</v>
      </c>
      <c r="AK254" s="570" t="n">
        <v>5476</v>
      </c>
      <c r="AL254" s="570" t="n">
        <v>5560</v>
      </c>
      <c r="AM254" s="570" t="n">
        <v>5682</v>
      </c>
      <c r="AN254" s="570" t="n">
        <v>5853</v>
      </c>
      <c r="AO254" s="570" t="n">
        <v>5863</v>
      </c>
      <c r="AP254" s="570" t="n">
        <v>5756</v>
      </c>
      <c r="AQ254" s="570" t="n">
        <v>5965</v>
      </c>
      <c r="AR254" s="570" t="n">
        <v>5826</v>
      </c>
      <c r="AS254" s="570" t="n">
        <v>5424</v>
      </c>
      <c r="AT254" s="570" t="n">
        <v>5267</v>
      </c>
      <c r="AU254" s="570" t="n">
        <v>5065</v>
      </c>
      <c r="AV254" s="570" t="n">
        <v>5094</v>
      </c>
      <c r="AW254" s="570" t="n">
        <v>5313</v>
      </c>
      <c r="AX254" s="570" t="n">
        <v>5496</v>
      </c>
      <c r="AY254" s="570" t="n">
        <v>5297</v>
      </c>
      <c r="AZ254" s="570" t="n">
        <v>5286</v>
      </c>
      <c r="BA254" s="570" t="n">
        <v>5316</v>
      </c>
      <c r="BB254" s="570" t="n">
        <v>5267</v>
      </c>
      <c r="BC254" s="570" t="n">
        <v>5268</v>
      </c>
      <c r="BD254" s="570" t="n">
        <v>5185</v>
      </c>
      <c r="BE254" s="570" t="n">
        <v>5065</v>
      </c>
      <c r="BF254" s="570" t="n">
        <v>5267</v>
      </c>
      <c r="BG254" s="570" t="n">
        <v>5142</v>
      </c>
      <c r="BH254" s="570" t="n">
        <v>5135</v>
      </c>
      <c r="BI254" s="570" t="n">
        <v>5287</v>
      </c>
      <c r="BJ254" s="570" t="n">
        <v>5235</v>
      </c>
      <c r="BK254" s="570" t="n">
        <v>5289</v>
      </c>
      <c r="BL254" s="570" t="n">
        <v>5291</v>
      </c>
    </row>
    <row r="255">
      <c r="A255" s="65" t="inlineStr">
        <is>
          <t>6370</t>
        </is>
      </c>
      <c r="B255" s="570">
        <f>銘柄管理!C255</f>
        <v/>
      </c>
      <c r="C255" s="570">
        <f>_xll.RssMarket("6370","安値")</f>
        <v/>
      </c>
      <c r="E255" s="570" t="n">
        <v>9486</v>
      </c>
      <c r="F255" s="570" t="n">
        <v>9476</v>
      </c>
      <c r="G255" s="570" t="n">
        <v>9325</v>
      </c>
      <c r="H255" s="570" t="n">
        <v>9206</v>
      </c>
      <c r="I255" s="570" t="n">
        <v>8700</v>
      </c>
      <c r="J255" s="570" t="n">
        <v>8524</v>
      </c>
      <c r="K255" s="570" t="n">
        <v>8267</v>
      </c>
      <c r="L255" s="570" t="n">
        <v>7740</v>
      </c>
      <c r="M255" s="570" t="n">
        <v>8125</v>
      </c>
      <c r="N255" s="570" t="n">
        <v>8148</v>
      </c>
      <c r="O255" s="570" t="n">
        <v>8660</v>
      </c>
      <c r="P255" s="570" t="n">
        <v>8702</v>
      </c>
      <c r="Q255" s="570" t="n">
        <v>8653</v>
      </c>
      <c r="R255" s="570" t="n">
        <v>8327</v>
      </c>
      <c r="S255" s="570" t="n">
        <v>8662</v>
      </c>
      <c r="T255" s="570" t="n">
        <v>8535</v>
      </c>
      <c r="U255" s="570" t="n">
        <v>8725</v>
      </c>
      <c r="V255" s="570" t="n">
        <v>8735</v>
      </c>
      <c r="W255" s="570" t="n">
        <v>8684</v>
      </c>
      <c r="X255" s="570" t="n">
        <v>8456</v>
      </c>
      <c r="Y255" s="570" t="n">
        <v>8276</v>
      </c>
      <c r="Z255" s="570" t="n">
        <v>8738</v>
      </c>
      <c r="AA255" s="570" t="n">
        <v>8661</v>
      </c>
      <c r="AB255" s="570" t="n">
        <v>8910</v>
      </c>
      <c r="AC255" s="570" t="n">
        <v>8802</v>
      </c>
      <c r="AD255" s="570" t="n">
        <v>8713</v>
      </c>
      <c r="AE255" s="570" t="n">
        <v>8936</v>
      </c>
      <c r="AF255" s="570" t="n">
        <v>8786</v>
      </c>
      <c r="AG255" s="570" t="n">
        <v>8278</v>
      </c>
      <c r="AH255" s="570" t="n">
        <v>8209</v>
      </c>
      <c r="AI255" s="570" t="n">
        <v>8044</v>
      </c>
      <c r="AJ255" s="570" t="n">
        <v>8372</v>
      </c>
      <c r="AK255" s="570" t="n">
        <v>8251</v>
      </c>
      <c r="AL255" s="570" t="n">
        <v>7811</v>
      </c>
      <c r="AM255" s="570" t="n">
        <v>7767</v>
      </c>
      <c r="AN255" s="570" t="n">
        <v>7708</v>
      </c>
      <c r="AO255" s="570" t="n">
        <v>7818</v>
      </c>
      <c r="AP255" s="570" t="n">
        <v>8015</v>
      </c>
      <c r="AQ255" s="570" t="n">
        <v>8065</v>
      </c>
      <c r="AR255" s="570" t="n">
        <v>8010</v>
      </c>
      <c r="AS255" s="570" t="n">
        <v>7882</v>
      </c>
      <c r="AT255" s="570" t="n">
        <v>7860</v>
      </c>
      <c r="AU255" s="570" t="n">
        <v>7915</v>
      </c>
      <c r="AV255" s="570" t="n">
        <v>8031</v>
      </c>
      <c r="AW255" s="570" t="n">
        <v>8014</v>
      </c>
      <c r="AX255" s="570" t="n">
        <v>8046</v>
      </c>
      <c r="AY255" s="570" t="n">
        <v>7943</v>
      </c>
      <c r="AZ255" s="570" t="n">
        <v>7690</v>
      </c>
      <c r="BA255" s="570" t="n">
        <v>7700</v>
      </c>
      <c r="BB255" s="570" t="n">
        <v>7600</v>
      </c>
      <c r="BC255" s="570" t="n">
        <v>7527</v>
      </c>
      <c r="BD255" s="570" t="n">
        <v>7528</v>
      </c>
      <c r="BE255" s="570" t="n">
        <v>7215</v>
      </c>
      <c r="BF255" s="570" t="n">
        <v>7183</v>
      </c>
      <c r="BG255" s="570" t="n">
        <v>7536</v>
      </c>
      <c r="BH255" s="570" t="n">
        <v>7651</v>
      </c>
      <c r="BI255" s="570" t="n">
        <v>7617</v>
      </c>
      <c r="BJ255" s="570" t="n">
        <v>7360</v>
      </c>
      <c r="BK255" s="570" t="n">
        <v>7048</v>
      </c>
      <c r="BL255" s="570" t="n">
        <v>7626</v>
      </c>
    </row>
    <row r="256">
      <c r="A256" s="65" t="inlineStr">
        <is>
          <t>7014</t>
        </is>
      </c>
      <c r="B256" s="570">
        <f>銘柄管理!C256</f>
        <v/>
      </c>
      <c r="C256" s="570">
        <f>_xll.RssMarket("7014","安値")</f>
        <v/>
      </c>
      <c r="E256" s="570" t="n">
        <v>3705</v>
      </c>
      <c r="F256" s="570" t="n">
        <v>3750</v>
      </c>
      <c r="G256" s="570" t="n">
        <v>3835</v>
      </c>
      <c r="H256" s="570" t="n">
        <v>3750</v>
      </c>
      <c r="I256" s="570" t="n">
        <v>3720</v>
      </c>
      <c r="J256" s="570" t="n">
        <v>3655</v>
      </c>
      <c r="K256" s="570" t="n">
        <v>3425</v>
      </c>
      <c r="L256" s="570" t="n">
        <v>3250</v>
      </c>
      <c r="M256" s="570" t="n">
        <v>3385</v>
      </c>
      <c r="N256" s="570" t="n">
        <v>3525</v>
      </c>
      <c r="O256" s="570" t="n">
        <v>3645</v>
      </c>
      <c r="P256" s="570" t="n">
        <v>3420</v>
      </c>
      <c r="Q256" s="570" t="n">
        <v>3405</v>
      </c>
      <c r="R256" s="570" t="n">
        <v>3325</v>
      </c>
      <c r="S256" s="570" t="n">
        <v>3605</v>
      </c>
      <c r="T256" s="570" t="n">
        <v>3755</v>
      </c>
      <c r="U256" s="570" t="n">
        <v>4030</v>
      </c>
      <c r="V256" s="570" t="n">
        <v>3925</v>
      </c>
      <c r="W256" s="570" t="n">
        <v>3725</v>
      </c>
      <c r="X256" s="570" t="n">
        <v>8456</v>
      </c>
      <c r="Y256" s="570" t="n">
        <v>8276</v>
      </c>
      <c r="Z256" s="570" t="n">
        <v>8738</v>
      </c>
      <c r="AA256" s="570" t="n">
        <v>8661</v>
      </c>
      <c r="AB256" s="570" t="n">
        <v>8910</v>
      </c>
      <c r="AC256" s="570" t="n">
        <v>8802</v>
      </c>
      <c r="AD256" s="570" t="n">
        <v>8713</v>
      </c>
      <c r="AE256" s="570" t="n">
        <v>8936</v>
      </c>
      <c r="AF256" s="570" t="n">
        <v>8786</v>
      </c>
      <c r="AG256" s="570" t="n">
        <v>8278</v>
      </c>
      <c r="AH256" s="570" t="n">
        <v>8209</v>
      </c>
      <c r="AI256" s="570" t="n">
        <v>8044</v>
      </c>
      <c r="AJ256" s="570" t="n">
        <v>8372</v>
      </c>
      <c r="AK256" s="570" t="n">
        <v>8251</v>
      </c>
      <c r="AL256" s="570" t="n">
        <v>7811</v>
      </c>
      <c r="AM256" s="570" t="n">
        <v>7767</v>
      </c>
      <c r="AN256" s="570" t="n">
        <v>7708</v>
      </c>
      <c r="AO256" s="570" t="n">
        <v>7818</v>
      </c>
      <c r="AP256" s="570" t="n">
        <v>8015</v>
      </c>
      <c r="AQ256" s="570" t="n">
        <v>8065</v>
      </c>
      <c r="AR256" s="570" t="n">
        <v>8010</v>
      </c>
      <c r="AS256" s="570" t="n">
        <v>7882</v>
      </c>
      <c r="AT256" s="570" t="n">
        <v>7860</v>
      </c>
      <c r="AU256" s="570" t="n">
        <v>7915</v>
      </c>
      <c r="AV256" s="570" t="n">
        <v>8031</v>
      </c>
      <c r="AW256" s="570" t="n">
        <v>8014</v>
      </c>
      <c r="AX256" s="570" t="n">
        <v>8046</v>
      </c>
      <c r="AY256" s="570" t="n">
        <v>7943</v>
      </c>
      <c r="AZ256" s="570" t="n">
        <v>7690</v>
      </c>
      <c r="BA256" s="570" t="n">
        <v>7700</v>
      </c>
      <c r="BB256" s="570" t="n">
        <v>7600</v>
      </c>
      <c r="BC256" s="570" t="n">
        <v>7527</v>
      </c>
      <c r="BD256" s="570" t="n">
        <v>7528</v>
      </c>
      <c r="BE256" s="570" t="n">
        <v>7215</v>
      </c>
      <c r="BF256" s="570" t="n">
        <v>7183</v>
      </c>
      <c r="BG256" s="570" t="n">
        <v>7536</v>
      </c>
      <c r="BH256" s="570" t="n">
        <v>7651</v>
      </c>
      <c r="BI256" s="570" t="n">
        <v>7617</v>
      </c>
      <c r="BJ256" s="570" t="n">
        <v>7360</v>
      </c>
      <c r="BK256" s="570" t="n">
        <v>7048</v>
      </c>
      <c r="BL256" s="570" t="n">
        <v>7626</v>
      </c>
    </row>
    <row r="257">
      <c r="A257" s="65" t="inlineStr">
        <is>
          <t>9880</t>
        </is>
      </c>
      <c r="B257" s="570">
        <f>銘柄管理!C257</f>
        <v/>
      </c>
      <c r="C257" s="570">
        <f>_xll.RssMarket("9880","安値")</f>
        <v/>
      </c>
      <c r="E257" s="570" t="n">
        <v>4330</v>
      </c>
      <c r="F257" s="570" t="n">
        <v>4230</v>
      </c>
      <c r="G257" s="570" t="n">
        <v>4175</v>
      </c>
      <c r="H257" s="570" t="n">
        <v>3840</v>
      </c>
      <c r="I257" s="570" t="n">
        <v>3930</v>
      </c>
      <c r="J257" s="570" t="n">
        <v>4035</v>
      </c>
      <c r="K257" s="570" t="n">
        <v>3950</v>
      </c>
      <c r="L257" s="570" t="n">
        <v>3875</v>
      </c>
      <c r="M257" s="570" t="n">
        <v>4045</v>
      </c>
      <c r="N257" s="570" t="n">
        <v>4040</v>
      </c>
      <c r="O257" s="570" t="n">
        <v>4180</v>
      </c>
      <c r="P257" s="570" t="n">
        <v>4300</v>
      </c>
      <c r="Q257" s="570" t="n">
        <v>4285</v>
      </c>
      <c r="R257" s="570" t="n">
        <v>4100</v>
      </c>
      <c r="S257" s="570" t="n">
        <v>4185</v>
      </c>
      <c r="T257" s="570" t="n">
        <v>4105</v>
      </c>
      <c r="U257" s="570" t="n">
        <v>4300</v>
      </c>
      <c r="V257" s="570" t="n">
        <v>4330</v>
      </c>
      <c r="W257" s="570" t="n">
        <v>4225</v>
      </c>
      <c r="X257" s="570" t="n">
        <v>4230</v>
      </c>
      <c r="Y257" s="570" t="n">
        <v>3995</v>
      </c>
      <c r="Z257" s="570" t="n">
        <v>4230</v>
      </c>
      <c r="AA257" s="570" t="n">
        <v>4225</v>
      </c>
      <c r="AB257" s="570" t="n">
        <v>3745</v>
      </c>
      <c r="AC257" s="570" t="n">
        <v>3265</v>
      </c>
      <c r="AD257" s="570" t="n">
        <v>3215</v>
      </c>
      <c r="AE257" s="570" t="n">
        <v>3325</v>
      </c>
      <c r="AF257" s="570" t="n">
        <v>3270</v>
      </c>
      <c r="AG257" s="570" t="n">
        <v>3120</v>
      </c>
      <c r="AH257" s="570" t="n">
        <v>2950</v>
      </c>
      <c r="AI257" s="570" t="n">
        <v>2741</v>
      </c>
      <c r="AJ257" s="570" t="n">
        <v>2767</v>
      </c>
      <c r="AK257" s="570" t="n">
        <v>2721</v>
      </c>
      <c r="AL257" s="570" t="n">
        <v>2710</v>
      </c>
      <c r="AM257" s="570" t="n">
        <v>2633</v>
      </c>
      <c r="AN257" s="570" t="n">
        <v>2613</v>
      </c>
      <c r="AO257" s="570" t="n">
        <v>2657</v>
      </c>
      <c r="AP257" s="570" t="n">
        <v>2728</v>
      </c>
      <c r="AQ257" s="570" t="n">
        <v>2746</v>
      </c>
      <c r="AR257" s="570" t="n">
        <v>2806</v>
      </c>
      <c r="AS257" s="570" t="n">
        <v>2860</v>
      </c>
      <c r="AT257" s="570" t="n">
        <v>2809</v>
      </c>
      <c r="AU257" s="570" t="n">
        <v>2639</v>
      </c>
      <c r="AV257" s="570" t="n">
        <v>2560</v>
      </c>
      <c r="AW257" s="570" t="n">
        <v>2556</v>
      </c>
      <c r="AX257" s="570" t="n">
        <v>2551</v>
      </c>
      <c r="AY257" s="570" t="n">
        <v>2553</v>
      </c>
      <c r="AZ257" s="570" t="n">
        <v>2465</v>
      </c>
      <c r="BA257" s="570" t="n">
        <v>2465</v>
      </c>
      <c r="BB257" s="570" t="n">
        <v>2455</v>
      </c>
      <c r="BC257" s="570" t="n">
        <v>2434</v>
      </c>
      <c r="BD257" s="570" t="n">
        <v>2433</v>
      </c>
      <c r="BE257" s="570" t="n">
        <v>2321</v>
      </c>
      <c r="BF257" s="570" t="n">
        <v>2306</v>
      </c>
      <c r="BG257" s="570" t="n">
        <v>2486</v>
      </c>
      <c r="BH257" s="570" t="n">
        <v>2571</v>
      </c>
      <c r="BI257" s="570" t="n">
        <v>2528</v>
      </c>
      <c r="BJ257" s="570" t="n">
        <v>2441</v>
      </c>
      <c r="BK257" s="570" t="n">
        <v>2321</v>
      </c>
      <c r="BL257" s="570" t="n">
        <v>2516</v>
      </c>
    </row>
    <row r="258">
      <c r="A258" s="65" t="inlineStr">
        <is>
          <t>5253</t>
        </is>
      </c>
      <c r="B258" s="570">
        <f>銘柄管理!C258</f>
        <v/>
      </c>
      <c r="C258" s="570">
        <f>_xll.RssMarket("5253","安値")</f>
        <v/>
      </c>
      <c r="E258" s="570" t="n">
        <v>1259</v>
      </c>
      <c r="F258" s="570" t="n">
        <v>1280</v>
      </c>
      <c r="G258" s="570" t="n">
        <v>1424</v>
      </c>
      <c r="H258" s="570" t="n">
        <v>1403</v>
      </c>
      <c r="I258" s="570" t="n">
        <v>1381</v>
      </c>
      <c r="J258" s="570" t="n">
        <v>1412</v>
      </c>
      <c r="K258" s="570" t="n">
        <v>1418</v>
      </c>
      <c r="L258" s="570" t="n">
        <v>1422</v>
      </c>
      <c r="M258" s="570" t="n">
        <v>1505</v>
      </c>
      <c r="N258" s="570" t="n">
        <v>1585</v>
      </c>
      <c r="O258" s="570" t="n">
        <v>1618</v>
      </c>
      <c r="P258" s="570" t="n">
        <v>1586</v>
      </c>
      <c r="Q258" s="570" t="n">
        <v>1537</v>
      </c>
      <c r="R258" s="570" t="n">
        <v>1576</v>
      </c>
      <c r="S258" s="570" t="n">
        <v>1513</v>
      </c>
      <c r="T258" s="570" t="n">
        <v>1527</v>
      </c>
      <c r="U258" s="570" t="n">
        <v>1654</v>
      </c>
      <c r="V258" s="570" t="n">
        <v>1726</v>
      </c>
      <c r="W258" s="570" t="n">
        <v>1631</v>
      </c>
      <c r="X258" s="570" t="n">
        <v>1642</v>
      </c>
      <c r="Y258" s="570" t="n">
        <v>1587</v>
      </c>
      <c r="Z258" s="570" t="n">
        <v>1498</v>
      </c>
      <c r="AA258" s="570" t="n">
        <v>1323</v>
      </c>
      <c r="AB258" s="570" t="n">
        <v>1402</v>
      </c>
      <c r="AC258" s="570" t="n">
        <v>1403</v>
      </c>
      <c r="AD258" s="570" t="n">
        <v>1374</v>
      </c>
      <c r="AE258" s="570" t="n">
        <v>1403</v>
      </c>
      <c r="AF258" s="570" t="n">
        <v>1408</v>
      </c>
      <c r="AG258" s="570" t="n">
        <v>1371</v>
      </c>
      <c r="AH258" s="570" t="n">
        <v>1365</v>
      </c>
      <c r="AI258" s="570" t="n">
        <v>1350</v>
      </c>
      <c r="AJ258" s="570" t="n">
        <v>1365</v>
      </c>
      <c r="AK258" s="570" t="n">
        <v>1350</v>
      </c>
      <c r="AL258" s="570" t="n">
        <v>1377</v>
      </c>
      <c r="AM258" s="570" t="n">
        <v>1390</v>
      </c>
      <c r="AN258" s="570" t="n">
        <v>1418</v>
      </c>
      <c r="AO258" s="570" t="n">
        <v>1440</v>
      </c>
      <c r="AP258" s="570" t="n">
        <v>1442</v>
      </c>
      <c r="AQ258" s="570" t="n">
        <v>1451</v>
      </c>
      <c r="AR258" s="570" t="n">
        <v>1441</v>
      </c>
      <c r="AS258" s="570" t="n">
        <v>1452</v>
      </c>
      <c r="AT258" s="570" t="n">
        <v>1427</v>
      </c>
      <c r="AU258" s="570" t="n">
        <v>1402</v>
      </c>
      <c r="AV258" s="570" t="n">
        <v>1409</v>
      </c>
      <c r="AW258" s="570" t="n">
        <v>1446</v>
      </c>
      <c r="AX258" s="570" t="n">
        <v>1431</v>
      </c>
      <c r="AY258" s="570" t="n">
        <v>1397</v>
      </c>
      <c r="AZ258" s="570" t="n">
        <v>1366</v>
      </c>
      <c r="BA258" s="570" t="n">
        <v>1355</v>
      </c>
      <c r="BB258" s="570" t="n">
        <v>1338</v>
      </c>
      <c r="BC258" s="570" t="n">
        <v>1353</v>
      </c>
      <c r="BD258" s="570" t="n">
        <v>1329</v>
      </c>
      <c r="BE258" s="570" t="n">
        <v>1311</v>
      </c>
      <c r="BF258" s="570" t="n">
        <v>1383</v>
      </c>
      <c r="BG258" s="570" t="n">
        <v>1392</v>
      </c>
      <c r="BH258" s="570" t="n">
        <v>1422</v>
      </c>
      <c r="BI258" s="570" t="n">
        <v>1387</v>
      </c>
      <c r="BJ258" s="570" t="n">
        <v>1398</v>
      </c>
      <c r="BK258" s="570" t="n">
        <v>1583</v>
      </c>
      <c r="BL258" s="570" t="n">
        <v>1611</v>
      </c>
    </row>
    <row r="259">
      <c r="A259" s="65" t="inlineStr">
        <is>
          <t>9104</t>
        </is>
      </c>
      <c r="B259" s="570">
        <f>銘柄管理!C259</f>
        <v/>
      </c>
      <c r="C259" s="570">
        <f>_xll.RssMarket("9104","安値")</f>
        <v/>
      </c>
      <c r="E259" s="570" t="n">
        <v>5231</v>
      </c>
      <c r="F259" s="570" t="n">
        <v>5233</v>
      </c>
      <c r="G259" s="570" t="n">
        <v>5330</v>
      </c>
      <c r="H259" s="570" t="n">
        <v>5372</v>
      </c>
      <c r="I259" s="570" t="n">
        <v>5547</v>
      </c>
      <c r="J259" s="570" t="n">
        <v>5570</v>
      </c>
      <c r="K259" s="570" t="n">
        <v>5681</v>
      </c>
      <c r="L259" s="570" t="n">
        <v>5630</v>
      </c>
      <c r="M259" s="570" t="n">
        <v>5613</v>
      </c>
      <c r="N259" s="570" t="n">
        <v>5677</v>
      </c>
      <c r="O259" s="570" t="n">
        <v>5650</v>
      </c>
      <c r="P259" s="570" t="n">
        <v>5431</v>
      </c>
      <c r="Q259" s="570" t="n">
        <v>5382</v>
      </c>
      <c r="R259" s="570" t="n">
        <v>5361</v>
      </c>
      <c r="S259" s="570" t="n">
        <v>5371</v>
      </c>
      <c r="T259" s="570" t="n">
        <v>5397</v>
      </c>
      <c r="U259" s="570" t="n">
        <v>5430</v>
      </c>
      <c r="V259" s="570" t="n">
        <v>5507</v>
      </c>
      <c r="W259" s="570" t="n">
        <v>5589</v>
      </c>
      <c r="X259" s="570" t="n">
        <v>5703</v>
      </c>
      <c r="Y259" s="570" t="n">
        <v>5680</v>
      </c>
      <c r="Z259" s="570" t="n">
        <v>5813</v>
      </c>
      <c r="AA259" s="570" t="n">
        <v>5823</v>
      </c>
      <c r="AB259" s="570" t="n">
        <v>5809</v>
      </c>
      <c r="AC259" s="570" t="n">
        <v>5794</v>
      </c>
      <c r="AD259" s="570" t="n">
        <v>5762</v>
      </c>
      <c r="AE259" s="570" t="n">
        <v>5751</v>
      </c>
      <c r="AF259" s="570" t="n">
        <v>5676</v>
      </c>
      <c r="AG259" s="570" t="n">
        <v>5676</v>
      </c>
      <c r="AH259" s="570" t="n">
        <v>5723</v>
      </c>
      <c r="AI259" s="570" t="n">
        <v>5789</v>
      </c>
      <c r="AJ259" s="570" t="n">
        <v>5765</v>
      </c>
      <c r="AK259" s="570" t="n">
        <v>5775</v>
      </c>
      <c r="AL259" s="570" t="n">
        <v>5761</v>
      </c>
      <c r="AM259" s="570" t="n">
        <v>6064</v>
      </c>
      <c r="AN259" s="570" t="n">
        <v>5921</v>
      </c>
      <c r="AO259" s="570" t="n">
        <v>6051</v>
      </c>
      <c r="AP259" s="570" t="n">
        <v>6018</v>
      </c>
      <c r="AQ259" s="570" t="n">
        <v>6090</v>
      </c>
      <c r="AR259" s="570" t="n">
        <v>6305</v>
      </c>
      <c r="AS259" s="570" t="n">
        <v>6267</v>
      </c>
      <c r="AT259" s="570" t="n">
        <v>6231</v>
      </c>
      <c r="AU259" s="570" t="n">
        <v>6248</v>
      </c>
      <c r="AV259" s="570" t="n">
        <v>6382</v>
      </c>
      <c r="AW259" s="570" t="n">
        <v>6423</v>
      </c>
      <c r="AX259" s="570" t="n">
        <v>6580</v>
      </c>
      <c r="AY259" s="570" t="n">
        <v>6556</v>
      </c>
      <c r="AZ259" s="570" t="n">
        <v>6792</v>
      </c>
      <c r="BA259" s="570" t="n">
        <v>6762</v>
      </c>
      <c r="BB259" s="570" t="n">
        <v>6667</v>
      </c>
      <c r="BC259" s="570" t="n">
        <v>6481</v>
      </c>
      <c r="BD259" s="570" t="n">
        <v>6200</v>
      </c>
      <c r="BE259" s="570" t="n">
        <v>6496</v>
      </c>
      <c r="BF259" s="570" t="n">
        <v>6655</v>
      </c>
      <c r="BG259" s="570" t="n">
        <v>6778</v>
      </c>
      <c r="BH259" s="570" t="n">
        <v>6681</v>
      </c>
      <c r="BI259" s="570" t="n">
        <v>6338</v>
      </c>
      <c r="BJ259" s="570" t="n">
        <v>6314</v>
      </c>
      <c r="BK259" s="570" t="n">
        <v>6346</v>
      </c>
      <c r="BL259" s="570" t="n">
        <v>6964</v>
      </c>
    </row>
    <row r="260">
      <c r="A260" s="65" t="inlineStr">
        <is>
          <t>6366</t>
        </is>
      </c>
      <c r="B260" s="570">
        <f>銘柄管理!C260</f>
        <v/>
      </c>
      <c r="C260" s="570">
        <f>_xll.RssMarket("6366","安値")</f>
        <v/>
      </c>
      <c r="E260" s="570" t="n">
        <v>715</v>
      </c>
      <c r="F260" s="570" t="n">
        <v>744</v>
      </c>
      <c r="G260" s="570" t="n">
        <v>769</v>
      </c>
      <c r="H260" s="570" t="n">
        <v>773</v>
      </c>
      <c r="I260" s="570" t="n">
        <v>736</v>
      </c>
      <c r="J260" s="570" t="n">
        <v>753</v>
      </c>
      <c r="K260" s="570" t="n">
        <v>702</v>
      </c>
      <c r="L260" s="570" t="n">
        <v>644</v>
      </c>
      <c r="M260" s="570" t="n">
        <v>667</v>
      </c>
      <c r="N260" s="570" t="n">
        <v>687</v>
      </c>
      <c r="O260" s="570" t="n">
        <v>712</v>
      </c>
      <c r="P260" s="570" t="n">
        <v>687</v>
      </c>
      <c r="Q260" s="570" t="n">
        <v>695</v>
      </c>
      <c r="R260" s="570" t="n">
        <v>685</v>
      </c>
      <c r="S260" s="570" t="n">
        <v>725</v>
      </c>
      <c r="T260" s="570" t="n">
        <v>771</v>
      </c>
      <c r="U260" s="570" t="n">
        <v>796</v>
      </c>
      <c r="V260" s="570" t="n">
        <v>685</v>
      </c>
      <c r="W260" s="570" t="n">
        <v>703</v>
      </c>
      <c r="X260" s="570" t="n">
        <v>704</v>
      </c>
      <c r="Y260" s="570" t="n">
        <v>759</v>
      </c>
      <c r="Z260" s="570" t="n">
        <v>751</v>
      </c>
      <c r="AA260" s="570" t="n">
        <v>790</v>
      </c>
      <c r="AB260" s="570" t="n">
        <v>803</v>
      </c>
      <c r="AC260" s="570" t="n">
        <v>791</v>
      </c>
      <c r="AD260" s="570" t="n">
        <v>746</v>
      </c>
      <c r="AE260" s="570" t="n">
        <v>843</v>
      </c>
      <c r="AF260" s="570" t="n">
        <v>982</v>
      </c>
      <c r="AG260" s="570" t="n">
        <v>1020</v>
      </c>
      <c r="AH260" s="570" t="n">
        <v>994</v>
      </c>
      <c r="AI260" s="570" t="n">
        <v>1008</v>
      </c>
      <c r="AJ260" s="570" t="n">
        <v>1027</v>
      </c>
      <c r="AK260" s="570" t="n">
        <v>977</v>
      </c>
      <c r="AL260" s="570" t="n">
        <v>1018</v>
      </c>
      <c r="AM260" s="570" t="n">
        <v>1028</v>
      </c>
      <c r="AN260" s="570" t="n">
        <v>1037</v>
      </c>
      <c r="AO260" s="570" t="n">
        <v>1061</v>
      </c>
      <c r="AP260" s="570" t="n">
        <v>1109</v>
      </c>
      <c r="AQ260" s="570" t="n">
        <v>1131</v>
      </c>
      <c r="AR260" s="570" t="n">
        <v>1113</v>
      </c>
      <c r="AS260" s="570" t="n">
        <v>1100</v>
      </c>
      <c r="AT260" s="570" t="n">
        <v>1117</v>
      </c>
      <c r="AU260" s="570" t="n">
        <v>1108</v>
      </c>
      <c r="AV260" s="570" t="n">
        <v>1131</v>
      </c>
      <c r="AW260" s="570" t="n">
        <v>1117</v>
      </c>
      <c r="AX260" s="570" t="n">
        <v>1055</v>
      </c>
      <c r="AY260" s="570" t="n">
        <v>946</v>
      </c>
      <c r="AZ260" s="570" t="n">
        <v>967</v>
      </c>
      <c r="BA260" s="570" t="n">
        <v>961</v>
      </c>
      <c r="BB260" s="570" t="n">
        <v>952</v>
      </c>
      <c r="BC260" s="570" t="n">
        <v>904</v>
      </c>
      <c r="BD260" s="570" t="n">
        <v>861</v>
      </c>
      <c r="BE260" s="570" t="n">
        <v>816</v>
      </c>
      <c r="BF260" s="570" t="n">
        <v>884</v>
      </c>
      <c r="BG260" s="570" t="n">
        <v>920</v>
      </c>
      <c r="BH260" s="570" t="n">
        <v>1038</v>
      </c>
      <c r="BI260" s="570" t="n">
        <v>1004</v>
      </c>
      <c r="BJ260" s="570" t="n">
        <v>996</v>
      </c>
      <c r="BK260" s="570" t="n">
        <v>1125</v>
      </c>
      <c r="BL260" s="570" t="n">
        <v>1110</v>
      </c>
    </row>
    <row r="261">
      <c r="A261" s="65" t="inlineStr">
        <is>
          <t>6140</t>
        </is>
      </c>
      <c r="B261" s="570">
        <f>銘柄管理!C261</f>
        <v/>
      </c>
      <c r="C261" s="570">
        <f>_xll.RssMarket("6140","安値")</f>
        <v/>
      </c>
      <c r="E261" s="570" t="n">
        <v>1310</v>
      </c>
      <c r="F261" s="570" t="n">
        <v>1302</v>
      </c>
      <c r="G261" s="570" t="n">
        <v>1298</v>
      </c>
      <c r="H261" s="570" t="n">
        <v>1281</v>
      </c>
      <c r="I261" s="570" t="n">
        <v>1262</v>
      </c>
      <c r="J261" s="570" t="n">
        <v>1230</v>
      </c>
      <c r="K261" s="570" t="n">
        <v>1170</v>
      </c>
      <c r="L261" s="570" t="n">
        <v>1212</v>
      </c>
      <c r="M261" s="570" t="n">
        <v>1269</v>
      </c>
      <c r="N261" s="570" t="n">
        <v>1299</v>
      </c>
      <c r="O261" s="570" t="n">
        <v>1297</v>
      </c>
      <c r="P261" s="570" t="n">
        <v>1310</v>
      </c>
      <c r="Q261" s="570" t="n">
        <v>1273</v>
      </c>
      <c r="R261" s="570" t="n">
        <v>1343</v>
      </c>
      <c r="S261" s="570" t="n">
        <v>1306</v>
      </c>
      <c r="T261" s="570" t="n">
        <v>1342</v>
      </c>
      <c r="U261" s="570" t="n">
        <v>1347</v>
      </c>
      <c r="V261" s="570" t="n">
        <v>1268</v>
      </c>
      <c r="W261" s="570" t="n">
        <v>1272</v>
      </c>
      <c r="X261" s="570" t="n">
        <v>1245</v>
      </c>
      <c r="Y261" s="570" t="n">
        <v>1244</v>
      </c>
      <c r="Z261" s="570" t="n">
        <v>1267</v>
      </c>
      <c r="AA261" s="570" t="n">
        <v>1302</v>
      </c>
      <c r="AB261" s="570" t="n">
        <v>1356</v>
      </c>
      <c r="AC261" s="570" t="n">
        <v>1331</v>
      </c>
      <c r="AD261" s="570" t="n">
        <v>1326</v>
      </c>
      <c r="AE261" s="570" t="n">
        <v>1309</v>
      </c>
      <c r="AF261" s="570" t="n">
        <v>1296</v>
      </c>
      <c r="AG261" s="570" t="n">
        <v>1286</v>
      </c>
      <c r="AH261" s="570" t="n">
        <v>1271</v>
      </c>
      <c r="AI261" s="570" t="n">
        <v>1271</v>
      </c>
      <c r="AJ261" s="570" t="n">
        <v>1286</v>
      </c>
      <c r="AK261" s="570" t="n">
        <v>1275</v>
      </c>
      <c r="AL261" s="570" t="n">
        <v>1292</v>
      </c>
      <c r="AM261" s="570" t="n">
        <v>1250</v>
      </c>
      <c r="AN261" s="570" t="n">
        <v>1271</v>
      </c>
      <c r="AO261" s="570" t="n">
        <v>1301</v>
      </c>
      <c r="AP261" s="570" t="n">
        <v>1308</v>
      </c>
      <c r="AQ261" s="570" t="n">
        <v>1260</v>
      </c>
      <c r="AR261" s="570" t="n">
        <v>1159</v>
      </c>
      <c r="AS261" s="570" t="n">
        <v>1157</v>
      </c>
      <c r="AT261" s="570" t="n">
        <v>1167</v>
      </c>
      <c r="AU261" s="570" t="n">
        <v>1137</v>
      </c>
      <c r="AV261" s="570" t="n">
        <v>1157</v>
      </c>
      <c r="AW261" s="570" t="n">
        <v>1152</v>
      </c>
      <c r="AX261" s="570" t="n">
        <v>1191</v>
      </c>
      <c r="AY261" s="570" t="n">
        <v>1144</v>
      </c>
      <c r="AZ261" s="570" t="n">
        <v>1155</v>
      </c>
      <c r="BA261" s="570" t="n">
        <v>1197</v>
      </c>
      <c r="BB261" s="570" t="n">
        <v>1217</v>
      </c>
      <c r="BC261" s="570" t="n">
        <v>1211</v>
      </c>
      <c r="BD261" s="570" t="n">
        <v>1181</v>
      </c>
      <c r="BE261" s="570" t="n">
        <v>1194</v>
      </c>
      <c r="BF261" s="570" t="n">
        <v>1242</v>
      </c>
      <c r="BG261" s="570" t="n">
        <v>1228</v>
      </c>
      <c r="BH261" s="570" t="n">
        <v>1252</v>
      </c>
      <c r="BI261" s="570" t="n">
        <v>1222</v>
      </c>
      <c r="BJ261" s="570" t="n">
        <v>1221</v>
      </c>
      <c r="BK261" s="570" t="n">
        <v>1326</v>
      </c>
      <c r="BL261" s="570" t="n">
        <v>1358</v>
      </c>
    </row>
    <row r="262">
      <c r="A262" s="65" t="inlineStr">
        <is>
          <t>1514</t>
        </is>
      </c>
      <c r="B262" s="570">
        <f>銘柄管理!C262</f>
        <v/>
      </c>
      <c r="C262" s="570">
        <f>_xll.RssMarket("1514","安値")</f>
        <v/>
      </c>
      <c r="E262" s="570" t="n">
        <v>531</v>
      </c>
      <c r="F262" s="570" t="n">
        <v>520</v>
      </c>
      <c r="G262" s="570" t="n">
        <v>537</v>
      </c>
      <c r="H262" s="570" t="n">
        <v>541</v>
      </c>
      <c r="I262" s="570" t="n">
        <v>543</v>
      </c>
      <c r="J262" s="570" t="n">
        <v>545</v>
      </c>
      <c r="K262" s="570" t="n">
        <v>547</v>
      </c>
      <c r="L262" s="570" t="n">
        <v>542</v>
      </c>
      <c r="M262" s="570" t="n">
        <v>550</v>
      </c>
      <c r="N262" s="570" t="n">
        <v>563</v>
      </c>
      <c r="O262" s="570" t="n">
        <v>564</v>
      </c>
      <c r="P262" s="570" t="n">
        <v>550</v>
      </c>
      <c r="Q262" s="570" t="n">
        <v>558</v>
      </c>
      <c r="R262" s="570" t="n">
        <v>557</v>
      </c>
      <c r="S262" s="570" t="n">
        <v>585</v>
      </c>
      <c r="T262" s="570" t="n">
        <v>599</v>
      </c>
      <c r="U262" s="570" t="n">
        <v>580</v>
      </c>
      <c r="V262" s="570" t="n">
        <v>593</v>
      </c>
      <c r="W262" s="570" t="n">
        <v>582</v>
      </c>
      <c r="X262" s="570" t="n">
        <v>586</v>
      </c>
      <c r="Y262" s="570" t="n">
        <v>615</v>
      </c>
      <c r="Z262" s="570" t="n">
        <v>617</v>
      </c>
      <c r="AA262" s="570" t="n">
        <v>693</v>
      </c>
      <c r="AB262" s="570" t="n">
        <v>708</v>
      </c>
      <c r="AC262" s="570" t="n">
        <v>723</v>
      </c>
      <c r="AD262" s="570" t="n">
        <v>724</v>
      </c>
      <c r="AE262" s="570" t="n">
        <v>738</v>
      </c>
      <c r="AF262" s="570" t="n">
        <v>736</v>
      </c>
      <c r="AG262" s="570" t="n">
        <v>735</v>
      </c>
      <c r="AH262" s="570" t="n">
        <v>749</v>
      </c>
      <c r="AI262" s="570" t="n">
        <v>765</v>
      </c>
      <c r="AJ262" s="570" t="n">
        <v>768</v>
      </c>
      <c r="AK262" s="570" t="n">
        <v>762</v>
      </c>
      <c r="AL262" s="570" t="n">
        <v>774</v>
      </c>
      <c r="AM262" s="570" t="n">
        <v>802</v>
      </c>
      <c r="AN262" s="570" t="n">
        <v>823</v>
      </c>
      <c r="AO262" s="570" t="n">
        <v>848</v>
      </c>
      <c r="AP262" s="570" t="n">
        <v>850</v>
      </c>
      <c r="AQ262" s="570" t="n">
        <v>838</v>
      </c>
      <c r="AR262" s="570" t="n">
        <v>871</v>
      </c>
      <c r="AS262" s="570" t="n">
        <v>837</v>
      </c>
      <c r="AT262" s="570" t="n">
        <v>837</v>
      </c>
      <c r="AU262" s="570" t="n">
        <v>853</v>
      </c>
      <c r="AV262" s="570" t="n">
        <v>819</v>
      </c>
      <c r="AW262" s="570" t="n">
        <v>865</v>
      </c>
      <c r="AX262" s="570" t="n">
        <v>863</v>
      </c>
      <c r="AY262" s="570" t="n">
        <v>893</v>
      </c>
      <c r="AZ262" s="570" t="n">
        <v>916</v>
      </c>
      <c r="BA262" s="570" t="n">
        <v>935</v>
      </c>
      <c r="BB262" s="570" t="n">
        <v>925</v>
      </c>
      <c r="BC262" s="570" t="n">
        <v>937</v>
      </c>
      <c r="BD262" s="570" t="n">
        <v>985</v>
      </c>
      <c r="BE262" s="570" t="n">
        <v>1048</v>
      </c>
      <c r="BF262" s="570" t="n">
        <v>991</v>
      </c>
      <c r="BG262" s="570" t="n">
        <v>851</v>
      </c>
      <c r="BH262" s="570" t="n">
        <v>862</v>
      </c>
      <c r="BI262" s="570" t="n">
        <v>840</v>
      </c>
      <c r="BJ262" s="570" t="n">
        <v>864</v>
      </c>
      <c r="BK262" s="570" t="n">
        <v>939</v>
      </c>
      <c r="BL262" s="570" t="n">
        <v>976</v>
      </c>
    </row>
    <row r="263">
      <c r="A263" s="65" t="inlineStr">
        <is>
          <t>5631</t>
        </is>
      </c>
      <c r="B263" s="570">
        <f>銘柄管理!C263</f>
        <v/>
      </c>
      <c r="C263" s="570">
        <f>_xll.RssMarket("5631","安値")</f>
        <v/>
      </c>
      <c r="E263" s="570" t="n">
        <v>7906</v>
      </c>
      <c r="F263" s="570" t="n">
        <v>7742</v>
      </c>
      <c r="G263" s="570" t="n">
        <v>8247</v>
      </c>
      <c r="H263" s="570" t="n">
        <v>7839</v>
      </c>
      <c r="I263" s="570" t="n">
        <v>7669</v>
      </c>
      <c r="J263" s="570" t="n">
        <v>7600</v>
      </c>
      <c r="K263" s="570" t="n">
        <v>7411</v>
      </c>
      <c r="L263" s="570" t="n">
        <v>6694</v>
      </c>
      <c r="M263" s="570" t="n">
        <v>7063</v>
      </c>
      <c r="N263" s="570" t="n">
        <v>7341</v>
      </c>
      <c r="O263" s="570" t="n">
        <v>7486</v>
      </c>
      <c r="P263" s="570" t="n">
        <v>7172</v>
      </c>
      <c r="Q263" s="570" t="n">
        <v>7280</v>
      </c>
      <c r="R263" s="570" t="n">
        <v>7115</v>
      </c>
      <c r="S263" s="570" t="n">
        <v>7656</v>
      </c>
      <c r="T263" s="570" t="n">
        <v>7615</v>
      </c>
      <c r="U263" s="570" t="n">
        <v>7950</v>
      </c>
      <c r="V263" s="570" t="n">
        <v>7860</v>
      </c>
      <c r="W263" s="570" t="n">
        <v>7728</v>
      </c>
      <c r="X263" s="570" t="n">
        <v>7612</v>
      </c>
      <c r="Y263" s="570" t="n">
        <v>7638</v>
      </c>
      <c r="Z263" s="570" t="n">
        <v>7678</v>
      </c>
      <c r="AA263" s="570" t="n">
        <v>7650</v>
      </c>
      <c r="AB263" s="570" t="n">
        <v>7757</v>
      </c>
      <c r="AC263" s="570" t="n">
        <v>8032</v>
      </c>
      <c r="AD263" s="570" t="n">
        <v>8652</v>
      </c>
      <c r="AE263" s="570" t="n">
        <v>8771</v>
      </c>
      <c r="AF263" s="570" t="n">
        <v>8915</v>
      </c>
      <c r="AG263" s="570" t="n">
        <v>8951</v>
      </c>
      <c r="AH263" s="570" t="n">
        <v>9165</v>
      </c>
      <c r="AI263" s="570" t="n">
        <v>9273</v>
      </c>
      <c r="AJ263" s="570" t="n">
        <v>9444</v>
      </c>
      <c r="AK263" s="570" t="n">
        <v>9600</v>
      </c>
      <c r="AL263" s="570" t="n">
        <v>9485</v>
      </c>
      <c r="AM263" s="570" t="n">
        <v>9695</v>
      </c>
      <c r="AN263" s="570" t="n">
        <v>9431</v>
      </c>
      <c r="AO263" s="570" t="n">
        <v>9217</v>
      </c>
      <c r="AP263" s="570" t="n">
        <v>8968</v>
      </c>
      <c r="AQ263" s="570" t="n">
        <v>9080</v>
      </c>
      <c r="AR263" s="570" t="n">
        <v>9061</v>
      </c>
      <c r="AS263" s="570" t="n">
        <v>9032</v>
      </c>
      <c r="AT263" s="570" t="n">
        <v>9032</v>
      </c>
      <c r="AU263" s="570" t="n">
        <v>9726</v>
      </c>
      <c r="AV263" s="570" t="n">
        <v>9520</v>
      </c>
      <c r="AW263" s="570" t="n">
        <v>9815</v>
      </c>
      <c r="AX263" s="570" t="n">
        <v>9620</v>
      </c>
      <c r="AY263" s="570" t="n">
        <v>9618</v>
      </c>
      <c r="AZ263" s="570" t="n">
        <v>9434</v>
      </c>
      <c r="BA263" s="570" t="n">
        <v>9401</v>
      </c>
      <c r="BB263" s="570" t="n">
        <v>9321</v>
      </c>
      <c r="BC263" s="570" t="n">
        <v>8936</v>
      </c>
      <c r="BD263" s="570" t="n">
        <v>8833</v>
      </c>
      <c r="BE263" s="570" t="n">
        <v>8360</v>
      </c>
      <c r="BF263" s="570" t="n">
        <v>8537</v>
      </c>
      <c r="BG263" s="570" t="n">
        <v>8958</v>
      </c>
      <c r="BH263" s="570" t="n">
        <v>9388</v>
      </c>
      <c r="BI263" s="570" t="n">
        <v>9171</v>
      </c>
      <c r="BJ263" s="570" t="n">
        <v>9053</v>
      </c>
      <c r="BK263" s="570" t="n">
        <v>9388</v>
      </c>
      <c r="BL263" s="570" t="n">
        <v>9781</v>
      </c>
    </row>
    <row r="264">
      <c r="A264" s="65" t="inlineStr">
        <is>
          <t>6674</t>
        </is>
      </c>
      <c r="B264" s="570">
        <f>銘柄管理!C264</f>
        <v/>
      </c>
      <c r="C264" s="570">
        <f>_xll.RssMarket("6674","安値")</f>
        <v/>
      </c>
      <c r="E264" s="570" t="n">
        <v>7452</v>
      </c>
      <c r="F264" s="570" t="n">
        <v>6665</v>
      </c>
      <c r="G264" s="570" t="n">
        <v>6630</v>
      </c>
      <c r="H264" s="570" t="n">
        <v>6580</v>
      </c>
      <c r="I264" s="570" t="n">
        <v>6265</v>
      </c>
      <c r="J264" s="570" t="n">
        <v>6196</v>
      </c>
      <c r="K264" s="570" t="n">
        <v>6197</v>
      </c>
      <c r="L264" s="570" t="n">
        <v>5971</v>
      </c>
      <c r="M264" s="570" t="n">
        <v>6369</v>
      </c>
      <c r="N264" s="570" t="n">
        <v>6595</v>
      </c>
      <c r="O264" s="570" t="n">
        <v>7080</v>
      </c>
      <c r="P264" s="570" t="n">
        <v>7143</v>
      </c>
      <c r="Q264" s="570" t="n">
        <v>7031</v>
      </c>
      <c r="R264" s="570" t="n">
        <v>6618</v>
      </c>
      <c r="S264" s="570" t="n">
        <v>6470</v>
      </c>
      <c r="T264" s="570" t="n">
        <v>6284</v>
      </c>
      <c r="U264" s="570" t="n">
        <v>6298</v>
      </c>
      <c r="V264" s="570" t="n">
        <v>6268</v>
      </c>
      <c r="W264" s="570" t="n">
        <v>6017</v>
      </c>
      <c r="X264" s="570" t="n">
        <v>5956</v>
      </c>
      <c r="Y264" s="570" t="n">
        <v>6044</v>
      </c>
      <c r="Z264" s="570" t="n">
        <v>6154</v>
      </c>
      <c r="AA264" s="570" t="n">
        <v>6180</v>
      </c>
      <c r="AB264" s="570" t="n">
        <v>6251</v>
      </c>
      <c r="AC264" s="570" t="n">
        <v>6130</v>
      </c>
      <c r="AD264" s="570" t="n">
        <v>6130</v>
      </c>
      <c r="AE264" s="570" t="n">
        <v>6605</v>
      </c>
      <c r="AF264" s="570" t="n">
        <v>6499</v>
      </c>
      <c r="AG264" s="570" t="n">
        <v>6412</v>
      </c>
      <c r="AH264" s="570" t="n">
        <v>6457</v>
      </c>
      <c r="AI264" s="570" t="n">
        <v>6224</v>
      </c>
      <c r="AJ264" s="570" t="n">
        <v>6080</v>
      </c>
      <c r="AK264" s="570" t="n">
        <v>6080</v>
      </c>
      <c r="AL264" s="570" t="n">
        <v>6160</v>
      </c>
      <c r="AM264" s="570" t="n">
        <v>6223</v>
      </c>
      <c r="AN264" s="570" t="n">
        <v>6244</v>
      </c>
      <c r="AO264" s="570" t="n">
        <v>6354</v>
      </c>
      <c r="AP264" s="570" t="n">
        <v>6602</v>
      </c>
      <c r="AQ264" s="570" t="n">
        <v>6540</v>
      </c>
      <c r="AR264" s="570" t="n">
        <v>6703</v>
      </c>
      <c r="AS264" s="570" t="n">
        <v>6578</v>
      </c>
      <c r="AT264" s="570" t="n">
        <v>6550</v>
      </c>
      <c r="AU264" s="570" t="n">
        <v>6435</v>
      </c>
      <c r="AV264" s="570" t="n">
        <v>6258</v>
      </c>
      <c r="AW264" s="570" t="n">
        <v>6200</v>
      </c>
      <c r="AX264" s="570" t="n">
        <v>6150</v>
      </c>
      <c r="AY264" s="570" t="n">
        <v>5994</v>
      </c>
      <c r="AZ264" s="570" t="n">
        <v>5825</v>
      </c>
      <c r="BA264" s="570" t="n">
        <v>5900</v>
      </c>
      <c r="BB264" s="570" t="n">
        <v>5690</v>
      </c>
      <c r="BC264" s="570" t="n">
        <v>5573</v>
      </c>
      <c r="BD264" s="570" t="n">
        <v>5528</v>
      </c>
      <c r="BE264" s="570" t="n">
        <v>5223</v>
      </c>
      <c r="BF264" s="570" t="n">
        <v>5108</v>
      </c>
      <c r="BG264" s="570" t="n">
        <v>5011</v>
      </c>
      <c r="BH264" s="570" t="n">
        <v>5114</v>
      </c>
      <c r="BI264" s="570" t="n">
        <v>5125</v>
      </c>
      <c r="BJ264" s="570" t="n">
        <v>4942</v>
      </c>
      <c r="BK264" s="570" t="n">
        <v>4710</v>
      </c>
      <c r="BL264" s="570" t="n">
        <v>5058</v>
      </c>
    </row>
    <row r="265">
      <c r="A265" s="65" t="inlineStr">
        <is>
          <t>6955</t>
        </is>
      </c>
      <c r="B265" s="570">
        <f>銘柄管理!C265</f>
        <v/>
      </c>
      <c r="C265" s="570">
        <f>_xll.RssMarket("6955","安値")</f>
        <v/>
      </c>
      <c r="E265" s="570" t="n">
        <v>521</v>
      </c>
      <c r="F265" s="570" t="n">
        <v>504</v>
      </c>
      <c r="G265" s="570" t="n">
        <v>502</v>
      </c>
      <c r="H265" s="570" t="n">
        <v>488</v>
      </c>
      <c r="I265" s="570" t="n">
        <v>467</v>
      </c>
      <c r="J265" s="570" t="n">
        <v>471</v>
      </c>
      <c r="K265" s="570" t="n">
        <v>495</v>
      </c>
      <c r="L265" s="570" t="n">
        <v>488</v>
      </c>
      <c r="M265" s="570" t="n">
        <v>513</v>
      </c>
      <c r="N265" s="570" t="n">
        <v>591</v>
      </c>
      <c r="O265" s="570" t="n">
        <v>488</v>
      </c>
      <c r="P265" s="570" t="n">
        <v>481</v>
      </c>
      <c r="Q265" s="570" t="n">
        <v>453</v>
      </c>
      <c r="R265" s="570" t="n">
        <v>426</v>
      </c>
      <c r="S265" s="570" t="n">
        <v>422</v>
      </c>
      <c r="T265" s="570" t="n">
        <v>407</v>
      </c>
      <c r="U265" s="570" t="n">
        <v>400</v>
      </c>
      <c r="V265" s="570" t="n">
        <v>407</v>
      </c>
      <c r="W265" s="570" t="n">
        <v>404</v>
      </c>
      <c r="X265" s="570" t="n">
        <v>402</v>
      </c>
      <c r="Y265" s="570" t="n">
        <v>412</v>
      </c>
      <c r="Z265" s="570" t="n">
        <v>410</v>
      </c>
      <c r="AA265" s="570" t="n">
        <v>418</v>
      </c>
      <c r="AB265" s="570" t="n">
        <v>420</v>
      </c>
      <c r="AC265" s="570" t="n">
        <v>426</v>
      </c>
      <c r="AD265" s="570" t="n">
        <v>430</v>
      </c>
      <c r="AE265" s="570" t="n">
        <v>425</v>
      </c>
      <c r="AF265" s="570" t="n">
        <v>433</v>
      </c>
      <c r="AG265" s="570" t="n">
        <v>449</v>
      </c>
      <c r="AH265" s="570" t="n">
        <v>425</v>
      </c>
      <c r="AI265" s="570" t="n">
        <v>415</v>
      </c>
      <c r="AJ265" s="570" t="n">
        <v>445</v>
      </c>
      <c r="AK265" s="570" t="n">
        <v>450</v>
      </c>
      <c r="AL265" s="570" t="n">
        <v>450</v>
      </c>
      <c r="AM265" s="570" t="n">
        <v>445</v>
      </c>
      <c r="AN265" s="570" t="n">
        <v>442</v>
      </c>
      <c r="AO265" s="570" t="n">
        <v>450</v>
      </c>
      <c r="AP265" s="570" t="n">
        <v>448</v>
      </c>
      <c r="AQ265" s="570" t="n">
        <v>445</v>
      </c>
      <c r="AR265" s="570" t="n">
        <v>450</v>
      </c>
      <c r="AS265" s="570" t="n">
        <v>445</v>
      </c>
      <c r="AT265" s="570" t="n">
        <v>452</v>
      </c>
      <c r="AU265" s="570" t="n">
        <v>441</v>
      </c>
      <c r="AV265" s="570" t="n">
        <v>447</v>
      </c>
      <c r="AW265" s="570" t="n">
        <v>468</v>
      </c>
      <c r="AX265" s="570" t="n">
        <v>478</v>
      </c>
      <c r="AY265" s="570" t="n">
        <v>464</v>
      </c>
      <c r="AZ265" s="570" t="n">
        <v>474</v>
      </c>
      <c r="BA265" s="570" t="n">
        <v>462</v>
      </c>
      <c r="BB265" s="570" t="n">
        <v>459</v>
      </c>
      <c r="BC265" s="570" t="n">
        <v>470</v>
      </c>
      <c r="BD265" s="570" t="n">
        <v>463</v>
      </c>
      <c r="BE265" s="570" t="n">
        <v>463</v>
      </c>
      <c r="BF265" s="570" t="n">
        <v>476</v>
      </c>
      <c r="BG265" s="570" t="n">
        <v>484</v>
      </c>
      <c r="BH265" s="570" t="n">
        <v>484</v>
      </c>
      <c r="BI265" s="570" t="n">
        <v>463</v>
      </c>
      <c r="BJ265" s="570" t="n">
        <v>462</v>
      </c>
      <c r="BK265" s="570" t="n">
        <v>486</v>
      </c>
      <c r="BL265" s="570" t="n">
        <v>506</v>
      </c>
    </row>
    <row r="266">
      <c r="A266" s="65" t="inlineStr">
        <is>
          <t>281A</t>
        </is>
      </c>
      <c r="B266" s="570">
        <f>銘柄管理!C266</f>
        <v/>
      </c>
      <c r="C266" s="570">
        <f>_xll.RssMarket("281A","安値")</f>
        <v/>
      </c>
      <c r="E266" s="570" t="n">
        <v>562</v>
      </c>
      <c r="F266" s="570" t="n">
        <v>565</v>
      </c>
      <c r="G266" s="570" t="n">
        <v>616</v>
      </c>
      <c r="H266" s="570" t="n">
        <v>602</v>
      </c>
      <c r="I266" s="570" t="n">
        <v>604</v>
      </c>
      <c r="J266" s="570" t="n">
        <v>634</v>
      </c>
      <c r="K266" s="570" t="n">
        <v>526</v>
      </c>
      <c r="L266" s="570" t="n">
        <v>518</v>
      </c>
      <c r="M266" s="570" t="n">
        <v>515</v>
      </c>
      <c r="N266" s="570" t="n">
        <v>568</v>
      </c>
      <c r="O266" s="570" t="n">
        <v>606</v>
      </c>
      <c r="P266" s="570" t="n">
        <v>650</v>
      </c>
      <c r="Q266" s="570" t="n">
        <v>665</v>
      </c>
      <c r="R266" s="570" t="n">
        <v>679</v>
      </c>
      <c r="S266" s="570" t="n">
        <v>759</v>
      </c>
      <c r="T266" s="570" t="n">
        <v>802</v>
      </c>
      <c r="U266" s="570" t="n">
        <v>811</v>
      </c>
      <c r="V266" s="570" t="n">
        <v>840</v>
      </c>
      <c r="W266" s="570" t="n">
        <v>758</v>
      </c>
      <c r="X266" s="570" t="n">
        <v>722</v>
      </c>
      <c r="Y266" s="570" t="n">
        <v>754</v>
      </c>
      <c r="Z266" s="570" t="n">
        <v>790</v>
      </c>
      <c r="AA266" s="570" t="n">
        <v>730</v>
      </c>
      <c r="AB266" s="570" t="n">
        <v>749</v>
      </c>
      <c r="AC266" s="570" t="n">
        <v>712</v>
      </c>
      <c r="AD266" s="570" t="n">
        <v>715</v>
      </c>
      <c r="AE266" s="570" t="n">
        <v>726</v>
      </c>
      <c r="AF266" s="570" t="n">
        <v>782</v>
      </c>
      <c r="AG266" s="570" t="n">
        <v>753</v>
      </c>
      <c r="AH266" s="570" t="n">
        <v>680</v>
      </c>
      <c r="AI266" s="570" t="n">
        <v>710</v>
      </c>
      <c r="AJ266" s="570" t="n">
        <v>683</v>
      </c>
      <c r="AK266" s="570" t="n">
        <v>712</v>
      </c>
      <c r="AL266" s="570" t="n">
        <v>755</v>
      </c>
      <c r="AM266" s="570" t="n">
        <v>738</v>
      </c>
      <c r="AN266" s="570" t="n">
        <v>764</v>
      </c>
      <c r="AO266" s="570" t="n">
        <v>757</v>
      </c>
      <c r="AP266" s="570" t="n">
        <v>870</v>
      </c>
      <c r="AQ266" s="570" t="n">
        <v>803</v>
      </c>
      <c r="AR266" s="570" t="n">
        <v>731</v>
      </c>
      <c r="AS266" s="570" t="n">
        <v>712</v>
      </c>
      <c r="AT266" s="570" t="n">
        <v>661</v>
      </c>
      <c r="AU266" s="570" t="n">
        <v>643</v>
      </c>
      <c r="AV266" s="570" t="n">
        <v>631</v>
      </c>
      <c r="AW266" s="570" t="n">
        <v>620</v>
      </c>
      <c r="AX266" s="570" t="n">
        <v>558</v>
      </c>
      <c r="AY266" s="570" t="n">
        <v>515</v>
      </c>
      <c r="AZ266" s="570" t="n">
        <v>527</v>
      </c>
      <c r="BA266" s="570" t="n">
        <v>517</v>
      </c>
      <c r="BB266" s="570" t="n">
        <v>445</v>
      </c>
      <c r="BC266" s="570" t="n">
        <v>428</v>
      </c>
      <c r="BD266" s="570" t="n">
        <v>444</v>
      </c>
      <c r="BE266" s="570" t="n">
        <v>454</v>
      </c>
      <c r="BF266" s="570" t="n">
        <v>441</v>
      </c>
      <c r="BG266" s="570" t="n">
        <v>442</v>
      </c>
      <c r="BH266" s="570" t="n">
        <v>465</v>
      </c>
      <c r="BI266" s="570" t="n">
        <v>560</v>
      </c>
      <c r="BJ266" s="570" t="n">
        <v>600</v>
      </c>
      <c r="BK266" s="570" t="n">
        <v>525</v>
      </c>
      <c r="BL266" s="570" t="n">
        <v>505</v>
      </c>
    </row>
    <row r="267">
      <c r="A267" s="65" t="inlineStr">
        <is>
          <t>6356</t>
        </is>
      </c>
      <c r="B267" s="570">
        <f>銘柄管理!C267</f>
        <v/>
      </c>
      <c r="C267" s="570">
        <f>_xll.RssMarket("6356","安値")</f>
        <v/>
      </c>
      <c r="E267" s="570" t="n">
        <v>1476</v>
      </c>
      <c r="F267" s="570" t="n">
        <v>1525</v>
      </c>
      <c r="G267" s="570" t="n">
        <v>1393</v>
      </c>
      <c r="H267" s="570" t="n">
        <v>1360</v>
      </c>
      <c r="I267" s="570" t="n">
        <v>1402</v>
      </c>
      <c r="J267" s="570" t="n">
        <v>1393</v>
      </c>
      <c r="K267" s="570" t="n">
        <v>1329</v>
      </c>
      <c r="L267" s="570" t="n">
        <v>1416</v>
      </c>
      <c r="M267" s="570" t="n">
        <v>1431</v>
      </c>
      <c r="N267" s="570" t="n">
        <v>1517</v>
      </c>
      <c r="O267" s="570" t="n">
        <v>1451</v>
      </c>
      <c r="P267" s="570" t="n">
        <v>1448</v>
      </c>
      <c r="Q267" s="570" t="n">
        <v>1442</v>
      </c>
      <c r="R267" s="570" t="n">
        <v>1633</v>
      </c>
      <c r="S267" s="570" t="n">
        <v>1622</v>
      </c>
      <c r="T267" s="570" t="n">
        <v>1670</v>
      </c>
      <c r="U267" s="570" t="n">
        <v>1496</v>
      </c>
      <c r="V267" s="570" t="n">
        <v>1361</v>
      </c>
      <c r="W267" s="570" t="n">
        <v>1345</v>
      </c>
      <c r="X267" s="570" t="n">
        <v>1341</v>
      </c>
      <c r="Y267" s="570" t="n">
        <v>1403</v>
      </c>
      <c r="Z267" s="570" t="n">
        <v>1361</v>
      </c>
      <c r="AA267" s="570" t="n">
        <v>1366</v>
      </c>
      <c r="AB267" s="570" t="n">
        <v>1403</v>
      </c>
      <c r="AC267" s="570" t="n">
        <v>1397</v>
      </c>
      <c r="AD267" s="570" t="n">
        <v>1457</v>
      </c>
      <c r="AE267" s="570" t="n">
        <v>1474</v>
      </c>
      <c r="AF267" s="570" t="n">
        <v>1464</v>
      </c>
      <c r="AG267" s="570" t="n">
        <v>1434</v>
      </c>
      <c r="AH267" s="570" t="n">
        <v>1485</v>
      </c>
      <c r="AI267" s="570" t="n">
        <v>1586</v>
      </c>
      <c r="AJ267" s="570" t="n">
        <v>1628</v>
      </c>
      <c r="AK267" s="570" t="n">
        <v>1550</v>
      </c>
      <c r="AL267" s="570" t="n">
        <v>1452</v>
      </c>
      <c r="AM267" s="570" t="n">
        <v>1411</v>
      </c>
      <c r="AN267" s="570" t="n">
        <v>1225</v>
      </c>
      <c r="AO267" s="570" t="n">
        <v>1258</v>
      </c>
      <c r="AP267" s="570" t="n">
        <v>1304</v>
      </c>
      <c r="AQ267" s="570" t="n">
        <v>1293</v>
      </c>
      <c r="AR267" s="570" t="n">
        <v>1319</v>
      </c>
      <c r="AS267" s="570" t="n">
        <v>1254</v>
      </c>
      <c r="AT267" s="570" t="n">
        <v>1271</v>
      </c>
      <c r="AU267" s="570" t="n">
        <v>1195</v>
      </c>
      <c r="AV267" s="570" t="n">
        <v>1232</v>
      </c>
      <c r="AW267" s="570" t="n">
        <v>1250</v>
      </c>
      <c r="AX267" s="570" t="n">
        <v>1213</v>
      </c>
      <c r="AY267" s="570" t="n">
        <v>1163</v>
      </c>
      <c r="AZ267" s="570" t="n">
        <v>1181</v>
      </c>
      <c r="BA267" s="570" t="n">
        <v>1183</v>
      </c>
      <c r="BB267" s="570" t="n">
        <v>1190</v>
      </c>
      <c r="BC267" s="570" t="n">
        <v>1281</v>
      </c>
      <c r="BD267" s="570" t="n">
        <v>1313</v>
      </c>
      <c r="BE267" s="570" t="n">
        <v>1350</v>
      </c>
      <c r="BF267" s="570" t="n">
        <v>1415</v>
      </c>
      <c r="BG267" s="570" t="n">
        <v>1443</v>
      </c>
      <c r="BH267" s="570" t="n">
        <v>1527</v>
      </c>
      <c r="BI267" s="570" t="n">
        <v>1454</v>
      </c>
      <c r="BJ267" s="570" t="n">
        <v>1500</v>
      </c>
      <c r="BK267" s="570" t="n">
        <v>1750</v>
      </c>
      <c r="BL267" s="570" t="n">
        <v>1572</v>
      </c>
    </row>
    <row r="268">
      <c r="A268" s="65" t="inlineStr">
        <is>
          <t>7711</t>
        </is>
      </c>
      <c r="B268" s="570">
        <f>銘柄管理!C268</f>
        <v/>
      </c>
      <c r="C268" s="570">
        <f>_xll.RssMarket("7711","安値")</f>
        <v/>
      </c>
      <c r="E268" s="570" t="n">
        <v>5470</v>
      </c>
      <c r="F268" s="570" t="n">
        <v>5260</v>
      </c>
      <c r="G268" s="570" t="n">
        <v>5470</v>
      </c>
      <c r="H268" s="570" t="n">
        <v>5160</v>
      </c>
      <c r="I268" s="570" t="n">
        <v>4705</v>
      </c>
      <c r="J268" s="570" t="n">
        <v>4805</v>
      </c>
      <c r="K268" s="570" t="n">
        <v>4665</v>
      </c>
      <c r="L268" s="570" t="n">
        <v>4515</v>
      </c>
      <c r="M268" s="570" t="n">
        <v>4645</v>
      </c>
      <c r="N268" s="570" t="n">
        <v>5030</v>
      </c>
      <c r="O268" s="570" t="n">
        <v>5250</v>
      </c>
      <c r="P268" s="570" t="n">
        <v>5010</v>
      </c>
      <c r="Q268" s="570" t="n">
        <v>5080</v>
      </c>
      <c r="R268" s="570" t="n">
        <v>5300</v>
      </c>
      <c r="S268" s="570" t="n">
        <v>5400</v>
      </c>
      <c r="T268" s="570" t="n">
        <v>5320</v>
      </c>
      <c r="U268" s="570" t="n">
        <v>5080</v>
      </c>
      <c r="V268" s="570" t="n">
        <v>5040</v>
      </c>
      <c r="W268" s="570" t="n">
        <v>4955</v>
      </c>
      <c r="X268" s="570" t="n">
        <v>5160</v>
      </c>
      <c r="Y268" s="570" t="n">
        <v>5250</v>
      </c>
      <c r="Z268" s="570" t="n">
        <v>5360</v>
      </c>
      <c r="AA268" s="570" t="n">
        <v>5370</v>
      </c>
      <c r="AB268" s="570" t="n">
        <v>5620</v>
      </c>
      <c r="AC268" s="570" t="n">
        <v>5610</v>
      </c>
      <c r="AD268" s="570" t="n">
        <v>5820</v>
      </c>
      <c r="AE268" s="570" t="n">
        <v>6000</v>
      </c>
      <c r="AF268" s="570" t="n">
        <v>6060</v>
      </c>
      <c r="AG268" s="570" t="n">
        <v>5870</v>
      </c>
      <c r="AH268" s="570" t="n">
        <v>5960</v>
      </c>
      <c r="AI268" s="570" t="n">
        <v>6100</v>
      </c>
      <c r="AJ268" s="570" t="n">
        <v>6170</v>
      </c>
      <c r="AK268" s="570" t="n">
        <v>6310</v>
      </c>
      <c r="AL268" s="570" t="n">
        <v>6340</v>
      </c>
      <c r="AM268" s="570" t="n">
        <v>6200</v>
      </c>
      <c r="AN268" s="570" t="n">
        <v>6120</v>
      </c>
      <c r="AO268" s="570" t="n">
        <v>6230</v>
      </c>
      <c r="AP268" s="570" t="n">
        <v>6230</v>
      </c>
      <c r="AQ268" s="570" t="n">
        <v>6150</v>
      </c>
      <c r="AR268" s="570" t="n">
        <v>6080</v>
      </c>
      <c r="AS268" s="570" t="n">
        <v>6240</v>
      </c>
      <c r="AT268" s="570" t="n">
        <v>6200</v>
      </c>
      <c r="AU268" s="570" t="n">
        <v>6240</v>
      </c>
      <c r="AV268" s="570" t="n">
        <v>6410</v>
      </c>
      <c r="AW268" s="570" t="n">
        <v>6400</v>
      </c>
      <c r="AX268" s="570" t="n">
        <v>6220</v>
      </c>
      <c r="AY268" s="570" t="n">
        <v>6450</v>
      </c>
      <c r="AZ268" s="570" t="n">
        <v>6480</v>
      </c>
      <c r="BA268" s="570" t="n">
        <v>6430</v>
      </c>
      <c r="BB268" s="570" t="n">
        <v>6500</v>
      </c>
      <c r="BC268" s="570" t="n">
        <v>6340</v>
      </c>
      <c r="BD268" s="570" t="n">
        <v>6320</v>
      </c>
      <c r="BE268" s="570" t="n">
        <v>6550</v>
      </c>
      <c r="BF268" s="570" t="n">
        <v>6680</v>
      </c>
      <c r="BG268" s="570" t="n">
        <v>6750</v>
      </c>
      <c r="BH268" s="570" t="n">
        <v>6570</v>
      </c>
      <c r="BI268" s="570" t="n">
        <v>6500</v>
      </c>
      <c r="BJ268" s="570" t="n">
        <v>7090</v>
      </c>
      <c r="BK268" s="570" t="n">
        <v>7120</v>
      </c>
      <c r="BL268" s="570" t="n">
        <v>7050</v>
      </c>
    </row>
    <row r="269">
      <c r="A269" s="65" t="inlineStr">
        <is>
          <t>6376</t>
        </is>
      </c>
      <c r="B269" s="570">
        <f>銘柄管理!C269</f>
        <v/>
      </c>
      <c r="C269" s="570">
        <f>_xll.RssMarket("6376","安値")</f>
        <v/>
      </c>
      <c r="E269" s="570" t="n">
        <v>3905</v>
      </c>
      <c r="F269" s="570" t="n">
        <v>3850</v>
      </c>
      <c r="G269" s="570" t="n">
        <v>3860</v>
      </c>
      <c r="H269" s="570" t="n">
        <v>3715</v>
      </c>
      <c r="I269" s="570" t="n">
        <v>3665</v>
      </c>
      <c r="J269" s="570" t="n">
        <v>3690</v>
      </c>
      <c r="K269" s="570" t="n">
        <v>3565</v>
      </c>
      <c r="L269" s="570" t="n">
        <v>3450</v>
      </c>
      <c r="M269" s="570" t="n">
        <v>3390</v>
      </c>
      <c r="N269" s="570" t="n">
        <v>3130</v>
      </c>
      <c r="O269" s="570" t="n">
        <v>3160</v>
      </c>
      <c r="P269" s="570" t="n">
        <v>3035</v>
      </c>
      <c r="Q269" s="570" t="n">
        <v>3065</v>
      </c>
      <c r="R269" s="570" t="n">
        <v>3015</v>
      </c>
      <c r="S269" s="570" t="n">
        <v>3105</v>
      </c>
      <c r="T269" s="570" t="n">
        <v>3140</v>
      </c>
      <c r="U269" s="570" t="n">
        <v>3255</v>
      </c>
      <c r="V269" s="570" t="n">
        <v>3025</v>
      </c>
      <c r="W269" s="570" t="n">
        <v>2988</v>
      </c>
      <c r="X269" s="570" t="n">
        <v>2794</v>
      </c>
      <c r="Y269" s="570" t="n">
        <v>2863</v>
      </c>
      <c r="Z269" s="570" t="n">
        <v>2781</v>
      </c>
      <c r="AA269" s="570" t="n">
        <v>2530</v>
      </c>
      <c r="AB269" s="570" t="n">
        <v>2614</v>
      </c>
      <c r="AC269" s="570" t="n">
        <v>2582</v>
      </c>
      <c r="AD269" s="570" t="n">
        <v>2643</v>
      </c>
      <c r="AE269" s="570" t="n">
        <v>2614</v>
      </c>
      <c r="AF269" s="570" t="n">
        <v>2585</v>
      </c>
      <c r="AG269" s="570" t="n">
        <v>2628</v>
      </c>
      <c r="AH269" s="570" t="n">
        <v>2600</v>
      </c>
      <c r="AI269" s="570" t="n">
        <v>2590</v>
      </c>
      <c r="AJ269" s="570" t="n">
        <v>2552</v>
      </c>
      <c r="AK269" s="570" t="n">
        <v>2574</v>
      </c>
      <c r="AL269" s="570" t="n">
        <v>2581</v>
      </c>
      <c r="AM269" s="570" t="n">
        <v>2526</v>
      </c>
      <c r="AN269" s="570" t="n">
        <v>2493</v>
      </c>
      <c r="AO269" s="570" t="n">
        <v>2570</v>
      </c>
      <c r="AP269" s="570" t="n">
        <v>2622</v>
      </c>
      <c r="AQ269" s="570" t="n">
        <v>2653</v>
      </c>
      <c r="AR269" s="570" t="n">
        <v>2714</v>
      </c>
      <c r="AS269" s="570" t="n">
        <v>2747</v>
      </c>
      <c r="AT269" s="570" t="n">
        <v>2807</v>
      </c>
      <c r="AU269" s="570" t="n">
        <v>2802</v>
      </c>
      <c r="AV269" s="570" t="n">
        <v>2788</v>
      </c>
      <c r="AW269" s="570" t="n">
        <v>2692</v>
      </c>
      <c r="AX269" s="570" t="n">
        <v>2690</v>
      </c>
      <c r="AY269" s="570" t="n">
        <v>2643</v>
      </c>
      <c r="AZ269" s="570" t="n">
        <v>2653</v>
      </c>
      <c r="BA269" s="570" t="n">
        <v>2610</v>
      </c>
      <c r="BB269" s="570" t="n">
        <v>2541</v>
      </c>
      <c r="BC269" s="570" t="n">
        <v>2579</v>
      </c>
      <c r="BD269" s="570" t="n">
        <v>2354</v>
      </c>
      <c r="BE269" s="570" t="n">
        <v>2283</v>
      </c>
      <c r="BF269" s="570" t="n">
        <v>2342</v>
      </c>
      <c r="BG269" s="570" t="n">
        <v>2276</v>
      </c>
      <c r="BH269" s="570" t="n">
        <v>2270</v>
      </c>
      <c r="BI269" s="570" t="n">
        <v>2225</v>
      </c>
      <c r="BJ269" s="570" t="n">
        <v>2164</v>
      </c>
      <c r="BK269" s="570" t="n">
        <v>2313</v>
      </c>
      <c r="BL269" s="570" t="n">
        <v>2395</v>
      </c>
    </row>
    <row r="270">
      <c r="A270" s="65" t="inlineStr">
        <is>
          <t>9115</t>
        </is>
      </c>
      <c r="B270" s="570">
        <f>銘柄管理!C270</f>
        <v/>
      </c>
      <c r="C270" s="570">
        <f>_xll.RssMarket("9115","安値")</f>
        <v/>
      </c>
      <c r="E270" s="570" t="n">
        <v>753</v>
      </c>
      <c r="F270" s="570" t="n">
        <v>757</v>
      </c>
      <c r="G270" s="570" t="n">
        <v>779</v>
      </c>
      <c r="H270" s="570" t="n">
        <v>790</v>
      </c>
      <c r="I270" s="570" t="n">
        <v>815</v>
      </c>
      <c r="J270" s="570" t="n">
        <v>807</v>
      </c>
      <c r="K270" s="570" t="n">
        <v>838</v>
      </c>
      <c r="L270" s="570" t="n">
        <v>883</v>
      </c>
      <c r="M270" s="570" t="n">
        <v>892</v>
      </c>
      <c r="N270" s="570" t="n">
        <v>958</v>
      </c>
      <c r="O270" s="570" t="n">
        <v>981</v>
      </c>
      <c r="P270" s="570" t="n">
        <v>955</v>
      </c>
      <c r="Q270" s="570" t="n">
        <v>1002</v>
      </c>
      <c r="R270" s="570" t="n">
        <v>1026</v>
      </c>
      <c r="S270" s="570" t="n">
        <v>1087</v>
      </c>
      <c r="T270" s="570" t="n">
        <v>1078</v>
      </c>
      <c r="U270" s="570" t="n">
        <v>1140</v>
      </c>
      <c r="V270" s="570" t="n">
        <v>1131</v>
      </c>
      <c r="W270" s="570" t="n">
        <v>1101</v>
      </c>
      <c r="X270" s="570" t="n">
        <v>1096</v>
      </c>
      <c r="Y270" s="570" t="n">
        <v>1081</v>
      </c>
      <c r="Z270" s="570" t="n">
        <v>1095</v>
      </c>
      <c r="AA270" s="570" t="n">
        <v>1192</v>
      </c>
      <c r="AB270" s="570" t="n">
        <v>1175</v>
      </c>
      <c r="AC270" s="570" t="n">
        <v>1159</v>
      </c>
      <c r="AD270" s="570" t="n">
        <v>1147</v>
      </c>
      <c r="AE270" s="570" t="n">
        <v>1216</v>
      </c>
      <c r="AF270" s="570" t="n">
        <v>1215</v>
      </c>
      <c r="AG270" s="570" t="n">
        <v>1236</v>
      </c>
      <c r="AH270" s="570" t="n">
        <v>1284</v>
      </c>
      <c r="AI270" s="570" t="n">
        <v>1230</v>
      </c>
      <c r="AJ270" s="570" t="n">
        <v>1220</v>
      </c>
      <c r="AK270" s="570" t="n">
        <v>1174</v>
      </c>
      <c r="AL270" s="570" t="n">
        <v>1169</v>
      </c>
      <c r="AM270" s="570" t="n">
        <v>1151</v>
      </c>
      <c r="AN270" s="570" t="n">
        <v>1171</v>
      </c>
      <c r="AO270" s="570" t="n">
        <v>1212</v>
      </c>
      <c r="AP270" s="570" t="n">
        <v>1240</v>
      </c>
      <c r="AQ270" s="570" t="n">
        <v>1221</v>
      </c>
      <c r="AR270" s="570" t="n">
        <v>1241</v>
      </c>
      <c r="AS270" s="570" t="n">
        <v>1284</v>
      </c>
      <c r="AT270" s="570" t="n">
        <v>1263</v>
      </c>
      <c r="AU270" s="570" t="n">
        <v>1236</v>
      </c>
      <c r="AV270" s="570" t="n">
        <v>1286</v>
      </c>
      <c r="AW270" s="570" t="n">
        <v>1225</v>
      </c>
      <c r="AX270" s="570" t="n">
        <v>1249</v>
      </c>
      <c r="AY270" s="570" t="n">
        <v>1191</v>
      </c>
      <c r="AZ270" s="570" t="n">
        <v>1227</v>
      </c>
      <c r="BA270" s="570" t="n">
        <v>1230</v>
      </c>
      <c r="BB270" s="570" t="n">
        <v>1178</v>
      </c>
      <c r="BC270" s="570" t="n">
        <v>1231</v>
      </c>
      <c r="BD270" s="570" t="n">
        <v>1250</v>
      </c>
      <c r="BE270" s="570" t="n">
        <v>1335</v>
      </c>
      <c r="BF270" s="570" t="n">
        <v>1421</v>
      </c>
      <c r="BG270" s="570" t="n">
        <v>1366</v>
      </c>
      <c r="BH270" s="570" t="n">
        <v>1433</v>
      </c>
      <c r="BI270" s="570" t="n">
        <v>1411</v>
      </c>
      <c r="BJ270" s="570" t="n">
        <v>1280</v>
      </c>
      <c r="BK270" s="570" t="n">
        <v>1267</v>
      </c>
      <c r="BL270" s="570" t="n">
        <v>1125</v>
      </c>
    </row>
    <row r="271">
      <c r="A271" s="65" t="inlineStr">
        <is>
          <t>3864</t>
        </is>
      </c>
      <c r="B271" s="570">
        <f>銘柄管理!C271</f>
        <v/>
      </c>
      <c r="C271" s="570">
        <f>_xll.RssMarket("3864","安値")</f>
        <v/>
      </c>
      <c r="E271" s="570" t="n">
        <v>1023</v>
      </c>
      <c r="F271" s="570" t="n">
        <v>1026</v>
      </c>
      <c r="G271" s="570" t="n">
        <v>1058</v>
      </c>
      <c r="H271" s="570" t="n">
        <v>1060</v>
      </c>
      <c r="I271" s="570" t="n">
        <v>1074</v>
      </c>
      <c r="J271" s="570" t="n">
        <v>1056</v>
      </c>
      <c r="K271" s="570" t="n">
        <v>1046</v>
      </c>
      <c r="L271" s="570" t="n">
        <v>1052</v>
      </c>
      <c r="M271" s="570" t="n">
        <v>1032</v>
      </c>
      <c r="N271" s="570" t="n">
        <v>1038</v>
      </c>
      <c r="O271" s="570" t="n">
        <v>1025</v>
      </c>
      <c r="P271" s="570" t="n">
        <v>1038</v>
      </c>
      <c r="Q271" s="570" t="n">
        <v>1100</v>
      </c>
      <c r="R271" s="570" t="n">
        <v>1102</v>
      </c>
      <c r="S271" s="570" t="n">
        <v>1091</v>
      </c>
      <c r="T271" s="570" t="n">
        <v>1062</v>
      </c>
      <c r="U271" s="570" t="n">
        <v>1080</v>
      </c>
      <c r="V271" s="570" t="n">
        <v>1051</v>
      </c>
      <c r="W271" s="570" t="n">
        <v>997</v>
      </c>
      <c r="X271" s="570" t="n">
        <v>1007</v>
      </c>
      <c r="Y271" s="570" t="n">
        <v>971</v>
      </c>
      <c r="Z271" s="570" t="n">
        <v>950</v>
      </c>
      <c r="AA271" s="570" t="n">
        <v>898</v>
      </c>
      <c r="AB271" s="570" t="n">
        <v>909</v>
      </c>
      <c r="AC271" s="570" t="n">
        <v>910</v>
      </c>
      <c r="AD271" s="570" t="n">
        <v>927</v>
      </c>
      <c r="AE271" s="570" t="n">
        <v>934</v>
      </c>
      <c r="AF271" s="570" t="n">
        <v>918</v>
      </c>
      <c r="AG271" s="570" t="n">
        <v>924</v>
      </c>
      <c r="AH271" s="570" t="n">
        <v>924</v>
      </c>
      <c r="AI271" s="570" t="n">
        <v>933</v>
      </c>
      <c r="AJ271" s="570" t="n">
        <v>934</v>
      </c>
      <c r="AK271" s="570" t="n">
        <v>937</v>
      </c>
      <c r="AL271" s="570" t="n">
        <v>940</v>
      </c>
      <c r="AM271" s="570" t="n">
        <v>959</v>
      </c>
      <c r="AN271" s="570" t="n">
        <v>956</v>
      </c>
      <c r="AO271" s="570" t="n">
        <v>970</v>
      </c>
      <c r="AP271" s="570" t="n">
        <v>961</v>
      </c>
      <c r="AQ271" s="570" t="n">
        <v>956</v>
      </c>
      <c r="AR271" s="570" t="n">
        <v>915</v>
      </c>
      <c r="AS271" s="570" t="n">
        <v>918</v>
      </c>
      <c r="AT271" s="570" t="n">
        <v>892</v>
      </c>
      <c r="AU271" s="570" t="n">
        <v>892</v>
      </c>
      <c r="AV271" s="570" t="n">
        <v>880</v>
      </c>
      <c r="AW271" s="570" t="n">
        <v>881</v>
      </c>
      <c r="AX271" s="570" t="n">
        <v>857</v>
      </c>
      <c r="AY271" s="570" t="n">
        <v>845</v>
      </c>
      <c r="AZ271" s="570" t="n">
        <v>849</v>
      </c>
      <c r="BA271" s="570" t="n">
        <v>832</v>
      </c>
      <c r="BB271" s="570" t="n">
        <v>827</v>
      </c>
      <c r="BC271" s="570" t="n">
        <v>806</v>
      </c>
      <c r="BD271" s="570" t="n">
        <v>782</v>
      </c>
      <c r="BE271" s="570" t="n">
        <v>812</v>
      </c>
      <c r="BF271" s="570" t="n">
        <v>803</v>
      </c>
      <c r="BG271" s="570" t="n">
        <v>804</v>
      </c>
      <c r="BH271" s="570" t="n">
        <v>792</v>
      </c>
      <c r="BI271" s="570" t="n">
        <v>774</v>
      </c>
      <c r="BJ271" s="570" t="n">
        <v>812</v>
      </c>
      <c r="BK271" s="570" t="n">
        <v>833</v>
      </c>
      <c r="BL271" s="570" t="n">
        <v>823</v>
      </c>
    </row>
    <row r="272">
      <c r="A272" s="65" t="inlineStr">
        <is>
          <t>6997</t>
        </is>
      </c>
      <c r="B272" s="570">
        <f>銘柄管理!C272</f>
        <v/>
      </c>
      <c r="C272" s="570">
        <f>_xll.RssMarket("6997","安値")</f>
        <v/>
      </c>
      <c r="E272" s="570" t="n">
        <v>5590</v>
      </c>
      <c r="F272" s="570" t="n">
        <v>5380</v>
      </c>
      <c r="G272" s="570" t="n">
        <v>5110</v>
      </c>
      <c r="H272" s="570" t="n">
        <v>4350</v>
      </c>
      <c r="I272" s="570" t="n">
        <v>4505</v>
      </c>
      <c r="J272" s="570" t="n">
        <v>4085</v>
      </c>
      <c r="K272" s="570" t="n">
        <v>4070</v>
      </c>
      <c r="L272" s="570" t="n">
        <v>3890</v>
      </c>
      <c r="M272" s="570" t="n">
        <v>4050</v>
      </c>
      <c r="N272" s="570" t="n">
        <v>4280</v>
      </c>
      <c r="O272" s="570" t="n">
        <v>4385</v>
      </c>
      <c r="P272" s="570" t="n">
        <v>4510</v>
      </c>
      <c r="Q272" s="570" t="n">
        <v>4450</v>
      </c>
      <c r="R272" s="570" t="n">
        <v>4635</v>
      </c>
      <c r="S272" s="570" t="n">
        <v>4665</v>
      </c>
      <c r="T272" s="570" t="n">
        <v>3685</v>
      </c>
      <c r="U272" s="570" t="n">
        <v>3630</v>
      </c>
      <c r="V272" s="570" t="n">
        <v>3595</v>
      </c>
      <c r="W272" s="570" t="n">
        <v>2973</v>
      </c>
      <c r="X272" s="570" t="n">
        <v>2834</v>
      </c>
      <c r="Y272" s="570" t="n">
        <v>2926</v>
      </c>
      <c r="Z272" s="570" t="n">
        <v>2890</v>
      </c>
      <c r="AA272" s="570" t="n">
        <v>2869</v>
      </c>
      <c r="AB272" s="570" t="n">
        <v>2980</v>
      </c>
      <c r="AC272" s="570" t="n">
        <v>3230</v>
      </c>
      <c r="AD272" s="570" t="n">
        <v>3065</v>
      </c>
      <c r="AE272" s="570" t="n">
        <v>3110</v>
      </c>
      <c r="AF272" s="570" t="n">
        <v>3100</v>
      </c>
      <c r="AG272" s="570" t="n">
        <v>2873</v>
      </c>
      <c r="AH272" s="570" t="n">
        <v>2736</v>
      </c>
      <c r="AI272" s="570" t="n">
        <v>2549</v>
      </c>
      <c r="AJ272" s="570" t="n">
        <v>2397</v>
      </c>
      <c r="AK272" s="570" t="n">
        <v>2277</v>
      </c>
      <c r="AL272" s="570" t="n">
        <v>2205</v>
      </c>
      <c r="AM272" s="570" t="n">
        <v>2224</v>
      </c>
      <c r="AN272" s="570" t="n">
        <v>2186</v>
      </c>
      <c r="AO272" s="570" t="n">
        <v>2292</v>
      </c>
      <c r="AP272" s="570" t="n">
        <v>2354</v>
      </c>
      <c r="AQ272" s="570" t="n">
        <v>2169</v>
      </c>
      <c r="AR272" s="570" t="n">
        <v>2102</v>
      </c>
      <c r="AS272" s="570" t="n">
        <v>2057</v>
      </c>
      <c r="AT272" s="570" t="n">
        <v>1965</v>
      </c>
      <c r="AU272" s="570" t="n">
        <v>1780</v>
      </c>
      <c r="AV272" s="570" t="n">
        <v>1637</v>
      </c>
      <c r="AW272" s="570" t="n">
        <v>1656</v>
      </c>
      <c r="AX272" s="570" t="n">
        <v>1612</v>
      </c>
      <c r="AY272" s="570" t="n">
        <v>1543</v>
      </c>
      <c r="AZ272" s="570" t="n">
        <v>1483</v>
      </c>
      <c r="BA272" s="570" t="n">
        <v>1463</v>
      </c>
      <c r="BB272" s="570" t="n">
        <v>1462</v>
      </c>
      <c r="BC272" s="570" t="n">
        <v>1448</v>
      </c>
      <c r="BD272" s="570" t="n">
        <v>1451</v>
      </c>
      <c r="BE272" s="570" t="n">
        <v>1391</v>
      </c>
      <c r="BF272" s="570" t="n">
        <v>1442</v>
      </c>
      <c r="BG272" s="570" t="n">
        <v>1411</v>
      </c>
      <c r="BH272" s="570" t="n">
        <v>1442</v>
      </c>
      <c r="BI272" s="570" t="n">
        <v>1455</v>
      </c>
      <c r="BJ272" s="570" t="n">
        <v>1382</v>
      </c>
      <c r="BK272" s="570" t="n">
        <v>1375</v>
      </c>
      <c r="BL272" s="570" t="n">
        <v>1502</v>
      </c>
    </row>
    <row r="273">
      <c r="A273" s="65" t="inlineStr">
        <is>
          <t>4544</t>
        </is>
      </c>
      <c r="B273" s="570">
        <f>銘柄管理!C273</f>
        <v/>
      </c>
      <c r="C273" s="570">
        <f>_xll.RssMarket("4544","安値")</f>
        <v/>
      </c>
      <c r="E273" s="570" t="n">
        <v>3089</v>
      </c>
      <c r="F273" s="570" t="n">
        <v>3108</v>
      </c>
      <c r="G273" s="570" t="n">
        <v>3071</v>
      </c>
      <c r="H273" s="570" t="n">
        <v>3170</v>
      </c>
      <c r="I273" s="570" t="n">
        <v>3211</v>
      </c>
      <c r="J273" s="570" t="n">
        <v>3234</v>
      </c>
      <c r="K273" s="570" t="n">
        <v>3352</v>
      </c>
      <c r="L273" s="570" t="n">
        <v>3381</v>
      </c>
      <c r="M273" s="570" t="n">
        <v>3424</v>
      </c>
      <c r="N273" s="570" t="n">
        <v>3262</v>
      </c>
      <c r="O273" s="570" t="n">
        <v>3333</v>
      </c>
      <c r="P273" s="570" t="n">
        <v>3232</v>
      </c>
      <c r="Q273" s="570" t="n">
        <v>3083</v>
      </c>
      <c r="R273" s="570" t="n">
        <v>3117</v>
      </c>
      <c r="S273" s="570" t="n">
        <v>3105</v>
      </c>
      <c r="T273" s="570" t="n">
        <v>3111</v>
      </c>
      <c r="U273" s="570" t="n">
        <v>3138</v>
      </c>
      <c r="V273" s="570" t="n">
        <v>3153</v>
      </c>
      <c r="W273" s="570" t="n">
        <v>3147</v>
      </c>
      <c r="X273" s="570" t="n">
        <v>3190</v>
      </c>
      <c r="Y273" s="570" t="n">
        <v>3185</v>
      </c>
      <c r="Z273" s="570" t="n">
        <v>3163</v>
      </c>
      <c r="AA273" s="570" t="n">
        <v>3067</v>
      </c>
      <c r="AB273" s="570" t="n">
        <v>3050</v>
      </c>
      <c r="AC273" s="570" t="n">
        <v>3100</v>
      </c>
      <c r="AD273" s="570" t="n">
        <v>3086</v>
      </c>
      <c r="AE273" s="570" t="n">
        <v>3056</v>
      </c>
      <c r="AF273" s="570" t="n">
        <v>3095</v>
      </c>
      <c r="AG273" s="570" t="n">
        <v>3112</v>
      </c>
      <c r="AH273" s="570" t="n">
        <v>3060</v>
      </c>
      <c r="AI273" s="570" t="n">
        <v>3078</v>
      </c>
      <c r="AJ273" s="570" t="n">
        <v>3133</v>
      </c>
      <c r="AK273" s="570" t="n">
        <v>3163</v>
      </c>
      <c r="AL273" s="570" t="n">
        <v>3128</v>
      </c>
      <c r="AM273" s="570" t="n">
        <v>3126</v>
      </c>
      <c r="AN273" s="570" t="n">
        <v>3125</v>
      </c>
      <c r="AO273" s="570" t="n">
        <v>3104</v>
      </c>
      <c r="AP273" s="570" t="n">
        <v>3134</v>
      </c>
      <c r="AQ273" s="570" t="n">
        <v>3143</v>
      </c>
      <c r="AR273" s="570" t="n">
        <v>3175</v>
      </c>
      <c r="AS273" s="570" t="n">
        <v>3156</v>
      </c>
      <c r="AT273" s="570" t="n">
        <v>3133</v>
      </c>
      <c r="AU273" s="570" t="n">
        <v>3077</v>
      </c>
      <c r="AV273" s="570" t="n">
        <v>3122</v>
      </c>
      <c r="AW273" s="570" t="n">
        <v>3200</v>
      </c>
      <c r="AX273" s="570" t="n">
        <v>3239</v>
      </c>
      <c r="AY273" s="570" t="n">
        <v>3201</v>
      </c>
      <c r="AZ273" s="570" t="n">
        <v>3220</v>
      </c>
      <c r="BA273" s="570" t="n">
        <v>3200</v>
      </c>
      <c r="BB273" s="570" t="n">
        <v>3208</v>
      </c>
      <c r="BC273" s="570" t="n">
        <v>3193</v>
      </c>
      <c r="BD273" s="570" t="n">
        <v>3185</v>
      </c>
      <c r="BE273" s="570" t="n">
        <v>3149</v>
      </c>
      <c r="BF273" s="570" t="n">
        <v>3207</v>
      </c>
      <c r="BG273" s="570" t="n">
        <v>3121</v>
      </c>
      <c r="BH273" s="570" t="n">
        <v>3033</v>
      </c>
      <c r="BI273" s="570" t="n">
        <v>3003</v>
      </c>
      <c r="BJ273" s="570" t="n">
        <v>2944.5</v>
      </c>
      <c r="BK273" s="570" t="n">
        <v>3112</v>
      </c>
      <c r="BL273" s="570" t="n">
        <v>3112</v>
      </c>
    </row>
    <row r="274">
      <c r="A274" s="65" t="inlineStr">
        <is>
          <t>6848</t>
        </is>
      </c>
      <c r="B274" s="570">
        <f>銘柄管理!C274</f>
        <v/>
      </c>
      <c r="C274" s="570">
        <f>_xll.RssMarket("6848","安値")</f>
        <v/>
      </c>
      <c r="E274" s="570" t="n">
        <v>857</v>
      </c>
      <c r="F274" s="570" t="n">
        <v>852</v>
      </c>
      <c r="G274" s="570" t="n">
        <v>857</v>
      </c>
      <c r="H274" s="570" t="n">
        <v>855</v>
      </c>
      <c r="I274" s="570" t="n">
        <v>852</v>
      </c>
      <c r="J274" s="570" t="n">
        <v>850</v>
      </c>
      <c r="K274" s="570" t="n">
        <v>848</v>
      </c>
      <c r="L274" s="570" t="n">
        <v>850</v>
      </c>
      <c r="M274" s="570" t="n">
        <v>851</v>
      </c>
      <c r="N274" s="570" t="n">
        <v>852</v>
      </c>
      <c r="O274" s="570" t="n">
        <v>860</v>
      </c>
      <c r="P274" s="570" t="n">
        <v>855</v>
      </c>
      <c r="Q274" s="570" t="n">
        <v>853</v>
      </c>
      <c r="R274" s="570" t="n">
        <v>854</v>
      </c>
      <c r="S274" s="570" t="n">
        <v>850</v>
      </c>
      <c r="T274" s="570" t="n">
        <v>848</v>
      </c>
      <c r="U274" s="570" t="n">
        <v>843</v>
      </c>
      <c r="V274" s="570" t="n">
        <v>869</v>
      </c>
      <c r="W274" s="570" t="n">
        <v>862</v>
      </c>
      <c r="X274" s="570" t="n">
        <v>858</v>
      </c>
      <c r="Y274" s="570" t="n">
        <v>863</v>
      </c>
      <c r="Z274" s="570" t="n">
        <v>865</v>
      </c>
      <c r="AA274" s="570" t="n">
        <v>864</v>
      </c>
      <c r="AB274" s="570" t="n">
        <v>869</v>
      </c>
      <c r="AC274" s="570" t="n">
        <v>870</v>
      </c>
      <c r="AD274" s="570" t="n">
        <v>863</v>
      </c>
      <c r="AE274" s="570" t="n">
        <v>862</v>
      </c>
      <c r="AF274" s="570" t="n">
        <v>870</v>
      </c>
      <c r="AG274" s="570" t="n">
        <v>863</v>
      </c>
      <c r="AH274" s="570" t="n">
        <v>866</v>
      </c>
      <c r="AI274" s="570" t="n">
        <v>872</v>
      </c>
      <c r="AJ274" s="570" t="n">
        <v>868</v>
      </c>
      <c r="AK274" s="570" t="n">
        <v>870</v>
      </c>
      <c r="AL274" s="570" t="n">
        <v>876</v>
      </c>
      <c r="AM274" s="570" t="n">
        <v>875</v>
      </c>
      <c r="AN274" s="570" t="n">
        <v>872</v>
      </c>
      <c r="AO274" s="570" t="n">
        <v>860</v>
      </c>
      <c r="AP274" s="570" t="n">
        <v>870</v>
      </c>
      <c r="AQ274" s="570" t="n">
        <v>873</v>
      </c>
      <c r="AR274" s="570" t="n">
        <v>872</v>
      </c>
      <c r="AS274" s="570" t="n">
        <v>871</v>
      </c>
      <c r="AT274" s="570" t="n">
        <v>882</v>
      </c>
      <c r="AU274" s="570" t="n">
        <v>878</v>
      </c>
      <c r="AV274" s="570" t="n">
        <v>876</v>
      </c>
      <c r="AW274" s="570" t="n">
        <v>876</v>
      </c>
      <c r="AX274" s="570" t="n">
        <v>883</v>
      </c>
      <c r="AY274" s="570" t="n">
        <v>880</v>
      </c>
      <c r="AZ274" s="570" t="n">
        <v>877</v>
      </c>
      <c r="BA274" s="570" t="n">
        <v>885</v>
      </c>
      <c r="BB274" s="570" t="n">
        <v>876</v>
      </c>
      <c r="BC274" s="570" t="n">
        <v>898</v>
      </c>
      <c r="BD274" s="570" t="n">
        <v>898</v>
      </c>
      <c r="BE274" s="570" t="n">
        <v>883</v>
      </c>
      <c r="BF274" s="570" t="n">
        <v>874</v>
      </c>
      <c r="BG274" s="570" t="n">
        <v>880</v>
      </c>
      <c r="BH274" s="570" t="n">
        <v>912</v>
      </c>
      <c r="BI274" s="570" t="n">
        <v>912</v>
      </c>
      <c r="BJ274" s="570" t="n">
        <v>913</v>
      </c>
      <c r="BK274" s="570" t="n">
        <v>914</v>
      </c>
      <c r="BL274" s="570" t="n">
        <v>911</v>
      </c>
    </row>
    <row r="275">
      <c r="A275" s="65" t="inlineStr">
        <is>
          <t>5702</t>
        </is>
      </c>
      <c r="B275" s="570">
        <f>銘柄管理!C275</f>
        <v/>
      </c>
      <c r="C275" s="570">
        <f>_xll.RssMarket("5702","安値")</f>
        <v/>
      </c>
      <c r="E275" s="570" t="n">
        <v>1636</v>
      </c>
      <c r="F275" s="570" t="n">
        <v>1646</v>
      </c>
      <c r="G275" s="570" t="n">
        <v>1698</v>
      </c>
      <c r="H275" s="570" t="n">
        <v>1701</v>
      </c>
      <c r="I275" s="570" t="n">
        <v>1724</v>
      </c>
      <c r="J275" s="570" t="n">
        <v>1817</v>
      </c>
      <c r="K275" s="570" t="n">
        <v>1813</v>
      </c>
      <c r="L275" s="570" t="n">
        <v>1781</v>
      </c>
      <c r="M275" s="570" t="n">
        <v>1783</v>
      </c>
      <c r="N275" s="570" t="n">
        <v>1797</v>
      </c>
      <c r="O275" s="570" t="n">
        <v>1823</v>
      </c>
      <c r="P275" s="570" t="n">
        <v>1900</v>
      </c>
      <c r="Q275" s="570" t="n">
        <v>1979</v>
      </c>
      <c r="R275" s="570" t="n">
        <v>1867</v>
      </c>
      <c r="S275" s="570" t="n">
        <v>1923</v>
      </c>
      <c r="T275" s="570" t="n">
        <v>1911</v>
      </c>
      <c r="U275" s="570" t="n">
        <v>1972</v>
      </c>
      <c r="V275" s="570" t="n">
        <v>1909</v>
      </c>
      <c r="W275" s="570" t="n">
        <v>1875</v>
      </c>
      <c r="X275" s="570" t="n">
        <v>1809</v>
      </c>
      <c r="Y275" s="570" t="n">
        <v>1785</v>
      </c>
      <c r="Z275" s="570" t="n">
        <v>1786</v>
      </c>
      <c r="AA275" s="570" t="n">
        <v>1781</v>
      </c>
      <c r="AB275" s="570" t="n">
        <v>1836</v>
      </c>
      <c r="AC275" s="570" t="n">
        <v>1554</v>
      </c>
      <c r="AD275" s="570" t="n">
        <v>1562</v>
      </c>
      <c r="AE275" s="570" t="n">
        <v>1576</v>
      </c>
      <c r="AF275" s="570" t="n">
        <v>1591</v>
      </c>
      <c r="AG275" s="570" t="n">
        <v>1547</v>
      </c>
      <c r="AH275" s="570" t="n">
        <v>1515</v>
      </c>
      <c r="AI275" s="570" t="n">
        <v>1463</v>
      </c>
      <c r="AJ275" s="570" t="n">
        <v>1444</v>
      </c>
      <c r="AK275" s="570" t="n">
        <v>1459</v>
      </c>
      <c r="AL275" s="570" t="n">
        <v>1425</v>
      </c>
      <c r="AM275" s="570" t="n">
        <v>1431</v>
      </c>
      <c r="AN275" s="570" t="n">
        <v>1435</v>
      </c>
      <c r="AO275" s="570" t="n">
        <v>1464</v>
      </c>
      <c r="AP275" s="570" t="n">
        <v>1493</v>
      </c>
      <c r="AQ275" s="570" t="n">
        <v>1473</v>
      </c>
      <c r="AR275" s="570" t="n">
        <v>1515</v>
      </c>
      <c r="AS275" s="570" t="n">
        <v>1551</v>
      </c>
      <c r="AT275" s="570" t="n">
        <v>1551</v>
      </c>
      <c r="AU275" s="570" t="n">
        <v>1584</v>
      </c>
      <c r="AV275" s="570" t="n">
        <v>1527</v>
      </c>
      <c r="AW275" s="570" t="n">
        <v>1539</v>
      </c>
      <c r="AX275" s="570" t="n">
        <v>1530</v>
      </c>
      <c r="AY275" s="570" t="n">
        <v>1514</v>
      </c>
      <c r="AZ275" s="570" t="n">
        <v>1473</v>
      </c>
      <c r="BA275" s="570" t="n">
        <v>1449</v>
      </c>
      <c r="BB275" s="570" t="n">
        <v>1441</v>
      </c>
      <c r="BC275" s="570" t="n">
        <v>1407</v>
      </c>
      <c r="BD275" s="570" t="n">
        <v>1416</v>
      </c>
      <c r="BE275" s="570" t="n">
        <v>1370</v>
      </c>
      <c r="BF275" s="570" t="n">
        <v>1235</v>
      </c>
      <c r="BG275" s="570" t="n">
        <v>1282</v>
      </c>
      <c r="BH275" s="570" t="n">
        <v>1280</v>
      </c>
      <c r="BI275" s="570" t="n">
        <v>1292</v>
      </c>
      <c r="BJ275" s="570" t="n">
        <v>1244</v>
      </c>
      <c r="BK275" s="570" t="n">
        <v>1220</v>
      </c>
      <c r="BL275" s="570" t="n">
        <v>1313</v>
      </c>
    </row>
    <row r="276">
      <c r="A276" s="65" t="inlineStr">
        <is>
          <t>7952</t>
        </is>
      </c>
      <c r="B276" s="570">
        <f>銘柄管理!C276</f>
        <v/>
      </c>
      <c r="C276" s="570">
        <f>_xll.RssMarket("7952","安値")</f>
        <v/>
      </c>
      <c r="E276" s="570" t="n">
        <v>3310</v>
      </c>
      <c r="F276" s="570" t="n">
        <v>3195</v>
      </c>
      <c r="G276" s="570" t="n">
        <v>3225</v>
      </c>
      <c r="H276" s="570" t="n">
        <v>3175</v>
      </c>
      <c r="I276" s="570" t="n">
        <v>3150</v>
      </c>
      <c r="J276" s="570" t="n">
        <v>3070</v>
      </c>
      <c r="K276" s="570" t="n">
        <v>2989</v>
      </c>
      <c r="L276" s="570" t="n">
        <v>2958</v>
      </c>
      <c r="M276" s="570" t="n">
        <v>3095</v>
      </c>
      <c r="N276" s="570" t="n">
        <v>3075</v>
      </c>
      <c r="O276" s="570" t="n">
        <v>3140</v>
      </c>
      <c r="P276" s="570" t="n">
        <v>3145</v>
      </c>
      <c r="Q276" s="570" t="n">
        <v>3135</v>
      </c>
      <c r="R276" s="570" t="n">
        <v>3240</v>
      </c>
      <c r="S276" s="570" t="n">
        <v>3030</v>
      </c>
      <c r="T276" s="570" t="n">
        <v>3000</v>
      </c>
      <c r="U276" s="570" t="n">
        <v>2950</v>
      </c>
      <c r="V276" s="570" t="n">
        <v>2942</v>
      </c>
      <c r="W276" s="570" t="n">
        <v>2937</v>
      </c>
      <c r="X276" s="570" t="n">
        <v>2910</v>
      </c>
      <c r="Y276" s="570" t="n">
        <v>3095</v>
      </c>
      <c r="Z276" s="570" t="n">
        <v>3070</v>
      </c>
      <c r="AA276" s="570" t="n">
        <v>3025</v>
      </c>
      <c r="AB276" s="570" t="n">
        <v>2981</v>
      </c>
      <c r="AC276" s="570" t="n">
        <v>2924</v>
      </c>
      <c r="AD276" s="570" t="n">
        <v>2797</v>
      </c>
      <c r="AE276" s="570" t="n">
        <v>2719</v>
      </c>
      <c r="AF276" s="570" t="n">
        <v>2707</v>
      </c>
      <c r="AG276" s="570" t="n">
        <v>2774</v>
      </c>
      <c r="AH276" s="570" t="n">
        <v>2733</v>
      </c>
      <c r="AI276" s="570" t="n">
        <v>2737</v>
      </c>
      <c r="AJ276" s="570" t="n">
        <v>2817</v>
      </c>
      <c r="AK276" s="570" t="n">
        <v>2800</v>
      </c>
      <c r="AL276" s="570" t="n">
        <v>2786</v>
      </c>
      <c r="AM276" s="570" t="n">
        <v>2868</v>
      </c>
      <c r="AN276" s="570" t="n">
        <v>3010</v>
      </c>
      <c r="AO276" s="570" t="n">
        <v>3055</v>
      </c>
      <c r="AP276" s="570" t="n">
        <v>3045</v>
      </c>
      <c r="AQ276" s="570" t="n">
        <v>3045</v>
      </c>
      <c r="AR276" s="570" t="n">
        <v>3040</v>
      </c>
      <c r="AS276" s="570" t="n">
        <v>3020</v>
      </c>
      <c r="AT276" s="570" t="n">
        <v>3000</v>
      </c>
      <c r="AU276" s="570" t="n">
        <v>2995</v>
      </c>
      <c r="AV276" s="570" t="n">
        <v>2986</v>
      </c>
      <c r="AW276" s="570" t="n">
        <v>2934</v>
      </c>
      <c r="AX276" s="570" t="n">
        <v>2991</v>
      </c>
      <c r="AY276" s="570" t="n">
        <v>2975</v>
      </c>
      <c r="AZ276" s="570" t="n">
        <v>2929</v>
      </c>
      <c r="BA276" s="570" t="n">
        <v>2930</v>
      </c>
      <c r="BB276" s="570" t="n">
        <v>2952</v>
      </c>
      <c r="BC276" s="570" t="n">
        <v>2865</v>
      </c>
      <c r="BD276" s="570" t="n">
        <v>2716</v>
      </c>
      <c r="BE276" s="570" t="n">
        <v>2698</v>
      </c>
      <c r="BF276" s="570" t="n">
        <v>2791</v>
      </c>
      <c r="BG276" s="570" t="n">
        <v>2763</v>
      </c>
      <c r="BH276" s="570" t="n">
        <v>2742</v>
      </c>
      <c r="BI276" s="570" t="n">
        <v>2702</v>
      </c>
      <c r="BJ276" s="570" t="n">
        <v>2628</v>
      </c>
      <c r="BK276" s="570" t="n">
        <v>2721</v>
      </c>
      <c r="BL276" s="570" t="n">
        <v>2798</v>
      </c>
    </row>
    <row r="277">
      <c r="A277" s="65" t="inlineStr">
        <is>
          <t>3002</t>
        </is>
      </c>
      <c r="B277" s="570">
        <f>銘柄管理!C277</f>
        <v/>
      </c>
      <c r="C277" s="570">
        <f>_xll.RssMarket("3002","安値")</f>
        <v/>
      </c>
      <c r="E277" s="570" t="n">
        <v>3815</v>
      </c>
      <c r="F277" s="570" t="n">
        <v>3810</v>
      </c>
      <c r="G277" s="570" t="n">
        <v>3795</v>
      </c>
      <c r="H277" s="570" t="n">
        <v>3790</v>
      </c>
      <c r="I277" s="570" t="n">
        <v>3815</v>
      </c>
      <c r="J277" s="570" t="n">
        <v>3790</v>
      </c>
      <c r="K277" s="570" t="n">
        <v>3695</v>
      </c>
      <c r="L277" s="570" t="n">
        <v>3725</v>
      </c>
      <c r="M277" s="570" t="n">
        <v>3635</v>
      </c>
      <c r="N277" s="570" t="n">
        <v>3695</v>
      </c>
      <c r="O277" s="570" t="n">
        <v>3665</v>
      </c>
      <c r="P277" s="570" t="n">
        <v>3655</v>
      </c>
      <c r="Q277" s="570" t="n">
        <v>3630</v>
      </c>
      <c r="R277" s="570" t="n">
        <v>3700</v>
      </c>
      <c r="S277" s="570" t="n">
        <v>3670</v>
      </c>
      <c r="T277" s="570" t="n">
        <v>3665</v>
      </c>
      <c r="U277" s="570" t="n">
        <v>3625</v>
      </c>
      <c r="V277" s="570" t="n">
        <v>3650</v>
      </c>
      <c r="W277" s="570" t="n">
        <v>3670</v>
      </c>
      <c r="X277" s="570" t="n">
        <v>3605</v>
      </c>
      <c r="Y277" s="570" t="n">
        <v>3695</v>
      </c>
      <c r="Z277" s="570" t="n">
        <v>3660</v>
      </c>
      <c r="AA277" s="570" t="n">
        <v>3655</v>
      </c>
      <c r="AB277" s="570" t="n">
        <v>3545</v>
      </c>
      <c r="AC277" s="570" t="n">
        <v>3570</v>
      </c>
      <c r="AD277" s="570" t="n">
        <v>3575</v>
      </c>
      <c r="AE277" s="570" t="n">
        <v>3615</v>
      </c>
      <c r="AF277" s="570" t="n">
        <v>3555</v>
      </c>
      <c r="AG277" s="570" t="n">
        <v>3620</v>
      </c>
      <c r="AH277" s="570" t="n">
        <v>3590</v>
      </c>
      <c r="AI277" s="570" t="n">
        <v>3600</v>
      </c>
      <c r="AJ277" s="570" t="n">
        <v>3665</v>
      </c>
      <c r="AK277" s="570" t="n">
        <v>3625</v>
      </c>
      <c r="AL277" s="570" t="n">
        <v>3665</v>
      </c>
      <c r="AM277" s="570" t="n">
        <v>3670</v>
      </c>
      <c r="AN277" s="570" t="n">
        <v>3740</v>
      </c>
      <c r="AO277" s="570" t="n">
        <v>3835</v>
      </c>
      <c r="AP277" s="570" t="n">
        <v>3915</v>
      </c>
      <c r="AQ277" s="570" t="n">
        <v>3890</v>
      </c>
      <c r="AR277" s="570" t="n">
        <v>3880</v>
      </c>
      <c r="AS277" s="570" t="n">
        <v>3845</v>
      </c>
      <c r="AT277" s="570" t="n">
        <v>3875</v>
      </c>
      <c r="AU277" s="570" t="n">
        <v>3900</v>
      </c>
      <c r="AV277" s="570" t="n">
        <v>3930</v>
      </c>
      <c r="AW277" s="570" t="n">
        <v>3935</v>
      </c>
      <c r="AX277" s="570" t="n">
        <v>3900</v>
      </c>
      <c r="AY277" s="570" t="n">
        <v>3835</v>
      </c>
      <c r="AZ277" s="570" t="n">
        <v>3805</v>
      </c>
      <c r="BA277" s="570" t="n">
        <v>3800</v>
      </c>
      <c r="BB277" s="570" t="n">
        <v>3775</v>
      </c>
      <c r="BC277" s="570" t="n">
        <v>3745</v>
      </c>
      <c r="BD277" s="570" t="n">
        <v>3695</v>
      </c>
      <c r="BE277" s="570" t="n">
        <v>3700</v>
      </c>
      <c r="BF277" s="570" t="n">
        <v>4175</v>
      </c>
      <c r="BG277" s="570" t="n">
        <v>4160</v>
      </c>
      <c r="BH277" s="570" t="n">
        <v>4220</v>
      </c>
      <c r="BI277" s="570" t="n">
        <v>4155</v>
      </c>
      <c r="BJ277" s="570" t="n">
        <v>4100</v>
      </c>
      <c r="BK277" s="570" t="n">
        <v>4250</v>
      </c>
      <c r="BL277" s="570" t="n">
        <v>4310</v>
      </c>
    </row>
    <row r="278">
      <c r="A278" s="65" t="inlineStr">
        <is>
          <t>8871</t>
        </is>
      </c>
      <c r="B278" s="570">
        <f>銘柄管理!C278</f>
        <v/>
      </c>
      <c r="C278" s="570">
        <f>_xll.RssMarket("8871","安値")</f>
        <v/>
      </c>
      <c r="E278" s="570" t="n">
        <v>3230</v>
      </c>
      <c r="F278" s="570" t="n">
        <v>3210</v>
      </c>
      <c r="G278" s="570" t="n">
        <v>3220</v>
      </c>
      <c r="H278" s="570" t="n">
        <v>3245</v>
      </c>
      <c r="I278" s="570" t="n">
        <v>3280</v>
      </c>
      <c r="J278" s="570" t="n">
        <v>3335</v>
      </c>
      <c r="K278" s="570" t="n">
        <v>3280</v>
      </c>
      <c r="L278" s="570" t="n">
        <v>3310</v>
      </c>
      <c r="M278" s="570" t="n">
        <v>3275</v>
      </c>
      <c r="N278" s="570" t="n">
        <v>3220</v>
      </c>
      <c r="O278" s="570" t="n">
        <v>3305</v>
      </c>
      <c r="P278" s="570" t="n">
        <v>3400</v>
      </c>
      <c r="Q278" s="570" t="n">
        <v>3535</v>
      </c>
      <c r="R278" s="570" t="n">
        <v>3475</v>
      </c>
      <c r="S278" s="570" t="n">
        <v>3500</v>
      </c>
      <c r="T278" s="570" t="n">
        <v>3455</v>
      </c>
      <c r="U278" s="570" t="n">
        <v>3485</v>
      </c>
      <c r="V278" s="570" t="n">
        <v>3525</v>
      </c>
      <c r="W278" s="570" t="n">
        <v>3530</v>
      </c>
      <c r="X278" s="570" t="n">
        <v>3660</v>
      </c>
      <c r="Y278" s="570" t="n">
        <v>3615</v>
      </c>
      <c r="Z278" s="570" t="n">
        <v>3525</v>
      </c>
      <c r="AA278" s="570" t="n">
        <v>3225</v>
      </c>
      <c r="AB278" s="570" t="n">
        <v>3275</v>
      </c>
      <c r="AC278" s="570" t="n">
        <v>3320</v>
      </c>
      <c r="AD278" s="570" t="n">
        <v>3305</v>
      </c>
      <c r="AE278" s="570" t="n">
        <v>3295</v>
      </c>
      <c r="AF278" s="570" t="n">
        <v>3320</v>
      </c>
      <c r="AG278" s="570" t="n">
        <v>3310</v>
      </c>
      <c r="AH278" s="570" t="n">
        <v>3310</v>
      </c>
      <c r="AI278" s="570" t="n">
        <v>3320</v>
      </c>
      <c r="AJ278" s="570" t="n">
        <v>3285</v>
      </c>
      <c r="AK278" s="570" t="n">
        <v>3285</v>
      </c>
      <c r="AL278" s="570" t="n">
        <v>3290</v>
      </c>
      <c r="AM278" s="570" t="n">
        <v>3295</v>
      </c>
      <c r="AN278" s="570" t="n">
        <v>3380</v>
      </c>
      <c r="AO278" s="570" t="n">
        <v>3405</v>
      </c>
      <c r="AP278" s="570" t="n">
        <v>3410</v>
      </c>
      <c r="AQ278" s="570" t="n">
        <v>3460</v>
      </c>
      <c r="AR278" s="570" t="n">
        <v>3440</v>
      </c>
      <c r="AS278" s="570" t="n">
        <v>3435</v>
      </c>
      <c r="AT278" s="570" t="n">
        <v>3460</v>
      </c>
      <c r="AU278" s="570" t="n">
        <v>3500</v>
      </c>
      <c r="AV278" s="570" t="n">
        <v>3480</v>
      </c>
      <c r="AW278" s="570" t="n">
        <v>3480</v>
      </c>
      <c r="AX278" s="570" t="n">
        <v>3430</v>
      </c>
      <c r="AY278" s="570" t="n">
        <v>3435</v>
      </c>
      <c r="AZ278" s="570" t="n">
        <v>3310</v>
      </c>
      <c r="BA278" s="570" t="n">
        <v>3420</v>
      </c>
      <c r="BB278" s="570" t="n">
        <v>3380</v>
      </c>
      <c r="BC278" s="570" t="n">
        <v>3320</v>
      </c>
      <c r="BD278" s="570" t="n">
        <v>3245</v>
      </c>
      <c r="BE278" s="570" t="n">
        <v>3345</v>
      </c>
      <c r="BF278" s="570" t="n">
        <v>3320</v>
      </c>
      <c r="BG278" s="570" t="n">
        <v>3320</v>
      </c>
      <c r="BH278" s="570" t="n">
        <v>3300</v>
      </c>
      <c r="BI278" s="570" t="n">
        <v>3235</v>
      </c>
      <c r="BJ278" s="570" t="n">
        <v>3310</v>
      </c>
      <c r="BK278" s="570" t="n">
        <v>3325</v>
      </c>
      <c r="BL278" s="570" t="n">
        <v>3315</v>
      </c>
    </row>
    <row r="279">
      <c r="A279" s="65" t="inlineStr">
        <is>
          <t>6918</t>
        </is>
      </c>
      <c r="B279" s="570">
        <f>銘柄管理!C279</f>
        <v/>
      </c>
      <c r="C279" s="570">
        <f>_xll.RssMarket("6918","安値")</f>
        <v/>
      </c>
      <c r="E279" s="570" t="n">
        <v>3345</v>
      </c>
      <c r="F279" s="570" t="n">
        <v>3290</v>
      </c>
      <c r="G279" s="570" t="n">
        <v>3370</v>
      </c>
      <c r="H279" s="570" t="n">
        <v>3190</v>
      </c>
      <c r="I279" s="570" t="n">
        <v>3200</v>
      </c>
      <c r="J279" s="570" t="n">
        <v>3135</v>
      </c>
      <c r="K279" s="570" t="n">
        <v>3030</v>
      </c>
      <c r="L279" s="570" t="n">
        <v>2824</v>
      </c>
      <c r="M279" s="570" t="n">
        <v>2866</v>
      </c>
      <c r="N279" s="570" t="n">
        <v>3005</v>
      </c>
      <c r="O279" s="570" t="n">
        <v>3145</v>
      </c>
      <c r="P279" s="570" t="n">
        <v>3160</v>
      </c>
      <c r="Q279" s="570" t="n">
        <v>3260</v>
      </c>
      <c r="R279" s="570" t="n">
        <v>3285</v>
      </c>
      <c r="S279" s="570" t="n">
        <v>3430</v>
      </c>
      <c r="T279" s="570" t="n">
        <v>3290</v>
      </c>
      <c r="U279" s="570" t="n">
        <v>3265</v>
      </c>
      <c r="V279" s="570" t="n">
        <v>3405</v>
      </c>
      <c r="W279" s="570" t="n">
        <v>3345</v>
      </c>
      <c r="X279" s="570" t="n">
        <v>3360</v>
      </c>
      <c r="Y279" s="570" t="n">
        <v>3285</v>
      </c>
      <c r="Z279" s="570" t="n">
        <v>3485</v>
      </c>
      <c r="AA279" s="570" t="n">
        <v>3560</v>
      </c>
      <c r="AB279" s="570" t="n">
        <v>3320</v>
      </c>
      <c r="AC279" s="570" t="n">
        <v>3435</v>
      </c>
      <c r="AD279" s="570" t="n">
        <v>3510</v>
      </c>
      <c r="AE279" s="570" t="n">
        <v>3605</v>
      </c>
      <c r="AF279" s="570" t="n">
        <v>3375</v>
      </c>
      <c r="AG279" s="570" t="n">
        <v>3230</v>
      </c>
      <c r="AH279" s="570" t="n">
        <v>3135</v>
      </c>
      <c r="AI279" s="570" t="n">
        <v>2908</v>
      </c>
      <c r="AJ279" s="570" t="n">
        <v>2883</v>
      </c>
      <c r="AK279" s="570" t="n">
        <v>2886</v>
      </c>
      <c r="AL279" s="570" t="n">
        <v>2952</v>
      </c>
      <c r="AM279" s="570" t="n">
        <v>2986</v>
      </c>
      <c r="AN279" s="570" t="n">
        <v>2966</v>
      </c>
      <c r="AO279" s="570" t="n">
        <v>2992</v>
      </c>
      <c r="AP279" s="570" t="n">
        <v>2907</v>
      </c>
      <c r="AQ279" s="570" t="n">
        <v>2813</v>
      </c>
      <c r="AR279" s="570" t="n">
        <v>2800</v>
      </c>
      <c r="AS279" s="570" t="n">
        <v>2816</v>
      </c>
      <c r="AT279" s="570" t="n">
        <v>2800</v>
      </c>
      <c r="AU279" s="570" t="n">
        <v>2820</v>
      </c>
      <c r="AV279" s="570" t="n">
        <v>2747</v>
      </c>
      <c r="AW279" s="570" t="n">
        <v>2727</v>
      </c>
      <c r="AX279" s="570" t="n">
        <v>2676</v>
      </c>
      <c r="AY279" s="570" t="n">
        <v>2655</v>
      </c>
      <c r="AZ279" s="570" t="n">
        <v>2603</v>
      </c>
      <c r="BA279" s="570" t="n">
        <v>2601</v>
      </c>
      <c r="BB279" s="570" t="n">
        <v>2578</v>
      </c>
      <c r="BC279" s="570" t="n">
        <v>2568</v>
      </c>
      <c r="BD279" s="570" t="n">
        <v>2589</v>
      </c>
      <c r="BE279" s="570" t="n">
        <v>2537</v>
      </c>
      <c r="BF279" s="570" t="n">
        <v>2580</v>
      </c>
      <c r="BG279" s="570" t="n">
        <v>2720</v>
      </c>
      <c r="BH279" s="570" t="n">
        <v>2765</v>
      </c>
      <c r="BI279" s="570" t="n">
        <v>2733</v>
      </c>
      <c r="BJ279" s="570" t="n">
        <v>2694</v>
      </c>
      <c r="BK279" s="570" t="n">
        <v>2650</v>
      </c>
      <c r="BL279" s="570" t="n">
        <v>2725</v>
      </c>
    </row>
    <row r="280">
      <c r="A280" s="65" t="inlineStr">
        <is>
          <t>6488</t>
        </is>
      </c>
      <c r="B280" s="570">
        <f>銘柄管理!C280</f>
        <v/>
      </c>
      <c r="C280" s="570">
        <f>_xll.RssMarket("6488","安値")</f>
        <v/>
      </c>
      <c r="E280" s="570" t="n">
        <v>939</v>
      </c>
      <c r="F280" s="570" t="n">
        <v>930</v>
      </c>
      <c r="G280" s="570" t="n">
        <v>923</v>
      </c>
      <c r="H280" s="570" t="n">
        <v>920</v>
      </c>
      <c r="I280" s="570" t="n">
        <v>917</v>
      </c>
      <c r="J280" s="570" t="n">
        <v>915</v>
      </c>
      <c r="K280" s="570" t="n">
        <v>913</v>
      </c>
      <c r="L280" s="570" t="n">
        <v>910</v>
      </c>
      <c r="M280" s="570" t="n">
        <v>921</v>
      </c>
      <c r="N280" s="570" t="n">
        <v>928</v>
      </c>
      <c r="O280" s="570" t="n">
        <v>933</v>
      </c>
      <c r="P280" s="570" t="n">
        <v>928</v>
      </c>
      <c r="Q280" s="570" t="n">
        <v>923</v>
      </c>
      <c r="R280" s="570" t="n">
        <v>920</v>
      </c>
      <c r="S280" s="570" t="n">
        <v>925</v>
      </c>
      <c r="T280" s="570" t="n">
        <v>920</v>
      </c>
      <c r="U280" s="570" t="n">
        <v>930</v>
      </c>
      <c r="V280" s="570" t="n">
        <v>950</v>
      </c>
      <c r="W280" s="570" t="n">
        <v>960</v>
      </c>
      <c r="X280" s="570" t="n">
        <v>953</v>
      </c>
      <c r="Y280" s="570" t="n">
        <v>961</v>
      </c>
      <c r="Z280" s="570" t="n">
        <v>951</v>
      </c>
      <c r="AA280" s="570" t="n">
        <v>958</v>
      </c>
      <c r="AB280" s="570" t="n">
        <v>938</v>
      </c>
      <c r="AC280" s="570" t="n">
        <v>931</v>
      </c>
      <c r="AD280" s="570" t="n">
        <v>932</v>
      </c>
      <c r="AE280" s="570" t="n">
        <v>935</v>
      </c>
      <c r="AF280" s="570" t="n">
        <v>934</v>
      </c>
      <c r="AG280" s="570" t="n">
        <v>930</v>
      </c>
      <c r="AH280" s="570" t="n">
        <v>934</v>
      </c>
      <c r="AI280" s="570" t="n">
        <v>940</v>
      </c>
      <c r="AJ280" s="570" t="n">
        <v>935</v>
      </c>
      <c r="AK280" s="570" t="n">
        <v>933</v>
      </c>
      <c r="AL280" s="570" t="n">
        <v>934</v>
      </c>
      <c r="AM280" s="570" t="n">
        <v>931</v>
      </c>
      <c r="AN280" s="570" t="n">
        <v>925</v>
      </c>
      <c r="AO280" s="570" t="n">
        <v>940</v>
      </c>
      <c r="AP280" s="570" t="n">
        <v>942</v>
      </c>
      <c r="AQ280" s="570" t="n">
        <v>952</v>
      </c>
      <c r="AR280" s="570" t="n">
        <v>930</v>
      </c>
      <c r="AS280" s="570" t="n">
        <v>937</v>
      </c>
      <c r="AT280" s="570" t="n">
        <v>940</v>
      </c>
      <c r="AU280" s="570" t="n">
        <v>926</v>
      </c>
      <c r="AV280" s="570" t="n">
        <v>942</v>
      </c>
      <c r="AW280" s="570" t="n">
        <v>941</v>
      </c>
      <c r="AX280" s="570" t="n">
        <v>938</v>
      </c>
      <c r="AY280" s="570" t="n">
        <v>929</v>
      </c>
      <c r="AZ280" s="570" t="n">
        <v>922</v>
      </c>
      <c r="BA280" s="570" t="n">
        <v>929</v>
      </c>
      <c r="BB280" s="570" t="n">
        <v>929</v>
      </c>
      <c r="BC280" s="570" t="n">
        <v>921</v>
      </c>
      <c r="BD280" s="570" t="n">
        <v>917</v>
      </c>
      <c r="BE280" s="570" t="n">
        <v>883</v>
      </c>
      <c r="BF280" s="570" t="n">
        <v>960</v>
      </c>
      <c r="BG280" s="570" t="n">
        <v>957</v>
      </c>
      <c r="BH280" s="570" t="n">
        <v>944</v>
      </c>
      <c r="BI280" s="570" t="n">
        <v>940</v>
      </c>
      <c r="BJ280" s="570" t="n">
        <v>910</v>
      </c>
      <c r="BK280" s="570" t="n">
        <v>958</v>
      </c>
      <c r="BL280" s="570" t="n">
        <v>960</v>
      </c>
    </row>
    <row r="281">
      <c r="A281" s="65" t="inlineStr">
        <is>
          <t>8007</t>
        </is>
      </c>
      <c r="B281" s="570">
        <f>銘柄管理!C281</f>
        <v/>
      </c>
      <c r="C281" s="570">
        <f>_xll.RssMarket("8007","安値")</f>
        <v/>
      </c>
      <c r="E281" s="570" t="n">
        <v>743</v>
      </c>
      <c r="F281" s="570" t="n">
        <v>741</v>
      </c>
      <c r="G281" s="570" t="n">
        <v>746</v>
      </c>
      <c r="H281" s="570" t="n">
        <v>741</v>
      </c>
      <c r="I281" s="570" t="n">
        <v>746</v>
      </c>
      <c r="J281" s="570" t="n">
        <v>735</v>
      </c>
      <c r="K281" s="570" t="n">
        <v>729</v>
      </c>
      <c r="L281" s="570" t="n">
        <v>737</v>
      </c>
      <c r="M281" s="570" t="n">
        <v>725</v>
      </c>
      <c r="N281" s="570" t="n">
        <v>732</v>
      </c>
      <c r="O281" s="570" t="n">
        <v>724</v>
      </c>
      <c r="P281" s="570" t="n">
        <v>720</v>
      </c>
      <c r="Q281" s="570" t="n">
        <v>715</v>
      </c>
      <c r="R281" s="570" t="n">
        <v>753</v>
      </c>
      <c r="S281" s="570" t="n">
        <v>747</v>
      </c>
      <c r="T281" s="570" t="n">
        <v>737</v>
      </c>
      <c r="U281" s="570" t="n">
        <v>736</v>
      </c>
      <c r="V281" s="570" t="n">
        <v>733</v>
      </c>
      <c r="W281" s="570" t="n">
        <v>723</v>
      </c>
      <c r="X281" s="570" t="n">
        <v>741</v>
      </c>
      <c r="Y281" s="570" t="n">
        <v>746</v>
      </c>
      <c r="Z281" s="570" t="n">
        <v>755</v>
      </c>
      <c r="AA281" s="570" t="n">
        <v>696</v>
      </c>
      <c r="AB281" s="570" t="n">
        <v>680</v>
      </c>
      <c r="AC281" s="570" t="n">
        <v>764</v>
      </c>
      <c r="AD281" s="570" t="n">
        <v>768</v>
      </c>
      <c r="AE281" s="570" t="n">
        <v>776</v>
      </c>
      <c r="AF281" s="570" t="n">
        <v>786</v>
      </c>
      <c r="AG281" s="570" t="n">
        <v>782</v>
      </c>
      <c r="AH281" s="570" t="n">
        <v>781</v>
      </c>
      <c r="AI281" s="570" t="n">
        <v>775</v>
      </c>
      <c r="AJ281" s="570" t="n">
        <v>766</v>
      </c>
      <c r="AK281" s="570" t="n">
        <v>768</v>
      </c>
      <c r="AL281" s="570" t="n">
        <v>770</v>
      </c>
      <c r="AM281" s="570" t="n">
        <v>776</v>
      </c>
      <c r="AN281" s="570" t="n">
        <v>786</v>
      </c>
      <c r="AO281" s="570" t="n">
        <v>793</v>
      </c>
      <c r="AP281" s="570" t="n">
        <v>804</v>
      </c>
      <c r="AQ281" s="570" t="n">
        <v>809</v>
      </c>
      <c r="AR281" s="570" t="n">
        <v>808</v>
      </c>
      <c r="AS281" s="570" t="n">
        <v>809</v>
      </c>
      <c r="AT281" s="570" t="n">
        <v>808</v>
      </c>
      <c r="AU281" s="570" t="n">
        <v>814</v>
      </c>
      <c r="AV281" s="570" t="n">
        <v>824</v>
      </c>
      <c r="AW281" s="570" t="n">
        <v>826</v>
      </c>
      <c r="AX281" s="570" t="n">
        <v>822</v>
      </c>
      <c r="AY281" s="570" t="n">
        <v>817</v>
      </c>
      <c r="AZ281" s="570" t="n">
        <v>815</v>
      </c>
      <c r="BA281" s="570" t="n">
        <v>816</v>
      </c>
      <c r="BB281" s="570" t="n">
        <v>816</v>
      </c>
      <c r="BC281" s="570" t="n">
        <v>808</v>
      </c>
      <c r="BD281" s="570" t="n">
        <v>802</v>
      </c>
      <c r="BE281" s="570" t="n">
        <v>847</v>
      </c>
      <c r="BF281" s="570" t="n">
        <v>838</v>
      </c>
      <c r="BG281" s="570" t="n">
        <v>842</v>
      </c>
      <c r="BH281" s="570" t="n">
        <v>825</v>
      </c>
      <c r="BI281" s="570" t="n">
        <v>814</v>
      </c>
      <c r="BJ281" s="570" t="n">
        <v>835</v>
      </c>
      <c r="BK281" s="570" t="n">
        <v>843</v>
      </c>
      <c r="BL281" s="570" t="n">
        <v>835</v>
      </c>
    </row>
    <row r="282">
      <c r="A282" s="65" t="inlineStr">
        <is>
          <t>4218</t>
        </is>
      </c>
      <c r="B282" s="570">
        <f>銘柄管理!C282</f>
        <v/>
      </c>
      <c r="C282" s="570">
        <f>_xll.RssMarket("4218","安値")</f>
        <v/>
      </c>
      <c r="E282" s="570" t="n">
        <v>1816</v>
      </c>
      <c r="F282" s="570" t="n">
        <v>1829</v>
      </c>
      <c r="G282" s="570" t="n">
        <v>1833</v>
      </c>
      <c r="H282" s="570" t="n">
        <v>1834</v>
      </c>
      <c r="I282" s="570" t="n">
        <v>1829</v>
      </c>
      <c r="J282" s="570" t="n">
        <v>1840</v>
      </c>
      <c r="K282" s="570" t="n">
        <v>1829</v>
      </c>
      <c r="L282" s="570" t="n">
        <v>1816</v>
      </c>
      <c r="M282" s="570" t="n">
        <v>1803</v>
      </c>
      <c r="N282" s="570" t="n">
        <v>1790</v>
      </c>
      <c r="O282" s="570" t="n">
        <v>1795</v>
      </c>
      <c r="P282" s="570" t="n">
        <v>1790</v>
      </c>
      <c r="Q282" s="570" t="n">
        <v>1781</v>
      </c>
      <c r="R282" s="570" t="n">
        <v>1790</v>
      </c>
      <c r="S282" s="570" t="n">
        <v>1825</v>
      </c>
      <c r="T282" s="570" t="n">
        <v>1844</v>
      </c>
      <c r="U282" s="570" t="n">
        <v>1856</v>
      </c>
      <c r="V282" s="570" t="n">
        <v>1857</v>
      </c>
      <c r="W282" s="570" t="n">
        <v>1854</v>
      </c>
      <c r="X282" s="570" t="n">
        <v>1859</v>
      </c>
      <c r="Y282" s="570" t="n">
        <v>1851</v>
      </c>
      <c r="Z282" s="570" t="n">
        <v>1864</v>
      </c>
      <c r="AA282" s="570" t="n">
        <v>1857</v>
      </c>
      <c r="AB282" s="570" t="n">
        <v>1870</v>
      </c>
      <c r="AC282" s="570" t="n">
        <v>1822</v>
      </c>
      <c r="AD282" s="570" t="n">
        <v>1823</v>
      </c>
      <c r="AE282" s="570" t="n">
        <v>1821</v>
      </c>
      <c r="AF282" s="570" t="n">
        <v>1817</v>
      </c>
      <c r="AG282" s="570" t="n">
        <v>1825</v>
      </c>
      <c r="AH282" s="570" t="n">
        <v>1833</v>
      </c>
      <c r="AI282" s="570" t="n">
        <v>1810</v>
      </c>
      <c r="AJ282" s="570" t="n">
        <v>1809</v>
      </c>
      <c r="AK282" s="570" t="n">
        <v>1808</v>
      </c>
      <c r="AL282" s="570" t="n">
        <v>1811</v>
      </c>
      <c r="AM282" s="570" t="n">
        <v>1823</v>
      </c>
      <c r="AN282" s="570" t="n">
        <v>1842</v>
      </c>
      <c r="AO282" s="570" t="n">
        <v>1856</v>
      </c>
      <c r="AP282" s="570" t="n">
        <v>1872</v>
      </c>
      <c r="AQ282" s="570" t="n">
        <v>1884</v>
      </c>
      <c r="AR282" s="570" t="n">
        <v>1884</v>
      </c>
      <c r="AS282" s="570" t="n">
        <v>1881</v>
      </c>
      <c r="AT282" s="570" t="n">
        <v>1882</v>
      </c>
      <c r="AU282" s="570" t="n">
        <v>1876</v>
      </c>
      <c r="AV282" s="570" t="n">
        <v>1885</v>
      </c>
      <c r="AW282" s="570" t="n">
        <v>1890</v>
      </c>
      <c r="AX282" s="570" t="n">
        <v>1896</v>
      </c>
      <c r="AY282" s="570" t="n">
        <v>1896</v>
      </c>
      <c r="AZ282" s="570" t="n">
        <v>1894</v>
      </c>
      <c r="BA282" s="570" t="n">
        <v>1889</v>
      </c>
      <c r="BB282" s="570" t="n">
        <v>1887</v>
      </c>
      <c r="BC282" s="570" t="n">
        <v>1884</v>
      </c>
      <c r="BD282" s="570" t="n">
        <v>1878</v>
      </c>
      <c r="BE282" s="570" t="n">
        <v>1870</v>
      </c>
      <c r="BF282" s="570" t="n">
        <v>1852</v>
      </c>
      <c r="BG282" s="570" t="n">
        <v>1911</v>
      </c>
      <c r="BH282" s="570" t="n">
        <v>1908</v>
      </c>
      <c r="BI282" s="570" t="n">
        <v>1901</v>
      </c>
      <c r="BJ282" s="570" t="n">
        <v>1876</v>
      </c>
      <c r="BK282" s="570" t="n">
        <v>1865</v>
      </c>
      <c r="BL282" s="570" t="n">
        <v>1896</v>
      </c>
    </row>
    <row r="283">
      <c r="A283" s="65" t="inlineStr">
        <is>
          <t>7735</t>
        </is>
      </c>
      <c r="B283" s="570">
        <f>銘柄管理!C283</f>
        <v/>
      </c>
      <c r="C283" s="570">
        <f>_xll.RssMarket("7735","安値")</f>
        <v/>
      </c>
      <c r="E283" s="570" t="n">
        <v>16450</v>
      </c>
      <c r="F283" s="570" t="n">
        <v>16435</v>
      </c>
      <c r="G283" s="570" t="n">
        <v>15390</v>
      </c>
      <c r="H283" s="570" t="n">
        <v>14550</v>
      </c>
      <c r="I283" s="570" t="n">
        <v>14750</v>
      </c>
      <c r="J283" s="570" t="n">
        <v>14410</v>
      </c>
      <c r="K283" s="570" t="n">
        <v>13730</v>
      </c>
      <c r="L283" s="570" t="n">
        <v>12460</v>
      </c>
      <c r="M283" s="570" t="n">
        <v>12560</v>
      </c>
      <c r="N283" s="570" t="n">
        <v>11275</v>
      </c>
      <c r="O283" s="570" t="n">
        <v>12395</v>
      </c>
      <c r="P283" s="570" t="n">
        <v>12955</v>
      </c>
      <c r="Q283" s="570" t="n">
        <v>12305</v>
      </c>
      <c r="R283" s="570" t="n">
        <v>10685</v>
      </c>
      <c r="S283" s="570" t="n">
        <v>10850</v>
      </c>
      <c r="T283" s="570" t="n">
        <v>10775</v>
      </c>
      <c r="U283" s="570" t="n">
        <v>10880</v>
      </c>
      <c r="V283" s="570" t="n">
        <v>10860</v>
      </c>
      <c r="W283" s="570" t="n">
        <v>10670</v>
      </c>
      <c r="X283" s="570" t="n">
        <v>10650</v>
      </c>
      <c r="Y283" s="570" t="n">
        <v>10310</v>
      </c>
      <c r="Z283" s="570" t="n">
        <v>10290</v>
      </c>
      <c r="AA283" s="570" t="n">
        <v>10710</v>
      </c>
      <c r="AB283" s="570" t="n">
        <v>11155</v>
      </c>
      <c r="AC283" s="570" t="n">
        <v>11955</v>
      </c>
      <c r="AD283" s="570" t="n">
        <v>11050</v>
      </c>
      <c r="AE283" s="570" t="n">
        <v>11250</v>
      </c>
      <c r="AF283" s="570" t="n">
        <v>11275</v>
      </c>
      <c r="AG283" s="570" t="n">
        <v>10910</v>
      </c>
      <c r="AH283" s="570" t="n">
        <v>10930</v>
      </c>
      <c r="AI283" s="570" t="n">
        <v>10390</v>
      </c>
      <c r="AJ283" s="570" t="n">
        <v>10190</v>
      </c>
      <c r="AK283" s="570" t="n">
        <v>10380</v>
      </c>
      <c r="AL283" s="570" t="n">
        <v>10630</v>
      </c>
      <c r="AM283" s="570" t="n">
        <v>10390</v>
      </c>
      <c r="AN283" s="570" t="n">
        <v>10130</v>
      </c>
      <c r="AO283" s="570" t="n">
        <v>10310</v>
      </c>
      <c r="AP283" s="570" t="n">
        <v>10650</v>
      </c>
      <c r="AQ283" s="570" t="n">
        <v>10490</v>
      </c>
      <c r="AR283" s="570" t="n">
        <v>10510</v>
      </c>
      <c r="AS283" s="570" t="n">
        <v>10720</v>
      </c>
      <c r="AT283" s="570" t="n">
        <v>10820</v>
      </c>
      <c r="AU283" s="570" t="n">
        <v>10970</v>
      </c>
      <c r="AV283" s="570" t="n">
        <v>10440</v>
      </c>
      <c r="AW283" s="570" t="n">
        <v>10335</v>
      </c>
      <c r="AX283" s="570" t="n">
        <v>9940</v>
      </c>
      <c r="AY283" s="570" t="n">
        <v>9748</v>
      </c>
      <c r="AZ283" s="570" t="n">
        <v>9128</v>
      </c>
      <c r="BA283" s="570" t="n">
        <v>8935</v>
      </c>
      <c r="BB283" s="570" t="n">
        <v>9072</v>
      </c>
      <c r="BC283" s="570" t="n">
        <v>9022</v>
      </c>
      <c r="BD283" s="570" t="n">
        <v>9283</v>
      </c>
      <c r="BE283" s="570" t="n">
        <v>8590</v>
      </c>
      <c r="BF283" s="570" t="n">
        <v>8803</v>
      </c>
      <c r="BG283" s="570" t="n">
        <v>9337.5</v>
      </c>
      <c r="BH283" s="570" t="n">
        <v>9697.5</v>
      </c>
      <c r="BI283" s="570" t="n">
        <v>9732.5</v>
      </c>
      <c r="BJ283" s="570" t="n">
        <v>9480</v>
      </c>
      <c r="BK283" s="570" t="n">
        <v>9245</v>
      </c>
      <c r="BL283" s="570" t="n">
        <v>9682.5</v>
      </c>
    </row>
    <row r="284">
      <c r="A284" s="65" t="inlineStr">
        <is>
          <t>3905</t>
        </is>
      </c>
      <c r="B284" s="570">
        <f>銘柄管理!C284</f>
        <v/>
      </c>
      <c r="C284" s="570">
        <f>_xll.RssMarket("3905","安値")</f>
        <v/>
      </c>
      <c r="E284" s="570" t="n">
        <v>4835</v>
      </c>
      <c r="F284" s="570" t="n">
        <v>5090</v>
      </c>
      <c r="G284" s="570" t="n">
        <v>4700</v>
      </c>
      <c r="H284" s="570" t="n">
        <v>4780</v>
      </c>
      <c r="I284" s="570" t="n">
        <v>4585</v>
      </c>
      <c r="J284" s="570" t="n">
        <v>4525</v>
      </c>
      <c r="K284" s="570" t="n">
        <v>4225</v>
      </c>
      <c r="L284" s="570" t="n">
        <v>4260</v>
      </c>
      <c r="M284" s="570" t="n">
        <v>4130</v>
      </c>
      <c r="N284" s="570" t="n">
        <v>4480</v>
      </c>
      <c r="O284" s="570" t="n">
        <v>4810</v>
      </c>
      <c r="P284" s="570" t="n">
        <v>4715</v>
      </c>
      <c r="Q284" s="570" t="n">
        <v>5000</v>
      </c>
      <c r="R284" s="570" t="n">
        <v>4310</v>
      </c>
      <c r="S284" s="570" t="n">
        <v>5360</v>
      </c>
      <c r="T284" s="570" t="n">
        <v>4335</v>
      </c>
      <c r="U284" s="570" t="n">
        <v>4325</v>
      </c>
      <c r="V284" s="570" t="n">
        <v>4100</v>
      </c>
      <c r="W284" s="570" t="n">
        <v>4200</v>
      </c>
      <c r="X284" s="570" t="n">
        <v>3260</v>
      </c>
      <c r="Y284" s="570" t="n">
        <v>2945</v>
      </c>
      <c r="Z284" s="570" t="n">
        <v>3345</v>
      </c>
      <c r="AA284" s="570" t="n">
        <v>2843</v>
      </c>
      <c r="AB284" s="570" t="n">
        <v>2194</v>
      </c>
      <c r="AC284" s="570" t="n">
        <v>2107</v>
      </c>
      <c r="AD284" s="570" t="n">
        <v>2105</v>
      </c>
      <c r="AE284" s="570" t="n">
        <v>2200</v>
      </c>
      <c r="AF284" s="570" t="n">
        <v>1946</v>
      </c>
      <c r="AG284" s="570" t="n">
        <v>1668</v>
      </c>
      <c r="AH284" s="570" t="n">
        <v>1514</v>
      </c>
      <c r="AI284" s="570" t="n">
        <v>1469</v>
      </c>
      <c r="AJ284" s="570" t="n">
        <v>1460</v>
      </c>
      <c r="AK284" s="570" t="n">
        <v>1441</v>
      </c>
      <c r="AL284" s="570" t="n">
        <v>1406</v>
      </c>
      <c r="AM284" s="570" t="n">
        <v>1464</v>
      </c>
      <c r="AN284" s="570" t="n">
        <v>1462</v>
      </c>
      <c r="AO284" s="570" t="n">
        <v>1486</v>
      </c>
      <c r="AP284" s="570" t="n">
        <v>1568</v>
      </c>
      <c r="AQ284" s="570" t="n">
        <v>1501</v>
      </c>
      <c r="AR284" s="570" t="n">
        <v>1551</v>
      </c>
      <c r="AS284" s="570" t="n">
        <v>1442</v>
      </c>
      <c r="AT284" s="570" t="n">
        <v>1434</v>
      </c>
      <c r="AU284" s="570" t="n">
        <v>1380</v>
      </c>
      <c r="AV284" s="570" t="n">
        <v>1343</v>
      </c>
      <c r="AW284" s="570" t="n">
        <v>1346</v>
      </c>
      <c r="AX284" s="570" t="n">
        <v>1335</v>
      </c>
      <c r="AY284" s="570" t="n">
        <v>1325</v>
      </c>
      <c r="AZ284" s="570" t="n">
        <v>1292</v>
      </c>
      <c r="BA284" s="570" t="n">
        <v>1307</v>
      </c>
      <c r="BB284" s="570" t="n">
        <v>1326</v>
      </c>
      <c r="BC284" s="570" t="n">
        <v>1331</v>
      </c>
      <c r="BD284" s="570" t="n">
        <v>1310</v>
      </c>
      <c r="BE284" s="570" t="n">
        <v>1270</v>
      </c>
      <c r="BF284" s="570" t="n">
        <v>1297</v>
      </c>
      <c r="BG284" s="570" t="n">
        <v>1335</v>
      </c>
      <c r="BH284" s="570" t="n">
        <v>1375</v>
      </c>
      <c r="BI284" s="570" t="n">
        <v>1330</v>
      </c>
      <c r="BJ284" s="570" t="n">
        <v>1298</v>
      </c>
      <c r="BK284" s="570" t="n">
        <v>1289</v>
      </c>
      <c r="BL284" s="570" t="n">
        <v>1480</v>
      </c>
    </row>
    <row r="285">
      <c r="A285" s="65" t="inlineStr">
        <is>
          <t>3397</t>
        </is>
      </c>
      <c r="B285" s="570">
        <f>銘柄管理!C285</f>
        <v/>
      </c>
      <c r="C285" s="570">
        <f>_xll.RssMarket("3397","安値")</f>
        <v/>
      </c>
      <c r="E285" s="570" t="n">
        <v>3540</v>
      </c>
      <c r="F285" s="570" t="n">
        <v>3552</v>
      </c>
      <c r="G285" s="570" t="n">
        <v>3650</v>
      </c>
      <c r="H285" s="570" t="n">
        <v>3702</v>
      </c>
      <c r="I285" s="570" t="n">
        <v>3739</v>
      </c>
      <c r="J285" s="570" t="n">
        <v>3800</v>
      </c>
      <c r="K285" s="570" t="n">
        <v>3858</v>
      </c>
      <c r="L285" s="570" t="n">
        <v>3768</v>
      </c>
      <c r="M285" s="570" t="n">
        <v>3700</v>
      </c>
      <c r="N285" s="570" t="n">
        <v>3676</v>
      </c>
      <c r="O285" s="570" t="n">
        <v>3727</v>
      </c>
      <c r="P285" s="570" t="n">
        <v>3780</v>
      </c>
      <c r="Q285" s="570" t="n">
        <v>3787</v>
      </c>
      <c r="R285" s="570" t="n">
        <v>3783</v>
      </c>
      <c r="S285" s="570" t="n">
        <v>3736</v>
      </c>
      <c r="T285" s="570" t="n">
        <v>3648</v>
      </c>
      <c r="U285" s="570" t="n">
        <v>3850</v>
      </c>
      <c r="V285" s="570" t="n">
        <v>3787</v>
      </c>
      <c r="W285" s="570" t="n">
        <v>3800</v>
      </c>
      <c r="X285" s="570" t="n">
        <v>3858</v>
      </c>
      <c r="Y285" s="570" t="n">
        <v>3775</v>
      </c>
      <c r="Z285" s="570" t="n">
        <v>3715</v>
      </c>
      <c r="AA285" s="570" t="n">
        <v>3628</v>
      </c>
      <c r="AB285" s="570" t="n">
        <v>3880</v>
      </c>
      <c r="AC285" s="570" t="n">
        <v>3957</v>
      </c>
      <c r="AD285" s="570" t="n">
        <v>3913</v>
      </c>
      <c r="AE285" s="570" t="n">
        <v>3901</v>
      </c>
      <c r="AF285" s="570" t="n">
        <v>3956</v>
      </c>
      <c r="AG285" s="570" t="n">
        <v>3950</v>
      </c>
      <c r="AH285" s="570" t="n">
        <v>3996</v>
      </c>
      <c r="AI285" s="570" t="n">
        <v>4040</v>
      </c>
      <c r="AJ285" s="570" t="n">
        <v>4051</v>
      </c>
      <c r="AK285" s="570" t="n">
        <v>4053</v>
      </c>
      <c r="AL285" s="570" t="n">
        <v>4067</v>
      </c>
      <c r="AM285" s="570" t="n">
        <v>4108</v>
      </c>
      <c r="AN285" s="570" t="n">
        <v>4142</v>
      </c>
      <c r="AO285" s="570" t="n">
        <v>4157</v>
      </c>
      <c r="AP285" s="570" t="n">
        <v>4175</v>
      </c>
      <c r="AQ285" s="570" t="n">
        <v>4165</v>
      </c>
      <c r="AR285" s="570" t="n">
        <v>4215</v>
      </c>
      <c r="AS285" s="570" t="n">
        <v>4246</v>
      </c>
      <c r="AT285" s="570" t="n">
        <v>4225</v>
      </c>
      <c r="AU285" s="570" t="n">
        <v>4258</v>
      </c>
      <c r="AV285" s="570" t="n">
        <v>4286</v>
      </c>
      <c r="AW285" s="570" t="n">
        <v>4366</v>
      </c>
      <c r="AX285" s="570" t="n">
        <v>4499</v>
      </c>
      <c r="AY285" s="570" t="n">
        <v>4498</v>
      </c>
      <c r="AZ285" s="570" t="n">
        <v>4483</v>
      </c>
      <c r="BA285" s="570" t="n">
        <v>4486</v>
      </c>
      <c r="BB285" s="570" t="n">
        <v>4471</v>
      </c>
      <c r="BC285" s="570" t="n">
        <v>4340</v>
      </c>
      <c r="BD285" s="570" t="n">
        <v>4312</v>
      </c>
      <c r="BE285" s="570" t="n">
        <v>4250</v>
      </c>
      <c r="BF285" s="570" t="n">
        <v>4337</v>
      </c>
      <c r="BG285" s="570" t="n">
        <v>4342</v>
      </c>
      <c r="BH285" s="570" t="n">
        <v>4359</v>
      </c>
      <c r="BI285" s="570" t="n">
        <v>4343</v>
      </c>
      <c r="BJ285" s="570" t="n">
        <v>4295</v>
      </c>
      <c r="BK285" s="570" t="n">
        <v>4306</v>
      </c>
      <c r="BL285" s="570" t="n">
        <v>4298</v>
      </c>
    </row>
    <row r="286">
      <c r="A286" s="65" t="inlineStr">
        <is>
          <t>7270</t>
        </is>
      </c>
      <c r="B286" s="570">
        <f>銘柄管理!C286</f>
        <v/>
      </c>
      <c r="C286" s="570">
        <f>_xll.RssMarket("7270","安値")</f>
        <v/>
      </c>
      <c r="E286" s="570" t="n">
        <v>2400.5</v>
      </c>
      <c r="F286" s="570" t="n">
        <v>2436.5</v>
      </c>
      <c r="G286" s="570" t="n">
        <v>2539.5</v>
      </c>
      <c r="H286" s="570" t="n">
        <v>2569</v>
      </c>
      <c r="I286" s="570" t="n">
        <v>2506.5</v>
      </c>
      <c r="J286" s="570" t="n">
        <v>2505</v>
      </c>
      <c r="K286" s="570" t="n">
        <v>2467.5</v>
      </c>
      <c r="L286" s="570" t="n">
        <v>2472</v>
      </c>
      <c r="M286" s="570" t="n">
        <v>2523.5</v>
      </c>
      <c r="N286" s="570" t="n">
        <v>2462</v>
      </c>
      <c r="O286" s="570" t="n">
        <v>2444</v>
      </c>
      <c r="P286" s="570" t="n">
        <v>2453</v>
      </c>
      <c r="Q286" s="570" t="n">
        <v>2436.5</v>
      </c>
      <c r="R286" s="570" t="n">
        <v>2359.5</v>
      </c>
      <c r="S286" s="570" t="n">
        <v>2442</v>
      </c>
      <c r="T286" s="570" t="n">
        <v>2441.5</v>
      </c>
      <c r="U286" s="570" t="n">
        <v>2424</v>
      </c>
      <c r="V286" s="570" t="n">
        <v>2445</v>
      </c>
      <c r="W286" s="570" t="n">
        <v>2439</v>
      </c>
      <c r="X286" s="570" t="n">
        <v>2450</v>
      </c>
      <c r="Y286" s="570" t="n">
        <v>2430.5</v>
      </c>
      <c r="Z286" s="570" t="n">
        <v>2357</v>
      </c>
      <c r="AA286" s="570" t="n">
        <v>2362</v>
      </c>
      <c r="AB286" s="570" t="n">
        <v>2435.5</v>
      </c>
      <c r="AC286" s="570" t="n">
        <v>2337.5</v>
      </c>
      <c r="AD286" s="570" t="n">
        <v>2266</v>
      </c>
      <c r="AE286" s="570" t="n">
        <v>2265</v>
      </c>
      <c r="AF286" s="570" t="n">
        <v>2247.5</v>
      </c>
      <c r="AG286" s="570" t="n">
        <v>2348</v>
      </c>
      <c r="AH286" s="570" t="n">
        <v>2327</v>
      </c>
      <c r="AI286" s="570" t="n">
        <v>2334.5</v>
      </c>
      <c r="AJ286" s="570" t="n">
        <v>2338</v>
      </c>
      <c r="AK286" s="570" t="n">
        <v>2438</v>
      </c>
      <c r="AL286" s="570" t="n">
        <v>2425</v>
      </c>
      <c r="AM286" s="570" t="n">
        <v>2447.5</v>
      </c>
      <c r="AN286" s="570" t="n">
        <v>2477.5</v>
      </c>
      <c r="AO286" s="570" t="n">
        <v>2500.5</v>
      </c>
      <c r="AP286" s="570" t="n">
        <v>2535</v>
      </c>
      <c r="AQ286" s="570" t="n">
        <v>2542</v>
      </c>
      <c r="AR286" s="570" t="n">
        <v>2527.5</v>
      </c>
      <c r="AS286" s="570" t="n">
        <v>2534.5</v>
      </c>
      <c r="AT286" s="570" t="n">
        <v>2498.5</v>
      </c>
      <c r="AU286" s="570" t="n">
        <v>2516.5</v>
      </c>
      <c r="AV286" s="570" t="n">
        <v>2501.5</v>
      </c>
      <c r="AW286" s="570" t="n">
        <v>2530</v>
      </c>
      <c r="AX286" s="570" t="n">
        <v>2531</v>
      </c>
      <c r="AY286" s="570" t="n">
        <v>2545.5</v>
      </c>
      <c r="AZ286" s="570" t="n">
        <v>2501.5</v>
      </c>
      <c r="BA286" s="570" t="n">
        <v>2523</v>
      </c>
      <c r="BB286" s="570" t="n">
        <v>2512</v>
      </c>
      <c r="BC286" s="570" t="n">
        <v>2502.5</v>
      </c>
      <c r="BD286" s="570" t="n">
        <v>2530.5</v>
      </c>
      <c r="BE286" s="570" t="n">
        <v>2470.5</v>
      </c>
      <c r="BF286" s="570" t="n">
        <v>2445.5</v>
      </c>
      <c r="BG286" s="570" t="n">
        <v>2566</v>
      </c>
      <c r="BH286" s="570" t="n">
        <v>2568</v>
      </c>
      <c r="BI286" s="570" t="n">
        <v>2575.5</v>
      </c>
      <c r="BJ286" s="570" t="n">
        <v>2513</v>
      </c>
      <c r="BK286" s="570" t="n">
        <v>2432.5</v>
      </c>
      <c r="BL286" s="570" t="n">
        <v>2550</v>
      </c>
    </row>
    <row r="287">
      <c r="A287" s="65" t="inlineStr">
        <is>
          <t>6736</t>
        </is>
      </c>
      <c r="B287" s="570">
        <f>銘柄管理!C287</f>
        <v/>
      </c>
      <c r="C287" s="570">
        <f>_xll.RssMarket("6736","安値")</f>
        <v/>
      </c>
      <c r="E287" s="570" t="n">
        <v>9000</v>
      </c>
      <c r="F287" s="570" t="n">
        <v>9010</v>
      </c>
      <c r="G287" s="570" t="n">
        <v>9030</v>
      </c>
      <c r="H287" s="570" t="n">
        <v>8910</v>
      </c>
      <c r="I287" s="570" t="n">
        <v>8980</v>
      </c>
      <c r="J287" s="570" t="n">
        <v>8630</v>
      </c>
      <c r="K287" s="570" t="n">
        <v>8680</v>
      </c>
      <c r="L287" s="570" t="n">
        <v>8950</v>
      </c>
      <c r="M287" s="570" t="n">
        <v>8380</v>
      </c>
      <c r="N287" s="570" t="n">
        <v>8500</v>
      </c>
      <c r="O287" s="570" t="n">
        <v>8600</v>
      </c>
      <c r="P287" s="570" t="n">
        <v>8920</v>
      </c>
      <c r="Q287" s="570" t="n">
        <v>8950</v>
      </c>
      <c r="R287" s="570" t="n">
        <v>9090</v>
      </c>
      <c r="S287" s="570" t="n">
        <v>9020</v>
      </c>
      <c r="T287" s="570" t="n">
        <v>9030</v>
      </c>
      <c r="U287" s="570" t="n">
        <v>8990</v>
      </c>
      <c r="V287" s="570" t="n">
        <v>9100</v>
      </c>
      <c r="W287" s="570" t="n">
        <v>8800</v>
      </c>
      <c r="X287" s="570" t="n">
        <v>8690</v>
      </c>
      <c r="Y287" s="570" t="n">
        <v>8640</v>
      </c>
      <c r="Z287" s="570" t="n">
        <v>8910</v>
      </c>
      <c r="AA287" s="570" t="n">
        <v>8760</v>
      </c>
      <c r="AB287" s="570" t="n">
        <v>8440</v>
      </c>
      <c r="AC287" s="570" t="n">
        <v>8340</v>
      </c>
      <c r="AD287" s="570" t="n">
        <v>8470</v>
      </c>
      <c r="AE287" s="570" t="n">
        <v>8860</v>
      </c>
      <c r="AF287" s="570" t="n">
        <v>8580</v>
      </c>
      <c r="AG287" s="570" t="n">
        <v>8520</v>
      </c>
      <c r="AH287" s="570" t="n">
        <v>8520</v>
      </c>
      <c r="AI287" s="570" t="n">
        <v>8210</v>
      </c>
      <c r="AJ287" s="570" t="n">
        <v>8190</v>
      </c>
      <c r="AK287" s="570" t="n">
        <v>7990</v>
      </c>
      <c r="AL287" s="570" t="n">
        <v>7970</v>
      </c>
      <c r="AM287" s="570" t="n">
        <v>7970</v>
      </c>
      <c r="AN287" s="570" t="n">
        <v>7950</v>
      </c>
      <c r="AO287" s="570" t="n">
        <v>7920</v>
      </c>
      <c r="AP287" s="570" t="n">
        <v>7920</v>
      </c>
      <c r="AQ287" s="570" t="n">
        <v>7910</v>
      </c>
      <c r="AR287" s="570" t="n">
        <v>7670</v>
      </c>
      <c r="AS287" s="570" t="n">
        <v>6970</v>
      </c>
      <c r="AT287" s="570" t="n">
        <v>7250</v>
      </c>
      <c r="AU287" s="570" t="n">
        <v>7480</v>
      </c>
      <c r="AV287" s="570" t="n">
        <v>8240</v>
      </c>
      <c r="AW287" s="570" t="n">
        <v>8710</v>
      </c>
      <c r="AX287" s="570" t="n">
        <v>8400</v>
      </c>
      <c r="AY287" s="570" t="n">
        <v>8320</v>
      </c>
      <c r="AZ287" s="570" t="n">
        <v>8330</v>
      </c>
      <c r="BA287" s="570" t="n">
        <v>8280</v>
      </c>
      <c r="BB287" s="570" t="n">
        <v>8310</v>
      </c>
      <c r="BC287" s="570" t="n">
        <v>8230</v>
      </c>
      <c r="BD287" s="570" t="n">
        <v>7980</v>
      </c>
      <c r="BE287" s="570" t="n">
        <v>7980</v>
      </c>
      <c r="BF287" s="570" t="n">
        <v>8160</v>
      </c>
      <c r="BG287" s="570" t="n">
        <v>8060</v>
      </c>
      <c r="BH287" s="570" t="n">
        <v>7790</v>
      </c>
      <c r="BI287" s="570" t="n">
        <v>7690</v>
      </c>
      <c r="BJ287" s="570" t="n">
        <v>7430</v>
      </c>
      <c r="BK287" s="570" t="n">
        <v>7610</v>
      </c>
      <c r="BL287" s="570" t="n">
        <v>7740</v>
      </c>
    </row>
    <row r="288">
      <c r="A288" s="65" t="inlineStr">
        <is>
          <t>2933</t>
        </is>
      </c>
      <c r="B288" s="570">
        <f>銘柄管理!C288</f>
        <v/>
      </c>
      <c r="C288" s="570">
        <f>_xll.RssMarket("2933","安値")</f>
        <v/>
      </c>
      <c r="E288" s="570" t="n">
        <v>1053</v>
      </c>
      <c r="F288" s="570" t="n">
        <v>1052</v>
      </c>
      <c r="G288" s="570" t="n">
        <v>1046</v>
      </c>
      <c r="H288" s="570" t="n">
        <v>1050</v>
      </c>
      <c r="I288" s="570" t="n">
        <v>1039</v>
      </c>
      <c r="J288" s="570" t="n">
        <v>1045</v>
      </c>
      <c r="K288" s="570" t="n">
        <v>1040</v>
      </c>
      <c r="L288" s="570" t="n">
        <v>1043</v>
      </c>
      <c r="M288" s="570" t="n">
        <v>1040</v>
      </c>
      <c r="N288" s="570" t="n">
        <v>1033</v>
      </c>
      <c r="O288" s="570" t="n">
        <v>1027</v>
      </c>
      <c r="P288" s="570" t="n">
        <v>1022</v>
      </c>
      <c r="Q288" s="570" t="n">
        <v>1013</v>
      </c>
      <c r="R288" s="570" t="n">
        <v>1018</v>
      </c>
      <c r="S288" s="570" t="n">
        <v>1036</v>
      </c>
      <c r="T288" s="570" t="n">
        <v>1033</v>
      </c>
      <c r="U288" s="570" t="n">
        <v>1031</v>
      </c>
      <c r="V288" s="570" t="n">
        <v>1033</v>
      </c>
      <c r="W288" s="570" t="n">
        <v>1038</v>
      </c>
      <c r="X288" s="570" t="n">
        <v>1040</v>
      </c>
      <c r="Y288" s="570" t="n">
        <v>1037</v>
      </c>
      <c r="Z288" s="570" t="n">
        <v>1038</v>
      </c>
      <c r="AA288" s="570" t="n">
        <v>1033</v>
      </c>
      <c r="AB288" s="570" t="n">
        <v>1028</v>
      </c>
      <c r="AC288" s="570" t="n">
        <v>1027</v>
      </c>
      <c r="AD288" s="570" t="n">
        <v>1030</v>
      </c>
      <c r="AE288" s="570" t="n">
        <v>1023</v>
      </c>
      <c r="AF288" s="570" t="n">
        <v>1024</v>
      </c>
      <c r="AG288" s="570" t="n">
        <v>1021</v>
      </c>
      <c r="AH288" s="570" t="n">
        <v>1030</v>
      </c>
      <c r="AI288" s="570" t="n">
        <v>1027</v>
      </c>
      <c r="AJ288" s="570" t="n">
        <v>1025</v>
      </c>
      <c r="AK288" s="570" t="n">
        <v>1025</v>
      </c>
      <c r="AL288" s="570" t="n">
        <v>1026</v>
      </c>
      <c r="AM288" s="570" t="n">
        <v>1030</v>
      </c>
      <c r="AN288" s="570" t="n">
        <v>1033</v>
      </c>
      <c r="AO288" s="570" t="n">
        <v>1040</v>
      </c>
      <c r="AP288" s="570" t="n">
        <v>1052</v>
      </c>
      <c r="AQ288" s="570" t="n">
        <v>1059</v>
      </c>
      <c r="AR288" s="570" t="n">
        <v>1058</v>
      </c>
      <c r="AS288" s="570" t="n">
        <v>1055</v>
      </c>
      <c r="AT288" s="570" t="n">
        <v>1051</v>
      </c>
      <c r="AU288" s="570" t="n">
        <v>1049</v>
      </c>
      <c r="AV288" s="570" t="n">
        <v>1056</v>
      </c>
      <c r="AW288" s="570" t="n">
        <v>1055</v>
      </c>
      <c r="AX288" s="570" t="n">
        <v>1058</v>
      </c>
      <c r="AY288" s="570" t="n">
        <v>1060</v>
      </c>
      <c r="AZ288" s="570" t="n">
        <v>1058</v>
      </c>
      <c r="BA288" s="570" t="n">
        <v>1056</v>
      </c>
      <c r="BB288" s="570" t="n">
        <v>1050</v>
      </c>
      <c r="BC288" s="570" t="n">
        <v>1048</v>
      </c>
      <c r="BD288" s="570" t="n">
        <v>1040</v>
      </c>
      <c r="BE288" s="570" t="n">
        <v>1030</v>
      </c>
      <c r="BF288" s="570" t="n">
        <v>1022</v>
      </c>
      <c r="BG288" s="570" t="n">
        <v>1050</v>
      </c>
      <c r="BH288" s="570" t="n">
        <v>1043</v>
      </c>
      <c r="BI288" s="570" t="n">
        <v>1046</v>
      </c>
      <c r="BJ288" s="570" t="n">
        <v>1030</v>
      </c>
      <c r="BK288" s="570" t="n">
        <v>1027</v>
      </c>
      <c r="BL288" s="570" t="n">
        <v>1039</v>
      </c>
    </row>
    <row r="289">
      <c r="A289" s="65" t="inlineStr">
        <is>
          <t>4047</t>
        </is>
      </c>
      <c r="B289" s="570">
        <f>銘柄管理!C289</f>
        <v/>
      </c>
      <c r="C289" s="570">
        <f>_xll.RssMarket("4047","安値")</f>
        <v/>
      </c>
      <c r="E289" s="570" t="n">
        <v>3830</v>
      </c>
      <c r="F289" s="570" t="n">
        <v>3870</v>
      </c>
      <c r="G289" s="570" t="n">
        <v>3840</v>
      </c>
      <c r="H289" s="570" t="n">
        <v>3610</v>
      </c>
      <c r="I289" s="570" t="n">
        <v>3650</v>
      </c>
      <c r="J289" s="570" t="n">
        <v>3780</v>
      </c>
      <c r="K289" s="570" t="n">
        <v>3750</v>
      </c>
      <c r="L289" s="570" t="n">
        <v>3580</v>
      </c>
      <c r="M289" s="570" t="n">
        <v>3765</v>
      </c>
      <c r="N289" s="570" t="n">
        <v>3535</v>
      </c>
      <c r="O289" s="570" t="n">
        <v>3945</v>
      </c>
      <c r="P289" s="570" t="n">
        <v>3705</v>
      </c>
      <c r="Q289" s="570" t="n">
        <v>3685</v>
      </c>
      <c r="R289" s="570" t="n">
        <v>3330</v>
      </c>
      <c r="S289" s="570" t="n">
        <v>3550</v>
      </c>
      <c r="T289" s="570" t="n">
        <v>3210</v>
      </c>
      <c r="U289" s="570" t="n">
        <v>3275</v>
      </c>
      <c r="V289" s="570" t="n">
        <v>3125</v>
      </c>
      <c r="W289" s="570" t="n">
        <v>2879</v>
      </c>
      <c r="X289" s="570" t="n">
        <v>2703</v>
      </c>
      <c r="Y289" s="570" t="n">
        <v>2611</v>
      </c>
      <c r="Z289" s="570" t="n">
        <v>2668</v>
      </c>
      <c r="AA289" s="570" t="n">
        <v>2550</v>
      </c>
      <c r="AB289" s="570" t="n">
        <v>1951</v>
      </c>
      <c r="AC289" s="570" t="n">
        <v>2102</v>
      </c>
      <c r="AD289" s="570" t="n">
        <v>1951</v>
      </c>
      <c r="AE289" s="570" t="n">
        <v>1962</v>
      </c>
      <c r="AF289" s="570" t="n">
        <v>1853</v>
      </c>
      <c r="AG289" s="570" t="n">
        <v>1775</v>
      </c>
      <c r="AH289" s="570" t="n">
        <v>1782</v>
      </c>
      <c r="AI289" s="570" t="n">
        <v>1650</v>
      </c>
      <c r="AJ289" s="570" t="n">
        <v>1650</v>
      </c>
      <c r="AK289" s="570" t="n">
        <v>1666</v>
      </c>
      <c r="AL289" s="570" t="n">
        <v>1611</v>
      </c>
      <c r="AM289" s="570" t="n">
        <v>1623</v>
      </c>
      <c r="AN289" s="570" t="n">
        <v>1601</v>
      </c>
      <c r="AO289" s="570" t="n">
        <v>1620</v>
      </c>
      <c r="AP289" s="570" t="n">
        <v>1642</v>
      </c>
      <c r="AQ289" s="570" t="n">
        <v>1624</v>
      </c>
      <c r="AR289" s="570" t="n">
        <v>1629</v>
      </c>
      <c r="AS289" s="570" t="n">
        <v>1650</v>
      </c>
      <c r="AT289" s="570" t="n">
        <v>1650</v>
      </c>
      <c r="AU289" s="570" t="n">
        <v>1655</v>
      </c>
      <c r="AV289" s="570" t="n">
        <v>1603</v>
      </c>
      <c r="AW289" s="570" t="n">
        <v>1587</v>
      </c>
      <c r="AX289" s="570" t="n">
        <v>1561</v>
      </c>
      <c r="AY289" s="570" t="n">
        <v>1500</v>
      </c>
      <c r="AZ289" s="570" t="n">
        <v>1408</v>
      </c>
      <c r="BA289" s="570" t="n">
        <v>1342</v>
      </c>
      <c r="BB289" s="570" t="n">
        <v>1362</v>
      </c>
      <c r="BC289" s="570" t="n">
        <v>1351</v>
      </c>
      <c r="BD289" s="570" t="n">
        <v>1383</v>
      </c>
      <c r="BE289" s="570" t="n">
        <v>1336</v>
      </c>
      <c r="BF289" s="570" t="n">
        <v>1384</v>
      </c>
      <c r="BG289" s="570" t="n">
        <v>1451</v>
      </c>
      <c r="BH289" s="570" t="n">
        <v>1489</v>
      </c>
      <c r="BI289" s="570" t="n">
        <v>1450</v>
      </c>
      <c r="BJ289" s="570" t="n">
        <v>1367</v>
      </c>
      <c r="BK289" s="570" t="n">
        <v>1342</v>
      </c>
      <c r="BL289" s="570" t="n">
        <v>1442</v>
      </c>
    </row>
    <row r="290">
      <c r="A290" s="65" t="inlineStr">
        <is>
          <t>6482</t>
        </is>
      </c>
      <c r="B290" s="570">
        <f>銘柄管理!C290</f>
        <v/>
      </c>
      <c r="C290" s="570">
        <f>_xll.RssMarket("6482","安値")</f>
        <v/>
      </c>
      <c r="E290" s="570" t="n">
        <v>732</v>
      </c>
      <c r="F290" s="570" t="n">
        <v>741</v>
      </c>
      <c r="G290" s="570" t="n">
        <v>714</v>
      </c>
      <c r="H290" s="570" t="n">
        <v>687</v>
      </c>
      <c r="I290" s="570" t="n">
        <v>680</v>
      </c>
      <c r="J290" s="570" t="n">
        <v>673</v>
      </c>
      <c r="K290" s="570" t="n">
        <v>659</v>
      </c>
      <c r="L290" s="570" t="n">
        <v>665</v>
      </c>
      <c r="M290" s="570" t="n">
        <v>646</v>
      </c>
      <c r="N290" s="570" t="n">
        <v>657</v>
      </c>
      <c r="O290" s="570" t="n">
        <v>648</v>
      </c>
      <c r="P290" s="570" t="n">
        <v>638</v>
      </c>
      <c r="Q290" s="570" t="n">
        <v>666</v>
      </c>
      <c r="R290" s="570" t="n">
        <v>655</v>
      </c>
      <c r="S290" s="570" t="n">
        <v>657</v>
      </c>
      <c r="T290" s="570" t="n">
        <v>709</v>
      </c>
      <c r="U290" s="570" t="n">
        <v>703</v>
      </c>
      <c r="V290" s="570" t="n">
        <v>705</v>
      </c>
      <c r="W290" s="570" t="n">
        <v>705</v>
      </c>
      <c r="X290" s="570" t="n">
        <v>706</v>
      </c>
      <c r="Y290" s="570" t="n">
        <v>711</v>
      </c>
      <c r="Z290" s="570" t="n">
        <v>730</v>
      </c>
      <c r="AA290" s="570" t="n">
        <v>720</v>
      </c>
      <c r="AB290" s="570" t="n">
        <v>724</v>
      </c>
      <c r="AC290" s="570" t="n">
        <v>710</v>
      </c>
      <c r="AD290" s="570" t="n">
        <v>678</v>
      </c>
      <c r="AE290" s="570" t="n">
        <v>674</v>
      </c>
      <c r="AF290" s="570" t="n">
        <v>683</v>
      </c>
      <c r="AG290" s="570" t="n">
        <v>663</v>
      </c>
      <c r="AH290" s="570" t="n">
        <v>658</v>
      </c>
      <c r="AI290" s="570" t="n">
        <v>656</v>
      </c>
      <c r="AJ290" s="570" t="n">
        <v>651</v>
      </c>
      <c r="AK290" s="570" t="n">
        <v>656</v>
      </c>
      <c r="AL290" s="570" t="n">
        <v>655</v>
      </c>
      <c r="AM290" s="570" t="n">
        <v>668</v>
      </c>
      <c r="AN290" s="570" t="n">
        <v>677</v>
      </c>
      <c r="AO290" s="570" t="n">
        <v>669</v>
      </c>
      <c r="AP290" s="570" t="n">
        <v>670</v>
      </c>
      <c r="AQ290" s="570" t="n">
        <v>676</v>
      </c>
      <c r="AR290" s="570" t="n">
        <v>673</v>
      </c>
      <c r="AS290" s="570" t="n">
        <v>677</v>
      </c>
      <c r="AT290" s="570" t="n">
        <v>672</v>
      </c>
      <c r="AU290" s="570" t="n">
        <v>678</v>
      </c>
      <c r="AV290" s="570" t="n">
        <v>680</v>
      </c>
      <c r="AW290" s="570" t="n">
        <v>689</v>
      </c>
      <c r="AX290" s="570" t="n">
        <v>679</v>
      </c>
      <c r="AY290" s="570" t="n">
        <v>668</v>
      </c>
      <c r="AZ290" s="570" t="n">
        <v>665</v>
      </c>
      <c r="BA290" s="570" t="n">
        <v>662</v>
      </c>
      <c r="BB290" s="570" t="n">
        <v>668</v>
      </c>
      <c r="BC290" s="570" t="n">
        <v>653</v>
      </c>
      <c r="BD290" s="570" t="n">
        <v>652</v>
      </c>
      <c r="BE290" s="570" t="n">
        <v>684</v>
      </c>
      <c r="BF290" s="570" t="n">
        <v>684</v>
      </c>
      <c r="BG290" s="570" t="n">
        <v>688</v>
      </c>
      <c r="BH290" s="570" t="n">
        <v>675</v>
      </c>
      <c r="BI290" s="570" t="n">
        <v>647</v>
      </c>
      <c r="BJ290" s="570" t="n">
        <v>672</v>
      </c>
      <c r="BK290" s="570" t="n">
        <v>713</v>
      </c>
      <c r="BL290" s="570" t="n">
        <v>701</v>
      </c>
    </row>
    <row r="291">
      <c r="A291" s="65" t="inlineStr">
        <is>
          <t>6706</t>
        </is>
      </c>
      <c r="B291" s="570">
        <f>銘柄管理!C291</f>
        <v/>
      </c>
      <c r="C291" s="570">
        <f>_xll.RssMarket("6706","安値")</f>
        <v/>
      </c>
      <c r="E291" s="570" t="n">
        <v>3105</v>
      </c>
      <c r="F291" s="570" t="n">
        <v>3160</v>
      </c>
      <c r="G291" s="570" t="n">
        <v>3115</v>
      </c>
      <c r="H291" s="570" t="n">
        <v>3105</v>
      </c>
      <c r="I291" s="570" t="n">
        <v>3160</v>
      </c>
      <c r="J291" s="570" t="n">
        <v>3230</v>
      </c>
      <c r="K291" s="570" t="n">
        <v>3095</v>
      </c>
      <c r="L291" s="570" t="n">
        <v>3130</v>
      </c>
      <c r="M291" s="570" t="n">
        <v>3275</v>
      </c>
      <c r="N291" s="570" t="n">
        <v>3315</v>
      </c>
      <c r="O291" s="570" t="n">
        <v>3455</v>
      </c>
      <c r="P291" s="570" t="n">
        <v>3465</v>
      </c>
      <c r="Q291" s="570" t="n">
        <v>3455</v>
      </c>
      <c r="R291" s="570" t="n">
        <v>3425</v>
      </c>
      <c r="S291" s="570" t="n">
        <v>3510</v>
      </c>
      <c r="T291" s="570" t="n">
        <v>3415</v>
      </c>
      <c r="U291" s="570" t="n">
        <v>3435</v>
      </c>
      <c r="V291" s="570" t="n">
        <v>3410</v>
      </c>
      <c r="W291" s="570" t="n">
        <v>3395</v>
      </c>
      <c r="X291" s="570" t="n">
        <v>3400</v>
      </c>
      <c r="Y291" s="570" t="n">
        <v>3370</v>
      </c>
      <c r="Z291" s="570" t="n">
        <v>3345</v>
      </c>
      <c r="AA291" s="570" t="n">
        <v>3300</v>
      </c>
      <c r="AB291" s="570" t="n">
        <v>3415</v>
      </c>
      <c r="AC291" s="570" t="n">
        <v>3420</v>
      </c>
      <c r="AD291" s="570" t="n">
        <v>3465</v>
      </c>
      <c r="AE291" s="570" t="n">
        <v>3420</v>
      </c>
      <c r="AF291" s="570" t="n">
        <v>3385</v>
      </c>
      <c r="AG291" s="570" t="n">
        <v>3375</v>
      </c>
      <c r="AH291" s="570" t="n">
        <v>3380</v>
      </c>
      <c r="AI291" s="570" t="n">
        <v>3285</v>
      </c>
      <c r="AJ291" s="570" t="n">
        <v>3280</v>
      </c>
      <c r="AK291" s="570" t="n">
        <v>3290</v>
      </c>
      <c r="AL291" s="570" t="n">
        <v>3285</v>
      </c>
      <c r="AM291" s="570" t="n">
        <v>3285</v>
      </c>
      <c r="AN291" s="570" t="n">
        <v>3260</v>
      </c>
      <c r="AO291" s="570" t="n">
        <v>3265</v>
      </c>
      <c r="AP291" s="570" t="n">
        <v>3270</v>
      </c>
      <c r="AQ291" s="570" t="n">
        <v>3270</v>
      </c>
      <c r="AR291" s="570" t="n">
        <v>3265</v>
      </c>
      <c r="AS291" s="570" t="n">
        <v>3255</v>
      </c>
      <c r="AT291" s="570" t="n">
        <v>3250</v>
      </c>
      <c r="AU291" s="570" t="n">
        <v>3190</v>
      </c>
      <c r="AV291" s="570" t="n">
        <v>3025</v>
      </c>
      <c r="AW291" s="570" t="n">
        <v>3075</v>
      </c>
      <c r="AX291" s="570" t="n">
        <v>3090</v>
      </c>
      <c r="AY291" s="570" t="n">
        <v>3095</v>
      </c>
      <c r="AZ291" s="570" t="n">
        <v>3050</v>
      </c>
      <c r="BA291" s="570" t="n">
        <v>3065</v>
      </c>
      <c r="BB291" s="570" t="n">
        <v>3040</v>
      </c>
      <c r="BC291" s="570" t="n">
        <v>3050</v>
      </c>
      <c r="BD291" s="570" t="n">
        <v>3030</v>
      </c>
      <c r="BE291" s="570" t="n">
        <v>2977</v>
      </c>
      <c r="BF291" s="570" t="n">
        <v>2937</v>
      </c>
      <c r="BG291" s="570" t="n">
        <v>3010</v>
      </c>
      <c r="BH291" s="570" t="n">
        <v>3015</v>
      </c>
      <c r="BI291" s="570" t="n">
        <v>3085</v>
      </c>
      <c r="BJ291" s="570" t="n">
        <v>3040</v>
      </c>
      <c r="BK291" s="570" t="n">
        <v>2960</v>
      </c>
      <c r="BL291" s="570" t="n">
        <v>3125</v>
      </c>
    </row>
    <row r="292">
      <c r="A292" s="65" t="inlineStr">
        <is>
          <t>8141</t>
        </is>
      </c>
      <c r="B292" s="570">
        <f>銘柄管理!C292</f>
        <v/>
      </c>
      <c r="C292" s="570">
        <f>_xll.RssMarket("8141","安値")</f>
        <v/>
      </c>
      <c r="E292" s="570" t="n">
        <v>1580</v>
      </c>
      <c r="F292" s="570" t="n">
        <v>1581</v>
      </c>
      <c r="G292" s="570" t="n">
        <v>1580</v>
      </c>
      <c r="H292" s="570" t="n">
        <v>1578</v>
      </c>
      <c r="I292" s="570" t="n">
        <v>1577</v>
      </c>
      <c r="J292" s="570" t="n">
        <v>1579</v>
      </c>
      <c r="K292" s="570" t="n">
        <v>1577</v>
      </c>
      <c r="L292" s="570" t="n">
        <v>1576</v>
      </c>
      <c r="M292" s="570" t="n">
        <v>1579</v>
      </c>
      <c r="N292" s="570" t="n">
        <v>1582</v>
      </c>
      <c r="O292" s="570" t="n">
        <v>1579</v>
      </c>
      <c r="P292" s="570" t="n">
        <v>1577</v>
      </c>
      <c r="Q292" s="570" t="n">
        <v>1576</v>
      </c>
      <c r="R292" s="570" t="n">
        <v>1575</v>
      </c>
      <c r="S292" s="570" t="n">
        <v>1577</v>
      </c>
      <c r="T292" s="570" t="n">
        <v>1589</v>
      </c>
      <c r="U292" s="570" t="n">
        <v>1593</v>
      </c>
      <c r="V292" s="570" t="n">
        <v>1598</v>
      </c>
      <c r="W292" s="570" t="n">
        <v>1601</v>
      </c>
      <c r="X292" s="570" t="n">
        <v>1594</v>
      </c>
      <c r="Y292" s="570" t="n">
        <v>1595</v>
      </c>
      <c r="Z292" s="570" t="n">
        <v>1590</v>
      </c>
      <c r="AA292" s="570" t="n">
        <v>1494</v>
      </c>
      <c r="AB292" s="570" t="n">
        <v>1480</v>
      </c>
      <c r="AC292" s="570" t="n">
        <v>1440</v>
      </c>
      <c r="AD292" s="570" t="n">
        <v>1655</v>
      </c>
      <c r="AE292" s="570" t="n">
        <v>1651</v>
      </c>
      <c r="AF292" s="570" t="n">
        <v>1676</v>
      </c>
      <c r="AG292" s="570" t="n">
        <v>1675</v>
      </c>
      <c r="AH292" s="570" t="n">
        <v>1580</v>
      </c>
      <c r="AI292" s="570" t="n">
        <v>1585</v>
      </c>
      <c r="AJ292" s="570" t="n">
        <v>1546</v>
      </c>
      <c r="AK292" s="570" t="n">
        <v>1522</v>
      </c>
      <c r="AL292" s="570" t="n">
        <v>1507</v>
      </c>
      <c r="AM292" s="570" t="n">
        <v>1512</v>
      </c>
      <c r="AN292" s="570" t="n">
        <v>1542</v>
      </c>
      <c r="AO292" s="570" t="n">
        <v>1527</v>
      </c>
      <c r="AP292" s="570" t="n">
        <v>1487</v>
      </c>
      <c r="AQ292" s="570" t="n">
        <v>1441</v>
      </c>
      <c r="AR292" s="570" t="n">
        <v>1443</v>
      </c>
      <c r="AS292" s="570" t="n">
        <v>1362</v>
      </c>
      <c r="AT292" s="570" t="n">
        <v>1340</v>
      </c>
      <c r="AU292" s="570" t="n">
        <v>1419</v>
      </c>
      <c r="AV292" s="570" t="n">
        <v>1386</v>
      </c>
      <c r="AW292" s="570" t="n">
        <v>1370</v>
      </c>
      <c r="AX292" s="570" t="n">
        <v>1357</v>
      </c>
      <c r="AY292" s="570" t="n">
        <v>1310</v>
      </c>
      <c r="AZ292" s="570" t="n">
        <v>1300</v>
      </c>
      <c r="BA292" s="570" t="n">
        <v>1296</v>
      </c>
      <c r="BB292" s="570" t="n">
        <v>1252</v>
      </c>
      <c r="BC292" s="570" t="n">
        <v>1258</v>
      </c>
      <c r="BD292" s="570" t="n">
        <v>1251</v>
      </c>
      <c r="BE292" s="570" t="n">
        <v>1190</v>
      </c>
      <c r="BF292" s="570" t="n">
        <v>1158</v>
      </c>
      <c r="BG292" s="570" t="n">
        <v>1152</v>
      </c>
      <c r="BH292" s="570" t="n">
        <v>1111</v>
      </c>
      <c r="BI292" s="570" t="n">
        <v>1087</v>
      </c>
      <c r="BJ292" s="570" t="n">
        <v>1079</v>
      </c>
      <c r="BK292" s="570" t="n">
        <v>1088</v>
      </c>
      <c r="BL292" s="570" t="n">
        <v>1100</v>
      </c>
    </row>
    <row r="293">
      <c r="A293" s="65" t="inlineStr">
        <is>
          <t>8344</t>
        </is>
      </c>
      <c r="B293" s="570">
        <f>銘柄管理!C293</f>
        <v/>
      </c>
      <c r="C293" s="570">
        <f>_xll.RssMarket("8344","安値")</f>
        <v/>
      </c>
      <c r="E293" s="570" t="n">
        <v>3300</v>
      </c>
      <c r="F293" s="570" t="n">
        <v>3305</v>
      </c>
      <c r="G293" s="570" t="n">
        <v>3450</v>
      </c>
      <c r="H293" s="570" t="n">
        <v>3440</v>
      </c>
      <c r="I293" s="570" t="n">
        <v>3445</v>
      </c>
      <c r="J293" s="570" t="n">
        <v>3505</v>
      </c>
      <c r="K293" s="570" t="n">
        <v>3400</v>
      </c>
      <c r="L293" s="570" t="n">
        <v>3305</v>
      </c>
      <c r="M293" s="570" t="n">
        <v>3200</v>
      </c>
      <c r="N293" s="570" t="n">
        <v>2982</v>
      </c>
      <c r="O293" s="570" t="n">
        <v>3025</v>
      </c>
      <c r="P293" s="570" t="n">
        <v>2919</v>
      </c>
      <c r="Q293" s="570" t="n">
        <v>2972</v>
      </c>
      <c r="R293" s="570" t="n">
        <v>2923</v>
      </c>
      <c r="S293" s="570" t="n">
        <v>3085</v>
      </c>
      <c r="T293" s="570" t="n">
        <v>3000</v>
      </c>
      <c r="U293" s="570" t="n">
        <v>2988</v>
      </c>
      <c r="V293" s="570" t="n">
        <v>2914</v>
      </c>
      <c r="W293" s="570" t="n">
        <v>3025</v>
      </c>
      <c r="X293" s="570" t="n">
        <v>2948</v>
      </c>
      <c r="Y293" s="570" t="n">
        <v>2891</v>
      </c>
      <c r="Z293" s="570" t="n">
        <v>2666</v>
      </c>
      <c r="AA293" s="570" t="n">
        <v>2593</v>
      </c>
      <c r="AB293" s="570" t="n">
        <v>2579</v>
      </c>
      <c r="AC293" s="570" t="n">
        <v>2539</v>
      </c>
      <c r="AD293" s="570" t="n">
        <v>2538</v>
      </c>
      <c r="AE293" s="570" t="n">
        <v>2504</v>
      </c>
      <c r="AF293" s="570" t="n">
        <v>2469</v>
      </c>
      <c r="AG293" s="570" t="n">
        <v>2557</v>
      </c>
      <c r="AH293" s="570" t="n">
        <v>2486</v>
      </c>
      <c r="AI293" s="570" t="n">
        <v>2450</v>
      </c>
      <c r="AJ293" s="570" t="n">
        <v>2405</v>
      </c>
      <c r="AK293" s="570" t="n">
        <v>2357</v>
      </c>
      <c r="AL293" s="570" t="n">
        <v>2415</v>
      </c>
      <c r="AM293" s="570" t="n">
        <v>2457</v>
      </c>
      <c r="AN293" s="570" t="n">
        <v>2521</v>
      </c>
      <c r="AO293" s="570" t="n">
        <v>2628</v>
      </c>
      <c r="AP293" s="570" t="n">
        <v>2718</v>
      </c>
      <c r="AQ293" s="570" t="n">
        <v>2769</v>
      </c>
      <c r="AR293" s="570" t="n">
        <v>2751</v>
      </c>
      <c r="AS293" s="570" t="n">
        <v>2720</v>
      </c>
      <c r="AT293" s="570" t="n">
        <v>2666</v>
      </c>
      <c r="AU293" s="570" t="n">
        <v>2628</v>
      </c>
      <c r="AV293" s="570" t="n">
        <v>2666</v>
      </c>
      <c r="AW293" s="570" t="n">
        <v>2641</v>
      </c>
      <c r="AX293" s="570" t="n">
        <v>2640</v>
      </c>
      <c r="AY293" s="570" t="n">
        <v>2560</v>
      </c>
      <c r="AZ293" s="570" t="n">
        <v>2511</v>
      </c>
      <c r="BA293" s="570" t="n">
        <v>2488</v>
      </c>
      <c r="BB293" s="570" t="n">
        <v>2490</v>
      </c>
      <c r="BC293" s="570" t="n">
        <v>2455</v>
      </c>
      <c r="BD293" s="570" t="n">
        <v>2342</v>
      </c>
      <c r="BE293" s="570" t="n">
        <v>2337</v>
      </c>
      <c r="BF293" s="570" t="n">
        <v>2438</v>
      </c>
      <c r="BG293" s="570" t="n">
        <v>2446</v>
      </c>
      <c r="BH293" s="570" t="n">
        <v>2457</v>
      </c>
      <c r="BI293" s="570" t="n">
        <v>2358</v>
      </c>
      <c r="BJ293" s="570" t="n">
        <v>2246</v>
      </c>
      <c r="BK293" s="570" t="n">
        <v>2386</v>
      </c>
      <c r="BL293" s="570" t="n">
        <v>2414</v>
      </c>
    </row>
    <row r="294">
      <c r="A294" s="65" t="inlineStr">
        <is>
          <t>7414</t>
        </is>
      </c>
      <c r="B294" s="570">
        <f>銘柄管理!C294</f>
        <v/>
      </c>
      <c r="C294" s="570">
        <f>_xll.RssMarket("7414","安値")</f>
        <v/>
      </c>
      <c r="E294" s="570" t="n">
        <v>1315</v>
      </c>
      <c r="F294" s="570" t="n">
        <v>1310</v>
      </c>
      <c r="G294" s="570" t="n">
        <v>1324</v>
      </c>
      <c r="H294" s="570" t="n">
        <v>1329</v>
      </c>
      <c r="I294" s="570" t="n">
        <v>1315</v>
      </c>
      <c r="J294" s="570" t="n">
        <v>1323</v>
      </c>
      <c r="K294" s="570" t="n">
        <v>1309</v>
      </c>
      <c r="L294" s="570" t="n">
        <v>1295</v>
      </c>
      <c r="M294" s="570" t="n">
        <v>1299</v>
      </c>
      <c r="N294" s="570" t="n">
        <v>1306</v>
      </c>
      <c r="O294" s="570" t="n">
        <v>1314</v>
      </c>
      <c r="P294" s="570" t="n">
        <v>1301</v>
      </c>
      <c r="Q294" s="570" t="n">
        <v>1293</v>
      </c>
      <c r="R294" s="570" t="n">
        <v>1289</v>
      </c>
      <c r="S294" s="570" t="n">
        <v>1344</v>
      </c>
      <c r="T294" s="570" t="n">
        <v>1332</v>
      </c>
      <c r="U294" s="570" t="n">
        <v>1330</v>
      </c>
      <c r="V294" s="570" t="n">
        <v>1315</v>
      </c>
      <c r="W294" s="570" t="n">
        <v>1319</v>
      </c>
      <c r="X294" s="570" t="n">
        <v>1325</v>
      </c>
      <c r="Y294" s="570" t="n">
        <v>1320</v>
      </c>
      <c r="Z294" s="570" t="n">
        <v>1336</v>
      </c>
      <c r="AA294" s="570" t="n">
        <v>1330</v>
      </c>
      <c r="AB294" s="570" t="n">
        <v>1350</v>
      </c>
      <c r="AC294" s="570" t="n">
        <v>1429</v>
      </c>
      <c r="AD294" s="570" t="n">
        <v>1428</v>
      </c>
      <c r="AE294" s="570" t="n">
        <v>1435</v>
      </c>
      <c r="AF294" s="570" t="n">
        <v>1423</v>
      </c>
      <c r="AG294" s="570" t="n">
        <v>1418</v>
      </c>
      <c r="AH294" s="570" t="n">
        <v>1414</v>
      </c>
      <c r="AI294" s="570" t="n">
        <v>1385</v>
      </c>
      <c r="AJ294" s="570" t="n">
        <v>1381</v>
      </c>
      <c r="AK294" s="570" t="n">
        <v>1373</v>
      </c>
      <c r="AL294" s="570" t="n">
        <v>1372</v>
      </c>
      <c r="AM294" s="570" t="n">
        <v>1371</v>
      </c>
      <c r="AN294" s="570" t="n">
        <v>1365</v>
      </c>
      <c r="AO294" s="570" t="n">
        <v>1380</v>
      </c>
      <c r="AP294" s="570" t="n">
        <v>1394</v>
      </c>
      <c r="AQ294" s="570" t="n">
        <v>1395</v>
      </c>
      <c r="AR294" s="570" t="n">
        <v>1393</v>
      </c>
      <c r="AS294" s="570" t="n">
        <v>1400</v>
      </c>
      <c r="AT294" s="570" t="n">
        <v>1401</v>
      </c>
      <c r="AU294" s="570" t="n">
        <v>1402</v>
      </c>
      <c r="AV294" s="570" t="n">
        <v>1398</v>
      </c>
      <c r="AW294" s="570" t="n">
        <v>1407</v>
      </c>
      <c r="AX294" s="570" t="n">
        <v>1419</v>
      </c>
      <c r="AY294" s="570" t="n">
        <v>1417</v>
      </c>
      <c r="AZ294" s="570" t="n">
        <v>1397</v>
      </c>
      <c r="BA294" s="570" t="n">
        <v>1393</v>
      </c>
      <c r="BB294" s="570" t="n">
        <v>1389</v>
      </c>
      <c r="BC294" s="570" t="n">
        <v>1385</v>
      </c>
      <c r="BD294" s="570" t="n">
        <v>1387</v>
      </c>
      <c r="BE294" s="570" t="n">
        <v>1385</v>
      </c>
      <c r="BF294" s="570" t="n">
        <v>1352</v>
      </c>
      <c r="BG294" s="570" t="n">
        <v>1422</v>
      </c>
      <c r="BH294" s="570" t="n">
        <v>1426</v>
      </c>
      <c r="BI294" s="570" t="n">
        <v>1434</v>
      </c>
      <c r="BJ294" s="570" t="n">
        <v>1404</v>
      </c>
      <c r="BK294" s="570" t="n">
        <v>1381</v>
      </c>
      <c r="BL294" s="570" t="n">
        <v>1413</v>
      </c>
    </row>
    <row r="295">
      <c r="A295" s="65" t="inlineStr">
        <is>
          <t>6407</t>
        </is>
      </c>
      <c r="B295" s="570">
        <f>銘柄管理!C295</f>
        <v/>
      </c>
      <c r="C295" s="570">
        <f>_xll.RssMarket("6407","安値")</f>
        <v/>
      </c>
      <c r="E295" s="570" t="n">
        <v>7780</v>
      </c>
      <c r="F295" s="570" t="n">
        <v>7620</v>
      </c>
      <c r="G295" s="570" t="n">
        <v>7700</v>
      </c>
      <c r="H295" s="570" t="n">
        <v>7290</v>
      </c>
      <c r="I295" s="570" t="n">
        <v>7270</v>
      </c>
      <c r="J295" s="570" t="n">
        <v>6890</v>
      </c>
      <c r="K295" s="570" t="n">
        <v>6490</v>
      </c>
      <c r="L295" s="570" t="n">
        <v>5760</v>
      </c>
      <c r="M295" s="570" t="n">
        <v>5980</v>
      </c>
      <c r="N295" s="570" t="n">
        <v>5680</v>
      </c>
      <c r="O295" s="570" t="n">
        <v>6090</v>
      </c>
      <c r="P295" s="570" t="n">
        <v>6240</v>
      </c>
      <c r="Q295" s="570" t="n">
        <v>6290</v>
      </c>
      <c r="R295" s="570" t="n">
        <v>6090</v>
      </c>
      <c r="S295" s="570" t="n">
        <v>6490</v>
      </c>
      <c r="T295" s="570" t="n">
        <v>6360</v>
      </c>
      <c r="U295" s="570" t="n">
        <v>6650</v>
      </c>
      <c r="V295" s="570" t="n">
        <v>6740</v>
      </c>
      <c r="W295" s="570" t="n">
        <v>5950</v>
      </c>
      <c r="X295" s="570" t="n">
        <v>5750</v>
      </c>
      <c r="Y295" s="570" t="n">
        <v>5830</v>
      </c>
      <c r="Z295" s="570" t="n">
        <v>5930</v>
      </c>
      <c r="AA295" s="570" t="n">
        <v>6730</v>
      </c>
      <c r="AB295" s="570" t="n">
        <v>6890</v>
      </c>
      <c r="AC295" s="570" t="n">
        <v>6700</v>
      </c>
      <c r="AD295" s="570" t="n">
        <v>6760</v>
      </c>
      <c r="AE295" s="570" t="n">
        <v>6460</v>
      </c>
      <c r="AF295" s="570" t="n">
        <v>6240</v>
      </c>
      <c r="AG295" s="570" t="n">
        <v>6470</v>
      </c>
      <c r="AH295" s="570" t="n">
        <v>5960</v>
      </c>
      <c r="AI295" s="570" t="n">
        <v>5870</v>
      </c>
      <c r="AJ295" s="570" t="n">
        <v>5750</v>
      </c>
      <c r="AK295" s="570" t="n">
        <v>5480</v>
      </c>
      <c r="AL295" s="570" t="n">
        <v>5430</v>
      </c>
      <c r="AM295" s="570" t="n">
        <v>5450</v>
      </c>
      <c r="AN295" s="570" t="n">
        <v>5570</v>
      </c>
      <c r="AO295" s="570" t="n">
        <v>5560</v>
      </c>
      <c r="AP295" s="570" t="n">
        <v>5560</v>
      </c>
      <c r="AQ295" s="570" t="n">
        <v>5540</v>
      </c>
      <c r="AR295" s="570" t="n">
        <v>5500</v>
      </c>
      <c r="AS295" s="570" t="n">
        <v>5580</v>
      </c>
      <c r="AT295" s="570" t="n">
        <v>5690</v>
      </c>
      <c r="AU295" s="570" t="n">
        <v>5520</v>
      </c>
      <c r="AV295" s="570" t="n">
        <v>5420</v>
      </c>
      <c r="AW295" s="570" t="n">
        <v>4975</v>
      </c>
      <c r="AX295" s="570" t="n">
        <v>5060</v>
      </c>
      <c r="AY295" s="570" t="n">
        <v>4840</v>
      </c>
      <c r="AZ295" s="570" t="n">
        <v>4850</v>
      </c>
      <c r="BA295" s="570" t="n">
        <v>4725</v>
      </c>
      <c r="BB295" s="570" t="n">
        <v>4550</v>
      </c>
      <c r="BC295" s="570" t="n">
        <v>4550</v>
      </c>
      <c r="BD295" s="570" t="n">
        <v>4105</v>
      </c>
      <c r="BE295" s="570" t="n">
        <v>4085</v>
      </c>
      <c r="BF295" s="570" t="n">
        <v>4230</v>
      </c>
      <c r="BG295" s="570" t="n">
        <v>4475</v>
      </c>
      <c r="BH295" s="570" t="n">
        <v>4635</v>
      </c>
      <c r="BI295" s="570" t="n">
        <v>4195</v>
      </c>
      <c r="BJ295" s="570" t="n">
        <v>4060</v>
      </c>
      <c r="BK295" s="570" t="n">
        <v>4465</v>
      </c>
      <c r="BL295" s="570" t="n">
        <v>4470</v>
      </c>
    </row>
    <row r="296">
      <c r="A296" s="65" t="inlineStr">
        <is>
          <t>7048</t>
        </is>
      </c>
      <c r="B296" s="570">
        <f>銘柄管理!C296</f>
        <v/>
      </c>
      <c r="C296" s="570">
        <f>_xll.RssMarket("7048","安値")</f>
        <v/>
      </c>
      <c r="E296" s="570" t="n">
        <v>148</v>
      </c>
      <c r="F296" s="570" t="n">
        <v>144</v>
      </c>
      <c r="G296" s="570" t="n">
        <v>130</v>
      </c>
      <c r="H296" s="570" t="n">
        <v>124</v>
      </c>
      <c r="I296" s="570" t="n">
        <v>122</v>
      </c>
      <c r="J296" s="570" t="n">
        <v>120</v>
      </c>
      <c r="K296" s="570" t="n">
        <v>116</v>
      </c>
      <c r="L296" s="570" t="n">
        <v>115</v>
      </c>
      <c r="M296" s="570" t="n">
        <v>116</v>
      </c>
      <c r="N296" s="570" t="n">
        <v>125</v>
      </c>
      <c r="O296" s="570" t="n">
        <v>129</v>
      </c>
      <c r="P296" s="570" t="n">
        <v>126</v>
      </c>
      <c r="Q296" s="570" t="n">
        <v>130</v>
      </c>
      <c r="R296" s="570" t="n">
        <v>132</v>
      </c>
      <c r="S296" s="570" t="n">
        <v>136</v>
      </c>
      <c r="T296" s="570" t="n">
        <v>141</v>
      </c>
      <c r="U296" s="570" t="n">
        <v>143</v>
      </c>
      <c r="V296" s="570" t="n">
        <v>141</v>
      </c>
      <c r="W296" s="570" t="n">
        <v>145</v>
      </c>
      <c r="X296" s="570" t="n">
        <v>144</v>
      </c>
      <c r="Y296" s="570" t="n">
        <v>143</v>
      </c>
      <c r="Z296" s="570" t="n">
        <v>159</v>
      </c>
      <c r="AA296" s="570" t="n">
        <v>161</v>
      </c>
      <c r="AB296" s="570" t="n">
        <v>159</v>
      </c>
      <c r="AC296" s="570" t="n">
        <v>161</v>
      </c>
      <c r="AD296" s="570" t="n">
        <v>160</v>
      </c>
      <c r="AE296" s="570" t="n">
        <v>161</v>
      </c>
      <c r="AF296" s="570" t="n">
        <v>158</v>
      </c>
      <c r="AG296" s="570" t="n">
        <v>158</v>
      </c>
      <c r="AH296" s="570" t="n">
        <v>160</v>
      </c>
      <c r="AI296" s="570" t="n">
        <v>161</v>
      </c>
      <c r="AJ296" s="570" t="n">
        <v>162</v>
      </c>
      <c r="AK296" s="570" t="n">
        <v>167</v>
      </c>
      <c r="AL296" s="570" t="n">
        <v>172</v>
      </c>
      <c r="AM296" s="570" t="n">
        <v>178</v>
      </c>
      <c r="AN296" s="570" t="n">
        <v>182</v>
      </c>
      <c r="AO296" s="570" t="n">
        <v>184</v>
      </c>
      <c r="AP296" s="570" t="n">
        <v>176</v>
      </c>
      <c r="AQ296" s="570" t="n">
        <v>175</v>
      </c>
      <c r="AR296" s="570" t="n">
        <v>172</v>
      </c>
      <c r="AS296" s="570" t="n">
        <v>169</v>
      </c>
      <c r="AT296" s="570" t="n">
        <v>173</v>
      </c>
      <c r="AU296" s="570" t="n">
        <v>177</v>
      </c>
      <c r="AV296" s="570" t="n">
        <v>181</v>
      </c>
      <c r="AW296" s="570" t="n">
        <v>178</v>
      </c>
      <c r="AX296" s="570" t="n">
        <v>175</v>
      </c>
      <c r="AY296" s="570" t="n">
        <v>177</v>
      </c>
      <c r="AZ296" s="570" t="n">
        <v>174</v>
      </c>
      <c r="BA296" s="570" t="n">
        <v>177</v>
      </c>
      <c r="BB296" s="570" t="n">
        <v>171</v>
      </c>
      <c r="BC296" s="570" t="n">
        <v>169</v>
      </c>
      <c r="BD296" s="570" t="n">
        <v>175</v>
      </c>
      <c r="BE296" s="570" t="n">
        <v>175</v>
      </c>
      <c r="BF296" s="570" t="n">
        <v>181</v>
      </c>
      <c r="BG296" s="570" t="n">
        <v>175</v>
      </c>
      <c r="BH296" s="570" t="n">
        <v>173</v>
      </c>
      <c r="BI296" s="570" t="n">
        <v>180</v>
      </c>
      <c r="BJ296" s="570" t="n">
        <v>187</v>
      </c>
      <c r="BK296" s="570" t="n">
        <v>184</v>
      </c>
      <c r="BL296" s="570" t="n">
        <v>184</v>
      </c>
    </row>
    <row r="297">
      <c r="A297" s="65" t="inlineStr">
        <is>
          <t>1808</t>
        </is>
      </c>
      <c r="B297" s="570">
        <f>銘柄管理!C297</f>
        <v/>
      </c>
      <c r="C297" s="570">
        <f>_xll.RssMarket("1808","安値")</f>
        <v/>
      </c>
      <c r="E297" s="570" t="n">
        <v>2663.5</v>
      </c>
      <c r="F297" s="570" t="n">
        <v>2628</v>
      </c>
      <c r="G297" s="570" t="n">
        <v>2653</v>
      </c>
      <c r="H297" s="570" t="n">
        <v>2695.5</v>
      </c>
      <c r="I297" s="570" t="n">
        <v>2673</v>
      </c>
      <c r="J297" s="570" t="n">
        <v>2699.5</v>
      </c>
      <c r="K297" s="570" t="n">
        <v>2690.5</v>
      </c>
      <c r="L297" s="570" t="n">
        <v>2706.5</v>
      </c>
      <c r="M297" s="570" t="n">
        <v>2679</v>
      </c>
      <c r="N297" s="570" t="n">
        <v>2619</v>
      </c>
      <c r="O297" s="570" t="n">
        <v>2633</v>
      </c>
      <c r="P297" s="570" t="n">
        <v>2592</v>
      </c>
      <c r="Q297" s="570" t="n">
        <v>2599.5</v>
      </c>
      <c r="R297" s="570" t="n">
        <v>2555</v>
      </c>
      <c r="S297" s="570" t="n">
        <v>2686</v>
      </c>
      <c r="T297" s="570" t="n">
        <v>2679.5</v>
      </c>
      <c r="U297" s="570" t="n">
        <v>2692.5</v>
      </c>
      <c r="V297" s="570" t="n">
        <v>2665</v>
      </c>
      <c r="W297" s="570" t="n">
        <v>2686.5</v>
      </c>
      <c r="X297" s="570" t="n">
        <v>2714.5</v>
      </c>
      <c r="Y297" s="570" t="n">
        <v>2687</v>
      </c>
      <c r="Z297" s="570" t="n">
        <v>2754</v>
      </c>
      <c r="AA297" s="570" t="n">
        <v>2825.5</v>
      </c>
      <c r="AB297" s="570" t="n">
        <v>2657.5</v>
      </c>
      <c r="AC297" s="570" t="n">
        <v>2688</v>
      </c>
      <c r="AD297" s="570" t="n">
        <v>2770.5</v>
      </c>
      <c r="AE297" s="570" t="n">
        <v>2721.5</v>
      </c>
      <c r="AF297" s="570" t="n">
        <v>2732</v>
      </c>
      <c r="AG297" s="570" t="n">
        <v>2698.5</v>
      </c>
      <c r="AH297" s="570" t="n">
        <v>2732.5</v>
      </c>
      <c r="AI297" s="570" t="n">
        <v>2680</v>
      </c>
      <c r="AJ297" s="570" t="n">
        <v>2692.5</v>
      </c>
      <c r="AK297" s="570" t="n">
        <v>2735</v>
      </c>
      <c r="AL297" s="570" t="n">
        <v>2650.5</v>
      </c>
      <c r="AM297" s="570" t="n">
        <v>2680.5</v>
      </c>
      <c r="AN297" s="570" t="n">
        <v>2693</v>
      </c>
      <c r="AO297" s="570" t="n">
        <v>2738</v>
      </c>
      <c r="AP297" s="570" t="n">
        <v>2750</v>
      </c>
      <c r="AQ297" s="570" t="n">
        <v>2762.5</v>
      </c>
      <c r="AR297" s="570" t="n">
        <v>2730</v>
      </c>
      <c r="AS297" s="570" t="n">
        <v>2760</v>
      </c>
      <c r="AT297" s="570" t="n">
        <v>2732</v>
      </c>
      <c r="AU297" s="570" t="n">
        <v>2706</v>
      </c>
      <c r="AV297" s="570" t="n">
        <v>2861.5</v>
      </c>
      <c r="AW297" s="570" t="n">
        <v>2893</v>
      </c>
      <c r="AX297" s="570" t="n">
        <v>2925</v>
      </c>
      <c r="AY297" s="570" t="n">
        <v>2949.5</v>
      </c>
      <c r="AZ297" s="570" t="n">
        <v>2892.5</v>
      </c>
      <c r="BA297" s="570" t="n">
        <v>2897</v>
      </c>
      <c r="BB297" s="570" t="n">
        <v>2890</v>
      </c>
      <c r="BC297" s="570" t="n">
        <v>2931.5</v>
      </c>
      <c r="BD297" s="570" t="n">
        <v>2916</v>
      </c>
      <c r="BE297" s="570" t="n">
        <v>2849</v>
      </c>
      <c r="BF297" s="570" t="n">
        <v>2818</v>
      </c>
      <c r="BG297" s="570" t="n">
        <v>2982</v>
      </c>
      <c r="BH297" s="570" t="n">
        <v>2976</v>
      </c>
      <c r="BI297" s="570" t="n">
        <v>2951</v>
      </c>
      <c r="BJ297" s="570" t="n">
        <v>2883.5</v>
      </c>
      <c r="BK297" s="570" t="n">
        <v>2842.5</v>
      </c>
      <c r="BL297" s="570" t="n">
        <v>2938</v>
      </c>
    </row>
    <row r="298">
      <c r="A298" s="65" t="inlineStr">
        <is>
          <t>4208</t>
        </is>
      </c>
      <c r="B298" s="570">
        <f>銘柄管理!C298</f>
        <v/>
      </c>
      <c r="C298" s="570">
        <f>_xll.RssMarket("4208","安値")</f>
        <v/>
      </c>
      <c r="E298" s="570" t="n">
        <v>3190</v>
      </c>
      <c r="F298" s="570" t="n">
        <v>3191</v>
      </c>
      <c r="G298" s="570" t="n">
        <v>3221</v>
      </c>
      <c r="H298" s="570" t="n">
        <v>3148</v>
      </c>
      <c r="I298" s="570" t="n">
        <v>3168</v>
      </c>
      <c r="J298" s="570" t="n">
        <v>3120</v>
      </c>
      <c r="K298" s="570" t="n">
        <v>3022</v>
      </c>
      <c r="L298" s="570" t="n">
        <v>2964</v>
      </c>
      <c r="M298" s="570" t="n">
        <v>2962.5</v>
      </c>
      <c r="N298" s="570" t="n">
        <v>2883</v>
      </c>
      <c r="O298" s="570" t="n">
        <v>2897</v>
      </c>
      <c r="P298" s="570" t="n">
        <v>2937.5</v>
      </c>
      <c r="Q298" s="570" t="n">
        <v>2951</v>
      </c>
      <c r="R298" s="570" t="n">
        <v>2857</v>
      </c>
      <c r="S298" s="570" t="n">
        <v>2930.5</v>
      </c>
      <c r="T298" s="570" t="n">
        <v>2892.5</v>
      </c>
      <c r="U298" s="570" t="n">
        <v>2960</v>
      </c>
      <c r="V298" s="570" t="n">
        <v>2969.5</v>
      </c>
      <c r="W298" s="570" t="n">
        <v>2956.5</v>
      </c>
      <c r="X298" s="570" t="n">
        <v>2900</v>
      </c>
      <c r="Y298" s="570" t="n">
        <v>2660</v>
      </c>
      <c r="Z298" s="570" t="n">
        <v>2364</v>
      </c>
      <c r="AA298" s="570" t="n">
        <v>2376.5</v>
      </c>
      <c r="AB298" s="570" t="n">
        <v>2365.5</v>
      </c>
      <c r="AC298" s="570" t="n">
        <v>2432</v>
      </c>
      <c r="AD298" s="570" t="n">
        <v>2325.5</v>
      </c>
      <c r="AE298" s="570" t="n">
        <v>2313.5</v>
      </c>
      <c r="AF298" s="570" t="n">
        <v>2376.5</v>
      </c>
      <c r="AG298" s="570" t="n">
        <v>2358.5</v>
      </c>
      <c r="AH298" s="570" t="n">
        <v>2379.5</v>
      </c>
      <c r="AI298" s="570" t="n">
        <v>2351.5</v>
      </c>
      <c r="AJ298" s="570" t="n">
        <v>2334.5</v>
      </c>
      <c r="AK298" s="570" t="n">
        <v>2358</v>
      </c>
      <c r="AL298" s="570" t="n">
        <v>2333.5</v>
      </c>
      <c r="AM298" s="570" t="n">
        <v>2337.5</v>
      </c>
      <c r="AN298" s="570" t="n">
        <v>2327.5</v>
      </c>
      <c r="AO298" s="570" t="n">
        <v>2375.5</v>
      </c>
      <c r="AP298" s="570" t="n">
        <v>2413</v>
      </c>
      <c r="AQ298" s="570" t="n">
        <v>2412.5</v>
      </c>
      <c r="AR298" s="570" t="n">
        <v>2424.5</v>
      </c>
      <c r="AS298" s="570" t="n">
        <v>2421</v>
      </c>
      <c r="AT298" s="570" t="n">
        <v>2410</v>
      </c>
      <c r="AU298" s="570" t="n">
        <v>2400.5</v>
      </c>
      <c r="AV298" s="570" t="n">
        <v>2415</v>
      </c>
      <c r="AW298" s="570" t="n">
        <v>2440</v>
      </c>
      <c r="AX298" s="570" t="n">
        <v>2463</v>
      </c>
      <c r="AY298" s="570" t="n">
        <v>2496</v>
      </c>
      <c r="AZ298" s="570" t="n">
        <v>2433</v>
      </c>
      <c r="BA298" s="570" t="n">
        <v>2445</v>
      </c>
      <c r="BB298" s="570" t="n">
        <v>2444</v>
      </c>
      <c r="BC298" s="570" t="n">
        <v>2448</v>
      </c>
      <c r="BD298" s="570" t="n">
        <v>2461.5</v>
      </c>
      <c r="BE298" s="570" t="n">
        <v>2422.5</v>
      </c>
      <c r="BF298" s="570" t="n">
        <v>2379.5</v>
      </c>
      <c r="BG298" s="570" t="n">
        <v>2504.5</v>
      </c>
      <c r="BH298" s="570" t="n">
        <v>2490.5</v>
      </c>
      <c r="BI298" s="570" t="n">
        <v>2509</v>
      </c>
      <c r="BJ298" s="570" t="n">
        <v>2451</v>
      </c>
      <c r="BK298" s="570" t="n">
        <v>2377</v>
      </c>
      <c r="BL298" s="570" t="n">
        <v>2485.5</v>
      </c>
    </row>
    <row r="299">
      <c r="A299" s="65" t="inlineStr">
        <is>
          <t>186A</t>
        </is>
      </c>
      <c r="B299" s="570">
        <f>銘柄管理!C299</f>
        <v/>
      </c>
      <c r="C299" s="570">
        <f>_xll.RssMarket("186A","安値")</f>
        <v/>
      </c>
      <c r="E299" s="570" t="n">
        <v>1201</v>
      </c>
      <c r="F299" s="570" t="n">
        <v>1158</v>
      </c>
      <c r="G299" s="570" t="n">
        <v>1304</v>
      </c>
      <c r="H299" s="570" t="n">
        <v>1328</v>
      </c>
      <c r="I299" s="570" t="n">
        <v>1505</v>
      </c>
      <c r="J299" s="570" t="n">
        <v>1836</v>
      </c>
      <c r="K299" s="570" t="n">
        <v>1690</v>
      </c>
      <c r="L299" s="570" t="n">
        <v>1718</v>
      </c>
      <c r="M299" s="570" t="n">
        <v>1910</v>
      </c>
      <c r="N299" s="570" t="n">
        <v>2020</v>
      </c>
      <c r="O299" s="570" t="n">
        <v>1788</v>
      </c>
      <c r="P299" s="570" t="n">
        <v>2002</v>
      </c>
      <c r="Q299" s="570" t="n">
        <v>2015</v>
      </c>
      <c r="R299" s="570" t="n">
        <v>2614</v>
      </c>
      <c r="S299" s="570" t="n">
        <v>2633</v>
      </c>
      <c r="T299" s="570" t="n">
        <v>2616</v>
      </c>
      <c r="U299" s="570" t="n">
        <v>2612</v>
      </c>
      <c r="V299" s="570" t="n">
        <v>1988</v>
      </c>
      <c r="W299" s="570" t="n">
        <v>1832</v>
      </c>
      <c r="X299" s="570" t="n">
        <v>1863</v>
      </c>
      <c r="Y299" s="570" t="n">
        <v>1914</v>
      </c>
      <c r="Z299" s="570" t="n">
        <v>1865</v>
      </c>
      <c r="AA299" s="570" t="n">
        <v>1873</v>
      </c>
      <c r="AB299" s="570" t="n">
        <v>1770</v>
      </c>
      <c r="AC299" s="570" t="n">
        <v>1696</v>
      </c>
      <c r="AD299" s="570" t="n">
        <v>1703</v>
      </c>
      <c r="AE299" s="570" t="n">
        <v>1651</v>
      </c>
      <c r="AF299" s="570" t="n">
        <v>1388</v>
      </c>
      <c r="AG299" s="570" t="n">
        <v>1328</v>
      </c>
      <c r="AH299" s="570" t="n">
        <v>1237</v>
      </c>
      <c r="AI299" s="570" t="n">
        <v>1251</v>
      </c>
      <c r="AJ299" s="570" t="n">
        <v>1220</v>
      </c>
      <c r="AK299" s="570" t="n">
        <v>1219</v>
      </c>
      <c r="AL299" s="570" t="n">
        <v>1285</v>
      </c>
      <c r="AM299" s="570" t="n">
        <v>1360</v>
      </c>
      <c r="AN299" s="570" t="n">
        <v>1431</v>
      </c>
      <c r="AO299" s="570" t="n">
        <v>1449</v>
      </c>
      <c r="AP299" s="570" t="n">
        <v>1353</v>
      </c>
      <c r="AQ299" s="570" t="n">
        <v>1327</v>
      </c>
      <c r="AR299" s="570" t="n">
        <v>1354</v>
      </c>
      <c r="AS299" s="570" t="n">
        <v>1335</v>
      </c>
      <c r="AT299" s="570" t="n">
        <v>1292</v>
      </c>
      <c r="AU299" s="570" t="n">
        <v>1276</v>
      </c>
      <c r="AV299" s="570" t="n">
        <v>1232</v>
      </c>
      <c r="AW299" s="570" t="n">
        <v>1154</v>
      </c>
      <c r="AX299" s="570" t="n">
        <v>1111</v>
      </c>
      <c r="AY299" s="570" t="n">
        <v>1072</v>
      </c>
      <c r="AZ299" s="570" t="n">
        <v>1035</v>
      </c>
      <c r="BA299" s="570" t="n">
        <v>1007</v>
      </c>
      <c r="BB299" s="570" t="n">
        <v>991</v>
      </c>
      <c r="BC299" s="570" t="n">
        <v>884</v>
      </c>
      <c r="BD299" s="570" t="n">
        <v>874</v>
      </c>
      <c r="BE299" s="570" t="n">
        <v>890</v>
      </c>
      <c r="BF299" s="570" t="n">
        <v>960</v>
      </c>
      <c r="BG299" s="570" t="n">
        <v>985</v>
      </c>
      <c r="BH299" s="570" t="n">
        <v>981</v>
      </c>
      <c r="BI299" s="570" t="n">
        <v>943</v>
      </c>
      <c r="BJ299" s="570" t="n">
        <v>981</v>
      </c>
      <c r="BK299" s="570" t="n">
        <v>1096</v>
      </c>
      <c r="BL299" s="570" t="n">
        <v>1141</v>
      </c>
    </row>
    <row r="300">
      <c r="A300" s="65" t="inlineStr">
        <is>
          <t>6965</t>
        </is>
      </c>
      <c r="B300" s="570">
        <f>銘柄管理!C300</f>
        <v/>
      </c>
      <c r="C300" s="570">
        <f>_xll.RssMarket("6965","安値")</f>
        <v/>
      </c>
      <c r="E300" s="570" t="n">
        <v>2804</v>
      </c>
      <c r="F300" s="570" t="n">
        <v>2757</v>
      </c>
      <c r="G300" s="570" t="n">
        <v>2745</v>
      </c>
      <c r="H300" s="570" t="n">
        <v>2594</v>
      </c>
      <c r="I300" s="570" t="n">
        <v>2560.5</v>
      </c>
      <c r="J300" s="570" t="n">
        <v>2521.5</v>
      </c>
      <c r="K300" s="570" t="n">
        <v>2459.5</v>
      </c>
      <c r="L300" s="570" t="n">
        <v>2281.5</v>
      </c>
      <c r="M300" s="570" t="n">
        <v>2320</v>
      </c>
      <c r="N300" s="570" t="n">
        <v>2572</v>
      </c>
      <c r="O300" s="570" t="n">
        <v>2788</v>
      </c>
      <c r="P300" s="570" t="n">
        <v>2820</v>
      </c>
      <c r="Q300" s="570" t="n">
        <v>2806</v>
      </c>
      <c r="R300" s="570" t="n">
        <v>2617</v>
      </c>
      <c r="S300" s="570" t="n">
        <v>2807</v>
      </c>
      <c r="T300" s="570" t="n">
        <v>2660</v>
      </c>
      <c r="U300" s="570" t="n">
        <v>2669</v>
      </c>
      <c r="V300" s="570" t="n">
        <v>2964</v>
      </c>
      <c r="W300" s="570" t="n">
        <v>2727</v>
      </c>
      <c r="X300" s="570" t="n">
        <v>2635</v>
      </c>
      <c r="Y300" s="570" t="n">
        <v>2555</v>
      </c>
      <c r="Z300" s="570" t="n">
        <v>2627</v>
      </c>
      <c r="AA300" s="570" t="n">
        <v>2661.5</v>
      </c>
      <c r="AB300" s="570" t="n">
        <v>2577</v>
      </c>
      <c r="AC300" s="570" t="n">
        <v>2154</v>
      </c>
      <c r="AD300" s="570" t="n">
        <v>2073</v>
      </c>
      <c r="AE300" s="570" t="n">
        <v>2145</v>
      </c>
      <c r="AF300" s="570" t="n">
        <v>2133</v>
      </c>
      <c r="AG300" s="570" t="n">
        <v>2070</v>
      </c>
      <c r="AH300" s="570" t="n">
        <v>1992</v>
      </c>
      <c r="AI300" s="570" t="n">
        <v>1988</v>
      </c>
      <c r="AJ300" s="570" t="n">
        <v>1971.5</v>
      </c>
      <c r="AK300" s="570" t="n">
        <v>1990</v>
      </c>
      <c r="AL300" s="570" t="n">
        <v>1935</v>
      </c>
      <c r="AM300" s="570" t="n">
        <v>1894.5</v>
      </c>
      <c r="AN300" s="570" t="n">
        <v>1879.5</v>
      </c>
      <c r="AO300" s="570" t="n">
        <v>1926.5</v>
      </c>
      <c r="AP300" s="570" t="n">
        <v>1930.5</v>
      </c>
      <c r="AQ300" s="570" t="n">
        <v>1918</v>
      </c>
      <c r="AR300" s="570" t="n">
        <v>1912.5</v>
      </c>
      <c r="AS300" s="570" t="n">
        <v>1903</v>
      </c>
      <c r="AT300" s="570" t="n">
        <v>1889.5</v>
      </c>
      <c r="AU300" s="570" t="n">
        <v>1933.5</v>
      </c>
      <c r="AV300" s="570" t="n">
        <v>1907</v>
      </c>
      <c r="AW300" s="570" t="n">
        <v>1926</v>
      </c>
      <c r="AX300" s="570" t="n">
        <v>1922.5</v>
      </c>
      <c r="AY300" s="570" t="n">
        <v>1888</v>
      </c>
      <c r="AZ300" s="570" t="n">
        <v>1835.5</v>
      </c>
      <c r="BA300" s="570" t="n">
        <v>1862</v>
      </c>
      <c r="BB300" s="570" t="n">
        <v>1839</v>
      </c>
      <c r="BC300" s="570" t="n">
        <v>1818.5</v>
      </c>
      <c r="BD300" s="570" t="n">
        <v>1806.5</v>
      </c>
      <c r="BE300" s="570" t="n">
        <v>1747</v>
      </c>
      <c r="BF300" s="570" t="n">
        <v>1802</v>
      </c>
      <c r="BG300" s="570" t="n">
        <v>1902.5</v>
      </c>
      <c r="BH300" s="570" t="n">
        <v>1979</v>
      </c>
      <c r="BI300" s="570" t="n">
        <v>1912.5</v>
      </c>
      <c r="BJ300" s="570" t="n">
        <v>1788</v>
      </c>
      <c r="BK300" s="570" t="n">
        <v>1755</v>
      </c>
      <c r="BL300" s="570" t="n">
        <v>1906</v>
      </c>
    </row>
    <row r="301">
      <c r="A301" s="65" t="inlineStr">
        <is>
          <t>6331</t>
        </is>
      </c>
      <c r="B301" s="570">
        <f>銘柄管理!C301</f>
        <v/>
      </c>
      <c r="C301" s="570">
        <f>_xll.RssMarket("6331","安値")</f>
        <v/>
      </c>
      <c r="E301" s="570" t="n">
        <v>3980</v>
      </c>
      <c r="F301" s="570" t="n">
        <v>3950</v>
      </c>
      <c r="G301" s="570" t="n">
        <v>4010</v>
      </c>
      <c r="H301" s="570" t="n">
        <v>3900</v>
      </c>
      <c r="I301" s="570" t="n">
        <v>3825</v>
      </c>
      <c r="J301" s="570" t="n">
        <v>3730</v>
      </c>
      <c r="K301" s="570" t="n">
        <v>3635</v>
      </c>
      <c r="L301" s="570" t="n">
        <v>3515</v>
      </c>
      <c r="M301" s="570" t="n">
        <v>3470</v>
      </c>
      <c r="N301" s="570" t="n">
        <v>3445</v>
      </c>
      <c r="O301" s="570" t="n">
        <v>3465</v>
      </c>
      <c r="P301" s="570" t="n">
        <v>3455</v>
      </c>
      <c r="Q301" s="570" t="n">
        <v>3425</v>
      </c>
      <c r="R301" s="570" t="n">
        <v>3300</v>
      </c>
      <c r="S301" s="570" t="n">
        <v>3590</v>
      </c>
      <c r="T301" s="570" t="n">
        <v>3585</v>
      </c>
      <c r="U301" s="570" t="n">
        <v>3630</v>
      </c>
      <c r="V301" s="570" t="n">
        <v>3420</v>
      </c>
      <c r="W301" s="570" t="n">
        <v>3390</v>
      </c>
      <c r="X301" s="570" t="n">
        <v>3470</v>
      </c>
      <c r="Y301" s="570" t="n">
        <v>3365</v>
      </c>
      <c r="Z301" s="570" t="n">
        <v>3550</v>
      </c>
      <c r="AA301" s="570" t="n">
        <v>3545</v>
      </c>
      <c r="AB301" s="570" t="n">
        <v>3270</v>
      </c>
      <c r="AC301" s="570" t="n">
        <v>3290</v>
      </c>
      <c r="AD301" s="570" t="n">
        <v>3255</v>
      </c>
      <c r="AE301" s="570" t="n">
        <v>3270</v>
      </c>
      <c r="AF301" s="570" t="n">
        <v>3260</v>
      </c>
      <c r="AG301" s="570" t="n">
        <v>3210</v>
      </c>
      <c r="AH301" s="570" t="n">
        <v>3270</v>
      </c>
      <c r="AI301" s="570" t="n">
        <v>3200</v>
      </c>
      <c r="AJ301" s="570" t="n">
        <v>3115</v>
      </c>
      <c r="AK301" s="570" t="n">
        <v>3180</v>
      </c>
      <c r="AL301" s="570" t="n">
        <v>3195</v>
      </c>
      <c r="AM301" s="570" t="n">
        <v>3130</v>
      </c>
      <c r="AN301" s="570" t="n">
        <v>3040</v>
      </c>
      <c r="AO301" s="570" t="n">
        <v>2993</v>
      </c>
      <c r="AP301" s="570" t="n">
        <v>3020</v>
      </c>
      <c r="AQ301" s="570" t="n">
        <v>3020</v>
      </c>
      <c r="AR301" s="570" t="n">
        <v>3005</v>
      </c>
      <c r="AS301" s="570" t="n">
        <v>3020</v>
      </c>
      <c r="AT301" s="570" t="n">
        <v>3005</v>
      </c>
      <c r="AU301" s="570" t="n">
        <v>3080</v>
      </c>
      <c r="AV301" s="570" t="n">
        <v>3075</v>
      </c>
      <c r="AW301" s="570" t="n">
        <v>3175</v>
      </c>
      <c r="AX301" s="570" t="n">
        <v>3140</v>
      </c>
      <c r="AY301" s="570" t="n">
        <v>3185</v>
      </c>
      <c r="AZ301" s="570" t="n">
        <v>3050</v>
      </c>
      <c r="BA301" s="570" t="n">
        <v>3055</v>
      </c>
      <c r="BB301" s="570" t="n">
        <v>3015</v>
      </c>
      <c r="BC301" s="570" t="n">
        <v>3020</v>
      </c>
      <c r="BD301" s="570" t="n">
        <v>3025</v>
      </c>
      <c r="BE301" s="570" t="n">
        <v>2882</v>
      </c>
      <c r="BF301" s="570" t="n">
        <v>2909</v>
      </c>
      <c r="BG301" s="570" t="n">
        <v>3070</v>
      </c>
      <c r="BH301" s="570" t="n">
        <v>3120</v>
      </c>
      <c r="BI301" s="570" t="n">
        <v>3175</v>
      </c>
      <c r="BJ301" s="570" t="n">
        <v>3050</v>
      </c>
      <c r="BK301" s="570" t="n">
        <v>2990</v>
      </c>
      <c r="BL301" s="570" t="n">
        <v>3255</v>
      </c>
    </row>
    <row r="302">
      <c r="A302" s="65" t="inlineStr">
        <is>
          <t>7741</t>
        </is>
      </c>
      <c r="B302" s="570">
        <f>銘柄管理!C302</f>
        <v/>
      </c>
      <c r="C302" s="570">
        <f>_xll.RssMarket("7741","安値")</f>
        <v/>
      </c>
      <c r="E302" s="570" t="n">
        <v>26860</v>
      </c>
      <c r="F302" s="570" t="n">
        <v>27035</v>
      </c>
      <c r="G302" s="570" t="n">
        <v>27770</v>
      </c>
      <c r="H302" s="570" t="n">
        <v>26900</v>
      </c>
      <c r="I302" s="570" t="n">
        <v>26510</v>
      </c>
      <c r="J302" s="570" t="n">
        <v>26445</v>
      </c>
      <c r="K302" s="570" t="n">
        <v>25965</v>
      </c>
      <c r="L302" s="570" t="n">
        <v>25165</v>
      </c>
      <c r="M302" s="570" t="n">
        <v>25265</v>
      </c>
      <c r="N302" s="570" t="n">
        <v>25100</v>
      </c>
      <c r="O302" s="570" t="n">
        <v>26155</v>
      </c>
      <c r="P302" s="570" t="n">
        <v>26280</v>
      </c>
      <c r="Q302" s="570" t="n">
        <v>26360</v>
      </c>
      <c r="R302" s="570" t="n">
        <v>25990</v>
      </c>
      <c r="S302" s="570" t="n">
        <v>26985</v>
      </c>
      <c r="T302" s="570" t="n">
        <v>26740</v>
      </c>
      <c r="U302" s="570" t="n">
        <v>27025</v>
      </c>
      <c r="V302" s="570" t="n">
        <v>25870</v>
      </c>
      <c r="W302" s="570" t="n">
        <v>26225</v>
      </c>
      <c r="X302" s="570" t="n">
        <v>26580</v>
      </c>
      <c r="Y302" s="570" t="n">
        <v>26220</v>
      </c>
      <c r="Z302" s="570" t="n">
        <v>26705</v>
      </c>
      <c r="AA302" s="570" t="n">
        <v>27255</v>
      </c>
      <c r="AB302" s="570" t="n">
        <v>27630</v>
      </c>
      <c r="AC302" s="570" t="n">
        <v>27380</v>
      </c>
      <c r="AD302" s="570" t="n">
        <v>27300</v>
      </c>
      <c r="AE302" s="570" t="n">
        <v>27220</v>
      </c>
      <c r="AF302" s="570" t="n">
        <v>27050</v>
      </c>
      <c r="AG302" s="570" t="n">
        <v>27405</v>
      </c>
      <c r="AH302" s="570" t="n">
        <v>26805</v>
      </c>
      <c r="AI302" s="570" t="n">
        <v>27750</v>
      </c>
      <c r="AJ302" s="570" t="n">
        <v>27665</v>
      </c>
      <c r="AK302" s="570" t="n">
        <v>28945</v>
      </c>
      <c r="AL302" s="570" t="n">
        <v>28785</v>
      </c>
      <c r="AM302" s="570" t="n">
        <v>28300</v>
      </c>
      <c r="AN302" s="570" t="n">
        <v>28180</v>
      </c>
      <c r="AO302" s="570" t="n">
        <v>28625</v>
      </c>
      <c r="AP302" s="570" t="n">
        <v>28970</v>
      </c>
      <c r="AQ302" s="570" t="n">
        <v>29290</v>
      </c>
      <c r="AR302" s="570" t="n">
        <v>28995</v>
      </c>
      <c r="AS302" s="570" t="n">
        <v>29405</v>
      </c>
      <c r="AT302" s="570" t="n">
        <v>29620</v>
      </c>
      <c r="AU302" s="570" t="n">
        <v>29205</v>
      </c>
      <c r="AV302" s="570" t="n">
        <v>28965</v>
      </c>
      <c r="AW302" s="570" t="n">
        <v>28925</v>
      </c>
      <c r="AX302" s="570" t="n">
        <v>28900</v>
      </c>
      <c r="AY302" s="570" t="n">
        <v>28725</v>
      </c>
      <c r="AZ302" s="570" t="n">
        <v>28005</v>
      </c>
      <c r="BA302" s="570" t="n">
        <v>27700</v>
      </c>
      <c r="BB302" s="570" t="n">
        <v>27485</v>
      </c>
      <c r="BC302" s="570" t="n">
        <v>27215</v>
      </c>
      <c r="BD302" s="570" t="n">
        <v>27080</v>
      </c>
      <c r="BE302" s="570" t="n">
        <v>26350</v>
      </c>
      <c r="BF302" s="570" t="n">
        <v>26000</v>
      </c>
      <c r="BG302" s="570" t="n">
        <v>27015</v>
      </c>
      <c r="BH302" s="570" t="n">
        <v>27645</v>
      </c>
      <c r="BI302" s="570" t="n">
        <v>28105</v>
      </c>
      <c r="BJ302" s="570" t="n">
        <v>27825</v>
      </c>
      <c r="BK302" s="570" t="n">
        <v>26870</v>
      </c>
      <c r="BL302" s="570" t="n">
        <v>27520</v>
      </c>
    </row>
    <row r="303">
      <c r="A303" s="67" t="n"/>
    </row>
    <row r="304">
      <c r="A304" s="67" t="n"/>
    </row>
    <row r="305">
      <c r="A305" s="67" t="n"/>
    </row>
    <row r="306">
      <c r="A306" s="67" t="n"/>
    </row>
    <row r="307">
      <c r="A307" s="67" t="n"/>
    </row>
    <row r="308">
      <c r="A308" s="67" t="n"/>
    </row>
    <row r="309">
      <c r="A309" s="67" t="n"/>
    </row>
    <row r="310">
      <c r="A310" s="67" t="n"/>
    </row>
    <row r="311">
      <c r="A311" s="67" t="n"/>
    </row>
    <row r="312">
      <c r="A312" s="67" t="n"/>
    </row>
    <row r="313">
      <c r="A313" s="67" t="n"/>
    </row>
    <row r="314">
      <c r="A314" s="67" t="n"/>
    </row>
    <row r="315">
      <c r="A315" s="67" t="n"/>
    </row>
    <row r="316">
      <c r="A316" s="67" t="n"/>
    </row>
    <row r="317">
      <c r="A317" s="67" t="n"/>
    </row>
    <row r="318">
      <c r="A318" s="67" t="n"/>
    </row>
    <row r="319">
      <c r="A319" s="67" t="n"/>
    </row>
    <row r="320">
      <c r="A320" s="67" t="n"/>
    </row>
    <row r="321">
      <c r="A321" s="67" t="n"/>
    </row>
    <row r="322">
      <c r="A322" s="67" t="n"/>
    </row>
    <row r="323">
      <c r="A323" s="67" t="n"/>
    </row>
    <row r="324">
      <c r="A324" s="67" t="n"/>
    </row>
    <row r="325">
      <c r="A325" s="67" t="n"/>
    </row>
    <row r="326">
      <c r="A326" s="67" t="n"/>
    </row>
    <row r="327">
      <c r="A327" s="67" t="n"/>
    </row>
    <row r="328">
      <c r="A328" s="67" t="n"/>
    </row>
    <row r="329">
      <c r="A329" s="67" t="n"/>
    </row>
    <row r="330">
      <c r="A330" s="67" t="n"/>
    </row>
    <row r="331">
      <c r="A331" s="67" t="n"/>
    </row>
    <row r="332">
      <c r="A332" s="67" t="n"/>
    </row>
    <row r="333">
      <c r="A333" s="67" t="n"/>
    </row>
    <row r="334">
      <c r="A334" s="67" t="n"/>
    </row>
    <row r="335">
      <c r="A335" s="67" t="n"/>
    </row>
    <row r="336">
      <c r="A336" s="67" t="n"/>
    </row>
    <row r="337">
      <c r="A337" s="67" t="n"/>
    </row>
    <row r="338">
      <c r="A338" s="67" t="n"/>
    </row>
    <row r="339">
      <c r="A339" s="67" t="n"/>
    </row>
    <row r="340">
      <c r="A340" s="67" t="n"/>
    </row>
    <row r="341">
      <c r="A341" s="67" t="n"/>
    </row>
    <row r="342">
      <c r="A342" s="67" t="n"/>
    </row>
    <row r="343">
      <c r="A343" s="67" t="n"/>
    </row>
    <row r="344">
      <c r="A344" s="67" t="n"/>
    </row>
    <row r="345">
      <c r="A345" s="67" t="n"/>
    </row>
    <row r="346">
      <c r="A346" s="67" t="n"/>
    </row>
    <row r="347">
      <c r="A347" s="67" t="n"/>
    </row>
    <row r="348">
      <c r="A348" s="67" t="n"/>
    </row>
    <row r="349">
      <c r="A349" s="67" t="n"/>
    </row>
    <row r="350">
      <c r="A350" s="67" t="n"/>
    </row>
    <row r="351">
      <c r="A351" s="67" t="n"/>
    </row>
    <row r="352">
      <c r="A352" s="67" t="n"/>
    </row>
    <row r="353">
      <c r="A353" s="67" t="n"/>
    </row>
    <row r="354">
      <c r="A354" s="67" t="n"/>
    </row>
    <row r="355">
      <c r="A355" s="67" t="n"/>
    </row>
    <row r="356">
      <c r="A356" s="67" t="n"/>
    </row>
    <row r="357">
      <c r="A357" s="67" t="n"/>
    </row>
    <row r="358">
      <c r="A358" s="67" t="n"/>
    </row>
    <row r="359">
      <c r="A359" s="67" t="n"/>
    </row>
    <row r="360">
      <c r="A360" s="67" t="n"/>
    </row>
    <row r="361">
      <c r="A361" s="67" t="n"/>
    </row>
    <row r="362">
      <c r="A362" s="67" t="n"/>
    </row>
    <row r="363">
      <c r="A363" s="67" t="n"/>
    </row>
    <row r="364">
      <c r="A364" s="67" t="n"/>
    </row>
    <row r="365">
      <c r="A365" s="67" t="n"/>
    </row>
    <row r="366">
      <c r="A366" s="67" t="n"/>
    </row>
    <row r="367">
      <c r="A367" s="67" t="n"/>
    </row>
    <row r="368">
      <c r="A368" s="67" t="n"/>
    </row>
    <row r="369">
      <c r="A369" s="67" t="n"/>
    </row>
    <row r="370">
      <c r="A370" s="67" t="n"/>
    </row>
    <row r="371">
      <c r="A371" s="67" t="n"/>
    </row>
    <row r="372">
      <c r="A372" s="67" t="n"/>
    </row>
    <row r="373">
      <c r="A373" s="67" t="n"/>
    </row>
    <row r="374">
      <c r="A374" s="67" t="n"/>
    </row>
    <row r="375">
      <c r="A375" s="67" t="n"/>
    </row>
    <row r="376">
      <c r="A376" s="67" t="n"/>
    </row>
    <row r="377">
      <c r="A377" s="67" t="n"/>
    </row>
    <row r="378">
      <c r="A378" s="67" t="n"/>
    </row>
    <row r="379">
      <c r="A379" s="67" t="n"/>
    </row>
    <row r="380">
      <c r="A380" s="67" t="n"/>
    </row>
    <row r="381">
      <c r="A381" s="67" t="n"/>
    </row>
    <row r="382">
      <c r="A382" s="67" t="n"/>
    </row>
    <row r="383">
      <c r="A383" s="67" t="n"/>
    </row>
    <row r="384">
      <c r="A384" s="67" t="n"/>
    </row>
    <row r="385">
      <c r="A385" s="67" t="n"/>
    </row>
    <row r="386">
      <c r="A386" s="67" t="n"/>
    </row>
    <row r="387">
      <c r="A387" s="67" t="n"/>
    </row>
    <row r="388">
      <c r="A388" s="67" t="n"/>
    </row>
    <row r="389">
      <c r="A389" s="67" t="n"/>
    </row>
    <row r="390">
      <c r="A390" s="67" t="n"/>
    </row>
    <row r="391">
      <c r="A391" s="67" t="n"/>
    </row>
    <row r="392">
      <c r="A392" s="67" t="n"/>
    </row>
    <row r="393">
      <c r="A393" s="67" t="n"/>
    </row>
    <row r="394">
      <c r="A394" s="67" t="n"/>
    </row>
    <row r="395">
      <c r="A395" s="67" t="n"/>
    </row>
    <row r="396">
      <c r="A396" s="67" t="n"/>
    </row>
    <row r="397">
      <c r="A397" s="67" t="n"/>
    </row>
    <row r="398">
      <c r="A398" s="67" t="n"/>
    </row>
    <row r="399">
      <c r="A399" s="67" t="n"/>
    </row>
    <row r="400">
      <c r="A400" s="67" t="n"/>
    </row>
    <row r="401">
      <c r="A401" s="67" t="n"/>
    </row>
    <row r="402">
      <c r="A402" s="67" t="n"/>
    </row>
    <row r="403">
      <c r="A403" s="67" t="n"/>
    </row>
    <row r="404">
      <c r="A404" s="67" t="n"/>
    </row>
    <row r="405">
      <c r="A405" s="67" t="n"/>
    </row>
    <row r="406">
      <c r="A406" s="67" t="n"/>
    </row>
    <row r="407">
      <c r="A407" s="67" t="n"/>
    </row>
    <row r="408">
      <c r="A408" s="67" t="n"/>
    </row>
    <row r="409">
      <c r="A409" s="67" t="n"/>
    </row>
    <row r="410">
      <c r="A410" s="67" t="n"/>
    </row>
    <row r="411">
      <c r="A411" s="67" t="n"/>
    </row>
    <row r="412">
      <c r="A412" s="67" t="n"/>
    </row>
    <row r="413">
      <c r="A413" s="67" t="n"/>
    </row>
    <row r="414">
      <c r="A414" s="67" t="n"/>
    </row>
    <row r="415">
      <c r="A415" s="67" t="n"/>
    </row>
    <row r="416">
      <c r="A416" s="67" t="n"/>
    </row>
    <row r="417">
      <c r="A417" s="67" t="n"/>
    </row>
    <row r="418">
      <c r="A418" s="67" t="n"/>
    </row>
    <row r="419">
      <c r="A419" s="67" t="n"/>
    </row>
    <row r="420">
      <c r="A420" s="67" t="n"/>
    </row>
    <row r="421">
      <c r="A421" s="67" t="n"/>
    </row>
    <row r="422">
      <c r="A422" s="67" t="n"/>
    </row>
    <row r="423">
      <c r="A423" s="67" t="n"/>
    </row>
    <row r="424">
      <c r="A424" s="67" t="n"/>
    </row>
    <row r="425">
      <c r="A425" s="67" t="n"/>
    </row>
    <row r="426">
      <c r="A426" s="67" t="n"/>
    </row>
    <row r="427">
      <c r="A427" s="67" t="n"/>
    </row>
    <row r="428">
      <c r="A428" s="67" t="n"/>
    </row>
    <row r="429">
      <c r="A429" s="67" t="n"/>
    </row>
    <row r="430">
      <c r="A430" s="67" t="n"/>
    </row>
    <row r="431">
      <c r="A431" s="67" t="n"/>
    </row>
    <row r="432">
      <c r="A432" s="67" t="n"/>
    </row>
    <row r="433">
      <c r="A433" s="67" t="n"/>
    </row>
    <row r="434">
      <c r="A434" s="67" t="n"/>
    </row>
    <row r="435">
      <c r="A435" s="67" t="n"/>
    </row>
    <row r="436">
      <c r="A436" s="67" t="n"/>
    </row>
    <row r="437">
      <c r="A437" s="67" t="n"/>
    </row>
    <row r="438">
      <c r="A438" s="67" t="n"/>
    </row>
    <row r="439">
      <c r="A439" s="67" t="n"/>
    </row>
    <row r="440">
      <c r="A440" s="67" t="n"/>
    </row>
    <row r="441">
      <c r="A441" s="67" t="n"/>
    </row>
    <row r="442">
      <c r="A442" s="67" t="n"/>
    </row>
    <row r="443">
      <c r="A443" s="67" t="n"/>
    </row>
    <row r="444">
      <c r="A444" s="67" t="n"/>
    </row>
    <row r="445">
      <c r="A445" s="67" t="n"/>
    </row>
    <row r="446">
      <c r="A446" s="67" t="n"/>
    </row>
    <row r="447">
      <c r="A447" s="67" t="n"/>
    </row>
    <row r="448">
      <c r="A448" s="67" t="n"/>
    </row>
    <row r="449">
      <c r="A449" s="67" t="n"/>
    </row>
    <row r="450">
      <c r="A450" s="67" t="n"/>
    </row>
    <row r="451">
      <c r="A451" s="67" t="n"/>
    </row>
    <row r="452">
      <c r="A452" s="67" t="n"/>
    </row>
    <row r="453">
      <c r="A453" s="67" t="n"/>
    </row>
    <row r="454">
      <c r="A454" s="67" t="n"/>
    </row>
    <row r="455">
      <c r="A455" s="67" t="n"/>
    </row>
    <row r="456">
      <c r="A456" s="67" t="n"/>
    </row>
    <row r="457">
      <c r="A457" s="67" t="n"/>
    </row>
    <row r="458">
      <c r="A458" s="67" t="n"/>
    </row>
    <row r="459">
      <c r="A459" s="67" t="n"/>
    </row>
    <row r="460">
      <c r="A460" s="67" t="n"/>
    </row>
    <row r="461">
      <c r="A461" s="67" t="n"/>
    </row>
    <row r="462">
      <c r="A462" s="67" t="n"/>
    </row>
    <row r="463">
      <c r="A463" s="67" t="n"/>
    </row>
    <row r="464">
      <c r="A464" s="67" t="n"/>
    </row>
    <row r="465">
      <c r="A465" s="67" t="n"/>
    </row>
    <row r="466">
      <c r="A466" s="67" t="n"/>
    </row>
    <row r="467">
      <c r="A467" s="67" t="n"/>
    </row>
    <row r="468">
      <c r="A468" s="67" t="n"/>
    </row>
    <row r="469">
      <c r="A469" s="67" t="n"/>
    </row>
    <row r="470">
      <c r="A470" s="67" t="n"/>
    </row>
    <row r="471">
      <c r="A471" s="67" t="n"/>
    </row>
    <row r="472">
      <c r="A472" s="67" t="n"/>
    </row>
    <row r="473">
      <c r="A473" s="67" t="n"/>
    </row>
    <row r="474">
      <c r="A474" s="67" t="n"/>
    </row>
    <row r="475">
      <c r="A475" s="67" t="n"/>
    </row>
    <row r="476">
      <c r="A476" s="67" t="n"/>
    </row>
    <row r="477">
      <c r="A477" s="67" t="n"/>
    </row>
    <row r="478">
      <c r="A478" s="67" t="n"/>
    </row>
    <row r="479">
      <c r="A479" s="67" t="n"/>
    </row>
    <row r="480">
      <c r="A480" s="67" t="n"/>
    </row>
    <row r="481">
      <c r="A481" s="67" t="n"/>
    </row>
    <row r="482">
      <c r="A482" s="67" t="n"/>
    </row>
    <row r="483">
      <c r="A483" s="67" t="n"/>
    </row>
    <row r="484">
      <c r="A484" s="67" t="n"/>
    </row>
    <row r="485">
      <c r="A485" s="67" t="n"/>
    </row>
    <row r="486">
      <c r="A486" s="67" t="n"/>
    </row>
    <row r="487">
      <c r="A487" s="67" t="n"/>
    </row>
    <row r="488">
      <c r="A488" s="67" t="n"/>
    </row>
    <row r="489">
      <c r="A489" s="67" t="n"/>
    </row>
    <row r="490">
      <c r="A490" s="67" t="n"/>
    </row>
    <row r="491">
      <c r="A491" s="67" t="n"/>
    </row>
    <row r="492">
      <c r="A492" s="67" t="n"/>
    </row>
    <row r="493">
      <c r="A493" s="67" t="n"/>
    </row>
    <row r="494">
      <c r="A494" s="67" t="n"/>
    </row>
    <row r="495">
      <c r="A495" s="67" t="n"/>
    </row>
    <row r="496">
      <c r="A496" s="67" t="n"/>
    </row>
    <row r="497">
      <c r="A497" s="67" t="n"/>
    </row>
    <row r="498">
      <c r="A498" s="67" t="n"/>
    </row>
    <row r="499">
      <c r="A499" s="67" t="n"/>
    </row>
    <row r="500">
      <c r="A500" s="67" t="n"/>
    </row>
    <row r="501">
      <c r="A501" s="67" t="n"/>
    </row>
    <row r="502">
      <c r="A502" s="67" t="n"/>
    </row>
    <row r="503">
      <c r="A503" s="67" t="n"/>
    </row>
    <row r="504">
      <c r="A504" s="67" t="n"/>
    </row>
    <row r="505">
      <c r="A505" s="67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cbtIOpTdjriPRozre3TT4Q==" formatRows="1" sort="1" spinCount="100000" hashValue="9mymQOeF9QpoZBJAwzQi3CzNQ4Bkz/7qNv1JlYA+IK02y01twjooqLwydWT3rSX+1iSmTampIrXHA/8qODGjEQ=="/>
  <mergeCells count="1">
    <mergeCell ref="A1:BL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2">
    <tabColor theme="6" tint="-0.499984740745262"/>
    <outlinePr summaryBelow="1" summaryRight="1"/>
    <pageSetUpPr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C7" sqref="C7"/>
    </sheetView>
  </sheetViews>
  <sheetFormatPr baseColWidth="8" defaultRowHeight="13.5"/>
  <cols>
    <col width="9" customWidth="1" style="4" min="1" max="1"/>
    <col width="18" customWidth="1" style="4" min="2" max="2"/>
    <col width="10" customWidth="1" style="4" min="3" max="4"/>
    <col width="7" customWidth="1" style="4" min="5" max="64"/>
    <col width="9" customWidth="1" style="4" min="65" max="65"/>
    <col width="9" customWidth="1" style="4" min="66" max="16384"/>
  </cols>
  <sheetData>
    <row r="1" ht="30" customHeight="1" s="574">
      <c r="A1" s="589" t="inlineStr">
        <is>
          <t xml:space="preserve">  📈  終値シート｜60日履歴</t>
        </is>
      </c>
      <c r="B1" s="590" t="n"/>
      <c r="C1" s="590" t="n"/>
      <c r="D1" s="590" t="n"/>
      <c r="E1" s="590" t="n"/>
      <c r="F1" s="590" t="n"/>
      <c r="G1" s="590" t="n"/>
      <c r="H1" s="590" t="n"/>
      <c r="I1" s="590" t="n"/>
      <c r="J1" s="590" t="n"/>
      <c r="K1" s="590" t="n"/>
      <c r="L1" s="590" t="n"/>
      <c r="M1" s="590" t="n"/>
      <c r="N1" s="590" t="n"/>
      <c r="O1" s="590" t="n"/>
      <c r="P1" s="590" t="n"/>
      <c r="Q1" s="590" t="n"/>
      <c r="R1" s="590" t="n"/>
      <c r="S1" s="590" t="n"/>
      <c r="T1" s="590" t="n"/>
      <c r="U1" s="590" t="n"/>
      <c r="V1" s="590" t="n"/>
      <c r="W1" s="590" t="n"/>
      <c r="X1" s="590" t="n"/>
      <c r="Y1" s="590" t="n"/>
      <c r="Z1" s="590" t="n"/>
      <c r="AA1" s="590" t="n"/>
      <c r="AB1" s="590" t="n"/>
      <c r="AC1" s="590" t="n"/>
      <c r="AD1" s="590" t="n"/>
      <c r="AE1" s="590" t="n"/>
      <c r="AF1" s="590" t="n"/>
      <c r="AG1" s="590" t="n"/>
      <c r="AH1" s="590" t="n"/>
      <c r="AI1" s="590" t="n"/>
      <c r="AJ1" s="590" t="n"/>
      <c r="AK1" s="590" t="n"/>
      <c r="AL1" s="590" t="n"/>
      <c r="AM1" s="590" t="n"/>
      <c r="AN1" s="590" t="n"/>
      <c r="AO1" s="590" t="n"/>
      <c r="AP1" s="590" t="n"/>
      <c r="AQ1" s="590" t="n"/>
      <c r="AR1" s="590" t="n"/>
      <c r="AS1" s="590" t="n"/>
      <c r="AT1" s="590" t="n"/>
      <c r="AU1" s="590" t="n"/>
      <c r="AV1" s="590" t="n"/>
      <c r="AW1" s="590" t="n"/>
      <c r="AX1" s="590" t="n"/>
      <c r="AY1" s="590" t="n"/>
      <c r="AZ1" s="590" t="n"/>
      <c r="BA1" s="590" t="n"/>
      <c r="BB1" s="590" t="n"/>
      <c r="BC1" s="590" t="n"/>
      <c r="BD1" s="590" t="n"/>
      <c r="BE1" s="590" t="n"/>
      <c r="BF1" s="590" t="n"/>
      <c r="BG1" s="590" t="n"/>
      <c r="BH1" s="590" t="n"/>
      <c r="BI1" s="590" t="n"/>
      <c r="BJ1" s="590" t="n"/>
      <c r="BK1" s="590" t="n"/>
      <c r="BL1" s="591" t="n"/>
    </row>
    <row r="2" ht="18" customHeight="1" s="574">
      <c r="A2" s="198" t="inlineStr">
        <is>
          <t>コード</t>
        </is>
      </c>
      <c r="B2" s="198" t="inlineStr">
        <is>
          <t>銘 柄 名</t>
        </is>
      </c>
      <c r="C2" s="198" t="inlineStr">
        <is>
          <t>RSS 現値</t>
        </is>
      </c>
      <c r="D2" s="198" t="inlineStr">
        <is>
          <t>差  分</t>
        </is>
      </c>
      <c r="E2" s="199" t="n"/>
      <c r="F2" s="199" t="n"/>
      <c r="G2" s="199" t="n"/>
      <c r="H2" s="199" t="n"/>
      <c r="I2" s="199" t="n"/>
      <c r="J2" s="199" t="n"/>
      <c r="K2" s="199" t="n"/>
      <c r="L2" s="199" t="n"/>
      <c r="M2" s="199" t="n"/>
      <c r="N2" s="199" t="n"/>
      <c r="O2" s="199" t="n"/>
      <c r="P2" s="199" t="n"/>
      <c r="Q2" s="199" t="n"/>
      <c r="R2" s="199" t="n"/>
      <c r="S2" s="199" t="n"/>
      <c r="T2" s="199" t="n"/>
      <c r="U2" s="199" t="n"/>
      <c r="V2" s="199" t="n"/>
      <c r="W2" s="199" t="n"/>
      <c r="X2" s="199" t="n"/>
      <c r="Y2" s="199" t="n"/>
      <c r="Z2" s="199" t="n"/>
      <c r="AA2" s="199" t="n"/>
      <c r="AB2" s="199" t="n"/>
      <c r="AC2" s="199" t="n"/>
      <c r="AD2" s="199" t="n"/>
      <c r="AE2" s="199" t="n"/>
      <c r="AF2" s="199" t="n"/>
      <c r="AG2" s="199" t="n"/>
      <c r="AH2" s="199" t="n"/>
      <c r="AI2" s="199" t="n"/>
      <c r="AJ2" s="199" t="n"/>
      <c r="AK2" s="199" t="n"/>
      <c r="AL2" s="199" t="n"/>
      <c r="AM2" s="199" t="n"/>
      <c r="AN2" s="199" t="n"/>
      <c r="AO2" s="199" t="n"/>
      <c r="AP2" s="199" t="n"/>
      <c r="AQ2" s="199" t="n"/>
      <c r="AR2" s="199" t="n"/>
      <c r="AS2" s="199" t="n"/>
      <c r="AT2" s="199" t="n"/>
      <c r="AU2" s="199" t="n"/>
      <c r="AV2" s="199" t="n"/>
      <c r="AW2" s="199" t="n"/>
      <c r="AX2" s="199" t="n"/>
      <c r="AY2" s="199" t="n"/>
      <c r="AZ2" s="199" t="n"/>
      <c r="BA2" s="199" t="n"/>
      <c r="BB2" s="199" t="n"/>
      <c r="BC2" s="199" t="n"/>
      <c r="BD2" s="199" t="n"/>
      <c r="BE2" s="199" t="n"/>
      <c r="BF2" s="199" t="n"/>
      <c r="BG2" s="199" t="n"/>
      <c r="BH2" s="199" t="n"/>
      <c r="BI2" s="199" t="n"/>
      <c r="BJ2" s="199" t="n"/>
      <c r="BK2" s="199" t="n"/>
      <c r="BL2" s="199" t="n"/>
    </row>
    <row r="3" ht="22.5" customFormat="1" customHeight="1" s="202">
      <c r="A3" s="200" t="inlineStr">
        <is>
          <t>日  付</t>
        </is>
      </c>
      <c r="B3" s="200" t="n"/>
      <c r="C3" s="219" t="inlineStr">
        <is>
          <t>本日</t>
        </is>
      </c>
      <c r="D3" s="200" t="n"/>
      <c r="E3" s="671" t="n">
        <v>46195</v>
      </c>
      <c r="F3" s="671" t="n">
        <v>46192</v>
      </c>
      <c r="G3" s="671" t="n">
        <v>46191</v>
      </c>
      <c r="H3" s="671" t="n">
        <v>46190</v>
      </c>
      <c r="I3" s="671" t="n">
        <v>46189</v>
      </c>
      <c r="J3" s="671" t="n">
        <v>46188</v>
      </c>
      <c r="K3" s="671" t="n">
        <v>46185</v>
      </c>
      <c r="L3" s="671" t="n">
        <v>46184</v>
      </c>
      <c r="M3" s="671" t="n">
        <v>46183</v>
      </c>
      <c r="N3" s="671" t="n">
        <v>46181</v>
      </c>
      <c r="O3" s="671" t="n">
        <v>46178</v>
      </c>
      <c r="P3" s="671" t="n">
        <v>46177</v>
      </c>
      <c r="Q3" s="671" t="n">
        <v>46176</v>
      </c>
      <c r="R3" s="671" t="n">
        <v>46175</v>
      </c>
      <c r="S3" s="671" t="n">
        <v>46174</v>
      </c>
      <c r="T3" s="671" t="n">
        <v>46171</v>
      </c>
      <c r="U3" s="671" t="n">
        <v>46170</v>
      </c>
      <c r="V3" s="671" t="n">
        <v>46169</v>
      </c>
      <c r="W3" s="671" t="n">
        <v>46167</v>
      </c>
      <c r="X3" s="671" t="n">
        <v>46164</v>
      </c>
      <c r="Y3" s="671" t="n">
        <v>46163</v>
      </c>
      <c r="Z3" s="671" t="n">
        <v>46162</v>
      </c>
      <c r="AA3" s="671" t="n">
        <v>46161</v>
      </c>
      <c r="AB3" s="671" t="n">
        <v>46160</v>
      </c>
      <c r="AC3" s="671" t="n">
        <v>46157</v>
      </c>
      <c r="AD3" s="671" t="n">
        <v>46156</v>
      </c>
      <c r="AE3" s="671" t="n">
        <v>46155</v>
      </c>
      <c r="AF3" s="671" t="n">
        <v>46154</v>
      </c>
      <c r="AG3" s="671" t="n">
        <v>46153</v>
      </c>
      <c r="AH3" s="671" t="n">
        <v>46150</v>
      </c>
      <c r="AI3" s="671" t="n">
        <v>46149</v>
      </c>
      <c r="AJ3" s="671" t="n">
        <v>46143</v>
      </c>
      <c r="AK3" s="671" t="n">
        <v>46142</v>
      </c>
      <c r="AL3" s="671" t="n">
        <v>46140</v>
      </c>
      <c r="AM3" s="671" t="n">
        <v>46139</v>
      </c>
      <c r="AN3" s="671" t="n">
        <v>46136</v>
      </c>
      <c r="AO3" s="671" t="n">
        <v>46135</v>
      </c>
      <c r="AP3" s="671" t="n">
        <v>46134</v>
      </c>
      <c r="AQ3" s="671" t="n">
        <v>46133</v>
      </c>
      <c r="AR3" s="671" t="n">
        <v>46132</v>
      </c>
      <c r="AS3" s="671" t="n">
        <v>46129</v>
      </c>
      <c r="AT3" s="671" t="n">
        <v>46128</v>
      </c>
      <c r="AU3" s="671" t="n">
        <v>46127</v>
      </c>
      <c r="AV3" s="671" t="n">
        <v>46126</v>
      </c>
      <c r="AW3" s="671" t="n">
        <v>46125</v>
      </c>
      <c r="AX3" s="671" t="n">
        <v>46122</v>
      </c>
      <c r="AY3" s="671" t="n">
        <v>46121</v>
      </c>
      <c r="AZ3" s="671" t="n">
        <v>46120</v>
      </c>
      <c r="BA3" s="671" t="n">
        <v>46119</v>
      </c>
      <c r="BB3" s="671" t="n">
        <v>46118</v>
      </c>
      <c r="BC3" s="671" t="n">
        <v>46115</v>
      </c>
      <c r="BD3" s="671" t="n">
        <v>46114</v>
      </c>
      <c r="BE3" s="671" t="n">
        <v>46113</v>
      </c>
      <c r="BF3" s="671" t="n">
        <v>46112</v>
      </c>
      <c r="BG3" s="671" t="n">
        <v>46111</v>
      </c>
      <c r="BH3" s="671" t="n">
        <v>46108</v>
      </c>
      <c r="BI3" s="671" t="n">
        <v>46107</v>
      </c>
      <c r="BJ3" s="671" t="n">
        <v>46106</v>
      </c>
      <c r="BK3" s="671" t="n">
        <v>46105</v>
      </c>
      <c r="BL3" s="671" t="n">
        <v>46104</v>
      </c>
    </row>
    <row r="4" ht="22.5" customHeight="1" s="574">
      <c r="A4" s="203" t="n"/>
      <c r="B4" s="203" t="n"/>
      <c r="C4" s="203" t="n"/>
      <c r="D4" s="203" t="n"/>
      <c r="E4" s="204" t="n"/>
      <c r="F4" s="204" t="n"/>
      <c r="G4" s="204" t="n"/>
      <c r="H4" s="204" t="n"/>
      <c r="I4" s="204" t="n"/>
      <c r="J4" s="204" t="n"/>
      <c r="K4" s="204" t="n"/>
      <c r="L4" s="204" t="n"/>
      <c r="M4" s="204" t="n"/>
      <c r="N4" s="204" t="n"/>
      <c r="O4" s="204" t="n"/>
      <c r="P4" s="204" t="n"/>
      <c r="Q4" s="204" t="n"/>
      <c r="R4" s="204" t="n"/>
      <c r="S4" s="204" t="n"/>
      <c r="T4" s="204" t="n"/>
      <c r="U4" s="204" t="n"/>
      <c r="V4" s="204" t="n"/>
      <c r="W4" s="204" t="n"/>
      <c r="X4" s="204" t="n"/>
      <c r="Y4" s="204" t="n"/>
      <c r="Z4" s="204" t="n"/>
      <c r="AA4" s="204" t="n"/>
      <c r="AB4" s="204" t="n"/>
      <c r="AC4" s="204" t="n"/>
      <c r="AD4" s="204" t="n"/>
      <c r="AE4" s="204" t="n"/>
      <c r="AF4" s="204" t="n"/>
      <c r="AG4" s="204" t="n"/>
      <c r="AH4" s="204" t="n"/>
      <c r="AI4" s="204" t="n"/>
      <c r="AJ4" s="204" t="n"/>
      <c r="AK4" s="204" t="n"/>
      <c r="AL4" s="204" t="n"/>
      <c r="AM4" s="204" t="n"/>
      <c r="AN4" s="204" t="n"/>
      <c r="AO4" s="204" t="n"/>
      <c r="AP4" s="204" t="n"/>
      <c r="AQ4" s="204" t="n"/>
      <c r="AR4" s="204" t="n"/>
      <c r="AS4" s="204" t="n"/>
      <c r="AT4" s="204" t="n"/>
      <c r="AU4" s="204" t="n"/>
      <c r="AV4" s="204" t="n"/>
      <c r="AW4" s="204" t="n"/>
      <c r="AX4" s="204" t="n"/>
      <c r="AY4" s="204" t="n"/>
      <c r="AZ4" s="204" t="n"/>
      <c r="BA4" s="204" t="n"/>
      <c r="BB4" s="204" t="n"/>
      <c r="BC4" s="204" t="n"/>
      <c r="BD4" s="204" t="n"/>
      <c r="BE4" s="204" t="n"/>
      <c r="BF4" s="204" t="n"/>
      <c r="BG4" s="204" t="n"/>
      <c r="BH4" s="204" t="n"/>
      <c r="BI4" s="204" t="n"/>
      <c r="BJ4" s="204" t="n"/>
      <c r="BK4" s="204" t="n"/>
      <c r="BL4" s="204" t="n"/>
    </row>
    <row r="5" ht="22.5" customHeight="1" s="574">
      <c r="A5" s="672">
        <f>IF(銘柄管理!B5="","",銘柄管理!B5)</f>
        <v/>
      </c>
      <c r="B5" s="673">
        <f>IF(銘柄管理!C5="","",銘柄管理!C5)</f>
        <v/>
      </c>
      <c r="C5" s="674">
        <f t="array" ref="C5">_xll.RssIndexMarket("TOPX", "現在値")</f>
        <v/>
      </c>
      <c r="D5" s="675">
        <f>IF(OR(C5=0,E5=0),"",C5-E5)</f>
        <v/>
      </c>
      <c r="E5" s="9" t="n">
        <v>4095.05</v>
      </c>
      <c r="F5" s="9" t="n">
        <v>4044.96</v>
      </c>
      <c r="G5" s="9" t="n">
        <v>4068.18</v>
      </c>
      <c r="H5" s="9" t="n">
        <v>4013.23</v>
      </c>
      <c r="I5" s="9" t="n">
        <v>3991.14</v>
      </c>
      <c r="J5" s="9" t="n">
        <v>3881.96</v>
      </c>
      <c r="K5" s="9" t="n">
        <v>3830.35</v>
      </c>
      <c r="L5" s="9" t="n">
        <v>3847.6</v>
      </c>
      <c r="M5" s="9" t="n">
        <v>3852.38</v>
      </c>
      <c r="N5" s="9" t="n">
        <v>3949.09</v>
      </c>
      <c r="O5" s="9" t="n">
        <v>3951.85</v>
      </c>
      <c r="P5" s="9" t="n">
        <v>3996.2</v>
      </c>
      <c r="Q5" s="9" t="n">
        <v>3924.24</v>
      </c>
      <c r="R5" s="9" t="n">
        <v>3940.7</v>
      </c>
      <c r="S5" s="9" t="n">
        <v>3957.17</v>
      </c>
      <c r="T5" s="9" t="n">
        <v>3902.01</v>
      </c>
      <c r="U5" s="9" t="n">
        <v>3918.01</v>
      </c>
      <c r="V5" s="9" t="n">
        <v>3942.57</v>
      </c>
      <c r="W5" s="9" t="n">
        <v>3892.46</v>
      </c>
      <c r="X5" s="9" t="n">
        <v>3853.81</v>
      </c>
      <c r="Y5" s="9" t="n">
        <v>3791.65</v>
      </c>
      <c r="Z5" s="9" t="n">
        <v>3850.67</v>
      </c>
      <c r="AA5" s="9" t="n">
        <v>3826.51</v>
      </c>
      <c r="AB5" s="9" t="n">
        <v>3863.97</v>
      </c>
      <c r="AC5" s="9" t="n">
        <v>3879.27</v>
      </c>
      <c r="AD5" s="9" t="n"/>
      <c r="AE5" s="9" t="n"/>
      <c r="AF5" s="9" t="n"/>
      <c r="AG5" s="9" t="n"/>
      <c r="AH5" s="9" t="n"/>
      <c r="AI5" s="9" t="n"/>
      <c r="AJ5" s="9" t="n"/>
      <c r="AK5" s="9" t="n"/>
      <c r="AL5" s="9" t="n"/>
      <c r="AM5" s="9" t="n"/>
      <c r="AN5" s="9" t="n"/>
      <c r="AO5" s="9" t="n"/>
      <c r="AP5" s="9" t="n"/>
      <c r="AQ5" s="10" t="n"/>
      <c r="AR5" s="10" t="n"/>
      <c r="AS5" s="10" t="n"/>
      <c r="AT5" s="10" t="n"/>
      <c r="AU5" s="10" t="n"/>
      <c r="AV5" s="10" t="n"/>
      <c r="AW5" s="10" t="n"/>
      <c r="AX5" s="10" t="n"/>
      <c r="AY5" s="10" t="n"/>
      <c r="AZ5" s="10" t="n"/>
      <c r="BA5" s="10" t="n"/>
      <c r="BB5" s="10" t="n"/>
      <c r="BC5" s="10" t="n"/>
      <c r="BD5" s="10" t="n"/>
      <c r="BE5" s="10" t="n"/>
      <c r="BF5" s="10" t="n"/>
      <c r="BG5" s="10" t="n"/>
      <c r="BH5" s="10" t="n"/>
      <c r="BI5" s="10" t="n"/>
      <c r="BJ5" s="10" t="n"/>
      <c r="BK5" s="10" t="n"/>
      <c r="BL5" s="10" t="n"/>
    </row>
    <row r="6" ht="22.5" customHeight="1" s="574">
      <c r="A6" s="64" t="inlineStr">
        <is>
          <t>5706</t>
        </is>
      </c>
      <c r="B6" s="673" t="inlineStr">
        <is>
          <t>三井金属</t>
        </is>
      </c>
      <c r="C6" s="676">
        <f>自動注文決済!G42</f>
        <v/>
      </c>
      <c r="D6" s="661">
        <f>C6-E6</f>
        <v/>
      </c>
      <c r="E6" s="11" t="n">
        <v>49550</v>
      </c>
      <c r="F6" s="11" t="n">
        <v>53840</v>
      </c>
      <c r="G6" s="11" t="n">
        <v>51630</v>
      </c>
      <c r="H6" s="12" t="n">
        <v>48750</v>
      </c>
      <c r="I6" s="11" t="n">
        <v>51800</v>
      </c>
      <c r="J6" s="11" t="n">
        <v>53330</v>
      </c>
      <c r="K6" s="11" t="n">
        <v>49610</v>
      </c>
      <c r="L6" s="11" t="n">
        <v>46670</v>
      </c>
      <c r="M6" s="11" t="n">
        <v>44360</v>
      </c>
      <c r="N6" s="11" t="n">
        <v>44790</v>
      </c>
      <c r="O6" s="11" t="n">
        <v>47320</v>
      </c>
      <c r="P6" s="11" t="n">
        <v>46640</v>
      </c>
      <c r="Q6" s="11" t="n">
        <v>50660</v>
      </c>
      <c r="R6" s="11" t="n">
        <v>54900</v>
      </c>
      <c r="S6" s="11" t="n">
        <v>50850</v>
      </c>
      <c r="T6" s="11" t="n">
        <v>51250</v>
      </c>
      <c r="U6" s="11" t="n">
        <v>50000</v>
      </c>
      <c r="V6" s="11" t="n">
        <v>48060</v>
      </c>
      <c r="W6" s="11" t="n">
        <v>41060</v>
      </c>
      <c r="X6" s="11" t="n">
        <v>42350</v>
      </c>
      <c r="Y6" s="11" t="n">
        <v>41370</v>
      </c>
      <c r="Z6" s="11" t="n">
        <v>39300</v>
      </c>
      <c r="AA6" s="11" t="n">
        <v>38660</v>
      </c>
      <c r="AB6" s="11" t="n">
        <v>36830</v>
      </c>
      <c r="AC6" s="11" t="n">
        <v>38260</v>
      </c>
      <c r="AD6" s="11" t="n">
        <v>37390</v>
      </c>
      <c r="AE6" s="11" t="n">
        <v>35480</v>
      </c>
      <c r="AF6" s="11" t="n">
        <v>36500</v>
      </c>
      <c r="AG6" s="11" t="n">
        <v>37750</v>
      </c>
      <c r="AH6" s="11" t="n">
        <v>35690</v>
      </c>
      <c r="AI6" s="11" t="n">
        <v>38260</v>
      </c>
      <c r="AJ6" s="11" t="n">
        <v>36430</v>
      </c>
      <c r="AK6" s="11" t="n">
        <v>37200</v>
      </c>
      <c r="AL6" s="11" t="n">
        <v>34770</v>
      </c>
      <c r="AM6" s="11" t="n">
        <v>35000</v>
      </c>
      <c r="AN6" s="11" t="n">
        <v>31550</v>
      </c>
      <c r="AO6" s="11" t="n">
        <v>31960</v>
      </c>
      <c r="AP6" s="11" t="n">
        <v>31520</v>
      </c>
      <c r="AQ6" s="13" t="n">
        <v>29650</v>
      </c>
      <c r="AR6" s="13" t="n">
        <v>30730</v>
      </c>
      <c r="AS6" s="13" t="n">
        <v>28040</v>
      </c>
      <c r="AT6" s="13" t="n">
        <v>29565</v>
      </c>
      <c r="AU6" s="13" t="n">
        <v>31270</v>
      </c>
      <c r="AV6" s="13" t="n">
        <v>30890</v>
      </c>
      <c r="AW6" s="13" t="n">
        <v>31630</v>
      </c>
      <c r="AX6" s="13" t="n">
        <v>30100</v>
      </c>
      <c r="AY6" s="13" t="n">
        <v>29190</v>
      </c>
      <c r="AZ6" s="13" t="n">
        <v>31110</v>
      </c>
      <c r="BA6" s="13" t="n">
        <v>32400</v>
      </c>
      <c r="BB6" s="13" t="n">
        <v>30110</v>
      </c>
      <c r="BC6" s="13" t="n">
        <v>31600</v>
      </c>
      <c r="BD6" s="13" t="n">
        <v>31580</v>
      </c>
      <c r="BE6" s="13" t="n">
        <v>31260</v>
      </c>
      <c r="BF6" s="13" t="n">
        <v>32380</v>
      </c>
      <c r="BG6" s="13" t="n">
        <v>30790</v>
      </c>
      <c r="BH6" s="13" t="n">
        <v>29485</v>
      </c>
      <c r="BI6" s="13" t="n">
        <v>32740</v>
      </c>
      <c r="BJ6" s="13" t="n">
        <v>34170</v>
      </c>
      <c r="BK6" s="13" t="n">
        <v>32830</v>
      </c>
      <c r="BL6" s="13" t="n">
        <v>36130</v>
      </c>
    </row>
    <row r="7" ht="22.5" customHeight="1" s="574">
      <c r="A7" s="64" t="inlineStr">
        <is>
          <t>5423</t>
        </is>
      </c>
      <c r="B7" s="673" t="inlineStr">
        <is>
          <t>東京製鐵</t>
        </is>
      </c>
      <c r="C7" s="676">
        <f>_xll.RssMarket("5423","現在値")</f>
        <v/>
      </c>
      <c r="D7" s="661">
        <f>C7-E7</f>
        <v/>
      </c>
      <c r="E7" s="11" t="n">
        <v>1799</v>
      </c>
      <c r="F7" s="11" t="n">
        <v>1761</v>
      </c>
      <c r="G7" s="11" t="n">
        <v>1771</v>
      </c>
      <c r="H7" s="11" t="n">
        <v>1742</v>
      </c>
      <c r="I7" s="11" t="n">
        <v>1717</v>
      </c>
      <c r="J7" s="11" t="n">
        <v>1689</v>
      </c>
      <c r="K7" s="11" t="n">
        <v>1671</v>
      </c>
      <c r="L7" s="11" t="n">
        <v>1699</v>
      </c>
      <c r="M7" s="11" t="n">
        <v>1698</v>
      </c>
      <c r="N7" s="11" t="n">
        <v>1703</v>
      </c>
      <c r="O7" s="11" t="n">
        <v>1702</v>
      </c>
      <c r="P7" s="11" t="n">
        <v>1705</v>
      </c>
      <c r="Q7" s="11" t="n">
        <v>1756</v>
      </c>
      <c r="R7" s="11" t="n">
        <v>1712</v>
      </c>
      <c r="S7" s="11" t="n">
        <v>1707</v>
      </c>
      <c r="T7" s="11" t="n">
        <v>1708</v>
      </c>
      <c r="U7" s="11" t="n">
        <v>1725</v>
      </c>
      <c r="V7" s="11" t="n">
        <v>1745</v>
      </c>
      <c r="W7" s="11" t="n">
        <v>1704</v>
      </c>
      <c r="X7" s="11" t="n">
        <v>1758</v>
      </c>
      <c r="Y7" s="11" t="n">
        <v>1798</v>
      </c>
      <c r="Z7" s="11" t="n">
        <v>1825</v>
      </c>
      <c r="AA7" s="11" t="n">
        <v>1844</v>
      </c>
      <c r="AB7" s="11" t="n">
        <v>1701</v>
      </c>
      <c r="AC7" s="11" t="n">
        <v>1663</v>
      </c>
      <c r="AD7" s="11" t="n">
        <v>1656</v>
      </c>
      <c r="AE7" s="11" t="n">
        <v>1657</v>
      </c>
      <c r="AF7" s="11" t="n">
        <v>1682</v>
      </c>
      <c r="AG7" s="11" t="n">
        <v>1677</v>
      </c>
      <c r="AH7" s="11" t="n">
        <v>1697</v>
      </c>
      <c r="AI7" s="11" t="n">
        <v>1693</v>
      </c>
      <c r="AJ7" s="11" t="n">
        <v>1697</v>
      </c>
      <c r="AK7" s="11" t="n">
        <v>1703</v>
      </c>
      <c r="AL7" s="11" t="n">
        <v>1736</v>
      </c>
      <c r="AM7" s="11" t="n">
        <v>1805</v>
      </c>
      <c r="AN7" s="11" t="n">
        <v>1827</v>
      </c>
      <c r="AO7" s="11" t="n">
        <v>1780</v>
      </c>
      <c r="AP7" s="11" t="n">
        <v>1768</v>
      </c>
      <c r="AQ7" s="13" t="n">
        <v>1782</v>
      </c>
      <c r="AR7" s="13" t="n">
        <v>1733</v>
      </c>
      <c r="AS7" s="13" t="n">
        <v>1725</v>
      </c>
      <c r="AT7" s="13" t="n">
        <v>1723</v>
      </c>
      <c r="AU7" s="13" t="n">
        <v>1745</v>
      </c>
      <c r="AV7" s="13" t="n">
        <v>1777</v>
      </c>
      <c r="AW7" s="13" t="n">
        <v>1826</v>
      </c>
      <c r="AX7" s="13" t="n">
        <v>1784</v>
      </c>
      <c r="AY7" s="13" t="n">
        <v>1871</v>
      </c>
      <c r="AZ7" s="13" t="n">
        <v>1902</v>
      </c>
      <c r="BA7" s="13" t="n">
        <v>1627</v>
      </c>
      <c r="BB7" s="13" t="n">
        <v>1630</v>
      </c>
      <c r="BC7" s="13" t="n">
        <v>1618</v>
      </c>
      <c r="BD7" s="13" t="n">
        <v>1633</v>
      </c>
      <c r="BE7" s="13" t="n">
        <v>1656</v>
      </c>
      <c r="BF7" s="13" t="n">
        <v>1641</v>
      </c>
      <c r="BG7" s="13" t="n">
        <v>1606</v>
      </c>
      <c r="BH7" s="13" t="n">
        <v>1590</v>
      </c>
      <c r="BI7" s="13" t="n">
        <v>1563</v>
      </c>
      <c r="BJ7" s="13" t="n">
        <v>1608</v>
      </c>
      <c r="BK7" s="13" t="n">
        <v>1650</v>
      </c>
      <c r="BL7" s="13" t="n">
        <v>1631</v>
      </c>
    </row>
    <row r="8" ht="15.95" customHeight="1" s="574">
      <c r="A8" s="64" t="inlineStr">
        <is>
          <t>5713</t>
        </is>
      </c>
      <c r="B8" s="673" t="inlineStr">
        <is>
          <t>住友鉱山</t>
        </is>
      </c>
      <c r="C8" s="676">
        <f>_xll.RssMarket("5713","現在値")</f>
        <v/>
      </c>
      <c r="D8" s="661">
        <f>C8-E8</f>
        <v/>
      </c>
      <c r="E8" s="14" t="n">
        <v>8834</v>
      </c>
      <c r="F8" s="14" t="n">
        <v>8607</v>
      </c>
      <c r="G8" s="14" t="n">
        <v>9155</v>
      </c>
      <c r="H8" s="14" t="n">
        <v>8863</v>
      </c>
      <c r="I8" s="14" t="n">
        <v>8638</v>
      </c>
      <c r="J8" s="14" t="n">
        <v>7735</v>
      </c>
      <c r="K8" s="14" t="n">
        <v>7844</v>
      </c>
      <c r="L8" s="14" t="n">
        <v>7996</v>
      </c>
      <c r="M8" s="14" t="n">
        <v>8578</v>
      </c>
      <c r="N8" s="14" t="n">
        <v>8654</v>
      </c>
      <c r="O8" s="14" t="n">
        <v>9099</v>
      </c>
      <c r="P8" s="14" t="n">
        <v>8779</v>
      </c>
      <c r="Q8" s="14" t="n">
        <v>8989</v>
      </c>
      <c r="R8" s="14" t="n">
        <v>9093</v>
      </c>
      <c r="S8" s="14" t="n">
        <v>8910</v>
      </c>
      <c r="T8" s="14" t="n">
        <v>9608</v>
      </c>
      <c r="U8" s="14" t="n">
        <v>9800</v>
      </c>
      <c r="V8" s="14" t="n">
        <v>9504</v>
      </c>
      <c r="W8" s="14" t="n">
        <v>9193</v>
      </c>
      <c r="X8" s="14" t="n">
        <v>8980</v>
      </c>
      <c r="Y8" s="14" t="n">
        <v>9280</v>
      </c>
      <c r="Z8" s="14" t="n">
        <v>9560</v>
      </c>
      <c r="AA8" s="14" t="n">
        <v>10275</v>
      </c>
      <c r="AB8" s="14" t="n">
        <v>10565</v>
      </c>
      <c r="AC8" s="14" t="n">
        <v>10820</v>
      </c>
      <c r="AD8" s="14" t="n">
        <v>10725</v>
      </c>
      <c r="AE8" s="14" t="n">
        <v>10155</v>
      </c>
      <c r="AF8" s="14" t="n">
        <v>10615</v>
      </c>
      <c r="AG8" s="14" t="n">
        <v>10085</v>
      </c>
      <c r="AH8" s="14" t="n">
        <v>9532</v>
      </c>
      <c r="AI8" s="14" t="n">
        <v>9423</v>
      </c>
      <c r="AJ8" s="14" t="n">
        <v>9664</v>
      </c>
      <c r="AK8" s="14" t="n">
        <v>9713</v>
      </c>
      <c r="AL8" s="14" t="n">
        <v>9740</v>
      </c>
      <c r="AM8" s="14" t="n">
        <v>10030</v>
      </c>
      <c r="AN8" s="14" t="n">
        <v>10290</v>
      </c>
      <c r="AO8" s="14" t="n">
        <v>10070</v>
      </c>
      <c r="AP8" s="14" t="n">
        <v>10150</v>
      </c>
      <c r="AQ8" s="13" t="n">
        <v>11020</v>
      </c>
      <c r="AR8" s="13" t="n">
        <v>10645</v>
      </c>
      <c r="AS8" s="13" t="n">
        <v>10400</v>
      </c>
      <c r="AT8" s="13" t="n">
        <v>9867</v>
      </c>
      <c r="AU8" s="13" t="n">
        <v>9986</v>
      </c>
      <c r="AV8" s="13" t="n">
        <v>9922</v>
      </c>
      <c r="AW8" s="13" t="n">
        <v>10355</v>
      </c>
      <c r="AX8" s="13" t="n">
        <v>9544</v>
      </c>
      <c r="AY8" s="13" t="n">
        <v>9476</v>
      </c>
      <c r="AZ8" s="13" t="n">
        <v>9440</v>
      </c>
      <c r="BA8" s="13" t="n">
        <v>9214</v>
      </c>
      <c r="BB8" s="13" t="n">
        <v>9593</v>
      </c>
      <c r="BC8" s="13" t="n">
        <v>8855</v>
      </c>
      <c r="BD8" s="13" t="n">
        <v>9250</v>
      </c>
      <c r="BE8" s="13" t="n">
        <v>9478</v>
      </c>
      <c r="BF8" s="13" t="n">
        <v>9337</v>
      </c>
      <c r="BG8" s="13" t="n">
        <v>9240</v>
      </c>
      <c r="BH8" s="13" t="n">
        <v>8827</v>
      </c>
      <c r="BI8" s="13" t="n">
        <v>8372</v>
      </c>
      <c r="BJ8" s="13" t="n">
        <v>9137</v>
      </c>
      <c r="BK8" s="13" t="n">
        <v>10015</v>
      </c>
      <c r="BL8" s="13" t="n">
        <v>9567</v>
      </c>
    </row>
    <row r="9" ht="15.95" customHeight="1" s="574">
      <c r="A9" s="64" t="inlineStr">
        <is>
          <t>5711</t>
        </is>
      </c>
      <c r="B9" s="673" t="inlineStr">
        <is>
          <t>三菱マテリアル</t>
        </is>
      </c>
      <c r="C9" s="676">
        <f>_xll.RssMarket("5711","現在値")</f>
        <v/>
      </c>
      <c r="D9" s="661">
        <f>C9-E9</f>
        <v/>
      </c>
      <c r="E9" s="13" t="n">
        <v>4889</v>
      </c>
      <c r="F9" s="13" t="n">
        <v>4836</v>
      </c>
      <c r="G9" s="13" t="n">
        <v>4882</v>
      </c>
      <c r="H9" s="13" t="n">
        <v>4898</v>
      </c>
      <c r="I9" s="13" t="n">
        <v>4640</v>
      </c>
      <c r="J9" s="13" t="n">
        <v>4443</v>
      </c>
      <c r="K9" s="13" t="n">
        <v>4471</v>
      </c>
      <c r="L9" s="13" t="n">
        <v>4595</v>
      </c>
      <c r="M9" s="13" t="n">
        <v>4904</v>
      </c>
      <c r="N9" s="13" t="n">
        <v>4973</v>
      </c>
      <c r="O9" s="13" t="n">
        <v>5187</v>
      </c>
      <c r="P9" s="13" t="n">
        <v>5050</v>
      </c>
      <c r="Q9" s="13" t="n">
        <v>5089</v>
      </c>
      <c r="R9" s="13" t="n">
        <v>5153</v>
      </c>
      <c r="S9" s="13" t="n">
        <v>5128</v>
      </c>
      <c r="T9" s="13" t="n">
        <v>5271</v>
      </c>
      <c r="U9" s="13" t="n">
        <v>5255</v>
      </c>
      <c r="V9" s="13" t="n">
        <v>5038</v>
      </c>
      <c r="W9" s="13" t="n">
        <v>4890</v>
      </c>
      <c r="X9" s="13" t="n">
        <v>4786</v>
      </c>
      <c r="Y9" s="13" t="n">
        <v>4959</v>
      </c>
      <c r="Z9" s="13" t="n">
        <v>5057</v>
      </c>
      <c r="AA9" s="13" t="n">
        <v>5428</v>
      </c>
      <c r="AB9" s="13" t="n">
        <v>5362</v>
      </c>
      <c r="AC9" s="13" t="n">
        <v>6100</v>
      </c>
      <c r="AD9" s="13" t="n">
        <v>5817</v>
      </c>
      <c r="AE9" s="13" t="n">
        <v>5584</v>
      </c>
      <c r="AF9" s="13" t="n">
        <v>5562</v>
      </c>
      <c r="AG9" s="13" t="n">
        <v>5340</v>
      </c>
      <c r="AH9" s="13" t="n">
        <v>5080</v>
      </c>
      <c r="AI9" s="13" t="n">
        <v>5092</v>
      </c>
      <c r="AJ9" s="13" t="n">
        <v>5215</v>
      </c>
      <c r="AK9" s="13" t="n">
        <v>5261</v>
      </c>
      <c r="AL9" s="13" t="n">
        <v>5292</v>
      </c>
      <c r="AM9" s="13" t="n">
        <v>5419</v>
      </c>
      <c r="AN9" s="13" t="n">
        <v>5548</v>
      </c>
      <c r="AO9" s="13" t="n">
        <v>5500</v>
      </c>
      <c r="AP9" s="13" t="n">
        <v>5528</v>
      </c>
      <c r="AQ9" s="13" t="n">
        <v>5774</v>
      </c>
      <c r="AR9" s="13" t="n">
        <v>5652</v>
      </c>
      <c r="AS9" s="13" t="n">
        <v>5688</v>
      </c>
      <c r="AT9" s="13" t="n">
        <v>5460</v>
      </c>
      <c r="AU9" s="13" t="n">
        <v>5560</v>
      </c>
      <c r="AV9" s="13" t="n">
        <v>5562</v>
      </c>
      <c r="AW9" s="13" t="n">
        <v>5637</v>
      </c>
      <c r="AX9" s="13" t="n">
        <v>5203</v>
      </c>
      <c r="AY9" s="13" t="n">
        <v>5168</v>
      </c>
      <c r="AZ9" s="13" t="n">
        <v>5189</v>
      </c>
      <c r="BA9" s="13" t="n">
        <v>4995</v>
      </c>
      <c r="BB9" s="13" t="n">
        <v>5186</v>
      </c>
      <c r="BC9" s="13" t="n">
        <v>4815</v>
      </c>
      <c r="BD9" s="13" t="n">
        <v>4944</v>
      </c>
      <c r="BE9" s="13" t="n">
        <v>5130</v>
      </c>
      <c r="BF9" s="13" t="n">
        <v>5144</v>
      </c>
      <c r="BG9" s="13" t="n">
        <v>5185</v>
      </c>
      <c r="BH9" s="13" t="n">
        <v>4965</v>
      </c>
      <c r="BI9" s="13" t="n">
        <v>4733</v>
      </c>
      <c r="BJ9" s="13" t="n">
        <v>5221</v>
      </c>
      <c r="BK9" s="13" t="n">
        <v>5603</v>
      </c>
      <c r="BL9" s="13" t="n">
        <v>4903</v>
      </c>
    </row>
    <row r="10" ht="15.95" customHeight="1" s="574">
      <c r="A10" s="64" t="inlineStr">
        <is>
          <t>5714</t>
        </is>
      </c>
      <c r="B10" s="673" t="inlineStr">
        <is>
          <t>ＤＯＷＡホールディングス</t>
        </is>
      </c>
      <c r="C10" s="676">
        <f>_xll.RssMarket("5714","現在値")</f>
        <v/>
      </c>
      <c r="D10" s="661">
        <f>C10-E10</f>
        <v/>
      </c>
      <c r="E10" s="13" t="n">
        <v>9670</v>
      </c>
      <c r="F10" s="13" t="n">
        <v>9480</v>
      </c>
      <c r="G10" s="13" t="n">
        <v>9839</v>
      </c>
      <c r="H10" s="13" t="n">
        <v>9685</v>
      </c>
      <c r="I10" s="13" t="n">
        <v>9377</v>
      </c>
      <c r="J10" s="13" t="n">
        <v>8905</v>
      </c>
      <c r="K10" s="13" t="n">
        <v>8997</v>
      </c>
      <c r="L10" s="13" t="n">
        <v>9257</v>
      </c>
      <c r="M10" s="13" t="n">
        <v>10005</v>
      </c>
      <c r="N10" s="13" t="n">
        <v>9834</v>
      </c>
      <c r="O10" s="13" t="n">
        <v>10370</v>
      </c>
      <c r="P10" s="13" t="n">
        <v>10150</v>
      </c>
      <c r="Q10" s="13" t="n">
        <v>10430</v>
      </c>
      <c r="R10" s="13" t="n">
        <v>10300</v>
      </c>
      <c r="S10" s="13" t="n">
        <v>10530</v>
      </c>
      <c r="T10" s="13" t="n">
        <v>10845</v>
      </c>
      <c r="U10" s="13" t="n">
        <v>10935</v>
      </c>
      <c r="V10" s="13" t="n">
        <v>10390</v>
      </c>
      <c r="W10" s="13" t="n">
        <v>10165</v>
      </c>
      <c r="X10" s="13" t="n">
        <v>10125</v>
      </c>
      <c r="Y10" s="13" t="n">
        <v>10370</v>
      </c>
      <c r="Z10" s="13" t="n">
        <v>11125</v>
      </c>
      <c r="AA10" s="13" t="n">
        <v>11640</v>
      </c>
      <c r="AB10" s="13" t="n">
        <v>10025</v>
      </c>
      <c r="AC10" s="13" t="n">
        <v>10655</v>
      </c>
      <c r="AD10" s="13" t="n">
        <v>10350</v>
      </c>
      <c r="AE10" s="13" t="n">
        <v>10360</v>
      </c>
      <c r="AF10" s="13" t="n">
        <v>10180</v>
      </c>
      <c r="AG10" s="13" t="n">
        <v>9848</v>
      </c>
      <c r="AH10" s="13" t="n">
        <v>9492</v>
      </c>
      <c r="AI10" s="13" t="n">
        <v>9476</v>
      </c>
      <c r="AJ10" s="13" t="n">
        <v>9730</v>
      </c>
      <c r="AK10" s="13" t="n">
        <v>9589</v>
      </c>
      <c r="AL10" s="13" t="n">
        <v>9640</v>
      </c>
      <c r="AM10" s="13" t="n">
        <v>9667</v>
      </c>
      <c r="AN10" s="13" t="n">
        <v>9782</v>
      </c>
      <c r="AO10" s="13" t="n">
        <v>9937</v>
      </c>
      <c r="AP10" s="13" t="n">
        <v>9792</v>
      </c>
      <c r="AQ10" s="13" t="n">
        <v>9962</v>
      </c>
      <c r="AR10" s="13" t="n">
        <v>10355</v>
      </c>
      <c r="AS10" s="13" t="n">
        <v>10055</v>
      </c>
      <c r="AT10" s="13" t="n">
        <v>10055</v>
      </c>
      <c r="AU10" s="13" t="n">
        <v>9677</v>
      </c>
      <c r="AV10" s="13" t="n">
        <v>9758</v>
      </c>
      <c r="AW10" s="13" t="n">
        <v>9769</v>
      </c>
      <c r="AX10" s="13" t="n">
        <v>9891</v>
      </c>
      <c r="AY10" s="13" t="n">
        <v>9309</v>
      </c>
      <c r="AZ10" s="13" t="n">
        <v>9117</v>
      </c>
      <c r="BA10" s="13" t="n">
        <v>9094</v>
      </c>
      <c r="BB10" s="13" t="n">
        <v>8913</v>
      </c>
      <c r="BC10" s="13" t="n">
        <v>9271</v>
      </c>
      <c r="BD10" s="13" t="n">
        <v>8735</v>
      </c>
      <c r="BE10" s="13" t="n">
        <v>8882</v>
      </c>
      <c r="BF10" s="13" t="n">
        <v>9390</v>
      </c>
      <c r="BG10" s="13" t="n">
        <v>9466</v>
      </c>
      <c r="BH10" s="13" t="n">
        <v>9394</v>
      </c>
      <c r="BI10" s="13" t="n">
        <v>9018</v>
      </c>
      <c r="BJ10" s="13" t="n">
        <v>8710</v>
      </c>
      <c r="BK10" s="13" t="n">
        <v>9271</v>
      </c>
      <c r="BL10" s="13" t="n">
        <v>10050</v>
      </c>
    </row>
    <row r="11" ht="15.95" customHeight="1" s="574">
      <c r="A11" s="64" t="inlineStr">
        <is>
          <t>6701</t>
        </is>
      </c>
      <c r="B11" s="673" t="inlineStr">
        <is>
          <t>日本電気</t>
        </is>
      </c>
      <c r="C11" s="676">
        <f>_xll.RssMarket("6701","現在値")</f>
        <v/>
      </c>
      <c r="D11" s="661">
        <f>C11-E11</f>
        <v/>
      </c>
      <c r="E11" s="13" t="n">
        <v>3752</v>
      </c>
      <c r="F11" s="13" t="n">
        <v>3756</v>
      </c>
      <c r="G11" s="13" t="n">
        <v>3852</v>
      </c>
      <c r="H11" s="13" t="n">
        <v>3849</v>
      </c>
      <c r="I11" s="13" t="n">
        <v>3879</v>
      </c>
      <c r="J11" s="13" t="n">
        <v>4000</v>
      </c>
      <c r="K11" s="13" t="n">
        <v>4010</v>
      </c>
      <c r="L11" s="13" t="n">
        <v>4096</v>
      </c>
      <c r="M11" s="13" t="n">
        <v>4253</v>
      </c>
      <c r="N11" s="13" t="n">
        <v>4224</v>
      </c>
      <c r="O11" s="13" t="n">
        <v>4273</v>
      </c>
      <c r="P11" s="13" t="n">
        <v>4434</v>
      </c>
      <c r="Q11" s="13" t="n">
        <v>4369</v>
      </c>
      <c r="R11" s="13" t="n">
        <v>4103</v>
      </c>
      <c r="S11" s="13" t="n">
        <v>4086</v>
      </c>
      <c r="T11" s="13" t="n">
        <v>4146</v>
      </c>
      <c r="U11" s="13" t="n">
        <v>4106</v>
      </c>
      <c r="V11" s="13" t="n">
        <v>4105</v>
      </c>
      <c r="W11" s="13" t="n">
        <v>4125</v>
      </c>
      <c r="X11" s="13" t="n">
        <v>4140</v>
      </c>
      <c r="Y11" s="13" t="n">
        <v>4297</v>
      </c>
      <c r="Z11" s="13" t="n">
        <v>4162</v>
      </c>
      <c r="AA11" s="13" t="n">
        <v>4004</v>
      </c>
      <c r="AB11" s="13" t="n">
        <v>4049</v>
      </c>
      <c r="AC11" s="13" t="n">
        <v>4190</v>
      </c>
      <c r="AD11" s="13" t="n">
        <v>4130</v>
      </c>
      <c r="AE11" s="13" t="n">
        <v>4101</v>
      </c>
      <c r="AF11" s="13" t="n">
        <v>4200</v>
      </c>
      <c r="AG11" s="13" t="n">
        <v>4028</v>
      </c>
      <c r="AH11" s="13" t="n">
        <v>4035</v>
      </c>
      <c r="AI11" s="13" t="n">
        <v>4101</v>
      </c>
      <c r="AJ11" s="13" t="n">
        <v>4625</v>
      </c>
      <c r="AK11" s="13" t="n">
        <v>4513</v>
      </c>
      <c r="AL11" s="13" t="n">
        <v>4292</v>
      </c>
      <c r="AM11" s="13" t="n">
        <v>4524</v>
      </c>
      <c r="AN11" s="13" t="n">
        <v>4431</v>
      </c>
      <c r="AO11" s="13" t="n">
        <v>4327</v>
      </c>
      <c r="AP11" s="13" t="n">
        <v>4328</v>
      </c>
      <c r="AQ11" s="13" t="n">
        <v>4328</v>
      </c>
      <c r="AR11" s="13" t="n">
        <v>4269</v>
      </c>
      <c r="AS11" s="13" t="n">
        <v>4083</v>
      </c>
      <c r="AT11" s="13" t="n">
        <v>3882</v>
      </c>
      <c r="AU11" s="13" t="n">
        <v>3860</v>
      </c>
      <c r="AV11" s="13" t="n">
        <v>4048</v>
      </c>
      <c r="AW11" s="13" t="n">
        <v>4188</v>
      </c>
      <c r="AX11" s="13" t="n">
        <v>4074</v>
      </c>
      <c r="AY11" s="13" t="n">
        <v>4011</v>
      </c>
      <c r="AZ11" s="13" t="n">
        <v>4046</v>
      </c>
      <c r="BA11" s="13" t="n">
        <v>4046</v>
      </c>
      <c r="BB11" s="13" t="n">
        <v>4023</v>
      </c>
      <c r="BC11" s="13" t="n">
        <v>4023</v>
      </c>
      <c r="BD11" s="13" t="n">
        <v>4025</v>
      </c>
      <c r="BE11" s="13" t="n">
        <v>4025</v>
      </c>
      <c r="BF11" s="13" t="n">
        <v>4025</v>
      </c>
      <c r="BG11" s="13" t="n">
        <v>3846</v>
      </c>
      <c r="BH11" s="13" t="n">
        <v>3846</v>
      </c>
      <c r="BI11" s="13" t="n">
        <v>3846</v>
      </c>
      <c r="BJ11" s="13" t="n">
        <v>3789</v>
      </c>
      <c r="BK11" s="13" t="n">
        <v>3789</v>
      </c>
      <c r="BL11" s="13" t="n">
        <v>3789</v>
      </c>
    </row>
    <row r="12" ht="15.95" customHeight="1" s="574">
      <c r="A12" s="64" t="inlineStr">
        <is>
          <t>1605</t>
        </is>
      </c>
      <c r="B12" s="673" t="inlineStr">
        <is>
          <t>ＩＮＰＥＸ</t>
        </is>
      </c>
      <c r="C12" s="676">
        <f>_xll.RssMarket("1605","現在値")</f>
        <v/>
      </c>
      <c r="D12" s="661">
        <f>C12-E12</f>
        <v/>
      </c>
      <c r="E12" s="13" t="n">
        <v>3448</v>
      </c>
      <c r="F12" s="13" t="n">
        <v>3500</v>
      </c>
      <c r="G12" s="13" t="n">
        <v>3406</v>
      </c>
      <c r="H12" s="13" t="n">
        <v>3378</v>
      </c>
      <c r="I12" s="13" t="n">
        <v>3559</v>
      </c>
      <c r="J12" s="13" t="n">
        <v>3607</v>
      </c>
      <c r="K12" s="13" t="n">
        <v>3483</v>
      </c>
      <c r="L12" s="13" t="n">
        <v>3641</v>
      </c>
      <c r="M12" s="13" t="n">
        <v>3685</v>
      </c>
      <c r="N12" s="13" t="n">
        <v>3648</v>
      </c>
      <c r="O12" s="13" t="n">
        <v>3707</v>
      </c>
      <c r="P12" s="13" t="n">
        <v>3567</v>
      </c>
      <c r="Q12" s="13" t="n">
        <v>3416</v>
      </c>
      <c r="R12" s="13" t="n">
        <v>3604</v>
      </c>
      <c r="S12" s="13" t="n">
        <v>3693</v>
      </c>
      <c r="T12" s="13" t="n">
        <v>3689</v>
      </c>
      <c r="U12" s="13" t="n">
        <v>3658</v>
      </c>
      <c r="V12" s="13" t="n">
        <v>3839</v>
      </c>
      <c r="W12" s="13" t="n">
        <v>3885</v>
      </c>
      <c r="X12" s="13" t="n">
        <v>3990</v>
      </c>
      <c r="Y12" s="13" t="n">
        <v>3993</v>
      </c>
      <c r="Z12" s="13" t="n">
        <v>3934</v>
      </c>
      <c r="AA12" s="13" t="n">
        <v>3921</v>
      </c>
      <c r="AB12" s="13" t="n">
        <v>3920</v>
      </c>
      <c r="AC12" s="13" t="n">
        <v>3930</v>
      </c>
      <c r="AD12" s="13" t="n">
        <v>3944</v>
      </c>
      <c r="AE12" s="13" t="n">
        <v>3848</v>
      </c>
      <c r="AF12" s="13" t="n">
        <v>3788</v>
      </c>
      <c r="AG12" s="13" t="n">
        <v>3850</v>
      </c>
      <c r="AH12" s="13" t="n">
        <v>4118</v>
      </c>
      <c r="AI12" s="13" t="n">
        <v>4150</v>
      </c>
      <c r="AJ12" s="13" t="n">
        <v>4123</v>
      </c>
      <c r="AK12" s="13" t="n">
        <v>3930</v>
      </c>
      <c r="AL12" s="13" t="n">
        <v>4074</v>
      </c>
      <c r="AM12" s="13" t="n">
        <v>3969</v>
      </c>
      <c r="AN12" s="13" t="n">
        <v>3807</v>
      </c>
      <c r="AO12" s="13" t="n">
        <v>3830</v>
      </c>
      <c r="AP12" s="13" t="n">
        <v>3843</v>
      </c>
      <c r="AQ12" s="13" t="n">
        <v>3985</v>
      </c>
      <c r="AR12" s="13" t="n">
        <v>3948</v>
      </c>
      <c r="AS12" s="13" t="n">
        <v>4035</v>
      </c>
      <c r="AT12" s="13" t="n">
        <v>4190</v>
      </c>
      <c r="AU12" s="13" t="n">
        <v>4277</v>
      </c>
      <c r="AV12" s="13" t="n">
        <v>4147</v>
      </c>
      <c r="AW12" s="13" t="n">
        <v>4230</v>
      </c>
      <c r="AX12" s="13" t="n">
        <v>4201</v>
      </c>
      <c r="AY12" s="13" t="n">
        <v>4480</v>
      </c>
      <c r="AZ12" s="13" t="n">
        <v>4512</v>
      </c>
      <c r="BA12" s="13" t="n">
        <v>4675</v>
      </c>
      <c r="BB12" s="13" t="n">
        <v>4567</v>
      </c>
      <c r="BC12" s="13" t="n">
        <v>4701</v>
      </c>
      <c r="BD12" s="13" t="n">
        <v>4678</v>
      </c>
      <c r="BE12" s="13" t="n">
        <v>4892</v>
      </c>
      <c r="BF12" s="13" t="n">
        <v>4900</v>
      </c>
      <c r="BG12" s="13" t="n">
        <v>4687</v>
      </c>
      <c r="BH12" s="13" t="n">
        <v>4444</v>
      </c>
      <c r="BI12" s="13" t="n">
        <v>4519</v>
      </c>
      <c r="BJ12" s="13" t="n">
        <v>4483</v>
      </c>
      <c r="BK12" s="13" t="n">
        <v>4700</v>
      </c>
      <c r="BL12" s="13" t="n">
        <v>4675</v>
      </c>
    </row>
    <row r="13" ht="15.95" customHeight="1" s="574">
      <c r="A13" s="64" t="inlineStr">
        <is>
          <t>5703</t>
        </is>
      </c>
      <c r="B13" s="673" t="inlineStr">
        <is>
          <t>日本軽金属ＨＤ</t>
        </is>
      </c>
      <c r="C13" s="676">
        <f>_xll.RssMarket("5703","現在値")</f>
        <v/>
      </c>
      <c r="D13" s="661">
        <f>C13-E13</f>
        <v/>
      </c>
      <c r="E13" s="13" t="n">
        <v>3010</v>
      </c>
      <c r="F13" s="13" t="n">
        <v>2983</v>
      </c>
      <c r="G13" s="13" t="n">
        <v>2958</v>
      </c>
      <c r="H13" s="13" t="n">
        <v>3010</v>
      </c>
      <c r="I13" s="13" t="n">
        <v>3040</v>
      </c>
      <c r="J13" s="13" t="n">
        <v>2986</v>
      </c>
      <c r="K13" s="13" t="n">
        <v>3065</v>
      </c>
      <c r="L13" s="13" t="n">
        <v>3135</v>
      </c>
      <c r="M13" s="13" t="n">
        <v>3255</v>
      </c>
      <c r="N13" s="13" t="n">
        <v>3175</v>
      </c>
      <c r="O13" s="13" t="n">
        <v>3270</v>
      </c>
      <c r="P13" s="13" t="n">
        <v>3165</v>
      </c>
      <c r="Q13" s="13" t="n">
        <v>3130</v>
      </c>
      <c r="R13" s="13" t="n">
        <v>3165</v>
      </c>
      <c r="S13" s="13" t="n">
        <v>3190</v>
      </c>
      <c r="T13" s="13" t="n">
        <v>3200</v>
      </c>
      <c r="U13" s="13" t="n">
        <v>3245</v>
      </c>
      <c r="V13" s="13" t="n">
        <v>3050</v>
      </c>
      <c r="W13" s="13" t="n">
        <v>3065</v>
      </c>
      <c r="X13" s="13" t="n">
        <v>3050</v>
      </c>
      <c r="Y13" s="13" t="n">
        <v>3085</v>
      </c>
      <c r="Z13" s="13" t="n">
        <v>3150</v>
      </c>
      <c r="AA13" s="13" t="n">
        <v>3120</v>
      </c>
      <c r="AB13" s="13" t="n">
        <v>3040</v>
      </c>
      <c r="AC13" s="13" t="n">
        <v>2951</v>
      </c>
      <c r="AD13" s="13" t="n">
        <v>2960</v>
      </c>
      <c r="AE13" s="13" t="n">
        <v>2902</v>
      </c>
      <c r="AF13" s="13" t="n">
        <v>2928</v>
      </c>
      <c r="AG13" s="13" t="n">
        <v>2930</v>
      </c>
      <c r="AH13" s="13" t="n">
        <v>2823</v>
      </c>
      <c r="AI13" s="13" t="n">
        <v>2853</v>
      </c>
      <c r="AJ13" s="13" t="n">
        <v>2868</v>
      </c>
      <c r="AK13" s="13" t="n">
        <v>2886</v>
      </c>
      <c r="AL13" s="13" t="n">
        <v>2858</v>
      </c>
      <c r="AM13" s="13" t="n">
        <v>2855</v>
      </c>
      <c r="AN13" s="13" t="n">
        <v>2908</v>
      </c>
      <c r="AO13" s="13" t="n">
        <v>2963</v>
      </c>
      <c r="AP13" s="13" t="n">
        <v>2948</v>
      </c>
      <c r="AQ13" s="13" t="n">
        <v>2982</v>
      </c>
      <c r="AR13" s="13" t="n">
        <v>3045</v>
      </c>
      <c r="AS13" s="13" t="n">
        <v>3010</v>
      </c>
      <c r="AT13" s="13" t="n">
        <v>3040</v>
      </c>
      <c r="AU13" s="13" t="n">
        <v>2999</v>
      </c>
      <c r="AV13" s="13" t="n">
        <v>2983</v>
      </c>
      <c r="AW13" s="13" t="n">
        <v>2945</v>
      </c>
      <c r="AX13" s="13" t="n">
        <v>2978</v>
      </c>
      <c r="AY13" s="13" t="n">
        <v>2893</v>
      </c>
      <c r="AZ13" s="13" t="n">
        <v>2867</v>
      </c>
      <c r="BA13" s="13" t="n">
        <v>2873</v>
      </c>
      <c r="BB13" s="13" t="n">
        <v>2774</v>
      </c>
      <c r="BC13" s="13" t="n">
        <v>2839</v>
      </c>
      <c r="BD13" s="13" t="n">
        <v>2776</v>
      </c>
      <c r="BE13" s="13" t="n">
        <v>2656</v>
      </c>
      <c r="BF13" s="13" t="n">
        <v>2732</v>
      </c>
      <c r="BG13" s="13" t="n">
        <v>2718</v>
      </c>
      <c r="BH13" s="13" t="n">
        <v>2735</v>
      </c>
      <c r="BI13" s="13" t="n">
        <v>2640</v>
      </c>
      <c r="BJ13" s="13" t="n">
        <v>2544</v>
      </c>
      <c r="BK13" s="13" t="n">
        <v>2736</v>
      </c>
      <c r="BL13" s="13" t="n">
        <v>2906</v>
      </c>
    </row>
    <row r="14" ht="15.95" customHeight="1" s="574">
      <c r="A14" s="64" t="inlineStr">
        <is>
          <t>8002</t>
        </is>
      </c>
      <c r="B14" s="673" t="inlineStr">
        <is>
          <t>丸紅</t>
        </is>
      </c>
      <c r="C14" s="676">
        <f>_xll.RssMarket("8002","現在値")</f>
        <v/>
      </c>
      <c r="D14" s="661">
        <f>C14-E14</f>
        <v/>
      </c>
      <c r="E14" s="13" t="n">
        <v>4913</v>
      </c>
      <c r="F14" s="13" t="n">
        <v>4895</v>
      </c>
      <c r="G14" s="13" t="n">
        <v>4949</v>
      </c>
      <c r="H14" s="13" t="n">
        <v>4921</v>
      </c>
      <c r="I14" s="13" t="n">
        <v>4899</v>
      </c>
      <c r="J14" s="13" t="n">
        <v>4812</v>
      </c>
      <c r="K14" s="13" t="n">
        <v>4795</v>
      </c>
      <c r="L14" s="13" t="n">
        <v>4870</v>
      </c>
      <c r="M14" s="13" t="n">
        <v>5044</v>
      </c>
      <c r="N14" s="13" t="n">
        <v>4968</v>
      </c>
      <c r="O14" s="13" t="n">
        <v>4993</v>
      </c>
      <c r="P14" s="13" t="n">
        <v>4910</v>
      </c>
      <c r="Q14" s="13" t="n">
        <v>4918</v>
      </c>
      <c r="R14" s="13" t="n">
        <v>5196</v>
      </c>
      <c r="S14" s="13" t="n">
        <v>5224</v>
      </c>
      <c r="T14" s="13" t="n">
        <v>5220</v>
      </c>
      <c r="U14" s="13" t="n">
        <v>5312</v>
      </c>
      <c r="V14" s="13" t="n">
        <v>5271</v>
      </c>
      <c r="W14" s="13" t="n">
        <v>5325</v>
      </c>
      <c r="X14" s="13" t="n">
        <v>5374</v>
      </c>
      <c r="Y14" s="13" t="n">
        <v>5553</v>
      </c>
      <c r="Z14" s="13" t="n">
        <v>5638</v>
      </c>
      <c r="AA14" s="13" t="n">
        <v>5856</v>
      </c>
      <c r="AB14" s="13" t="n">
        <v>5898</v>
      </c>
      <c r="AC14" s="13" t="n">
        <v>5740</v>
      </c>
      <c r="AD14" s="13" t="n">
        <v>5520</v>
      </c>
      <c r="AE14" s="13" t="n">
        <v>5418</v>
      </c>
      <c r="AF14" s="13" t="n">
        <v>5495</v>
      </c>
      <c r="AG14" s="13" t="n">
        <v>5755</v>
      </c>
      <c r="AH14" s="13" t="n">
        <v>6072</v>
      </c>
      <c r="AI14" s="13" t="n">
        <v>6084</v>
      </c>
      <c r="AJ14" s="13" t="n">
        <v>5910</v>
      </c>
      <c r="AK14" s="13" t="n">
        <v>5936</v>
      </c>
      <c r="AL14" s="13" t="n">
        <v>5929</v>
      </c>
      <c r="AM14" s="13" t="n">
        <v>5908</v>
      </c>
      <c r="AN14" s="13" t="n">
        <v>6001</v>
      </c>
      <c r="AO14" s="13" t="n">
        <v>5885</v>
      </c>
      <c r="AP14" s="13" t="n">
        <v>5853</v>
      </c>
      <c r="AQ14" s="13" t="n">
        <v>6040</v>
      </c>
      <c r="AR14" s="13" t="n">
        <v>5909</v>
      </c>
      <c r="AS14" s="13" t="n">
        <v>6018</v>
      </c>
      <c r="AT14" s="13" t="n">
        <v>5932</v>
      </c>
      <c r="AU14" s="13" t="n">
        <v>5950</v>
      </c>
      <c r="AV14" s="13" t="n">
        <v>6088</v>
      </c>
      <c r="AW14" s="13" t="n">
        <v>6119</v>
      </c>
      <c r="AX14" s="13" t="n">
        <v>5919</v>
      </c>
      <c r="AY14" s="13" t="n">
        <v>5890</v>
      </c>
      <c r="AZ14" s="13" t="n">
        <v>5988</v>
      </c>
      <c r="BA14" s="13" t="n">
        <v>5890</v>
      </c>
      <c r="BB14" s="13" t="n">
        <v>5993</v>
      </c>
      <c r="BC14" s="13" t="n">
        <v>5618</v>
      </c>
      <c r="BD14" s="13" t="n">
        <v>5763</v>
      </c>
      <c r="BE14" s="13" t="n">
        <v>5751</v>
      </c>
      <c r="BF14" s="13" t="n">
        <v>5661</v>
      </c>
      <c r="BG14" s="13" t="n">
        <v>5610</v>
      </c>
      <c r="BH14" s="13" t="n">
        <v>5356</v>
      </c>
      <c r="BI14" s="13" t="n">
        <v>5189</v>
      </c>
      <c r="BJ14" s="13" t="n">
        <v>5495</v>
      </c>
      <c r="BK14" s="13" t="n">
        <v>5835</v>
      </c>
      <c r="BL14" s="13" t="n">
        <v>5694</v>
      </c>
    </row>
    <row r="15" ht="15.95" customHeight="1" s="574">
      <c r="A15" s="64" t="inlineStr">
        <is>
          <t>5021</t>
        </is>
      </c>
      <c r="B15" s="673" t="inlineStr">
        <is>
          <t>コスモエネルギーＨＬＤＧＳ</t>
        </is>
      </c>
      <c r="C15" s="676">
        <f>_xll.RssMarket("5021","現在値")</f>
        <v/>
      </c>
      <c r="D15" s="661">
        <f>C15-E15</f>
        <v/>
      </c>
      <c r="E15" s="13" t="n">
        <v>3721</v>
      </c>
      <c r="F15" s="13" t="n">
        <v>3775</v>
      </c>
      <c r="G15" s="13" t="n">
        <v>3669</v>
      </c>
      <c r="H15" s="13" t="n">
        <v>3676</v>
      </c>
      <c r="I15" s="13" t="n">
        <v>3571</v>
      </c>
      <c r="J15" s="13" t="n">
        <v>3503</v>
      </c>
      <c r="K15" s="13" t="n">
        <v>3462</v>
      </c>
      <c r="L15" s="13" t="n">
        <v>3586</v>
      </c>
      <c r="M15" s="13" t="n">
        <v>3611</v>
      </c>
      <c r="N15" s="13" t="n">
        <v>3663</v>
      </c>
      <c r="O15" s="13" t="n">
        <v>3833</v>
      </c>
      <c r="P15" s="13" t="n">
        <v>3717</v>
      </c>
      <c r="Q15" s="13" t="n">
        <v>3671</v>
      </c>
      <c r="R15" s="13" t="n">
        <v>3739</v>
      </c>
      <c r="S15" s="13" t="n">
        <v>3700</v>
      </c>
      <c r="T15" s="13" t="n">
        <v>3685</v>
      </c>
      <c r="U15" s="13" t="n">
        <v>3680</v>
      </c>
      <c r="V15" s="13" t="n">
        <v>3701</v>
      </c>
      <c r="W15" s="13" t="n">
        <v>3700</v>
      </c>
      <c r="X15" s="13" t="n">
        <v>3739</v>
      </c>
      <c r="Y15" s="13" t="n">
        <v>3774</v>
      </c>
      <c r="Z15" s="13" t="n">
        <v>3733</v>
      </c>
      <c r="AA15" s="13" t="n">
        <v>3832</v>
      </c>
      <c r="AB15" s="13" t="n">
        <v>3867</v>
      </c>
      <c r="AC15" s="13" t="n">
        <v>3760</v>
      </c>
      <c r="AD15" s="13" t="n">
        <v>3969</v>
      </c>
      <c r="AE15" s="13" t="n">
        <v>3958</v>
      </c>
      <c r="AF15" s="13" t="n">
        <v>3951</v>
      </c>
      <c r="AG15" s="13" t="n">
        <v>3909</v>
      </c>
      <c r="AH15" s="13" t="n">
        <v>3982</v>
      </c>
      <c r="AI15" s="13" t="n">
        <v>4003</v>
      </c>
      <c r="AJ15" s="13" t="n">
        <v>3985</v>
      </c>
      <c r="AK15" s="13" t="n">
        <v>3906</v>
      </c>
      <c r="AL15" s="13" t="n">
        <v>3943</v>
      </c>
      <c r="AM15" s="13" t="n">
        <v>4021</v>
      </c>
      <c r="AN15" s="13" t="n">
        <v>4067</v>
      </c>
      <c r="AO15" s="13" t="n">
        <v>4197</v>
      </c>
      <c r="AP15" s="13" t="n">
        <v>4267</v>
      </c>
      <c r="AQ15" s="13" t="n">
        <v>4355</v>
      </c>
      <c r="AR15" s="13" t="n">
        <v>4357</v>
      </c>
      <c r="AS15" s="13" t="n">
        <v>4374</v>
      </c>
      <c r="AT15" s="13" t="n">
        <v>4357</v>
      </c>
      <c r="AU15" s="13" t="n">
        <v>4385</v>
      </c>
      <c r="AV15" s="13" t="n">
        <v>4431</v>
      </c>
      <c r="AW15" s="13" t="n">
        <v>4507</v>
      </c>
      <c r="AX15" s="13" t="n">
        <v>4449</v>
      </c>
      <c r="AY15" s="13" t="n">
        <v>4509</v>
      </c>
      <c r="AZ15" s="13" t="n">
        <v>4461</v>
      </c>
      <c r="BA15" s="13" t="n">
        <v>4530</v>
      </c>
      <c r="BB15" s="13" t="n">
        <v>4442</v>
      </c>
      <c r="BC15" s="13" t="n">
        <v>4545</v>
      </c>
      <c r="BD15" s="13" t="n">
        <v>4432</v>
      </c>
      <c r="BE15" s="13" t="n">
        <v>4534</v>
      </c>
      <c r="BF15" s="13" t="n">
        <v>4585</v>
      </c>
      <c r="BG15" s="13" t="n">
        <v>4603</v>
      </c>
      <c r="BH15" s="13" t="n">
        <v>4494</v>
      </c>
      <c r="BI15" s="13" t="n">
        <v>4516</v>
      </c>
      <c r="BJ15" s="13" t="n">
        <v>4341</v>
      </c>
      <c r="BK15" s="13" t="n">
        <v>4588</v>
      </c>
      <c r="BL15" s="13" t="n">
        <v>4688</v>
      </c>
    </row>
    <row r="16" ht="15.95" customHeight="1" s="574">
      <c r="A16" s="64" t="inlineStr">
        <is>
          <t>8058</t>
        </is>
      </c>
      <c r="B16" s="673" t="inlineStr">
        <is>
          <t>三菱商事</t>
        </is>
      </c>
      <c r="C16" s="676">
        <f>_xll.RssMarket("8058","現在値")</f>
        <v/>
      </c>
      <c r="D16" s="661">
        <f>C16-E16</f>
        <v/>
      </c>
      <c r="E16" s="13" t="n">
        <v>4609</v>
      </c>
      <c r="F16" s="13" t="n">
        <v>4540</v>
      </c>
      <c r="G16" s="13" t="n">
        <v>4610</v>
      </c>
      <c r="H16" s="13" t="n">
        <v>4595</v>
      </c>
      <c r="I16" s="13" t="n">
        <v>4683</v>
      </c>
      <c r="J16" s="13" t="n">
        <v>4605</v>
      </c>
      <c r="K16" s="13" t="n">
        <v>4615</v>
      </c>
      <c r="L16" s="13" t="n">
        <v>4833</v>
      </c>
      <c r="M16" s="13" t="n">
        <v>4859</v>
      </c>
      <c r="N16" s="13" t="n">
        <v>4896</v>
      </c>
      <c r="O16" s="13" t="n">
        <v>4979</v>
      </c>
      <c r="P16" s="13" t="n">
        <v>4924</v>
      </c>
      <c r="Q16" s="13" t="n">
        <v>4921</v>
      </c>
      <c r="R16" s="13" t="n">
        <v>5065</v>
      </c>
      <c r="S16" s="13" t="n">
        <v>5038</v>
      </c>
      <c r="T16" s="13" t="n">
        <v>5124</v>
      </c>
      <c r="U16" s="13" t="n">
        <v>5320</v>
      </c>
      <c r="V16" s="13" t="n">
        <v>5432</v>
      </c>
      <c r="W16" s="13" t="n">
        <v>5411</v>
      </c>
      <c r="X16" s="13" t="n">
        <v>5436</v>
      </c>
      <c r="Y16" s="13" t="n">
        <v>5519</v>
      </c>
      <c r="Z16" s="13" t="n">
        <v>5500</v>
      </c>
      <c r="AA16" s="13" t="n">
        <v>5849</v>
      </c>
      <c r="AB16" s="13" t="n">
        <v>5882</v>
      </c>
      <c r="AC16" s="13" t="n">
        <v>5864</v>
      </c>
      <c r="AD16" s="13" t="n">
        <v>5500</v>
      </c>
      <c r="AE16" s="13" t="n">
        <v>5252</v>
      </c>
      <c r="AF16" s="13" t="n">
        <v>5249</v>
      </c>
      <c r="AG16" s="13" t="n">
        <v>5398</v>
      </c>
      <c r="AH16" s="13" t="n">
        <v>5219</v>
      </c>
      <c r="AI16" s="13" t="n">
        <v>4990</v>
      </c>
      <c r="AJ16" s="13" t="n">
        <v>4913</v>
      </c>
      <c r="AK16" s="13" t="n">
        <v>4810</v>
      </c>
      <c r="AL16" s="13" t="n">
        <v>4950</v>
      </c>
      <c r="AM16" s="13" t="n">
        <v>4792</v>
      </c>
      <c r="AN16" s="13" t="n">
        <v>4746</v>
      </c>
      <c r="AO16" s="13" t="n">
        <v>4844</v>
      </c>
      <c r="AP16" s="13" t="n">
        <v>4910</v>
      </c>
      <c r="AQ16" s="13" t="n">
        <v>4952</v>
      </c>
      <c r="AR16" s="13" t="n">
        <v>5086</v>
      </c>
      <c r="AS16" s="13" t="n">
        <v>4989</v>
      </c>
      <c r="AT16" s="13" t="n">
        <v>5193</v>
      </c>
      <c r="AU16" s="13" t="n">
        <v>5275</v>
      </c>
      <c r="AV16" s="13" t="n">
        <v>5307</v>
      </c>
      <c r="AW16" s="13" t="n">
        <v>5413</v>
      </c>
      <c r="AX16" s="13" t="n">
        <v>5436</v>
      </c>
      <c r="AY16" s="13" t="n">
        <v>5425</v>
      </c>
      <c r="AZ16" s="13" t="n">
        <v>5405</v>
      </c>
      <c r="BA16" s="13" t="n">
        <v>5475</v>
      </c>
      <c r="BB16" s="13" t="n">
        <v>5397</v>
      </c>
      <c r="BC16" s="13" t="n">
        <v>5490</v>
      </c>
      <c r="BD16" s="13" t="n">
        <v>5317</v>
      </c>
      <c r="BE16" s="13" t="n">
        <v>5669</v>
      </c>
      <c r="BF16" s="13" t="n">
        <v>5762</v>
      </c>
      <c r="BG16" s="13" t="n">
        <v>5655</v>
      </c>
      <c r="BH16" s="13" t="n">
        <v>5556</v>
      </c>
      <c r="BI16" s="13" t="n">
        <v>5426</v>
      </c>
      <c r="BJ16" s="13" t="n">
        <v>5272</v>
      </c>
      <c r="BK16" s="13" t="n">
        <v>5397</v>
      </c>
      <c r="BL16" s="13" t="n">
        <v>5712</v>
      </c>
    </row>
    <row r="17" ht="15.95" customHeight="1" s="574">
      <c r="A17" s="64" t="inlineStr">
        <is>
          <t>5333</t>
        </is>
      </c>
      <c r="B17" s="673" t="inlineStr">
        <is>
          <t>ＮＧＫ</t>
        </is>
      </c>
      <c r="C17" s="676">
        <f>_xll.RssMarket("5333","現在値")</f>
        <v/>
      </c>
      <c r="D17" s="661">
        <f>C17-E17</f>
        <v/>
      </c>
      <c r="E17" s="13" t="n">
        <v>7695</v>
      </c>
      <c r="F17" s="13" t="n">
        <v>7332</v>
      </c>
      <c r="G17" s="13" t="n">
        <v>6972</v>
      </c>
      <c r="H17" s="13" t="n">
        <v>6747</v>
      </c>
      <c r="I17" s="13" t="n">
        <v>6117</v>
      </c>
      <c r="J17" s="13" t="n">
        <v>5957</v>
      </c>
      <c r="K17" s="13" t="n">
        <v>5933</v>
      </c>
      <c r="L17" s="13" t="n">
        <v>6092</v>
      </c>
      <c r="M17" s="13" t="n">
        <v>6575</v>
      </c>
      <c r="N17" s="13" t="n">
        <v>6356</v>
      </c>
      <c r="O17" s="13" t="n">
        <v>6483</v>
      </c>
      <c r="P17" s="13" t="n">
        <v>6170</v>
      </c>
      <c r="Q17" s="13" t="n">
        <v>6355</v>
      </c>
      <c r="R17" s="13" t="n">
        <v>6316</v>
      </c>
      <c r="S17" s="13" t="n">
        <v>6120</v>
      </c>
      <c r="T17" s="13" t="n">
        <v>6069</v>
      </c>
      <c r="U17" s="13" t="n">
        <v>6210</v>
      </c>
      <c r="V17" s="13" t="n">
        <v>5861</v>
      </c>
      <c r="W17" s="13" t="n">
        <v>5700</v>
      </c>
      <c r="X17" s="13" t="n">
        <v>5456</v>
      </c>
      <c r="Y17" s="13" t="n">
        <v>5493</v>
      </c>
      <c r="Z17" s="13" t="n">
        <v>5609</v>
      </c>
      <c r="AA17" s="13" t="n">
        <v>5696</v>
      </c>
      <c r="AB17" s="13" t="n">
        <v>5787</v>
      </c>
      <c r="AC17" s="13" t="n">
        <v>5731</v>
      </c>
      <c r="AD17" s="13" t="n">
        <v>5614</v>
      </c>
      <c r="AE17" s="13" t="n">
        <v>5550</v>
      </c>
      <c r="AF17" s="13" t="n">
        <v>5374</v>
      </c>
      <c r="AG17" s="13" t="n">
        <v>5345</v>
      </c>
      <c r="AH17" s="13" t="n">
        <v>5121</v>
      </c>
      <c r="AI17" s="13" t="n">
        <v>4961</v>
      </c>
      <c r="AJ17" s="13" t="n">
        <v>4670</v>
      </c>
      <c r="AK17" s="13" t="n">
        <v>4613</v>
      </c>
      <c r="AL17" s="13" t="n">
        <v>4428</v>
      </c>
      <c r="AM17" s="13" t="n">
        <v>4379</v>
      </c>
      <c r="AN17" s="13" t="n">
        <v>4481</v>
      </c>
      <c r="AO17" s="13" t="n">
        <v>4543</v>
      </c>
      <c r="AP17" s="13" t="n">
        <v>4521</v>
      </c>
      <c r="AQ17" s="13" t="n">
        <v>4473</v>
      </c>
      <c r="AR17" s="13" t="n">
        <v>4561</v>
      </c>
      <c r="AS17" s="13" t="n">
        <v>4444</v>
      </c>
      <c r="AT17" s="13" t="n">
        <v>4449</v>
      </c>
      <c r="AU17" s="13" t="n">
        <v>4412</v>
      </c>
      <c r="AV17" s="13" t="n">
        <v>4441</v>
      </c>
      <c r="AW17" s="13" t="n">
        <v>4399</v>
      </c>
      <c r="AX17" s="13" t="n">
        <v>4375</v>
      </c>
      <c r="AY17" s="13" t="n">
        <v>4145</v>
      </c>
      <c r="AZ17" s="13" t="n">
        <v>4120</v>
      </c>
      <c r="BA17" s="13" t="n">
        <v>4135</v>
      </c>
      <c r="BB17" s="13" t="n">
        <v>4059</v>
      </c>
      <c r="BC17" s="13" t="n">
        <v>4206</v>
      </c>
      <c r="BD17" s="13" t="n">
        <v>3977</v>
      </c>
      <c r="BE17" s="13" t="n">
        <v>4014</v>
      </c>
      <c r="BF17" s="13" t="n">
        <v>4144</v>
      </c>
      <c r="BG17" s="13" t="n">
        <v>4155</v>
      </c>
      <c r="BH17" s="13" t="n">
        <v>4162</v>
      </c>
      <c r="BI17" s="13" t="n">
        <v>3937</v>
      </c>
      <c r="BJ17" s="13" t="n">
        <v>3792</v>
      </c>
      <c r="BK17" s="13" t="n">
        <v>3976</v>
      </c>
      <c r="BL17" s="13" t="n">
        <v>4180</v>
      </c>
    </row>
    <row r="18" ht="15.95" customHeight="1" s="574">
      <c r="A18" s="64" t="inlineStr">
        <is>
          <t>1662</t>
        </is>
      </c>
      <c r="B18" s="673" t="inlineStr">
        <is>
          <t>石油資源開発</t>
        </is>
      </c>
      <c r="C18" s="676">
        <f>_xll.RssMarket("1662","現在値")</f>
        <v/>
      </c>
      <c r="D18" s="661">
        <f>C18-E18</f>
        <v/>
      </c>
      <c r="E18" s="13" t="n">
        <v>1627</v>
      </c>
      <c r="F18" s="13" t="n">
        <v>1636</v>
      </c>
      <c r="G18" s="13" t="n">
        <v>1645</v>
      </c>
      <c r="H18" s="13" t="n">
        <v>1648</v>
      </c>
      <c r="I18" s="13" t="n">
        <v>1658</v>
      </c>
      <c r="J18" s="13" t="n">
        <v>1668</v>
      </c>
      <c r="K18" s="13" t="n">
        <v>1639</v>
      </c>
      <c r="L18" s="13" t="n">
        <v>1734</v>
      </c>
      <c r="M18" s="13" t="n">
        <v>1730</v>
      </c>
      <c r="N18" s="13" t="n">
        <v>1721</v>
      </c>
      <c r="O18" s="13" t="n">
        <v>1760</v>
      </c>
      <c r="P18" s="13" t="n">
        <v>1761</v>
      </c>
      <c r="Q18" s="13" t="n">
        <v>1753</v>
      </c>
      <c r="R18" s="13" t="n">
        <v>1789</v>
      </c>
      <c r="S18" s="13" t="n">
        <v>1868</v>
      </c>
      <c r="T18" s="13" t="n">
        <v>1872</v>
      </c>
      <c r="U18" s="13" t="n">
        <v>1840</v>
      </c>
      <c r="V18" s="13" t="n">
        <v>1900</v>
      </c>
      <c r="W18" s="13" t="n">
        <v>1883</v>
      </c>
      <c r="X18" s="13" t="n">
        <v>2021</v>
      </c>
      <c r="Y18" s="13" t="n">
        <v>1955</v>
      </c>
      <c r="Z18" s="13" t="n">
        <v>1933</v>
      </c>
      <c r="AA18" s="13" t="n">
        <v>1965</v>
      </c>
      <c r="AB18" s="13" t="n">
        <v>2012</v>
      </c>
      <c r="AC18" s="13" t="n">
        <v>1998</v>
      </c>
      <c r="AD18" s="13" t="n">
        <v>2198</v>
      </c>
      <c r="AE18" s="13" t="n">
        <v>2164</v>
      </c>
      <c r="AF18" s="13" t="n">
        <v>2155</v>
      </c>
      <c r="AG18" s="13" t="n">
        <v>2117</v>
      </c>
      <c r="AH18" s="13" t="n">
        <v>2233</v>
      </c>
      <c r="AI18" s="13" t="n">
        <v>2275</v>
      </c>
      <c r="AJ18" s="13" t="n">
        <v>2295</v>
      </c>
      <c r="AK18" s="13" t="n">
        <v>2181</v>
      </c>
      <c r="AL18" s="13" t="n">
        <v>2253</v>
      </c>
      <c r="AM18" s="13" t="n">
        <v>2315</v>
      </c>
      <c r="AN18" s="13" t="n">
        <v>2127</v>
      </c>
      <c r="AO18" s="13" t="n">
        <v>2131</v>
      </c>
      <c r="AP18" s="13" t="n">
        <v>2168</v>
      </c>
      <c r="AQ18" s="13" t="n">
        <v>2348</v>
      </c>
      <c r="AR18" s="13" t="n">
        <v>2396</v>
      </c>
      <c r="AS18" s="13" t="n">
        <v>2400</v>
      </c>
      <c r="AT18" s="13" t="n">
        <v>2491</v>
      </c>
      <c r="AU18" s="13" t="n">
        <v>2524</v>
      </c>
      <c r="AV18" s="13" t="n">
        <v>2387</v>
      </c>
      <c r="AW18" s="13" t="n">
        <v>2464</v>
      </c>
      <c r="AX18" s="13" t="n">
        <v>2414</v>
      </c>
      <c r="AY18" s="13" t="n">
        <v>2519</v>
      </c>
      <c r="AZ18" s="13" t="n">
        <v>2519</v>
      </c>
      <c r="BA18" s="13" t="n">
        <v>2577</v>
      </c>
      <c r="BB18" s="13" t="n">
        <v>2525</v>
      </c>
      <c r="BC18" s="13" t="n">
        <v>2621</v>
      </c>
      <c r="BD18" s="13" t="n">
        <v>2608</v>
      </c>
      <c r="BE18" s="13" t="n">
        <v>2694</v>
      </c>
      <c r="BF18" s="13" t="n">
        <v>2664</v>
      </c>
      <c r="BG18" s="13" t="n">
        <v>2594</v>
      </c>
      <c r="BH18" s="13" t="n">
        <v>2456</v>
      </c>
      <c r="BI18" s="13" t="n">
        <v>2520</v>
      </c>
      <c r="BJ18" s="13" t="n">
        <v>2483</v>
      </c>
      <c r="BK18" s="13" t="n">
        <v>2591</v>
      </c>
      <c r="BL18" s="13" t="n">
        <v>2715</v>
      </c>
    </row>
    <row r="19" ht="15.95" customHeight="1" s="574">
      <c r="A19" s="64" t="inlineStr">
        <is>
          <t>8411</t>
        </is>
      </c>
      <c r="B19" s="673" t="inlineStr">
        <is>
          <t>みずほフィナンシャルＧ</t>
        </is>
      </c>
      <c r="C19" s="676">
        <f>_xll.RssMarket("8411","現在値")</f>
        <v/>
      </c>
      <c r="D19" s="661">
        <f>C19-E19</f>
        <v/>
      </c>
      <c r="E19" s="13" t="n">
        <v>8043</v>
      </c>
      <c r="F19" s="13" t="n">
        <v>7884</v>
      </c>
      <c r="G19" s="13" t="n">
        <v>8006</v>
      </c>
      <c r="H19" s="13" t="n">
        <v>7757</v>
      </c>
      <c r="I19" s="13" t="n">
        <v>7563</v>
      </c>
      <c r="J19" s="13" t="n">
        <v>7394</v>
      </c>
      <c r="K19" s="13" t="n">
        <v>7614</v>
      </c>
      <c r="L19" s="13" t="n">
        <v>7562</v>
      </c>
      <c r="M19" s="13" t="n">
        <v>7716</v>
      </c>
      <c r="N19" s="13" t="n">
        <v>7645</v>
      </c>
      <c r="O19" s="13" t="n">
        <v>7633</v>
      </c>
      <c r="P19" s="13" t="n">
        <v>7346</v>
      </c>
      <c r="Q19" s="13" t="n">
        <v>7185</v>
      </c>
      <c r="R19" s="13" t="n">
        <v>7195</v>
      </c>
      <c r="S19" s="13" t="n">
        <v>7065</v>
      </c>
      <c r="T19" s="13" t="n">
        <v>7217</v>
      </c>
      <c r="U19" s="13" t="n">
        <v>7304</v>
      </c>
      <c r="V19" s="13" t="n">
        <v>7457</v>
      </c>
      <c r="W19" s="13" t="n">
        <v>7301</v>
      </c>
      <c r="X19" s="13" t="n">
        <v>6982</v>
      </c>
      <c r="Y19" s="13" t="n">
        <v>6886</v>
      </c>
      <c r="Z19" s="13" t="n">
        <v>6525</v>
      </c>
      <c r="AA19" s="13" t="n">
        <v>6912</v>
      </c>
      <c r="AB19" s="13" t="n">
        <v>6984</v>
      </c>
      <c r="AC19" s="13" t="n">
        <v>7050</v>
      </c>
      <c r="AD19" s="13" t="n">
        <v>6970</v>
      </c>
      <c r="AE19" s="13" t="n">
        <v>6890</v>
      </c>
      <c r="AF19" s="13" t="n">
        <v>6771</v>
      </c>
      <c r="AG19" s="13" t="n">
        <v>6926</v>
      </c>
      <c r="AH19" s="13" t="n">
        <v>6704</v>
      </c>
      <c r="AI19" s="13" t="n">
        <v>6722</v>
      </c>
      <c r="AJ19" s="13" t="n">
        <v>6936</v>
      </c>
      <c r="AK19" s="13" t="n">
        <v>6598</v>
      </c>
      <c r="AL19" s="13" t="n">
        <v>6427</v>
      </c>
      <c r="AM19" s="13" t="n">
        <v>6482</v>
      </c>
      <c r="AN19" s="13" t="n">
        <v>6613</v>
      </c>
      <c r="AO19" s="13" t="n">
        <v>6647</v>
      </c>
      <c r="AP19" s="13" t="n">
        <v>6775</v>
      </c>
      <c r="AQ19" s="13" t="n">
        <v>6768</v>
      </c>
      <c r="AR19" s="13" t="n">
        <v>6872</v>
      </c>
      <c r="AS19" s="13" t="n">
        <v>6955</v>
      </c>
      <c r="AT19" s="13" t="n">
        <v>6790</v>
      </c>
      <c r="AU19" s="13" t="n">
        <v>6735</v>
      </c>
      <c r="AV19" s="13" t="n">
        <v>6786</v>
      </c>
      <c r="AW19" s="13" t="n">
        <v>6730</v>
      </c>
      <c r="AX19" s="13" t="n">
        <v>6946</v>
      </c>
      <c r="AY19" s="13" t="n">
        <v>6539</v>
      </c>
      <c r="AZ19" s="13" t="n">
        <v>6475</v>
      </c>
      <c r="BA19" s="13" t="n">
        <v>6468</v>
      </c>
      <c r="BB19" s="13" t="n">
        <v>6424</v>
      </c>
      <c r="BC19" s="13" t="n">
        <v>6609</v>
      </c>
      <c r="BD19" s="13" t="n">
        <v>6087</v>
      </c>
      <c r="BE19" s="13" t="n">
        <v>6135</v>
      </c>
      <c r="BF19" s="13" t="n">
        <v>6379</v>
      </c>
      <c r="BG19" s="13" t="n">
        <v>6368</v>
      </c>
      <c r="BH19" s="13" t="n">
        <v>6421</v>
      </c>
      <c r="BI19" s="13" t="n">
        <v>6159</v>
      </c>
      <c r="BJ19" s="13" t="n">
        <v>5929</v>
      </c>
      <c r="BK19" s="13" t="n">
        <v>6150</v>
      </c>
      <c r="BL19" s="13" t="n">
        <v>6320</v>
      </c>
    </row>
    <row r="20" ht="15.95" customHeight="1" s="574">
      <c r="A20" s="64" t="inlineStr">
        <is>
          <t>5541</t>
        </is>
      </c>
      <c r="B20" s="673" t="inlineStr">
        <is>
          <t>大平洋金属</t>
        </is>
      </c>
      <c r="C20" s="676">
        <f>_xll.RssMarket("5541","現在値")</f>
        <v/>
      </c>
      <c r="D20" s="661">
        <f>C20-E20</f>
        <v/>
      </c>
      <c r="E20" s="13" t="n">
        <v>2320</v>
      </c>
      <c r="F20" s="13" t="n">
        <v>2269</v>
      </c>
      <c r="G20" s="13" t="n">
        <v>2285</v>
      </c>
      <c r="H20" s="13" t="n">
        <v>2271</v>
      </c>
      <c r="I20" s="13" t="n">
        <v>2175</v>
      </c>
      <c r="J20" s="13" t="n">
        <v>2109</v>
      </c>
      <c r="K20" s="13" t="n">
        <v>2134</v>
      </c>
      <c r="L20" s="13" t="n">
        <v>2200</v>
      </c>
      <c r="M20" s="13" t="n">
        <v>2273</v>
      </c>
      <c r="N20" s="13" t="n">
        <v>2263</v>
      </c>
      <c r="O20" s="13" t="n">
        <v>2319</v>
      </c>
      <c r="P20" s="13" t="n">
        <v>2230</v>
      </c>
      <c r="Q20" s="13" t="n">
        <v>2245</v>
      </c>
      <c r="R20" s="13" t="n">
        <v>2311</v>
      </c>
      <c r="S20" s="13" t="n">
        <v>2248</v>
      </c>
      <c r="T20" s="13" t="n">
        <v>2294</v>
      </c>
      <c r="U20" s="13" t="n">
        <v>2220</v>
      </c>
      <c r="V20" s="13" t="n">
        <v>2166</v>
      </c>
      <c r="W20" s="13" t="n">
        <v>2165</v>
      </c>
      <c r="X20" s="13" t="n">
        <v>2138</v>
      </c>
      <c r="Y20" s="13" t="n">
        <v>2231</v>
      </c>
      <c r="Z20" s="13" t="n">
        <v>2254</v>
      </c>
      <c r="AA20" s="13" t="n">
        <v>2404</v>
      </c>
      <c r="AB20" s="13" t="n">
        <v>2380</v>
      </c>
      <c r="AC20" s="13" t="n">
        <v>2472</v>
      </c>
      <c r="AD20" s="13" t="n">
        <v>2312</v>
      </c>
      <c r="AE20" s="13" t="n">
        <v>2664</v>
      </c>
      <c r="AF20" s="13" t="n">
        <v>2649</v>
      </c>
      <c r="AG20" s="13" t="n">
        <v>2627</v>
      </c>
      <c r="AH20" s="13" t="n">
        <v>2580</v>
      </c>
      <c r="AI20" s="13" t="n">
        <v>2522</v>
      </c>
      <c r="AJ20" s="13" t="n">
        <v>2656</v>
      </c>
      <c r="AK20" s="13" t="n">
        <v>2431</v>
      </c>
      <c r="AL20" s="13" t="n">
        <v>2442</v>
      </c>
      <c r="AM20" s="13" t="n">
        <v>2463</v>
      </c>
      <c r="AN20" s="13" t="n">
        <v>2487</v>
      </c>
      <c r="AO20" s="13" t="n">
        <v>2554</v>
      </c>
      <c r="AP20" s="13" t="n">
        <v>2520</v>
      </c>
      <c r="AQ20" s="13" t="n">
        <v>2582</v>
      </c>
      <c r="AR20" s="13" t="n">
        <v>2726</v>
      </c>
      <c r="AS20" s="13" t="n">
        <v>2649</v>
      </c>
      <c r="AT20" s="13" t="n">
        <v>2677</v>
      </c>
      <c r="AU20" s="13" t="n">
        <v>2619</v>
      </c>
      <c r="AV20" s="13" t="n">
        <v>2673</v>
      </c>
      <c r="AW20" s="13" t="n">
        <v>2706</v>
      </c>
      <c r="AX20" s="13" t="n">
        <v>2826</v>
      </c>
      <c r="AY20" s="13" t="n">
        <v>2664</v>
      </c>
      <c r="AZ20" s="13" t="n">
        <v>2697</v>
      </c>
      <c r="BA20" s="13" t="n">
        <v>2683</v>
      </c>
      <c r="BB20" s="13" t="n">
        <v>2641</v>
      </c>
      <c r="BC20" s="13" t="n">
        <v>2754</v>
      </c>
      <c r="BD20" s="13" t="n">
        <v>2627</v>
      </c>
      <c r="BE20" s="13" t="n">
        <v>2710</v>
      </c>
      <c r="BF20" s="13" t="n">
        <v>2843</v>
      </c>
      <c r="BG20" s="13" t="n">
        <v>2763</v>
      </c>
      <c r="BH20" s="13" t="n">
        <v>2817</v>
      </c>
      <c r="BI20" s="13" t="n">
        <v>2749</v>
      </c>
      <c r="BJ20" s="13" t="n">
        <v>2673</v>
      </c>
      <c r="BK20" s="13" t="n">
        <v>3175</v>
      </c>
      <c r="BL20" s="13" t="n">
        <v>3065</v>
      </c>
    </row>
    <row r="21" ht="15.95" customHeight="1" s="574">
      <c r="A21" s="64" t="inlineStr">
        <is>
          <t>5332</t>
        </is>
      </c>
      <c r="B21" s="673" t="inlineStr">
        <is>
          <t>ＴＯＴＯ</t>
        </is>
      </c>
      <c r="C21" s="676">
        <f>_xll.RssMarket("5332","現在値")</f>
        <v/>
      </c>
      <c r="D21" s="661">
        <f>C21-E21</f>
        <v/>
      </c>
      <c r="E21" s="13" t="n">
        <v>9315</v>
      </c>
      <c r="F21" s="13" t="n">
        <v>8390</v>
      </c>
      <c r="G21" s="13" t="n">
        <v>8297</v>
      </c>
      <c r="H21" s="13" t="n">
        <v>8144</v>
      </c>
      <c r="I21" s="13" t="n">
        <v>7681</v>
      </c>
      <c r="J21" s="13" t="n">
        <v>7450</v>
      </c>
      <c r="K21" s="13" t="n">
        <v>7500</v>
      </c>
      <c r="L21" s="13" t="n">
        <v>7664</v>
      </c>
      <c r="M21" s="13" t="n">
        <v>8003</v>
      </c>
      <c r="N21" s="13" t="n">
        <v>8026</v>
      </c>
      <c r="O21" s="13" t="n">
        <v>7926</v>
      </c>
      <c r="P21" s="13" t="n">
        <v>7284</v>
      </c>
      <c r="Q21" s="13" t="n">
        <v>7577</v>
      </c>
      <c r="R21" s="13" t="n">
        <v>7678</v>
      </c>
      <c r="S21" s="13" t="n">
        <v>7381</v>
      </c>
      <c r="T21" s="13" t="n">
        <v>7290</v>
      </c>
      <c r="U21" s="13" t="n">
        <v>7057</v>
      </c>
      <c r="V21" s="13" t="n">
        <v>6820</v>
      </c>
      <c r="W21" s="13" t="n">
        <v>6570</v>
      </c>
      <c r="X21" s="13" t="n">
        <v>6399</v>
      </c>
      <c r="Y21" s="13" t="n">
        <v>6689</v>
      </c>
      <c r="Z21" s="13" t="n">
        <v>6929</v>
      </c>
      <c r="AA21" s="13" t="n">
        <v>7127</v>
      </c>
      <c r="AB21" s="13" t="n">
        <v>7235</v>
      </c>
      <c r="AC21" s="13" t="n">
        <v>6906</v>
      </c>
      <c r="AD21" s="13" t="n">
        <v>6896</v>
      </c>
      <c r="AE21" s="13" t="n">
        <v>7175</v>
      </c>
      <c r="AF21" s="13" t="n">
        <v>7083</v>
      </c>
      <c r="AG21" s="13" t="n">
        <v>6740</v>
      </c>
      <c r="AH21" s="13" t="n">
        <v>6425</v>
      </c>
      <c r="AI21" s="13" t="n">
        <v>5425</v>
      </c>
      <c r="AJ21" s="13" t="n">
        <v>5425</v>
      </c>
      <c r="AK21" s="13" t="n">
        <v>5373</v>
      </c>
      <c r="AL21" s="13" t="n">
        <v>5346</v>
      </c>
      <c r="AM21" s="13" t="n">
        <v>5221</v>
      </c>
      <c r="AN21" s="13" t="n">
        <v>5242</v>
      </c>
      <c r="AO21" s="13" t="n">
        <v>5384</v>
      </c>
      <c r="AP21" s="13" t="n">
        <v>5547</v>
      </c>
      <c r="AQ21" s="13" t="n">
        <v>5522</v>
      </c>
      <c r="AR21" s="13" t="n">
        <v>5578</v>
      </c>
      <c r="AS21" s="13" t="n">
        <v>5500</v>
      </c>
      <c r="AT21" s="13" t="n">
        <v>5421</v>
      </c>
      <c r="AU21" s="13" t="n">
        <v>5322</v>
      </c>
      <c r="AV21" s="13" t="n">
        <v>5732</v>
      </c>
      <c r="AW21" s="13" t="n">
        <v>5732</v>
      </c>
      <c r="AX21" s="13" t="n">
        <v>5709</v>
      </c>
      <c r="AY21" s="13" t="n">
        <v>5410</v>
      </c>
      <c r="AZ21" s="13" t="n">
        <v>5270</v>
      </c>
      <c r="BA21" s="13" t="n">
        <v>5212</v>
      </c>
      <c r="BB21" s="13" t="n">
        <v>5171</v>
      </c>
      <c r="BC21" s="13" t="n">
        <v>5288</v>
      </c>
      <c r="BD21" s="13" t="n">
        <v>5090</v>
      </c>
      <c r="BE21" s="13" t="n">
        <v>5252</v>
      </c>
      <c r="BF21" s="13" t="n">
        <v>5429</v>
      </c>
      <c r="BG21" s="13" t="n">
        <v>5569</v>
      </c>
      <c r="BH21" s="13" t="n">
        <v>5903</v>
      </c>
      <c r="BI21" s="13" t="n">
        <v>5669</v>
      </c>
      <c r="BJ21" s="13" t="n">
        <v>5516</v>
      </c>
      <c r="BK21" s="13" t="n">
        <v>5721</v>
      </c>
      <c r="BL21" s="13" t="n">
        <v>5941</v>
      </c>
    </row>
    <row r="22" ht="15.95" customHeight="1" s="574">
      <c r="A22" s="64" t="inlineStr">
        <is>
          <t>8725</t>
        </is>
      </c>
      <c r="B22" s="673" t="inlineStr">
        <is>
          <t>ＭＳ＆ＡＤ</t>
        </is>
      </c>
      <c r="C22" s="676">
        <f>_xll.RssMarket("8725","現在値")</f>
        <v/>
      </c>
      <c r="D22" s="661">
        <f>C22-E22</f>
        <v/>
      </c>
      <c r="E22" s="13" t="n">
        <v>4640</v>
      </c>
      <c r="F22" s="13" t="n">
        <v>4551</v>
      </c>
      <c r="G22" s="13" t="n">
        <v>4557</v>
      </c>
      <c r="H22" s="13" t="n">
        <v>4616</v>
      </c>
      <c r="I22" s="13" t="n">
        <v>4597</v>
      </c>
      <c r="J22" s="13" t="n">
        <v>4552</v>
      </c>
      <c r="K22" s="13" t="n">
        <v>4597</v>
      </c>
      <c r="L22" s="13" t="n">
        <v>4402</v>
      </c>
      <c r="M22" s="13" t="n">
        <v>4325</v>
      </c>
      <c r="N22" s="13" t="n">
        <v>4247</v>
      </c>
      <c r="O22" s="13" t="n">
        <v>4294</v>
      </c>
      <c r="P22" s="13" t="n">
        <v>4266</v>
      </c>
      <c r="Q22" s="13" t="n">
        <v>4298</v>
      </c>
      <c r="R22" s="13" t="n">
        <v>4287</v>
      </c>
      <c r="S22" s="13" t="n">
        <v>4245</v>
      </c>
      <c r="T22" s="13" t="n">
        <v>4290</v>
      </c>
      <c r="U22" s="13" t="n">
        <v>4216</v>
      </c>
      <c r="V22" s="13" t="n">
        <v>4245</v>
      </c>
      <c r="W22" s="13" t="n">
        <v>4350</v>
      </c>
      <c r="X22" s="13" t="n">
        <v>4420</v>
      </c>
      <c r="Y22" s="13" t="n">
        <v>4503</v>
      </c>
      <c r="Z22" s="13" t="n">
        <v>4420</v>
      </c>
      <c r="AA22" s="13" t="n">
        <v>4391</v>
      </c>
      <c r="AB22" s="13" t="n">
        <v>4399</v>
      </c>
      <c r="AC22" s="13" t="n">
        <v>4414</v>
      </c>
      <c r="AD22" s="13" t="n">
        <v>4285</v>
      </c>
      <c r="AE22" s="13" t="n">
        <v>4024</v>
      </c>
      <c r="AF22" s="13" t="n">
        <v>3978</v>
      </c>
      <c r="AG22" s="13" t="n">
        <v>4003</v>
      </c>
      <c r="AH22" s="13" t="n">
        <v>3996</v>
      </c>
      <c r="AI22" s="13" t="n">
        <v>4034</v>
      </c>
      <c r="AJ22" s="13" t="n">
        <v>4019</v>
      </c>
      <c r="AK22" s="13" t="n">
        <v>3931</v>
      </c>
      <c r="AL22" s="13" t="n">
        <v>3946</v>
      </c>
      <c r="AM22" s="13" t="n">
        <v>3974</v>
      </c>
      <c r="AN22" s="13" t="n">
        <v>3996</v>
      </c>
      <c r="AO22" s="13" t="n">
        <v>4014</v>
      </c>
      <c r="AP22" s="13" t="n">
        <v>4026</v>
      </c>
      <c r="AQ22" s="13" t="n">
        <v>4055</v>
      </c>
      <c r="AR22" s="13" t="n">
        <v>4121</v>
      </c>
      <c r="AS22" s="13" t="n">
        <v>4046</v>
      </c>
      <c r="AT22" s="13" t="n">
        <v>4046</v>
      </c>
      <c r="AU22" s="13" t="n">
        <v>4064</v>
      </c>
      <c r="AV22" s="13" t="n">
        <v>4077</v>
      </c>
      <c r="AW22" s="13" t="n">
        <v>4115</v>
      </c>
      <c r="AX22" s="13" t="n">
        <v>4158</v>
      </c>
      <c r="AY22" s="13" t="n">
        <v>4089</v>
      </c>
      <c r="AZ22" s="13" t="n">
        <v>4128</v>
      </c>
      <c r="BA22" s="13" t="n">
        <v>4136</v>
      </c>
      <c r="BB22" s="13" t="n">
        <v>4097</v>
      </c>
      <c r="BC22" s="13" t="n">
        <v>4203</v>
      </c>
      <c r="BD22" s="13" t="n">
        <v>4032</v>
      </c>
      <c r="BE22" s="13" t="n">
        <v>4021</v>
      </c>
      <c r="BF22" s="13" t="n">
        <v>4208</v>
      </c>
      <c r="BG22" s="13" t="n">
        <v>4151</v>
      </c>
      <c r="BH22" s="13" t="n">
        <v>4214</v>
      </c>
      <c r="BI22" s="13" t="n">
        <v>4011</v>
      </c>
      <c r="BJ22" s="13" t="n">
        <v>3890</v>
      </c>
      <c r="BK22" s="13" t="n">
        <v>4028</v>
      </c>
      <c r="BL22" s="13" t="n">
        <v>4139</v>
      </c>
    </row>
    <row r="23" ht="15.95" customHeight="1" s="574">
      <c r="A23" s="64" t="inlineStr">
        <is>
          <t>8795</t>
        </is>
      </c>
      <c r="B23" s="673" t="inlineStr">
        <is>
          <t>Ｔ＆Ｄホールディングス</t>
        </is>
      </c>
      <c r="C23" s="676">
        <f>_xll.RssMarket("8795","現在値")</f>
        <v/>
      </c>
      <c r="D23" s="661">
        <f>C23-E23</f>
        <v/>
      </c>
      <c r="E23" s="13" t="n">
        <v>4984</v>
      </c>
      <c r="F23" s="13" t="n">
        <v>4894</v>
      </c>
      <c r="G23" s="13" t="n">
        <v>4746</v>
      </c>
      <c r="H23" s="13" t="n">
        <v>4902</v>
      </c>
      <c r="I23" s="13" t="n">
        <v>4712</v>
      </c>
      <c r="J23" s="13" t="n">
        <v>4656</v>
      </c>
      <c r="K23" s="13" t="n">
        <v>4686</v>
      </c>
      <c r="L23" s="13" t="n">
        <v>4395</v>
      </c>
      <c r="M23" s="13" t="n">
        <v>4390</v>
      </c>
      <c r="N23" s="13" t="n">
        <v>4125</v>
      </c>
      <c r="O23" s="13" t="n">
        <v>4231</v>
      </c>
      <c r="P23" s="13" t="n">
        <v>4250</v>
      </c>
      <c r="Q23" s="13" t="n">
        <v>4202</v>
      </c>
      <c r="R23" s="13" t="n">
        <v>4194</v>
      </c>
      <c r="S23" s="13" t="n">
        <v>4095</v>
      </c>
      <c r="T23" s="13" t="n">
        <v>4151</v>
      </c>
      <c r="U23" s="13" t="n">
        <v>4091</v>
      </c>
      <c r="V23" s="13" t="n">
        <v>4118</v>
      </c>
      <c r="W23" s="13" t="n">
        <v>4075</v>
      </c>
      <c r="X23" s="13" t="n">
        <v>4140</v>
      </c>
      <c r="Y23" s="13" t="n">
        <v>4151</v>
      </c>
      <c r="Z23" s="13" t="n">
        <v>4001</v>
      </c>
      <c r="AA23" s="13" t="n">
        <v>3949</v>
      </c>
      <c r="AB23" s="13" t="n">
        <v>4002</v>
      </c>
      <c r="AC23" s="13" t="n">
        <v>3987</v>
      </c>
      <c r="AD23" s="13" t="n">
        <v>3957</v>
      </c>
      <c r="AE23" s="13" t="n">
        <v>3986</v>
      </c>
      <c r="AF23" s="13" t="n">
        <v>3878</v>
      </c>
      <c r="AG23" s="13" t="n">
        <v>3939</v>
      </c>
      <c r="AH23" s="13" t="n">
        <v>3782</v>
      </c>
      <c r="AI23" s="13" t="n">
        <v>3792</v>
      </c>
      <c r="AJ23" s="13" t="n">
        <v>3773</v>
      </c>
      <c r="AK23" s="13" t="n">
        <v>3655</v>
      </c>
      <c r="AL23" s="13" t="n">
        <v>3680</v>
      </c>
      <c r="AM23" s="13" t="n">
        <v>3704</v>
      </c>
      <c r="AN23" s="13" t="n">
        <v>3767</v>
      </c>
      <c r="AO23" s="13" t="n">
        <v>3820</v>
      </c>
      <c r="AP23" s="13" t="n">
        <v>3921</v>
      </c>
      <c r="AQ23" s="13" t="n">
        <v>4000</v>
      </c>
      <c r="AR23" s="13" t="n">
        <v>4083</v>
      </c>
      <c r="AS23" s="13" t="n">
        <v>4012</v>
      </c>
      <c r="AT23" s="13" t="n">
        <v>4068</v>
      </c>
      <c r="AU23" s="13" t="n">
        <v>4005</v>
      </c>
      <c r="AV23" s="13" t="n">
        <v>4024</v>
      </c>
      <c r="AW23" s="13" t="n">
        <v>4053</v>
      </c>
      <c r="AX23" s="13" t="n">
        <v>4132</v>
      </c>
      <c r="AY23" s="13" t="n">
        <v>3963</v>
      </c>
      <c r="AZ23" s="13" t="n">
        <v>3874</v>
      </c>
      <c r="BA23" s="13" t="n">
        <v>4152</v>
      </c>
      <c r="BB23" s="13" t="n">
        <v>4114</v>
      </c>
      <c r="BC23" s="13" t="n">
        <v>4234</v>
      </c>
      <c r="BD23" s="13" t="n">
        <v>3956</v>
      </c>
      <c r="BE23" s="13" t="n">
        <v>3880</v>
      </c>
      <c r="BF23" s="13" t="n">
        <v>4017</v>
      </c>
      <c r="BG23" s="13" t="n">
        <v>3944</v>
      </c>
      <c r="BH23" s="13" t="n">
        <v>3968</v>
      </c>
      <c r="BI23" s="13" t="n">
        <v>3746</v>
      </c>
      <c r="BJ23" s="13" t="n">
        <v>3626</v>
      </c>
      <c r="BK23" s="13" t="n">
        <v>3735</v>
      </c>
      <c r="BL23" s="13" t="n">
        <v>3830</v>
      </c>
    </row>
    <row r="24" ht="15.95" customHeight="1" s="574">
      <c r="A24" s="64" t="inlineStr">
        <is>
          <t>5019</t>
        </is>
      </c>
      <c r="B24" s="673" t="inlineStr">
        <is>
          <t>出光興産</t>
        </is>
      </c>
      <c r="C24" s="676">
        <f>_xll.RssMarket("5019","現在値")</f>
        <v/>
      </c>
      <c r="D24" s="661">
        <f>C24-E24</f>
        <v/>
      </c>
      <c r="E24" s="13" t="n">
        <v>1254</v>
      </c>
      <c r="F24" s="13" t="n">
        <v>1259.5</v>
      </c>
      <c r="G24" s="13" t="n">
        <v>1284.5</v>
      </c>
      <c r="H24" s="13" t="n">
        <v>1287.5</v>
      </c>
      <c r="I24" s="13" t="n">
        <v>1314.5</v>
      </c>
      <c r="J24" s="13" t="n">
        <v>1344</v>
      </c>
      <c r="K24" s="13" t="n">
        <v>1332</v>
      </c>
      <c r="L24" s="13" t="n">
        <v>1348.5</v>
      </c>
      <c r="M24" s="13" t="n">
        <v>1381</v>
      </c>
      <c r="N24" s="13" t="n">
        <v>1397</v>
      </c>
      <c r="O24" s="13" t="n">
        <v>1407.5</v>
      </c>
      <c r="P24" s="13" t="n">
        <v>1354.5</v>
      </c>
      <c r="Q24" s="13" t="n">
        <v>1357</v>
      </c>
      <c r="R24" s="13" t="n">
        <v>1398.5</v>
      </c>
      <c r="S24" s="13" t="n">
        <v>1314.5</v>
      </c>
      <c r="T24" s="13" t="n">
        <v>1326.5</v>
      </c>
      <c r="U24" s="13" t="n">
        <v>1313</v>
      </c>
      <c r="V24" s="13" t="n">
        <v>1332</v>
      </c>
      <c r="W24" s="13" t="n">
        <v>1346</v>
      </c>
      <c r="X24" s="13" t="n">
        <v>1374.5</v>
      </c>
      <c r="Y24" s="13" t="n">
        <v>1376.5</v>
      </c>
      <c r="Z24" s="13" t="n">
        <v>1365.5</v>
      </c>
      <c r="AA24" s="13" t="n">
        <v>1428</v>
      </c>
      <c r="AB24" s="13" t="n">
        <v>1417.5</v>
      </c>
      <c r="AC24" s="13" t="n">
        <v>1389</v>
      </c>
      <c r="AD24" s="13" t="n">
        <v>1394</v>
      </c>
      <c r="AE24" s="13" t="n">
        <v>1360</v>
      </c>
      <c r="AF24" s="13" t="n">
        <v>1340.5</v>
      </c>
      <c r="AG24" s="13" t="n">
        <v>1370</v>
      </c>
      <c r="AH24" s="13" t="n">
        <v>1348.5</v>
      </c>
      <c r="AI24" s="13" t="n">
        <v>1348</v>
      </c>
      <c r="AJ24" s="13" t="n">
        <v>1315</v>
      </c>
      <c r="AK24" s="13" t="n">
        <v>1336</v>
      </c>
      <c r="AL24" s="13" t="n">
        <v>1345.5</v>
      </c>
      <c r="AM24" s="13" t="n">
        <v>1385</v>
      </c>
      <c r="AN24" s="13" t="n">
        <v>1411.5</v>
      </c>
      <c r="AO24" s="13" t="n">
        <v>1444.5</v>
      </c>
      <c r="AP24" s="13" t="n">
        <v>1487.5</v>
      </c>
      <c r="AQ24" s="13" t="n">
        <v>1505</v>
      </c>
      <c r="AR24" s="13" t="n">
        <v>1509</v>
      </c>
      <c r="AS24" s="13" t="n">
        <v>1536</v>
      </c>
      <c r="AT24" s="13" t="n">
        <v>1545.5</v>
      </c>
      <c r="AU24" s="13" t="n">
        <v>1544</v>
      </c>
      <c r="AV24" s="13" t="n">
        <v>1558.5</v>
      </c>
      <c r="AW24" s="13" t="n">
        <v>1561.5</v>
      </c>
      <c r="AX24" s="13" t="n">
        <v>1659</v>
      </c>
      <c r="AY24" s="13" t="n">
        <v>1627</v>
      </c>
      <c r="AZ24" s="13" t="n">
        <v>1595</v>
      </c>
      <c r="BA24" s="13" t="n">
        <v>1560</v>
      </c>
      <c r="BB24" s="13" t="n">
        <v>1595.5</v>
      </c>
      <c r="BC24" s="13" t="n">
        <v>1541.5</v>
      </c>
      <c r="BD24" s="13" t="n">
        <v>1557.5</v>
      </c>
      <c r="BE24" s="13" t="n">
        <v>1553.5</v>
      </c>
      <c r="BF24" s="13" t="n">
        <v>1528</v>
      </c>
      <c r="BG24" s="13" t="n">
        <v>1488.5</v>
      </c>
      <c r="BH24" s="13" t="n">
        <v>1460</v>
      </c>
      <c r="BI24" s="13" t="n">
        <v>1407.5</v>
      </c>
      <c r="BJ24" s="13" t="n">
        <v>1479</v>
      </c>
      <c r="BK24" s="13" t="n">
        <v>1536.5</v>
      </c>
      <c r="BL24" s="13" t="n">
        <v>1478</v>
      </c>
    </row>
    <row r="25" ht="15.95" customHeight="1" s="574">
      <c r="A25" s="64" t="inlineStr">
        <is>
          <t>8053</t>
        </is>
      </c>
      <c r="B25" s="673" t="inlineStr">
        <is>
          <t>住友商事</t>
        </is>
      </c>
      <c r="C25" s="676">
        <f>_xll.RssMarket("8053","現在値")</f>
        <v/>
      </c>
      <c r="D25" s="661">
        <f>C25-E25</f>
        <v/>
      </c>
      <c r="E25" s="13" t="n">
        <v>6489</v>
      </c>
      <c r="F25" s="13" t="n">
        <v>6435</v>
      </c>
      <c r="G25" s="13" t="n">
        <v>6547</v>
      </c>
      <c r="H25" s="13" t="n">
        <v>6529</v>
      </c>
      <c r="I25" s="13" t="n">
        <v>6259</v>
      </c>
      <c r="J25" s="13" t="n">
        <v>6186</v>
      </c>
      <c r="K25" s="13" t="n">
        <v>6338</v>
      </c>
      <c r="L25" s="13" t="n">
        <v>6617</v>
      </c>
      <c r="M25" s="13" t="n">
        <v>6842</v>
      </c>
      <c r="N25" s="13" t="n">
        <v>6775</v>
      </c>
      <c r="O25" s="13" t="n">
        <v>6842</v>
      </c>
      <c r="P25" s="13" t="n">
        <v>6820</v>
      </c>
      <c r="Q25" s="13" t="n">
        <v>6982</v>
      </c>
      <c r="R25" s="13" t="n">
        <v>7099</v>
      </c>
      <c r="S25" s="13" t="n">
        <v>7105</v>
      </c>
      <c r="T25" s="13" t="n">
        <v>7190</v>
      </c>
      <c r="U25" s="13" t="n">
        <v>7361</v>
      </c>
      <c r="V25" s="13" t="n">
        <v>7131</v>
      </c>
      <c r="W25" s="13" t="n">
        <v>7120</v>
      </c>
      <c r="X25" s="13" t="n">
        <v>7011</v>
      </c>
      <c r="Y25" s="13" t="n">
        <v>7217</v>
      </c>
      <c r="Z25" s="13" t="n">
        <v>7257</v>
      </c>
      <c r="AA25" s="13" t="n">
        <v>7510</v>
      </c>
      <c r="AB25" s="13" t="n">
        <v>7540</v>
      </c>
      <c r="AC25" s="13" t="n">
        <v>7699</v>
      </c>
      <c r="AD25" s="13" t="n">
        <v>7428</v>
      </c>
      <c r="AE25" s="13" t="n">
        <v>7206</v>
      </c>
      <c r="AF25" s="13" t="n">
        <v>7180</v>
      </c>
      <c r="AG25" s="13" t="n">
        <v>7400</v>
      </c>
      <c r="AH25" s="13" t="n">
        <v>6840</v>
      </c>
      <c r="AI25" s="13" t="n">
        <v>5840</v>
      </c>
      <c r="AJ25" s="13" t="n">
        <v>5801</v>
      </c>
      <c r="AK25" s="13" t="n">
        <v>5693</v>
      </c>
      <c r="AL25" s="13" t="n">
        <v>5781</v>
      </c>
      <c r="AM25" s="13" t="n">
        <v>5754</v>
      </c>
      <c r="AN25" s="13" t="n">
        <v>5821</v>
      </c>
      <c r="AO25" s="13" t="n">
        <v>5990</v>
      </c>
      <c r="AP25" s="13" t="n">
        <v>6000</v>
      </c>
      <c r="AQ25" s="13" t="n">
        <v>6015</v>
      </c>
      <c r="AR25" s="13" t="n">
        <v>6094</v>
      </c>
      <c r="AS25" s="13" t="n">
        <v>6062</v>
      </c>
      <c r="AT25" s="13" t="n">
        <v>6069</v>
      </c>
      <c r="AU25" s="13" t="n">
        <v>6035</v>
      </c>
      <c r="AV25" s="13" t="n">
        <v>6084</v>
      </c>
      <c r="AW25" s="13" t="n">
        <v>6231</v>
      </c>
      <c r="AX25" s="13" t="n">
        <v>6253</v>
      </c>
      <c r="AY25" s="13" t="n">
        <v>6045</v>
      </c>
      <c r="AZ25" s="13" t="n">
        <v>5963</v>
      </c>
      <c r="BA25" s="13" t="n">
        <v>6035</v>
      </c>
      <c r="BB25" s="13" t="n">
        <v>6001</v>
      </c>
      <c r="BC25" s="13" t="n">
        <v>6182</v>
      </c>
      <c r="BD25" s="13" t="n">
        <v>5780</v>
      </c>
      <c r="BE25" s="13" t="n">
        <v>5852</v>
      </c>
      <c r="BF25" s="13" t="n">
        <v>5991</v>
      </c>
      <c r="BG25" s="13" t="n">
        <v>5887</v>
      </c>
      <c r="BH25" s="13" t="n">
        <v>5832</v>
      </c>
      <c r="BI25" s="13" t="n">
        <v>5702</v>
      </c>
      <c r="BJ25" s="13" t="n">
        <v>5472</v>
      </c>
      <c r="BK25" s="13" t="n">
        <v>5700</v>
      </c>
      <c r="BL25" s="13" t="n">
        <v>5992</v>
      </c>
    </row>
    <row r="26" ht="15.95" customHeight="1" s="574">
      <c r="A26" s="64" t="inlineStr">
        <is>
          <t>8591</t>
        </is>
      </c>
      <c r="B26" s="673" t="inlineStr">
        <is>
          <t>オリックス</t>
        </is>
      </c>
      <c r="C26" s="676">
        <f>_xll.RssMarket("8591","現在値")</f>
        <v/>
      </c>
      <c r="D26" s="661">
        <f>C26-E26</f>
        <v/>
      </c>
      <c r="E26" s="13" t="n">
        <v>6485</v>
      </c>
      <c r="F26" s="13" t="n">
        <v>6325</v>
      </c>
      <c r="G26" s="13" t="n">
        <v>6336</v>
      </c>
      <c r="H26" s="13" t="n">
        <v>6305</v>
      </c>
      <c r="I26" s="13" t="n">
        <v>6092</v>
      </c>
      <c r="J26" s="13" t="n">
        <v>6050</v>
      </c>
      <c r="K26" s="13" t="n">
        <v>6167</v>
      </c>
      <c r="L26" s="13" t="n">
        <v>6101</v>
      </c>
      <c r="M26" s="13" t="n">
        <v>6113</v>
      </c>
      <c r="N26" s="13" t="n">
        <v>6250</v>
      </c>
      <c r="O26" s="13" t="n">
        <v>6300</v>
      </c>
      <c r="P26" s="13" t="n">
        <v>6220</v>
      </c>
      <c r="Q26" s="13" t="n">
        <v>6205</v>
      </c>
      <c r="R26" s="13" t="n">
        <v>6237</v>
      </c>
      <c r="S26" s="13" t="n">
        <v>6124</v>
      </c>
      <c r="T26" s="13" t="n">
        <v>6156</v>
      </c>
      <c r="U26" s="13" t="n">
        <v>6286</v>
      </c>
      <c r="V26" s="13" t="n">
        <v>6230</v>
      </c>
      <c r="W26" s="13" t="n">
        <v>6241</v>
      </c>
      <c r="X26" s="13" t="n">
        <v>6052</v>
      </c>
      <c r="Y26" s="13" t="n">
        <v>5914</v>
      </c>
      <c r="Z26" s="13" t="n">
        <v>5778</v>
      </c>
      <c r="AA26" s="13" t="n">
        <v>5772</v>
      </c>
      <c r="AB26" s="13" t="n">
        <v>5787</v>
      </c>
      <c r="AC26" s="13" t="n">
        <v>6018</v>
      </c>
      <c r="AD26" s="13" t="n">
        <v>5986</v>
      </c>
      <c r="AE26" s="13" t="n">
        <v>5514</v>
      </c>
      <c r="AF26" s="13" t="n">
        <v>5277</v>
      </c>
      <c r="AG26" s="13" t="n">
        <v>5252</v>
      </c>
      <c r="AH26" s="13" t="n">
        <v>5209</v>
      </c>
      <c r="AI26" s="13" t="n">
        <v>5275</v>
      </c>
      <c r="AJ26" s="13" t="n">
        <v>5350</v>
      </c>
      <c r="AK26" s="13" t="n">
        <v>4871</v>
      </c>
      <c r="AL26" s="13" t="n">
        <v>4846</v>
      </c>
      <c r="AM26" s="13" t="n">
        <v>4850</v>
      </c>
      <c r="AN26" s="13" t="n">
        <v>4897</v>
      </c>
      <c r="AO26" s="13" t="n">
        <v>4947</v>
      </c>
      <c r="AP26" s="13" t="n">
        <v>5040</v>
      </c>
      <c r="AQ26" s="13" t="n">
        <v>5010</v>
      </c>
      <c r="AR26" s="13" t="n">
        <v>5069</v>
      </c>
      <c r="AS26" s="13" t="n">
        <v>5033</v>
      </c>
      <c r="AT26" s="13" t="n">
        <v>4982</v>
      </c>
      <c r="AU26" s="13" t="n">
        <v>4835</v>
      </c>
      <c r="AV26" s="13" t="n">
        <v>4879</v>
      </c>
      <c r="AW26" s="13" t="n">
        <v>4842</v>
      </c>
      <c r="AX26" s="13" t="n">
        <v>4897</v>
      </c>
      <c r="AY26" s="13" t="n">
        <v>4731</v>
      </c>
      <c r="AZ26" s="13" t="n">
        <v>4681</v>
      </c>
      <c r="BA26" s="13" t="n">
        <v>4704</v>
      </c>
      <c r="BB26" s="13" t="n">
        <v>4677</v>
      </c>
      <c r="BC26" s="13" t="n">
        <v>4760</v>
      </c>
      <c r="BD26" s="13" t="n">
        <v>4607</v>
      </c>
      <c r="BE26" s="13" t="n">
        <v>4597</v>
      </c>
      <c r="BF26" s="13" t="n">
        <v>4781</v>
      </c>
      <c r="BG26" s="13" t="n">
        <v>4768</v>
      </c>
      <c r="BH26" s="13" t="n">
        <v>4807</v>
      </c>
      <c r="BI26" s="13" t="n">
        <v>4664</v>
      </c>
      <c r="BJ26" s="13" t="n">
        <v>4562</v>
      </c>
      <c r="BK26" s="13" t="n">
        <v>4736</v>
      </c>
      <c r="BL26" s="13" t="n">
        <v>4907</v>
      </c>
    </row>
    <row r="27" ht="15.95" customHeight="1" s="574">
      <c r="A27" s="64" t="inlineStr">
        <is>
          <t>3401</t>
        </is>
      </c>
      <c r="B27" s="673" t="inlineStr">
        <is>
          <t>帝人</t>
        </is>
      </c>
      <c r="C27" s="676">
        <f>_xll.RssMarket("3401","現在値")</f>
        <v/>
      </c>
      <c r="D27" s="661">
        <f>C27-E27</f>
        <v/>
      </c>
      <c r="E27" s="13" t="n">
        <v>1610</v>
      </c>
      <c r="F27" s="13" t="n">
        <v>1594.5</v>
      </c>
      <c r="G27" s="13" t="n">
        <v>1648</v>
      </c>
      <c r="H27" s="13" t="n">
        <v>1641</v>
      </c>
      <c r="I27" s="13" t="n">
        <v>1638.5</v>
      </c>
      <c r="J27" s="13" t="n">
        <v>1607.5</v>
      </c>
      <c r="K27" s="13" t="n">
        <v>1619.5</v>
      </c>
      <c r="L27" s="13" t="n">
        <v>1600.5</v>
      </c>
      <c r="M27" s="13" t="n">
        <v>1623</v>
      </c>
      <c r="N27" s="13" t="n">
        <v>1626</v>
      </c>
      <c r="O27" s="13" t="n">
        <v>1642</v>
      </c>
      <c r="P27" s="13" t="n">
        <v>1612</v>
      </c>
      <c r="Q27" s="13" t="n">
        <v>1617</v>
      </c>
      <c r="R27" s="13" t="n">
        <v>1651.5</v>
      </c>
      <c r="S27" s="13" t="n">
        <v>1607</v>
      </c>
      <c r="T27" s="13" t="n">
        <v>1603.5</v>
      </c>
      <c r="U27" s="13" t="n">
        <v>1630</v>
      </c>
      <c r="V27" s="13" t="n">
        <v>1572.5</v>
      </c>
      <c r="W27" s="13" t="n">
        <v>1606</v>
      </c>
      <c r="X27" s="13" t="n">
        <v>1602.5</v>
      </c>
      <c r="Y27" s="13" t="n">
        <v>1644.5</v>
      </c>
      <c r="Z27" s="13" t="n">
        <v>1615.5</v>
      </c>
      <c r="AA27" s="13" t="n">
        <v>1681.5</v>
      </c>
      <c r="AB27" s="13" t="n">
        <v>1717</v>
      </c>
      <c r="AC27" s="13" t="n">
        <v>1737</v>
      </c>
      <c r="AD27" s="13" t="n">
        <v>1711.5</v>
      </c>
      <c r="AE27" s="13" t="n">
        <v>1569.5</v>
      </c>
      <c r="AF27" s="13" t="n">
        <v>1567</v>
      </c>
      <c r="AG27" s="13" t="n">
        <v>1596</v>
      </c>
      <c r="AH27" s="13" t="n">
        <v>1563</v>
      </c>
      <c r="AI27" s="13" t="n">
        <v>4907</v>
      </c>
      <c r="AJ27" s="13" t="n">
        <v>1610</v>
      </c>
      <c r="AK27" s="13" t="n">
        <v>4804</v>
      </c>
      <c r="AL27" s="13" t="n">
        <v>1570.5</v>
      </c>
      <c r="AM27" s="13" t="n">
        <v>4757</v>
      </c>
      <c r="AN27" s="13" t="n">
        <v>1548</v>
      </c>
      <c r="AO27" s="13" t="n">
        <v>4778</v>
      </c>
      <c r="AP27" s="13" t="n">
        <v>1560.5</v>
      </c>
      <c r="AQ27" s="13" t="n">
        <v>4845</v>
      </c>
      <c r="AR27" s="13" t="n">
        <v>1575.5</v>
      </c>
      <c r="AS27" s="13" t="n">
        <v>4950</v>
      </c>
      <c r="AT27" s="13" t="n">
        <v>1593.5</v>
      </c>
      <c r="AU27" s="13" t="n">
        <v>4937</v>
      </c>
      <c r="AV27" s="13" t="n">
        <v>1573.5</v>
      </c>
      <c r="AW27" s="13" t="n">
        <v>4925</v>
      </c>
      <c r="AX27" s="13" t="n">
        <v>1540</v>
      </c>
      <c r="AY27" s="13" t="n">
        <v>5062</v>
      </c>
      <c r="AZ27" s="13" t="n">
        <v>1647</v>
      </c>
      <c r="BA27" s="13" t="n">
        <v>4927</v>
      </c>
      <c r="BB27" s="13" t="n">
        <v>1654.5</v>
      </c>
      <c r="BC27" s="13" t="n">
        <v>4862</v>
      </c>
      <c r="BD27" s="13" t="n">
        <v>1625.5</v>
      </c>
      <c r="BE27" s="13" t="n">
        <v>5146</v>
      </c>
      <c r="BF27" s="13" t="n">
        <v>1687</v>
      </c>
      <c r="BG27" s="13" t="n">
        <v>5375</v>
      </c>
      <c r="BH27" s="13" t="n">
        <v>1734</v>
      </c>
      <c r="BI27" s="13" t="n">
        <v>5543</v>
      </c>
      <c r="BJ27" s="13" t="n">
        <v>1733.5</v>
      </c>
      <c r="BK27" s="13" t="n">
        <v>5499</v>
      </c>
      <c r="BL27" s="13" t="n">
        <v>1696.5</v>
      </c>
    </row>
    <row r="28" ht="15.95" customHeight="1" s="574">
      <c r="A28" s="64" t="inlineStr">
        <is>
          <t>3436</t>
        </is>
      </c>
      <c r="B28" s="673" t="inlineStr">
        <is>
          <t>ＳＵＭＣＯ</t>
        </is>
      </c>
      <c r="C28" s="676">
        <f>_xll.RssMarket("3436","現在値")</f>
        <v/>
      </c>
      <c r="D28" s="661">
        <f>C28-E28</f>
        <v/>
      </c>
      <c r="E28" s="13" t="n">
        <v>4221</v>
      </c>
      <c r="F28" s="13" t="n">
        <v>4254</v>
      </c>
      <c r="G28" s="13" t="n">
        <v>4152</v>
      </c>
      <c r="H28" s="13" t="n">
        <v>4155</v>
      </c>
      <c r="I28" s="13" t="n">
        <v>3653</v>
      </c>
      <c r="J28" s="13" t="n">
        <v>3408</v>
      </c>
      <c r="K28" s="13" t="n">
        <v>3200</v>
      </c>
      <c r="L28" s="13" t="n">
        <v>3522</v>
      </c>
      <c r="M28" s="13" t="n">
        <v>4041</v>
      </c>
      <c r="N28" s="13" t="n">
        <v>4366</v>
      </c>
      <c r="O28" s="13" t="n">
        <v>4459</v>
      </c>
      <c r="P28" s="13" t="n">
        <v>4285</v>
      </c>
      <c r="Q28" s="13" t="n">
        <v>4372</v>
      </c>
      <c r="R28" s="13" t="n">
        <v>3994</v>
      </c>
      <c r="S28" s="13" t="n">
        <v>3348</v>
      </c>
      <c r="T28" s="13" t="n">
        <v>3285</v>
      </c>
      <c r="U28" s="13" t="n">
        <v>3427</v>
      </c>
      <c r="V28" s="13" t="n">
        <v>3177</v>
      </c>
      <c r="W28" s="13" t="n">
        <v>3078</v>
      </c>
      <c r="X28" s="13" t="n">
        <v>3020</v>
      </c>
      <c r="Y28" s="13" t="n">
        <v>2960</v>
      </c>
      <c r="Z28" s="13" t="n">
        <v>2992</v>
      </c>
      <c r="AA28" s="13" t="n">
        <v>3090</v>
      </c>
      <c r="AB28" s="13" t="n">
        <v>3427</v>
      </c>
      <c r="AC28" s="13" t="n">
        <v>3505</v>
      </c>
      <c r="AD28" s="13" t="n">
        <v>3760</v>
      </c>
      <c r="AE28" s="13" t="n">
        <v>3613</v>
      </c>
      <c r="AF28" s="13" t="n">
        <v>3578</v>
      </c>
      <c r="AG28" s="13" t="n">
        <v>3033</v>
      </c>
      <c r="AH28" s="13" t="n">
        <v>2533</v>
      </c>
      <c r="AI28" s="13" t="n">
        <v>2476</v>
      </c>
      <c r="AJ28" s="13" t="n">
        <v>2347.5</v>
      </c>
      <c r="AK28" s="13" t="n">
        <v>2379.5</v>
      </c>
      <c r="AL28" s="13" t="n">
        <v>2242</v>
      </c>
      <c r="AM28" s="13" t="n">
        <v>2163</v>
      </c>
      <c r="AN28" s="13" t="n">
        <v>2241</v>
      </c>
      <c r="AO28" s="13" t="n">
        <v>2226</v>
      </c>
      <c r="AP28" s="13" t="n">
        <v>2110</v>
      </c>
      <c r="AQ28" s="13" t="n">
        <v>2095</v>
      </c>
      <c r="AR28" s="13" t="n">
        <v>2327.5</v>
      </c>
      <c r="AS28" s="13" t="n">
        <v>2238.5</v>
      </c>
      <c r="AT28" s="13" t="n">
        <v>2174</v>
      </c>
      <c r="AU28" s="13" t="n">
        <v>2154</v>
      </c>
      <c r="AV28" s="13" t="n">
        <v>2033.5</v>
      </c>
      <c r="AW28" s="13" t="n">
        <v>1949.5</v>
      </c>
      <c r="AX28" s="13" t="n">
        <v>1894.5</v>
      </c>
      <c r="AY28" s="13" t="n">
        <v>1763</v>
      </c>
      <c r="AZ28" s="13" t="n">
        <v>1746</v>
      </c>
      <c r="BA28" s="13" t="n">
        <v>1738</v>
      </c>
      <c r="BB28" s="13" t="n">
        <v>1713.5</v>
      </c>
      <c r="BC28" s="13" t="n">
        <v>1748.5</v>
      </c>
      <c r="BD28" s="13" t="n">
        <v>1659.5</v>
      </c>
      <c r="BE28" s="13" t="n">
        <v>1782</v>
      </c>
      <c r="BF28" s="13" t="n">
        <v>1850.5</v>
      </c>
      <c r="BG28" s="13" t="n">
        <v>1851.5</v>
      </c>
      <c r="BH28" s="13" t="n">
        <v>1762</v>
      </c>
      <c r="BI28" s="13" t="n">
        <v>1639.5</v>
      </c>
      <c r="BJ28" s="13" t="n">
        <v>1596</v>
      </c>
      <c r="BK28" s="13" t="n">
        <v>1682.5</v>
      </c>
      <c r="BL28" s="13" t="n">
        <v>1768.5</v>
      </c>
    </row>
    <row r="29" ht="15.95" customHeight="1" s="574">
      <c r="A29" s="64" t="inlineStr">
        <is>
          <t>5020</t>
        </is>
      </c>
      <c r="B29" s="673" t="inlineStr">
        <is>
          <t>ＥＮＥＯＳホールディングス</t>
        </is>
      </c>
      <c r="C29" s="676">
        <f>_xll.RssMarket("5020","現在値")</f>
        <v/>
      </c>
      <c r="D29" s="661">
        <f>C29-E29</f>
        <v/>
      </c>
      <c r="E29" s="13" t="n">
        <v>1251.5</v>
      </c>
      <c r="F29" s="13" t="n">
        <v>1264</v>
      </c>
      <c r="G29" s="13" t="n">
        <v>1246.5</v>
      </c>
      <c r="H29" s="13" t="n">
        <v>1241</v>
      </c>
      <c r="I29" s="13" t="n">
        <v>1235.5</v>
      </c>
      <c r="J29" s="13" t="n">
        <v>1222.5</v>
      </c>
      <c r="K29" s="13" t="n">
        <v>1208.5</v>
      </c>
      <c r="L29" s="13" t="n">
        <v>1250</v>
      </c>
      <c r="M29" s="13" t="n">
        <v>1277</v>
      </c>
      <c r="N29" s="13" t="n">
        <v>1287</v>
      </c>
      <c r="O29" s="13" t="n">
        <v>1327.5</v>
      </c>
      <c r="P29" s="13" t="n">
        <v>1286.5</v>
      </c>
      <c r="Q29" s="13" t="n">
        <v>1265</v>
      </c>
      <c r="R29" s="13" t="n">
        <v>1305.5</v>
      </c>
      <c r="S29" s="13" t="n">
        <v>1291.5</v>
      </c>
      <c r="T29" s="13" t="n">
        <v>1296</v>
      </c>
      <c r="U29" s="13" t="n">
        <v>1289.5</v>
      </c>
      <c r="V29" s="13" t="n">
        <v>1300</v>
      </c>
      <c r="W29" s="13" t="n">
        <v>1307.5</v>
      </c>
      <c r="X29" s="13" t="n">
        <v>1313.5</v>
      </c>
      <c r="Y29" s="13" t="n">
        <v>1360</v>
      </c>
      <c r="Z29" s="13" t="n">
        <v>1358</v>
      </c>
      <c r="AA29" s="13" t="n">
        <v>1386</v>
      </c>
      <c r="AB29" s="13" t="n">
        <v>1315.5</v>
      </c>
      <c r="AC29" s="13" t="n">
        <v>1351.5</v>
      </c>
      <c r="AD29" s="13" t="n">
        <v>1371</v>
      </c>
      <c r="AE29" s="13" t="n">
        <v>1305</v>
      </c>
      <c r="AF29" s="13" t="n">
        <v>1289.5</v>
      </c>
      <c r="AG29" s="13" t="n">
        <v>1311</v>
      </c>
      <c r="AH29" s="13" t="n">
        <v>1325.5</v>
      </c>
      <c r="AI29" s="13" t="n">
        <v>1320.5</v>
      </c>
      <c r="AJ29" s="13" t="n">
        <v>1300.5</v>
      </c>
      <c r="AK29" s="13" t="n">
        <v>1284</v>
      </c>
      <c r="AL29" s="13" t="n">
        <v>1299.5</v>
      </c>
      <c r="AM29" s="13" t="n">
        <v>1298</v>
      </c>
      <c r="AN29" s="13" t="n">
        <v>1319</v>
      </c>
      <c r="AO29" s="13" t="n">
        <v>1325.5</v>
      </c>
      <c r="AP29" s="13" t="n">
        <v>1337.5</v>
      </c>
      <c r="AQ29" s="13" t="n">
        <v>1375</v>
      </c>
      <c r="AR29" s="13" t="n">
        <v>1406.5</v>
      </c>
      <c r="AS29" s="13" t="n">
        <v>1413.5</v>
      </c>
      <c r="AT29" s="13" t="n">
        <v>1430</v>
      </c>
      <c r="AU29" s="13" t="n">
        <v>1427.5</v>
      </c>
      <c r="AV29" s="13" t="n">
        <v>1425.5</v>
      </c>
      <c r="AW29" s="13" t="n">
        <v>1443.5</v>
      </c>
      <c r="AX29" s="13" t="n">
        <v>1464</v>
      </c>
      <c r="AY29" s="13" t="n">
        <v>1471.5</v>
      </c>
      <c r="AZ29" s="13" t="n">
        <v>1460</v>
      </c>
      <c r="BA29" s="13" t="n">
        <v>1463</v>
      </c>
      <c r="BB29" s="13" t="n">
        <v>1439</v>
      </c>
      <c r="BC29" s="13" t="n">
        <v>1497</v>
      </c>
      <c r="BD29" s="13" t="n">
        <v>1410.5</v>
      </c>
      <c r="BE29" s="13" t="n">
        <v>1436.5</v>
      </c>
      <c r="BF29" s="13" t="n">
        <v>1434.5</v>
      </c>
      <c r="BG29" s="13" t="n">
        <v>1402</v>
      </c>
      <c r="BH29" s="13" t="n">
        <v>1376</v>
      </c>
      <c r="BI29" s="13" t="n">
        <v>1346.5</v>
      </c>
      <c r="BJ29" s="13" t="n">
        <v>1293.5</v>
      </c>
      <c r="BK29" s="13" t="n">
        <v>1367.5</v>
      </c>
      <c r="BL29" s="13" t="n">
        <v>1439</v>
      </c>
    </row>
    <row r="30" ht="15.95" customHeight="1" s="574">
      <c r="A30" s="64" t="inlineStr">
        <is>
          <t>6254</t>
        </is>
      </c>
      <c r="B30" s="673" t="inlineStr">
        <is>
          <t>野村マイクロ・サイエンス</t>
        </is>
      </c>
      <c r="C30" s="676">
        <f>_xll.RssMarket("6254","現在値")</f>
        <v/>
      </c>
      <c r="D30" s="661">
        <f>C30-E30</f>
        <v/>
      </c>
      <c r="E30" s="13" t="n">
        <v>5450</v>
      </c>
      <c r="F30" s="13" t="n">
        <v>4805</v>
      </c>
      <c r="G30" s="13" t="n">
        <v>4900</v>
      </c>
      <c r="H30" s="13" t="n">
        <v>4600</v>
      </c>
      <c r="I30" s="13" t="n">
        <v>4320</v>
      </c>
      <c r="J30" s="13" t="n">
        <v>3940</v>
      </c>
      <c r="K30" s="13" t="n">
        <v>3965</v>
      </c>
      <c r="L30" s="13" t="n">
        <v>4015</v>
      </c>
      <c r="M30" s="13" t="n">
        <v>4255</v>
      </c>
      <c r="N30" s="13" t="n">
        <v>4455</v>
      </c>
      <c r="O30" s="13" t="n">
        <v>4385</v>
      </c>
      <c r="P30" s="13" t="n">
        <v>4360</v>
      </c>
      <c r="Q30" s="13" t="n">
        <v>4615</v>
      </c>
      <c r="R30" s="13" t="n">
        <v>4590</v>
      </c>
      <c r="S30" s="13" t="n">
        <v>4725</v>
      </c>
      <c r="T30" s="13" t="n">
        <v>4695</v>
      </c>
      <c r="U30" s="13" t="n">
        <v>5130</v>
      </c>
      <c r="V30" s="13" t="n">
        <v>4980</v>
      </c>
      <c r="W30" s="13" t="n">
        <v>4585</v>
      </c>
      <c r="X30" s="13" t="n">
        <v>4415</v>
      </c>
      <c r="Y30" s="13" t="n">
        <v>4675</v>
      </c>
      <c r="Z30" s="13" t="n">
        <v>4860</v>
      </c>
      <c r="AA30" s="13" t="n">
        <v>4950</v>
      </c>
      <c r="AB30" s="13" t="n">
        <v>4355</v>
      </c>
      <c r="AC30" s="13" t="n">
        <v>4325</v>
      </c>
      <c r="AD30" s="13" t="n">
        <v>4490</v>
      </c>
      <c r="AE30" s="13" t="n">
        <v>4630</v>
      </c>
      <c r="AF30" s="13" t="n">
        <v>4480</v>
      </c>
      <c r="AG30" s="13" t="n">
        <v>4070</v>
      </c>
      <c r="AH30" s="13" t="n">
        <v>3675</v>
      </c>
      <c r="AI30" s="13" t="n">
        <v>3655</v>
      </c>
      <c r="AJ30" s="13" t="n">
        <v>3765</v>
      </c>
      <c r="AK30" s="13" t="n">
        <v>3735</v>
      </c>
      <c r="AL30" s="13" t="n">
        <v>3660</v>
      </c>
      <c r="AM30" s="13" t="n">
        <v>3720</v>
      </c>
      <c r="AN30" s="13" t="n">
        <v>3720</v>
      </c>
      <c r="AO30" s="13" t="n">
        <v>3850</v>
      </c>
      <c r="AP30" s="13" t="n">
        <v>3845</v>
      </c>
      <c r="AQ30" s="13" t="n">
        <v>3715</v>
      </c>
      <c r="AR30" s="13" t="n">
        <v>3770</v>
      </c>
      <c r="AS30" s="13" t="n">
        <v>3650</v>
      </c>
      <c r="AT30" s="13" t="n">
        <v>3650</v>
      </c>
      <c r="AU30" s="13" t="n">
        <v>3565</v>
      </c>
      <c r="AV30" s="13" t="n">
        <v>3565</v>
      </c>
      <c r="AW30" s="13" t="n">
        <v>3425</v>
      </c>
      <c r="AX30" s="13" t="n">
        <v>3430</v>
      </c>
      <c r="AY30" s="13" t="n">
        <v>3150</v>
      </c>
      <c r="AZ30" s="13" t="n">
        <v>3140</v>
      </c>
      <c r="BA30" s="13" t="n">
        <v>3135</v>
      </c>
      <c r="BB30" s="13" t="n">
        <v>3220</v>
      </c>
      <c r="BC30" s="13" t="n">
        <v>3300</v>
      </c>
      <c r="BD30" s="13" t="n">
        <v>3030</v>
      </c>
      <c r="BE30" s="13" t="n">
        <v>3115</v>
      </c>
      <c r="BF30" s="13" t="n">
        <v>3210</v>
      </c>
      <c r="BG30" s="13" t="n">
        <v>3185</v>
      </c>
      <c r="BH30" s="13" t="n">
        <v>2908</v>
      </c>
      <c r="BI30" s="13" t="n">
        <v>2704</v>
      </c>
      <c r="BJ30" s="13" t="n">
        <v>2684</v>
      </c>
      <c r="BK30" s="13" t="n">
        <v>2834</v>
      </c>
      <c r="BL30" s="13" t="n">
        <v>3050</v>
      </c>
    </row>
    <row r="31" ht="15.95" customHeight="1" s="574">
      <c r="A31" s="64" t="inlineStr">
        <is>
          <t>8309</t>
        </is>
      </c>
      <c r="B31" s="673" t="inlineStr">
        <is>
          <t>三井住友トラストグルー</t>
        </is>
      </c>
      <c r="C31" s="676">
        <f>_xll.RssMarket("8309","現在値")</f>
        <v/>
      </c>
      <c r="D31" s="661">
        <f>C31-E31</f>
        <v/>
      </c>
      <c r="E31" s="13" t="n">
        <v>6213</v>
      </c>
      <c r="F31" s="13" t="n">
        <v>6063</v>
      </c>
      <c r="G31" s="13" t="n">
        <v>6033</v>
      </c>
      <c r="H31" s="13" t="n">
        <v>5979</v>
      </c>
      <c r="I31" s="13" t="n">
        <v>5961</v>
      </c>
      <c r="J31" s="13" t="n">
        <v>5876</v>
      </c>
      <c r="K31" s="13" t="n">
        <v>5918</v>
      </c>
      <c r="L31" s="13" t="n">
        <v>5786</v>
      </c>
      <c r="M31" s="13" t="n">
        <v>5828</v>
      </c>
      <c r="N31" s="13" t="n">
        <v>5726</v>
      </c>
      <c r="O31" s="13" t="n">
        <v>5719</v>
      </c>
      <c r="P31" s="13" t="n">
        <v>5556</v>
      </c>
      <c r="Q31" s="13" t="n">
        <v>5468</v>
      </c>
      <c r="R31" s="13" t="n">
        <v>5474</v>
      </c>
      <c r="S31" s="13" t="n">
        <v>5554</v>
      </c>
      <c r="T31" s="13" t="n">
        <v>5628</v>
      </c>
      <c r="U31" s="13" t="n">
        <v>5661</v>
      </c>
      <c r="V31" s="13" t="n">
        <v>5614</v>
      </c>
      <c r="W31" s="13" t="n">
        <v>5703</v>
      </c>
      <c r="X31" s="13" t="n">
        <v>5643</v>
      </c>
      <c r="Y31" s="13" t="n">
        <v>5715</v>
      </c>
      <c r="Z31" s="13" t="n">
        <v>5464</v>
      </c>
      <c r="AA31" s="13" t="n">
        <v>5623</v>
      </c>
      <c r="AB31" s="13" t="n">
        <v>5636</v>
      </c>
      <c r="AC31" s="13" t="n">
        <v>5660</v>
      </c>
      <c r="AD31" s="13" t="n">
        <v>5613</v>
      </c>
      <c r="AE31" s="13" t="n">
        <v>5508</v>
      </c>
      <c r="AF31" s="13" t="n">
        <v>5406</v>
      </c>
      <c r="AG31" s="13" t="n">
        <v>5571</v>
      </c>
      <c r="AH31" s="13" t="n">
        <v>5328</v>
      </c>
      <c r="AI31" s="13" t="n">
        <v>5178</v>
      </c>
      <c r="AJ31" s="13" t="n">
        <v>5316</v>
      </c>
      <c r="AK31" s="13" t="n">
        <v>5107</v>
      </c>
      <c r="AL31" s="13" t="n">
        <v>5120</v>
      </c>
      <c r="AM31" s="13" t="n">
        <v>5134</v>
      </c>
      <c r="AN31" s="13" t="n">
        <v>5157</v>
      </c>
      <c r="AO31" s="13" t="n">
        <v>5195</v>
      </c>
      <c r="AP31" s="13" t="n">
        <v>5307</v>
      </c>
      <c r="AQ31" s="13" t="n">
        <v>5376</v>
      </c>
      <c r="AR31" s="13" t="n">
        <v>5466</v>
      </c>
      <c r="AS31" s="13" t="n">
        <v>5438</v>
      </c>
      <c r="AT31" s="13" t="n">
        <v>5388</v>
      </c>
      <c r="AU31" s="13" t="n">
        <v>5345</v>
      </c>
      <c r="AV31" s="13" t="n">
        <v>5336</v>
      </c>
      <c r="AW31" s="13" t="n">
        <v>5300</v>
      </c>
      <c r="AX31" s="13" t="n">
        <v>5360</v>
      </c>
      <c r="AY31" s="13" t="n">
        <v>5162</v>
      </c>
      <c r="AZ31" s="13" t="n">
        <v>5127</v>
      </c>
      <c r="BA31" s="13" t="n">
        <v>5123</v>
      </c>
      <c r="BB31" s="13" t="n">
        <v>5104</v>
      </c>
      <c r="BC31" s="13" t="n">
        <v>5176</v>
      </c>
      <c r="BD31" s="13" t="n">
        <v>4902</v>
      </c>
      <c r="BE31" s="13" t="n">
        <v>4930</v>
      </c>
      <c r="BF31" s="13" t="n">
        <v>5113</v>
      </c>
      <c r="BG31" s="13" t="n">
        <v>5098</v>
      </c>
      <c r="BH31" s="13" t="n">
        <v>5109</v>
      </c>
      <c r="BI31" s="13" t="n">
        <v>4983</v>
      </c>
      <c r="BJ31" s="13" t="n">
        <v>4842</v>
      </c>
      <c r="BK31" s="13" t="n">
        <v>5037</v>
      </c>
      <c r="BL31" s="13" t="n">
        <v>5133</v>
      </c>
    </row>
    <row r="32" ht="15.95" customHeight="1" s="574">
      <c r="A32" s="64" t="inlineStr">
        <is>
          <t>3863</t>
        </is>
      </c>
      <c r="B32" s="673" t="inlineStr">
        <is>
          <t>日本製紙</t>
        </is>
      </c>
      <c r="C32" s="676">
        <f>_xll.RssMarket("3863","現在値")</f>
        <v/>
      </c>
      <c r="D32" s="661">
        <f>C32-E32</f>
        <v/>
      </c>
      <c r="E32" s="13" t="n">
        <v>1199</v>
      </c>
      <c r="F32" s="13" t="n">
        <v>1198</v>
      </c>
      <c r="G32" s="13" t="n">
        <v>1242</v>
      </c>
      <c r="H32" s="13" t="n">
        <v>1231</v>
      </c>
      <c r="I32" s="13" t="n">
        <v>1218</v>
      </c>
      <c r="J32" s="13" t="n">
        <v>1210</v>
      </c>
      <c r="K32" s="13" t="n">
        <v>1214</v>
      </c>
      <c r="L32" s="13" t="n">
        <v>1253</v>
      </c>
      <c r="M32" s="13" t="n">
        <v>1220</v>
      </c>
      <c r="N32" s="13" t="n">
        <v>1188</v>
      </c>
      <c r="O32" s="13" t="n">
        <v>1198</v>
      </c>
      <c r="P32" s="13" t="n">
        <v>1222</v>
      </c>
      <c r="Q32" s="13" t="n">
        <v>1224</v>
      </c>
      <c r="R32" s="13" t="n">
        <v>1259</v>
      </c>
      <c r="S32" s="13" t="n">
        <v>1367</v>
      </c>
      <c r="T32" s="13" t="n">
        <v>1351</v>
      </c>
      <c r="U32" s="13" t="n">
        <v>1360</v>
      </c>
      <c r="V32" s="13" t="n">
        <v>1364</v>
      </c>
      <c r="W32" s="13" t="n">
        <v>1371</v>
      </c>
      <c r="X32" s="13" t="n">
        <v>1397</v>
      </c>
      <c r="Y32" s="13" t="n">
        <v>1437</v>
      </c>
      <c r="Z32" s="13" t="n">
        <v>1474</v>
      </c>
      <c r="AA32" s="13" t="n">
        <v>1450</v>
      </c>
      <c r="AB32" s="13" t="n">
        <v>1476</v>
      </c>
      <c r="AC32" s="13" t="n">
        <v>1474</v>
      </c>
      <c r="AD32" s="13" t="n">
        <v>1510</v>
      </c>
      <c r="AE32" s="13" t="n">
        <v>1443</v>
      </c>
      <c r="AF32" s="13" t="n">
        <v>1451</v>
      </c>
      <c r="AG32" s="13" t="n">
        <v>1412</v>
      </c>
      <c r="AH32" s="13" t="n">
        <v>1371</v>
      </c>
      <c r="AI32" s="13" t="n">
        <v>1312</v>
      </c>
      <c r="AJ32" s="13" t="n">
        <v>1266</v>
      </c>
      <c r="AK32" s="13" t="n">
        <v>1302</v>
      </c>
      <c r="AL32" s="13" t="n">
        <v>1432</v>
      </c>
      <c r="AM32" s="13" t="n">
        <v>1418</v>
      </c>
      <c r="AN32" s="13" t="n">
        <v>1481</v>
      </c>
      <c r="AO32" s="13" t="n">
        <v>1484</v>
      </c>
      <c r="AP32" s="13" t="n">
        <v>1451</v>
      </c>
      <c r="AQ32" s="13" t="n">
        <v>1431</v>
      </c>
      <c r="AR32" s="13" t="n">
        <v>1404</v>
      </c>
      <c r="AS32" s="13" t="n">
        <v>1361</v>
      </c>
      <c r="AT32" s="13" t="n">
        <v>1335</v>
      </c>
      <c r="AU32" s="13" t="n">
        <v>1318</v>
      </c>
      <c r="AV32" s="13" t="n">
        <v>1322</v>
      </c>
      <c r="AW32" s="13" t="n">
        <v>1299</v>
      </c>
      <c r="AX32" s="13" t="n">
        <v>1314</v>
      </c>
      <c r="AY32" s="13" t="n">
        <v>1292</v>
      </c>
      <c r="AZ32" s="13" t="n">
        <v>1283</v>
      </c>
      <c r="BA32" s="13" t="n">
        <v>1290</v>
      </c>
      <c r="BB32" s="13" t="n">
        <v>1271</v>
      </c>
      <c r="BC32" s="13" t="n">
        <v>1279</v>
      </c>
      <c r="BD32" s="13" t="n">
        <v>1269</v>
      </c>
      <c r="BE32" s="13" t="n">
        <v>1273</v>
      </c>
      <c r="BF32" s="13" t="n">
        <v>1273</v>
      </c>
      <c r="BG32" s="13" t="n">
        <v>1246</v>
      </c>
      <c r="BH32" s="13" t="n">
        <v>1217</v>
      </c>
      <c r="BI32" s="13" t="n">
        <v>1188</v>
      </c>
      <c r="BJ32" s="13" t="n">
        <v>1180</v>
      </c>
      <c r="BK32" s="13" t="n">
        <v>1206</v>
      </c>
      <c r="BL32" s="13" t="n">
        <v>1286</v>
      </c>
    </row>
    <row r="33" ht="15.95" customHeight="1" s="574">
      <c r="A33" s="64" t="inlineStr">
        <is>
          <t>8601</t>
        </is>
      </c>
      <c r="B33" s="673" t="inlineStr">
        <is>
          <t>大和証券Ｇ本社</t>
        </is>
      </c>
      <c r="C33" s="676">
        <f>_xll.RssMarket("8601","現在値")</f>
        <v/>
      </c>
      <c r="D33" s="661">
        <f>C33-E33</f>
        <v/>
      </c>
      <c r="E33" s="13" t="n">
        <v>1626</v>
      </c>
      <c r="F33" s="13" t="n">
        <v>1606</v>
      </c>
      <c r="G33" s="13" t="n">
        <v>1607.5</v>
      </c>
      <c r="H33" s="13" t="n">
        <v>1602.5</v>
      </c>
      <c r="I33" s="13" t="n">
        <v>1569.5</v>
      </c>
      <c r="J33" s="13" t="n">
        <v>1538</v>
      </c>
      <c r="K33" s="13" t="n">
        <v>1563</v>
      </c>
      <c r="L33" s="13" t="n">
        <v>1535.5</v>
      </c>
      <c r="M33" s="13" t="n">
        <v>1561</v>
      </c>
      <c r="N33" s="13" t="n">
        <v>1532.5</v>
      </c>
      <c r="O33" s="13" t="n">
        <v>1499</v>
      </c>
      <c r="P33" s="13" t="n">
        <v>1494.5</v>
      </c>
      <c r="Q33" s="13" t="n">
        <v>1500.5</v>
      </c>
      <c r="R33" s="13" t="n">
        <v>1472</v>
      </c>
      <c r="S33" s="13" t="n">
        <v>1466</v>
      </c>
      <c r="T33" s="13" t="n">
        <v>1495</v>
      </c>
      <c r="U33" s="13" t="n">
        <v>1490</v>
      </c>
      <c r="V33" s="13" t="n">
        <v>1509</v>
      </c>
      <c r="W33" s="13" t="n">
        <v>1472.5</v>
      </c>
      <c r="X33" s="13" t="n">
        <v>1491.5</v>
      </c>
      <c r="Y33" s="13" t="n">
        <v>1467</v>
      </c>
      <c r="Z33" s="13" t="n">
        <v>1482.5</v>
      </c>
      <c r="AA33" s="13" t="n">
        <v>1478</v>
      </c>
      <c r="AB33" s="13" t="n">
        <v>1495</v>
      </c>
      <c r="AC33" s="13" t="n">
        <v>1468.5</v>
      </c>
      <c r="AD33" s="13" t="n">
        <v>1464</v>
      </c>
      <c r="AE33" s="13" t="n">
        <v>1445</v>
      </c>
      <c r="AF33" s="13" t="n">
        <v>1518.5</v>
      </c>
      <c r="AG33" s="13" t="n">
        <v>1453</v>
      </c>
      <c r="AH33" s="13" t="n">
        <v>1467.5</v>
      </c>
      <c r="AI33" s="13" t="n">
        <v>1466.5</v>
      </c>
      <c r="AJ33" s="13" t="n">
        <v>1516.5</v>
      </c>
      <c r="AK33" s="13" t="n">
        <v>1505</v>
      </c>
      <c r="AL33" s="13" t="n">
        <v>1496</v>
      </c>
      <c r="AM33" s="13" t="n">
        <v>1505.5</v>
      </c>
      <c r="AN33" s="13" t="n">
        <v>1523</v>
      </c>
      <c r="AO33" s="13" t="n">
        <v>1523.5</v>
      </c>
      <c r="AP33" s="13" t="n">
        <v>1531</v>
      </c>
      <c r="AQ33" s="13" t="n">
        <v>1559</v>
      </c>
      <c r="AR33" s="13" t="n">
        <v>1571.5</v>
      </c>
      <c r="AS33" s="13" t="n">
        <v>1547.5</v>
      </c>
      <c r="AT33" s="13" t="n">
        <v>1532</v>
      </c>
      <c r="AU33" s="13" t="n">
        <v>1545.5</v>
      </c>
      <c r="AV33" s="13" t="n">
        <v>1541</v>
      </c>
      <c r="AW33" s="13" t="n">
        <v>1563.5</v>
      </c>
      <c r="AX33" s="13" t="n">
        <v>1504.5</v>
      </c>
      <c r="AY33" s="13" t="n">
        <v>1510.5</v>
      </c>
      <c r="AZ33" s="13" t="n">
        <v>1519</v>
      </c>
      <c r="BA33" s="13" t="n">
        <v>1504</v>
      </c>
      <c r="BB33" s="13" t="n">
        <v>1526.5</v>
      </c>
      <c r="BC33" s="13" t="n">
        <v>1460</v>
      </c>
      <c r="BD33" s="13" t="n">
        <v>1495</v>
      </c>
      <c r="BE33" s="13" t="n">
        <v>1577</v>
      </c>
      <c r="BF33" s="13" t="n">
        <v>1565.5</v>
      </c>
      <c r="BG33" s="13" t="n">
        <v>1560.5</v>
      </c>
      <c r="BH33" s="13" t="n">
        <v>1500</v>
      </c>
      <c r="BI33" s="13" t="n">
        <v>1465.5</v>
      </c>
      <c r="BJ33" s="13" t="n">
        <v>1477</v>
      </c>
      <c r="BK33" s="13" t="n">
        <v>1509.5</v>
      </c>
      <c r="BL33" s="13" t="n">
        <v>1462.5</v>
      </c>
    </row>
    <row r="34" ht="15.95" customHeight="1" s="574">
      <c r="A34" s="64" t="inlineStr">
        <is>
          <t>5233</t>
        </is>
      </c>
      <c r="B34" s="673" t="inlineStr">
        <is>
          <t>太平洋セメント</t>
        </is>
      </c>
      <c r="C34" s="676">
        <f>_xll.RssMarket("5233","現在値")</f>
        <v/>
      </c>
      <c r="D34" s="661">
        <f>C34-E34</f>
        <v/>
      </c>
      <c r="E34" s="13" t="n">
        <v>4206</v>
      </c>
      <c r="F34" s="13" t="n">
        <v>4280</v>
      </c>
      <c r="G34" s="13" t="n">
        <v>4425</v>
      </c>
      <c r="H34" s="13" t="n">
        <v>4370</v>
      </c>
      <c r="I34" s="13" t="n">
        <v>4201</v>
      </c>
      <c r="J34" s="13" t="n">
        <v>4075</v>
      </c>
      <c r="K34" s="13" t="n">
        <v>4130</v>
      </c>
      <c r="L34" s="13" t="n">
        <v>4265</v>
      </c>
      <c r="M34" s="13" t="n">
        <v>4348</v>
      </c>
      <c r="N34" s="13" t="n">
        <v>4425</v>
      </c>
      <c r="O34" s="13" t="n">
        <v>4460</v>
      </c>
      <c r="P34" s="13" t="n">
        <v>4359</v>
      </c>
      <c r="Q34" s="13" t="n">
        <v>4458</v>
      </c>
      <c r="R34" s="13" t="n">
        <v>4530</v>
      </c>
      <c r="S34" s="13" t="n">
        <v>4289</v>
      </c>
      <c r="T34" s="13" t="n">
        <v>4225</v>
      </c>
      <c r="U34" s="13" t="n">
        <v>4140</v>
      </c>
      <c r="V34" s="13" t="n">
        <v>4137</v>
      </c>
      <c r="W34" s="13" t="n">
        <v>4078</v>
      </c>
      <c r="X34" s="13" t="n">
        <v>3970</v>
      </c>
      <c r="Y34" s="13" t="n">
        <v>3915</v>
      </c>
      <c r="Z34" s="13" t="n">
        <v>3818</v>
      </c>
      <c r="AA34" s="13" t="n">
        <v>3967</v>
      </c>
      <c r="AB34" s="13" t="n">
        <v>4059</v>
      </c>
      <c r="AC34" s="13" t="n">
        <v>4213</v>
      </c>
      <c r="AD34" s="13" t="n">
        <v>3781</v>
      </c>
      <c r="AE34" s="13" t="n">
        <v>3634</v>
      </c>
      <c r="AF34" s="13" t="n">
        <v>3618</v>
      </c>
      <c r="AG34" s="13" t="n">
        <v>3690</v>
      </c>
      <c r="AH34" s="13" t="n">
        <v>3577</v>
      </c>
      <c r="AI34" s="13" t="n">
        <v>3568</v>
      </c>
      <c r="AJ34" s="13" t="n">
        <v>3639</v>
      </c>
      <c r="AK34" s="13" t="n">
        <v>3622</v>
      </c>
      <c r="AL34" s="13" t="n">
        <v>3558</v>
      </c>
      <c r="AM34" s="13" t="n">
        <v>3537</v>
      </c>
      <c r="AN34" s="13" t="n">
        <v>3615</v>
      </c>
      <c r="AO34" s="13" t="n">
        <v>3657</v>
      </c>
      <c r="AP34" s="13" t="n">
        <v>3681</v>
      </c>
      <c r="AQ34" s="13" t="n">
        <v>3669</v>
      </c>
      <c r="AR34" s="13" t="n">
        <v>3714</v>
      </c>
      <c r="AS34" s="13" t="n">
        <v>3668</v>
      </c>
      <c r="AT34" s="13" t="n">
        <v>3704</v>
      </c>
      <c r="AU34" s="13" t="n">
        <v>3691</v>
      </c>
      <c r="AV34" s="13" t="n">
        <v>3701</v>
      </c>
      <c r="AW34" s="13" t="n">
        <v>3689</v>
      </c>
      <c r="AX34" s="13" t="n">
        <v>3758</v>
      </c>
      <c r="AY34" s="13" t="n">
        <v>3554</v>
      </c>
      <c r="AZ34" s="13" t="n">
        <v>3535</v>
      </c>
      <c r="BA34" s="13" t="n">
        <v>3531</v>
      </c>
      <c r="BB34" s="13" t="n">
        <v>3518</v>
      </c>
      <c r="BC34" s="13" t="n">
        <v>3582</v>
      </c>
      <c r="BD34" s="13" t="n">
        <v>3501</v>
      </c>
      <c r="BE34" s="13" t="n">
        <v>3430</v>
      </c>
      <c r="BF34" s="13" t="n">
        <v>3550</v>
      </c>
      <c r="BG34" s="13" t="n">
        <v>3552</v>
      </c>
      <c r="BH34" s="13" t="n">
        <v>3572</v>
      </c>
      <c r="BI34" s="13" t="n">
        <v>3481</v>
      </c>
      <c r="BJ34" s="13" t="n">
        <v>3332</v>
      </c>
      <c r="BK34" s="13" t="n">
        <v>3439</v>
      </c>
      <c r="BL34" s="13" t="n">
        <v>3766</v>
      </c>
    </row>
    <row r="35" ht="15.95" customHeight="1" s="574">
      <c r="A35" s="64" t="inlineStr">
        <is>
          <t>8308</t>
        </is>
      </c>
      <c r="B35" s="673" t="inlineStr">
        <is>
          <t>りそなホールディングス</t>
        </is>
      </c>
      <c r="C35" s="676">
        <f>_xll.RssMarket("8308","現在値")</f>
        <v/>
      </c>
      <c r="D35" s="661">
        <f>C35-E35</f>
        <v/>
      </c>
      <c r="E35" s="13" t="n">
        <v>2230</v>
      </c>
      <c r="F35" s="13" t="n">
        <v>2196</v>
      </c>
      <c r="G35" s="13" t="n">
        <v>2161.5</v>
      </c>
      <c r="H35" s="13" t="n">
        <v>2144.5</v>
      </c>
      <c r="I35" s="13" t="n">
        <v>2147</v>
      </c>
      <c r="J35" s="13" t="n">
        <v>2116</v>
      </c>
      <c r="K35" s="13" t="n">
        <v>2139</v>
      </c>
      <c r="L35" s="13" t="n">
        <v>2085.5</v>
      </c>
      <c r="M35" s="13" t="n">
        <v>2118</v>
      </c>
      <c r="N35" s="13" t="n">
        <v>2097</v>
      </c>
      <c r="O35" s="13" t="n">
        <v>2052.5</v>
      </c>
      <c r="P35" s="13" t="n">
        <v>2023</v>
      </c>
      <c r="Q35" s="13" t="n">
        <v>2014.5</v>
      </c>
      <c r="R35" s="13" t="n">
        <v>2039.5</v>
      </c>
      <c r="S35" s="13" t="n">
        <v>2036</v>
      </c>
      <c r="T35" s="13" t="n">
        <v>2045.5</v>
      </c>
      <c r="U35" s="13" t="n">
        <v>2124</v>
      </c>
      <c r="V35" s="13" t="n">
        <v>2139.5</v>
      </c>
      <c r="W35" s="13" t="n">
        <v>2120</v>
      </c>
      <c r="X35" s="13" t="n">
        <v>2028.5</v>
      </c>
      <c r="Y35" s="13" t="n">
        <v>2078</v>
      </c>
      <c r="Z35" s="13" t="n">
        <v>2020</v>
      </c>
      <c r="AA35" s="13" t="n">
        <v>2042</v>
      </c>
      <c r="AB35" s="13" t="n">
        <v>2047</v>
      </c>
      <c r="AC35" s="13" t="n">
        <v>2061.5</v>
      </c>
      <c r="AD35" s="13" t="n">
        <v>2054</v>
      </c>
      <c r="AE35" s="13" t="n">
        <v>1998</v>
      </c>
      <c r="AF35" s="13" t="n">
        <v>1940</v>
      </c>
      <c r="AG35" s="13" t="n">
        <v>2010</v>
      </c>
      <c r="AH35" s="13" t="n">
        <v>1927</v>
      </c>
      <c r="AI35" s="13" t="n">
        <v>1938.5</v>
      </c>
      <c r="AJ35" s="13" t="n">
        <v>2006</v>
      </c>
      <c r="AK35" s="13" t="n">
        <v>1838</v>
      </c>
      <c r="AL35" s="13" t="n">
        <v>1820.5</v>
      </c>
      <c r="AM35" s="13" t="n">
        <v>1810</v>
      </c>
      <c r="AN35" s="13" t="n">
        <v>1855.5</v>
      </c>
      <c r="AO35" s="13" t="n">
        <v>1913.5</v>
      </c>
      <c r="AP35" s="13" t="n">
        <v>1953.5</v>
      </c>
      <c r="AQ35" s="13" t="n">
        <v>1966</v>
      </c>
      <c r="AR35" s="13" t="n">
        <v>1914</v>
      </c>
      <c r="AS35" s="13" t="n">
        <v>1930.5</v>
      </c>
      <c r="AT35" s="13" t="n">
        <v>1866</v>
      </c>
      <c r="AU35" s="13" t="n">
        <v>1881.5</v>
      </c>
      <c r="AV35" s="13" t="n">
        <v>1888.5</v>
      </c>
      <c r="AW35" s="13" t="n">
        <v>1890</v>
      </c>
      <c r="AX35" s="13" t="n">
        <v>1922.5</v>
      </c>
      <c r="AY35" s="13" t="n">
        <v>1864</v>
      </c>
      <c r="AZ35" s="13" t="n">
        <v>1849.5</v>
      </c>
      <c r="BA35" s="13" t="n">
        <v>1823</v>
      </c>
      <c r="BB35" s="13" t="n">
        <v>1811.5</v>
      </c>
      <c r="BC35" s="13" t="n">
        <v>1869.5</v>
      </c>
      <c r="BD35" s="13" t="n">
        <v>1722.5</v>
      </c>
      <c r="BE35" s="13" t="n">
        <v>1739</v>
      </c>
      <c r="BF35" s="13" t="n">
        <v>1822</v>
      </c>
      <c r="BG35" s="13" t="n">
        <v>1818.5</v>
      </c>
      <c r="BH35" s="13" t="n">
        <v>1840.5</v>
      </c>
      <c r="BI35" s="13" t="n">
        <v>1769.5</v>
      </c>
      <c r="BJ35" s="13" t="n">
        <v>1694</v>
      </c>
      <c r="BK35" s="13" t="n">
        <v>1767.5</v>
      </c>
      <c r="BL35" s="13" t="n">
        <v>1805.5</v>
      </c>
    </row>
    <row r="36" ht="15.95" customHeight="1" s="574">
      <c r="A36" s="64" t="inlineStr">
        <is>
          <t>5938</t>
        </is>
      </c>
      <c r="B36" s="673" t="inlineStr">
        <is>
          <t>ＬＩＸＩＬ</t>
        </is>
      </c>
      <c r="C36" s="676">
        <f>_xll.RssMarket("5938","現在値")</f>
        <v/>
      </c>
      <c r="D36" s="661">
        <f>C36-E36</f>
        <v/>
      </c>
      <c r="E36" s="13" t="n">
        <v>1741.5</v>
      </c>
      <c r="F36" s="13" t="n">
        <v>1732.5</v>
      </c>
      <c r="G36" s="13" t="n">
        <v>1721.5</v>
      </c>
      <c r="H36" s="13" t="n">
        <v>1736</v>
      </c>
      <c r="I36" s="13" t="n">
        <v>1721</v>
      </c>
      <c r="J36" s="13" t="n">
        <v>1728</v>
      </c>
      <c r="K36" s="13" t="n">
        <v>1739</v>
      </c>
      <c r="L36" s="13" t="n">
        <v>1723</v>
      </c>
      <c r="M36" s="13" t="n">
        <v>1710</v>
      </c>
      <c r="N36" s="13" t="n">
        <v>1700</v>
      </c>
      <c r="O36" s="13" t="n">
        <v>1706.5</v>
      </c>
      <c r="P36" s="13" t="n">
        <v>1674</v>
      </c>
      <c r="Q36" s="13" t="n">
        <v>1686.5</v>
      </c>
      <c r="R36" s="13" t="n">
        <v>1694.5</v>
      </c>
      <c r="S36" s="13" t="n">
        <v>1681.5</v>
      </c>
      <c r="T36" s="13" t="n">
        <v>1658</v>
      </c>
      <c r="U36" s="13" t="n">
        <v>1645</v>
      </c>
      <c r="V36" s="13" t="n">
        <v>1639</v>
      </c>
      <c r="W36" s="13" t="n">
        <v>1622</v>
      </c>
      <c r="X36" s="13" t="n">
        <v>1657</v>
      </c>
      <c r="Y36" s="13" t="n">
        <v>1634</v>
      </c>
      <c r="Z36" s="13" t="n">
        <v>1672.5</v>
      </c>
      <c r="AA36" s="13" t="n">
        <v>1665.5</v>
      </c>
      <c r="AB36" s="13" t="n">
        <v>1674</v>
      </c>
      <c r="AC36" s="13" t="n">
        <v>1678.5</v>
      </c>
      <c r="AD36" s="13" t="n">
        <v>1670</v>
      </c>
      <c r="AE36" s="13" t="n">
        <v>1701.5</v>
      </c>
      <c r="AF36" s="13" t="n">
        <v>1679.5</v>
      </c>
      <c r="AG36" s="13" t="n">
        <v>1662</v>
      </c>
      <c r="AH36" s="13" t="n">
        <v>1619</v>
      </c>
      <c r="AI36" s="13" t="n">
        <v>1628</v>
      </c>
      <c r="AJ36" s="13" t="n">
        <v>1603.5</v>
      </c>
      <c r="AK36" s="13" t="n">
        <v>1611</v>
      </c>
      <c r="AL36" s="13" t="n">
        <v>1612</v>
      </c>
      <c r="AM36" s="13" t="n">
        <v>1617</v>
      </c>
      <c r="AN36" s="13" t="n">
        <v>1638</v>
      </c>
      <c r="AO36" s="13" t="n">
        <v>1643.5</v>
      </c>
      <c r="AP36" s="13" t="n">
        <v>1615.5</v>
      </c>
      <c r="AQ36" s="13" t="n">
        <v>1625</v>
      </c>
      <c r="AR36" s="13" t="n">
        <v>1615.5</v>
      </c>
      <c r="AS36" s="13" t="n">
        <v>1608</v>
      </c>
      <c r="AT36" s="13" t="n">
        <v>1606.5</v>
      </c>
      <c r="AU36" s="13" t="n">
        <v>1668</v>
      </c>
      <c r="AV36" s="13" t="n">
        <v>1663.5</v>
      </c>
      <c r="AW36" s="13" t="n">
        <v>1676.5</v>
      </c>
      <c r="AX36" s="13" t="n">
        <v>1639.5</v>
      </c>
      <c r="AY36" s="13" t="n">
        <v>1635</v>
      </c>
      <c r="AZ36" s="13" t="n">
        <v>1640.5</v>
      </c>
      <c r="BA36" s="13" t="n">
        <v>1630</v>
      </c>
      <c r="BB36" s="13" t="n">
        <v>1642.5</v>
      </c>
      <c r="BC36" s="13" t="n">
        <v>1621.5</v>
      </c>
      <c r="BD36" s="13" t="n">
        <v>1624</v>
      </c>
      <c r="BE36" s="13" t="n">
        <v>1695</v>
      </c>
      <c r="BF36" s="13" t="n">
        <v>1696.5</v>
      </c>
      <c r="BG36" s="13" t="n">
        <v>1688</v>
      </c>
      <c r="BH36" s="13" t="n">
        <v>1663.5</v>
      </c>
      <c r="BI36" s="13" t="n">
        <v>1631</v>
      </c>
      <c r="BJ36" s="13" t="n">
        <v>1655.5</v>
      </c>
      <c r="BK36" s="13" t="n">
        <v>1720</v>
      </c>
      <c r="BL36" s="13" t="n">
        <v>1692.5</v>
      </c>
    </row>
    <row r="37" ht="15.95" customHeight="1" s="574">
      <c r="A37" s="64" t="inlineStr">
        <is>
          <t>8570</t>
        </is>
      </c>
      <c r="B37" s="673" t="inlineStr">
        <is>
          <t>イオンフィナンシャルサービス</t>
        </is>
      </c>
      <c r="C37" s="676">
        <f>_xll.RssMarket("8570","現在値")</f>
        <v/>
      </c>
      <c r="D37" s="661">
        <f>C37-E37</f>
        <v/>
      </c>
      <c r="E37" s="13" t="n">
        <v>1463.5</v>
      </c>
      <c r="F37" s="13" t="n">
        <v>1476.5</v>
      </c>
      <c r="G37" s="13" t="n">
        <v>1491.5</v>
      </c>
      <c r="H37" s="13" t="n">
        <v>1499.5</v>
      </c>
      <c r="I37" s="13" t="n">
        <v>1509.5</v>
      </c>
      <c r="J37" s="13" t="n">
        <v>1506</v>
      </c>
      <c r="K37" s="13" t="n">
        <v>1458.5</v>
      </c>
      <c r="L37" s="13" t="n">
        <v>1461.5</v>
      </c>
      <c r="M37" s="13" t="n">
        <v>1434</v>
      </c>
      <c r="N37" s="13" t="n">
        <v>1459</v>
      </c>
      <c r="O37" s="13" t="n">
        <v>1460</v>
      </c>
      <c r="P37" s="13" t="n">
        <v>1450.5</v>
      </c>
      <c r="Q37" s="13" t="n">
        <v>1510</v>
      </c>
      <c r="R37" s="13" t="n">
        <v>1518</v>
      </c>
      <c r="S37" s="13" t="n">
        <v>1540.5</v>
      </c>
      <c r="T37" s="13" t="n">
        <v>1550.5</v>
      </c>
      <c r="U37" s="13" t="n">
        <v>1560</v>
      </c>
      <c r="V37" s="13" t="n">
        <v>1592.5</v>
      </c>
      <c r="W37" s="13" t="n">
        <v>1572.5</v>
      </c>
      <c r="X37" s="13" t="n">
        <v>1584</v>
      </c>
      <c r="Y37" s="13" t="n">
        <v>1583.5</v>
      </c>
      <c r="Z37" s="13" t="n">
        <v>1560</v>
      </c>
      <c r="AA37" s="13" t="n">
        <v>1551</v>
      </c>
      <c r="AB37" s="13" t="n">
        <v>1532.5</v>
      </c>
      <c r="AC37" s="13" t="n">
        <v>1504.5</v>
      </c>
      <c r="AD37" s="13" t="n">
        <v>1551.5</v>
      </c>
      <c r="AE37" s="13" t="n">
        <v>1560</v>
      </c>
      <c r="AF37" s="13" t="n">
        <v>1558.5</v>
      </c>
      <c r="AG37" s="13" t="n">
        <v>1557.5</v>
      </c>
      <c r="AH37" s="13" t="n">
        <v>1529.5</v>
      </c>
      <c r="AI37" s="13" t="n">
        <v>1549.5</v>
      </c>
      <c r="AJ37" s="13" t="n">
        <v>1555.5</v>
      </c>
      <c r="AK37" s="13" t="n">
        <v>1537</v>
      </c>
      <c r="AL37" s="13" t="n">
        <v>1548.5</v>
      </c>
      <c r="AM37" s="13" t="n">
        <v>1560</v>
      </c>
      <c r="AN37" s="13" t="n">
        <v>1564.5</v>
      </c>
      <c r="AO37" s="13" t="n">
        <v>1610</v>
      </c>
      <c r="AP37" s="13" t="n">
        <v>1606</v>
      </c>
      <c r="AQ37" s="13" t="n">
        <v>1597</v>
      </c>
      <c r="AR37" s="13" t="n">
        <v>1588</v>
      </c>
      <c r="AS37" s="13" t="n">
        <v>1523.5</v>
      </c>
      <c r="AT37" s="13" t="n">
        <v>1533.5</v>
      </c>
      <c r="AU37" s="13" t="n">
        <v>1668</v>
      </c>
      <c r="AV37" s="13" t="n">
        <v>1613.5</v>
      </c>
      <c r="AW37" s="13" t="n">
        <v>1610</v>
      </c>
      <c r="AX37" s="13" t="n">
        <v>1610</v>
      </c>
      <c r="AY37" s="13" t="n">
        <v>1599.5</v>
      </c>
      <c r="AZ37" s="13" t="n">
        <v>1600</v>
      </c>
      <c r="BA37" s="13" t="n">
        <v>1556.5</v>
      </c>
      <c r="BB37" s="13" t="n">
        <v>1555.5</v>
      </c>
      <c r="BC37" s="13" t="n">
        <v>1576</v>
      </c>
      <c r="BD37" s="13" t="n">
        <v>1583</v>
      </c>
      <c r="BE37" s="13" t="n">
        <v>1593.5</v>
      </c>
      <c r="BF37" s="13" t="n">
        <v>1570</v>
      </c>
      <c r="BG37" s="13" t="n">
        <v>1542</v>
      </c>
      <c r="BH37" s="13" t="n">
        <v>1581.5</v>
      </c>
      <c r="BI37" s="13" t="n">
        <v>1611.5</v>
      </c>
      <c r="BJ37" s="13" t="n">
        <v>1567</v>
      </c>
      <c r="BK37" s="13" t="n">
        <v>1564</v>
      </c>
      <c r="BL37" s="13" t="n">
        <v>1564</v>
      </c>
    </row>
    <row r="38" ht="15.95" customHeight="1" s="574">
      <c r="A38" s="64" t="inlineStr">
        <is>
          <t>5406</t>
        </is>
      </c>
      <c r="B38" s="673" t="inlineStr">
        <is>
          <t>神戸製鋼所</t>
        </is>
      </c>
      <c r="C38" s="676">
        <f>_xll.RssMarket("5406","現在値")</f>
        <v/>
      </c>
      <c r="D38" s="661">
        <f>C38-E38</f>
        <v/>
      </c>
      <c r="E38" s="13" t="n">
        <v>1966</v>
      </c>
      <c r="F38" s="13" t="n">
        <v>1978</v>
      </c>
      <c r="G38" s="13" t="n">
        <v>1989.5</v>
      </c>
      <c r="H38" s="13" t="n">
        <v>1936.5</v>
      </c>
      <c r="I38" s="13" t="n">
        <v>1900</v>
      </c>
      <c r="J38" s="13" t="n">
        <v>1902</v>
      </c>
      <c r="K38" s="13" t="n">
        <v>1910</v>
      </c>
      <c r="L38" s="13" t="n">
        <v>1935.5</v>
      </c>
      <c r="M38" s="13" t="n">
        <v>1940.5</v>
      </c>
      <c r="N38" s="13" t="n">
        <v>1976.5</v>
      </c>
      <c r="O38" s="13" t="n">
        <v>1950</v>
      </c>
      <c r="P38" s="13" t="n">
        <v>1960</v>
      </c>
      <c r="Q38" s="13" t="n">
        <v>1980</v>
      </c>
      <c r="R38" s="13" t="n">
        <v>1948.5</v>
      </c>
      <c r="S38" s="13" t="n">
        <v>1965.5</v>
      </c>
      <c r="T38" s="13" t="n">
        <v>1960.5</v>
      </c>
      <c r="U38" s="13" t="n">
        <v>1946.5</v>
      </c>
      <c r="V38" s="13" t="n">
        <v>1930</v>
      </c>
      <c r="W38" s="13" t="n">
        <v>1881.5</v>
      </c>
      <c r="X38" s="13" t="n">
        <v>1920.5</v>
      </c>
      <c r="Y38" s="13" t="n">
        <v>1881.5</v>
      </c>
      <c r="Z38" s="13" t="n">
        <v>1962.5</v>
      </c>
      <c r="AA38" s="13" t="n">
        <v>1979.5</v>
      </c>
      <c r="AB38" s="13" t="n">
        <v>1960.5</v>
      </c>
      <c r="AC38" s="13" t="n">
        <v>1980</v>
      </c>
      <c r="AD38" s="13" t="n">
        <v>2012</v>
      </c>
      <c r="AE38" s="13" t="n">
        <v>1937</v>
      </c>
      <c r="AF38" s="13" t="n">
        <v>1980.5</v>
      </c>
      <c r="AG38" s="13" t="n">
        <v>1941</v>
      </c>
      <c r="AH38" s="13" t="n">
        <v>1926.5</v>
      </c>
      <c r="AI38" s="13" t="n">
        <v>1895.5</v>
      </c>
      <c r="AJ38" s="13" t="n">
        <v>1860.5</v>
      </c>
      <c r="AK38" s="13" t="n">
        <v>1853.5</v>
      </c>
      <c r="AL38" s="13" t="n">
        <v>1845.5</v>
      </c>
      <c r="AM38" s="13" t="n">
        <v>1875.5</v>
      </c>
      <c r="AN38" s="13" t="n">
        <v>1905.5</v>
      </c>
      <c r="AO38" s="13" t="n">
        <v>1933.5</v>
      </c>
      <c r="AP38" s="13" t="n">
        <v>1931.5</v>
      </c>
      <c r="AQ38" s="13" t="n">
        <v>1947.5</v>
      </c>
      <c r="AR38" s="13" t="n">
        <v>1944.5</v>
      </c>
      <c r="AS38" s="13" t="n">
        <v>1950</v>
      </c>
      <c r="AT38" s="13" t="n">
        <v>1947</v>
      </c>
      <c r="AU38" s="13" t="n">
        <v>1953.5</v>
      </c>
      <c r="AV38" s="13" t="n">
        <v>1957.5</v>
      </c>
      <c r="AW38" s="13" t="n">
        <v>1980</v>
      </c>
      <c r="AX38" s="13" t="n">
        <v>1923.5</v>
      </c>
      <c r="AY38" s="13" t="n">
        <v>1928.5</v>
      </c>
      <c r="AZ38" s="13" t="n">
        <v>1943.5</v>
      </c>
      <c r="BA38" s="13" t="n">
        <v>1934.5</v>
      </c>
      <c r="BB38" s="13" t="n">
        <v>1959.5</v>
      </c>
      <c r="BC38" s="13" t="n">
        <v>1890</v>
      </c>
      <c r="BD38" s="13" t="n">
        <v>1882</v>
      </c>
      <c r="BE38" s="13" t="n">
        <v>1965</v>
      </c>
      <c r="BF38" s="13" t="n">
        <v>1936.5</v>
      </c>
      <c r="BG38" s="13" t="n">
        <v>1957</v>
      </c>
      <c r="BH38" s="13" t="n">
        <v>1979</v>
      </c>
      <c r="BI38" s="13" t="n">
        <v>1941.5</v>
      </c>
      <c r="BJ38" s="13" t="n">
        <v>2006</v>
      </c>
      <c r="BK38" s="13" t="n">
        <v>2047.5</v>
      </c>
      <c r="BL38" s="13" t="n">
        <v>2009</v>
      </c>
    </row>
    <row r="39" ht="15.95" customHeight="1" s="574">
      <c r="A39" s="64" t="inlineStr">
        <is>
          <t>8593</t>
        </is>
      </c>
      <c r="B39" s="673" t="inlineStr">
        <is>
          <t>三菱ＨＣキャピタル</t>
        </is>
      </c>
      <c r="C39" s="676">
        <f>_xll.RssMarket("8593","現在値")</f>
        <v/>
      </c>
      <c r="D39" s="661">
        <f>C39-E39</f>
        <v/>
      </c>
      <c r="E39" s="13" t="n">
        <v>1307.5</v>
      </c>
      <c r="F39" s="13" t="n">
        <v>1312</v>
      </c>
      <c r="G39" s="13" t="n">
        <v>1325</v>
      </c>
      <c r="H39" s="13" t="n">
        <v>1314.5</v>
      </c>
      <c r="I39" s="13" t="n">
        <v>1319</v>
      </c>
      <c r="J39" s="13" t="n">
        <v>1315.5</v>
      </c>
      <c r="K39" s="13" t="n">
        <v>1325.5</v>
      </c>
      <c r="L39" s="13" t="n">
        <v>1298.5</v>
      </c>
      <c r="M39" s="13" t="n">
        <v>1272.5</v>
      </c>
      <c r="N39" s="13" t="n">
        <v>1258.5</v>
      </c>
      <c r="O39" s="13" t="n">
        <v>1265</v>
      </c>
      <c r="P39" s="13" t="n">
        <v>1270</v>
      </c>
      <c r="Q39" s="13" t="n">
        <v>1301.5</v>
      </c>
      <c r="R39" s="13" t="n">
        <v>1308.5</v>
      </c>
      <c r="S39" s="13" t="n">
        <v>1310</v>
      </c>
      <c r="T39" s="13" t="n">
        <v>1316</v>
      </c>
      <c r="U39" s="13" t="n">
        <v>1315</v>
      </c>
      <c r="V39" s="13" t="n">
        <v>1333</v>
      </c>
      <c r="W39" s="13" t="n">
        <v>1340.5</v>
      </c>
      <c r="X39" s="13" t="n">
        <v>1344</v>
      </c>
      <c r="Y39" s="13" t="n">
        <v>1336.5</v>
      </c>
      <c r="Z39" s="13" t="n">
        <v>1426</v>
      </c>
      <c r="AA39" s="13" t="n">
        <v>1433.5</v>
      </c>
      <c r="AB39" s="13" t="n">
        <v>1435.5</v>
      </c>
      <c r="AC39" s="13" t="n">
        <v>1440</v>
      </c>
      <c r="AD39" s="13" t="n">
        <v>1414.5</v>
      </c>
      <c r="AE39" s="13" t="n">
        <v>1403</v>
      </c>
      <c r="AF39" s="13" t="n">
        <v>1412.5</v>
      </c>
      <c r="AG39" s="13" t="n">
        <v>1405.5</v>
      </c>
      <c r="AH39" s="13" t="n">
        <v>1423.5</v>
      </c>
      <c r="AI39" s="13" t="n">
        <v>1443</v>
      </c>
      <c r="AJ39" s="13" t="n">
        <v>1415.5</v>
      </c>
      <c r="AK39" s="13" t="n">
        <v>1414</v>
      </c>
      <c r="AL39" s="13" t="n">
        <v>1408</v>
      </c>
      <c r="AM39" s="13" t="n">
        <v>1412</v>
      </c>
      <c r="AN39" s="13" t="n">
        <v>1432</v>
      </c>
      <c r="AO39" s="13" t="n">
        <v>1450</v>
      </c>
      <c r="AP39" s="13" t="n">
        <v>1460</v>
      </c>
      <c r="AQ39" s="13" t="n">
        <v>1473.5</v>
      </c>
      <c r="AR39" s="13" t="n">
        <v>1465.5</v>
      </c>
      <c r="AS39" s="13" t="n">
        <v>1468</v>
      </c>
      <c r="AT39" s="13" t="n">
        <v>1459.5</v>
      </c>
      <c r="AU39" s="13" t="n">
        <v>1469.5</v>
      </c>
      <c r="AV39" s="13" t="n">
        <v>1480.5</v>
      </c>
      <c r="AW39" s="13" t="n">
        <v>1516.5</v>
      </c>
      <c r="AX39" s="13" t="n">
        <v>1482.5</v>
      </c>
      <c r="AY39" s="13" t="n">
        <v>1474</v>
      </c>
      <c r="AZ39" s="13" t="n">
        <v>1469.5</v>
      </c>
      <c r="BA39" s="13" t="n">
        <v>1462.5</v>
      </c>
      <c r="BB39" s="13" t="n">
        <v>1436</v>
      </c>
      <c r="BC39" s="13" t="n">
        <v>1401</v>
      </c>
      <c r="BD39" s="13" t="n">
        <v>1406.5</v>
      </c>
      <c r="BE39" s="13" t="n">
        <v>1447.5</v>
      </c>
      <c r="BF39" s="13" t="n">
        <v>1444</v>
      </c>
      <c r="BG39" s="13" t="n">
        <v>1448</v>
      </c>
      <c r="BH39" s="13" t="n">
        <v>1415</v>
      </c>
      <c r="BI39" s="13" t="n">
        <v>1394</v>
      </c>
      <c r="BJ39" s="13" t="n">
        <v>1428</v>
      </c>
      <c r="BK39" s="13" t="n">
        <v>1459</v>
      </c>
      <c r="BL39" s="13" t="n">
        <v>1427.5</v>
      </c>
    </row>
    <row r="40" ht="15.95" customHeight="1" s="574">
      <c r="A40" s="64" t="inlineStr">
        <is>
          <t>8604</t>
        </is>
      </c>
      <c r="B40" s="673" t="inlineStr">
        <is>
          <t>野村ホールディングス</t>
        </is>
      </c>
      <c r="C40" s="676">
        <f>_xll.RssMarket("8604","現在値")</f>
        <v/>
      </c>
      <c r="D40" s="661">
        <f>C40-E40</f>
        <v/>
      </c>
      <c r="E40" s="13" t="n">
        <v>1436.5</v>
      </c>
      <c r="F40" s="13" t="n">
        <v>1408.5</v>
      </c>
      <c r="G40" s="13" t="n">
        <v>1451</v>
      </c>
      <c r="H40" s="13" t="n">
        <v>1415</v>
      </c>
      <c r="I40" s="13" t="n">
        <v>1364.5</v>
      </c>
      <c r="J40" s="13" t="n">
        <v>1352.5</v>
      </c>
      <c r="K40" s="13" t="n">
        <v>1387</v>
      </c>
      <c r="L40" s="13" t="n">
        <v>1359.5</v>
      </c>
      <c r="M40" s="13" t="n">
        <v>1361</v>
      </c>
      <c r="N40" s="13" t="n">
        <v>1349.5</v>
      </c>
      <c r="O40" s="13" t="n">
        <v>1350.5</v>
      </c>
      <c r="P40" s="13" t="n">
        <v>1324</v>
      </c>
      <c r="Q40" s="13" t="n">
        <v>1298.5</v>
      </c>
      <c r="R40" s="13" t="n">
        <v>1285</v>
      </c>
      <c r="S40" s="13" t="n">
        <v>1250.5</v>
      </c>
      <c r="T40" s="13" t="n">
        <v>1260</v>
      </c>
      <c r="U40" s="13" t="n">
        <v>1273</v>
      </c>
      <c r="V40" s="13" t="n">
        <v>1287</v>
      </c>
      <c r="W40" s="13" t="n">
        <v>1290.5</v>
      </c>
      <c r="X40" s="13" t="n">
        <v>1250.5</v>
      </c>
      <c r="Y40" s="13" t="n">
        <v>1276</v>
      </c>
      <c r="Z40" s="13" t="n">
        <v>1248</v>
      </c>
      <c r="AA40" s="13" t="n">
        <v>1273</v>
      </c>
      <c r="AB40" s="13" t="n">
        <v>1265</v>
      </c>
      <c r="AC40" s="13" t="n">
        <v>1273.5</v>
      </c>
      <c r="AD40" s="13" t="n">
        <v>1235</v>
      </c>
      <c r="AE40" s="13" t="n">
        <v>1228.5</v>
      </c>
      <c r="AF40" s="13" t="n">
        <v>1250.5</v>
      </c>
      <c r="AG40" s="13" t="n">
        <v>1220</v>
      </c>
      <c r="AH40" s="13" t="n">
        <v>1256.5</v>
      </c>
      <c r="AI40" s="13" t="n">
        <v>1274</v>
      </c>
      <c r="AJ40" s="13" t="n">
        <v>1230.5</v>
      </c>
      <c r="AK40" s="13" t="n">
        <v>1312</v>
      </c>
      <c r="AL40" s="13" t="n">
        <v>1332.5</v>
      </c>
      <c r="AM40" s="13" t="n">
        <v>1331.5</v>
      </c>
      <c r="AN40" s="13" t="n">
        <v>1334.5</v>
      </c>
      <c r="AO40" s="13" t="n">
        <v>1341</v>
      </c>
      <c r="AP40" s="13" t="n">
        <v>1334</v>
      </c>
      <c r="AQ40" s="13" t="n">
        <v>1387.5</v>
      </c>
      <c r="AR40" s="13" t="n">
        <v>1363</v>
      </c>
      <c r="AS40" s="13" t="n">
        <v>1318</v>
      </c>
      <c r="AT40" s="13" t="n">
        <v>1300.5</v>
      </c>
      <c r="AU40" s="13" t="n">
        <v>1305</v>
      </c>
      <c r="AV40" s="13" t="n">
        <v>1314</v>
      </c>
      <c r="AW40" s="13" t="n">
        <v>1334.5</v>
      </c>
      <c r="AX40" s="13" t="n">
        <v>1275.5</v>
      </c>
      <c r="AY40" s="13" t="n">
        <v>1263.5</v>
      </c>
      <c r="AZ40" s="13" t="n">
        <v>1261</v>
      </c>
      <c r="BA40" s="13" t="n">
        <v>1254</v>
      </c>
      <c r="BB40" s="13" t="n">
        <v>1285</v>
      </c>
      <c r="BC40" s="13" t="n">
        <v>1204</v>
      </c>
      <c r="BD40" s="13" t="n">
        <v>1203</v>
      </c>
      <c r="BE40" s="13" t="n">
        <v>1255</v>
      </c>
      <c r="BF40" s="13" t="n">
        <v>1257.5</v>
      </c>
      <c r="BG40" s="13" t="n">
        <v>1274.5</v>
      </c>
      <c r="BH40" s="13" t="n">
        <v>1237</v>
      </c>
      <c r="BI40" s="13" t="n">
        <v>1213.5</v>
      </c>
      <c r="BJ40" s="13" t="n">
        <v>1218.5</v>
      </c>
      <c r="BK40" s="13" t="n">
        <v>1239</v>
      </c>
      <c r="BL40" s="13" t="n">
        <v>1186.5</v>
      </c>
    </row>
    <row r="41" ht="15.95" customHeight="1" s="574">
      <c r="A41" s="64" t="inlineStr">
        <is>
          <t>3861</t>
        </is>
      </c>
      <c r="B41" s="673" t="inlineStr">
        <is>
          <t>王子ホールディングス</t>
        </is>
      </c>
      <c r="C41" s="676">
        <f>_xll.RssMarket("3861","現在値")</f>
        <v/>
      </c>
      <c r="D41" s="661">
        <f>C41-E41</f>
        <v/>
      </c>
      <c r="E41" s="13" t="n">
        <v>799.8</v>
      </c>
      <c r="F41" s="13" t="n">
        <v>804.7</v>
      </c>
      <c r="G41" s="13" t="n">
        <v>799.6</v>
      </c>
      <c r="H41" s="13" t="n">
        <v>793.9</v>
      </c>
      <c r="I41" s="13" t="n">
        <v>791</v>
      </c>
      <c r="J41" s="13" t="n">
        <v>783</v>
      </c>
      <c r="K41" s="13" t="n">
        <v>785.2</v>
      </c>
      <c r="L41" s="13" t="n">
        <v>780.6</v>
      </c>
      <c r="M41" s="13" t="n">
        <v>778.9</v>
      </c>
      <c r="N41" s="13" t="n">
        <v>774</v>
      </c>
      <c r="O41" s="13" t="n">
        <v>782.6</v>
      </c>
      <c r="P41" s="13" t="n">
        <v>767.9</v>
      </c>
      <c r="Q41" s="13" t="n">
        <v>770.2</v>
      </c>
      <c r="R41" s="13" t="n">
        <v>782.2</v>
      </c>
      <c r="S41" s="13" t="n">
        <v>790.5</v>
      </c>
      <c r="T41" s="13" t="n">
        <v>780.3</v>
      </c>
      <c r="U41" s="13" t="n">
        <v>775.8</v>
      </c>
      <c r="V41" s="13" t="n">
        <v>777.1</v>
      </c>
      <c r="W41" s="13" t="n">
        <v>793.2</v>
      </c>
      <c r="X41" s="13" t="n">
        <v>806.6</v>
      </c>
      <c r="Y41" s="13" t="n">
        <v>815.1</v>
      </c>
      <c r="Z41" s="13" t="n">
        <v>810</v>
      </c>
      <c r="AA41" s="13" t="n">
        <v>857</v>
      </c>
      <c r="AB41" s="13" t="n">
        <v>841.8</v>
      </c>
      <c r="AC41" s="13" t="n">
        <v>835.8</v>
      </c>
      <c r="AD41" s="13" t="n">
        <v>830</v>
      </c>
      <c r="AE41" s="13" t="n">
        <v>822</v>
      </c>
      <c r="AF41" s="13" t="n">
        <v>829.2</v>
      </c>
      <c r="AG41" s="13" t="n">
        <v>833.6</v>
      </c>
      <c r="AH41" s="13" t="n">
        <v>824.7</v>
      </c>
      <c r="AI41" s="13" t="n">
        <v>822.5</v>
      </c>
      <c r="AJ41" s="13" t="n">
        <v>825.8</v>
      </c>
      <c r="AK41" s="13" t="n">
        <v>815.2</v>
      </c>
      <c r="AL41" s="13" t="n">
        <v>822.2</v>
      </c>
      <c r="AM41" s="13" t="n">
        <v>820.4</v>
      </c>
      <c r="AN41" s="13" t="n">
        <v>833.6</v>
      </c>
      <c r="AO41" s="13" t="n">
        <v>837.1</v>
      </c>
      <c r="AP41" s="13" t="n">
        <v>841.4</v>
      </c>
      <c r="AQ41" s="13" t="n">
        <v>842.1</v>
      </c>
      <c r="AR41" s="13" t="n">
        <v>850.6</v>
      </c>
      <c r="AS41" s="13" t="n">
        <v>849.7</v>
      </c>
      <c r="AT41" s="13" t="n">
        <v>852.1</v>
      </c>
      <c r="AU41" s="13" t="n">
        <v>852.8</v>
      </c>
      <c r="AV41" s="13" t="n">
        <v>849</v>
      </c>
      <c r="AW41" s="13" t="n">
        <v>855</v>
      </c>
      <c r="AX41" s="13" t="n">
        <v>858.1</v>
      </c>
      <c r="AY41" s="13" t="n">
        <v>846.9</v>
      </c>
      <c r="AZ41" s="13" t="n">
        <v>851.1</v>
      </c>
      <c r="BA41" s="13" t="n">
        <v>852.5</v>
      </c>
      <c r="BB41" s="13" t="n">
        <v>847.2</v>
      </c>
      <c r="BC41" s="13" t="n">
        <v>853.8</v>
      </c>
      <c r="BD41" s="13" t="n">
        <v>847.3</v>
      </c>
      <c r="BE41" s="13" t="n">
        <v>838.3</v>
      </c>
      <c r="BF41" s="13" t="n">
        <v>871.2</v>
      </c>
      <c r="BG41" s="13" t="n">
        <v>861.1</v>
      </c>
      <c r="BH41" s="13" t="n">
        <v>872.7</v>
      </c>
      <c r="BI41" s="13" t="n">
        <v>866.8</v>
      </c>
      <c r="BJ41" s="13" t="n">
        <v>854</v>
      </c>
      <c r="BK41" s="13" t="n">
        <v>875.3</v>
      </c>
      <c r="BL41" s="13" t="n">
        <v>914.1</v>
      </c>
    </row>
    <row r="42" ht="15.95" customHeight="1" s="574">
      <c r="A42" s="64" t="inlineStr">
        <is>
          <t>5947</t>
        </is>
      </c>
      <c r="B42" s="673" t="inlineStr">
        <is>
          <t>リンナイ</t>
        </is>
      </c>
      <c r="C42" s="676">
        <f>_xll.RssMarket("5947","現在値")</f>
        <v/>
      </c>
      <c r="D42" s="661">
        <f>C42-E42</f>
        <v/>
      </c>
      <c r="E42" s="13" t="n">
        <v>3485</v>
      </c>
      <c r="F42" s="13" t="n">
        <v>3438</v>
      </c>
      <c r="G42" s="13" t="n">
        <v>3465</v>
      </c>
      <c r="H42" s="13" t="n">
        <v>3421</v>
      </c>
      <c r="I42" s="13" t="n">
        <v>3483</v>
      </c>
      <c r="J42" s="13" t="n">
        <v>3536</v>
      </c>
      <c r="K42" s="13" t="n">
        <v>3504</v>
      </c>
      <c r="L42" s="13" t="n">
        <v>3500</v>
      </c>
      <c r="M42" s="13" t="n">
        <v>3420</v>
      </c>
      <c r="N42" s="13" t="n">
        <v>3392</v>
      </c>
      <c r="O42" s="13" t="n">
        <v>3342</v>
      </c>
      <c r="P42" s="13" t="n">
        <v>3350</v>
      </c>
      <c r="Q42" s="13" t="n">
        <v>3393</v>
      </c>
      <c r="R42" s="13" t="n">
        <v>3426</v>
      </c>
      <c r="S42" s="13" t="n">
        <v>3452</v>
      </c>
      <c r="T42" s="13" t="n">
        <v>3434</v>
      </c>
      <c r="U42" s="13" t="n">
        <v>3506</v>
      </c>
      <c r="V42" s="13" t="n">
        <v>3537</v>
      </c>
      <c r="W42" s="13" t="n">
        <v>3550</v>
      </c>
      <c r="X42" s="13" t="n">
        <v>3556</v>
      </c>
      <c r="Y42" s="13" t="n">
        <v>3467</v>
      </c>
      <c r="Z42" s="13" t="n">
        <v>3462</v>
      </c>
      <c r="AA42" s="13" t="n">
        <v>3377</v>
      </c>
      <c r="AB42" s="13" t="n">
        <v>3346</v>
      </c>
      <c r="AC42" s="13" t="n">
        <v>3431</v>
      </c>
      <c r="AD42" s="13" t="n">
        <v>3579</v>
      </c>
      <c r="AE42" s="13" t="n">
        <v>3603</v>
      </c>
      <c r="AF42" s="13" t="n">
        <v>3690</v>
      </c>
      <c r="AG42" s="13" t="n">
        <v>3588</v>
      </c>
      <c r="AH42" s="13" t="n">
        <v>3562</v>
      </c>
      <c r="AI42" s="13" t="n">
        <v>3606</v>
      </c>
      <c r="AJ42" s="13" t="n">
        <v>3549</v>
      </c>
      <c r="AK42" s="13" t="n">
        <v>3513</v>
      </c>
      <c r="AL42" s="13" t="n">
        <v>3511</v>
      </c>
      <c r="AM42" s="13" t="n">
        <v>3511</v>
      </c>
      <c r="AN42" s="13" t="n">
        <v>3492</v>
      </c>
      <c r="AO42" s="13" t="n">
        <v>3537</v>
      </c>
      <c r="AP42" s="13" t="n">
        <v>3541</v>
      </c>
      <c r="AQ42" s="13" t="n">
        <v>3523</v>
      </c>
      <c r="AR42" s="13" t="n">
        <v>3594</v>
      </c>
      <c r="AS42" s="13" t="n">
        <v>3557</v>
      </c>
      <c r="AT42" s="13" t="n">
        <v>3697</v>
      </c>
      <c r="AU42" s="13" t="n">
        <v>3754</v>
      </c>
      <c r="AV42" s="13" t="n">
        <v>3749</v>
      </c>
      <c r="AW42" s="13" t="n">
        <v>3743</v>
      </c>
      <c r="AX42" s="13" t="n">
        <v>3665</v>
      </c>
      <c r="AY42" s="13" t="n">
        <v>3671</v>
      </c>
      <c r="AZ42" s="13" t="n">
        <v>3663</v>
      </c>
      <c r="BA42" s="13" t="n">
        <v>3660</v>
      </c>
      <c r="BB42" s="13" t="n">
        <v>3735</v>
      </c>
      <c r="BC42" s="13" t="n">
        <v>3659</v>
      </c>
      <c r="BD42" s="13" t="n">
        <v>3653</v>
      </c>
      <c r="BE42" s="13" t="n">
        <v>3751</v>
      </c>
      <c r="BF42" s="13" t="n">
        <v>3725</v>
      </c>
      <c r="BG42" s="13" t="n">
        <v>3746</v>
      </c>
      <c r="BH42" s="13" t="n">
        <v>3702</v>
      </c>
      <c r="BI42" s="13" t="n">
        <v>3634</v>
      </c>
      <c r="BJ42" s="13" t="n">
        <v>3671</v>
      </c>
      <c r="BK42" s="13" t="n">
        <v>3825</v>
      </c>
      <c r="BL42" s="13" t="n">
        <v>3763</v>
      </c>
    </row>
    <row r="43" ht="15.95" customHeight="1" s="574">
      <c r="A43" s="64" t="inlineStr">
        <is>
          <t>8750</t>
        </is>
      </c>
      <c r="B43" s="673" t="inlineStr">
        <is>
          <t>第一ライフグループ</t>
        </is>
      </c>
      <c r="C43" s="676">
        <f>_xll.RssMarket("8750","現在値")</f>
        <v/>
      </c>
      <c r="D43" s="661">
        <f>C43-E43</f>
        <v/>
      </c>
      <c r="E43" s="13" t="n">
        <v>1834.5</v>
      </c>
      <c r="F43" s="13" t="n">
        <v>1814.5</v>
      </c>
      <c r="G43" s="13" t="n">
        <v>1793</v>
      </c>
      <c r="H43" s="13" t="n">
        <v>1789.5</v>
      </c>
      <c r="I43" s="13" t="n">
        <v>1753.5</v>
      </c>
      <c r="J43" s="13" t="n">
        <v>1730.5</v>
      </c>
      <c r="K43" s="13" t="n">
        <v>1732</v>
      </c>
      <c r="L43" s="13" t="n">
        <v>1667.5</v>
      </c>
      <c r="M43" s="13" t="n">
        <v>1662.5</v>
      </c>
      <c r="N43" s="13" t="n">
        <v>1647.5</v>
      </c>
      <c r="O43" s="13" t="n">
        <v>1650</v>
      </c>
      <c r="P43" s="13" t="n">
        <v>1622</v>
      </c>
      <c r="Q43" s="13" t="n">
        <v>1634.5</v>
      </c>
      <c r="R43" s="13" t="n">
        <v>1636</v>
      </c>
      <c r="S43" s="13" t="n">
        <v>1627.5</v>
      </c>
      <c r="T43" s="13" t="n">
        <v>1664</v>
      </c>
      <c r="U43" s="13" t="n">
        <v>1666</v>
      </c>
      <c r="V43" s="13" t="n">
        <v>1650.5</v>
      </c>
      <c r="W43" s="13" t="n">
        <v>1669</v>
      </c>
      <c r="X43" s="13" t="n">
        <v>1656</v>
      </c>
      <c r="Y43" s="13" t="n">
        <v>1654</v>
      </c>
      <c r="Z43" s="13" t="n">
        <v>1615</v>
      </c>
      <c r="AA43" s="13" t="n">
        <v>1618</v>
      </c>
      <c r="AB43" s="13" t="n">
        <v>1500</v>
      </c>
      <c r="AC43" s="13" t="n">
        <v>1502</v>
      </c>
      <c r="AD43" s="13" t="n">
        <v>1479</v>
      </c>
      <c r="AE43" s="13" t="n">
        <v>1466.5</v>
      </c>
      <c r="AF43" s="13" t="n">
        <v>1438.5</v>
      </c>
      <c r="AG43" s="13" t="n">
        <v>1464</v>
      </c>
      <c r="AH43" s="13" t="n">
        <v>1423</v>
      </c>
      <c r="AI43" s="13" t="n">
        <v>1440</v>
      </c>
      <c r="AJ43" s="13" t="n">
        <v>1444</v>
      </c>
      <c r="AK43" s="13" t="n">
        <v>1398.5</v>
      </c>
      <c r="AL43" s="13" t="n">
        <v>1410.5</v>
      </c>
      <c r="AM43" s="13" t="n">
        <v>1415.5</v>
      </c>
      <c r="AN43" s="13" t="n">
        <v>1437</v>
      </c>
      <c r="AO43" s="13" t="n">
        <v>1444.5</v>
      </c>
      <c r="AP43" s="13" t="n">
        <v>1459</v>
      </c>
      <c r="AQ43" s="13" t="n">
        <v>1459.5</v>
      </c>
      <c r="AR43" s="13" t="n">
        <v>1503</v>
      </c>
      <c r="AS43" s="13" t="n">
        <v>1481</v>
      </c>
      <c r="AT43" s="13" t="n">
        <v>1483.5</v>
      </c>
      <c r="AU43" s="13" t="n">
        <v>1474.5</v>
      </c>
      <c r="AV43" s="13" t="n">
        <v>1482</v>
      </c>
      <c r="AW43" s="13" t="n">
        <v>1496.5</v>
      </c>
      <c r="AX43" s="13" t="n">
        <v>1533.5</v>
      </c>
      <c r="AY43" s="13" t="n">
        <v>1474</v>
      </c>
      <c r="AZ43" s="13" t="n">
        <v>1450.5</v>
      </c>
      <c r="BA43" s="13" t="n">
        <v>1472.5</v>
      </c>
      <c r="BB43" s="13" t="n">
        <v>1469.5</v>
      </c>
      <c r="BC43" s="13" t="n">
        <v>1499</v>
      </c>
      <c r="BD43" s="13" t="n">
        <v>1421</v>
      </c>
      <c r="BE43" s="13" t="n">
        <v>1406</v>
      </c>
      <c r="BF43" s="13" t="n">
        <v>1447.5</v>
      </c>
      <c r="BG43" s="13" t="n">
        <v>1438</v>
      </c>
      <c r="BH43" s="13" t="n">
        <v>1450</v>
      </c>
      <c r="BI43" s="13" t="n">
        <v>1386</v>
      </c>
      <c r="BJ43" s="13" t="n">
        <v>1357.5</v>
      </c>
      <c r="BK43" s="13" t="n">
        <v>1400</v>
      </c>
      <c r="BL43" s="13" t="n">
        <v>1456.5</v>
      </c>
    </row>
    <row r="44" ht="15.95" customHeight="1" s="574">
      <c r="A44" s="64" t="inlineStr">
        <is>
          <t>3402</t>
        </is>
      </c>
      <c r="B44" s="673" t="inlineStr">
        <is>
          <t>東レ</t>
        </is>
      </c>
      <c r="C44" s="676">
        <f>_xll.RssMarket("3402","現在値")</f>
        <v/>
      </c>
      <c r="D44" s="661">
        <f>C44-E44</f>
        <v/>
      </c>
      <c r="E44" s="13" t="n">
        <v>1171.5</v>
      </c>
      <c r="F44" s="13" t="n">
        <v>1159</v>
      </c>
      <c r="G44" s="13" t="n">
        <v>1190</v>
      </c>
      <c r="H44" s="13" t="n">
        <v>1177</v>
      </c>
      <c r="I44" s="13" t="n">
        <v>1145</v>
      </c>
      <c r="J44" s="13" t="n">
        <v>1118.5</v>
      </c>
      <c r="K44" s="13" t="n">
        <v>1113</v>
      </c>
      <c r="L44" s="13" t="n">
        <v>1094.5</v>
      </c>
      <c r="M44" s="13" t="n">
        <v>1121.5</v>
      </c>
      <c r="N44" s="13" t="n">
        <v>1105.5</v>
      </c>
      <c r="O44" s="13" t="n">
        <v>1152</v>
      </c>
      <c r="P44" s="13" t="n">
        <v>1121.5</v>
      </c>
      <c r="Q44" s="13" t="n">
        <v>1139</v>
      </c>
      <c r="R44" s="13" t="n">
        <v>1192</v>
      </c>
      <c r="S44" s="13" t="n">
        <v>1133</v>
      </c>
      <c r="T44" s="13" t="n">
        <v>1143.5</v>
      </c>
      <c r="U44" s="13" t="n">
        <v>1135.5</v>
      </c>
      <c r="V44" s="13" t="n">
        <v>1085.5</v>
      </c>
      <c r="W44" s="13" t="n">
        <v>1076.5</v>
      </c>
      <c r="X44" s="13" t="n">
        <v>1082</v>
      </c>
      <c r="Y44" s="13" t="n">
        <v>1076.5</v>
      </c>
      <c r="Z44" s="13" t="n">
        <v>1150</v>
      </c>
      <c r="AA44" s="13" t="n">
        <v>1163.5</v>
      </c>
      <c r="AB44" s="13" t="n">
        <v>1167.5</v>
      </c>
      <c r="AC44" s="13" t="n">
        <v>1145.5</v>
      </c>
      <c r="AD44" s="13" t="n">
        <v>1133</v>
      </c>
      <c r="AE44" s="13" t="n">
        <v>1129</v>
      </c>
      <c r="AF44" s="13" t="n">
        <v>1138</v>
      </c>
      <c r="AG44" s="13" t="n">
        <v>1106</v>
      </c>
      <c r="AH44" s="13" t="n">
        <v>1121</v>
      </c>
      <c r="AI44" s="13" t="n">
        <v>1140.5</v>
      </c>
      <c r="AJ44" s="13" t="n">
        <v>1119.5</v>
      </c>
      <c r="AK44" s="13" t="n">
        <v>1110.5</v>
      </c>
      <c r="AL44" s="13" t="n">
        <v>1112.5</v>
      </c>
      <c r="AM44" s="13" t="n">
        <v>1126</v>
      </c>
      <c r="AN44" s="13" t="n">
        <v>1145</v>
      </c>
      <c r="AO44" s="13" t="n">
        <v>1147</v>
      </c>
      <c r="AP44" s="13" t="n">
        <v>1156.5</v>
      </c>
      <c r="AQ44" s="13" t="n">
        <v>1171.5</v>
      </c>
      <c r="AR44" s="13" t="n">
        <v>1144</v>
      </c>
      <c r="AS44" s="13" t="n">
        <v>1151.5</v>
      </c>
      <c r="AT44" s="13" t="n">
        <v>1150.5</v>
      </c>
      <c r="AU44" s="13" t="n">
        <v>1175.5</v>
      </c>
      <c r="AV44" s="13" t="n">
        <v>1170.5</v>
      </c>
      <c r="AW44" s="13" t="n">
        <v>1174</v>
      </c>
      <c r="AX44" s="13" t="n">
        <v>1124</v>
      </c>
      <c r="AY44" s="13" t="n">
        <v>1126.5</v>
      </c>
      <c r="AZ44" s="13" t="n">
        <v>1130.5</v>
      </c>
      <c r="BA44" s="13" t="n">
        <v>1128</v>
      </c>
      <c r="BB44" s="13" t="n">
        <v>1151.5</v>
      </c>
      <c r="BC44" s="13" t="n">
        <v>1100.5</v>
      </c>
      <c r="BD44" s="13" t="n">
        <v>1094.5</v>
      </c>
      <c r="BE44" s="13" t="n">
        <v>1115</v>
      </c>
      <c r="BF44" s="13" t="n">
        <v>1119</v>
      </c>
      <c r="BG44" s="13" t="n">
        <v>1111</v>
      </c>
      <c r="BH44" s="13" t="n">
        <v>1074.5</v>
      </c>
      <c r="BI44" s="13" t="n">
        <v>1049</v>
      </c>
      <c r="BJ44" s="13" t="n">
        <v>1097.5</v>
      </c>
      <c r="BK44" s="13" t="n">
        <v>1138</v>
      </c>
      <c r="BL44" s="13" t="n">
        <v>1101</v>
      </c>
    </row>
    <row r="45" ht="15.95" customHeight="1" s="574">
      <c r="A45" s="64" t="inlineStr">
        <is>
          <t>8306</t>
        </is>
      </c>
      <c r="B45" s="673" t="inlineStr">
        <is>
          <t>三菱ＵＦＪフィナンシャルＧ</t>
        </is>
      </c>
      <c r="C45" s="676">
        <f>_xll.RssMarket("8306","現在値")</f>
        <v/>
      </c>
      <c r="D45" s="661">
        <f>C45-E45</f>
        <v/>
      </c>
      <c r="E45" s="13" t="n">
        <v>3333</v>
      </c>
      <c r="F45" s="13" t="n">
        <v>3278</v>
      </c>
      <c r="G45" s="13" t="n">
        <v>3272</v>
      </c>
      <c r="H45" s="13" t="n">
        <v>3228</v>
      </c>
      <c r="I45" s="13" t="n">
        <v>3162</v>
      </c>
      <c r="J45" s="13" t="n">
        <v>3141</v>
      </c>
      <c r="K45" s="13" t="n">
        <v>3183</v>
      </c>
      <c r="L45" s="13" t="n">
        <v>3168</v>
      </c>
      <c r="M45" s="13" t="n">
        <v>3219</v>
      </c>
      <c r="N45" s="13" t="n">
        <v>3169</v>
      </c>
      <c r="O45" s="13" t="n">
        <v>3137</v>
      </c>
      <c r="P45" s="13" t="n">
        <v>3046</v>
      </c>
      <c r="Q45" s="13" t="n">
        <v>3023</v>
      </c>
      <c r="R45" s="13" t="n">
        <v>2999</v>
      </c>
      <c r="S45" s="13" t="n">
        <v>2982</v>
      </c>
      <c r="T45" s="13" t="n">
        <v>3031</v>
      </c>
      <c r="U45" s="13" t="n">
        <v>3066</v>
      </c>
      <c r="V45" s="13" t="n">
        <v>3091</v>
      </c>
      <c r="W45" s="13" t="n">
        <v>3067</v>
      </c>
      <c r="X45" s="13" t="n">
        <v>3030</v>
      </c>
      <c r="Y45" s="13" t="n">
        <v>3108</v>
      </c>
      <c r="Z45" s="13" t="n">
        <v>2995</v>
      </c>
      <c r="AA45" s="13" t="n">
        <v>2929</v>
      </c>
      <c r="AB45" s="13" t="n">
        <v>2877</v>
      </c>
      <c r="AC45" s="13" t="n">
        <v>2926.5</v>
      </c>
      <c r="AD45" s="13" t="n">
        <v>2886</v>
      </c>
      <c r="AE45" s="13" t="n">
        <v>2856.5</v>
      </c>
      <c r="AF45" s="13" t="n">
        <v>2806.5</v>
      </c>
      <c r="AG45" s="13" t="n">
        <v>2863</v>
      </c>
      <c r="AH45" s="13" t="n">
        <v>2798</v>
      </c>
      <c r="AI45" s="13" t="n">
        <v>2817</v>
      </c>
      <c r="AJ45" s="13" t="n">
        <v>2875</v>
      </c>
      <c r="AK45" s="13" t="n">
        <v>2788</v>
      </c>
      <c r="AL45" s="13" t="n">
        <v>2755.5</v>
      </c>
      <c r="AM45" s="13" t="n">
        <v>2752</v>
      </c>
      <c r="AN45" s="13" t="n">
        <v>2794</v>
      </c>
      <c r="AO45" s="13" t="n">
        <v>2830.5</v>
      </c>
      <c r="AP45" s="13" t="n">
        <v>2870.5</v>
      </c>
      <c r="AQ45" s="13" t="n">
        <v>2870</v>
      </c>
      <c r="AR45" s="13" t="n">
        <v>2946.5</v>
      </c>
      <c r="AS45" s="13" t="n">
        <v>2913.5</v>
      </c>
      <c r="AT45" s="13" t="n">
        <v>2850</v>
      </c>
      <c r="AU45" s="13" t="n">
        <v>2860</v>
      </c>
      <c r="AV45" s="13" t="n">
        <v>2842</v>
      </c>
      <c r="AW45" s="13" t="n">
        <v>2842.5</v>
      </c>
      <c r="AX45" s="13" t="n">
        <v>2885</v>
      </c>
      <c r="AY45" s="13" t="n">
        <v>2811</v>
      </c>
      <c r="AZ45" s="13" t="n">
        <v>2792</v>
      </c>
      <c r="BA45" s="13" t="n">
        <v>2761.5</v>
      </c>
      <c r="BB45" s="13" t="n">
        <v>2760</v>
      </c>
      <c r="BC45" s="13" t="n">
        <v>2808</v>
      </c>
      <c r="BD45" s="13" t="n">
        <v>2600</v>
      </c>
      <c r="BE45" s="13" t="n">
        <v>2621</v>
      </c>
      <c r="BF45" s="13" t="n">
        <v>2715</v>
      </c>
      <c r="BG45" s="13" t="n">
        <v>2700.5</v>
      </c>
      <c r="BH45" s="13" t="n">
        <v>2718.5</v>
      </c>
      <c r="BI45" s="13" t="n">
        <v>2639</v>
      </c>
      <c r="BJ45" s="13" t="n">
        <v>2564.5</v>
      </c>
      <c r="BK45" s="13" t="n">
        <v>2686</v>
      </c>
      <c r="BL45" s="13" t="n">
        <v>2731</v>
      </c>
    </row>
    <row r="46" ht="15.95" customHeight="1" s="574">
      <c r="A46" s="64" t="inlineStr">
        <is>
          <t>5401</t>
        </is>
      </c>
      <c r="B46" s="673" t="inlineStr">
        <is>
          <t>日本製鉄</t>
        </is>
      </c>
      <c r="C46" s="676">
        <f>_xll.RssMarket("5401","現在値")</f>
        <v/>
      </c>
      <c r="D46" s="661">
        <f>C46-E46</f>
        <v/>
      </c>
      <c r="E46" s="13" t="n">
        <v>562.3</v>
      </c>
      <c r="F46" s="13" t="n">
        <v>559.8</v>
      </c>
      <c r="G46" s="13" t="n">
        <v>557.5</v>
      </c>
      <c r="H46" s="13" t="n">
        <v>566</v>
      </c>
      <c r="I46" s="13" t="n">
        <v>551.6</v>
      </c>
      <c r="J46" s="13" t="n">
        <v>535</v>
      </c>
      <c r="K46" s="13" t="n">
        <v>542.3</v>
      </c>
      <c r="L46" s="13" t="n">
        <v>538.8</v>
      </c>
      <c r="M46" s="13" t="n">
        <v>547</v>
      </c>
      <c r="N46" s="13" t="n">
        <v>540.5</v>
      </c>
      <c r="O46" s="13" t="n">
        <v>546.7</v>
      </c>
      <c r="P46" s="13" t="n">
        <v>536.6</v>
      </c>
      <c r="Q46" s="13" t="n">
        <v>549.6</v>
      </c>
      <c r="R46" s="13" t="n">
        <v>566.6</v>
      </c>
      <c r="S46" s="13" t="n">
        <v>563.6</v>
      </c>
      <c r="T46" s="13" t="n">
        <v>563.2</v>
      </c>
      <c r="U46" s="13" t="n">
        <v>556.2</v>
      </c>
      <c r="V46" s="13" t="n">
        <v>553.5</v>
      </c>
      <c r="W46" s="13" t="n">
        <v>546</v>
      </c>
      <c r="X46" s="13" t="n">
        <v>540.7</v>
      </c>
      <c r="Y46" s="13" t="n">
        <v>550</v>
      </c>
      <c r="Z46" s="13" t="n">
        <v>549</v>
      </c>
      <c r="AA46" s="13" t="n">
        <v>559.9</v>
      </c>
      <c r="AB46" s="13" t="n">
        <v>556.2</v>
      </c>
      <c r="AC46" s="13" t="n">
        <v>559.4</v>
      </c>
      <c r="AD46" s="13" t="n">
        <v>561.1</v>
      </c>
      <c r="AE46" s="13" t="n">
        <v>570.9</v>
      </c>
      <c r="AF46" s="13" t="n">
        <v>582.7</v>
      </c>
      <c r="AG46" s="13" t="n">
        <v>571.9</v>
      </c>
      <c r="AH46" s="13" t="n">
        <v>572.3</v>
      </c>
      <c r="AI46" s="13" t="n">
        <v>577.8</v>
      </c>
      <c r="AJ46" s="13" t="n">
        <v>569</v>
      </c>
      <c r="AK46" s="13" t="n">
        <v>573.1</v>
      </c>
      <c r="AL46" s="13" t="n">
        <v>580.1</v>
      </c>
      <c r="AM46" s="13" t="n">
        <v>587.6</v>
      </c>
      <c r="AN46" s="13" t="n">
        <v>593.2</v>
      </c>
      <c r="AO46" s="13" t="n">
        <v>599.8</v>
      </c>
      <c r="AP46" s="13" t="n">
        <v>595</v>
      </c>
      <c r="AQ46" s="13" t="n">
        <v>598</v>
      </c>
      <c r="AR46" s="13" t="n">
        <v>598</v>
      </c>
      <c r="AS46" s="13" t="n">
        <v>595</v>
      </c>
      <c r="AT46" s="13" t="n">
        <v>595.8</v>
      </c>
      <c r="AU46" s="13" t="n">
        <v>600.2</v>
      </c>
      <c r="AV46" s="13" t="n">
        <v>603.4</v>
      </c>
      <c r="AW46" s="13" t="n">
        <v>600</v>
      </c>
      <c r="AX46" s="13" t="n">
        <v>586</v>
      </c>
      <c r="AY46" s="13" t="n">
        <v>586.7</v>
      </c>
      <c r="AZ46" s="13" t="n">
        <v>585</v>
      </c>
      <c r="BA46" s="13" t="n">
        <v>584</v>
      </c>
      <c r="BB46" s="13" t="n">
        <v>592</v>
      </c>
      <c r="BC46" s="13" t="n">
        <v>575.9</v>
      </c>
      <c r="BD46" s="13" t="n">
        <v>574.7</v>
      </c>
      <c r="BE46" s="13" t="n">
        <v>597.1</v>
      </c>
      <c r="BF46" s="13" t="n">
        <v>596</v>
      </c>
      <c r="BG46" s="13" t="n">
        <v>594.6</v>
      </c>
      <c r="BH46" s="13" t="n">
        <v>590</v>
      </c>
      <c r="BI46" s="13" t="n">
        <v>584.6</v>
      </c>
      <c r="BJ46" s="13" t="n">
        <v>592.7</v>
      </c>
      <c r="BK46" s="13" t="n">
        <v>607</v>
      </c>
      <c r="BL46" s="13" t="n">
        <v>592.5</v>
      </c>
    </row>
    <row r="47" ht="15.95" customHeight="1" s="574">
      <c r="A47" s="64" t="inlineStr">
        <is>
          <t>8572</t>
        </is>
      </c>
      <c r="B47" s="673" t="inlineStr">
        <is>
          <t>アコム</t>
        </is>
      </c>
      <c r="C47" s="676">
        <f>_xll.RssMarket("8572","現在値")</f>
        <v/>
      </c>
      <c r="D47" s="661">
        <f>C47-E47</f>
        <v/>
      </c>
      <c r="E47" s="13" t="n">
        <v>447.3</v>
      </c>
      <c r="F47" s="13" t="n">
        <v>448.6</v>
      </c>
      <c r="G47" s="13" t="n">
        <v>450.6</v>
      </c>
      <c r="H47" s="13" t="n">
        <v>449.3</v>
      </c>
      <c r="I47" s="13" t="n">
        <v>451.1</v>
      </c>
      <c r="J47" s="13" t="n">
        <v>449.3</v>
      </c>
      <c r="K47" s="13" t="n">
        <v>451.9</v>
      </c>
      <c r="L47" s="13" t="n">
        <v>445.2</v>
      </c>
      <c r="M47" s="13" t="n">
        <v>446.6</v>
      </c>
      <c r="N47" s="13" t="n">
        <v>442.1</v>
      </c>
      <c r="O47" s="13" t="n">
        <v>450.5</v>
      </c>
      <c r="P47" s="13" t="n">
        <v>448.5</v>
      </c>
      <c r="Q47" s="13" t="n">
        <v>457.4</v>
      </c>
      <c r="R47" s="13" t="n">
        <v>467.5</v>
      </c>
      <c r="S47" s="13" t="n">
        <v>466.2</v>
      </c>
      <c r="T47" s="13" t="n">
        <v>463.6</v>
      </c>
      <c r="U47" s="13" t="n">
        <v>462.9</v>
      </c>
      <c r="V47" s="13" t="n">
        <v>464.1</v>
      </c>
      <c r="W47" s="13" t="n">
        <v>468.8</v>
      </c>
      <c r="X47" s="13" t="n">
        <v>460</v>
      </c>
      <c r="Y47" s="13" t="n">
        <v>465.3</v>
      </c>
      <c r="Z47" s="13" t="n">
        <v>456.9</v>
      </c>
      <c r="AA47" s="13" t="n">
        <v>464.3</v>
      </c>
      <c r="AB47" s="13" t="n">
        <v>458.9</v>
      </c>
      <c r="AC47" s="13" t="n">
        <v>455.7</v>
      </c>
      <c r="AD47" s="13" t="n">
        <v>489.3</v>
      </c>
      <c r="AE47" s="13" t="n">
        <v>489</v>
      </c>
      <c r="AF47" s="13" t="n">
        <v>494.1</v>
      </c>
      <c r="AG47" s="13" t="n">
        <v>492.1</v>
      </c>
      <c r="AH47" s="13" t="n">
        <v>492.7</v>
      </c>
      <c r="AI47" s="13" t="n">
        <v>500.8</v>
      </c>
      <c r="AJ47" s="13" t="n">
        <v>504.5</v>
      </c>
      <c r="AK47" s="13" t="n">
        <v>495.4</v>
      </c>
      <c r="AL47" s="13" t="n">
        <v>500.2</v>
      </c>
      <c r="AM47" s="13" t="n">
        <v>500.5</v>
      </c>
      <c r="AN47" s="13" t="n">
        <v>515.3</v>
      </c>
      <c r="AO47" s="13" t="n">
        <v>517.3</v>
      </c>
      <c r="AP47" s="13" t="n">
        <v>482.9</v>
      </c>
      <c r="AQ47" s="13" t="n">
        <v>484</v>
      </c>
      <c r="AR47" s="13" t="n">
        <v>480.1</v>
      </c>
      <c r="AS47" s="13" t="n">
        <v>477.1</v>
      </c>
      <c r="AT47" s="13" t="n">
        <v>474.6</v>
      </c>
      <c r="AU47" s="13" t="n">
        <v>468.4</v>
      </c>
      <c r="AV47" s="13" t="n">
        <v>471.5</v>
      </c>
      <c r="AW47" s="13" t="n">
        <v>471.5</v>
      </c>
      <c r="AX47" s="13" t="n">
        <v>482</v>
      </c>
      <c r="AY47" s="13" t="n">
        <v>474</v>
      </c>
      <c r="AZ47" s="13" t="n">
        <v>471.8</v>
      </c>
      <c r="BA47" s="13" t="n">
        <v>471.7</v>
      </c>
      <c r="BB47" s="13" t="n">
        <v>471.3</v>
      </c>
      <c r="BC47" s="13" t="n">
        <v>473.8</v>
      </c>
      <c r="BD47" s="13" t="n">
        <v>460.1</v>
      </c>
      <c r="BE47" s="13" t="n">
        <v>457.4</v>
      </c>
      <c r="BF47" s="13" t="n">
        <v>478</v>
      </c>
      <c r="BG47" s="13" t="n">
        <v>479.1</v>
      </c>
      <c r="BH47" s="13" t="n">
        <v>483.3</v>
      </c>
      <c r="BI47" s="13" t="n">
        <v>473.6</v>
      </c>
      <c r="BJ47" s="13" t="n">
        <v>466.4</v>
      </c>
      <c r="BK47" s="13" t="n">
        <v>476.5</v>
      </c>
      <c r="BL47" s="13" t="n">
        <v>486</v>
      </c>
    </row>
    <row r="48" ht="15.95" customHeight="1" s="574">
      <c r="A48" s="64" t="inlineStr">
        <is>
          <t>3941</t>
        </is>
      </c>
      <c r="B48" s="673" t="inlineStr">
        <is>
          <t>レンゴー</t>
        </is>
      </c>
      <c r="C48" s="676">
        <f>_xll.RssMarket("3941","現在値")</f>
        <v/>
      </c>
      <c r="D48" s="661">
        <f>C48-E48</f>
        <v/>
      </c>
      <c r="E48" s="13" t="n">
        <v>1401</v>
      </c>
      <c r="F48" s="13" t="n">
        <v>1430.5</v>
      </c>
      <c r="G48" s="13" t="n">
        <v>1408</v>
      </c>
      <c r="H48" s="13" t="n">
        <v>1413</v>
      </c>
      <c r="I48" s="13" t="n">
        <v>1383.5</v>
      </c>
      <c r="J48" s="13" t="n">
        <v>1372</v>
      </c>
      <c r="K48" s="13" t="n">
        <v>1389.5</v>
      </c>
      <c r="L48" s="13" t="n">
        <v>1377.5</v>
      </c>
      <c r="M48" s="13" t="n">
        <v>1389</v>
      </c>
      <c r="N48" s="13" t="n">
        <v>1379</v>
      </c>
      <c r="O48" s="13" t="n">
        <v>1401</v>
      </c>
      <c r="P48" s="13" t="n">
        <v>1397</v>
      </c>
      <c r="Q48" s="13" t="n">
        <v>1413</v>
      </c>
      <c r="R48" s="13" t="n">
        <v>1458</v>
      </c>
      <c r="S48" s="13" t="n">
        <v>1424.5</v>
      </c>
      <c r="T48" s="13" t="n">
        <v>1419.5</v>
      </c>
      <c r="U48" s="13" t="n">
        <v>1387</v>
      </c>
      <c r="V48" s="13" t="n">
        <v>1396</v>
      </c>
      <c r="W48" s="13" t="n">
        <v>1411</v>
      </c>
      <c r="X48" s="13" t="n">
        <v>1392</v>
      </c>
      <c r="Y48" s="13" t="n">
        <v>1409</v>
      </c>
      <c r="Z48" s="13" t="n">
        <v>1384.5</v>
      </c>
      <c r="AA48" s="13" t="n">
        <v>1404</v>
      </c>
      <c r="AB48" s="13" t="n">
        <v>1385</v>
      </c>
      <c r="AC48" s="13" t="n">
        <v>1244</v>
      </c>
      <c r="AD48" s="13" t="n">
        <v>1218.5</v>
      </c>
      <c r="AE48" s="13" t="n">
        <v>1228.5</v>
      </c>
      <c r="AF48" s="13" t="n">
        <v>1240</v>
      </c>
      <c r="AG48" s="13" t="n">
        <v>1236.5</v>
      </c>
      <c r="AH48" s="13" t="n">
        <v>1227</v>
      </c>
      <c r="AI48" s="13" t="n">
        <v>1228.5</v>
      </c>
      <c r="AJ48" s="13" t="n">
        <v>1256</v>
      </c>
      <c r="AK48" s="13" t="n">
        <v>1269.5</v>
      </c>
      <c r="AL48" s="13" t="n">
        <v>1274</v>
      </c>
      <c r="AM48" s="13" t="n">
        <v>1271.5</v>
      </c>
      <c r="AN48" s="13" t="n">
        <v>1292.5</v>
      </c>
      <c r="AO48" s="13" t="n">
        <v>1306</v>
      </c>
      <c r="AP48" s="13" t="n">
        <v>1265</v>
      </c>
      <c r="AQ48" s="13" t="n">
        <v>1251.5</v>
      </c>
      <c r="AR48" s="13" t="n">
        <v>1282</v>
      </c>
      <c r="AS48" s="13" t="n">
        <v>1263</v>
      </c>
      <c r="AT48" s="13" t="n">
        <v>1263.5</v>
      </c>
      <c r="AU48" s="13" t="n">
        <v>1264</v>
      </c>
      <c r="AV48" s="13" t="n">
        <v>1268</v>
      </c>
      <c r="AW48" s="13" t="n">
        <v>1288</v>
      </c>
      <c r="AX48" s="13" t="n">
        <v>1284.5</v>
      </c>
      <c r="AY48" s="13" t="n">
        <v>1256.5</v>
      </c>
      <c r="AZ48" s="13" t="n">
        <v>1250</v>
      </c>
      <c r="BA48" s="13" t="n">
        <v>1253</v>
      </c>
      <c r="BB48" s="13" t="n">
        <v>1260.5</v>
      </c>
      <c r="BC48" s="13" t="n">
        <v>1282.5</v>
      </c>
      <c r="BD48" s="13" t="n">
        <v>1257.5</v>
      </c>
      <c r="BE48" s="13" t="n">
        <v>1245.5</v>
      </c>
      <c r="BF48" s="13" t="n">
        <v>1290.5</v>
      </c>
      <c r="BG48" s="13" t="n">
        <v>1297</v>
      </c>
      <c r="BH48" s="13" t="n">
        <v>1268.5</v>
      </c>
      <c r="BI48" s="13" t="n">
        <v>1249</v>
      </c>
      <c r="BJ48" s="13" t="n">
        <v>1220.5</v>
      </c>
      <c r="BK48" s="13" t="n">
        <v>1261</v>
      </c>
      <c r="BL48" s="13" t="n">
        <v>1389.5</v>
      </c>
    </row>
    <row r="49" ht="15.95" customHeight="1" s="574">
      <c r="A49" s="64" t="inlineStr">
        <is>
          <t>5929</t>
        </is>
      </c>
      <c r="B49" s="673" t="inlineStr">
        <is>
          <t>三和ホールディングス</t>
        </is>
      </c>
      <c r="C49" s="676">
        <f>_xll.RssMarket("5929","現在値")</f>
        <v/>
      </c>
      <c r="D49" s="661">
        <f>C49-E49</f>
        <v/>
      </c>
      <c r="E49" s="13" t="n">
        <v>3675</v>
      </c>
      <c r="F49" s="13" t="n">
        <v>3672</v>
      </c>
      <c r="G49" s="13" t="n">
        <v>3713</v>
      </c>
      <c r="H49" s="13" t="n">
        <v>3702</v>
      </c>
      <c r="I49" s="13" t="n">
        <v>3618</v>
      </c>
      <c r="J49" s="13" t="n">
        <v>3598</v>
      </c>
      <c r="K49" s="13" t="n">
        <v>3646</v>
      </c>
      <c r="L49" s="13" t="n">
        <v>3504</v>
      </c>
      <c r="M49" s="13" t="n">
        <v>3538</v>
      </c>
      <c r="N49" s="13" t="n">
        <v>3463</v>
      </c>
      <c r="O49" s="13" t="n">
        <v>3425</v>
      </c>
      <c r="P49" s="13" t="n">
        <v>3337</v>
      </c>
      <c r="Q49" s="13" t="n">
        <v>3599</v>
      </c>
      <c r="R49" s="13" t="n">
        <v>3645</v>
      </c>
      <c r="S49" s="13" t="n">
        <v>3475</v>
      </c>
      <c r="T49" s="13" t="n">
        <v>3400</v>
      </c>
      <c r="U49" s="13" t="n">
        <v>3299</v>
      </c>
      <c r="V49" s="13" t="n">
        <v>3306</v>
      </c>
      <c r="W49" s="13" t="n">
        <v>3339</v>
      </c>
      <c r="X49" s="13" t="n">
        <v>3283</v>
      </c>
      <c r="Y49" s="13" t="n">
        <v>3389</v>
      </c>
      <c r="Z49" s="13" t="n">
        <v>3315</v>
      </c>
      <c r="AA49" s="13" t="n">
        <v>3455</v>
      </c>
      <c r="AB49" s="13" t="n">
        <v>3646</v>
      </c>
      <c r="AC49" s="13" t="n">
        <v>3536</v>
      </c>
      <c r="AD49" s="13" t="n">
        <v>3508</v>
      </c>
      <c r="AE49" s="13" t="n">
        <v>3602</v>
      </c>
      <c r="AF49" s="13" t="n">
        <v>3643</v>
      </c>
      <c r="AG49" s="13" t="n">
        <v>3614</v>
      </c>
      <c r="AH49" s="13" t="n">
        <v>3540</v>
      </c>
      <c r="AI49" s="13" t="n">
        <v>3569</v>
      </c>
      <c r="AJ49" s="13" t="n">
        <v>3653</v>
      </c>
      <c r="AK49" s="13" t="n">
        <v>3596</v>
      </c>
      <c r="AL49" s="13" t="n">
        <v>3591</v>
      </c>
      <c r="AM49" s="13" t="n">
        <v>3617</v>
      </c>
      <c r="AN49" s="13" t="n">
        <v>3652</v>
      </c>
      <c r="AO49" s="13" t="n">
        <v>3675</v>
      </c>
      <c r="AP49" s="13" t="n">
        <v>3663</v>
      </c>
      <c r="AQ49" s="13" t="n">
        <v>3600</v>
      </c>
      <c r="AR49" s="13" t="n">
        <v>3632</v>
      </c>
      <c r="AS49" s="13" t="n">
        <v>3707</v>
      </c>
      <c r="AT49" s="13" t="n">
        <v>3698</v>
      </c>
      <c r="AU49" s="13" t="n">
        <v>3681</v>
      </c>
      <c r="AV49" s="13" t="n">
        <v>3691</v>
      </c>
      <c r="AW49" s="13" t="n">
        <v>3719</v>
      </c>
      <c r="AX49" s="13" t="n">
        <v>3742</v>
      </c>
      <c r="AY49" s="13" t="n">
        <v>3618</v>
      </c>
      <c r="AZ49" s="13" t="n">
        <v>3541</v>
      </c>
      <c r="BA49" s="13" t="n">
        <v>3557</v>
      </c>
      <c r="BB49" s="13" t="n">
        <v>3568</v>
      </c>
      <c r="BC49" s="13" t="n">
        <v>3646</v>
      </c>
      <c r="BD49" s="13" t="n">
        <v>3537</v>
      </c>
      <c r="BE49" s="13" t="n">
        <v>3523</v>
      </c>
      <c r="BF49" s="13" t="n">
        <v>3696</v>
      </c>
      <c r="BG49" s="13" t="n">
        <v>3708</v>
      </c>
      <c r="BH49" s="13" t="n">
        <v>3685</v>
      </c>
      <c r="BI49" s="13" t="n">
        <v>3621</v>
      </c>
      <c r="BJ49" s="13" t="n">
        <v>3509</v>
      </c>
      <c r="BK49" s="13" t="n">
        <v>3619</v>
      </c>
      <c r="BL49" s="13" t="n">
        <v>3740</v>
      </c>
    </row>
    <row r="50" ht="15.95" customHeight="1" s="574">
      <c r="A50" s="64" t="inlineStr">
        <is>
          <t>8316</t>
        </is>
      </c>
      <c r="B50" s="673" t="inlineStr">
        <is>
          <t>三井住友フィナンシャルＧ</t>
        </is>
      </c>
      <c r="C50" s="676">
        <f>_xll.RssMarket("8316","現在値")</f>
        <v/>
      </c>
      <c r="D50" s="661">
        <f>C50-E50</f>
        <v/>
      </c>
      <c r="E50" s="13" t="n">
        <v>6645</v>
      </c>
      <c r="F50" s="13" t="n">
        <v>6482</v>
      </c>
      <c r="G50" s="13" t="n">
        <v>6450</v>
      </c>
      <c r="H50" s="13" t="n">
        <v>6409</v>
      </c>
      <c r="I50" s="13" t="n">
        <v>6519</v>
      </c>
      <c r="J50" s="13" t="n">
        <v>6406</v>
      </c>
      <c r="K50" s="13" t="n">
        <v>6203</v>
      </c>
      <c r="L50" s="13" t="n">
        <v>6227</v>
      </c>
      <c r="M50" s="13" t="n">
        <v>6105</v>
      </c>
      <c r="N50" s="13" t="n">
        <v>6230</v>
      </c>
      <c r="O50" s="13" t="n">
        <v>6129</v>
      </c>
      <c r="P50" s="13" t="n">
        <v>6148</v>
      </c>
      <c r="Q50" s="13" t="n">
        <v>5951</v>
      </c>
      <c r="R50" s="13" t="n">
        <v>5861</v>
      </c>
      <c r="S50" s="13" t="n">
        <v>5819</v>
      </c>
      <c r="T50" s="13" t="n">
        <v>5849</v>
      </c>
      <c r="U50" s="13" t="n">
        <v>5950</v>
      </c>
      <c r="V50" s="13" t="n">
        <v>6056</v>
      </c>
      <c r="W50" s="13" t="n">
        <v>6006</v>
      </c>
      <c r="X50" s="13" t="n">
        <v>6031</v>
      </c>
      <c r="Y50" s="13" t="n">
        <v>5882</v>
      </c>
      <c r="Z50" s="13" t="n">
        <v>5942</v>
      </c>
      <c r="AA50" s="13" t="n">
        <v>5732</v>
      </c>
      <c r="AB50" s="13" t="n">
        <v>5702</v>
      </c>
      <c r="AC50" s="13" t="n">
        <v>5675</v>
      </c>
      <c r="AD50" s="13" t="n">
        <v>5852</v>
      </c>
      <c r="AE50" s="13" t="n">
        <v>5789</v>
      </c>
      <c r="AF50" s="13" t="n">
        <v>5661</v>
      </c>
      <c r="AG50" s="13" t="n">
        <v>5546</v>
      </c>
      <c r="AH50" s="13" t="n">
        <v>5689</v>
      </c>
      <c r="AI50" s="13" t="n">
        <v>5541</v>
      </c>
      <c r="AJ50" s="13" t="n">
        <v>5512</v>
      </c>
      <c r="AK50" s="13" t="n">
        <v>5648</v>
      </c>
      <c r="AL50" s="13" t="n">
        <v>5404</v>
      </c>
      <c r="AM50" s="13" t="n">
        <v>5347</v>
      </c>
      <c r="AN50" s="13" t="n">
        <v>5350</v>
      </c>
      <c r="AO50" s="13" t="n">
        <v>5442</v>
      </c>
      <c r="AP50" s="13" t="n">
        <v>5471</v>
      </c>
      <c r="AQ50" s="13" t="n">
        <v>5575</v>
      </c>
      <c r="AR50" s="13" t="n">
        <v>5598</v>
      </c>
      <c r="AS50" s="13" t="n">
        <v>5690</v>
      </c>
      <c r="AT50" s="13" t="n">
        <v>5650</v>
      </c>
      <c r="AU50" s="13" t="n">
        <v>5539</v>
      </c>
      <c r="AV50" s="13" t="n">
        <v>5577</v>
      </c>
      <c r="AW50" s="13" t="n">
        <v>5536</v>
      </c>
      <c r="AX50" s="13" t="n">
        <v>5552</v>
      </c>
      <c r="AY50" s="13" t="n">
        <v>5621</v>
      </c>
      <c r="AZ50" s="13" t="n">
        <v>5418</v>
      </c>
      <c r="BA50" s="13" t="n">
        <v>5379</v>
      </c>
      <c r="BB50" s="13" t="n">
        <v>5373</v>
      </c>
      <c r="BC50" s="13" t="n">
        <v>5388</v>
      </c>
      <c r="BD50" s="13" t="n">
        <v>5455</v>
      </c>
      <c r="BE50" s="13" t="n">
        <v>5006</v>
      </c>
      <c r="BF50" s="13" t="n">
        <v>5053</v>
      </c>
      <c r="BG50" s="13" t="n">
        <v>5246</v>
      </c>
      <c r="BH50" s="13" t="n">
        <v>5246</v>
      </c>
      <c r="BI50" s="13" t="n">
        <v>5311</v>
      </c>
      <c r="BJ50" s="13" t="n">
        <v>5148</v>
      </c>
      <c r="BK50" s="13" t="n">
        <v>5009</v>
      </c>
      <c r="BL50" s="13" t="n">
        <v>5156</v>
      </c>
    </row>
    <row r="51" ht="15.95" customHeight="1" s="574">
      <c r="A51" s="64" t="inlineStr">
        <is>
          <t>5449</t>
        </is>
      </c>
      <c r="B51" s="673" t="inlineStr">
        <is>
          <t>大阪製鐵</t>
        </is>
      </c>
      <c r="C51" s="676">
        <f>_xll.RssMarket("5449","現在値")</f>
        <v/>
      </c>
      <c r="D51" s="661">
        <f>C51-E51</f>
        <v/>
      </c>
      <c r="E51" s="13" t="n">
        <v>2342</v>
      </c>
      <c r="F51" s="13" t="n">
        <v>2358</v>
      </c>
      <c r="G51" s="13" t="n">
        <v>2238</v>
      </c>
      <c r="H51" s="13" t="n">
        <v>2406</v>
      </c>
      <c r="I51" s="13" t="n">
        <v>2336</v>
      </c>
      <c r="J51" s="13" t="n">
        <v>2306</v>
      </c>
      <c r="K51" s="13" t="n">
        <v>2321</v>
      </c>
      <c r="L51" s="13" t="n">
        <v>2296</v>
      </c>
      <c r="M51" s="13" t="n">
        <v>2358</v>
      </c>
      <c r="N51" s="13" t="n">
        <v>2359</v>
      </c>
      <c r="O51" s="13" t="n">
        <v>2405</v>
      </c>
      <c r="P51" s="13" t="n">
        <v>2321</v>
      </c>
      <c r="Q51" s="13" t="n">
        <v>2314</v>
      </c>
      <c r="R51" s="13" t="n">
        <v>2593</v>
      </c>
      <c r="S51" s="13" t="n">
        <v>2597</v>
      </c>
      <c r="T51" s="13" t="n">
        <v>2680</v>
      </c>
      <c r="U51" s="13" t="n">
        <v>2508</v>
      </c>
      <c r="V51" s="13" t="n">
        <v>2381</v>
      </c>
      <c r="W51" s="13" t="n">
        <v>2377</v>
      </c>
      <c r="X51" s="13" t="n">
        <v>2272</v>
      </c>
      <c r="Y51" s="13" t="n">
        <v>2263</v>
      </c>
      <c r="Z51" s="13" t="n">
        <v>2251</v>
      </c>
      <c r="AA51" s="13" t="n">
        <v>2375</v>
      </c>
      <c r="AB51" s="13" t="n">
        <v>2343</v>
      </c>
      <c r="AC51" s="13" t="n">
        <v>2315</v>
      </c>
      <c r="AD51" s="13" t="n">
        <v>2469</v>
      </c>
      <c r="AE51" s="13" t="n">
        <v>2555</v>
      </c>
      <c r="AF51" s="13" t="n">
        <v>2545</v>
      </c>
      <c r="AG51" s="13" t="n">
        <v>2607</v>
      </c>
      <c r="AH51" s="13" t="n">
        <v>2518</v>
      </c>
      <c r="AI51" s="13" t="n">
        <v>2459</v>
      </c>
      <c r="AJ51" s="13" t="n">
        <v>2469</v>
      </c>
      <c r="AK51" s="13" t="n">
        <v>2318</v>
      </c>
      <c r="AL51" s="13" t="n">
        <v>2312</v>
      </c>
      <c r="AM51" s="13" t="n">
        <v>2315</v>
      </c>
      <c r="AN51" s="13" t="n">
        <v>2349</v>
      </c>
      <c r="AO51" s="13" t="n">
        <v>2398</v>
      </c>
      <c r="AP51" s="13" t="n">
        <v>2428</v>
      </c>
      <c r="AQ51" s="13" t="n">
        <v>2416</v>
      </c>
      <c r="AR51" s="13" t="n">
        <v>2409</v>
      </c>
      <c r="AS51" s="13" t="n">
        <v>2450</v>
      </c>
      <c r="AT51" s="13" t="n">
        <v>2456</v>
      </c>
      <c r="AU51" s="13" t="n">
        <v>2393</v>
      </c>
      <c r="AV51" s="13" t="n">
        <v>2481</v>
      </c>
      <c r="AW51" s="13" t="n">
        <v>2648</v>
      </c>
      <c r="AX51" s="13" t="n">
        <v>2702</v>
      </c>
      <c r="AY51" s="13" t="n">
        <v>2679</v>
      </c>
      <c r="AZ51" s="13" t="n">
        <v>2691</v>
      </c>
      <c r="BA51" s="13" t="n">
        <v>2697</v>
      </c>
      <c r="BB51" s="13" t="n">
        <v>2715</v>
      </c>
      <c r="BC51" s="13" t="n">
        <v>2767</v>
      </c>
      <c r="BD51" s="13" t="n">
        <v>2717</v>
      </c>
      <c r="BE51" s="13" t="n">
        <v>2761</v>
      </c>
      <c r="BF51" s="13" t="n">
        <v>2716</v>
      </c>
      <c r="BG51" s="13" t="n">
        <v>2695</v>
      </c>
      <c r="BH51" s="13" t="n">
        <v>2672</v>
      </c>
      <c r="BI51" s="13" t="n">
        <v>2705</v>
      </c>
      <c r="BJ51" s="13" t="n">
        <v>2596</v>
      </c>
      <c r="BK51" s="13" t="n">
        <v>2635</v>
      </c>
      <c r="BL51" s="13" t="n">
        <v>2694</v>
      </c>
    </row>
    <row r="52" ht="15.95" customHeight="1" s="574">
      <c r="A52" s="64" t="inlineStr">
        <is>
          <t>8766</t>
        </is>
      </c>
      <c r="B52" s="673" t="inlineStr">
        <is>
          <t>東京海上ＨＤ</t>
        </is>
      </c>
      <c r="C52" s="676">
        <f>_xll.RssMarket("8766","現在値")</f>
        <v/>
      </c>
      <c r="D52" s="661">
        <f>C52-E52</f>
        <v/>
      </c>
      <c r="E52" s="13" t="n">
        <v>7298</v>
      </c>
      <c r="F52" s="13" t="n">
        <v>7194</v>
      </c>
      <c r="G52" s="13" t="n">
        <v>7252</v>
      </c>
      <c r="H52" s="13" t="n">
        <v>7288</v>
      </c>
      <c r="I52" s="13" t="n">
        <v>7325</v>
      </c>
      <c r="J52" s="13" t="n">
        <v>7404</v>
      </c>
      <c r="K52" s="13" t="n">
        <v>7406</v>
      </c>
      <c r="L52" s="13" t="n">
        <v>7232</v>
      </c>
      <c r="M52" s="13" t="n">
        <v>6996</v>
      </c>
      <c r="N52" s="13" t="n">
        <v>6940</v>
      </c>
      <c r="O52" s="13" t="n">
        <v>7098</v>
      </c>
      <c r="P52" s="13" t="n">
        <v>7046</v>
      </c>
      <c r="Q52" s="13" t="n">
        <v>7108</v>
      </c>
      <c r="R52" s="13" t="n">
        <v>7111</v>
      </c>
      <c r="S52" s="13" t="n">
        <v>7189</v>
      </c>
      <c r="T52" s="13" t="n">
        <v>7367</v>
      </c>
      <c r="U52" s="13" t="n">
        <v>7387</v>
      </c>
      <c r="V52" s="13" t="n">
        <v>7381</v>
      </c>
      <c r="W52" s="13" t="n">
        <v>7697</v>
      </c>
      <c r="X52" s="13" t="n">
        <v>7817</v>
      </c>
      <c r="Y52" s="13" t="n">
        <v>7949</v>
      </c>
      <c r="Z52" s="13" t="n">
        <v>7627</v>
      </c>
      <c r="AA52" s="13" t="n">
        <v>7568</v>
      </c>
      <c r="AB52" s="13" t="n">
        <v>7362</v>
      </c>
      <c r="AC52" s="13" t="n">
        <v>7369</v>
      </c>
      <c r="AD52" s="13" t="n">
        <v>7140</v>
      </c>
      <c r="AE52" s="13" t="n">
        <v>7150</v>
      </c>
      <c r="AF52" s="13" t="n">
        <v>7030</v>
      </c>
      <c r="AG52" s="13" t="n">
        <v>7210</v>
      </c>
      <c r="AH52" s="13" t="n">
        <v>7093</v>
      </c>
      <c r="AI52" s="13" t="n">
        <v>7202</v>
      </c>
      <c r="AJ52" s="13" t="n">
        <v>7238</v>
      </c>
      <c r="AK52" s="13" t="n">
        <v>7164</v>
      </c>
      <c r="AL52" s="13" t="n">
        <v>7176</v>
      </c>
      <c r="AM52" s="13" t="n">
        <v>7072</v>
      </c>
      <c r="AN52" s="13" t="n">
        <v>7218</v>
      </c>
      <c r="AO52" s="13" t="n">
        <v>7159</v>
      </c>
      <c r="AP52" s="13" t="n">
        <v>7175</v>
      </c>
      <c r="AQ52" s="13" t="n">
        <v>6933</v>
      </c>
      <c r="AR52" s="13" t="n">
        <v>6972</v>
      </c>
      <c r="AS52" s="13" t="n">
        <v>6836</v>
      </c>
      <c r="AT52" s="13" t="n">
        <v>6915</v>
      </c>
      <c r="AU52" s="13" t="n">
        <v>7000</v>
      </c>
      <c r="AV52" s="13" t="n">
        <v>7095</v>
      </c>
      <c r="AW52" s="13" t="n">
        <v>7250</v>
      </c>
      <c r="AX52" s="13" t="n">
        <v>7370</v>
      </c>
      <c r="AY52" s="13" t="n">
        <v>7277</v>
      </c>
      <c r="AZ52" s="13" t="n">
        <v>7308</v>
      </c>
      <c r="BA52" s="13" t="n">
        <v>7243</v>
      </c>
      <c r="BB52" s="13" t="n">
        <v>7262</v>
      </c>
      <c r="BC52" s="13" t="n">
        <v>7490</v>
      </c>
      <c r="BD52" s="13" t="n">
        <v>7308</v>
      </c>
      <c r="BE52" s="13" t="n">
        <v>7268</v>
      </c>
      <c r="BF52" s="13" t="n">
        <v>7511</v>
      </c>
      <c r="BG52" s="13" t="n">
        <v>7587</v>
      </c>
      <c r="BH52" s="13" t="n">
        <v>7857</v>
      </c>
      <c r="BI52" s="13" t="n">
        <v>6857</v>
      </c>
      <c r="BJ52" s="13" t="n">
        <v>5857</v>
      </c>
      <c r="BK52" s="13" t="n">
        <v>6032</v>
      </c>
      <c r="BL52" s="13" t="n">
        <v>6071</v>
      </c>
    </row>
    <row r="53" ht="15.95" customHeight="1" s="574">
      <c r="A53" s="64" t="inlineStr">
        <is>
          <t>5201</t>
        </is>
      </c>
      <c r="B53" s="673" t="inlineStr">
        <is>
          <t>ＡＧＣ</t>
        </is>
      </c>
      <c r="C53" s="676">
        <f>_xll.RssMarket("5201","現在値")</f>
        <v/>
      </c>
      <c r="D53" s="661">
        <f>C53-E53</f>
        <v/>
      </c>
      <c r="E53" s="13" t="n">
        <v>7551</v>
      </c>
      <c r="F53" s="13" t="n">
        <v>7616</v>
      </c>
      <c r="G53" s="13" t="n">
        <v>7421</v>
      </c>
      <c r="H53" s="13" t="n">
        <v>7270</v>
      </c>
      <c r="I53" s="13" t="n">
        <v>7023</v>
      </c>
      <c r="J53" s="13" t="n">
        <v>6964</v>
      </c>
      <c r="K53" s="13" t="n">
        <v>6941</v>
      </c>
      <c r="L53" s="13" t="n">
        <v>7214</v>
      </c>
      <c r="M53" s="13" t="n">
        <v>7735</v>
      </c>
      <c r="N53" s="13" t="n">
        <v>8117</v>
      </c>
      <c r="O53" s="13" t="n">
        <v>8221</v>
      </c>
      <c r="P53" s="13" t="n">
        <v>7643</v>
      </c>
      <c r="Q53" s="13" t="n">
        <v>7006</v>
      </c>
      <c r="R53" s="13" t="n">
        <v>6938</v>
      </c>
      <c r="S53" s="13" t="n">
        <v>6883</v>
      </c>
      <c r="T53" s="13" t="n">
        <v>7020</v>
      </c>
      <c r="U53" s="13" t="n">
        <v>6657</v>
      </c>
      <c r="V53" s="13" t="n">
        <v>6495</v>
      </c>
      <c r="W53" s="13" t="n">
        <v>6216</v>
      </c>
      <c r="X53" s="13" t="n">
        <v>6049</v>
      </c>
      <c r="Y53" s="13" t="n">
        <v>6226</v>
      </c>
      <c r="Z53" s="13" t="n">
        <v>5957</v>
      </c>
      <c r="AA53" s="13" t="n">
        <v>5999</v>
      </c>
      <c r="AB53" s="13" t="n">
        <v>6033</v>
      </c>
      <c r="AC53" s="13" t="n">
        <v>6065</v>
      </c>
      <c r="AD53" s="13" t="n">
        <v>6014</v>
      </c>
      <c r="AE53" s="13" t="n">
        <v>5636</v>
      </c>
      <c r="AF53" s="13" t="n">
        <v>5580</v>
      </c>
      <c r="AG53" s="13" t="n">
        <v>5683</v>
      </c>
      <c r="AH53" s="13" t="n">
        <v>5574</v>
      </c>
      <c r="AI53" s="13" t="n">
        <v>5589</v>
      </c>
      <c r="AJ53" s="13" t="n">
        <v>5754</v>
      </c>
      <c r="AK53" s="13" t="n">
        <v>5689</v>
      </c>
      <c r="AL53" s="13" t="n">
        <v>5629</v>
      </c>
      <c r="AM53" s="13" t="n">
        <v>5597</v>
      </c>
      <c r="AN53" s="13" t="n">
        <v>5664</v>
      </c>
      <c r="AO53" s="13" t="n">
        <v>5769</v>
      </c>
      <c r="AP53" s="13" t="n">
        <v>5739</v>
      </c>
      <c r="AQ53" s="13" t="n">
        <v>5717</v>
      </c>
      <c r="AR53" s="13" t="n">
        <v>5750</v>
      </c>
      <c r="AS53" s="13" t="n">
        <v>5618</v>
      </c>
      <c r="AT53" s="13" t="n">
        <v>5643</v>
      </c>
      <c r="AU53" s="13" t="n">
        <v>5682</v>
      </c>
      <c r="AV53" s="13" t="n">
        <v>5827</v>
      </c>
      <c r="AW53" s="13" t="n">
        <v>5873</v>
      </c>
      <c r="AX53" s="13" t="n">
        <v>5951</v>
      </c>
      <c r="AY53" s="13" t="n">
        <v>5570</v>
      </c>
      <c r="AZ53" s="13" t="n">
        <v>5541</v>
      </c>
      <c r="BA53" s="13" t="n">
        <v>5598</v>
      </c>
      <c r="BB53" s="13" t="n">
        <v>5627</v>
      </c>
      <c r="BC53" s="13" t="n">
        <v>5719</v>
      </c>
      <c r="BD53" s="13" t="n">
        <v>5498</v>
      </c>
      <c r="BE53" s="13" t="n">
        <v>5439</v>
      </c>
      <c r="BF53" s="13" t="n">
        <v>5574</v>
      </c>
      <c r="BG53" s="13" t="n">
        <v>5627</v>
      </c>
      <c r="BH53" s="13" t="n">
        <v>5652</v>
      </c>
      <c r="BI53" s="13" t="n">
        <v>5498</v>
      </c>
      <c r="BJ53" s="13" t="n">
        <v>5310</v>
      </c>
      <c r="BK53" s="13" t="n">
        <v>5543</v>
      </c>
      <c r="BL53" s="13" t="n">
        <v>5783</v>
      </c>
    </row>
    <row r="54" ht="15.95" customHeight="1" s="574">
      <c r="A54" s="64" t="inlineStr">
        <is>
          <t>8630</t>
        </is>
      </c>
      <c r="B54" s="673" t="inlineStr">
        <is>
          <t>ＳＯＭＰＯホールディングス</t>
        </is>
      </c>
      <c r="C54" s="676">
        <f>_xll.RssMarket("8630","現在値")</f>
        <v/>
      </c>
      <c r="D54" s="661">
        <f>C54-E54</f>
        <v/>
      </c>
      <c r="E54" s="13" t="n">
        <v>6459</v>
      </c>
      <c r="F54" s="13" t="n">
        <v>6342</v>
      </c>
      <c r="G54" s="13" t="n">
        <v>6194</v>
      </c>
      <c r="H54" s="13" t="n">
        <v>6248</v>
      </c>
      <c r="I54" s="13" t="n">
        <v>6149</v>
      </c>
      <c r="J54" s="13" t="n">
        <v>6174</v>
      </c>
      <c r="K54" s="13" t="n">
        <v>6146</v>
      </c>
      <c r="L54" s="13" t="n">
        <v>5992</v>
      </c>
      <c r="M54" s="13" t="n">
        <v>5898</v>
      </c>
      <c r="N54" s="13" t="n">
        <v>5774</v>
      </c>
      <c r="O54" s="13" t="n">
        <v>5900</v>
      </c>
      <c r="P54" s="13" t="n">
        <v>5906</v>
      </c>
      <c r="Q54" s="13" t="n">
        <v>5958</v>
      </c>
      <c r="R54" s="13" t="n">
        <v>5902</v>
      </c>
      <c r="S54" s="13" t="n">
        <v>5933</v>
      </c>
      <c r="T54" s="13" t="n">
        <v>5575</v>
      </c>
      <c r="U54" s="13" t="n">
        <v>5676</v>
      </c>
      <c r="V54" s="13" t="n">
        <v>5568</v>
      </c>
      <c r="W54" s="13" t="n">
        <v>6238</v>
      </c>
      <c r="X54" s="13" t="n">
        <v>6435</v>
      </c>
      <c r="Y54" s="13" t="n">
        <v>6134</v>
      </c>
      <c r="Z54" s="13" t="n">
        <v>6100</v>
      </c>
      <c r="AA54" s="13" t="n">
        <v>5998</v>
      </c>
      <c r="AB54" s="13" t="n">
        <v>6084</v>
      </c>
      <c r="AC54" s="13" t="n">
        <v>5893</v>
      </c>
      <c r="AD54" s="13" t="n">
        <v>5821</v>
      </c>
      <c r="AE54" s="13" t="n">
        <v>5762</v>
      </c>
      <c r="AF54" s="13" t="n">
        <v>5857</v>
      </c>
      <c r="AG54" s="13" t="n">
        <v>5705</v>
      </c>
      <c r="AH54" s="13" t="n">
        <v>5797</v>
      </c>
      <c r="AI54" s="13" t="n">
        <v>5771</v>
      </c>
      <c r="AJ54" s="13" t="n">
        <v>5695</v>
      </c>
      <c r="AK54" s="13" t="n">
        <v>5837</v>
      </c>
      <c r="AL54" s="13" t="n">
        <v>5833</v>
      </c>
      <c r="AM54" s="13" t="n">
        <v>5820</v>
      </c>
      <c r="AN54" s="13" t="n">
        <v>5888</v>
      </c>
      <c r="AO54" s="13" t="n">
        <v>5876</v>
      </c>
      <c r="AP54" s="13" t="n">
        <v>5898</v>
      </c>
      <c r="AQ54" s="13" t="n">
        <v>5974</v>
      </c>
      <c r="AR54" s="13" t="n">
        <v>5900</v>
      </c>
      <c r="AS54" s="13" t="n">
        <v>5902</v>
      </c>
      <c r="AT54" s="13" t="n">
        <v>5915</v>
      </c>
      <c r="AU54" s="13" t="n">
        <v>5976</v>
      </c>
      <c r="AV54" s="13" t="n">
        <v>5994</v>
      </c>
      <c r="AW54" s="13" t="n">
        <v>6180</v>
      </c>
      <c r="AX54" s="13" t="n">
        <v>6071</v>
      </c>
      <c r="AY54" s="13" t="n">
        <v>6018</v>
      </c>
      <c r="AZ54" s="13" t="n">
        <v>6017</v>
      </c>
      <c r="BA54" s="13" t="n">
        <v>6059</v>
      </c>
      <c r="BB54" s="13" t="n">
        <v>6262</v>
      </c>
      <c r="BC54" s="13" t="n">
        <v>6012</v>
      </c>
      <c r="BD54" s="13" t="n">
        <v>5968</v>
      </c>
      <c r="BE54" s="13" t="n">
        <v>6140</v>
      </c>
      <c r="BF54" s="13" t="n">
        <v>6075</v>
      </c>
      <c r="BG54" s="13" t="n">
        <v>6096</v>
      </c>
      <c r="BH54" s="13" t="n">
        <v>5755</v>
      </c>
      <c r="BI54" s="13" t="n">
        <v>5641</v>
      </c>
      <c r="BJ54" s="13" t="n">
        <v>5851</v>
      </c>
      <c r="BK54" s="13" t="n">
        <v>5999</v>
      </c>
      <c r="BL54" s="13" t="n">
        <v>5854</v>
      </c>
    </row>
    <row r="55" ht="15.95" customHeight="1" s="574">
      <c r="A55" s="64" t="inlineStr">
        <is>
          <t>5901</t>
        </is>
      </c>
      <c r="B55" s="673" t="inlineStr">
        <is>
          <t>東洋製罐グループＨＤ</t>
        </is>
      </c>
      <c r="C55" s="676">
        <f>_xll.RssMarket("5901","現在値")</f>
        <v/>
      </c>
      <c r="D55" s="661">
        <f>C55-E55</f>
        <v/>
      </c>
      <c r="E55" s="13" t="n">
        <v>4121</v>
      </c>
      <c r="F55" s="13" t="n">
        <v>4127</v>
      </c>
      <c r="G55" s="13" t="n">
        <v>4076</v>
      </c>
      <c r="H55" s="13" t="n">
        <v>3991</v>
      </c>
      <c r="I55" s="13" t="n">
        <v>3933</v>
      </c>
      <c r="J55" s="13" t="n">
        <v>3837</v>
      </c>
      <c r="K55" s="13" t="n">
        <v>3846</v>
      </c>
      <c r="L55" s="13" t="n">
        <v>3842</v>
      </c>
      <c r="M55" s="13" t="n">
        <v>3772</v>
      </c>
      <c r="N55" s="13" t="n">
        <v>3795</v>
      </c>
      <c r="O55" s="13" t="n">
        <v>3872</v>
      </c>
      <c r="P55" s="13" t="n">
        <v>3778</v>
      </c>
      <c r="Q55" s="13" t="n">
        <v>3937</v>
      </c>
      <c r="R55" s="13" t="n">
        <v>3890</v>
      </c>
      <c r="S55" s="13" t="n">
        <v>3864</v>
      </c>
      <c r="T55" s="13" t="n">
        <v>3949</v>
      </c>
      <c r="U55" s="13" t="n">
        <v>3973</v>
      </c>
      <c r="V55" s="13" t="n">
        <v>3996</v>
      </c>
      <c r="W55" s="13" t="n">
        <v>4344</v>
      </c>
      <c r="X55" s="13" t="n">
        <v>4018</v>
      </c>
      <c r="Y55" s="13" t="n">
        <v>4003</v>
      </c>
      <c r="Z55" s="13" t="n">
        <v>3822</v>
      </c>
      <c r="AA55" s="13" t="n">
        <v>3706</v>
      </c>
      <c r="AB55" s="13" t="n">
        <v>3433</v>
      </c>
      <c r="AC55" s="13" t="n">
        <v>3445</v>
      </c>
      <c r="AD55" s="13" t="n">
        <v>3363</v>
      </c>
      <c r="AE55" s="13" t="n">
        <v>3388</v>
      </c>
      <c r="AF55" s="13" t="n">
        <v>3531</v>
      </c>
      <c r="AG55" s="13" t="n">
        <v>3438</v>
      </c>
      <c r="AH55" s="13" t="n">
        <v>3239</v>
      </c>
      <c r="AI55" s="13" t="n">
        <v>3207</v>
      </c>
      <c r="AJ55" s="13" t="n">
        <v>3152</v>
      </c>
      <c r="AK55" s="13" t="n">
        <v>3220</v>
      </c>
      <c r="AL55" s="13" t="n">
        <v>3226</v>
      </c>
      <c r="AM55" s="13" t="n">
        <v>3288</v>
      </c>
      <c r="AN55" s="13" t="n">
        <v>3397</v>
      </c>
      <c r="AO55" s="13" t="n">
        <v>3383</v>
      </c>
      <c r="AP55" s="13" t="n">
        <v>3353</v>
      </c>
      <c r="AQ55" s="13" t="n">
        <v>3409</v>
      </c>
      <c r="AR55" s="13" t="n">
        <v>3399</v>
      </c>
      <c r="AS55" s="13" t="n">
        <v>3349</v>
      </c>
      <c r="AT55" s="13" t="n">
        <v>3414</v>
      </c>
      <c r="AU55" s="13" t="n">
        <v>3474</v>
      </c>
      <c r="AV55" s="13" t="n">
        <v>3492</v>
      </c>
      <c r="AW55" s="13" t="n">
        <v>3548</v>
      </c>
      <c r="AX55" s="13" t="n">
        <v>3458</v>
      </c>
      <c r="AY55" s="13" t="n">
        <v>3438</v>
      </c>
      <c r="AZ55" s="13" t="n">
        <v>3468</v>
      </c>
      <c r="BA55" s="13" t="n">
        <v>3521</v>
      </c>
      <c r="BB55" s="13" t="n">
        <v>3633</v>
      </c>
      <c r="BC55" s="13" t="n">
        <v>3537</v>
      </c>
      <c r="BD55" s="13" t="n">
        <v>3532</v>
      </c>
      <c r="BE55" s="13" t="n">
        <v>3671</v>
      </c>
      <c r="BF55" s="13" t="n">
        <v>3687</v>
      </c>
      <c r="BG55" s="13" t="n">
        <v>3709</v>
      </c>
      <c r="BH55" s="13" t="n">
        <v>3627</v>
      </c>
      <c r="BI55" s="13" t="n">
        <v>3547</v>
      </c>
      <c r="BJ55" s="13" t="n">
        <v>3689</v>
      </c>
      <c r="BK55" s="13" t="n">
        <v>3930</v>
      </c>
      <c r="BL55" s="13" t="n">
        <v>3880</v>
      </c>
    </row>
    <row r="56" ht="15.95" customHeight="1" s="574">
      <c r="A56" s="64" t="inlineStr">
        <is>
          <t>9412</t>
        </is>
      </c>
      <c r="B56" s="673" t="inlineStr">
        <is>
          <t>スカパーＪＳＡＴ</t>
        </is>
      </c>
      <c r="C56" s="676">
        <f>_xll.RssMarket("9412","現在値")</f>
        <v/>
      </c>
      <c r="D56" s="661">
        <f>C56-E56</f>
        <v/>
      </c>
      <c r="E56" s="13" t="n">
        <v>3235</v>
      </c>
      <c r="F56" s="13" t="n">
        <v>3200</v>
      </c>
      <c r="G56" s="13" t="n">
        <v>3355</v>
      </c>
      <c r="H56" s="13" t="n">
        <v>3270</v>
      </c>
      <c r="I56" s="13" t="n">
        <v>3485</v>
      </c>
      <c r="J56" s="13" t="n">
        <v>3240</v>
      </c>
      <c r="K56" s="13" t="n">
        <v>3165</v>
      </c>
      <c r="L56" s="13" t="n">
        <v>3495</v>
      </c>
      <c r="M56" s="13" t="n">
        <v>3645</v>
      </c>
      <c r="N56" s="13" t="n">
        <v>3415</v>
      </c>
      <c r="O56" s="13" t="n">
        <v>3720</v>
      </c>
      <c r="P56" s="13" t="n">
        <v>3755</v>
      </c>
      <c r="Q56" s="13" t="n">
        <v>3950</v>
      </c>
      <c r="R56" s="13" t="n">
        <v>4470</v>
      </c>
      <c r="S56" s="13" t="n">
        <v>4535</v>
      </c>
      <c r="T56" s="13" t="n">
        <v>4455</v>
      </c>
      <c r="U56" s="13" t="n">
        <v>4260</v>
      </c>
      <c r="V56" s="13" t="n">
        <v>4115</v>
      </c>
      <c r="W56" s="13" t="n">
        <v>4190</v>
      </c>
      <c r="X56" s="13" t="n">
        <v>4045</v>
      </c>
      <c r="Y56" s="13" t="n">
        <v>4040</v>
      </c>
      <c r="Z56" s="13" t="n">
        <v>4180</v>
      </c>
      <c r="AA56" s="13" t="n">
        <v>4145</v>
      </c>
      <c r="AB56" s="13" t="n">
        <v>4205</v>
      </c>
      <c r="AC56" s="13" t="n">
        <v>4030</v>
      </c>
      <c r="AD56" s="13" t="n">
        <v>3750</v>
      </c>
      <c r="AE56" s="13" t="n">
        <v>3690</v>
      </c>
      <c r="AF56" s="13" t="n">
        <v>3485</v>
      </c>
      <c r="AG56" s="13" t="n">
        <v>3515</v>
      </c>
      <c r="AH56" s="13" t="n">
        <v>3450</v>
      </c>
      <c r="AI56" s="13" t="n">
        <v>3315</v>
      </c>
      <c r="AJ56" s="13" t="n">
        <v>3090</v>
      </c>
      <c r="AK56" s="13" t="n">
        <v>3285</v>
      </c>
      <c r="AL56" s="13" t="n">
        <v>3170</v>
      </c>
      <c r="AM56" s="13" t="n">
        <v>3170</v>
      </c>
      <c r="AN56" s="13" t="n">
        <v>3405</v>
      </c>
      <c r="AO56" s="13" t="n">
        <v>3325</v>
      </c>
      <c r="AP56" s="13" t="n">
        <v>3370</v>
      </c>
      <c r="AQ56" s="13" t="n">
        <v>3235</v>
      </c>
      <c r="AR56" s="13" t="n">
        <v>3145</v>
      </c>
      <c r="AS56" s="13" t="n">
        <v>3155</v>
      </c>
      <c r="AT56" s="13" t="n">
        <v>3015</v>
      </c>
      <c r="AU56" s="13" t="n">
        <v>3060</v>
      </c>
      <c r="AV56" s="13" t="n">
        <v>3140</v>
      </c>
      <c r="AW56" s="13" t="n">
        <v>3135</v>
      </c>
      <c r="AX56" s="13" t="n">
        <v>3045</v>
      </c>
      <c r="AY56" s="13" t="n">
        <v>3060</v>
      </c>
      <c r="AZ56" s="13" t="n">
        <v>3070</v>
      </c>
      <c r="BA56" s="13" t="n">
        <v>2979</v>
      </c>
      <c r="BB56" s="13" t="n">
        <v>3015</v>
      </c>
      <c r="BC56" s="13" t="n">
        <v>2893</v>
      </c>
      <c r="BD56" s="13" t="n">
        <v>2926</v>
      </c>
      <c r="BE56" s="13" t="n">
        <v>3050</v>
      </c>
      <c r="BF56" s="13" t="n">
        <v>3070</v>
      </c>
      <c r="BG56" s="13" t="n">
        <v>3095</v>
      </c>
      <c r="BH56" s="13" t="n">
        <v>2868</v>
      </c>
      <c r="BI56" s="13" t="n">
        <v>2732</v>
      </c>
      <c r="BJ56" s="13" t="n">
        <v>2800</v>
      </c>
      <c r="BK56" s="13" t="n">
        <v>2880</v>
      </c>
      <c r="BL56" s="13" t="n">
        <v>2812</v>
      </c>
    </row>
    <row r="57" ht="15.95" customHeight="1" s="574">
      <c r="A57" s="64" t="inlineStr">
        <is>
          <t>6203</t>
        </is>
      </c>
      <c r="B57" s="673" t="inlineStr">
        <is>
          <t>豊和工業</t>
        </is>
      </c>
      <c r="C57" s="676">
        <f>_xll.RssMarket("6203","現在値")</f>
        <v/>
      </c>
      <c r="D57" s="661">
        <f>C57-E57</f>
        <v/>
      </c>
      <c r="E57" s="13" t="n">
        <v>1709</v>
      </c>
      <c r="F57" s="13" t="n">
        <v>1619</v>
      </c>
      <c r="G57" s="13" t="n">
        <v>1630</v>
      </c>
      <c r="H57" s="13" t="n">
        <v>1556</v>
      </c>
      <c r="I57" s="13" t="n">
        <v>1541</v>
      </c>
      <c r="J57" s="13" t="n">
        <v>1605</v>
      </c>
      <c r="K57" s="13" t="n">
        <v>1676</v>
      </c>
      <c r="L57" s="13" t="n">
        <v>1795</v>
      </c>
      <c r="M57" s="13" t="n">
        <v>1817</v>
      </c>
      <c r="N57" s="13" t="n">
        <v>1750</v>
      </c>
      <c r="O57" s="13" t="n">
        <v>1830</v>
      </c>
      <c r="P57" s="13" t="n">
        <v>1927</v>
      </c>
      <c r="Q57" s="13" t="n">
        <v>1716</v>
      </c>
      <c r="R57" s="13" t="n">
        <v>1783</v>
      </c>
      <c r="S57" s="13" t="n">
        <v>1670</v>
      </c>
      <c r="T57" s="13" t="n">
        <v>1370</v>
      </c>
      <c r="U57" s="13" t="n">
        <v>1369</v>
      </c>
      <c r="V57" s="13" t="n">
        <v>1353</v>
      </c>
      <c r="W57" s="13" t="n">
        <v>1318</v>
      </c>
      <c r="X57" s="13" t="n">
        <v>1276</v>
      </c>
      <c r="Y57" s="13" t="n">
        <v>1323</v>
      </c>
      <c r="Z57" s="13" t="n">
        <v>1301</v>
      </c>
      <c r="AA57" s="13" t="n">
        <v>1388</v>
      </c>
      <c r="AB57" s="13" t="n">
        <v>1390</v>
      </c>
      <c r="AC57" s="13" t="n">
        <v>1457</v>
      </c>
      <c r="AD57" s="13" t="n">
        <v>1455</v>
      </c>
      <c r="AE57" s="13" t="n">
        <v>1539</v>
      </c>
      <c r="AF57" s="13" t="n">
        <v>1506</v>
      </c>
      <c r="AG57" s="13" t="n">
        <v>1537</v>
      </c>
      <c r="AH57" s="13" t="n">
        <v>1525</v>
      </c>
      <c r="AI57" s="13" t="n">
        <v>1521</v>
      </c>
      <c r="AJ57" s="13" t="n">
        <v>1585</v>
      </c>
      <c r="AK57" s="13" t="n">
        <v>1505</v>
      </c>
      <c r="AL57" s="13" t="n">
        <v>1493</v>
      </c>
      <c r="AM57" s="13" t="n">
        <v>1511</v>
      </c>
      <c r="AN57" s="13" t="n">
        <v>1543</v>
      </c>
      <c r="AO57" s="13" t="n">
        <v>1403</v>
      </c>
      <c r="AP57" s="13" t="n">
        <v>1357</v>
      </c>
      <c r="AQ57" s="13" t="n">
        <v>1360</v>
      </c>
      <c r="AR57" s="13" t="n">
        <v>1360</v>
      </c>
      <c r="AS57" s="13" t="n">
        <v>1393</v>
      </c>
      <c r="AT57" s="13" t="n">
        <v>1449</v>
      </c>
      <c r="AU57" s="13" t="n">
        <v>1467</v>
      </c>
      <c r="AV57" s="13" t="n">
        <v>1472</v>
      </c>
      <c r="AW57" s="13" t="n">
        <v>1485</v>
      </c>
      <c r="AX57" s="13" t="n">
        <v>1582</v>
      </c>
      <c r="AY57" s="13" t="n">
        <v>1503</v>
      </c>
      <c r="AZ57" s="13" t="n">
        <v>1485</v>
      </c>
      <c r="BA57" s="13" t="n">
        <v>1520</v>
      </c>
      <c r="BB57" s="13" t="n">
        <v>1516</v>
      </c>
      <c r="BC57" s="13" t="n">
        <v>1486</v>
      </c>
      <c r="BD57" s="13" t="n">
        <v>1410</v>
      </c>
      <c r="BE57" s="13" t="n">
        <v>1464</v>
      </c>
      <c r="BF57" s="13" t="n">
        <v>1535</v>
      </c>
      <c r="BG57" s="13" t="n">
        <v>1560</v>
      </c>
      <c r="BH57" s="13" t="n">
        <v>1581</v>
      </c>
      <c r="BI57" s="13" t="n">
        <v>1517</v>
      </c>
      <c r="BJ57" s="13" t="n">
        <v>1461</v>
      </c>
      <c r="BK57" s="13" t="n">
        <v>1592</v>
      </c>
      <c r="BL57" s="13" t="n">
        <v>1675</v>
      </c>
    </row>
    <row r="58" ht="15.95" customHeight="1" s="574">
      <c r="A58" s="64" t="inlineStr">
        <is>
          <t>4676</t>
        </is>
      </c>
      <c r="B58" s="673" t="inlineStr">
        <is>
          <t>フジ・メディア・ＨＤ</t>
        </is>
      </c>
      <c r="C58" s="676">
        <f>_xll.RssMarket("4676","現在値")</f>
        <v/>
      </c>
      <c r="D58" s="661">
        <f>C58-E58</f>
        <v/>
      </c>
      <c r="E58" s="13" t="n">
        <v>4103</v>
      </c>
      <c r="F58" s="13" t="n">
        <v>4001</v>
      </c>
      <c r="G58" s="13" t="n">
        <v>4007</v>
      </c>
      <c r="H58" s="13" t="n">
        <v>4021</v>
      </c>
      <c r="I58" s="13" t="n">
        <v>4045</v>
      </c>
      <c r="J58" s="13" t="n">
        <v>4094</v>
      </c>
      <c r="K58" s="13" t="n">
        <v>4122</v>
      </c>
      <c r="L58" s="13" t="n">
        <v>4129</v>
      </c>
      <c r="M58" s="13" t="n">
        <v>4176</v>
      </c>
      <c r="N58" s="13" t="n">
        <v>3838</v>
      </c>
      <c r="O58" s="13" t="n">
        <v>3843</v>
      </c>
      <c r="P58" s="13" t="n">
        <v>3866</v>
      </c>
      <c r="Q58" s="13" t="n">
        <v>3774</v>
      </c>
      <c r="R58" s="13" t="n">
        <v>3737</v>
      </c>
      <c r="S58" s="13" t="n">
        <v>3744</v>
      </c>
      <c r="T58" s="13" t="n">
        <v>3701</v>
      </c>
      <c r="U58" s="13" t="n">
        <v>3802</v>
      </c>
      <c r="V58" s="13" t="n">
        <v>3808</v>
      </c>
      <c r="W58" s="13" t="n">
        <v>3834</v>
      </c>
      <c r="X58" s="13" t="n">
        <v>3808</v>
      </c>
      <c r="Y58" s="13" t="n">
        <v>3701</v>
      </c>
      <c r="Z58" s="13" t="n">
        <v>3814</v>
      </c>
      <c r="AA58" s="13" t="n">
        <v>3789</v>
      </c>
      <c r="AB58" s="13" t="n">
        <v>3862</v>
      </c>
      <c r="AC58" s="13" t="n">
        <v>3861</v>
      </c>
      <c r="AD58" s="13" t="n">
        <v>3965</v>
      </c>
      <c r="AE58" s="13" t="n">
        <v>3928</v>
      </c>
      <c r="AF58" s="13" t="n">
        <v>3955</v>
      </c>
      <c r="AG58" s="13" t="n">
        <v>3910</v>
      </c>
      <c r="AH58" s="13" t="n">
        <v>3857</v>
      </c>
      <c r="AI58" s="13" t="n">
        <v>3879</v>
      </c>
      <c r="AJ58" s="13" t="n">
        <v>3937</v>
      </c>
      <c r="AK58" s="13" t="n">
        <v>4059</v>
      </c>
      <c r="AL58" s="13" t="n">
        <v>3969</v>
      </c>
      <c r="AM58" s="13" t="n">
        <v>3979</v>
      </c>
      <c r="AN58" s="13" t="n">
        <v>3932</v>
      </c>
      <c r="AO58" s="13" t="n">
        <v>4066</v>
      </c>
      <c r="AP58" s="13" t="n">
        <v>3773</v>
      </c>
      <c r="AQ58" s="13" t="n">
        <v>3904</v>
      </c>
      <c r="AR58" s="13" t="n">
        <v>4164</v>
      </c>
      <c r="AS58" s="13" t="n">
        <v>4198</v>
      </c>
      <c r="AT58" s="13" t="n">
        <v>4202</v>
      </c>
      <c r="AU58" s="13" t="n">
        <v>4260</v>
      </c>
      <c r="AV58" s="13" t="n">
        <v>4284</v>
      </c>
      <c r="AW58" s="13" t="n">
        <v>4295</v>
      </c>
      <c r="AX58" s="13" t="n">
        <v>4386</v>
      </c>
      <c r="AY58" s="13" t="n">
        <v>4294</v>
      </c>
      <c r="AZ58" s="13" t="n">
        <v>4164</v>
      </c>
      <c r="BA58" s="13" t="n">
        <v>4075</v>
      </c>
      <c r="BB58" s="13" t="n">
        <v>4140</v>
      </c>
      <c r="BC58" s="13" t="n">
        <v>3995</v>
      </c>
      <c r="BD58" s="13" t="n">
        <v>4038</v>
      </c>
      <c r="BE58" s="13" t="n">
        <v>4170</v>
      </c>
      <c r="BF58" s="13" t="n">
        <v>4091</v>
      </c>
      <c r="BG58" s="13" t="n">
        <v>4013</v>
      </c>
      <c r="BH58" s="13" t="n">
        <v>3958</v>
      </c>
      <c r="BI58" s="13" t="n">
        <v>3908</v>
      </c>
      <c r="BJ58" s="13" t="n">
        <v>3859</v>
      </c>
      <c r="BK58" s="13" t="n">
        <v>3872</v>
      </c>
      <c r="BL58" s="13" t="n">
        <v>3805</v>
      </c>
    </row>
    <row r="59" ht="15.95" customHeight="1" s="574">
      <c r="A59" s="64" t="inlineStr">
        <is>
          <t>1961</t>
        </is>
      </c>
      <c r="B59" s="673" t="inlineStr">
        <is>
          <t>三機工業</t>
        </is>
      </c>
      <c r="C59" s="676">
        <f>_xll.RssMarket("1961","現在値")</f>
        <v/>
      </c>
      <c r="D59" s="661">
        <f>C59-E59</f>
        <v/>
      </c>
      <c r="E59" s="13" t="n">
        <v>3125</v>
      </c>
      <c r="F59" s="13" t="n">
        <v>3035</v>
      </c>
      <c r="G59" s="13" t="n">
        <v>2700</v>
      </c>
      <c r="H59" s="13" t="n">
        <v>2590</v>
      </c>
      <c r="I59" s="13" t="n">
        <v>2470</v>
      </c>
      <c r="J59" s="13" t="n">
        <v>2453</v>
      </c>
      <c r="K59" s="13" t="n">
        <v>2463</v>
      </c>
      <c r="L59" s="13" t="n">
        <v>2312</v>
      </c>
      <c r="M59" s="13" t="n">
        <v>2318</v>
      </c>
      <c r="N59" s="13" t="n">
        <v>2253</v>
      </c>
      <c r="O59" s="13" t="n">
        <v>2160</v>
      </c>
      <c r="P59" s="13" t="n">
        <v>2211</v>
      </c>
      <c r="Q59" s="13" t="n">
        <v>2316</v>
      </c>
      <c r="R59" s="13" t="n">
        <v>2257</v>
      </c>
      <c r="S59" s="13" t="n">
        <v>2227</v>
      </c>
      <c r="T59" s="13" t="n">
        <v>2232</v>
      </c>
      <c r="U59" s="13" t="n">
        <v>2189</v>
      </c>
      <c r="V59" s="13" t="n">
        <v>2181</v>
      </c>
      <c r="W59" s="13" t="n">
        <v>2267</v>
      </c>
      <c r="X59" s="13" t="n">
        <v>2398</v>
      </c>
      <c r="Y59" s="13" t="n">
        <v>2414</v>
      </c>
      <c r="Z59" s="13" t="n">
        <v>2575</v>
      </c>
      <c r="AA59" s="13" t="n">
        <v>2646</v>
      </c>
      <c r="AB59" s="13" t="n">
        <v>2596</v>
      </c>
      <c r="AC59" s="13" t="n">
        <v>2646</v>
      </c>
      <c r="AD59" s="13" t="n">
        <v>2608</v>
      </c>
      <c r="AE59" s="13" t="n">
        <v>2517</v>
      </c>
      <c r="AF59" s="13" t="n">
        <v>2549</v>
      </c>
      <c r="AG59" s="13" t="n">
        <v>2424</v>
      </c>
      <c r="AH59" s="13" t="n">
        <v>2409</v>
      </c>
      <c r="AI59" s="13" t="n">
        <v>2413</v>
      </c>
      <c r="AJ59" s="13" t="n">
        <v>2339</v>
      </c>
      <c r="AK59" s="13" t="n">
        <v>2326</v>
      </c>
      <c r="AL59" s="13" t="n">
        <v>2266</v>
      </c>
      <c r="AM59" s="13" t="n">
        <v>2329</v>
      </c>
      <c r="AN59" s="13" t="n">
        <v>2379</v>
      </c>
      <c r="AO59" s="13" t="n">
        <v>2353</v>
      </c>
      <c r="AP59" s="13" t="n">
        <v>2393</v>
      </c>
      <c r="AQ59" s="13" t="n">
        <v>2439</v>
      </c>
      <c r="AR59" s="13" t="n">
        <v>2436</v>
      </c>
      <c r="AS59" s="13" t="n">
        <v>2659</v>
      </c>
      <c r="AT59" s="13" t="n">
        <v>2729</v>
      </c>
      <c r="AU59" s="13" t="n">
        <v>2739</v>
      </c>
      <c r="AV59" s="13" t="n">
        <v>2656</v>
      </c>
      <c r="AW59" s="13" t="n">
        <v>2563</v>
      </c>
      <c r="AX59" s="13" t="n">
        <v>2466</v>
      </c>
      <c r="AY59" s="13" t="n">
        <v>2439</v>
      </c>
      <c r="AZ59" s="13" t="n">
        <v>2419</v>
      </c>
      <c r="BA59" s="13" t="n">
        <v>2389</v>
      </c>
      <c r="BB59" s="13" t="n">
        <v>2376</v>
      </c>
      <c r="BC59" s="13" t="n">
        <v>2236</v>
      </c>
      <c r="BD59" s="13" t="n">
        <v>2239</v>
      </c>
      <c r="BE59" s="13" t="n">
        <v>2323</v>
      </c>
      <c r="BF59" s="13" t="n">
        <v>2323</v>
      </c>
      <c r="BG59" s="13" t="n">
        <v>2319</v>
      </c>
      <c r="BH59" s="13" t="n">
        <v>2243</v>
      </c>
      <c r="BI59" s="13" t="n">
        <v>2166</v>
      </c>
      <c r="BJ59" s="13" t="n">
        <v>2276</v>
      </c>
      <c r="BK59" s="13" t="n">
        <v>2333</v>
      </c>
      <c r="BL59" s="13" t="n">
        <v>2203</v>
      </c>
    </row>
    <row r="60" ht="15.95" customHeight="1" s="574">
      <c r="A60" s="64" t="inlineStr">
        <is>
          <t>3107</t>
        </is>
      </c>
      <c r="B60" s="673" t="inlineStr">
        <is>
          <t>ダイワボウＨＤ</t>
        </is>
      </c>
      <c r="C60" s="676">
        <f>_xll.RssMarket("3107","現在値")</f>
        <v/>
      </c>
      <c r="D60" s="661">
        <f>C60-E60</f>
        <v/>
      </c>
      <c r="E60" s="13" t="n">
        <v>3344</v>
      </c>
      <c r="F60" s="13" t="n">
        <v>3333</v>
      </c>
      <c r="G60" s="13" t="n">
        <v>3330</v>
      </c>
      <c r="H60" s="13" t="n">
        <v>3409</v>
      </c>
      <c r="I60" s="13" t="n">
        <v>3411</v>
      </c>
      <c r="J60" s="13" t="n">
        <v>3451</v>
      </c>
      <c r="K60" s="13" t="n">
        <v>3452</v>
      </c>
      <c r="L60" s="13" t="n">
        <v>3501</v>
      </c>
      <c r="M60" s="13" t="n">
        <v>3513</v>
      </c>
      <c r="N60" s="13" t="n">
        <v>3497</v>
      </c>
      <c r="O60" s="13" t="n">
        <v>3589</v>
      </c>
      <c r="P60" s="13" t="n">
        <v>3533</v>
      </c>
      <c r="Q60" s="13" t="n">
        <v>3471</v>
      </c>
      <c r="R60" s="13" t="n">
        <v>3422</v>
      </c>
      <c r="S60" s="13" t="n">
        <v>3396</v>
      </c>
      <c r="T60" s="13" t="n">
        <v>3346</v>
      </c>
      <c r="U60" s="13" t="n">
        <v>3359</v>
      </c>
      <c r="V60" s="13" t="n">
        <v>3485</v>
      </c>
      <c r="W60" s="13" t="n">
        <v>3534</v>
      </c>
      <c r="X60" s="13" t="n">
        <v>3514</v>
      </c>
      <c r="Y60" s="13" t="n">
        <v>3581</v>
      </c>
      <c r="Z60" s="13" t="n">
        <v>3514</v>
      </c>
      <c r="AA60" s="13" t="n">
        <v>3450</v>
      </c>
      <c r="AB60" s="13" t="n">
        <v>3426</v>
      </c>
      <c r="AC60" s="13" t="n">
        <v>3415</v>
      </c>
      <c r="AD60" s="13" t="n">
        <v>3392</v>
      </c>
      <c r="AE60" s="13" t="n">
        <v>3385</v>
      </c>
      <c r="AF60" s="13" t="n">
        <v>3403</v>
      </c>
      <c r="AG60" s="13" t="n">
        <v>3297</v>
      </c>
      <c r="AH60" s="13" t="n">
        <v>3202</v>
      </c>
      <c r="AI60" s="13" t="n">
        <v>3207</v>
      </c>
      <c r="AJ60" s="13" t="n">
        <v>3213</v>
      </c>
      <c r="AK60" s="13" t="n">
        <v>3159</v>
      </c>
      <c r="AL60" s="13" t="n">
        <v>3134</v>
      </c>
      <c r="AM60" s="13" t="n">
        <v>3107</v>
      </c>
      <c r="AN60" s="13" t="n">
        <v>3109</v>
      </c>
      <c r="AO60" s="13" t="n">
        <v>3099</v>
      </c>
      <c r="AP60" s="13" t="n">
        <v>3126</v>
      </c>
      <c r="AQ60" s="13" t="n">
        <v>3166</v>
      </c>
      <c r="AR60" s="13" t="n">
        <v>3165</v>
      </c>
      <c r="AS60" s="13" t="n">
        <v>3158</v>
      </c>
      <c r="AT60" s="13" t="n">
        <v>3137</v>
      </c>
      <c r="AU60" s="13" t="n">
        <v>3125</v>
      </c>
      <c r="AV60" s="13" t="n">
        <v>3098</v>
      </c>
      <c r="AW60" s="13" t="n">
        <v>3191</v>
      </c>
      <c r="AX60" s="13" t="n">
        <v>3235</v>
      </c>
      <c r="AY60" s="13" t="n">
        <v>3206</v>
      </c>
      <c r="AZ60" s="13" t="n">
        <v>3188</v>
      </c>
      <c r="BA60" s="13" t="n">
        <v>3183</v>
      </c>
      <c r="BB60" s="13" t="n">
        <v>3124</v>
      </c>
      <c r="BC60" s="13" t="n">
        <v>3193</v>
      </c>
      <c r="BD60" s="13" t="n">
        <v>3065</v>
      </c>
      <c r="BE60" s="13" t="n">
        <v>3049</v>
      </c>
      <c r="BF60" s="13" t="n">
        <v>3066</v>
      </c>
      <c r="BG60" s="13" t="n">
        <v>3015</v>
      </c>
      <c r="BH60" s="13" t="n">
        <v>3024</v>
      </c>
      <c r="BI60" s="13" t="n">
        <v>2940</v>
      </c>
      <c r="BJ60" s="13" t="n">
        <v>2888.5</v>
      </c>
      <c r="BK60" s="13" t="n">
        <v>2968.5</v>
      </c>
      <c r="BL60" s="13" t="n">
        <v>3025</v>
      </c>
    </row>
    <row r="61" ht="15.95" customHeight="1" s="574">
      <c r="A61" s="64" t="inlineStr">
        <is>
          <t>4045</t>
        </is>
      </c>
      <c r="B61" s="673" t="inlineStr">
        <is>
          <t>東亞合成</t>
        </is>
      </c>
      <c r="C61" s="676">
        <f>_xll.RssMarket("4045","現在値")</f>
        <v/>
      </c>
      <c r="D61" s="661">
        <f>C61-E61</f>
        <v/>
      </c>
      <c r="E61" s="13" t="n">
        <v>1764</v>
      </c>
      <c r="F61" s="13" t="n">
        <v>1759</v>
      </c>
      <c r="G61" s="13" t="n">
        <v>1758.5</v>
      </c>
      <c r="H61" s="13" t="n">
        <v>1759</v>
      </c>
      <c r="I61" s="13" t="n">
        <v>1728</v>
      </c>
      <c r="J61" s="13" t="n">
        <v>1706.5</v>
      </c>
      <c r="K61" s="13" t="n">
        <v>1694</v>
      </c>
      <c r="L61" s="13" t="n">
        <v>1720</v>
      </c>
      <c r="M61" s="13" t="n">
        <v>1731.5</v>
      </c>
      <c r="N61" s="13" t="n">
        <v>1744</v>
      </c>
      <c r="O61" s="13" t="n">
        <v>1758</v>
      </c>
      <c r="P61" s="13" t="n">
        <v>1738.5</v>
      </c>
      <c r="Q61" s="13" t="n">
        <v>1735</v>
      </c>
      <c r="R61" s="13" t="n">
        <v>1759</v>
      </c>
      <c r="S61" s="13" t="n">
        <v>1747</v>
      </c>
      <c r="T61" s="13" t="n">
        <v>1734.5</v>
      </c>
      <c r="U61" s="13" t="n">
        <v>1730.5</v>
      </c>
      <c r="V61" s="13" t="n">
        <v>1713.5</v>
      </c>
      <c r="W61" s="13" t="n">
        <v>1704</v>
      </c>
      <c r="X61" s="13" t="n">
        <v>1685.5</v>
      </c>
      <c r="Y61" s="13" t="n">
        <v>1729</v>
      </c>
      <c r="Z61" s="13" t="n">
        <v>1746.5</v>
      </c>
      <c r="AA61" s="13" t="n">
        <v>1748.5</v>
      </c>
      <c r="AB61" s="13" t="n">
        <v>1763</v>
      </c>
      <c r="AC61" s="13" t="n">
        <v>1746</v>
      </c>
      <c r="AD61" s="13" t="n">
        <v>1733.5</v>
      </c>
      <c r="AE61" s="13" t="n">
        <v>1725</v>
      </c>
      <c r="AF61" s="13" t="n">
        <v>1719</v>
      </c>
      <c r="AG61" s="13" t="n">
        <v>1734</v>
      </c>
      <c r="AH61" s="13" t="n">
        <v>1715.5</v>
      </c>
      <c r="AI61" s="13" t="n">
        <v>1702.5</v>
      </c>
      <c r="AJ61" s="13" t="n">
        <v>1719</v>
      </c>
      <c r="AK61" s="13" t="n">
        <v>1708</v>
      </c>
      <c r="AL61" s="13" t="n">
        <v>1745</v>
      </c>
      <c r="AM61" s="13" t="n">
        <v>1775.5</v>
      </c>
      <c r="AN61" s="13" t="n">
        <v>1760</v>
      </c>
      <c r="AO61" s="13" t="n">
        <v>1790</v>
      </c>
      <c r="AP61" s="13" t="n">
        <v>1785</v>
      </c>
      <c r="AQ61" s="13" t="n">
        <v>1802</v>
      </c>
      <c r="AR61" s="13" t="n">
        <v>1803.5</v>
      </c>
      <c r="AS61" s="13" t="n">
        <v>1782.5</v>
      </c>
      <c r="AT61" s="13" t="n">
        <v>1781.5</v>
      </c>
      <c r="AU61" s="13" t="n">
        <v>1772.5</v>
      </c>
      <c r="AV61" s="13" t="n">
        <v>1791</v>
      </c>
      <c r="AW61" s="13" t="n">
        <v>1786</v>
      </c>
      <c r="AX61" s="13" t="n">
        <v>1801.5</v>
      </c>
      <c r="AY61" s="13" t="n">
        <v>1754</v>
      </c>
      <c r="AZ61" s="13" t="n">
        <v>1737.5</v>
      </c>
      <c r="BA61" s="13" t="n">
        <v>1745</v>
      </c>
      <c r="BB61" s="13" t="n">
        <v>1734</v>
      </c>
      <c r="BC61" s="13" t="n">
        <v>1760</v>
      </c>
      <c r="BD61" s="13" t="n">
        <v>1707.5</v>
      </c>
      <c r="BE61" s="13" t="n">
        <v>1718</v>
      </c>
      <c r="BF61" s="13" t="n">
        <v>1731</v>
      </c>
      <c r="BG61" s="13" t="n">
        <v>1722</v>
      </c>
      <c r="BH61" s="13" t="n">
        <v>1735</v>
      </c>
      <c r="BI61" s="13" t="n">
        <v>1695.5</v>
      </c>
      <c r="BJ61" s="13" t="n">
        <v>1660.5</v>
      </c>
      <c r="BK61" s="13" t="n">
        <v>1701.5</v>
      </c>
      <c r="BL61" s="13" t="n">
        <v>1777.5</v>
      </c>
    </row>
    <row r="62" ht="15.95" customHeight="1" s="574">
      <c r="A62" s="64" t="inlineStr">
        <is>
          <t>5857</t>
        </is>
      </c>
      <c r="B62" s="673" t="inlineStr">
        <is>
          <t>ＡＲＥホールディングス</t>
        </is>
      </c>
      <c r="C62" s="676">
        <f>_xll.RssMarket("5857","現在値")</f>
        <v/>
      </c>
      <c r="D62" s="661">
        <f>C62-E62</f>
        <v/>
      </c>
      <c r="E62" s="13" t="n">
        <v>3235</v>
      </c>
      <c r="F62" s="13" t="n">
        <v>3205</v>
      </c>
      <c r="G62" s="13" t="n">
        <v>3305</v>
      </c>
      <c r="H62" s="13" t="n">
        <v>3180</v>
      </c>
      <c r="I62" s="13" t="n">
        <v>3065</v>
      </c>
      <c r="J62" s="13" t="n">
        <v>2929</v>
      </c>
      <c r="K62" s="13" t="n">
        <v>3030</v>
      </c>
      <c r="L62" s="13" t="n">
        <v>3095</v>
      </c>
      <c r="M62" s="13" t="n">
        <v>3180</v>
      </c>
      <c r="N62" s="13" t="n">
        <v>3160</v>
      </c>
      <c r="O62" s="13" t="n">
        <v>3300</v>
      </c>
      <c r="P62" s="13" t="n">
        <v>3265</v>
      </c>
      <c r="Q62" s="13" t="n">
        <v>3245</v>
      </c>
      <c r="R62" s="13" t="n">
        <v>3375</v>
      </c>
      <c r="S62" s="13" t="n">
        <v>3265</v>
      </c>
      <c r="T62" s="13" t="n">
        <v>3335</v>
      </c>
      <c r="U62" s="13" t="n">
        <v>3485</v>
      </c>
      <c r="V62" s="13" t="n">
        <v>3530</v>
      </c>
      <c r="W62" s="13" t="n">
        <v>3425</v>
      </c>
      <c r="X62" s="13" t="n">
        <v>3465</v>
      </c>
      <c r="Y62" s="13" t="n">
        <v>3690</v>
      </c>
      <c r="Z62" s="13" t="n">
        <v>3715</v>
      </c>
      <c r="AA62" s="13" t="n">
        <v>3925</v>
      </c>
      <c r="AB62" s="13" t="n">
        <v>3860</v>
      </c>
      <c r="AC62" s="13" t="n">
        <v>4060</v>
      </c>
      <c r="AD62" s="13" t="n">
        <v>3875</v>
      </c>
      <c r="AE62" s="13" t="n">
        <v>3845</v>
      </c>
      <c r="AF62" s="13" t="n">
        <v>4075</v>
      </c>
      <c r="AG62" s="13" t="n">
        <v>4010</v>
      </c>
      <c r="AH62" s="13" t="n">
        <v>3505</v>
      </c>
      <c r="AI62" s="13" t="n">
        <v>3530</v>
      </c>
      <c r="AJ62" s="13" t="n">
        <v>3645</v>
      </c>
      <c r="AK62" s="13" t="n">
        <v>3635</v>
      </c>
      <c r="AL62" s="13" t="n">
        <v>3645</v>
      </c>
      <c r="AM62" s="13" t="n">
        <v>3665</v>
      </c>
      <c r="AN62" s="13" t="n">
        <v>3795</v>
      </c>
      <c r="AO62" s="13" t="n">
        <v>3995</v>
      </c>
      <c r="AP62" s="13" t="n">
        <v>3720</v>
      </c>
      <c r="AQ62" s="13" t="n">
        <v>3800</v>
      </c>
      <c r="AR62" s="13" t="n">
        <v>3860</v>
      </c>
      <c r="AS62" s="13" t="n">
        <v>3750</v>
      </c>
      <c r="AT62" s="13" t="n">
        <v>3780</v>
      </c>
      <c r="AU62" s="13" t="n">
        <v>3720</v>
      </c>
      <c r="AV62" s="13" t="n">
        <v>3690</v>
      </c>
      <c r="AW62" s="13" t="n">
        <v>3755</v>
      </c>
      <c r="AX62" s="13" t="n">
        <v>3785</v>
      </c>
      <c r="AY62" s="13" t="n">
        <v>3595</v>
      </c>
      <c r="AZ62" s="13" t="n">
        <v>3580</v>
      </c>
      <c r="BA62" s="13" t="n">
        <v>3590</v>
      </c>
      <c r="BB62" s="13" t="n">
        <v>3480</v>
      </c>
      <c r="BC62" s="13" t="n">
        <v>3535</v>
      </c>
      <c r="BD62" s="13" t="n">
        <v>3355</v>
      </c>
      <c r="BE62" s="13" t="n">
        <v>3420</v>
      </c>
      <c r="BF62" s="13" t="n">
        <v>3570</v>
      </c>
      <c r="BG62" s="13" t="n">
        <v>3515</v>
      </c>
      <c r="BH62" s="13" t="n">
        <v>3575</v>
      </c>
      <c r="BI62" s="13" t="n">
        <v>3440</v>
      </c>
      <c r="BJ62" s="13" t="n">
        <v>3350</v>
      </c>
      <c r="BK62" s="13" t="n">
        <v>3605</v>
      </c>
      <c r="BL62" s="13" t="n">
        <v>3865</v>
      </c>
    </row>
    <row r="63" ht="15.95" customHeight="1" s="574">
      <c r="A63" s="64" t="inlineStr">
        <is>
          <t>8281</t>
        </is>
      </c>
      <c r="B63" s="673" t="inlineStr">
        <is>
          <t>ゼビオホールディングス</t>
        </is>
      </c>
      <c r="C63" s="676">
        <f>_xll.RssMarket("8281","現在値")</f>
        <v/>
      </c>
      <c r="D63" s="661">
        <f>C63-E63</f>
        <v/>
      </c>
      <c r="E63" s="13" t="n">
        <v>1024</v>
      </c>
      <c r="F63" s="13" t="n">
        <v>1038</v>
      </c>
      <c r="G63" s="13" t="n">
        <v>1050</v>
      </c>
      <c r="H63" s="13" t="n">
        <v>1053</v>
      </c>
      <c r="I63" s="13" t="n">
        <v>1072</v>
      </c>
      <c r="J63" s="13" t="n">
        <v>1070</v>
      </c>
      <c r="K63" s="13" t="n">
        <v>1055</v>
      </c>
      <c r="L63" s="13" t="n">
        <v>1065</v>
      </c>
      <c r="M63" s="13" t="n">
        <v>1031</v>
      </c>
      <c r="N63" s="13" t="n">
        <v>1027</v>
      </c>
      <c r="O63" s="13" t="n">
        <v>1015</v>
      </c>
      <c r="P63" s="13" t="n">
        <v>1031</v>
      </c>
      <c r="Q63" s="13" t="n">
        <v>1034</v>
      </c>
      <c r="R63" s="13" t="n">
        <v>1058</v>
      </c>
      <c r="S63" s="13" t="n">
        <v>1054</v>
      </c>
      <c r="T63" s="13" t="n">
        <v>1044</v>
      </c>
      <c r="U63" s="13" t="n">
        <v>1056</v>
      </c>
      <c r="V63" s="13" t="n">
        <v>1050</v>
      </c>
      <c r="W63" s="13" t="n">
        <v>1044</v>
      </c>
      <c r="X63" s="13" t="n">
        <v>1049</v>
      </c>
      <c r="Y63" s="13" t="n">
        <v>1021</v>
      </c>
      <c r="Z63" s="13" t="n">
        <v>1000</v>
      </c>
      <c r="AA63" s="13" t="n">
        <v>964</v>
      </c>
      <c r="AB63" s="13" t="n">
        <v>966</v>
      </c>
      <c r="AC63" s="13" t="n">
        <v>959</v>
      </c>
      <c r="AD63" s="13" t="n">
        <v>962</v>
      </c>
      <c r="AE63" s="13" t="n">
        <v>964</v>
      </c>
      <c r="AF63" s="13" t="n">
        <v>973</v>
      </c>
      <c r="AG63" s="13" t="n">
        <v>988</v>
      </c>
      <c r="AH63" s="13" t="n">
        <v>993</v>
      </c>
      <c r="AI63" s="13" t="n">
        <v>999</v>
      </c>
      <c r="AJ63" s="13" t="n">
        <v>990</v>
      </c>
      <c r="AK63" s="13" t="n">
        <v>993</v>
      </c>
      <c r="AL63" s="13" t="n">
        <v>997</v>
      </c>
      <c r="AM63" s="13" t="n">
        <v>1010</v>
      </c>
      <c r="AN63" s="13" t="n">
        <v>1020</v>
      </c>
      <c r="AO63" s="13" t="n">
        <v>1029</v>
      </c>
      <c r="AP63" s="13" t="n">
        <v>1016</v>
      </c>
      <c r="AQ63" s="13" t="n">
        <v>1018</v>
      </c>
      <c r="AR63" s="13" t="n">
        <v>1021</v>
      </c>
      <c r="AS63" s="13" t="n">
        <v>1008</v>
      </c>
      <c r="AT63" s="13" t="n">
        <v>1003</v>
      </c>
      <c r="AU63" s="13" t="n">
        <v>1010</v>
      </c>
      <c r="AV63" s="13" t="n">
        <v>1025</v>
      </c>
      <c r="AW63" s="13" t="n">
        <v>1043</v>
      </c>
      <c r="AX63" s="13" t="n">
        <v>1030</v>
      </c>
      <c r="AY63" s="13" t="n">
        <v>1021</v>
      </c>
      <c r="AZ63" s="13" t="n">
        <v>1016</v>
      </c>
      <c r="BA63" s="13" t="n">
        <v>1011</v>
      </c>
      <c r="BB63" s="13" t="n">
        <v>1011</v>
      </c>
      <c r="BC63" s="13" t="n">
        <v>992</v>
      </c>
      <c r="BD63" s="13" t="n">
        <v>989</v>
      </c>
      <c r="BE63" s="13" t="n">
        <v>1018</v>
      </c>
      <c r="BF63" s="13" t="n">
        <v>1013</v>
      </c>
      <c r="BG63" s="13" t="n">
        <v>1016</v>
      </c>
      <c r="BH63" s="13" t="n">
        <v>1006</v>
      </c>
      <c r="BI63" s="13" t="n">
        <v>991</v>
      </c>
      <c r="BJ63" s="13" t="n">
        <v>1016</v>
      </c>
      <c r="BK63" s="13" t="n">
        <v>1053</v>
      </c>
      <c r="BL63" s="13" t="n">
        <v>1044</v>
      </c>
    </row>
    <row r="64" ht="15.95" customHeight="1" s="574">
      <c r="A64" s="64" t="inlineStr">
        <is>
          <t>4540</t>
        </is>
      </c>
      <c r="B64" s="673" t="inlineStr">
        <is>
          <t>ツムラ</t>
        </is>
      </c>
      <c r="C64" s="676">
        <f>_xll.RssMarket("4540","現在値")</f>
        <v/>
      </c>
      <c r="D64" s="661">
        <f>C64-E64</f>
        <v/>
      </c>
      <c r="E64" s="13" t="n">
        <v>3747</v>
      </c>
      <c r="F64" s="13" t="n">
        <v>3725</v>
      </c>
      <c r="G64" s="13" t="n">
        <v>3704</v>
      </c>
      <c r="H64" s="13" t="n">
        <v>3761</v>
      </c>
      <c r="I64" s="13" t="n">
        <v>3724</v>
      </c>
      <c r="J64" s="13" t="n">
        <v>3744</v>
      </c>
      <c r="K64" s="13" t="n">
        <v>3751</v>
      </c>
      <c r="L64" s="13" t="n">
        <v>3714</v>
      </c>
      <c r="M64" s="13" t="n">
        <v>3680</v>
      </c>
      <c r="N64" s="13" t="n">
        <v>3712</v>
      </c>
      <c r="O64" s="13" t="n">
        <v>3727</v>
      </c>
      <c r="P64" s="13" t="n">
        <v>3708</v>
      </c>
      <c r="Q64" s="13" t="n">
        <v>3735</v>
      </c>
      <c r="R64" s="13" t="n">
        <v>3810</v>
      </c>
      <c r="S64" s="13" t="n">
        <v>3750</v>
      </c>
      <c r="T64" s="13" t="n">
        <v>3847</v>
      </c>
      <c r="U64" s="13" t="n">
        <v>3752</v>
      </c>
      <c r="V64" s="13" t="n">
        <v>3820</v>
      </c>
      <c r="W64" s="13" t="n">
        <v>3895</v>
      </c>
      <c r="X64" s="13" t="n">
        <v>3932</v>
      </c>
      <c r="Y64" s="13" t="n">
        <v>3934</v>
      </c>
      <c r="Z64" s="13" t="n">
        <v>3818</v>
      </c>
      <c r="AA64" s="13" t="n">
        <v>3778</v>
      </c>
      <c r="AB64" s="13" t="n">
        <v>3731</v>
      </c>
      <c r="AC64" s="13" t="n">
        <v>3702</v>
      </c>
      <c r="AD64" s="13" t="n">
        <v>3527</v>
      </c>
      <c r="AE64" s="13" t="n">
        <v>3563</v>
      </c>
      <c r="AF64" s="13" t="n">
        <v>3582</v>
      </c>
      <c r="AG64" s="13" t="n">
        <v>3628</v>
      </c>
      <c r="AH64" s="13" t="n">
        <v>3630</v>
      </c>
      <c r="AI64" s="13" t="n">
        <v>3651</v>
      </c>
      <c r="AJ64" s="13" t="n">
        <v>3700</v>
      </c>
      <c r="AK64" s="13" t="n">
        <v>3692</v>
      </c>
      <c r="AL64" s="13" t="n">
        <v>3703</v>
      </c>
      <c r="AM64" s="13" t="n">
        <v>3688</v>
      </c>
      <c r="AN64" s="13" t="n">
        <v>3690</v>
      </c>
      <c r="AO64" s="13" t="n">
        <v>3718</v>
      </c>
      <c r="AP64" s="13" t="n">
        <v>3746</v>
      </c>
      <c r="AQ64" s="13" t="n">
        <v>3753</v>
      </c>
      <c r="AR64" s="13" t="n">
        <v>3753</v>
      </c>
      <c r="AS64" s="13" t="n">
        <v>3782</v>
      </c>
      <c r="AT64" s="13" t="n">
        <v>3750</v>
      </c>
      <c r="AU64" s="13" t="n">
        <v>3763</v>
      </c>
      <c r="AV64" s="13" t="n">
        <v>3779</v>
      </c>
      <c r="AW64" s="13" t="n">
        <v>3822</v>
      </c>
      <c r="AX64" s="13" t="n">
        <v>3838</v>
      </c>
      <c r="AY64" s="13" t="n">
        <v>3828</v>
      </c>
      <c r="AZ64" s="13" t="n">
        <v>3832</v>
      </c>
      <c r="BA64" s="13" t="n">
        <v>3844</v>
      </c>
      <c r="BB64" s="13" t="n">
        <v>3831</v>
      </c>
      <c r="BC64" s="13" t="n">
        <v>3835</v>
      </c>
      <c r="BD64" s="13" t="n">
        <v>3746</v>
      </c>
      <c r="BE64" s="13" t="n">
        <v>3739</v>
      </c>
      <c r="BF64" s="13" t="n">
        <v>3873</v>
      </c>
      <c r="BG64" s="13" t="n">
        <v>3844</v>
      </c>
      <c r="BH64" s="13" t="n">
        <v>3829</v>
      </c>
      <c r="BI64" s="13" t="n">
        <v>3796</v>
      </c>
      <c r="BJ64" s="13" t="n">
        <v>3712</v>
      </c>
      <c r="BK64" s="13" t="n">
        <v>3763</v>
      </c>
      <c r="BL64" s="13" t="n">
        <v>3855</v>
      </c>
    </row>
    <row r="65" ht="15.95" customHeight="1" s="574">
      <c r="A65" s="64" t="inlineStr">
        <is>
          <t>9984</t>
        </is>
      </c>
      <c r="B65" s="673" t="inlineStr">
        <is>
          <t>ソフトバンクグループ</t>
        </is>
      </c>
      <c r="C65" s="676">
        <f>_xll.RssMarket("9984","現在値")</f>
        <v/>
      </c>
      <c r="D65" s="661">
        <f>C65-E65</f>
        <v/>
      </c>
      <c r="E65" s="13" t="n">
        <v>7244</v>
      </c>
      <c r="F65" s="13" t="n">
        <v>7111</v>
      </c>
      <c r="G65" s="13" t="n">
        <v>6880</v>
      </c>
      <c r="H65" s="13" t="n">
        <v>7102</v>
      </c>
      <c r="I65" s="13" t="n">
        <v>6472</v>
      </c>
      <c r="J65" s="13" t="n">
        <v>6374</v>
      </c>
      <c r="K65" s="13" t="n">
        <v>6461</v>
      </c>
      <c r="L65" s="13" t="n">
        <v>6976</v>
      </c>
      <c r="M65" s="13" t="n">
        <v>7426</v>
      </c>
      <c r="N65" s="13" t="n">
        <v>7377</v>
      </c>
      <c r="O65" s="13" t="n">
        <v>8315</v>
      </c>
      <c r="P65" s="13" t="n">
        <v>8632</v>
      </c>
      <c r="Q65" s="13" t="n">
        <v>8541</v>
      </c>
      <c r="R65" s="13" t="n">
        <v>7491</v>
      </c>
      <c r="S65" s="13" t="n">
        <v>7125</v>
      </c>
      <c r="T65" s="13" t="n">
        <v>7272</v>
      </c>
      <c r="U65" s="13" t="n">
        <v>7070</v>
      </c>
      <c r="V65" s="13" t="n">
        <v>6757</v>
      </c>
      <c r="W65" s="13" t="n">
        <v>6039</v>
      </c>
      <c r="X65" s="13" t="n">
        <v>5039</v>
      </c>
      <c r="Y65" s="13" t="n">
        <v>5361</v>
      </c>
      <c r="Z65" s="13" t="n">
        <v>5593</v>
      </c>
      <c r="AA65" s="13" t="n">
        <v>5745</v>
      </c>
      <c r="AB65" s="13" t="n">
        <v>5770</v>
      </c>
      <c r="AC65" s="13" t="n">
        <v>6012</v>
      </c>
      <c r="AD65" s="13" t="n">
        <v>5987</v>
      </c>
      <c r="AE65" s="13" t="n">
        <v>5743</v>
      </c>
      <c r="AF65" s="13" t="n">
        <v>6131</v>
      </c>
      <c r="AG65" s="13" t="n">
        <v>6424</v>
      </c>
      <c r="AH65" s="13" t="n">
        <v>5424</v>
      </c>
      <c r="AI65" s="13" t="n">
        <v>5219</v>
      </c>
      <c r="AJ65" s="13" t="n">
        <v>5268</v>
      </c>
      <c r="AK65" s="13" t="n">
        <v>5844</v>
      </c>
      <c r="AL65" s="13" t="n">
        <v>5963</v>
      </c>
      <c r="AM65" s="13" t="n">
        <v>5837</v>
      </c>
      <c r="AN65" s="13" t="n">
        <v>5620</v>
      </c>
      <c r="AO65" s="13" t="n">
        <v>5181</v>
      </c>
      <c r="AP65" s="13" t="n">
        <v>4774</v>
      </c>
      <c r="AQ65" s="13" t="n">
        <v>4527</v>
      </c>
      <c r="AR65" s="13" t="n">
        <v>4672</v>
      </c>
      <c r="AS65" s="13" t="n">
        <v>4444</v>
      </c>
      <c r="AT65" s="13" t="n">
        <v>4242</v>
      </c>
      <c r="AU65" s="13" t="n">
        <v>3764</v>
      </c>
      <c r="AV65" s="13" t="n">
        <v>3778</v>
      </c>
      <c r="AW65" s="13" t="n">
        <v>3775</v>
      </c>
      <c r="AX65" s="13" t="n">
        <v>3822</v>
      </c>
      <c r="AY65" s="13" t="n">
        <v>3565</v>
      </c>
      <c r="AZ65" s="13" t="n">
        <v>3648</v>
      </c>
      <c r="BA65" s="13" t="n">
        <v>3609</v>
      </c>
      <c r="BB65" s="13" t="n">
        <v>3604</v>
      </c>
      <c r="BC65" s="13" t="n">
        <v>3764</v>
      </c>
      <c r="BD65" s="13" t="n">
        <v>3555</v>
      </c>
      <c r="BE65" s="13" t="n">
        <v>3692</v>
      </c>
      <c r="BF65" s="13" t="n">
        <v>3946</v>
      </c>
      <c r="BG65" s="13" t="n">
        <v>3822</v>
      </c>
      <c r="BH65" s="13" t="n">
        <v>3809</v>
      </c>
      <c r="BI65" s="13" t="n">
        <v>3530</v>
      </c>
      <c r="BJ65" s="13" t="n">
        <v>3507</v>
      </c>
      <c r="BK65" s="13" t="n">
        <v>3558</v>
      </c>
      <c r="BL65" s="13" t="n">
        <v>3750</v>
      </c>
    </row>
    <row r="66" ht="15.95" customHeight="1" s="574">
      <c r="A66" s="64" t="inlineStr">
        <is>
          <t>4063</t>
        </is>
      </c>
      <c r="B66" s="673" t="inlineStr">
        <is>
          <t>信越化学</t>
        </is>
      </c>
      <c r="C66" s="676">
        <f>_xll.RssMarket("4063","現在値")</f>
        <v/>
      </c>
      <c r="D66" s="661">
        <f>C66-E66</f>
        <v/>
      </c>
      <c r="E66" s="13" t="n">
        <v>7307</v>
      </c>
      <c r="F66" s="13" t="n">
        <v>7310</v>
      </c>
      <c r="G66" s="13" t="n">
        <v>7549</v>
      </c>
      <c r="H66" s="13" t="n">
        <v>7454</v>
      </c>
      <c r="I66" s="13" t="n">
        <v>7188</v>
      </c>
      <c r="J66" s="13" t="n">
        <v>6858</v>
      </c>
      <c r="K66" s="13" t="n">
        <v>6695</v>
      </c>
      <c r="L66" s="13" t="n">
        <v>6863</v>
      </c>
      <c r="M66" s="13" t="n">
        <v>7350</v>
      </c>
      <c r="N66" s="13" t="n">
        <v>7641</v>
      </c>
      <c r="O66" s="13" t="n">
        <v>7806</v>
      </c>
      <c r="P66" s="13" t="n">
        <v>7473</v>
      </c>
      <c r="Q66" s="13" t="n">
        <v>7793</v>
      </c>
      <c r="R66" s="13" t="n">
        <v>7758</v>
      </c>
      <c r="S66" s="13" t="n">
        <v>7344</v>
      </c>
      <c r="T66" s="13" t="n">
        <v>7406</v>
      </c>
      <c r="U66" s="13" t="n">
        <v>7041</v>
      </c>
      <c r="V66" s="13" t="n">
        <v>7034</v>
      </c>
      <c r="W66" s="13" t="n">
        <v>6857</v>
      </c>
      <c r="X66" s="13" t="n">
        <v>6845</v>
      </c>
      <c r="Y66" s="13" t="n">
        <v>7032</v>
      </c>
      <c r="Z66" s="13" t="n">
        <v>7013</v>
      </c>
      <c r="AA66" s="13" t="n">
        <v>7105</v>
      </c>
      <c r="AB66" s="13" t="n">
        <v>7476</v>
      </c>
      <c r="AC66" s="13" t="n">
        <v>7417</v>
      </c>
      <c r="AD66" s="13" t="n">
        <v>7520</v>
      </c>
      <c r="AE66" s="13" t="n">
        <v>7574</v>
      </c>
      <c r="AF66" s="13" t="n">
        <v>7480</v>
      </c>
      <c r="AG66" s="13" t="n">
        <v>7711</v>
      </c>
      <c r="AH66" s="13" t="n">
        <v>7104</v>
      </c>
      <c r="AI66" s="13" t="n">
        <v>7246</v>
      </c>
      <c r="AJ66" s="13" t="n">
        <v>7081</v>
      </c>
      <c r="AK66" s="13" t="n">
        <v>6949</v>
      </c>
      <c r="AL66" s="13" t="n">
        <v>6768</v>
      </c>
      <c r="AM66" s="13" t="n">
        <v>6664</v>
      </c>
      <c r="AN66" s="13" t="n">
        <v>6642</v>
      </c>
      <c r="AO66" s="13" t="n">
        <v>6733</v>
      </c>
      <c r="AP66" s="13" t="n">
        <v>6773</v>
      </c>
      <c r="AQ66" s="13" t="n">
        <v>6907</v>
      </c>
      <c r="AR66" s="13" t="n">
        <v>6910</v>
      </c>
      <c r="AS66" s="13" t="n">
        <v>6809</v>
      </c>
      <c r="AT66" s="13" t="n">
        <v>6695</v>
      </c>
      <c r="AU66" s="13" t="n">
        <v>6662</v>
      </c>
      <c r="AV66" s="13" t="n">
        <v>6556</v>
      </c>
      <c r="AW66" s="13" t="n">
        <v>6506</v>
      </c>
      <c r="AX66" s="13" t="n">
        <v>6470</v>
      </c>
      <c r="AY66" s="13" t="n">
        <v>6574</v>
      </c>
      <c r="AZ66" s="13" t="n">
        <v>6523</v>
      </c>
      <c r="BA66" s="13" t="n">
        <v>6450</v>
      </c>
      <c r="BB66" s="13" t="n">
        <v>6412</v>
      </c>
      <c r="BC66" s="13" t="n">
        <v>6505</v>
      </c>
      <c r="BD66" s="13" t="n">
        <v>6259</v>
      </c>
      <c r="BE66" s="13" t="n">
        <v>6217</v>
      </c>
      <c r="BF66" s="13" t="n">
        <v>6140</v>
      </c>
      <c r="BG66" s="13" t="n">
        <v>6291</v>
      </c>
      <c r="BH66" s="13" t="n">
        <v>6294</v>
      </c>
      <c r="BI66" s="13" t="n">
        <v>6060</v>
      </c>
      <c r="BJ66" s="13" t="n">
        <v>6073</v>
      </c>
      <c r="BK66" s="13" t="n">
        <v>6373</v>
      </c>
      <c r="BL66" s="13" t="n">
        <v>6720</v>
      </c>
    </row>
    <row r="67" ht="15.95" customHeight="1" s="574">
      <c r="A67" s="64" t="inlineStr">
        <is>
          <t>4536</t>
        </is>
      </c>
      <c r="B67" s="673" t="inlineStr">
        <is>
          <t>参天製薬</t>
        </is>
      </c>
      <c r="C67" s="676">
        <f>_xll.RssMarket("4536","現在値")</f>
        <v/>
      </c>
      <c r="D67" s="661">
        <f>C67-E67</f>
        <v/>
      </c>
      <c r="E67" s="13" t="n">
        <v>1945.5</v>
      </c>
      <c r="F67" s="13" t="n">
        <v>1874</v>
      </c>
      <c r="G67" s="13" t="n">
        <v>1882</v>
      </c>
      <c r="H67" s="13" t="n">
        <v>1919.5</v>
      </c>
      <c r="I67" s="13" t="n">
        <v>1923.5</v>
      </c>
      <c r="J67" s="13" t="n">
        <v>1935.5</v>
      </c>
      <c r="K67" s="13" t="n">
        <v>1942</v>
      </c>
      <c r="L67" s="13" t="n">
        <v>1954</v>
      </c>
      <c r="M67" s="13" t="n">
        <v>1927</v>
      </c>
      <c r="N67" s="13" t="n">
        <v>1872</v>
      </c>
      <c r="O67" s="13" t="n">
        <v>1855</v>
      </c>
      <c r="P67" s="13" t="n">
        <v>1863.5</v>
      </c>
      <c r="Q67" s="13" t="n">
        <v>1857</v>
      </c>
      <c r="R67" s="13" t="n">
        <v>1915.5</v>
      </c>
      <c r="S67" s="13" t="n">
        <v>1888.5</v>
      </c>
      <c r="T67" s="13" t="n">
        <v>1934</v>
      </c>
      <c r="U67" s="13" t="n">
        <v>1925</v>
      </c>
      <c r="V67" s="13" t="n">
        <v>1905</v>
      </c>
      <c r="W67" s="13" t="n">
        <v>1883</v>
      </c>
      <c r="X67" s="13" t="n">
        <v>1902.5</v>
      </c>
      <c r="Y67" s="13" t="n">
        <v>1893.5</v>
      </c>
      <c r="Z67" s="13" t="n">
        <v>1844</v>
      </c>
      <c r="AA67" s="13" t="n">
        <v>1861</v>
      </c>
      <c r="AB67" s="13" t="n">
        <v>1882</v>
      </c>
      <c r="AC67" s="13" t="n">
        <v>1815</v>
      </c>
      <c r="AD67" s="13" t="n">
        <v>1561.5</v>
      </c>
      <c r="AE67" s="13" t="n">
        <v>1622</v>
      </c>
      <c r="AF67" s="13" t="n">
        <v>1617.5</v>
      </c>
      <c r="AG67" s="13" t="n">
        <v>1629</v>
      </c>
      <c r="AH67" s="13" t="n">
        <v>1643</v>
      </c>
      <c r="AI67" s="13" t="n">
        <v>1616</v>
      </c>
      <c r="AJ67" s="13" t="n">
        <v>1650.5</v>
      </c>
      <c r="AK67" s="13" t="n">
        <v>1647.5</v>
      </c>
      <c r="AL67" s="13" t="n">
        <v>1674</v>
      </c>
      <c r="AM67" s="13" t="n">
        <v>1663</v>
      </c>
      <c r="AN67" s="13" t="n">
        <v>1683</v>
      </c>
      <c r="AO67" s="13" t="n">
        <v>1717</v>
      </c>
      <c r="AP67" s="13" t="n">
        <v>1752</v>
      </c>
      <c r="AQ67" s="13" t="n">
        <v>1772</v>
      </c>
      <c r="AR67" s="13" t="n">
        <v>1782</v>
      </c>
      <c r="AS67" s="13" t="n">
        <v>1800.5</v>
      </c>
      <c r="AT67" s="13" t="n">
        <v>1800</v>
      </c>
      <c r="AU67" s="13" t="n">
        <v>1806</v>
      </c>
      <c r="AV67" s="13" t="n">
        <v>1826.5</v>
      </c>
      <c r="AW67" s="13" t="n">
        <v>1897</v>
      </c>
      <c r="AX67" s="13" t="n">
        <v>1931</v>
      </c>
      <c r="AY67" s="13" t="n">
        <v>1891</v>
      </c>
      <c r="AZ67" s="13" t="n">
        <v>1875.5</v>
      </c>
      <c r="BA67" s="13" t="n">
        <v>1825.5</v>
      </c>
      <c r="BB67" s="13" t="n">
        <v>1820</v>
      </c>
      <c r="BC67" s="13" t="n">
        <v>1849</v>
      </c>
      <c r="BD67" s="13" t="n">
        <v>1785.5</v>
      </c>
      <c r="BE67" s="13" t="n">
        <v>1766</v>
      </c>
      <c r="BF67" s="13" t="n">
        <v>1787</v>
      </c>
      <c r="BG67" s="13" t="n">
        <v>1757.5</v>
      </c>
      <c r="BH67" s="13" t="n">
        <v>1731</v>
      </c>
      <c r="BI67" s="13" t="n">
        <v>1716</v>
      </c>
      <c r="BJ67" s="13" t="n">
        <v>1650</v>
      </c>
      <c r="BK67" s="13" t="n">
        <v>1686.5</v>
      </c>
      <c r="BL67" s="13" t="n">
        <v>1690</v>
      </c>
    </row>
    <row r="68" ht="15.95" customHeight="1" s="574">
      <c r="A68" s="64" t="inlineStr">
        <is>
          <t>6503</t>
        </is>
      </c>
      <c r="B68" s="673" t="inlineStr">
        <is>
          <t>三菱電機</t>
        </is>
      </c>
      <c r="C68" s="676">
        <f>_xll.RssMarket("6503","現在値")</f>
        <v/>
      </c>
      <c r="D68" s="661">
        <f>C68-E68</f>
        <v/>
      </c>
      <c r="E68" s="13" t="n">
        <v>6183</v>
      </c>
      <c r="F68" s="13" t="n">
        <v>6051</v>
      </c>
      <c r="G68" s="13" t="n">
        <v>5863</v>
      </c>
      <c r="H68" s="13" t="n">
        <v>5872</v>
      </c>
      <c r="I68" s="13" t="n">
        <v>5545</v>
      </c>
      <c r="J68" s="13" t="n">
        <v>5446</v>
      </c>
      <c r="K68" s="13" t="n">
        <v>5572</v>
      </c>
      <c r="L68" s="13" t="n">
        <v>5668</v>
      </c>
      <c r="M68" s="13" t="n">
        <v>6014</v>
      </c>
      <c r="N68" s="13" t="n">
        <v>5952</v>
      </c>
      <c r="O68" s="13" t="n">
        <v>6085</v>
      </c>
      <c r="P68" s="13" t="n">
        <v>6001</v>
      </c>
      <c r="Q68" s="13" t="n">
        <v>6088</v>
      </c>
      <c r="R68" s="13" t="n">
        <v>6558</v>
      </c>
      <c r="S68" s="13" t="n">
        <v>6557</v>
      </c>
      <c r="T68" s="13" t="n">
        <v>6500</v>
      </c>
      <c r="U68" s="13" t="n">
        <v>6560</v>
      </c>
      <c r="V68" s="13" t="n">
        <v>6301</v>
      </c>
      <c r="W68" s="13" t="n">
        <v>6069</v>
      </c>
      <c r="X68" s="13" t="n">
        <v>5747</v>
      </c>
      <c r="Y68" s="13" t="n">
        <v>6020</v>
      </c>
      <c r="Z68" s="13" t="n">
        <v>6350</v>
      </c>
      <c r="AA68" s="13" t="n">
        <v>6416</v>
      </c>
      <c r="AB68" s="13" t="n">
        <v>6436</v>
      </c>
      <c r="AC68" s="13" t="n">
        <v>6468</v>
      </c>
      <c r="AD68" s="13" t="n">
        <v>6373</v>
      </c>
      <c r="AE68" s="13" t="n">
        <v>6447</v>
      </c>
      <c r="AF68" s="13" t="n">
        <v>6460</v>
      </c>
      <c r="AG68" s="13" t="n">
        <v>6448</v>
      </c>
      <c r="AH68" s="13" t="n">
        <v>6071</v>
      </c>
      <c r="AI68" s="13" t="n">
        <v>6231</v>
      </c>
      <c r="AJ68" s="13" t="n">
        <v>6078</v>
      </c>
      <c r="AK68" s="13" t="n">
        <v>6048</v>
      </c>
      <c r="AL68" s="13" t="n">
        <v>5999</v>
      </c>
      <c r="AM68" s="13" t="n">
        <v>5881</v>
      </c>
      <c r="AN68" s="13" t="n">
        <v>5935</v>
      </c>
      <c r="AO68" s="13" t="n">
        <v>6028</v>
      </c>
      <c r="AP68" s="13" t="n">
        <v>6088</v>
      </c>
      <c r="AQ68" s="13" t="n">
        <v>5799</v>
      </c>
      <c r="AR68" s="13" t="n">
        <v>5975</v>
      </c>
      <c r="AS68" s="13" t="n">
        <v>5811</v>
      </c>
      <c r="AT68" s="13" t="n">
        <v>5859</v>
      </c>
      <c r="AU68" s="13" t="n">
        <v>5814</v>
      </c>
      <c r="AV68" s="13" t="n">
        <v>5813</v>
      </c>
      <c r="AW68" s="13" t="n">
        <v>5639</v>
      </c>
      <c r="AX68" s="13" t="n">
        <v>5619</v>
      </c>
      <c r="AY68" s="13" t="n">
        <v>5386</v>
      </c>
      <c r="AZ68" s="13" t="n">
        <v>5300</v>
      </c>
      <c r="BA68" s="13" t="n">
        <v>5306</v>
      </c>
      <c r="BB68" s="13" t="n">
        <v>5157</v>
      </c>
      <c r="BC68" s="13" t="n">
        <v>5337</v>
      </c>
      <c r="BD68" s="13" t="n">
        <v>4988</v>
      </c>
      <c r="BE68" s="13" t="n">
        <v>5042</v>
      </c>
      <c r="BF68" s="13" t="n">
        <v>5335</v>
      </c>
      <c r="BG68" s="13" t="n">
        <v>5456</v>
      </c>
      <c r="BH68" s="13" t="n">
        <v>5539</v>
      </c>
      <c r="BI68" s="13" t="n">
        <v>5275</v>
      </c>
      <c r="BJ68" s="13" t="n">
        <v>5144</v>
      </c>
      <c r="BK68" s="13" t="n">
        <v>5483</v>
      </c>
      <c r="BL68" s="13" t="n">
        <v>5639</v>
      </c>
    </row>
    <row r="69" ht="15.95" customHeight="1" s="574">
      <c r="A69" s="64" t="inlineStr">
        <is>
          <t>4980</t>
        </is>
      </c>
      <c r="B69" s="673" t="inlineStr">
        <is>
          <t>デクセリアルズ</t>
        </is>
      </c>
      <c r="C69" s="676">
        <f>_xll.RssMarket("4980","現在値")</f>
        <v/>
      </c>
      <c r="D69" s="661">
        <f>C69-E69</f>
        <v/>
      </c>
      <c r="E69" s="13" t="n">
        <v>4931</v>
      </c>
      <c r="F69" s="13" t="n">
        <v>4859</v>
      </c>
      <c r="G69" s="13" t="n">
        <v>4608</v>
      </c>
      <c r="H69" s="13" t="n">
        <v>4568</v>
      </c>
      <c r="I69" s="13" t="n">
        <v>4019</v>
      </c>
      <c r="J69" s="13" t="n">
        <v>3785</v>
      </c>
      <c r="K69" s="13" t="n">
        <v>3686</v>
      </c>
      <c r="L69" s="13" t="n">
        <v>3920</v>
      </c>
      <c r="M69" s="13" t="n">
        <v>4369</v>
      </c>
      <c r="N69" s="13" t="n">
        <v>4313</v>
      </c>
      <c r="O69" s="13" t="n">
        <v>4503</v>
      </c>
      <c r="P69" s="13" t="n">
        <v>4482</v>
      </c>
      <c r="Q69" s="13" t="n">
        <v>4542</v>
      </c>
      <c r="R69" s="13" t="n">
        <v>4038</v>
      </c>
      <c r="S69" s="13" t="n">
        <v>4029</v>
      </c>
      <c r="T69" s="13" t="n">
        <v>4052</v>
      </c>
      <c r="U69" s="13" t="n">
        <v>4365</v>
      </c>
      <c r="V69" s="13" t="n">
        <v>4093</v>
      </c>
      <c r="W69" s="13" t="n">
        <v>4085</v>
      </c>
      <c r="X69" s="13" t="n">
        <v>3751</v>
      </c>
      <c r="Y69" s="13" t="n">
        <v>3872</v>
      </c>
      <c r="Z69" s="13" t="n">
        <v>4187</v>
      </c>
      <c r="AA69" s="13" t="n">
        <v>3849</v>
      </c>
      <c r="AB69" s="13" t="n">
        <v>3149</v>
      </c>
      <c r="AC69" s="13" t="n">
        <v>2648.5</v>
      </c>
      <c r="AD69" s="13" t="n">
        <v>2681</v>
      </c>
      <c r="AE69" s="13" t="n">
        <v>2739.5</v>
      </c>
      <c r="AF69" s="13" t="n">
        <v>2719.5</v>
      </c>
      <c r="AG69" s="13" t="n">
        <v>2642.5</v>
      </c>
      <c r="AH69" s="13" t="n">
        <v>2481</v>
      </c>
      <c r="AI69" s="13" t="n">
        <v>2441.5</v>
      </c>
      <c r="AJ69" s="13" t="n">
        <v>2461.5</v>
      </c>
      <c r="AK69" s="13" t="n">
        <v>2507.5</v>
      </c>
      <c r="AL69" s="13" t="n">
        <v>2440.5</v>
      </c>
      <c r="AM69" s="13" t="n">
        <v>2385</v>
      </c>
      <c r="AN69" s="13" t="n">
        <v>2469</v>
      </c>
      <c r="AO69" s="13" t="n">
        <v>2451.5</v>
      </c>
      <c r="AP69" s="13" t="n">
        <v>2450.5</v>
      </c>
      <c r="AQ69" s="13" t="n">
        <v>2433.5</v>
      </c>
      <c r="AR69" s="13" t="n">
        <v>2424.5</v>
      </c>
      <c r="AS69" s="13" t="n">
        <v>2372.5</v>
      </c>
      <c r="AT69" s="13" t="n">
        <v>2373</v>
      </c>
      <c r="AU69" s="13" t="n">
        <v>2324</v>
      </c>
      <c r="AV69" s="13" t="n">
        <v>2362</v>
      </c>
      <c r="AW69" s="13" t="n">
        <v>2333.5</v>
      </c>
      <c r="AX69" s="13" t="n">
        <v>2363</v>
      </c>
      <c r="AY69" s="13" t="n">
        <v>2233.5</v>
      </c>
      <c r="AZ69" s="13" t="n">
        <v>2192.5</v>
      </c>
      <c r="BA69" s="13" t="n">
        <v>2173.5</v>
      </c>
      <c r="BB69" s="13" t="n">
        <v>2137.5</v>
      </c>
      <c r="BC69" s="13" t="n">
        <v>2220</v>
      </c>
      <c r="BD69" s="13" t="n">
        <v>2114.5</v>
      </c>
      <c r="BE69" s="13" t="n">
        <v>2132.5</v>
      </c>
      <c r="BF69" s="13" t="n">
        <v>2268.5</v>
      </c>
      <c r="BG69" s="13" t="n">
        <v>2243.5</v>
      </c>
      <c r="BH69" s="13" t="n">
        <v>2262</v>
      </c>
      <c r="BI69" s="13" t="n">
        <v>2190.5</v>
      </c>
      <c r="BJ69" s="13" t="n">
        <v>2149</v>
      </c>
      <c r="BK69" s="13" t="n">
        <v>2298</v>
      </c>
      <c r="BL69" s="13" t="n">
        <v>2387</v>
      </c>
    </row>
    <row r="70" ht="15.95" customHeight="1" s="574">
      <c r="A70" s="64" t="inlineStr">
        <is>
          <t>9424</t>
        </is>
      </c>
      <c r="B70" s="673" t="inlineStr">
        <is>
          <t>日本通信</t>
        </is>
      </c>
      <c r="C70" s="676">
        <f>_xll.RssMarket("9424","現在値")</f>
        <v/>
      </c>
      <c r="D70" s="661">
        <f>C70-E70</f>
        <v/>
      </c>
      <c r="E70" s="13" t="n">
        <v>112</v>
      </c>
      <c r="F70" s="13" t="n">
        <v>113</v>
      </c>
      <c r="G70" s="13" t="n">
        <v>115</v>
      </c>
      <c r="H70" s="13" t="n">
        <v>112</v>
      </c>
      <c r="I70" s="13" t="n">
        <v>113</v>
      </c>
      <c r="J70" s="13" t="n">
        <v>114</v>
      </c>
      <c r="K70" s="13" t="n">
        <v>113</v>
      </c>
      <c r="L70" s="13" t="n">
        <v>116</v>
      </c>
      <c r="M70" s="13" t="n">
        <v>115</v>
      </c>
      <c r="N70" s="13" t="n">
        <v>113</v>
      </c>
      <c r="O70" s="13" t="n">
        <v>115</v>
      </c>
      <c r="P70" s="13" t="n">
        <v>113</v>
      </c>
      <c r="Q70" s="13" t="n">
        <v>115</v>
      </c>
      <c r="R70" s="13" t="n">
        <v>120</v>
      </c>
      <c r="S70" s="13" t="n">
        <v>123</v>
      </c>
      <c r="T70" s="13" t="n">
        <v>120</v>
      </c>
      <c r="U70" s="13" t="n">
        <v>122</v>
      </c>
      <c r="V70" s="13" t="n">
        <v>124</v>
      </c>
      <c r="W70" s="13" t="n">
        <v>121</v>
      </c>
      <c r="X70" s="13" t="n">
        <v>124</v>
      </c>
      <c r="Y70" s="13" t="n">
        <v>125</v>
      </c>
      <c r="Z70" s="13" t="n">
        <v>126</v>
      </c>
      <c r="AA70" s="13" t="n">
        <v>128</v>
      </c>
      <c r="AB70" s="13" t="n">
        <v>127</v>
      </c>
      <c r="AC70" s="13" t="n">
        <v>126</v>
      </c>
      <c r="AD70" s="13" t="n">
        <v>125</v>
      </c>
      <c r="AE70" s="13" t="n">
        <v>125</v>
      </c>
      <c r="AF70" s="13" t="n">
        <v>124</v>
      </c>
      <c r="AG70" s="13" t="n">
        <v>126</v>
      </c>
      <c r="AH70" s="13" t="n">
        <v>124</v>
      </c>
      <c r="AI70" s="13" t="n">
        <v>128</v>
      </c>
      <c r="AJ70" s="13" t="n">
        <v>129</v>
      </c>
      <c r="AK70" s="13" t="n">
        <v>130</v>
      </c>
      <c r="AL70" s="13" t="n">
        <v>131</v>
      </c>
      <c r="AM70" s="13" t="n">
        <v>132</v>
      </c>
      <c r="AN70" s="13" t="n">
        <v>130</v>
      </c>
      <c r="AO70" s="13" t="n">
        <v>125</v>
      </c>
      <c r="AP70" s="13" t="n">
        <v>124</v>
      </c>
      <c r="AQ70" s="13" t="n">
        <v>127</v>
      </c>
      <c r="AR70" s="13" t="n">
        <v>129</v>
      </c>
      <c r="AS70" s="13" t="n">
        <v>131</v>
      </c>
      <c r="AT70" s="13" t="n">
        <v>127</v>
      </c>
      <c r="AU70" s="13" t="n">
        <v>128</v>
      </c>
      <c r="AV70" s="13" t="n">
        <v>129</v>
      </c>
      <c r="AW70" s="13" t="n">
        <v>129</v>
      </c>
      <c r="AX70" s="13" t="n">
        <v>131</v>
      </c>
      <c r="AY70" s="13" t="n">
        <v>128</v>
      </c>
      <c r="AZ70" s="13" t="n">
        <v>130</v>
      </c>
      <c r="BA70" s="13" t="n">
        <v>131</v>
      </c>
      <c r="BB70" s="13" t="n">
        <v>131</v>
      </c>
      <c r="BC70" s="13" t="n">
        <v>131</v>
      </c>
      <c r="BD70" s="13" t="n">
        <v>130</v>
      </c>
      <c r="BE70" s="13" t="n">
        <v>126</v>
      </c>
      <c r="BF70" s="13" t="n">
        <v>129</v>
      </c>
      <c r="BG70" s="13" t="n">
        <v>134</v>
      </c>
      <c r="BH70" s="13" t="n">
        <v>131</v>
      </c>
      <c r="BI70" s="13" t="n">
        <v>130</v>
      </c>
      <c r="BJ70" s="13" t="n">
        <v>129</v>
      </c>
      <c r="BK70" s="13" t="n">
        <v>131</v>
      </c>
      <c r="BL70" s="13" t="n">
        <v>135</v>
      </c>
    </row>
    <row r="71" ht="15.95" customHeight="1" s="574">
      <c r="A71" s="64" t="inlineStr">
        <is>
          <t>3854</t>
        </is>
      </c>
      <c r="B71" s="673" t="inlineStr">
        <is>
          <t>アイル</t>
        </is>
      </c>
      <c r="C71" s="676">
        <f>_xll.RssMarket("3854","現在値")</f>
        <v/>
      </c>
      <c r="D71" s="661">
        <f>C71-E71</f>
        <v/>
      </c>
      <c r="E71" s="13" t="n">
        <v>2176</v>
      </c>
      <c r="F71" s="13" t="n">
        <v>2186</v>
      </c>
      <c r="G71" s="13" t="n">
        <v>2190</v>
      </c>
      <c r="H71" s="13" t="n">
        <v>2182</v>
      </c>
      <c r="I71" s="13" t="n">
        <v>2217</v>
      </c>
      <c r="J71" s="13" t="n">
        <v>2352</v>
      </c>
      <c r="K71" s="13" t="n">
        <v>2410</v>
      </c>
      <c r="L71" s="13" t="n">
        <v>2439</v>
      </c>
      <c r="M71" s="13" t="n">
        <v>2493</v>
      </c>
      <c r="N71" s="13" t="n">
        <v>2475</v>
      </c>
      <c r="O71" s="13" t="n">
        <v>2603</v>
      </c>
      <c r="P71" s="13" t="n">
        <v>2622</v>
      </c>
      <c r="Q71" s="13" t="n">
        <v>2594</v>
      </c>
      <c r="R71" s="13" t="n">
        <v>2551</v>
      </c>
      <c r="S71" s="13" t="n">
        <v>2568</v>
      </c>
      <c r="T71" s="13" t="n">
        <v>2515</v>
      </c>
      <c r="U71" s="13" t="n">
        <v>2523</v>
      </c>
      <c r="V71" s="13" t="n">
        <v>2572</v>
      </c>
      <c r="W71" s="13" t="n">
        <v>2470</v>
      </c>
      <c r="X71" s="13" t="n">
        <v>2460</v>
      </c>
      <c r="Y71" s="13" t="n">
        <v>2470</v>
      </c>
      <c r="Z71" s="13" t="n">
        <v>2398</v>
      </c>
      <c r="AA71" s="13" t="n">
        <v>2344</v>
      </c>
      <c r="AB71" s="13" t="n">
        <v>2312</v>
      </c>
      <c r="AC71" s="13" t="n">
        <v>2379</v>
      </c>
      <c r="AD71" s="13" t="n">
        <v>2369</v>
      </c>
      <c r="AE71" s="13" t="n">
        <v>2406</v>
      </c>
      <c r="AF71" s="13" t="n">
        <v>2415</v>
      </c>
      <c r="AG71" s="13" t="n">
        <v>2373</v>
      </c>
      <c r="AH71" s="13" t="n">
        <v>2344</v>
      </c>
      <c r="AI71" s="13" t="n">
        <v>2383</v>
      </c>
      <c r="AJ71" s="13" t="n">
        <v>2396</v>
      </c>
      <c r="AK71" s="13" t="n">
        <v>2389</v>
      </c>
      <c r="AL71" s="13" t="n">
        <v>2395</v>
      </c>
      <c r="AM71" s="13" t="n">
        <v>2428</v>
      </c>
      <c r="AN71" s="13" t="n">
        <v>2442</v>
      </c>
      <c r="AO71" s="13" t="n">
        <v>2465</v>
      </c>
      <c r="AP71" s="13" t="n">
        <v>2439</v>
      </c>
      <c r="AQ71" s="13" t="n">
        <v>2423</v>
      </c>
      <c r="AR71" s="13" t="n">
        <v>2381</v>
      </c>
      <c r="AS71" s="13" t="n">
        <v>2423</v>
      </c>
      <c r="AT71" s="13" t="n">
        <v>2384</v>
      </c>
      <c r="AU71" s="13" t="n">
        <v>2345</v>
      </c>
      <c r="AV71" s="13" t="n">
        <v>2352</v>
      </c>
      <c r="AW71" s="13" t="n">
        <v>2410</v>
      </c>
      <c r="AX71" s="13" t="n">
        <v>2442</v>
      </c>
      <c r="AY71" s="13" t="n">
        <v>2409</v>
      </c>
      <c r="AZ71" s="13" t="n">
        <v>2425</v>
      </c>
      <c r="BA71" s="13" t="n">
        <v>2408</v>
      </c>
      <c r="BB71" s="13" t="n">
        <v>2379</v>
      </c>
      <c r="BC71" s="13" t="n">
        <v>2414</v>
      </c>
      <c r="BD71" s="13" t="n">
        <v>2379</v>
      </c>
      <c r="BE71" s="13" t="n">
        <v>2363</v>
      </c>
      <c r="BF71" s="13" t="n">
        <v>2427</v>
      </c>
      <c r="BG71" s="13" t="n">
        <v>2366</v>
      </c>
      <c r="BH71" s="13" t="n">
        <v>2390</v>
      </c>
      <c r="BI71" s="13" t="n">
        <v>2386</v>
      </c>
      <c r="BJ71" s="13" t="n">
        <v>2325</v>
      </c>
      <c r="BK71" s="13" t="n">
        <v>2363</v>
      </c>
      <c r="BL71" s="13" t="n">
        <v>2410</v>
      </c>
    </row>
    <row r="72" ht="15.95" customHeight="1" s="574">
      <c r="A72" s="64" t="inlineStr">
        <is>
          <t>6027</t>
        </is>
      </c>
      <c r="B72" s="673" t="inlineStr">
        <is>
          <t>弁護士ドットコム</t>
        </is>
      </c>
      <c r="C72" s="676">
        <f>_xll.RssMarket("6027","現在値")</f>
        <v/>
      </c>
      <c r="D72" s="661">
        <f>C72-E72</f>
        <v/>
      </c>
      <c r="E72" s="13" t="n">
        <v>2196</v>
      </c>
      <c r="F72" s="13" t="n">
        <v>2236</v>
      </c>
      <c r="G72" s="13" t="n">
        <v>2134</v>
      </c>
      <c r="H72" s="13" t="n">
        <v>2105</v>
      </c>
      <c r="I72" s="13" t="n">
        <v>2106</v>
      </c>
      <c r="J72" s="13" t="n">
        <v>2109</v>
      </c>
      <c r="K72" s="13" t="n">
        <v>2171</v>
      </c>
      <c r="L72" s="13" t="n">
        <v>2210</v>
      </c>
      <c r="M72" s="13" t="n">
        <v>2289</v>
      </c>
      <c r="N72" s="13" t="n">
        <v>2226</v>
      </c>
      <c r="O72" s="13" t="n">
        <v>2275</v>
      </c>
      <c r="P72" s="13" t="n">
        <v>2309</v>
      </c>
      <c r="Q72" s="13" t="n">
        <v>2384</v>
      </c>
      <c r="R72" s="13" t="n">
        <v>2406</v>
      </c>
      <c r="S72" s="13" t="n">
        <v>2436</v>
      </c>
      <c r="T72" s="13" t="n">
        <v>2462</v>
      </c>
      <c r="U72" s="13" t="n">
        <v>2566</v>
      </c>
      <c r="V72" s="13" t="n">
        <v>2548</v>
      </c>
      <c r="W72" s="13" t="n">
        <v>2566</v>
      </c>
      <c r="X72" s="13" t="n">
        <v>2575</v>
      </c>
      <c r="Y72" s="13" t="n">
        <v>2766</v>
      </c>
      <c r="Z72" s="13" t="n">
        <v>2769</v>
      </c>
      <c r="AA72" s="13" t="n">
        <v>2710</v>
      </c>
      <c r="AB72" s="13" t="n">
        <v>2751</v>
      </c>
      <c r="AC72" s="13" t="n">
        <v>2738</v>
      </c>
      <c r="AD72" s="13" t="n">
        <v>2671</v>
      </c>
      <c r="AE72" s="13" t="n">
        <v>2735</v>
      </c>
      <c r="AF72" s="13" t="n">
        <v>2720</v>
      </c>
      <c r="AG72" s="13" t="n">
        <v>2676</v>
      </c>
      <c r="AH72" s="13" t="n">
        <v>2520</v>
      </c>
      <c r="AI72" s="13" t="n">
        <v>2463</v>
      </c>
      <c r="AJ72" s="13" t="n">
        <v>2487</v>
      </c>
      <c r="AK72" s="13" t="n">
        <v>2446</v>
      </c>
      <c r="AL72" s="13" t="n">
        <v>2525</v>
      </c>
      <c r="AM72" s="13" t="n">
        <v>2579</v>
      </c>
      <c r="AN72" s="13" t="n">
        <v>2593</v>
      </c>
      <c r="AO72" s="13" t="n">
        <v>2584</v>
      </c>
      <c r="AP72" s="13" t="n">
        <v>2580</v>
      </c>
      <c r="AQ72" s="13" t="n">
        <v>2583</v>
      </c>
      <c r="AR72" s="13" t="n">
        <v>2635</v>
      </c>
      <c r="AS72" s="13" t="n">
        <v>2734</v>
      </c>
      <c r="AT72" s="13" t="n">
        <v>2578</v>
      </c>
      <c r="AU72" s="13" t="n">
        <v>2565</v>
      </c>
      <c r="AV72" s="13" t="n">
        <v>2565</v>
      </c>
      <c r="AW72" s="13" t="n">
        <v>2797</v>
      </c>
      <c r="AX72" s="13" t="n">
        <v>2939</v>
      </c>
      <c r="AY72" s="13" t="n">
        <v>2895</v>
      </c>
      <c r="AZ72" s="13" t="n">
        <v>2864</v>
      </c>
      <c r="BA72" s="13" t="n">
        <v>2835</v>
      </c>
      <c r="BB72" s="13" t="n">
        <v>2866</v>
      </c>
      <c r="BC72" s="13" t="n">
        <v>2894</v>
      </c>
      <c r="BD72" s="13" t="n">
        <v>2815</v>
      </c>
      <c r="BE72" s="13" t="n">
        <v>2807</v>
      </c>
      <c r="BF72" s="13" t="n">
        <v>2894</v>
      </c>
      <c r="BG72" s="13" t="n">
        <v>2899</v>
      </c>
      <c r="BH72" s="13" t="n">
        <v>2870</v>
      </c>
      <c r="BI72" s="13" t="n">
        <v>2815</v>
      </c>
      <c r="BJ72" s="13" t="n">
        <v>2763</v>
      </c>
      <c r="BK72" s="13" t="n">
        <v>2850</v>
      </c>
      <c r="BL72" s="13" t="n">
        <v>2850</v>
      </c>
    </row>
    <row r="73" ht="15.95" customHeight="1" s="574">
      <c r="A73" s="64" t="inlineStr">
        <is>
          <t>7806</t>
        </is>
      </c>
      <c r="B73" s="673" t="inlineStr">
        <is>
          <t>ＭＴＧ</t>
        </is>
      </c>
      <c r="C73" s="676">
        <f>_xll.RssMarket("7806","現在値")</f>
        <v/>
      </c>
      <c r="D73" s="661">
        <f>C73-E73</f>
        <v/>
      </c>
      <c r="E73" s="13" t="n">
        <v>7680</v>
      </c>
      <c r="F73" s="13" t="n">
        <v>7650</v>
      </c>
      <c r="G73" s="13" t="n">
        <v>7310</v>
      </c>
      <c r="H73" s="13" t="n">
        <v>7260</v>
      </c>
      <c r="I73" s="13" t="n">
        <v>7060</v>
      </c>
      <c r="J73" s="13" t="n">
        <v>7140</v>
      </c>
      <c r="K73" s="13" t="n">
        <v>7020</v>
      </c>
      <c r="L73" s="13" t="n">
        <v>6730</v>
      </c>
      <c r="M73" s="13" t="n">
        <v>6800</v>
      </c>
      <c r="N73" s="13" t="n">
        <v>6700</v>
      </c>
      <c r="O73" s="13" t="n">
        <v>7200</v>
      </c>
      <c r="P73" s="13" t="n">
        <v>6930</v>
      </c>
      <c r="Q73" s="13" t="n">
        <v>7440</v>
      </c>
      <c r="R73" s="13" t="n">
        <v>7500</v>
      </c>
      <c r="S73" s="13" t="n">
        <v>7440</v>
      </c>
      <c r="T73" s="13" t="n">
        <v>6990</v>
      </c>
      <c r="U73" s="13" t="n">
        <v>6390</v>
      </c>
      <c r="V73" s="13" t="n">
        <v>6220</v>
      </c>
      <c r="W73" s="13" t="n">
        <v>6410</v>
      </c>
      <c r="X73" s="13" t="n">
        <v>6400</v>
      </c>
      <c r="Y73" s="13" t="n">
        <v>6620</v>
      </c>
      <c r="Z73" s="13" t="n">
        <v>6290</v>
      </c>
      <c r="AA73" s="13" t="n">
        <v>6710</v>
      </c>
      <c r="AB73" s="13" t="n">
        <v>7180</v>
      </c>
      <c r="AC73" s="13" t="n">
        <v>6720</v>
      </c>
      <c r="AD73" s="13" t="n">
        <v>6610</v>
      </c>
      <c r="AE73" s="13" t="n">
        <v>6520</v>
      </c>
      <c r="AF73" s="13" t="n">
        <v>6290</v>
      </c>
      <c r="AG73" s="13" t="n">
        <v>6350</v>
      </c>
      <c r="AH73" s="13" t="n">
        <v>6100</v>
      </c>
      <c r="AI73" s="13" t="n">
        <v>5770</v>
      </c>
      <c r="AJ73" s="13" t="n">
        <v>5950</v>
      </c>
      <c r="AK73" s="13" t="n">
        <v>5960</v>
      </c>
      <c r="AL73" s="13" t="n">
        <v>6270</v>
      </c>
      <c r="AM73" s="13" t="n">
        <v>6390</v>
      </c>
      <c r="AN73" s="13" t="n">
        <v>6600</v>
      </c>
      <c r="AO73" s="13" t="n">
        <v>6550</v>
      </c>
      <c r="AP73" s="13" t="n">
        <v>6600</v>
      </c>
      <c r="AQ73" s="13" t="n">
        <v>6600</v>
      </c>
      <c r="AR73" s="13" t="n">
        <v>6490</v>
      </c>
      <c r="AS73" s="13" t="n">
        <v>6390</v>
      </c>
      <c r="AT73" s="13" t="n">
        <v>6300</v>
      </c>
      <c r="AU73" s="13" t="n">
        <v>6090</v>
      </c>
      <c r="AV73" s="13" t="n">
        <v>6070</v>
      </c>
      <c r="AW73" s="13" t="n">
        <v>6090</v>
      </c>
      <c r="AX73" s="13" t="n">
        <v>6290</v>
      </c>
      <c r="AY73" s="13" t="n">
        <v>6100</v>
      </c>
      <c r="AZ73" s="13" t="n">
        <v>6120</v>
      </c>
      <c r="BA73" s="13" t="n">
        <v>6380</v>
      </c>
      <c r="BB73" s="13" t="n">
        <v>6430</v>
      </c>
      <c r="BC73" s="13" t="n">
        <v>6380</v>
      </c>
      <c r="BD73" s="13" t="n">
        <v>6090</v>
      </c>
      <c r="BE73" s="13" t="n">
        <v>6260</v>
      </c>
      <c r="BF73" s="13" t="n">
        <v>6470</v>
      </c>
      <c r="BG73" s="13" t="n">
        <v>6000</v>
      </c>
      <c r="BH73" s="13" t="n">
        <v>6090</v>
      </c>
      <c r="BI73" s="13" t="n">
        <v>5840</v>
      </c>
      <c r="BJ73" s="13" t="n">
        <v>5820</v>
      </c>
      <c r="BK73" s="13" t="n">
        <v>6160</v>
      </c>
      <c r="BL73" s="13" t="n">
        <v>6410</v>
      </c>
    </row>
    <row r="74" ht="15.95" customHeight="1" s="574">
      <c r="A74" s="64" t="inlineStr">
        <is>
          <t>9202</t>
        </is>
      </c>
      <c r="B74" s="673" t="inlineStr">
        <is>
          <t>ＡＮＡホールディングス</t>
        </is>
      </c>
      <c r="C74" s="676">
        <f>_xll.RssMarket("9202","現在値")</f>
        <v/>
      </c>
      <c r="D74" s="661">
        <f>C74-E74</f>
        <v/>
      </c>
      <c r="E74" s="13" t="n">
        <v>2934.5</v>
      </c>
      <c r="F74" s="13" t="n">
        <v>2961</v>
      </c>
      <c r="G74" s="13" t="n">
        <v>3033</v>
      </c>
      <c r="H74" s="13" t="n">
        <v>3043</v>
      </c>
      <c r="I74" s="13" t="n">
        <v>2839</v>
      </c>
      <c r="J74" s="13" t="n">
        <v>2804.5</v>
      </c>
      <c r="K74" s="13" t="n">
        <v>2823</v>
      </c>
      <c r="L74" s="13" t="n">
        <v>2799</v>
      </c>
      <c r="M74" s="13" t="n">
        <v>2840</v>
      </c>
      <c r="N74" s="13" t="n">
        <v>2815.5</v>
      </c>
      <c r="O74" s="13" t="n">
        <v>2830</v>
      </c>
      <c r="P74" s="13" t="n">
        <v>2846</v>
      </c>
      <c r="Q74" s="13" t="n">
        <v>2915.5</v>
      </c>
      <c r="R74" s="13" t="n">
        <v>2988.5</v>
      </c>
      <c r="S74" s="13" t="n">
        <v>2886</v>
      </c>
      <c r="T74" s="13" t="n">
        <v>2883</v>
      </c>
      <c r="U74" s="13" t="n">
        <v>2874.5</v>
      </c>
      <c r="V74" s="13" t="n">
        <v>2784</v>
      </c>
      <c r="W74" s="13" t="n">
        <v>2785</v>
      </c>
      <c r="X74" s="13" t="n">
        <v>2717</v>
      </c>
      <c r="Y74" s="13" t="n">
        <v>2746</v>
      </c>
      <c r="Z74" s="13" t="n">
        <v>2717</v>
      </c>
      <c r="AA74" s="13" t="n">
        <v>2745</v>
      </c>
      <c r="AB74" s="13" t="n">
        <v>2769</v>
      </c>
      <c r="AC74" s="13" t="n">
        <v>2765.5</v>
      </c>
      <c r="AD74" s="13" t="n">
        <v>2789.5</v>
      </c>
      <c r="AE74" s="13" t="n">
        <v>2828.5</v>
      </c>
      <c r="AF74" s="13" t="n">
        <v>2838</v>
      </c>
      <c r="AG74" s="13" t="n">
        <v>2848.5</v>
      </c>
      <c r="AH74" s="13" t="n">
        <v>2709.5</v>
      </c>
      <c r="AI74" s="13" t="n">
        <v>2601.5</v>
      </c>
      <c r="AJ74" s="13" t="n">
        <v>2629</v>
      </c>
      <c r="AK74" s="13" t="n">
        <v>2667</v>
      </c>
      <c r="AL74" s="13" t="n">
        <v>2697</v>
      </c>
      <c r="AM74" s="13" t="n">
        <v>2714</v>
      </c>
      <c r="AN74" s="13" t="n">
        <v>2822</v>
      </c>
      <c r="AO74" s="13" t="n">
        <v>2852.5</v>
      </c>
      <c r="AP74" s="13" t="n">
        <v>2882</v>
      </c>
      <c r="AQ74" s="13" t="n">
        <v>2821</v>
      </c>
      <c r="AR74" s="13" t="n">
        <v>2858.5</v>
      </c>
      <c r="AS74" s="13" t="n">
        <v>2874.5</v>
      </c>
      <c r="AT74" s="13" t="n">
        <v>2856.5</v>
      </c>
      <c r="AU74" s="13" t="n">
        <v>2854</v>
      </c>
      <c r="AV74" s="13" t="n">
        <v>2896.5</v>
      </c>
      <c r="AW74" s="13" t="n">
        <v>2890</v>
      </c>
      <c r="AX74" s="13" t="n">
        <v>2984</v>
      </c>
      <c r="AY74" s="13" t="n">
        <v>2900.5</v>
      </c>
      <c r="AZ74" s="13" t="n">
        <v>2927.5</v>
      </c>
      <c r="BA74" s="13" t="n">
        <v>2943</v>
      </c>
      <c r="BB74" s="13" t="n">
        <v>2918.5</v>
      </c>
      <c r="BC74" s="13" t="n">
        <v>2910.5</v>
      </c>
      <c r="BD74" s="13" t="n">
        <v>2804</v>
      </c>
      <c r="BE74" s="13" t="n">
        <v>2864.5</v>
      </c>
      <c r="BF74" s="13" t="n">
        <v>2983</v>
      </c>
      <c r="BG74" s="13" t="n">
        <v>2988</v>
      </c>
      <c r="BH74" s="13" t="n">
        <v>2980</v>
      </c>
      <c r="BI74" s="13" t="n">
        <v>2934.5</v>
      </c>
      <c r="BJ74" s="13" t="n">
        <v>2881.5</v>
      </c>
      <c r="BK74" s="13" t="n">
        <v>2891.5</v>
      </c>
      <c r="BL74" s="13" t="n">
        <v>3030</v>
      </c>
    </row>
    <row r="75" ht="15.95" customHeight="1" s="574">
      <c r="A75" s="64" t="inlineStr">
        <is>
          <t>7846</t>
        </is>
      </c>
      <c r="B75" s="673" t="inlineStr">
        <is>
          <t>パイロットコーポレーション</t>
        </is>
      </c>
      <c r="C75" s="676">
        <f>_xll.RssMarket("7846","現在値")</f>
        <v/>
      </c>
      <c r="D75" s="661">
        <f>C75-E75</f>
        <v/>
      </c>
      <c r="E75" s="13" t="n">
        <v>4970</v>
      </c>
      <c r="F75" s="13" t="n">
        <v>4936</v>
      </c>
      <c r="G75" s="13" t="n">
        <v>5003</v>
      </c>
      <c r="H75" s="13" t="n">
        <v>4950</v>
      </c>
      <c r="I75" s="13" t="n">
        <v>4941</v>
      </c>
      <c r="J75" s="13" t="n">
        <v>4914</v>
      </c>
      <c r="K75" s="13" t="n">
        <v>4881</v>
      </c>
      <c r="L75" s="13" t="n">
        <v>4875</v>
      </c>
      <c r="M75" s="13" t="n">
        <v>4805</v>
      </c>
      <c r="N75" s="13" t="n">
        <v>4900</v>
      </c>
      <c r="O75" s="13" t="n">
        <v>4854</v>
      </c>
      <c r="P75" s="13" t="n">
        <v>4905</v>
      </c>
      <c r="Q75" s="13" t="n">
        <v>4976</v>
      </c>
      <c r="R75" s="13" t="n">
        <v>4876</v>
      </c>
      <c r="S75" s="13" t="n">
        <v>4938</v>
      </c>
      <c r="T75" s="13" t="n">
        <v>4922</v>
      </c>
      <c r="U75" s="13" t="n">
        <v>4948</v>
      </c>
      <c r="V75" s="13" t="n">
        <v>4906</v>
      </c>
      <c r="W75" s="13" t="n">
        <v>4869</v>
      </c>
      <c r="X75" s="13" t="n">
        <v>4755</v>
      </c>
      <c r="Y75" s="13" t="n">
        <v>4672</v>
      </c>
      <c r="Z75" s="13" t="n">
        <v>4664</v>
      </c>
      <c r="AA75" s="13" t="n">
        <v>4583</v>
      </c>
      <c r="AB75" s="13" t="n">
        <v>4553</v>
      </c>
      <c r="AC75" s="13" t="n">
        <v>4528</v>
      </c>
      <c r="AD75" s="13" t="n">
        <v>4808</v>
      </c>
      <c r="AE75" s="13" t="n">
        <v>4750</v>
      </c>
      <c r="AF75" s="13" t="n">
        <v>4861</v>
      </c>
      <c r="AG75" s="13" t="n">
        <v>4800</v>
      </c>
      <c r="AH75" s="13" t="n">
        <v>4790</v>
      </c>
      <c r="AI75" s="13" t="n">
        <v>4843</v>
      </c>
      <c r="AJ75" s="13" t="n">
        <v>4753</v>
      </c>
      <c r="AK75" s="13" t="n">
        <v>4797</v>
      </c>
      <c r="AL75" s="13" t="n">
        <v>4793</v>
      </c>
      <c r="AM75" s="13" t="n">
        <v>4817</v>
      </c>
      <c r="AN75" s="13" t="n">
        <v>4830</v>
      </c>
      <c r="AO75" s="13" t="n">
        <v>4811</v>
      </c>
      <c r="AP75" s="13" t="n">
        <v>4818</v>
      </c>
      <c r="AQ75" s="13" t="n">
        <v>4846</v>
      </c>
      <c r="AR75" s="13" t="n">
        <v>4865</v>
      </c>
      <c r="AS75" s="13" t="n">
        <v>4859</v>
      </c>
      <c r="AT75" s="13" t="n">
        <v>4861</v>
      </c>
      <c r="AU75" s="13" t="n">
        <v>4944</v>
      </c>
      <c r="AV75" s="13" t="n">
        <v>4968</v>
      </c>
      <c r="AW75" s="13" t="n">
        <v>4958</v>
      </c>
      <c r="AX75" s="13" t="n">
        <v>4923</v>
      </c>
      <c r="AY75" s="13" t="n">
        <v>4902</v>
      </c>
      <c r="AZ75" s="13" t="n">
        <v>4867</v>
      </c>
      <c r="BA75" s="13" t="n">
        <v>4877</v>
      </c>
      <c r="BB75" s="13" t="n">
        <v>4870</v>
      </c>
      <c r="BC75" s="13" t="n">
        <v>4686</v>
      </c>
      <c r="BD75" s="13" t="n">
        <v>4639</v>
      </c>
      <c r="BE75" s="13" t="n">
        <v>4772</v>
      </c>
      <c r="BF75" s="13" t="n">
        <v>4815</v>
      </c>
      <c r="BG75" s="13" t="n">
        <v>4800</v>
      </c>
      <c r="BH75" s="13" t="n">
        <v>4717</v>
      </c>
      <c r="BI75" s="13" t="n">
        <v>4600</v>
      </c>
      <c r="BJ75" s="13" t="n">
        <v>4617</v>
      </c>
      <c r="BK75" s="13" t="n">
        <v>4618</v>
      </c>
      <c r="BL75" s="13" t="n">
        <v>4548</v>
      </c>
    </row>
    <row r="76" ht="15.95" customHeight="1" s="574">
      <c r="A76" s="64" t="inlineStr">
        <is>
          <t>2802</t>
        </is>
      </c>
      <c r="B76" s="673" t="inlineStr">
        <is>
          <t>味の素</t>
        </is>
      </c>
      <c r="C76" s="676">
        <f>_xll.RssMarket("2802","現在値")</f>
        <v/>
      </c>
      <c r="D76" s="661">
        <f>C76-E76</f>
        <v/>
      </c>
      <c r="E76" s="13" t="n">
        <v>6160</v>
      </c>
      <c r="F76" s="13" t="n">
        <v>5790</v>
      </c>
      <c r="G76" s="13" t="n">
        <v>5340</v>
      </c>
      <c r="H76" s="13" t="n">
        <v>5146</v>
      </c>
      <c r="I76" s="13" t="n">
        <v>5158</v>
      </c>
      <c r="J76" s="13" t="n">
        <v>5084</v>
      </c>
      <c r="K76" s="13" t="n">
        <v>4729</v>
      </c>
      <c r="L76" s="13" t="n">
        <v>4806</v>
      </c>
      <c r="M76" s="13" t="n">
        <v>4942</v>
      </c>
      <c r="N76" s="13" t="n">
        <v>5118</v>
      </c>
      <c r="O76" s="13" t="n">
        <v>5227</v>
      </c>
      <c r="P76" s="13" t="n">
        <v>5262</v>
      </c>
      <c r="Q76" s="13" t="n">
        <v>5380</v>
      </c>
      <c r="R76" s="13" t="n">
        <v>5152</v>
      </c>
      <c r="S76" s="13" t="n">
        <v>5142</v>
      </c>
      <c r="T76" s="13" t="n">
        <v>5289</v>
      </c>
      <c r="U76" s="13" t="n">
        <v>5475</v>
      </c>
      <c r="V76" s="13" t="n">
        <v>5300</v>
      </c>
      <c r="W76" s="13" t="n">
        <v>5176</v>
      </c>
      <c r="X76" s="13" t="n">
        <v>5068</v>
      </c>
      <c r="Y76" s="13" t="n">
        <v>5178</v>
      </c>
      <c r="Z76" s="13" t="n">
        <v>5193</v>
      </c>
      <c r="AA76" s="13" t="n">
        <v>5269</v>
      </c>
      <c r="AB76" s="13" t="n">
        <v>5542</v>
      </c>
      <c r="AC76" s="13" t="n">
        <v>5483</v>
      </c>
      <c r="AD76" s="13" t="n">
        <v>5439</v>
      </c>
      <c r="AE76" s="13" t="n">
        <v>5499</v>
      </c>
      <c r="AF76" s="13" t="n">
        <v>5030</v>
      </c>
      <c r="AG76" s="13" t="n">
        <v>4958</v>
      </c>
      <c r="AH76" s="13" t="n">
        <v>4882</v>
      </c>
      <c r="AI76" s="13" t="n">
        <v>5090</v>
      </c>
      <c r="AJ76" s="13" t="n">
        <v>4767</v>
      </c>
      <c r="AK76" s="13" t="n">
        <v>4786</v>
      </c>
      <c r="AL76" s="13" t="n">
        <v>4758</v>
      </c>
      <c r="AM76" s="13" t="n">
        <v>4590</v>
      </c>
      <c r="AN76" s="13" t="n">
        <v>4658</v>
      </c>
      <c r="AO76" s="13" t="n">
        <v>4721</v>
      </c>
      <c r="AP76" s="13" t="n">
        <v>4607</v>
      </c>
      <c r="AQ76" s="13" t="n">
        <v>4574</v>
      </c>
      <c r="AR76" s="13" t="n">
        <v>4690</v>
      </c>
      <c r="AS76" s="13" t="n">
        <v>4667</v>
      </c>
      <c r="AT76" s="13" t="n">
        <v>4617</v>
      </c>
      <c r="AU76" s="13" t="n">
        <v>4607</v>
      </c>
      <c r="AV76" s="13" t="n">
        <v>4652</v>
      </c>
      <c r="AW76" s="13" t="n">
        <v>4713</v>
      </c>
      <c r="AX76" s="13" t="n">
        <v>4776</v>
      </c>
      <c r="AY76" s="13" t="n">
        <v>4598</v>
      </c>
      <c r="AZ76" s="13" t="n">
        <v>4657</v>
      </c>
      <c r="BA76" s="13" t="n">
        <v>4612</v>
      </c>
      <c r="BB76" s="13" t="n">
        <v>4659</v>
      </c>
      <c r="BC76" s="13" t="n">
        <v>4622</v>
      </c>
      <c r="BD76" s="13" t="n">
        <v>4397</v>
      </c>
      <c r="BE76" s="13" t="n">
        <v>4447</v>
      </c>
      <c r="BF76" s="13" t="n">
        <v>4530</v>
      </c>
      <c r="BG76" s="13" t="n">
        <v>4514</v>
      </c>
      <c r="BH76" s="13" t="n">
        <v>4481</v>
      </c>
      <c r="BI76" s="13" t="n">
        <v>4293</v>
      </c>
      <c r="BJ76" s="13" t="n">
        <v>4176</v>
      </c>
      <c r="BK76" s="13" t="n">
        <v>4405</v>
      </c>
      <c r="BL76" s="13" t="n">
        <v>4577</v>
      </c>
    </row>
    <row r="77" ht="15.95" customHeight="1" s="574">
      <c r="A77" s="64" t="inlineStr">
        <is>
          <t>7203</t>
        </is>
      </c>
      <c r="B77" s="673" t="inlineStr">
        <is>
          <t>トヨタ自動車</t>
        </is>
      </c>
      <c r="C77" s="676">
        <f>_xll.RssMarket("7203","現在値")</f>
        <v/>
      </c>
      <c r="D77" s="661">
        <f>C77-E77</f>
        <v/>
      </c>
      <c r="E77" s="13" t="n">
        <v>2741.5</v>
      </c>
      <c r="F77" s="13" t="n">
        <v>2776.5</v>
      </c>
      <c r="G77" s="13" t="n">
        <v>2810</v>
      </c>
      <c r="H77" s="13" t="n">
        <v>2847.5</v>
      </c>
      <c r="I77" s="13" t="n">
        <v>2775.5</v>
      </c>
      <c r="J77" s="13" t="n">
        <v>2747.5</v>
      </c>
      <c r="K77" s="13" t="n">
        <v>2814</v>
      </c>
      <c r="L77" s="13" t="n">
        <v>2822.5</v>
      </c>
      <c r="M77" s="13" t="n">
        <v>2850</v>
      </c>
      <c r="N77" s="13" t="n">
        <v>2838.5</v>
      </c>
      <c r="O77" s="13" t="n">
        <v>2881</v>
      </c>
      <c r="P77" s="13" t="n">
        <v>2844</v>
      </c>
      <c r="Q77" s="13" t="n">
        <v>2905.5</v>
      </c>
      <c r="R77" s="13" t="n">
        <v>3042</v>
      </c>
      <c r="S77" s="13" t="n">
        <v>3030</v>
      </c>
      <c r="T77" s="13" t="n">
        <v>3008</v>
      </c>
      <c r="U77" s="13" t="n">
        <v>3026</v>
      </c>
      <c r="V77" s="13" t="n">
        <v>2987</v>
      </c>
      <c r="W77" s="13" t="n">
        <v>2978</v>
      </c>
      <c r="X77" s="13" t="n">
        <v>2942</v>
      </c>
      <c r="Y77" s="13" t="n">
        <v>2957</v>
      </c>
      <c r="Z77" s="13" t="n">
        <v>2954.5</v>
      </c>
      <c r="AA77" s="13" t="n">
        <v>3085</v>
      </c>
      <c r="AB77" s="13" t="n">
        <v>3008</v>
      </c>
      <c r="AC77" s="13" t="n">
        <v>2939.5</v>
      </c>
      <c r="AD77" s="13" t="n">
        <v>2843</v>
      </c>
      <c r="AE77" s="13" t="n">
        <v>2870</v>
      </c>
      <c r="AF77" s="13" t="n">
        <v>2913</v>
      </c>
      <c r="AG77" s="13" t="n">
        <v>2978</v>
      </c>
      <c r="AH77" s="13" t="n">
        <v>3000</v>
      </c>
      <c r="AI77" s="13" t="n">
        <v>3023</v>
      </c>
      <c r="AJ77" s="13" t="n">
        <v>3112</v>
      </c>
      <c r="AK77" s="13" t="n">
        <v>3067</v>
      </c>
      <c r="AL77" s="13" t="n">
        <v>3123</v>
      </c>
      <c r="AM77" s="13" t="n">
        <v>3191</v>
      </c>
      <c r="AN77" s="13" t="n">
        <v>3280</v>
      </c>
      <c r="AO77" s="13" t="n">
        <v>3390</v>
      </c>
      <c r="AP77" s="13" t="n">
        <v>3343</v>
      </c>
      <c r="AQ77" s="13" t="n">
        <v>3392</v>
      </c>
      <c r="AR77" s="13" t="n">
        <v>3381</v>
      </c>
      <c r="AS77" s="13" t="n">
        <v>3326</v>
      </c>
      <c r="AT77" s="13" t="n">
        <v>3319</v>
      </c>
      <c r="AU77" s="13" t="n">
        <v>3319</v>
      </c>
      <c r="AV77" s="13" t="n">
        <v>3331</v>
      </c>
      <c r="AW77" s="13" t="n">
        <v>3384</v>
      </c>
      <c r="AX77" s="13" t="n">
        <v>3252</v>
      </c>
      <c r="AY77" s="13" t="n">
        <v>3247</v>
      </c>
      <c r="AZ77" s="13" t="n">
        <v>3255</v>
      </c>
      <c r="BA77" s="13" t="n">
        <v>3262</v>
      </c>
      <c r="BB77" s="13" t="n">
        <v>3311</v>
      </c>
      <c r="BC77" s="13" t="n">
        <v>3162</v>
      </c>
      <c r="BD77" s="13" t="n">
        <v>3224</v>
      </c>
      <c r="BE77" s="13" t="n">
        <v>3408</v>
      </c>
      <c r="BF77" s="13" t="n">
        <v>3388</v>
      </c>
      <c r="BG77" s="13" t="n">
        <v>3338</v>
      </c>
      <c r="BH77" s="13" t="n">
        <v>3271</v>
      </c>
      <c r="BI77" s="13" t="n">
        <v>3251</v>
      </c>
      <c r="BJ77" s="13" t="n">
        <v>3325</v>
      </c>
      <c r="BK77" s="13" t="n">
        <v>3404</v>
      </c>
      <c r="BL77" s="13" t="n">
        <v>3379</v>
      </c>
    </row>
    <row r="78" ht="15.95" customHeight="1" s="574">
      <c r="A78" s="64" t="inlineStr">
        <is>
          <t>6954</t>
        </is>
      </c>
      <c r="B78" s="673" t="inlineStr">
        <is>
          <t>ファナック</t>
        </is>
      </c>
      <c r="C78" s="676">
        <f>_xll.RssMarket("6954","現在値")</f>
        <v/>
      </c>
      <c r="D78" s="661">
        <f>C78-E78</f>
        <v/>
      </c>
      <c r="E78" s="13" t="n">
        <v>7960</v>
      </c>
      <c r="F78" s="13" t="n">
        <v>7473</v>
      </c>
      <c r="G78" s="13" t="n">
        <v>7515</v>
      </c>
      <c r="H78" s="13" t="n">
        <v>7400</v>
      </c>
      <c r="I78" s="13" t="n">
        <v>6950</v>
      </c>
      <c r="J78" s="13" t="n">
        <v>6778</v>
      </c>
      <c r="K78" s="13" t="n">
        <v>6763</v>
      </c>
      <c r="L78" s="13" t="n">
        <v>7128</v>
      </c>
      <c r="M78" s="13" t="n">
        <v>7648</v>
      </c>
      <c r="N78" s="13" t="n">
        <v>7800</v>
      </c>
      <c r="O78" s="13" t="n">
        <v>7975</v>
      </c>
      <c r="P78" s="13" t="n">
        <v>7593</v>
      </c>
      <c r="Q78" s="13" t="n">
        <v>8081</v>
      </c>
      <c r="R78" s="13" t="n">
        <v>7892</v>
      </c>
      <c r="S78" s="13" t="n">
        <v>7984</v>
      </c>
      <c r="T78" s="13" t="n">
        <v>8154</v>
      </c>
      <c r="U78" s="13" t="n">
        <v>8428</v>
      </c>
      <c r="V78" s="13" t="n">
        <v>8174</v>
      </c>
      <c r="W78" s="13" t="n">
        <v>7667</v>
      </c>
      <c r="X78" s="13" t="n">
        <v>7322</v>
      </c>
      <c r="Y78" s="13" t="n">
        <v>7662</v>
      </c>
      <c r="Z78" s="13" t="n">
        <v>7966</v>
      </c>
      <c r="AA78" s="13" t="n">
        <v>8228</v>
      </c>
      <c r="AB78" s="13" t="n">
        <v>8036</v>
      </c>
      <c r="AC78" s="13" t="n">
        <v>7680</v>
      </c>
      <c r="AD78" s="13" t="n">
        <v>7750</v>
      </c>
      <c r="AE78" s="13" t="n">
        <v>7564</v>
      </c>
      <c r="AF78" s="13" t="n">
        <v>7515</v>
      </c>
      <c r="AG78" s="13" t="n">
        <v>7095</v>
      </c>
      <c r="AH78" s="13" t="n">
        <v>6820</v>
      </c>
      <c r="AI78" s="13" t="n">
        <v>6875</v>
      </c>
      <c r="AJ78" s="13" t="n">
        <v>6961</v>
      </c>
      <c r="AK78" s="13" t="n">
        <v>7256</v>
      </c>
      <c r="AL78" s="13" t="n">
        <v>6256</v>
      </c>
      <c r="AM78" s="13" t="n">
        <v>6340</v>
      </c>
      <c r="AN78" s="13" t="n">
        <v>6511</v>
      </c>
      <c r="AO78" s="13" t="n">
        <v>6478</v>
      </c>
      <c r="AP78" s="13" t="n">
        <v>6503</v>
      </c>
      <c r="AQ78" s="13" t="n">
        <v>6228</v>
      </c>
      <c r="AR78" s="13" t="n">
        <v>6333</v>
      </c>
      <c r="AS78" s="13" t="n">
        <v>6168</v>
      </c>
      <c r="AT78" s="13" t="n">
        <v>6231</v>
      </c>
      <c r="AU78" s="13" t="n">
        <v>6182</v>
      </c>
      <c r="AV78" s="13" t="n">
        <v>6249</v>
      </c>
      <c r="AW78" s="13" t="n">
        <v>5895</v>
      </c>
      <c r="AX78" s="13" t="n">
        <v>5924</v>
      </c>
      <c r="AY78" s="13" t="n">
        <v>5504</v>
      </c>
      <c r="AZ78" s="13" t="n">
        <v>5492</v>
      </c>
      <c r="BA78" s="13" t="n">
        <v>5517</v>
      </c>
      <c r="BB78" s="13" t="n">
        <v>5476</v>
      </c>
      <c r="BC78" s="13" t="n">
        <v>5697</v>
      </c>
      <c r="BD78" s="13" t="n">
        <v>5302</v>
      </c>
      <c r="BE78" s="13" t="n">
        <v>5486</v>
      </c>
      <c r="BF78" s="13" t="n">
        <v>5728</v>
      </c>
      <c r="BG78" s="13" t="n">
        <v>5840</v>
      </c>
      <c r="BH78" s="13" t="n">
        <v>5914</v>
      </c>
      <c r="BI78" s="13" t="n">
        <v>5789</v>
      </c>
      <c r="BJ78" s="13" t="n">
        <v>5651</v>
      </c>
      <c r="BK78" s="13" t="n">
        <v>5936</v>
      </c>
      <c r="BL78" s="13" t="n">
        <v>6139</v>
      </c>
    </row>
    <row r="79" ht="15.95" customHeight="1" s="574">
      <c r="A79" s="64" t="inlineStr">
        <is>
          <t>6479</t>
        </is>
      </c>
      <c r="B79" s="673" t="inlineStr">
        <is>
          <t>ミネベアミツミ</t>
        </is>
      </c>
      <c r="C79" s="676">
        <f>_xll.RssMarket("6479","現在値")</f>
        <v/>
      </c>
      <c r="D79" s="661">
        <f>C79-E79</f>
        <v/>
      </c>
      <c r="E79" s="13" t="n">
        <v>5054</v>
      </c>
      <c r="F79" s="13" t="n">
        <v>4628</v>
      </c>
      <c r="G79" s="13" t="n">
        <v>4718</v>
      </c>
      <c r="H79" s="13" t="n">
        <v>4618</v>
      </c>
      <c r="I79" s="13" t="n">
        <v>4233</v>
      </c>
      <c r="J79" s="13" t="n">
        <v>4319</v>
      </c>
      <c r="K79" s="13" t="n">
        <v>4396</v>
      </c>
      <c r="L79" s="13" t="n">
        <v>4546</v>
      </c>
      <c r="M79" s="13" t="n">
        <v>4994</v>
      </c>
      <c r="N79" s="13" t="n">
        <v>4968</v>
      </c>
      <c r="O79" s="13" t="n">
        <v>4880</v>
      </c>
      <c r="P79" s="13" t="n">
        <v>4675</v>
      </c>
      <c r="Q79" s="13" t="n">
        <v>4721</v>
      </c>
      <c r="R79" s="13" t="n">
        <v>4562</v>
      </c>
      <c r="S79" s="13" t="n">
        <v>4276</v>
      </c>
      <c r="T79" s="13" t="n">
        <v>4232</v>
      </c>
      <c r="U79" s="13" t="n">
        <v>4221</v>
      </c>
      <c r="V79" s="13" t="n">
        <v>3992</v>
      </c>
      <c r="W79" s="13" t="n">
        <v>3877</v>
      </c>
      <c r="X79" s="13" t="n">
        <v>3730</v>
      </c>
      <c r="Y79" s="13" t="n">
        <v>3878</v>
      </c>
      <c r="Z79" s="13" t="n">
        <v>3815</v>
      </c>
      <c r="AA79" s="13" t="n">
        <v>3944</v>
      </c>
      <c r="AB79" s="13" t="n">
        <v>3978</v>
      </c>
      <c r="AC79" s="13" t="n">
        <v>3914</v>
      </c>
      <c r="AD79" s="13" t="n">
        <v>3566</v>
      </c>
      <c r="AE79" s="13" t="n">
        <v>3458</v>
      </c>
      <c r="AF79" s="13" t="n">
        <v>3380</v>
      </c>
      <c r="AG79" s="13" t="n">
        <v>3290</v>
      </c>
      <c r="AH79" s="13" t="n">
        <v>3108</v>
      </c>
      <c r="AI79" s="13" t="n">
        <v>3124</v>
      </c>
      <c r="AJ79" s="13" t="n">
        <v>3059</v>
      </c>
      <c r="AK79" s="13" t="n">
        <v>3073</v>
      </c>
      <c r="AL79" s="13" t="n">
        <v>3086</v>
      </c>
      <c r="AM79" s="13" t="n">
        <v>3027</v>
      </c>
      <c r="AN79" s="13" t="n">
        <v>3096</v>
      </c>
      <c r="AO79" s="13" t="n">
        <v>3128</v>
      </c>
      <c r="AP79" s="13" t="n">
        <v>3092</v>
      </c>
      <c r="AQ79" s="13" t="n">
        <v>2949.5</v>
      </c>
      <c r="AR79" s="13" t="n">
        <v>3011</v>
      </c>
      <c r="AS79" s="13" t="n">
        <v>2863.5</v>
      </c>
      <c r="AT79" s="13" t="n">
        <v>2872.5</v>
      </c>
      <c r="AU79" s="13" t="n">
        <v>2863</v>
      </c>
      <c r="AV79" s="13" t="n">
        <v>2845.5</v>
      </c>
      <c r="AW79" s="13" t="n">
        <v>2731.5</v>
      </c>
      <c r="AX79" s="13" t="n">
        <v>2752</v>
      </c>
      <c r="AY79" s="13" t="n">
        <v>2627</v>
      </c>
      <c r="AZ79" s="13" t="n">
        <v>2605.5</v>
      </c>
      <c r="BA79" s="13" t="n">
        <v>2589.5</v>
      </c>
      <c r="BB79" s="13" t="n">
        <v>2575</v>
      </c>
      <c r="BC79" s="13" t="n">
        <v>2667.5</v>
      </c>
      <c r="BD79" s="13" t="n">
        <v>2535</v>
      </c>
      <c r="BE79" s="13" t="n">
        <v>2615.5</v>
      </c>
      <c r="BF79" s="13" t="n">
        <v>2722</v>
      </c>
      <c r="BG79" s="13" t="n">
        <v>2746.5</v>
      </c>
      <c r="BH79" s="13" t="n">
        <v>2732</v>
      </c>
      <c r="BI79" s="13" t="n">
        <v>2639.5</v>
      </c>
      <c r="BJ79" s="13" t="n">
        <v>2541</v>
      </c>
      <c r="BK79" s="13" t="n">
        <v>2675.5</v>
      </c>
      <c r="BL79" s="13" t="n">
        <v>2802</v>
      </c>
    </row>
    <row r="80" ht="15.95" customHeight="1" s="574">
      <c r="A80" s="64" t="inlineStr">
        <is>
          <t>1833</t>
        </is>
      </c>
      <c r="B80" s="673" t="inlineStr">
        <is>
          <t>奥村組</t>
        </is>
      </c>
      <c r="C80" s="676">
        <f>_xll.RssMarket("1833","現在値")</f>
        <v/>
      </c>
      <c r="D80" s="661">
        <f>C80-E80</f>
        <v/>
      </c>
      <c r="E80" s="13" t="n">
        <v>5690</v>
      </c>
      <c r="F80" s="13" t="n">
        <v>5670</v>
      </c>
      <c r="G80" s="13" t="n">
        <v>5700</v>
      </c>
      <c r="H80" s="13" t="n">
        <v>5720</v>
      </c>
      <c r="I80" s="13" t="n">
        <v>5640</v>
      </c>
      <c r="J80" s="13" t="n">
        <v>5550</v>
      </c>
      <c r="K80" s="13" t="n">
        <v>5560</v>
      </c>
      <c r="L80" s="13" t="n">
        <v>5490</v>
      </c>
      <c r="M80" s="13" t="n">
        <v>5620</v>
      </c>
      <c r="N80" s="13" t="n">
        <v>5480</v>
      </c>
      <c r="O80" s="13" t="n">
        <v>5550</v>
      </c>
      <c r="P80" s="13" t="n">
        <v>5560</v>
      </c>
      <c r="Q80" s="13" t="n">
        <v>5590</v>
      </c>
      <c r="R80" s="13" t="n">
        <v>5610</v>
      </c>
      <c r="S80" s="13" t="n">
        <v>5520</v>
      </c>
      <c r="T80" s="13" t="n">
        <v>5570</v>
      </c>
      <c r="U80" s="13" t="n">
        <v>5460</v>
      </c>
      <c r="V80" s="13" t="n">
        <v>5560</v>
      </c>
      <c r="W80" s="13" t="n">
        <v>5600</v>
      </c>
      <c r="X80" s="13" t="n">
        <v>5740</v>
      </c>
      <c r="Y80" s="13" t="n">
        <v>5660</v>
      </c>
      <c r="Z80" s="13" t="n">
        <v>5950</v>
      </c>
      <c r="AA80" s="13" t="n">
        <v>5980</v>
      </c>
      <c r="AB80" s="13" t="n">
        <v>6160</v>
      </c>
      <c r="AC80" s="13" t="n">
        <v>6320</v>
      </c>
      <c r="AD80" s="13" t="n">
        <v>6230</v>
      </c>
      <c r="AE80" s="13" t="n">
        <v>6110</v>
      </c>
      <c r="AF80" s="13" t="n">
        <v>6160</v>
      </c>
      <c r="AG80" s="13" t="n">
        <v>6120</v>
      </c>
      <c r="AH80" s="13" t="n">
        <v>6150</v>
      </c>
      <c r="AI80" s="13" t="n">
        <v>6140</v>
      </c>
      <c r="AJ80" s="13" t="n">
        <v>5980</v>
      </c>
      <c r="AK80" s="13" t="n">
        <v>6000</v>
      </c>
      <c r="AL80" s="13" t="n">
        <v>6060</v>
      </c>
      <c r="AM80" s="13" t="n">
        <v>6030</v>
      </c>
      <c r="AN80" s="13" t="n">
        <v>6120</v>
      </c>
      <c r="AO80" s="13" t="n">
        <v>6120</v>
      </c>
      <c r="AP80" s="13" t="n">
        <v>6140</v>
      </c>
      <c r="AQ80" s="13" t="n">
        <v>6230</v>
      </c>
      <c r="AR80" s="13" t="n">
        <v>6240</v>
      </c>
      <c r="AS80" s="13" t="n">
        <v>6280</v>
      </c>
      <c r="AT80" s="13" t="n">
        <v>6240</v>
      </c>
      <c r="AU80" s="13" t="n">
        <v>6310</v>
      </c>
      <c r="AV80" s="13" t="n">
        <v>6400</v>
      </c>
      <c r="AW80" s="13" t="n">
        <v>6510</v>
      </c>
      <c r="AX80" s="13" t="n">
        <v>6370</v>
      </c>
      <c r="AY80" s="13" t="n">
        <v>6360</v>
      </c>
      <c r="AZ80" s="13" t="n">
        <v>6440</v>
      </c>
      <c r="BA80" s="13" t="n">
        <v>6450</v>
      </c>
      <c r="BB80" s="13" t="n">
        <v>6560</v>
      </c>
      <c r="BC80" s="13" t="n">
        <v>6320</v>
      </c>
      <c r="BD80" s="13" t="n">
        <v>6340</v>
      </c>
      <c r="BE80" s="13" t="n">
        <v>6550</v>
      </c>
      <c r="BF80" s="13" t="n">
        <v>6570</v>
      </c>
      <c r="BG80" s="13" t="n">
        <v>6640</v>
      </c>
      <c r="BH80" s="13" t="n">
        <v>6490</v>
      </c>
      <c r="BI80" s="13" t="n">
        <v>6280</v>
      </c>
      <c r="BJ80" s="13" t="n">
        <v>6560</v>
      </c>
      <c r="BK80" s="13" t="n">
        <v>6730</v>
      </c>
      <c r="BL80" s="13" t="n">
        <v>6570</v>
      </c>
    </row>
    <row r="81" ht="15.95" customHeight="1" s="574">
      <c r="A81" s="64" t="inlineStr">
        <is>
          <t>6841</t>
        </is>
      </c>
      <c r="B81" s="673" t="inlineStr">
        <is>
          <t>横河電機</t>
        </is>
      </c>
      <c r="C81" s="676">
        <f>_xll.RssMarket("6841","現在値")</f>
        <v/>
      </c>
      <c r="D81" s="661">
        <f>C81-E81</f>
        <v/>
      </c>
      <c r="E81" s="13" t="n">
        <v>5698</v>
      </c>
      <c r="F81" s="13" t="n">
        <v>5409</v>
      </c>
      <c r="G81" s="13" t="n">
        <v>5380</v>
      </c>
      <c r="H81" s="13" t="n">
        <v>5230</v>
      </c>
      <c r="I81" s="13" t="n">
        <v>4848</v>
      </c>
      <c r="J81" s="13" t="n">
        <v>4766</v>
      </c>
      <c r="K81" s="13" t="n">
        <v>4757</v>
      </c>
      <c r="L81" s="13" t="n">
        <v>4941</v>
      </c>
      <c r="M81" s="13" t="n">
        <v>5226</v>
      </c>
      <c r="N81" s="13" t="n">
        <v>5313</v>
      </c>
      <c r="O81" s="13" t="n">
        <v>5350</v>
      </c>
      <c r="P81" s="13" t="n">
        <v>5125</v>
      </c>
      <c r="Q81" s="13" t="n">
        <v>5077</v>
      </c>
      <c r="R81" s="13" t="n">
        <v>5001</v>
      </c>
      <c r="S81" s="13" t="n">
        <v>4914</v>
      </c>
      <c r="T81" s="13" t="n">
        <v>4927</v>
      </c>
      <c r="U81" s="13" t="n">
        <v>5044</v>
      </c>
      <c r="V81" s="13" t="n">
        <v>4830</v>
      </c>
      <c r="W81" s="13" t="n">
        <v>4771</v>
      </c>
      <c r="X81" s="13" t="n">
        <v>4700</v>
      </c>
      <c r="Y81" s="13" t="n">
        <v>4817</v>
      </c>
      <c r="Z81" s="13" t="n">
        <v>4864</v>
      </c>
      <c r="AA81" s="13" t="n">
        <v>5013</v>
      </c>
      <c r="AB81" s="13" t="n">
        <v>5093</v>
      </c>
      <c r="AC81" s="13" t="n">
        <v>5268</v>
      </c>
      <c r="AD81" s="13" t="n">
        <v>5260</v>
      </c>
      <c r="AE81" s="13" t="n">
        <v>5371</v>
      </c>
      <c r="AF81" s="13" t="n">
        <v>5171</v>
      </c>
      <c r="AG81" s="13" t="n">
        <v>5734</v>
      </c>
      <c r="AH81" s="13" t="n">
        <v>5409</v>
      </c>
      <c r="AI81" s="13" t="n">
        <v>5463</v>
      </c>
      <c r="AJ81" s="13" t="n">
        <v>5450</v>
      </c>
      <c r="AK81" s="13" t="n">
        <v>5331</v>
      </c>
      <c r="AL81" s="13" t="n">
        <v>5264</v>
      </c>
      <c r="AM81" s="13" t="n">
        <v>5279</v>
      </c>
      <c r="AN81" s="13" t="n">
        <v>5447</v>
      </c>
      <c r="AO81" s="13" t="n">
        <v>5584</v>
      </c>
      <c r="AP81" s="13" t="n">
        <v>5500</v>
      </c>
      <c r="AQ81" s="13" t="n">
        <v>5414</v>
      </c>
      <c r="AR81" s="13" t="n">
        <v>5461</v>
      </c>
      <c r="AS81" s="13" t="n">
        <v>5387</v>
      </c>
      <c r="AT81" s="13" t="n">
        <v>5611</v>
      </c>
      <c r="AU81" s="13" t="n">
        <v>5602</v>
      </c>
      <c r="AV81" s="13" t="n">
        <v>5637</v>
      </c>
      <c r="AW81" s="13" t="n">
        <v>5654</v>
      </c>
      <c r="AX81" s="13" t="n">
        <v>5433</v>
      </c>
      <c r="AY81" s="13" t="n">
        <v>4986</v>
      </c>
      <c r="AZ81" s="13" t="n">
        <v>4929</v>
      </c>
      <c r="BA81" s="13" t="n">
        <v>4930</v>
      </c>
      <c r="BB81" s="13" t="n">
        <v>4813</v>
      </c>
      <c r="BC81" s="13" t="n">
        <v>5052</v>
      </c>
      <c r="BD81" s="13" t="n">
        <v>4744</v>
      </c>
      <c r="BE81" s="13" t="n">
        <v>4864</v>
      </c>
      <c r="BF81" s="13" t="n">
        <v>5067</v>
      </c>
      <c r="BG81" s="13" t="n">
        <v>5164</v>
      </c>
      <c r="BH81" s="13" t="n">
        <v>5158</v>
      </c>
      <c r="BI81" s="13" t="n">
        <v>4981</v>
      </c>
      <c r="BJ81" s="13" t="n">
        <v>4870</v>
      </c>
      <c r="BK81" s="13" t="n">
        <v>5233</v>
      </c>
      <c r="BL81" s="13" t="n">
        <v>5566</v>
      </c>
    </row>
    <row r="82" ht="15.95" customHeight="1" s="574">
      <c r="A82" s="64" t="inlineStr">
        <is>
          <t>7167</t>
        </is>
      </c>
      <c r="B82" s="673" t="inlineStr">
        <is>
          <t>めぶきフィナンシャルＧ</t>
        </is>
      </c>
      <c r="C82" s="676">
        <f>_xll.RssMarket("7167","現在値")</f>
        <v/>
      </c>
      <c r="D82" s="661">
        <f>C82-E82</f>
        <v/>
      </c>
      <c r="E82" s="13" t="n">
        <v>1425.5</v>
      </c>
      <c r="F82" s="13" t="n">
        <v>1411</v>
      </c>
      <c r="G82" s="13" t="n">
        <v>1388.5</v>
      </c>
      <c r="H82" s="13" t="n">
        <v>1413</v>
      </c>
      <c r="I82" s="13" t="n">
        <v>1402</v>
      </c>
      <c r="J82" s="13" t="n">
        <v>1372.5</v>
      </c>
      <c r="K82" s="13" t="n">
        <v>1375.5</v>
      </c>
      <c r="L82" s="13" t="n">
        <v>1348.5</v>
      </c>
      <c r="M82" s="13" t="n">
        <v>1357.5</v>
      </c>
      <c r="N82" s="13" t="n">
        <v>1341</v>
      </c>
      <c r="O82" s="13" t="n">
        <v>1338</v>
      </c>
      <c r="P82" s="13" t="n">
        <v>1314.5</v>
      </c>
      <c r="Q82" s="13" t="n">
        <v>1300.5</v>
      </c>
      <c r="R82" s="13" t="n">
        <v>1329.5</v>
      </c>
      <c r="S82" s="13" t="n">
        <v>1353</v>
      </c>
      <c r="T82" s="13" t="n">
        <v>1371.5</v>
      </c>
      <c r="U82" s="13" t="n">
        <v>1388</v>
      </c>
      <c r="V82" s="13" t="n">
        <v>1396.5</v>
      </c>
      <c r="W82" s="13" t="n">
        <v>1409.5</v>
      </c>
      <c r="X82" s="13" t="n">
        <v>1385.5</v>
      </c>
      <c r="Y82" s="13" t="n">
        <v>1365.5</v>
      </c>
      <c r="Z82" s="13" t="n">
        <v>1366.5</v>
      </c>
      <c r="AA82" s="13" t="n">
        <v>1377.5</v>
      </c>
      <c r="AB82" s="13" t="n">
        <v>1370.5</v>
      </c>
      <c r="AC82" s="13" t="n">
        <v>1366.5</v>
      </c>
      <c r="AD82" s="13" t="n">
        <v>1362.5</v>
      </c>
      <c r="AE82" s="13" t="n">
        <v>1338</v>
      </c>
      <c r="AF82" s="13" t="n">
        <v>1313.5</v>
      </c>
      <c r="AG82" s="13" t="n">
        <v>1344.5</v>
      </c>
      <c r="AH82" s="13" t="n">
        <v>1296</v>
      </c>
      <c r="AI82" s="13" t="n">
        <v>1298.5</v>
      </c>
      <c r="AJ82" s="13" t="n">
        <v>1319.5</v>
      </c>
      <c r="AK82" s="13" t="n">
        <v>1234</v>
      </c>
      <c r="AL82" s="13" t="n">
        <v>1222</v>
      </c>
      <c r="AM82" s="13" t="n">
        <v>1236</v>
      </c>
      <c r="AN82" s="13" t="n">
        <v>1244.5</v>
      </c>
      <c r="AO82" s="13" t="n">
        <v>1281.5</v>
      </c>
      <c r="AP82" s="13" t="n">
        <v>1317.5</v>
      </c>
      <c r="AQ82" s="13" t="n">
        <v>1343.5</v>
      </c>
      <c r="AR82" s="13" t="n">
        <v>1356</v>
      </c>
      <c r="AS82" s="13" t="n">
        <v>1354</v>
      </c>
      <c r="AT82" s="13" t="n">
        <v>1343.5</v>
      </c>
      <c r="AU82" s="13" t="n">
        <v>1344</v>
      </c>
      <c r="AV82" s="13" t="n">
        <v>1353.5</v>
      </c>
      <c r="AW82" s="13" t="n">
        <v>1348.5</v>
      </c>
      <c r="AX82" s="13" t="n">
        <v>1353</v>
      </c>
      <c r="AY82" s="13" t="n">
        <v>1308</v>
      </c>
      <c r="AZ82" s="13" t="n">
        <v>1301.5</v>
      </c>
      <c r="BA82" s="13" t="n">
        <v>1286</v>
      </c>
      <c r="BB82" s="13" t="n">
        <v>1276</v>
      </c>
      <c r="BC82" s="13" t="n">
        <v>1303</v>
      </c>
      <c r="BD82" s="13" t="n">
        <v>1193</v>
      </c>
      <c r="BE82" s="13" t="n">
        <v>1213</v>
      </c>
      <c r="BF82" s="13" t="n">
        <v>1263.5</v>
      </c>
      <c r="BG82" s="13" t="n">
        <v>1239</v>
      </c>
      <c r="BH82" s="13" t="n">
        <v>1245.5</v>
      </c>
      <c r="BI82" s="13" t="n">
        <v>1203</v>
      </c>
      <c r="BJ82" s="13" t="n">
        <v>1155</v>
      </c>
      <c r="BK82" s="13" t="n">
        <v>1198.5</v>
      </c>
      <c r="BL82" s="13" t="n">
        <v>1227</v>
      </c>
    </row>
    <row r="83" ht="15.95" customHeight="1" s="574">
      <c r="A83" s="64" t="inlineStr">
        <is>
          <t>1925</t>
        </is>
      </c>
      <c r="B83" s="673" t="inlineStr">
        <is>
          <t>大和ハウス</t>
        </is>
      </c>
      <c r="C83" s="676">
        <f>_xll.RssMarket("1925","現在値")</f>
        <v/>
      </c>
      <c r="D83" s="661">
        <f>C83-E83</f>
        <v/>
      </c>
      <c r="E83" s="13" t="n">
        <v>4292</v>
      </c>
      <c r="F83" s="13" t="n">
        <v>4363</v>
      </c>
      <c r="G83" s="13" t="n">
        <v>4358</v>
      </c>
      <c r="H83" s="13" t="n">
        <v>4346</v>
      </c>
      <c r="I83" s="13" t="n">
        <v>4300</v>
      </c>
      <c r="J83" s="13" t="n">
        <v>4283</v>
      </c>
      <c r="K83" s="13" t="n">
        <v>4381</v>
      </c>
      <c r="L83" s="13" t="n">
        <v>4249</v>
      </c>
      <c r="M83" s="13" t="n">
        <v>4191</v>
      </c>
      <c r="N83" s="13" t="n">
        <v>4227</v>
      </c>
      <c r="O83" s="13" t="n">
        <v>4265</v>
      </c>
      <c r="P83" s="13" t="n">
        <v>4187</v>
      </c>
      <c r="Q83" s="13" t="n">
        <v>4215</v>
      </c>
      <c r="R83" s="13" t="n">
        <v>4334</v>
      </c>
      <c r="S83" s="13" t="n">
        <v>4374</v>
      </c>
      <c r="T83" s="13" t="n">
        <v>4402</v>
      </c>
      <c r="U83" s="13" t="n">
        <v>4431</v>
      </c>
      <c r="V83" s="13" t="n">
        <v>4416</v>
      </c>
      <c r="W83" s="13" t="n">
        <v>4453</v>
      </c>
      <c r="X83" s="13" t="n">
        <v>4485</v>
      </c>
      <c r="Y83" s="13" t="n">
        <v>4544</v>
      </c>
      <c r="Z83" s="13" t="n">
        <v>4483</v>
      </c>
      <c r="AA83" s="13" t="n">
        <v>4538</v>
      </c>
      <c r="AB83" s="13" t="n">
        <v>4777</v>
      </c>
      <c r="AC83" s="13" t="n">
        <v>4783</v>
      </c>
      <c r="AD83" s="13" t="n">
        <v>4770</v>
      </c>
      <c r="AE83" s="13" t="n">
        <v>4773</v>
      </c>
      <c r="AF83" s="13" t="n">
        <v>4811</v>
      </c>
      <c r="AG83" s="13" t="n">
        <v>4763</v>
      </c>
      <c r="AH83" s="13" t="n">
        <v>4788</v>
      </c>
      <c r="AI83" s="13" t="n">
        <v>4876</v>
      </c>
      <c r="AJ83" s="13" t="n">
        <v>4768</v>
      </c>
      <c r="AK83" s="13" t="n">
        <v>4783</v>
      </c>
      <c r="AL83" s="13" t="n">
        <v>4840</v>
      </c>
      <c r="AM83" s="13" t="n">
        <v>4838</v>
      </c>
      <c r="AN83" s="13" t="n">
        <v>4907</v>
      </c>
      <c r="AO83" s="13" t="n">
        <v>4912</v>
      </c>
      <c r="AP83" s="13" t="n">
        <v>4852</v>
      </c>
      <c r="AQ83" s="13" t="n">
        <v>4919</v>
      </c>
      <c r="AR83" s="13" t="n">
        <v>4917</v>
      </c>
      <c r="AS83" s="13" t="n">
        <v>4899</v>
      </c>
      <c r="AT83" s="13" t="n">
        <v>4923</v>
      </c>
      <c r="AU83" s="13" t="n">
        <v>4992</v>
      </c>
      <c r="AV83" s="13" t="n">
        <v>4988</v>
      </c>
      <c r="AW83" s="13" t="n">
        <v>5050</v>
      </c>
      <c r="AX83" s="13" t="n">
        <v>4971</v>
      </c>
      <c r="AY83" s="13" t="n">
        <v>4978</v>
      </c>
      <c r="AZ83" s="13" t="n">
        <v>5007</v>
      </c>
      <c r="BA83" s="13" t="n">
        <v>5009</v>
      </c>
      <c r="BB83" s="13" t="n">
        <v>5002</v>
      </c>
      <c r="BC83" s="13" t="n">
        <v>4918</v>
      </c>
      <c r="BD83" s="13" t="n">
        <v>4929</v>
      </c>
      <c r="BE83" s="13" t="n">
        <v>5040</v>
      </c>
      <c r="BF83" s="13" t="n">
        <v>5055</v>
      </c>
      <c r="BG83" s="13" t="n">
        <v>5082</v>
      </c>
      <c r="BH83" s="13" t="n">
        <v>5085</v>
      </c>
      <c r="BI83" s="13" t="n">
        <v>5048</v>
      </c>
      <c r="BJ83" s="13" t="n">
        <v>5159</v>
      </c>
      <c r="BK83" s="13" t="n">
        <v>5274</v>
      </c>
      <c r="BL83" s="13" t="n">
        <v>5243</v>
      </c>
    </row>
    <row r="84" ht="15.95" customHeight="1" s="574">
      <c r="A84" s="64" t="inlineStr">
        <is>
          <t>5411</t>
        </is>
      </c>
      <c r="B84" s="673" t="inlineStr">
        <is>
          <t>ＪＦＥホールディングス</t>
        </is>
      </c>
      <c r="C84" s="676">
        <f>_xll.RssMarket("5411","現在値")</f>
        <v/>
      </c>
      <c r="D84" s="661">
        <f>C84-E84</f>
        <v/>
      </c>
      <c r="E84" s="13" t="n">
        <v>1607</v>
      </c>
      <c r="F84" s="13" t="n">
        <v>1614</v>
      </c>
      <c r="G84" s="13" t="n">
        <v>1637</v>
      </c>
      <c r="H84" s="13" t="n">
        <v>1647</v>
      </c>
      <c r="I84" s="13" t="n">
        <v>1613</v>
      </c>
      <c r="J84" s="13" t="n">
        <v>1573</v>
      </c>
      <c r="K84" s="13" t="n">
        <v>1582.5</v>
      </c>
      <c r="L84" s="13" t="n">
        <v>1580</v>
      </c>
      <c r="M84" s="13" t="n">
        <v>1614</v>
      </c>
      <c r="N84" s="13" t="n">
        <v>1601</v>
      </c>
      <c r="O84" s="13" t="n">
        <v>1594.5</v>
      </c>
      <c r="P84" s="13" t="n">
        <v>1598</v>
      </c>
      <c r="Q84" s="13" t="n">
        <v>1631</v>
      </c>
      <c r="R84" s="13" t="n">
        <v>1700.5</v>
      </c>
      <c r="S84" s="13" t="n">
        <v>1677.5</v>
      </c>
      <c r="T84" s="13" t="n">
        <v>1676.5</v>
      </c>
      <c r="U84" s="13" t="n">
        <v>1630</v>
      </c>
      <c r="V84" s="13" t="n">
        <v>1635</v>
      </c>
      <c r="W84" s="13" t="n">
        <v>1655</v>
      </c>
      <c r="X84" s="13" t="n">
        <v>1636.5</v>
      </c>
      <c r="Y84" s="13" t="n">
        <v>1668.5</v>
      </c>
      <c r="Z84" s="13" t="n">
        <v>1652.5</v>
      </c>
      <c r="AA84" s="13" t="n">
        <v>1678</v>
      </c>
      <c r="AB84" s="13" t="n">
        <v>1690.5</v>
      </c>
      <c r="AC84" s="13" t="n">
        <v>1720.5</v>
      </c>
      <c r="AD84" s="13" t="n">
        <v>1683</v>
      </c>
      <c r="AE84" s="13" t="n">
        <v>1685.5</v>
      </c>
      <c r="AF84" s="13" t="n">
        <v>1765</v>
      </c>
      <c r="AG84" s="13" t="n">
        <v>1734.5</v>
      </c>
      <c r="AH84" s="13" t="n">
        <v>1716.5</v>
      </c>
      <c r="AI84" s="13" t="n">
        <v>1715</v>
      </c>
      <c r="AJ84" s="13" t="n">
        <v>1700.5</v>
      </c>
      <c r="AK84" s="13" t="n">
        <v>1674</v>
      </c>
      <c r="AL84" s="13" t="n">
        <v>1685.5</v>
      </c>
      <c r="AM84" s="13" t="n">
        <v>1695</v>
      </c>
      <c r="AN84" s="13" t="n">
        <v>1723</v>
      </c>
      <c r="AO84" s="13" t="n">
        <v>1748</v>
      </c>
      <c r="AP84" s="13" t="n">
        <v>1771.5</v>
      </c>
      <c r="AQ84" s="13" t="n">
        <v>1801.5</v>
      </c>
      <c r="AR84" s="13" t="n">
        <v>1830</v>
      </c>
      <c r="AS84" s="13" t="n">
        <v>1821.5</v>
      </c>
      <c r="AT84" s="13" t="n">
        <v>1820</v>
      </c>
      <c r="AU84" s="13" t="n">
        <v>1836</v>
      </c>
      <c r="AV84" s="13" t="n">
        <v>1866.5</v>
      </c>
      <c r="AW84" s="13" t="n">
        <v>1876</v>
      </c>
      <c r="AX84" s="13" t="n">
        <v>1882</v>
      </c>
      <c r="AY84" s="13" t="n">
        <v>1827</v>
      </c>
      <c r="AZ84" s="13" t="n">
        <v>1830.5</v>
      </c>
      <c r="BA84" s="13" t="n">
        <v>1851</v>
      </c>
      <c r="BB84" s="13" t="n">
        <v>1831</v>
      </c>
      <c r="BC84" s="13" t="n">
        <v>1862</v>
      </c>
      <c r="BD84" s="13" t="n">
        <v>1815.5</v>
      </c>
      <c r="BE84" s="13" t="n">
        <v>1819</v>
      </c>
      <c r="BF84" s="13" t="n">
        <v>1892</v>
      </c>
      <c r="BG84" s="13" t="n">
        <v>1883</v>
      </c>
      <c r="BH84" s="13" t="n">
        <v>1887</v>
      </c>
      <c r="BI84" s="13" t="n">
        <v>1895.5</v>
      </c>
      <c r="BJ84" s="13" t="n">
        <v>1859</v>
      </c>
      <c r="BK84" s="13" t="n">
        <v>1886.5</v>
      </c>
      <c r="BL84" s="13" t="n">
        <v>1946.5</v>
      </c>
    </row>
    <row r="85" ht="15.95" customHeight="1" s="574">
      <c r="A85" s="64" t="inlineStr">
        <is>
          <t>7182</t>
        </is>
      </c>
      <c r="B85" s="673" t="inlineStr">
        <is>
          <t>ゆうちょ銀行</t>
        </is>
      </c>
      <c r="C85" s="676">
        <f>_xll.RssMarket("7182","現在値")</f>
        <v/>
      </c>
      <c r="D85" s="661">
        <f>C85-E85</f>
        <v/>
      </c>
      <c r="E85" s="13" t="n">
        <v>3269</v>
      </c>
      <c r="F85" s="13" t="n">
        <v>3190</v>
      </c>
      <c r="G85" s="13" t="n">
        <v>3125</v>
      </c>
      <c r="H85" s="13" t="n">
        <v>3170</v>
      </c>
      <c r="I85" s="13" t="n">
        <v>3211</v>
      </c>
      <c r="J85" s="13" t="n">
        <v>3096</v>
      </c>
      <c r="K85" s="13" t="n">
        <v>3177</v>
      </c>
      <c r="L85" s="13" t="n">
        <v>3126</v>
      </c>
      <c r="M85" s="13" t="n">
        <v>3161</v>
      </c>
      <c r="N85" s="13" t="n">
        <v>3225</v>
      </c>
      <c r="O85" s="13" t="n">
        <v>3163</v>
      </c>
      <c r="P85" s="13" t="n">
        <v>3066</v>
      </c>
      <c r="Q85" s="13" t="n">
        <v>3009</v>
      </c>
      <c r="R85" s="13" t="n">
        <v>3069</v>
      </c>
      <c r="S85" s="13" t="n">
        <v>2960.5</v>
      </c>
      <c r="T85" s="13" t="n">
        <v>3001</v>
      </c>
      <c r="U85" s="13" t="n">
        <v>3093</v>
      </c>
      <c r="V85" s="13" t="n">
        <v>3104</v>
      </c>
      <c r="W85" s="13" t="n">
        <v>3193</v>
      </c>
      <c r="X85" s="13" t="n">
        <v>3075</v>
      </c>
      <c r="Y85" s="13" t="n">
        <v>3021</v>
      </c>
      <c r="Z85" s="13" t="n">
        <v>2977.5</v>
      </c>
      <c r="AA85" s="13" t="n">
        <v>2829</v>
      </c>
      <c r="AB85" s="13" t="n">
        <v>2835.5</v>
      </c>
      <c r="AC85" s="13" t="n">
        <v>2849</v>
      </c>
      <c r="AD85" s="13" t="n">
        <v>2841.5</v>
      </c>
      <c r="AE85" s="13" t="n">
        <v>2796.5</v>
      </c>
      <c r="AF85" s="13" t="n">
        <v>2724.5</v>
      </c>
      <c r="AG85" s="13" t="n">
        <v>2817</v>
      </c>
      <c r="AH85" s="13" t="n">
        <v>2656</v>
      </c>
      <c r="AI85" s="13" t="n">
        <v>2689</v>
      </c>
      <c r="AJ85" s="13" t="n">
        <v>2696.5</v>
      </c>
      <c r="AK85" s="13" t="n">
        <v>2539.5</v>
      </c>
      <c r="AL85" s="13" t="n">
        <v>2510</v>
      </c>
      <c r="AM85" s="13" t="n">
        <v>2537</v>
      </c>
      <c r="AN85" s="13" t="n">
        <v>2555</v>
      </c>
      <c r="AO85" s="13" t="n">
        <v>2600</v>
      </c>
      <c r="AP85" s="13" t="n">
        <v>2710</v>
      </c>
      <c r="AQ85" s="13" t="n">
        <v>2731.5</v>
      </c>
      <c r="AR85" s="13" t="n">
        <v>2798.5</v>
      </c>
      <c r="AS85" s="13" t="n">
        <v>2772.5</v>
      </c>
      <c r="AT85" s="13" t="n">
        <v>2724.5</v>
      </c>
      <c r="AU85" s="13" t="n">
        <v>2726.5</v>
      </c>
      <c r="AV85" s="13" t="n">
        <v>2710.5</v>
      </c>
      <c r="AW85" s="13" t="n">
        <v>2723.5</v>
      </c>
      <c r="AX85" s="13" t="n">
        <v>2800</v>
      </c>
      <c r="AY85" s="13" t="n">
        <v>2665.5</v>
      </c>
      <c r="AZ85" s="13" t="n">
        <v>2648.5</v>
      </c>
      <c r="BA85" s="13" t="n">
        <v>2628.5</v>
      </c>
      <c r="BB85" s="13" t="n">
        <v>2608</v>
      </c>
      <c r="BC85" s="13" t="n">
        <v>2709.5</v>
      </c>
      <c r="BD85" s="13" t="n">
        <v>2517.5</v>
      </c>
      <c r="BE85" s="13" t="n">
        <v>2501.5</v>
      </c>
      <c r="BF85" s="13" t="n">
        <v>2639</v>
      </c>
      <c r="BG85" s="13" t="n">
        <v>2633</v>
      </c>
      <c r="BH85" s="13" t="n">
        <v>2645</v>
      </c>
      <c r="BI85" s="13" t="n">
        <v>2578</v>
      </c>
      <c r="BJ85" s="13" t="n">
        <v>2504</v>
      </c>
      <c r="BK85" s="13" t="n">
        <v>2600</v>
      </c>
      <c r="BL85" s="13" t="n">
        <v>2670.5</v>
      </c>
    </row>
    <row r="86" ht="15.95" customHeight="1" s="574">
      <c r="A86" s="64" t="inlineStr">
        <is>
          <t>1963</t>
        </is>
      </c>
      <c r="B86" s="673" t="inlineStr">
        <is>
          <t>日揮ホールディングス</t>
        </is>
      </c>
      <c r="C86" s="676">
        <f>_xll.RssMarket("1963","現在値")</f>
        <v/>
      </c>
      <c r="D86" s="661">
        <f>C86-E86</f>
        <v/>
      </c>
      <c r="E86" s="13" t="n">
        <v>2618</v>
      </c>
      <c r="F86" s="13" t="n">
        <v>2717</v>
      </c>
      <c r="G86" s="13" t="n">
        <v>2760</v>
      </c>
      <c r="H86" s="13" t="n">
        <v>2664</v>
      </c>
      <c r="I86" s="13" t="n">
        <v>2538.5</v>
      </c>
      <c r="J86" s="13" t="n">
        <v>2475.5</v>
      </c>
      <c r="K86" s="13" t="n">
        <v>2528.5</v>
      </c>
      <c r="L86" s="13" t="n">
        <v>2561</v>
      </c>
      <c r="M86" s="13" t="n">
        <v>2645.5</v>
      </c>
      <c r="N86" s="13" t="n">
        <v>2597</v>
      </c>
      <c r="O86" s="13" t="n">
        <v>2658.5</v>
      </c>
      <c r="P86" s="13" t="n">
        <v>2638.5</v>
      </c>
      <c r="Q86" s="13" t="n">
        <v>2632.5</v>
      </c>
      <c r="R86" s="13" t="n">
        <v>2728.5</v>
      </c>
      <c r="S86" s="13" t="n">
        <v>2661.5</v>
      </c>
      <c r="T86" s="13" t="n">
        <v>2721</v>
      </c>
      <c r="U86" s="13" t="n">
        <v>2863</v>
      </c>
      <c r="V86" s="13" t="n">
        <v>2731.5</v>
      </c>
      <c r="W86" s="13" t="n">
        <v>2679.5</v>
      </c>
      <c r="X86" s="13" t="n">
        <v>2648</v>
      </c>
      <c r="Y86" s="13" t="n">
        <v>2647</v>
      </c>
      <c r="Z86" s="13" t="n">
        <v>2594</v>
      </c>
      <c r="AA86" s="13" t="n">
        <v>2710.5</v>
      </c>
      <c r="AB86" s="13" t="n">
        <v>2392.5</v>
      </c>
      <c r="AC86" s="13" t="n">
        <v>2451.5</v>
      </c>
      <c r="AD86" s="13" t="n">
        <v>2424</v>
      </c>
      <c r="AE86" s="13" t="n">
        <v>2418</v>
      </c>
      <c r="AF86" s="13" t="n">
        <v>2495.5</v>
      </c>
      <c r="AG86" s="13" t="n">
        <v>2484.5</v>
      </c>
      <c r="AH86" s="13" t="n">
        <v>2385</v>
      </c>
      <c r="AI86" s="13" t="n">
        <v>2383</v>
      </c>
      <c r="AJ86" s="13" t="n">
        <v>2458.5</v>
      </c>
      <c r="AK86" s="13" t="n">
        <v>2339</v>
      </c>
      <c r="AL86" s="13" t="n">
        <v>2354</v>
      </c>
      <c r="AM86" s="13" t="n">
        <v>2358</v>
      </c>
      <c r="AN86" s="13" t="n">
        <v>2321</v>
      </c>
      <c r="AO86" s="13" t="n">
        <v>2378</v>
      </c>
      <c r="AP86" s="13" t="n">
        <v>2450</v>
      </c>
      <c r="AQ86" s="13" t="n">
        <v>2532.5</v>
      </c>
      <c r="AR86" s="13" t="n">
        <v>2558</v>
      </c>
      <c r="AS86" s="13" t="n">
        <v>2570</v>
      </c>
      <c r="AT86" s="13" t="n">
        <v>2705.5</v>
      </c>
      <c r="AU86" s="13" t="n">
        <v>2693</v>
      </c>
      <c r="AV86" s="13" t="n">
        <v>2758.5</v>
      </c>
      <c r="AW86" s="13" t="n">
        <v>2803</v>
      </c>
      <c r="AX86" s="13" t="n">
        <v>2723.5</v>
      </c>
      <c r="AY86" s="13" t="n">
        <v>2580</v>
      </c>
      <c r="AZ86" s="13" t="n">
        <v>2537.5</v>
      </c>
      <c r="BA86" s="13" t="n">
        <v>2469.5</v>
      </c>
      <c r="BB86" s="13" t="n">
        <v>2473</v>
      </c>
      <c r="BC86" s="13" t="n">
        <v>2481.5</v>
      </c>
      <c r="BD86" s="13" t="n">
        <v>2272</v>
      </c>
      <c r="BE86" s="13" t="n">
        <v>2246.5</v>
      </c>
      <c r="BF86" s="13" t="n">
        <v>2195</v>
      </c>
      <c r="BG86" s="13" t="n">
        <v>2170</v>
      </c>
      <c r="BH86" s="13" t="n">
        <v>2222</v>
      </c>
      <c r="BI86" s="13" t="n">
        <v>2135.5</v>
      </c>
      <c r="BJ86" s="13" t="n">
        <v>2047</v>
      </c>
      <c r="BK86" s="13" t="n">
        <v>2133.5</v>
      </c>
      <c r="BL86" s="13" t="n">
        <v>2264</v>
      </c>
    </row>
    <row r="87" ht="15.95" customHeight="1" s="574">
      <c r="A87" s="64" t="inlineStr">
        <is>
          <t>2914</t>
        </is>
      </c>
      <c r="B87" s="673" t="inlineStr">
        <is>
          <t>日本たばこ産業</t>
        </is>
      </c>
      <c r="C87" s="676">
        <f>_xll.RssMarket("2914","現在値")</f>
        <v/>
      </c>
      <c r="D87" s="661">
        <f>C87-E87</f>
        <v/>
      </c>
      <c r="E87" s="13" t="n">
        <v>5968</v>
      </c>
      <c r="F87" s="13" t="n">
        <v>6075</v>
      </c>
      <c r="G87" s="13" t="n">
        <v>6071</v>
      </c>
      <c r="H87" s="13" t="n">
        <v>6099</v>
      </c>
      <c r="I87" s="13" t="n">
        <v>6177</v>
      </c>
      <c r="J87" s="13" t="n">
        <v>6305</v>
      </c>
      <c r="K87" s="13" t="n">
        <v>6164</v>
      </c>
      <c r="L87" s="13" t="n">
        <v>6135</v>
      </c>
      <c r="M87" s="13" t="n">
        <v>5973</v>
      </c>
      <c r="N87" s="13" t="n">
        <v>6025</v>
      </c>
      <c r="O87" s="13" t="n">
        <v>6112</v>
      </c>
      <c r="P87" s="13" t="n">
        <v>6132</v>
      </c>
      <c r="Q87" s="13" t="n">
        <v>6068</v>
      </c>
      <c r="R87" s="13" t="n">
        <v>6167</v>
      </c>
      <c r="S87" s="13" t="n">
        <v>6098</v>
      </c>
      <c r="T87" s="13" t="n">
        <v>6115</v>
      </c>
      <c r="U87" s="13" t="n">
        <v>6097</v>
      </c>
      <c r="V87" s="13" t="n">
        <v>6134</v>
      </c>
      <c r="W87" s="13" t="n">
        <v>6233</v>
      </c>
      <c r="X87" s="13" t="n">
        <v>6346</v>
      </c>
      <c r="Y87" s="13" t="n">
        <v>6453</v>
      </c>
      <c r="Z87" s="13" t="n">
        <v>6343</v>
      </c>
      <c r="AA87" s="13" t="n">
        <v>6301</v>
      </c>
      <c r="AB87" s="13" t="n">
        <v>6254</v>
      </c>
      <c r="AC87" s="13" t="n">
        <v>6180</v>
      </c>
      <c r="AD87" s="13" t="n">
        <v>6058</v>
      </c>
      <c r="AE87" s="13" t="n">
        <v>6164</v>
      </c>
      <c r="AF87" s="13" t="n">
        <v>5769</v>
      </c>
      <c r="AG87" s="13" t="n">
        <v>5937</v>
      </c>
      <c r="AH87" s="13" t="n">
        <v>5886</v>
      </c>
      <c r="AI87" s="13" t="n">
        <v>5865</v>
      </c>
      <c r="AJ87" s="13" t="n">
        <v>5779</v>
      </c>
      <c r="AK87" s="13" t="n">
        <v>5781</v>
      </c>
      <c r="AL87" s="13" t="n">
        <v>5829</v>
      </c>
      <c r="AM87" s="13" t="n">
        <v>5866</v>
      </c>
      <c r="AN87" s="13" t="n">
        <v>5672</v>
      </c>
      <c r="AO87" s="13" t="n">
        <v>5757</v>
      </c>
      <c r="AP87" s="13" t="n">
        <v>5790</v>
      </c>
      <c r="AQ87" s="13" t="n">
        <v>5800</v>
      </c>
      <c r="AR87" s="13" t="n">
        <v>5847</v>
      </c>
      <c r="AS87" s="13" t="n">
        <v>5897</v>
      </c>
      <c r="AT87" s="13" t="n">
        <v>5895</v>
      </c>
      <c r="AU87" s="13" t="n">
        <v>5953</v>
      </c>
      <c r="AV87" s="13" t="n">
        <v>5973</v>
      </c>
      <c r="AW87" s="13" t="n">
        <v>6034</v>
      </c>
      <c r="AX87" s="13" t="n">
        <v>6081</v>
      </c>
      <c r="AY87" s="13" t="n">
        <v>6086</v>
      </c>
      <c r="AZ87" s="13" t="n">
        <v>6098</v>
      </c>
      <c r="BA87" s="13" t="n">
        <v>6105</v>
      </c>
      <c r="BB87" s="13" t="n">
        <v>6005</v>
      </c>
      <c r="BC87" s="13" t="n">
        <v>6076</v>
      </c>
      <c r="BD87" s="13" t="n">
        <v>6020</v>
      </c>
      <c r="BE87" s="13" t="n">
        <v>6056</v>
      </c>
      <c r="BF87" s="13" t="n">
        <v>5978</v>
      </c>
      <c r="BG87" s="13" t="n">
        <v>5983</v>
      </c>
      <c r="BH87" s="13" t="n">
        <v>5950</v>
      </c>
      <c r="BI87" s="13" t="n">
        <v>5820</v>
      </c>
      <c r="BJ87" s="13" t="n">
        <v>5693</v>
      </c>
      <c r="BK87" s="13" t="n">
        <v>5847</v>
      </c>
      <c r="BL87" s="13" t="n">
        <v>5965</v>
      </c>
    </row>
    <row r="88" ht="15.95" customHeight="1" s="574">
      <c r="A88" s="64" t="inlineStr">
        <is>
          <t>3003</t>
        </is>
      </c>
      <c r="B88" s="673" t="inlineStr">
        <is>
          <t>ヒューリック</t>
        </is>
      </c>
      <c r="C88" s="676">
        <f>_xll.RssMarket("3003","現在値")</f>
        <v/>
      </c>
      <c r="D88" s="661">
        <f>C88-E88</f>
        <v/>
      </c>
      <c r="E88" s="13" t="n">
        <v>1686</v>
      </c>
      <c r="F88" s="13" t="n">
        <v>1706.5</v>
      </c>
      <c r="G88" s="13" t="n">
        <v>1716</v>
      </c>
      <c r="H88" s="13" t="n">
        <v>1704.5</v>
      </c>
      <c r="I88" s="13" t="n">
        <v>1725.5</v>
      </c>
      <c r="J88" s="13" t="n">
        <v>1721.5</v>
      </c>
      <c r="K88" s="13" t="n">
        <v>1727.5</v>
      </c>
      <c r="L88" s="13" t="n">
        <v>1677</v>
      </c>
      <c r="M88" s="13" t="n">
        <v>1656</v>
      </c>
      <c r="N88" s="13" t="n">
        <v>1631.5</v>
      </c>
      <c r="O88" s="13" t="n">
        <v>1650</v>
      </c>
      <c r="P88" s="13" t="n">
        <v>1652.5</v>
      </c>
      <c r="Q88" s="13" t="n">
        <v>1651</v>
      </c>
      <c r="R88" s="13" t="n">
        <v>1699</v>
      </c>
      <c r="S88" s="13" t="n">
        <v>1670</v>
      </c>
      <c r="T88" s="13" t="n">
        <v>1663</v>
      </c>
      <c r="U88" s="13" t="n">
        <v>1671.5</v>
      </c>
      <c r="V88" s="13" t="n">
        <v>1650</v>
      </c>
      <c r="W88" s="13" t="n">
        <v>1737</v>
      </c>
      <c r="X88" s="13" t="n">
        <v>1724</v>
      </c>
      <c r="Y88" s="13" t="n">
        <v>1749</v>
      </c>
      <c r="Z88" s="13" t="n">
        <v>1722.5</v>
      </c>
      <c r="AA88" s="13" t="n">
        <v>1760.5</v>
      </c>
      <c r="AB88" s="13" t="n">
        <v>1760</v>
      </c>
      <c r="AC88" s="13" t="n">
        <v>1801.5</v>
      </c>
      <c r="AD88" s="13" t="n">
        <v>1799</v>
      </c>
      <c r="AE88" s="13" t="n">
        <v>1786.5</v>
      </c>
      <c r="AF88" s="13" t="n">
        <v>1802.5</v>
      </c>
      <c r="AG88" s="13" t="n">
        <v>1820</v>
      </c>
      <c r="AH88" s="13" t="n">
        <v>1799</v>
      </c>
      <c r="AI88" s="13" t="n">
        <v>1766</v>
      </c>
      <c r="AJ88" s="13" t="n">
        <v>1794.5</v>
      </c>
      <c r="AK88" s="13" t="n">
        <v>1743.5</v>
      </c>
      <c r="AL88" s="13" t="n">
        <v>1835</v>
      </c>
      <c r="AM88" s="13" t="n">
        <v>1820</v>
      </c>
      <c r="AN88" s="13" t="n">
        <v>1829.5</v>
      </c>
      <c r="AO88" s="13" t="n">
        <v>1862.5</v>
      </c>
      <c r="AP88" s="13" t="n">
        <v>1904.5</v>
      </c>
      <c r="AQ88" s="13" t="n">
        <v>1883.5</v>
      </c>
      <c r="AR88" s="13" t="n">
        <v>1902.5</v>
      </c>
      <c r="AS88" s="13" t="n">
        <v>1900</v>
      </c>
      <c r="AT88" s="13" t="n">
        <v>1894.5</v>
      </c>
      <c r="AU88" s="13" t="n">
        <v>1880.5</v>
      </c>
      <c r="AV88" s="13" t="n">
        <v>1881.5</v>
      </c>
      <c r="AW88" s="13" t="n">
        <v>1895.5</v>
      </c>
      <c r="AX88" s="13" t="n">
        <v>1930.5</v>
      </c>
      <c r="AY88" s="13" t="n">
        <v>1890.5</v>
      </c>
      <c r="AZ88" s="13" t="n">
        <v>1879.5</v>
      </c>
      <c r="BA88" s="13" t="n">
        <v>1878</v>
      </c>
      <c r="BB88" s="13" t="n">
        <v>1872</v>
      </c>
      <c r="BC88" s="13" t="n">
        <v>1875.5</v>
      </c>
      <c r="BD88" s="13" t="n">
        <v>1829.5</v>
      </c>
      <c r="BE88" s="13" t="n">
        <v>1841</v>
      </c>
      <c r="BF88" s="13" t="n">
        <v>1860</v>
      </c>
      <c r="BG88" s="13" t="n">
        <v>1861.5</v>
      </c>
      <c r="BH88" s="13" t="n">
        <v>1864</v>
      </c>
      <c r="BI88" s="13" t="n">
        <v>1841.5</v>
      </c>
      <c r="BJ88" s="13" t="n">
        <v>1806.5</v>
      </c>
      <c r="BK88" s="13" t="n">
        <v>1861.5</v>
      </c>
      <c r="BL88" s="13" t="n">
        <v>1904</v>
      </c>
    </row>
    <row r="89" ht="15.95" customHeight="1" s="574">
      <c r="A89" s="64" t="inlineStr">
        <is>
          <t>5892</t>
        </is>
      </c>
      <c r="B89" s="673" t="inlineStr">
        <is>
          <t>ＹＵＴＯＲＩ</t>
        </is>
      </c>
      <c r="C89" s="676">
        <f>_xll.RssMarket("5892","現在値")</f>
        <v/>
      </c>
      <c r="D89" s="661">
        <f>C89-E89</f>
        <v/>
      </c>
      <c r="E89" s="13" t="n">
        <v>2032</v>
      </c>
      <c r="F89" s="13" t="n">
        <v>2030</v>
      </c>
      <c r="G89" s="13" t="n">
        <v>2192</v>
      </c>
      <c r="H89" s="13" t="n">
        <v>2040</v>
      </c>
      <c r="I89" s="13" t="n">
        <v>2001</v>
      </c>
      <c r="J89" s="13" t="n">
        <v>2121</v>
      </c>
      <c r="K89" s="13" t="n">
        <v>2197</v>
      </c>
      <c r="L89" s="13" t="n">
        <v>2225</v>
      </c>
      <c r="M89" s="13" t="n">
        <v>2370</v>
      </c>
      <c r="N89" s="13" t="n">
        <v>2197</v>
      </c>
      <c r="O89" s="13" t="n">
        <v>2141</v>
      </c>
      <c r="P89" s="13" t="n">
        <v>2131</v>
      </c>
      <c r="Q89" s="13" t="n">
        <v>2164</v>
      </c>
      <c r="R89" s="13" t="n">
        <v>2290</v>
      </c>
      <c r="S89" s="13" t="n">
        <v>2316</v>
      </c>
      <c r="T89" s="13" t="n">
        <v>2378</v>
      </c>
      <c r="U89" s="13" t="n">
        <v>2385</v>
      </c>
      <c r="V89" s="13" t="n">
        <v>2376</v>
      </c>
      <c r="W89" s="13" t="n">
        <v>2490</v>
      </c>
      <c r="X89" s="13" t="n">
        <v>2561</v>
      </c>
      <c r="Y89" s="13" t="n">
        <v>2649</v>
      </c>
      <c r="Z89" s="13" t="n">
        <v>2583</v>
      </c>
      <c r="AA89" s="13" t="n">
        <v>2384</v>
      </c>
      <c r="AB89" s="13" t="n">
        <v>1984</v>
      </c>
      <c r="AC89" s="13" t="n">
        <v>2090</v>
      </c>
      <c r="AD89" s="13" t="n">
        <v>1935</v>
      </c>
      <c r="AE89" s="13" t="n">
        <v>1929</v>
      </c>
      <c r="AF89" s="13" t="n">
        <v>1970</v>
      </c>
      <c r="AG89" s="13" t="n">
        <v>1973</v>
      </c>
      <c r="AH89" s="13" t="n">
        <v>1987</v>
      </c>
      <c r="AI89" s="13" t="n">
        <v>1950</v>
      </c>
      <c r="AJ89" s="13" t="n">
        <v>1999</v>
      </c>
      <c r="AK89" s="13" t="n">
        <v>2041</v>
      </c>
      <c r="AL89" s="13" t="n">
        <v>2049</v>
      </c>
      <c r="AM89" s="13" t="n">
        <v>2078</v>
      </c>
      <c r="AN89" s="13" t="n">
        <v>2191</v>
      </c>
      <c r="AO89" s="13" t="n">
        <v>2207</v>
      </c>
      <c r="AP89" s="13" t="n">
        <v>2224</v>
      </c>
      <c r="AQ89" s="13" t="n">
        <v>2205</v>
      </c>
      <c r="AR89" s="13" t="n">
        <v>2206</v>
      </c>
      <c r="AS89" s="13" t="n">
        <v>2233</v>
      </c>
      <c r="AT89" s="13" t="n">
        <v>2311</v>
      </c>
      <c r="AU89" s="13" t="n">
        <v>2173</v>
      </c>
      <c r="AV89" s="13" t="n">
        <v>2176</v>
      </c>
      <c r="AW89" s="13" t="n">
        <v>2170</v>
      </c>
      <c r="AX89" s="13" t="n">
        <v>2180</v>
      </c>
      <c r="AY89" s="13" t="n">
        <v>2056</v>
      </c>
      <c r="AZ89" s="13" t="n">
        <v>2047</v>
      </c>
      <c r="BA89" s="13" t="n">
        <v>2011</v>
      </c>
      <c r="BB89" s="13" t="n">
        <v>2017</v>
      </c>
      <c r="BC89" s="13" t="n">
        <v>2075</v>
      </c>
      <c r="BD89" s="13" t="n">
        <v>2025</v>
      </c>
      <c r="BE89" s="13" t="n">
        <v>1985</v>
      </c>
      <c r="BF89" s="13" t="n">
        <v>2071</v>
      </c>
      <c r="BG89" s="13" t="n">
        <v>2048</v>
      </c>
      <c r="BH89" s="13" t="n">
        <v>2083</v>
      </c>
      <c r="BI89" s="13" t="n">
        <v>2063</v>
      </c>
      <c r="BJ89" s="13" t="n">
        <v>1945</v>
      </c>
      <c r="BK89" s="13" t="n">
        <v>2085</v>
      </c>
      <c r="BL89" s="13" t="n">
        <v>2254</v>
      </c>
    </row>
    <row r="90" ht="15.95" customHeight="1" s="574">
      <c r="A90" s="64" t="inlineStr">
        <is>
          <t>6323</t>
        </is>
      </c>
      <c r="B90" s="673" t="inlineStr">
        <is>
          <t>ローツェ</t>
        </is>
      </c>
      <c r="C90" s="676">
        <f>_xll.RssMarket("6323","現在値")</f>
        <v/>
      </c>
      <c r="D90" s="661">
        <f>C90-E90</f>
        <v/>
      </c>
      <c r="E90" s="13" t="n">
        <v>5020</v>
      </c>
      <c r="F90" s="13" t="n">
        <v>4864</v>
      </c>
      <c r="G90" s="13" t="n">
        <v>4554</v>
      </c>
      <c r="H90" s="13" t="n">
        <v>4410</v>
      </c>
      <c r="I90" s="13" t="n">
        <v>4168</v>
      </c>
      <c r="J90" s="13" t="n">
        <v>3841</v>
      </c>
      <c r="K90" s="13" t="n">
        <v>3867</v>
      </c>
      <c r="L90" s="13" t="n">
        <v>3942</v>
      </c>
      <c r="M90" s="13" t="n">
        <v>4229</v>
      </c>
      <c r="N90" s="13" t="n">
        <v>4424</v>
      </c>
      <c r="O90" s="13" t="n">
        <v>4216</v>
      </c>
      <c r="P90" s="13" t="n">
        <v>3835</v>
      </c>
      <c r="Q90" s="13" t="n">
        <v>3848</v>
      </c>
      <c r="R90" s="13" t="n">
        <v>3933</v>
      </c>
      <c r="S90" s="13" t="n">
        <v>3894</v>
      </c>
      <c r="T90" s="13" t="n">
        <v>3867</v>
      </c>
      <c r="U90" s="13" t="n">
        <v>4000</v>
      </c>
      <c r="V90" s="13" t="n">
        <v>3887</v>
      </c>
      <c r="W90" s="13" t="n">
        <v>3752</v>
      </c>
      <c r="X90" s="13" t="n">
        <v>3487</v>
      </c>
      <c r="Y90" s="13" t="n">
        <v>3597</v>
      </c>
      <c r="Z90" s="13" t="n">
        <v>3672</v>
      </c>
      <c r="AA90" s="13" t="n">
        <v>3739</v>
      </c>
      <c r="AB90" s="13" t="n">
        <v>3997</v>
      </c>
      <c r="AC90" s="13" t="n">
        <v>3946</v>
      </c>
      <c r="AD90" s="13" t="n">
        <v>3995</v>
      </c>
      <c r="AE90" s="13" t="n">
        <v>4040</v>
      </c>
      <c r="AF90" s="13" t="n">
        <v>3898</v>
      </c>
      <c r="AG90" s="13" t="n">
        <v>3950</v>
      </c>
      <c r="AH90" s="13" t="n">
        <v>3704</v>
      </c>
      <c r="AI90" s="13" t="n">
        <v>3670</v>
      </c>
      <c r="AJ90" s="13" t="n">
        <v>3855</v>
      </c>
      <c r="AK90" s="13" t="n">
        <v>3996</v>
      </c>
      <c r="AL90" s="13" t="n">
        <v>3638</v>
      </c>
      <c r="AM90" s="13" t="n">
        <v>3522</v>
      </c>
      <c r="AN90" s="13" t="n">
        <v>3566</v>
      </c>
      <c r="AO90" s="13" t="n">
        <v>3700</v>
      </c>
      <c r="AP90" s="13" t="n">
        <v>3624</v>
      </c>
      <c r="AQ90" s="13" t="n">
        <v>3626</v>
      </c>
      <c r="AR90" s="13" t="n">
        <v>3819</v>
      </c>
      <c r="AS90" s="13" t="n">
        <v>3852</v>
      </c>
      <c r="AT90" s="13" t="n">
        <v>4035</v>
      </c>
      <c r="AU90" s="13" t="n">
        <v>4058</v>
      </c>
      <c r="AV90" s="13" t="n">
        <v>3969</v>
      </c>
      <c r="AW90" s="13" t="n">
        <v>3269</v>
      </c>
      <c r="AX90" s="13" t="n">
        <v>3200</v>
      </c>
      <c r="AY90" s="13" t="n">
        <v>2891</v>
      </c>
      <c r="AZ90" s="13" t="n">
        <v>2802.5</v>
      </c>
      <c r="BA90" s="13" t="n">
        <v>2699</v>
      </c>
      <c r="BB90" s="13" t="n">
        <v>2618</v>
      </c>
      <c r="BC90" s="13" t="n">
        <v>2729</v>
      </c>
      <c r="BD90" s="13" t="n">
        <v>2570</v>
      </c>
      <c r="BE90" s="13" t="n">
        <v>2569.5</v>
      </c>
      <c r="BF90" s="13" t="n">
        <v>2680.5</v>
      </c>
      <c r="BG90" s="13" t="n">
        <v>2795.5</v>
      </c>
      <c r="BH90" s="13" t="n">
        <v>2831.5</v>
      </c>
      <c r="BI90" s="13" t="n">
        <v>2732</v>
      </c>
      <c r="BJ90" s="13" t="n">
        <v>2685.5</v>
      </c>
      <c r="BK90" s="13" t="n">
        <v>2776.5</v>
      </c>
      <c r="BL90" s="13" t="n">
        <v>2887.5</v>
      </c>
    </row>
    <row r="91" ht="15.95" customHeight="1" s="574">
      <c r="A91" s="64" t="inlineStr">
        <is>
          <t>6501</t>
        </is>
      </c>
      <c r="B91" s="673" t="inlineStr">
        <is>
          <t>日立</t>
        </is>
      </c>
      <c r="C91" s="676">
        <f>_xll.RssMarket("6501","現在値")</f>
        <v/>
      </c>
      <c r="D91" s="661">
        <f>C91-E91</f>
        <v/>
      </c>
      <c r="E91" s="13" t="n">
        <v>4864</v>
      </c>
      <c r="F91" s="13" t="n">
        <v>4764</v>
      </c>
      <c r="G91" s="13" t="n">
        <v>4701</v>
      </c>
      <c r="H91" s="13" t="n">
        <v>4747</v>
      </c>
      <c r="I91" s="13" t="n">
        <v>4657</v>
      </c>
      <c r="J91" s="13" t="n">
        <v>4655</v>
      </c>
      <c r="K91" s="13" t="n">
        <v>4784</v>
      </c>
      <c r="L91" s="13" t="n">
        <v>5031</v>
      </c>
      <c r="M91" s="13" t="n">
        <v>5300</v>
      </c>
      <c r="N91" s="13" t="n">
        <v>5183</v>
      </c>
      <c r="O91" s="13" t="n">
        <v>5270</v>
      </c>
      <c r="P91" s="13" t="n">
        <v>5083</v>
      </c>
      <c r="Q91" s="13" t="n">
        <v>5126</v>
      </c>
      <c r="R91" s="13" t="n">
        <v>5166</v>
      </c>
      <c r="S91" s="13" t="n">
        <v>5174</v>
      </c>
      <c r="T91" s="13" t="n">
        <v>4960</v>
      </c>
      <c r="U91" s="13" t="n">
        <v>5054</v>
      </c>
      <c r="V91" s="13" t="n">
        <v>5002</v>
      </c>
      <c r="W91" s="13" t="n">
        <v>5123</v>
      </c>
      <c r="X91" s="13" t="n">
        <v>4908</v>
      </c>
      <c r="Y91" s="13" t="n">
        <v>4944</v>
      </c>
      <c r="Z91" s="13" t="n">
        <v>4808</v>
      </c>
      <c r="AA91" s="13" t="n">
        <v>4812</v>
      </c>
      <c r="AB91" s="13" t="n">
        <v>4671</v>
      </c>
      <c r="AC91" s="13" t="n">
        <v>4750</v>
      </c>
      <c r="AD91" s="13" t="n">
        <v>4868</v>
      </c>
      <c r="AE91" s="13" t="n">
        <v>4887</v>
      </c>
      <c r="AF91" s="13" t="n">
        <v>4938</v>
      </c>
      <c r="AG91" s="13" t="n">
        <v>4850</v>
      </c>
      <c r="AH91" s="13" t="n">
        <v>4795</v>
      </c>
      <c r="AI91" s="13" t="n">
        <v>4882</v>
      </c>
      <c r="AJ91" s="13" t="n">
        <v>5047</v>
      </c>
      <c r="AK91" s="13" t="n">
        <v>5356</v>
      </c>
      <c r="AL91" s="13" t="n">
        <v>5229</v>
      </c>
      <c r="AM91" s="13" t="n">
        <v>5203</v>
      </c>
      <c r="AN91" s="13" t="n">
        <v>5034</v>
      </c>
      <c r="AO91" s="13" t="n">
        <v>5189</v>
      </c>
      <c r="AP91" s="13" t="n">
        <v>5153</v>
      </c>
      <c r="AQ91" s="13" t="n">
        <v>5157</v>
      </c>
      <c r="AR91" s="13" t="n">
        <v>5220</v>
      </c>
      <c r="AS91" s="13" t="n">
        <v>5220</v>
      </c>
      <c r="AT91" s="13" t="n">
        <v>4957</v>
      </c>
      <c r="AU91" s="13" t="n">
        <v>4848</v>
      </c>
      <c r="AV91" s="13" t="n">
        <v>4810</v>
      </c>
      <c r="AW91" s="13" t="n">
        <v>4843</v>
      </c>
      <c r="AX91" s="13" t="n">
        <v>4915</v>
      </c>
      <c r="AY91" s="13" t="n">
        <v>4764</v>
      </c>
      <c r="AZ91" s="13" t="n">
        <v>4719</v>
      </c>
      <c r="BA91" s="13" t="n">
        <v>4811</v>
      </c>
      <c r="BB91" s="13" t="n">
        <v>4675</v>
      </c>
      <c r="BC91" s="13" t="n">
        <v>4732</v>
      </c>
      <c r="BD91" s="13" t="n">
        <v>4464</v>
      </c>
      <c r="BE91" s="13" t="n">
        <v>4533</v>
      </c>
      <c r="BF91" s="13" t="n">
        <v>4716</v>
      </c>
      <c r="BG91" s="13" t="n">
        <v>4779</v>
      </c>
      <c r="BH91" s="13" t="n">
        <v>4881</v>
      </c>
      <c r="BI91" s="13" t="n">
        <v>4810</v>
      </c>
      <c r="BJ91" s="13" t="n">
        <v>4800</v>
      </c>
      <c r="BK91" s="13" t="n">
        <v>4849</v>
      </c>
      <c r="BL91" s="13" t="n">
        <v>4869</v>
      </c>
    </row>
    <row r="92" ht="15.95" customHeight="1" s="574">
      <c r="A92" s="64" t="inlineStr">
        <is>
          <t>6134</t>
        </is>
      </c>
      <c r="B92" s="673" t="inlineStr">
        <is>
          <t>ＦＵＪＩ</t>
        </is>
      </c>
      <c r="C92" s="676">
        <f>_xll.RssMarket("6134","現在値")</f>
        <v/>
      </c>
      <c r="D92" s="661">
        <f>C92-E92</f>
        <v/>
      </c>
      <c r="E92" s="13" t="n">
        <v>8511</v>
      </c>
      <c r="F92" s="13" t="n">
        <v>8379</v>
      </c>
      <c r="G92" s="13" t="n">
        <v>8323</v>
      </c>
      <c r="H92" s="13" t="n">
        <v>8239</v>
      </c>
      <c r="I92" s="13" t="n">
        <v>7671</v>
      </c>
      <c r="J92" s="13" t="n">
        <v>7426</v>
      </c>
      <c r="K92" s="13" t="n">
        <v>7355</v>
      </c>
      <c r="L92" s="13" t="n">
        <v>7162</v>
      </c>
      <c r="M92" s="13" t="n">
        <v>7736</v>
      </c>
      <c r="N92" s="13" t="n">
        <v>7788</v>
      </c>
      <c r="O92" s="13" t="n">
        <v>7835</v>
      </c>
      <c r="P92" s="13" t="n">
        <v>7932</v>
      </c>
      <c r="Q92" s="13" t="n">
        <v>8196</v>
      </c>
      <c r="R92" s="13" t="n">
        <v>7938</v>
      </c>
      <c r="S92" s="13" t="n">
        <v>7881</v>
      </c>
      <c r="T92" s="13" t="n">
        <v>7867</v>
      </c>
      <c r="U92" s="13" t="n">
        <v>8323</v>
      </c>
      <c r="V92" s="13" t="n">
        <v>7918</v>
      </c>
      <c r="W92" s="13" t="n">
        <v>7585</v>
      </c>
      <c r="X92" s="13" t="n">
        <v>7220</v>
      </c>
      <c r="Y92" s="13" t="n">
        <v>7576</v>
      </c>
      <c r="Z92" s="13" t="n">
        <v>7735</v>
      </c>
      <c r="AA92" s="13" t="n">
        <v>7993</v>
      </c>
      <c r="AB92" s="13" t="n">
        <v>7201</v>
      </c>
      <c r="AC92" s="13" t="n">
        <v>6988</v>
      </c>
      <c r="AD92" s="13" t="n">
        <v>6913</v>
      </c>
      <c r="AE92" s="13" t="n">
        <v>6721</v>
      </c>
      <c r="AF92" s="13" t="n">
        <v>6615</v>
      </c>
      <c r="AG92" s="13" t="n">
        <v>6272</v>
      </c>
      <c r="AH92" s="13" t="n">
        <v>6024</v>
      </c>
      <c r="AI92" s="13" t="n">
        <v>6068</v>
      </c>
      <c r="AJ92" s="13" t="n">
        <v>6063</v>
      </c>
      <c r="AK92" s="13" t="n">
        <v>5963</v>
      </c>
      <c r="AL92" s="13" t="n">
        <v>5873</v>
      </c>
      <c r="AM92" s="13" t="n">
        <v>5714</v>
      </c>
      <c r="AN92" s="13" t="n">
        <v>5950</v>
      </c>
      <c r="AO92" s="13" t="n">
        <v>5967</v>
      </c>
      <c r="AP92" s="13" t="n">
        <v>5740</v>
      </c>
      <c r="AQ92" s="13" t="n">
        <v>5657</v>
      </c>
      <c r="AR92" s="13" t="n">
        <v>5867</v>
      </c>
      <c r="AS92" s="13" t="n">
        <v>5716</v>
      </c>
      <c r="AT92" s="13" t="n">
        <v>5810</v>
      </c>
      <c r="AU92" s="13" t="n">
        <v>5508</v>
      </c>
      <c r="AV92" s="13" t="n">
        <v>5447</v>
      </c>
      <c r="AW92" s="13" t="n">
        <v>5340</v>
      </c>
      <c r="AX92" s="13" t="n">
        <v>5303</v>
      </c>
      <c r="AY92" s="13" t="n">
        <v>4959</v>
      </c>
      <c r="AZ92" s="13" t="n">
        <v>4917</v>
      </c>
      <c r="BA92" s="13" t="n">
        <v>4916</v>
      </c>
      <c r="BB92" s="13" t="n">
        <v>4810</v>
      </c>
      <c r="BC92" s="13" t="n">
        <v>5013</v>
      </c>
      <c r="BD92" s="13" t="n">
        <v>4661</v>
      </c>
      <c r="BE92" s="13" t="n">
        <v>4750</v>
      </c>
      <c r="BF92" s="13" t="n">
        <v>5006</v>
      </c>
      <c r="BG92" s="13" t="n">
        <v>5154</v>
      </c>
      <c r="BH92" s="13" t="n">
        <v>5202</v>
      </c>
      <c r="BI92" s="13" t="n">
        <v>4982</v>
      </c>
      <c r="BJ92" s="13" t="n">
        <v>4844</v>
      </c>
      <c r="BK92" s="13" t="n">
        <v>5116</v>
      </c>
      <c r="BL92" s="13" t="n">
        <v>5367</v>
      </c>
    </row>
    <row r="93" ht="15.95" customHeight="1" s="574">
      <c r="A93" s="64" t="inlineStr">
        <is>
          <t>7746</t>
        </is>
      </c>
      <c r="B93" s="673" t="inlineStr">
        <is>
          <t>岡本硝子</t>
        </is>
      </c>
      <c r="C93" s="676">
        <f>_xll.RssMarket("7746","現在値")</f>
        <v/>
      </c>
      <c r="D93" s="661">
        <f>C93-E93</f>
        <v/>
      </c>
      <c r="E93" s="13" t="n">
        <v>802</v>
      </c>
      <c r="F93" s="13" t="n">
        <v>796</v>
      </c>
      <c r="G93" s="13" t="n">
        <v>828</v>
      </c>
      <c r="H93" s="13" t="n">
        <v>897</v>
      </c>
      <c r="I93" s="13" t="n">
        <v>722</v>
      </c>
      <c r="J93" s="13" t="n">
        <v>700</v>
      </c>
      <c r="K93" s="13" t="n">
        <v>682</v>
      </c>
      <c r="L93" s="13" t="n">
        <v>726</v>
      </c>
      <c r="M93" s="13" t="n">
        <v>778</v>
      </c>
      <c r="N93" s="13" t="n">
        <v>755</v>
      </c>
      <c r="O93" s="13" t="n">
        <v>784</v>
      </c>
      <c r="P93" s="13" t="n">
        <v>773</v>
      </c>
      <c r="Q93" s="13" t="n">
        <v>795</v>
      </c>
      <c r="R93" s="13" t="n">
        <v>845</v>
      </c>
      <c r="S93" s="13" t="n">
        <v>843</v>
      </c>
      <c r="T93" s="13" t="n">
        <v>850</v>
      </c>
      <c r="U93" s="13" t="n">
        <v>893</v>
      </c>
      <c r="V93" s="13" t="n">
        <v>911</v>
      </c>
      <c r="W93" s="13" t="n">
        <v>929</v>
      </c>
      <c r="X93" s="13" t="n">
        <v>989</v>
      </c>
      <c r="Y93" s="13" t="n">
        <v>1054</v>
      </c>
      <c r="Z93" s="13" t="n">
        <v>904</v>
      </c>
      <c r="AA93" s="13" t="n">
        <v>754</v>
      </c>
      <c r="AB93" s="13" t="n">
        <v>779</v>
      </c>
      <c r="AC93" s="13" t="n">
        <v>795</v>
      </c>
      <c r="AD93" s="13" t="n">
        <v>765</v>
      </c>
      <c r="AE93" s="13" t="n">
        <v>820</v>
      </c>
      <c r="AF93" s="13" t="n">
        <v>878</v>
      </c>
      <c r="AG93" s="13" t="n">
        <v>840</v>
      </c>
      <c r="AH93" s="13" t="n">
        <v>815</v>
      </c>
      <c r="AI93" s="13" t="n">
        <v>852</v>
      </c>
      <c r="AJ93" s="13" t="n">
        <v>921</v>
      </c>
      <c r="AK93" s="13" t="n">
        <v>946</v>
      </c>
      <c r="AL93" s="13" t="n">
        <v>955</v>
      </c>
      <c r="AM93" s="13" t="n">
        <v>976</v>
      </c>
      <c r="AN93" s="13" t="n">
        <v>999</v>
      </c>
      <c r="AO93" s="13" t="n">
        <v>998</v>
      </c>
      <c r="AP93" s="13" t="n">
        <v>1056</v>
      </c>
      <c r="AQ93" s="13" t="n">
        <v>949</v>
      </c>
      <c r="AR93" s="13" t="n">
        <v>962</v>
      </c>
      <c r="AS93" s="13" t="n">
        <v>985</v>
      </c>
      <c r="AT93" s="13" t="n">
        <v>981</v>
      </c>
      <c r="AU93" s="13" t="n">
        <v>964</v>
      </c>
      <c r="AV93" s="13" t="n">
        <v>1011</v>
      </c>
      <c r="AW93" s="13" t="n">
        <v>1033</v>
      </c>
      <c r="AX93" s="13" t="n">
        <v>1066</v>
      </c>
      <c r="AY93" s="13" t="n">
        <v>1001</v>
      </c>
      <c r="AZ93" s="13" t="n">
        <v>998</v>
      </c>
      <c r="BA93" s="13" t="n">
        <v>1010</v>
      </c>
      <c r="BB93" s="13" t="n">
        <v>1043</v>
      </c>
      <c r="BC93" s="13" t="n">
        <v>1108</v>
      </c>
      <c r="BD93" s="13" t="n">
        <v>1111</v>
      </c>
      <c r="BE93" s="13" t="n">
        <v>997</v>
      </c>
      <c r="BF93" s="13" t="n">
        <v>952</v>
      </c>
      <c r="BG93" s="13" t="n">
        <v>970</v>
      </c>
      <c r="BH93" s="13" t="n">
        <v>1007</v>
      </c>
      <c r="BI93" s="13" t="n">
        <v>992</v>
      </c>
      <c r="BJ93" s="13" t="n">
        <v>1008</v>
      </c>
      <c r="BK93" s="13" t="n">
        <v>1078</v>
      </c>
      <c r="BL93" s="13" t="n">
        <v>1123</v>
      </c>
    </row>
    <row r="94" ht="15.95" customHeight="1" s="574">
      <c r="A94" s="64" t="inlineStr">
        <is>
          <t>3407</t>
        </is>
      </c>
      <c r="B94" s="673" t="inlineStr">
        <is>
          <t>旭化成</t>
        </is>
      </c>
      <c r="C94" s="676">
        <f>_xll.RssMarket("3407","現在値")</f>
        <v/>
      </c>
      <c r="D94" s="661">
        <f>C94-E94</f>
        <v/>
      </c>
      <c r="E94" s="13" t="n">
        <v>1823.5</v>
      </c>
      <c r="F94" s="13" t="n">
        <v>1792.5</v>
      </c>
      <c r="G94" s="13" t="n">
        <v>1790</v>
      </c>
      <c r="H94" s="13" t="n">
        <v>1761.5</v>
      </c>
      <c r="I94" s="13" t="n">
        <v>1788.5</v>
      </c>
      <c r="J94" s="13" t="n">
        <v>1760</v>
      </c>
      <c r="K94" s="13" t="n">
        <v>1756</v>
      </c>
      <c r="L94" s="13" t="n">
        <v>1746</v>
      </c>
      <c r="M94" s="13" t="n">
        <v>1786.5</v>
      </c>
      <c r="N94" s="13" t="n">
        <v>1786</v>
      </c>
      <c r="O94" s="13" t="n">
        <v>1757.5</v>
      </c>
      <c r="P94" s="13" t="n">
        <v>1742.5</v>
      </c>
      <c r="Q94" s="13" t="n">
        <v>1768</v>
      </c>
      <c r="R94" s="13" t="n">
        <v>1787</v>
      </c>
      <c r="S94" s="13" t="n">
        <v>1755.5</v>
      </c>
      <c r="T94" s="13" t="n">
        <v>1750</v>
      </c>
      <c r="U94" s="13" t="n">
        <v>1770</v>
      </c>
      <c r="V94" s="13" t="n">
        <v>1726</v>
      </c>
      <c r="W94" s="13" t="n">
        <v>1709</v>
      </c>
      <c r="X94" s="13" t="n">
        <v>1673.5</v>
      </c>
      <c r="Y94" s="13" t="n">
        <v>1700</v>
      </c>
      <c r="Z94" s="13" t="n">
        <v>1690</v>
      </c>
      <c r="AA94" s="13" t="n">
        <v>1728</v>
      </c>
      <c r="AB94" s="13" t="n">
        <v>1729</v>
      </c>
      <c r="AC94" s="13" t="n">
        <v>1750</v>
      </c>
      <c r="AD94" s="13" t="n">
        <v>1654.5</v>
      </c>
      <c r="AE94" s="13" t="n">
        <v>1532.5</v>
      </c>
      <c r="AF94" s="13" t="n">
        <v>1536.5</v>
      </c>
      <c r="AG94" s="13" t="n">
        <v>1545.5</v>
      </c>
      <c r="AH94" s="13" t="n">
        <v>1524.5</v>
      </c>
      <c r="AI94" s="13" t="n">
        <v>1535</v>
      </c>
      <c r="AJ94" s="13" t="n">
        <v>1542</v>
      </c>
      <c r="AK94" s="13" t="n">
        <v>1519.5</v>
      </c>
      <c r="AL94" s="13" t="n">
        <v>1527</v>
      </c>
      <c r="AM94" s="13" t="n">
        <v>1526.5</v>
      </c>
      <c r="AN94" s="13" t="n">
        <v>1533.5</v>
      </c>
      <c r="AO94" s="13" t="n">
        <v>1558.5</v>
      </c>
      <c r="AP94" s="13" t="n">
        <v>1559</v>
      </c>
      <c r="AQ94" s="13" t="n">
        <v>1602</v>
      </c>
      <c r="AR94" s="13" t="n">
        <v>1612</v>
      </c>
      <c r="AS94" s="13" t="n">
        <v>1540.5</v>
      </c>
      <c r="AT94" s="13" t="n">
        <v>1573.5</v>
      </c>
      <c r="AU94" s="13" t="n">
        <v>1611</v>
      </c>
      <c r="AV94" s="13" t="n">
        <v>1635.5</v>
      </c>
      <c r="AW94" s="13" t="n">
        <v>1637.5</v>
      </c>
      <c r="AX94" s="13" t="n">
        <v>1650</v>
      </c>
      <c r="AY94" s="13" t="n">
        <v>1545</v>
      </c>
      <c r="AZ94" s="13" t="n">
        <v>1538.5</v>
      </c>
      <c r="BA94" s="13" t="n">
        <v>1560</v>
      </c>
      <c r="BB94" s="13" t="n">
        <v>1544.5</v>
      </c>
      <c r="BC94" s="13" t="n">
        <v>1590.5</v>
      </c>
      <c r="BD94" s="13" t="n">
        <v>1509</v>
      </c>
      <c r="BE94" s="13" t="n">
        <v>1506.5</v>
      </c>
      <c r="BF94" s="13" t="n">
        <v>1569.5</v>
      </c>
      <c r="BG94" s="13" t="n">
        <v>1560</v>
      </c>
      <c r="BH94" s="13" t="n">
        <v>1557.5</v>
      </c>
      <c r="BI94" s="13" t="n">
        <v>1530</v>
      </c>
      <c r="BJ94" s="13" t="n">
        <v>1474.5</v>
      </c>
      <c r="BK94" s="13" t="n">
        <v>1553.5</v>
      </c>
      <c r="BL94" s="13" t="n">
        <v>1636</v>
      </c>
    </row>
    <row r="95" ht="15.95" customHeight="1" s="574">
      <c r="A95" s="64" t="inlineStr">
        <is>
          <t>4008</t>
        </is>
      </c>
      <c r="B95" s="673" t="inlineStr">
        <is>
          <t>住友精化</t>
        </is>
      </c>
      <c r="C95" s="676">
        <f>_xll.RssMarket("4008","現在値")</f>
        <v/>
      </c>
      <c r="D95" s="661">
        <f>C95-E95</f>
        <v/>
      </c>
      <c r="E95" s="13" t="n">
        <v>1330</v>
      </c>
      <c r="F95" s="13" t="n">
        <v>1327</v>
      </c>
      <c r="G95" s="13" t="n">
        <v>1318</v>
      </c>
      <c r="H95" s="13" t="n">
        <v>1321</v>
      </c>
      <c r="I95" s="13" t="n">
        <v>1281</v>
      </c>
      <c r="J95" s="13" t="n">
        <v>1256</v>
      </c>
      <c r="K95" s="13" t="n">
        <v>1255</v>
      </c>
      <c r="L95" s="13" t="n">
        <v>1254</v>
      </c>
      <c r="M95" s="13" t="n">
        <v>1289</v>
      </c>
      <c r="N95" s="13" t="n">
        <v>1273</v>
      </c>
      <c r="O95" s="13" t="n">
        <v>1312</v>
      </c>
      <c r="P95" s="13" t="n">
        <v>1286</v>
      </c>
      <c r="Q95" s="13" t="n">
        <v>1272</v>
      </c>
      <c r="R95" s="13" t="n">
        <v>1332</v>
      </c>
      <c r="S95" s="13" t="n">
        <v>1323</v>
      </c>
      <c r="T95" s="13" t="n">
        <v>1319</v>
      </c>
      <c r="U95" s="13" t="n">
        <v>1302</v>
      </c>
      <c r="V95" s="13" t="n">
        <v>1275</v>
      </c>
      <c r="W95" s="13" t="n">
        <v>1231</v>
      </c>
      <c r="X95" s="13" t="n">
        <v>1218</v>
      </c>
      <c r="Y95" s="13" t="n">
        <v>1234</v>
      </c>
      <c r="Z95" s="13" t="n">
        <v>1243</v>
      </c>
      <c r="AA95" s="13" t="n">
        <v>1260</v>
      </c>
      <c r="AB95" s="13" t="n">
        <v>1250</v>
      </c>
      <c r="AC95" s="13" t="n">
        <v>1247</v>
      </c>
      <c r="AD95" s="13" t="n">
        <v>1188</v>
      </c>
      <c r="AE95" s="13" t="n">
        <v>1212</v>
      </c>
      <c r="AF95" s="13" t="n">
        <v>1209</v>
      </c>
      <c r="AG95" s="13" t="n">
        <v>1217</v>
      </c>
      <c r="AH95" s="13" t="n">
        <v>1186</v>
      </c>
      <c r="AI95" s="13" t="n">
        <v>1197</v>
      </c>
      <c r="AJ95" s="13" t="n">
        <v>1207</v>
      </c>
      <c r="AK95" s="13" t="n">
        <v>1194</v>
      </c>
      <c r="AL95" s="13" t="n">
        <v>1197</v>
      </c>
      <c r="AM95" s="13" t="n">
        <v>1196</v>
      </c>
      <c r="AN95" s="13" t="n">
        <v>1201</v>
      </c>
      <c r="AO95" s="13" t="n">
        <v>1239</v>
      </c>
      <c r="AP95" s="13" t="n">
        <v>1267</v>
      </c>
      <c r="AQ95" s="13" t="n">
        <v>1268</v>
      </c>
      <c r="AR95" s="13" t="n">
        <v>1279</v>
      </c>
      <c r="AS95" s="13" t="n">
        <v>1280</v>
      </c>
      <c r="AT95" s="13" t="n">
        <v>1274</v>
      </c>
      <c r="AU95" s="13" t="n">
        <v>1257</v>
      </c>
      <c r="AV95" s="13" t="n">
        <v>1253</v>
      </c>
      <c r="AW95" s="13" t="n">
        <v>1252</v>
      </c>
      <c r="AX95" s="13" t="n">
        <v>1268</v>
      </c>
      <c r="AY95" s="13" t="n">
        <v>1227</v>
      </c>
      <c r="AZ95" s="13" t="n">
        <v>1230</v>
      </c>
      <c r="BA95" s="13" t="n">
        <v>1223</v>
      </c>
      <c r="BB95" s="13" t="n">
        <v>1205</v>
      </c>
      <c r="BC95" s="13" t="n">
        <v>1233</v>
      </c>
      <c r="BD95" s="13" t="n">
        <v>1182</v>
      </c>
      <c r="BE95" s="13" t="n">
        <v>1217</v>
      </c>
      <c r="BF95" s="13" t="n">
        <v>1260</v>
      </c>
      <c r="BG95" s="13" t="n">
        <v>1268</v>
      </c>
      <c r="BH95" s="13" t="n">
        <v>1270</v>
      </c>
      <c r="BI95" s="13" t="n">
        <v>1246</v>
      </c>
      <c r="BJ95" s="13" t="n">
        <v>1210</v>
      </c>
      <c r="BK95" s="13" t="n">
        <v>1270</v>
      </c>
      <c r="BL95" s="13" t="n">
        <v>1336</v>
      </c>
    </row>
    <row r="96" ht="15.95" customHeight="1" s="574">
      <c r="A96" s="64" t="inlineStr">
        <is>
          <t>4062</t>
        </is>
      </c>
      <c r="B96" s="673" t="inlineStr">
        <is>
          <t>イビデン</t>
        </is>
      </c>
      <c r="C96" s="676">
        <f>_xll.RssMarket("4062","現在値")</f>
        <v/>
      </c>
      <c r="D96" s="661">
        <f>C96-E96</f>
        <v/>
      </c>
      <c r="E96" s="13" t="n">
        <v>26425</v>
      </c>
      <c r="F96" s="13" t="n">
        <v>24560</v>
      </c>
      <c r="G96" s="13" t="n">
        <v>24000</v>
      </c>
      <c r="H96" s="13" t="n">
        <v>22445</v>
      </c>
      <c r="I96" s="13" t="n">
        <v>19105</v>
      </c>
      <c r="J96" s="13" t="n">
        <v>18210</v>
      </c>
      <c r="K96" s="13" t="n">
        <v>17400</v>
      </c>
      <c r="L96" s="13" t="n">
        <v>17060</v>
      </c>
      <c r="M96" s="13" t="n">
        <v>18760</v>
      </c>
      <c r="N96" s="13" t="n">
        <v>20155</v>
      </c>
      <c r="O96" s="13" t="n">
        <v>21940</v>
      </c>
      <c r="P96" s="13" t="n">
        <v>21135</v>
      </c>
      <c r="Q96" s="13" t="n">
        <v>21795</v>
      </c>
      <c r="R96" s="13" t="n">
        <v>23000</v>
      </c>
      <c r="S96" s="13" t="n">
        <v>19740</v>
      </c>
      <c r="T96" s="13" t="n">
        <v>20425</v>
      </c>
      <c r="U96" s="13" t="n">
        <v>20930</v>
      </c>
      <c r="V96" s="13" t="n">
        <v>19250</v>
      </c>
      <c r="W96" s="13" t="n">
        <v>17875</v>
      </c>
      <c r="X96" s="13" t="n">
        <v>15640</v>
      </c>
      <c r="Y96" s="13" t="n">
        <v>15320</v>
      </c>
      <c r="Z96" s="13" t="n">
        <v>15635</v>
      </c>
      <c r="AA96" s="13" t="n">
        <v>15660</v>
      </c>
      <c r="AB96" s="13" t="n">
        <v>16960</v>
      </c>
      <c r="AC96" s="13" t="n">
        <v>17060</v>
      </c>
      <c r="AD96" s="13" t="n">
        <v>16550</v>
      </c>
      <c r="AE96" s="13" t="n">
        <v>15655</v>
      </c>
      <c r="AF96" s="13" t="n">
        <v>15515</v>
      </c>
      <c r="AG96" s="13" t="n">
        <v>16375</v>
      </c>
      <c r="AH96" s="13" t="n">
        <v>13375</v>
      </c>
      <c r="AI96" s="13" t="n">
        <v>13480</v>
      </c>
      <c r="AJ96" s="13" t="n">
        <v>12560</v>
      </c>
      <c r="AK96" s="13" t="n">
        <v>12670</v>
      </c>
      <c r="AL96" s="13" t="n">
        <v>12540</v>
      </c>
      <c r="AM96" s="13" t="n">
        <v>11135</v>
      </c>
      <c r="AN96" s="13" t="n">
        <v>11200</v>
      </c>
      <c r="AO96" s="13" t="n">
        <v>10560</v>
      </c>
      <c r="AP96" s="13" t="n">
        <v>9575</v>
      </c>
      <c r="AQ96" s="13" t="n">
        <v>9235</v>
      </c>
      <c r="AR96" s="13" t="n">
        <v>9572</v>
      </c>
      <c r="AS96" s="13" t="n">
        <v>9380</v>
      </c>
      <c r="AT96" s="13" t="n">
        <v>9915</v>
      </c>
      <c r="AU96" s="13" t="n">
        <v>9386</v>
      </c>
      <c r="AV96" s="13" t="n">
        <v>9888</v>
      </c>
      <c r="AW96" s="13" t="n">
        <v>9810</v>
      </c>
      <c r="AX96" s="13" t="n">
        <v>9794</v>
      </c>
      <c r="AY96" s="13" t="n">
        <v>8718</v>
      </c>
      <c r="AZ96" s="13" t="n">
        <v>8554</v>
      </c>
      <c r="BA96" s="13" t="n">
        <v>8210</v>
      </c>
      <c r="BB96" s="13" t="n">
        <v>7775</v>
      </c>
      <c r="BC96" s="13" t="n">
        <v>8070</v>
      </c>
      <c r="BD96" s="13" t="n">
        <v>7372</v>
      </c>
      <c r="BE96" s="13" t="n">
        <v>7776</v>
      </c>
      <c r="BF96" s="13" t="n">
        <v>8269</v>
      </c>
      <c r="BG96" s="13" t="n">
        <v>8460</v>
      </c>
      <c r="BH96" s="13" t="n">
        <v>8478</v>
      </c>
      <c r="BI96" s="13" t="n">
        <v>7835</v>
      </c>
      <c r="BJ96" s="13" t="n">
        <v>7540</v>
      </c>
      <c r="BK96" s="13" t="n">
        <v>8268</v>
      </c>
      <c r="BL96" s="13" t="n">
        <v>8481</v>
      </c>
    </row>
    <row r="97" ht="15.95" customHeight="1" s="574">
      <c r="A97" s="64" t="inlineStr">
        <is>
          <t>4182</t>
        </is>
      </c>
      <c r="B97" s="673" t="inlineStr">
        <is>
          <t>三菱瓦斯化学</t>
        </is>
      </c>
      <c r="C97" s="676">
        <f>_xll.RssMarket("4182","現在値")</f>
        <v/>
      </c>
      <c r="D97" s="661">
        <f>C97-E97</f>
        <v/>
      </c>
      <c r="E97" s="13" t="n">
        <v>5665</v>
      </c>
      <c r="F97" s="13" t="n">
        <v>5424</v>
      </c>
      <c r="G97" s="13" t="n">
        <v>5116</v>
      </c>
      <c r="H97" s="13" t="n">
        <v>5090</v>
      </c>
      <c r="I97" s="13" t="n">
        <v>4903</v>
      </c>
      <c r="J97" s="13" t="n">
        <v>4464</v>
      </c>
      <c r="K97" s="13" t="n">
        <v>4426</v>
      </c>
      <c r="L97" s="13" t="n">
        <v>4675</v>
      </c>
      <c r="M97" s="13" t="n">
        <v>5180</v>
      </c>
      <c r="N97" s="13" t="n">
        <v>5277</v>
      </c>
      <c r="O97" s="13" t="n">
        <v>5382</v>
      </c>
      <c r="P97" s="13" t="n">
        <v>5250</v>
      </c>
      <c r="Q97" s="13" t="n">
        <v>5468</v>
      </c>
      <c r="R97" s="13" t="n">
        <v>5545</v>
      </c>
      <c r="S97" s="13" t="n">
        <v>5391</v>
      </c>
      <c r="T97" s="13" t="n">
        <v>5401</v>
      </c>
      <c r="U97" s="13" t="n">
        <v>5243</v>
      </c>
      <c r="V97" s="13" t="n">
        <v>5060</v>
      </c>
      <c r="W97" s="13" t="n">
        <v>4974</v>
      </c>
      <c r="X97" s="13" t="n">
        <v>4613</v>
      </c>
      <c r="Y97" s="13" t="n">
        <v>4543</v>
      </c>
      <c r="Z97" s="13" t="n">
        <v>4620</v>
      </c>
      <c r="AA97" s="13" t="n">
        <v>4641</v>
      </c>
      <c r="AB97" s="13" t="n">
        <v>5002</v>
      </c>
      <c r="AC97" s="13" t="n">
        <v>4920</v>
      </c>
      <c r="AD97" s="13" t="n">
        <v>4855</v>
      </c>
      <c r="AE97" s="13" t="n">
        <v>4737</v>
      </c>
      <c r="AF97" s="13" t="n">
        <v>4582</v>
      </c>
      <c r="AG97" s="13" t="n">
        <v>4704</v>
      </c>
      <c r="AH97" s="13" t="n">
        <v>4368</v>
      </c>
      <c r="AI97" s="13" t="n">
        <v>4400</v>
      </c>
      <c r="AJ97" s="13" t="n">
        <v>4401</v>
      </c>
      <c r="AK97" s="13" t="n">
        <v>4364</v>
      </c>
      <c r="AL97" s="13" t="n">
        <v>4417</v>
      </c>
      <c r="AM97" s="13" t="n">
        <v>4264</v>
      </c>
      <c r="AN97" s="13" t="n">
        <v>4329</v>
      </c>
      <c r="AO97" s="13" t="n">
        <v>4322</v>
      </c>
      <c r="AP97" s="13" t="n">
        <v>4233</v>
      </c>
      <c r="AQ97" s="13" t="n">
        <v>4181</v>
      </c>
      <c r="AR97" s="13" t="n">
        <v>4214</v>
      </c>
      <c r="AS97" s="13" t="n">
        <v>4184</v>
      </c>
      <c r="AT97" s="13" t="n">
        <v>4217</v>
      </c>
      <c r="AU97" s="13" t="n">
        <v>4188</v>
      </c>
      <c r="AV97" s="13" t="n">
        <v>4180</v>
      </c>
      <c r="AW97" s="13" t="n">
        <v>4137</v>
      </c>
      <c r="AX97" s="13" t="n">
        <v>4217</v>
      </c>
      <c r="AY97" s="13" t="n">
        <v>3931</v>
      </c>
      <c r="AZ97" s="13" t="n">
        <v>3920</v>
      </c>
      <c r="BA97" s="13" t="n">
        <v>3807</v>
      </c>
      <c r="BB97" s="13" t="n">
        <v>3709</v>
      </c>
      <c r="BC97" s="13" t="n">
        <v>3869</v>
      </c>
      <c r="BD97" s="13" t="n">
        <v>3595</v>
      </c>
      <c r="BE97" s="13" t="n">
        <v>3612</v>
      </c>
      <c r="BF97" s="13" t="n">
        <v>3886</v>
      </c>
      <c r="BG97" s="13" t="n">
        <v>3926</v>
      </c>
      <c r="BH97" s="13" t="n">
        <v>4045</v>
      </c>
      <c r="BI97" s="13" t="n">
        <v>3846</v>
      </c>
      <c r="BJ97" s="13" t="n">
        <v>3802</v>
      </c>
      <c r="BK97" s="13" t="n">
        <v>3973</v>
      </c>
      <c r="BL97" s="13" t="n">
        <v>4247</v>
      </c>
    </row>
    <row r="98" ht="15.95" customHeight="1" s="574">
      <c r="A98" s="64" t="inlineStr">
        <is>
          <t>4188</t>
        </is>
      </c>
      <c r="B98" s="673" t="inlineStr">
        <is>
          <t>三菱ケミカルグループ</t>
        </is>
      </c>
      <c r="C98" s="676">
        <f>_xll.RssMarket("4188","現在値")</f>
        <v/>
      </c>
      <c r="D98" s="661">
        <f>C98-E98</f>
        <v/>
      </c>
      <c r="E98" s="13" t="n">
        <v>1099.5</v>
      </c>
      <c r="F98" s="13" t="n">
        <v>1092.5</v>
      </c>
      <c r="G98" s="13" t="n">
        <v>1140</v>
      </c>
      <c r="H98" s="13" t="n">
        <v>1104.5</v>
      </c>
      <c r="I98" s="13" t="n">
        <v>1080.5</v>
      </c>
      <c r="J98" s="13" t="n">
        <v>1036</v>
      </c>
      <c r="K98" s="13" t="n">
        <v>1019.5</v>
      </c>
      <c r="L98" s="13" t="n">
        <v>1033.5</v>
      </c>
      <c r="M98" s="13" t="n">
        <v>1063</v>
      </c>
      <c r="N98" s="13" t="n">
        <v>1095</v>
      </c>
      <c r="O98" s="13" t="n">
        <v>1099</v>
      </c>
      <c r="P98" s="13" t="n">
        <v>1084</v>
      </c>
      <c r="Q98" s="13" t="n">
        <v>1091.5</v>
      </c>
      <c r="R98" s="13" t="n">
        <v>1147</v>
      </c>
      <c r="S98" s="13" t="n">
        <v>1116.5</v>
      </c>
      <c r="T98" s="13" t="n">
        <v>1115.5</v>
      </c>
      <c r="U98" s="13" t="n">
        <v>1089.5</v>
      </c>
      <c r="V98" s="13" t="n">
        <v>1027.5</v>
      </c>
      <c r="W98" s="13" t="n">
        <v>1003.5</v>
      </c>
      <c r="X98" s="13" t="n">
        <v>1001</v>
      </c>
      <c r="Y98" s="13" t="n">
        <v>1030.5</v>
      </c>
      <c r="Z98" s="13" t="n">
        <v>1007.5</v>
      </c>
      <c r="AA98" s="13" t="n">
        <v>1016.5</v>
      </c>
      <c r="AB98" s="13" t="n">
        <v>1054</v>
      </c>
      <c r="AC98" s="13" t="n">
        <v>1007</v>
      </c>
      <c r="AD98" s="13" t="n">
        <v>928.3</v>
      </c>
      <c r="AE98" s="13" t="n">
        <v>927.3</v>
      </c>
      <c r="AF98" s="13" t="n">
        <v>922.4</v>
      </c>
      <c r="AG98" s="13" t="n">
        <v>933.6</v>
      </c>
      <c r="AH98" s="13" t="n">
        <v>898</v>
      </c>
      <c r="AI98" s="13" t="n">
        <v>911.7</v>
      </c>
      <c r="AJ98" s="13" t="n">
        <v>918.3</v>
      </c>
      <c r="AK98" s="13" t="n">
        <v>909.8</v>
      </c>
      <c r="AL98" s="13" t="n">
        <v>911.4</v>
      </c>
      <c r="AM98" s="13" t="n">
        <v>916.7</v>
      </c>
      <c r="AN98" s="13" t="n">
        <v>941.4</v>
      </c>
      <c r="AO98" s="13" t="n">
        <v>969.3</v>
      </c>
      <c r="AP98" s="13" t="n">
        <v>962.1</v>
      </c>
      <c r="AQ98" s="13" t="n">
        <v>988.9</v>
      </c>
      <c r="AR98" s="13" t="n">
        <v>997.7</v>
      </c>
      <c r="AS98" s="13" t="n">
        <v>996.2</v>
      </c>
      <c r="AT98" s="13" t="n">
        <v>968.1</v>
      </c>
      <c r="AU98" s="13" t="n">
        <v>976.8</v>
      </c>
      <c r="AV98" s="13" t="n">
        <v>984.1</v>
      </c>
      <c r="AW98" s="13" t="n">
        <v>982.5</v>
      </c>
      <c r="AX98" s="13" t="n">
        <v>1004.5</v>
      </c>
      <c r="AY98" s="13" t="n">
        <v>920</v>
      </c>
      <c r="AZ98" s="13" t="n">
        <v>917.5</v>
      </c>
      <c r="BA98" s="13" t="n">
        <v>921</v>
      </c>
      <c r="BB98" s="13" t="n">
        <v>907.8</v>
      </c>
      <c r="BC98" s="13" t="n">
        <v>946.1</v>
      </c>
      <c r="BD98" s="13" t="n">
        <v>899</v>
      </c>
      <c r="BE98" s="13" t="n">
        <v>905.5</v>
      </c>
      <c r="BF98" s="13" t="n">
        <v>942.2</v>
      </c>
      <c r="BG98" s="13" t="n">
        <v>932.5</v>
      </c>
      <c r="BH98" s="13" t="n">
        <v>935</v>
      </c>
      <c r="BI98" s="13" t="n">
        <v>904.2</v>
      </c>
      <c r="BJ98" s="13" t="n">
        <v>866.1</v>
      </c>
      <c r="BK98" s="13" t="n">
        <v>907.2</v>
      </c>
      <c r="BL98" s="13" t="n">
        <v>955.1</v>
      </c>
    </row>
    <row r="99" ht="15.95" customHeight="1" s="574">
      <c r="A99" s="64" t="inlineStr">
        <is>
          <t>4523</t>
        </is>
      </c>
      <c r="B99" s="673" t="inlineStr">
        <is>
          <t>エーザイ</t>
        </is>
      </c>
      <c r="C99" s="676">
        <f>_xll.RssMarket("4523","現在値")</f>
        <v/>
      </c>
      <c r="D99" s="661">
        <f>C99-E99</f>
        <v/>
      </c>
      <c r="E99" s="13" t="n">
        <v>3901</v>
      </c>
      <c r="F99" s="13" t="n">
        <v>3902</v>
      </c>
      <c r="G99" s="13" t="n">
        <v>3829</v>
      </c>
      <c r="H99" s="13" t="n">
        <v>3750</v>
      </c>
      <c r="I99" s="13" t="n">
        <v>3780</v>
      </c>
      <c r="J99" s="13" t="n">
        <v>3723</v>
      </c>
      <c r="K99" s="13" t="n">
        <v>3740</v>
      </c>
      <c r="L99" s="13" t="n">
        <v>3806</v>
      </c>
      <c r="M99" s="13" t="n">
        <v>3775</v>
      </c>
      <c r="N99" s="13" t="n">
        <v>3815</v>
      </c>
      <c r="O99" s="13" t="n">
        <v>3759</v>
      </c>
      <c r="P99" s="13" t="n">
        <v>3818</v>
      </c>
      <c r="Q99" s="13" t="n">
        <v>3808</v>
      </c>
      <c r="R99" s="13" t="n">
        <v>3984</v>
      </c>
      <c r="S99" s="13" t="n">
        <v>3901</v>
      </c>
      <c r="T99" s="13" t="n">
        <v>4043</v>
      </c>
      <c r="U99" s="13" t="n">
        <v>4143</v>
      </c>
      <c r="V99" s="13" t="n">
        <v>4157</v>
      </c>
      <c r="W99" s="13" t="n">
        <v>4243</v>
      </c>
      <c r="X99" s="13" t="n">
        <v>4245</v>
      </c>
      <c r="Y99" s="13" t="n">
        <v>4466</v>
      </c>
      <c r="Z99" s="13" t="n">
        <v>4429</v>
      </c>
      <c r="AA99" s="13" t="n">
        <v>4723</v>
      </c>
      <c r="AB99" s="13" t="n">
        <v>4721</v>
      </c>
      <c r="AC99" s="13" t="n">
        <v>4717</v>
      </c>
      <c r="AD99" s="13" t="n">
        <v>4649</v>
      </c>
      <c r="AE99" s="13" t="n">
        <v>4646</v>
      </c>
      <c r="AF99" s="13" t="n">
        <v>4677</v>
      </c>
      <c r="AG99" s="13" t="n">
        <v>4700</v>
      </c>
      <c r="AH99" s="13" t="n">
        <v>4688</v>
      </c>
      <c r="AI99" s="13" t="n">
        <v>4687</v>
      </c>
      <c r="AJ99" s="13" t="n">
        <v>4605</v>
      </c>
      <c r="AK99" s="13" t="n">
        <v>4570</v>
      </c>
      <c r="AL99" s="13" t="n">
        <v>4735</v>
      </c>
      <c r="AM99" s="13" t="n">
        <v>4737</v>
      </c>
      <c r="AN99" s="13" t="n">
        <v>4846</v>
      </c>
      <c r="AO99" s="13" t="n">
        <v>4858</v>
      </c>
      <c r="AP99" s="13" t="n">
        <v>4910</v>
      </c>
      <c r="AQ99" s="13" t="n">
        <v>4891</v>
      </c>
      <c r="AR99" s="13" t="n">
        <v>5020</v>
      </c>
      <c r="AS99" s="13" t="n">
        <v>5030</v>
      </c>
      <c r="AT99" s="13" t="n">
        <v>4850</v>
      </c>
      <c r="AU99" s="13" t="n">
        <v>4946</v>
      </c>
      <c r="AV99" s="13" t="n">
        <v>5025</v>
      </c>
      <c r="AW99" s="13" t="n">
        <v>5163</v>
      </c>
      <c r="AX99" s="13" t="n">
        <v>5155</v>
      </c>
      <c r="AY99" s="13" t="n">
        <v>5119</v>
      </c>
      <c r="AZ99" s="13" t="n">
        <v>5139</v>
      </c>
      <c r="BA99" s="13" t="n">
        <v>5027</v>
      </c>
      <c r="BB99" s="13" t="n">
        <v>5032</v>
      </c>
      <c r="BC99" s="13" t="n">
        <v>5115</v>
      </c>
      <c r="BD99" s="13" t="n">
        <v>4871</v>
      </c>
      <c r="BE99" s="13" t="n">
        <v>4880</v>
      </c>
      <c r="BF99" s="13" t="n">
        <v>4961</v>
      </c>
      <c r="BG99" s="13" t="n">
        <v>4922</v>
      </c>
      <c r="BH99" s="13" t="n">
        <v>4872</v>
      </c>
      <c r="BI99" s="13" t="n">
        <v>4809</v>
      </c>
      <c r="BJ99" s="13" t="n">
        <v>4681</v>
      </c>
      <c r="BK99" s="13" t="n">
        <v>4764</v>
      </c>
      <c r="BL99" s="13" t="n">
        <v>4945</v>
      </c>
    </row>
    <row r="100" ht="15.95" customHeight="1" s="574">
      <c r="A100" s="64" t="inlineStr">
        <is>
          <t>4528</t>
        </is>
      </c>
      <c r="B100" s="673" t="inlineStr">
        <is>
          <t>小野薬品</t>
        </is>
      </c>
      <c r="C100" s="676">
        <f>_xll.RssMarket("4528","現在値")</f>
        <v/>
      </c>
      <c r="D100" s="661">
        <f>C100-E100</f>
        <v/>
      </c>
      <c r="E100" s="13" t="n">
        <v>2345.5</v>
      </c>
      <c r="F100" s="13" t="n">
        <v>2249</v>
      </c>
      <c r="G100" s="13" t="n">
        <v>2249.5</v>
      </c>
      <c r="H100" s="13" t="n">
        <v>2259</v>
      </c>
      <c r="I100" s="13" t="n">
        <v>2212.5</v>
      </c>
      <c r="J100" s="13" t="n">
        <v>2237.5</v>
      </c>
      <c r="K100" s="13" t="n">
        <v>2224</v>
      </c>
      <c r="L100" s="13" t="n">
        <v>2248</v>
      </c>
      <c r="M100" s="13" t="n">
        <v>2225</v>
      </c>
      <c r="N100" s="13" t="n">
        <v>2195.5</v>
      </c>
      <c r="O100" s="13" t="n">
        <v>2158</v>
      </c>
      <c r="P100" s="13" t="n">
        <v>2216.5</v>
      </c>
      <c r="Q100" s="13" t="n">
        <v>2322</v>
      </c>
      <c r="R100" s="13" t="n">
        <v>2392.5</v>
      </c>
      <c r="S100" s="13" t="n">
        <v>2399.5</v>
      </c>
      <c r="T100" s="13" t="n">
        <v>2367</v>
      </c>
      <c r="U100" s="13" t="n">
        <v>2438</v>
      </c>
      <c r="V100" s="13" t="n">
        <v>2482.5</v>
      </c>
      <c r="W100" s="13" t="n">
        <v>2446</v>
      </c>
      <c r="X100" s="13" t="n">
        <v>2426.5</v>
      </c>
      <c r="Y100" s="13" t="n">
        <v>2425</v>
      </c>
      <c r="Z100" s="13" t="n">
        <v>2441.5</v>
      </c>
      <c r="AA100" s="13" t="n">
        <v>2533.5</v>
      </c>
      <c r="AB100" s="13" t="n">
        <v>2573.5</v>
      </c>
      <c r="AC100" s="13" t="n">
        <v>2553</v>
      </c>
      <c r="AD100" s="13" t="n">
        <v>2479</v>
      </c>
      <c r="AE100" s="13" t="n">
        <v>2462</v>
      </c>
      <c r="AF100" s="13" t="n">
        <v>2480.5</v>
      </c>
      <c r="AG100" s="13" t="n">
        <v>2360.5</v>
      </c>
      <c r="AH100" s="13" t="n">
        <v>2315.5</v>
      </c>
      <c r="AI100" s="13" t="n">
        <v>2306</v>
      </c>
      <c r="AJ100" s="13" t="n">
        <v>2312.5</v>
      </c>
      <c r="AK100" s="13" t="n">
        <v>2304.5</v>
      </c>
      <c r="AL100" s="13" t="n">
        <v>2350</v>
      </c>
      <c r="AM100" s="13" t="n">
        <v>2316</v>
      </c>
      <c r="AN100" s="13" t="n">
        <v>2321.5</v>
      </c>
      <c r="AO100" s="13" t="n">
        <v>2356.5</v>
      </c>
      <c r="AP100" s="13" t="n">
        <v>2429.5</v>
      </c>
      <c r="AQ100" s="13" t="n">
        <v>2406.5</v>
      </c>
      <c r="AR100" s="13" t="n">
        <v>2492</v>
      </c>
      <c r="AS100" s="13" t="n">
        <v>2452</v>
      </c>
      <c r="AT100" s="13" t="n">
        <v>2476.5</v>
      </c>
      <c r="AU100" s="13" t="n">
        <v>2492</v>
      </c>
      <c r="AV100" s="13" t="n">
        <v>2509.5</v>
      </c>
      <c r="AW100" s="13" t="n">
        <v>2545</v>
      </c>
      <c r="AX100" s="13" t="n">
        <v>2546.5</v>
      </c>
      <c r="AY100" s="13" t="n">
        <v>2542</v>
      </c>
      <c r="AZ100" s="13" t="n">
        <v>2532</v>
      </c>
      <c r="BA100" s="13" t="n">
        <v>2532.5</v>
      </c>
      <c r="BB100" s="13" t="n">
        <v>2532.5</v>
      </c>
      <c r="BC100" s="13" t="n">
        <v>2579.5</v>
      </c>
      <c r="BD100" s="13" t="n">
        <v>2510.5</v>
      </c>
      <c r="BE100" s="13" t="n">
        <v>2517</v>
      </c>
      <c r="BF100" s="13" t="n">
        <v>2549</v>
      </c>
      <c r="BG100" s="13" t="n">
        <v>2493.5</v>
      </c>
      <c r="BH100" s="13" t="n">
        <v>2461</v>
      </c>
      <c r="BI100" s="13" t="n">
        <v>2387.5</v>
      </c>
      <c r="BJ100" s="13" t="n">
        <v>2332</v>
      </c>
      <c r="BK100" s="13" t="n">
        <v>2349.5</v>
      </c>
      <c r="BL100" s="13" t="n">
        <v>2410.5</v>
      </c>
    </row>
    <row r="101" ht="15.95" customHeight="1" s="574">
      <c r="A101" s="64" t="inlineStr">
        <is>
          <t>4661</t>
        </is>
      </c>
      <c r="B101" s="673" t="inlineStr">
        <is>
          <t>オリエンタルランド</t>
        </is>
      </c>
      <c r="C101" s="676">
        <f>_xll.RssMarket("4661","現在値")</f>
        <v/>
      </c>
      <c r="D101" s="661">
        <f>C101-E101</f>
        <v/>
      </c>
      <c r="E101" s="13" t="n">
        <v>2322.5</v>
      </c>
      <c r="F101" s="13" t="n">
        <v>2336.5</v>
      </c>
      <c r="G101" s="13" t="n">
        <v>2291</v>
      </c>
      <c r="H101" s="13" t="n">
        <v>2276</v>
      </c>
      <c r="I101" s="13" t="n">
        <v>2264.5</v>
      </c>
      <c r="J101" s="13" t="n">
        <v>2305.5</v>
      </c>
      <c r="K101" s="13" t="n">
        <v>2292.5</v>
      </c>
      <c r="L101" s="13" t="n">
        <v>2220</v>
      </c>
      <c r="M101" s="13" t="n">
        <v>2180.5</v>
      </c>
      <c r="N101" s="13" t="n">
        <v>2184</v>
      </c>
      <c r="O101" s="13" t="n">
        <v>2215</v>
      </c>
      <c r="P101" s="13" t="n">
        <v>2189</v>
      </c>
      <c r="Q101" s="13" t="n">
        <v>2248</v>
      </c>
      <c r="R101" s="13" t="n">
        <v>2295.5</v>
      </c>
      <c r="S101" s="13" t="n">
        <v>2250</v>
      </c>
      <c r="T101" s="13" t="n">
        <v>2199</v>
      </c>
      <c r="U101" s="13" t="n">
        <v>2125.5</v>
      </c>
      <c r="V101" s="13" t="n">
        <v>2140</v>
      </c>
      <c r="W101" s="13" t="n">
        <v>2141.5</v>
      </c>
      <c r="X101" s="13" t="n">
        <v>2230.5</v>
      </c>
      <c r="Y101" s="13" t="n">
        <v>2218.5</v>
      </c>
      <c r="Z101" s="13" t="n">
        <v>2136.5</v>
      </c>
      <c r="AA101" s="13" t="n">
        <v>2161</v>
      </c>
      <c r="AB101" s="13" t="n">
        <v>2149</v>
      </c>
      <c r="AC101" s="13" t="n">
        <v>2170</v>
      </c>
      <c r="AD101" s="13" t="n">
        <v>2182.5</v>
      </c>
      <c r="AE101" s="13" t="n">
        <v>2202.5</v>
      </c>
      <c r="AF101" s="13" t="n">
        <v>2241.5</v>
      </c>
      <c r="AG101" s="13" t="n">
        <v>2218</v>
      </c>
      <c r="AH101" s="13" t="n">
        <v>2223</v>
      </c>
      <c r="AI101" s="13" t="n">
        <v>2188.5</v>
      </c>
      <c r="AJ101" s="13" t="n">
        <v>2434.5</v>
      </c>
      <c r="AK101" s="13" t="n">
        <v>2387.5</v>
      </c>
      <c r="AL101" s="13" t="n">
        <v>2400</v>
      </c>
      <c r="AM101" s="13" t="n">
        <v>2482</v>
      </c>
      <c r="AN101" s="13" t="n">
        <v>2587.5</v>
      </c>
      <c r="AO101" s="13" t="n">
        <v>2613</v>
      </c>
      <c r="AP101" s="13" t="n">
        <v>2643.5</v>
      </c>
      <c r="AQ101" s="13" t="n">
        <v>2635</v>
      </c>
      <c r="AR101" s="13" t="n">
        <v>2640.5</v>
      </c>
      <c r="AS101" s="13" t="n">
        <v>2636.5</v>
      </c>
      <c r="AT101" s="13" t="n">
        <v>2548</v>
      </c>
      <c r="AU101" s="13" t="n">
        <v>2601</v>
      </c>
      <c r="AV101" s="13" t="n">
        <v>2607.5</v>
      </c>
      <c r="AW101" s="13" t="n">
        <v>2612.5</v>
      </c>
      <c r="AX101" s="13" t="n">
        <v>2674</v>
      </c>
      <c r="AY101" s="13" t="n">
        <v>2645.5</v>
      </c>
      <c r="AZ101" s="13" t="n">
        <v>2679.5</v>
      </c>
      <c r="BA101" s="13" t="n">
        <v>2732.5</v>
      </c>
      <c r="BB101" s="13" t="n">
        <v>2735</v>
      </c>
      <c r="BC101" s="13" t="n">
        <v>2738</v>
      </c>
      <c r="BD101" s="13" t="n">
        <v>2700</v>
      </c>
      <c r="BE101" s="13" t="n">
        <v>2637.5</v>
      </c>
      <c r="BF101" s="13" t="n">
        <v>2713.5</v>
      </c>
      <c r="BG101" s="13" t="n">
        <v>2694.5</v>
      </c>
      <c r="BH101" s="13" t="n">
        <v>2681</v>
      </c>
      <c r="BI101" s="13" t="n">
        <v>2684</v>
      </c>
      <c r="BJ101" s="13" t="n">
        <v>2667</v>
      </c>
      <c r="BK101" s="13" t="n">
        <v>2724</v>
      </c>
      <c r="BL101" s="13" t="n">
        <v>2832</v>
      </c>
    </row>
    <row r="102" ht="15.95" customHeight="1" s="574">
      <c r="A102" s="64" t="inlineStr">
        <is>
          <t>5802</t>
        </is>
      </c>
      <c r="B102" s="673" t="inlineStr">
        <is>
          <t>住友電工</t>
        </is>
      </c>
      <c r="C102" s="676">
        <f>_xll.RssMarket("5802","現在値")</f>
        <v/>
      </c>
      <c r="D102" s="661">
        <f>C102-E102</f>
        <v/>
      </c>
      <c r="E102" s="13" t="n">
        <v>13500</v>
      </c>
      <c r="F102" s="13" t="n">
        <v>13485</v>
      </c>
      <c r="G102" s="13" t="n">
        <v>12300</v>
      </c>
      <c r="H102" s="13" t="n">
        <v>12320</v>
      </c>
      <c r="I102" s="13" t="n">
        <v>10970</v>
      </c>
      <c r="J102" s="13" t="n">
        <v>10250</v>
      </c>
      <c r="K102" s="13" t="n">
        <v>10630</v>
      </c>
      <c r="L102" s="13" t="n">
        <v>12140</v>
      </c>
      <c r="M102" s="13" t="n">
        <v>13010</v>
      </c>
      <c r="N102" s="13" t="n">
        <v>13465</v>
      </c>
      <c r="O102" s="13" t="n">
        <v>13965</v>
      </c>
      <c r="P102" s="13" t="n">
        <v>13015</v>
      </c>
      <c r="Q102" s="13" t="n">
        <v>13180</v>
      </c>
      <c r="R102" s="13" t="n">
        <v>12585</v>
      </c>
      <c r="S102" s="13" t="n">
        <v>11955</v>
      </c>
      <c r="T102" s="13" t="n">
        <v>12015</v>
      </c>
      <c r="U102" s="13" t="n">
        <v>12265</v>
      </c>
      <c r="V102" s="13" t="n">
        <v>11820</v>
      </c>
      <c r="W102" s="13" t="n">
        <v>10730</v>
      </c>
      <c r="X102" s="13" t="n">
        <v>10525</v>
      </c>
      <c r="Y102" s="13" t="n">
        <v>10840</v>
      </c>
      <c r="Z102" s="13" t="n">
        <v>11380</v>
      </c>
      <c r="AA102" s="13" t="n">
        <v>10980</v>
      </c>
      <c r="AB102" s="13" t="n">
        <v>12105</v>
      </c>
      <c r="AC102" s="13" t="n">
        <v>12775</v>
      </c>
      <c r="AD102" s="13" t="n">
        <v>11650</v>
      </c>
      <c r="AE102" s="13" t="n">
        <v>11210</v>
      </c>
      <c r="AF102" s="13" t="n">
        <v>11305</v>
      </c>
      <c r="AG102" s="13" t="n">
        <v>11345</v>
      </c>
      <c r="AH102" s="13" t="n">
        <v>9900</v>
      </c>
      <c r="AI102" s="13" t="n">
        <v>10190</v>
      </c>
      <c r="AJ102" s="13" t="n">
        <v>10190</v>
      </c>
      <c r="AK102" s="13" t="n">
        <v>10060</v>
      </c>
      <c r="AL102" s="13" t="n">
        <v>10015</v>
      </c>
      <c r="AM102" s="13" t="n">
        <v>10205</v>
      </c>
      <c r="AN102" s="13" t="n">
        <v>10700</v>
      </c>
      <c r="AO102" s="13" t="n">
        <v>10300</v>
      </c>
      <c r="AP102" s="13" t="n">
        <v>9976</v>
      </c>
      <c r="AQ102" s="13" t="n">
        <v>9976</v>
      </c>
      <c r="AR102" s="13" t="n">
        <v>10140</v>
      </c>
      <c r="AS102" s="13" t="n">
        <v>9551</v>
      </c>
      <c r="AT102" s="13" t="n">
        <v>10075</v>
      </c>
      <c r="AU102" s="13" t="n">
        <v>9926</v>
      </c>
      <c r="AV102" s="13" t="n">
        <v>10580</v>
      </c>
      <c r="AW102" s="13" t="n">
        <v>10410</v>
      </c>
      <c r="AX102" s="13" t="n">
        <v>10315</v>
      </c>
      <c r="AY102" s="13" t="n">
        <v>9191</v>
      </c>
      <c r="AZ102" s="13" t="n">
        <v>9542</v>
      </c>
      <c r="BA102" s="13" t="n">
        <v>9400</v>
      </c>
      <c r="BB102" s="13" t="n">
        <v>9104</v>
      </c>
      <c r="BC102" s="13" t="n">
        <v>9269</v>
      </c>
      <c r="BD102" s="13" t="n">
        <v>8380</v>
      </c>
      <c r="BE102" s="13" t="n">
        <v>9000</v>
      </c>
      <c r="BF102" s="13" t="n">
        <v>9480</v>
      </c>
      <c r="BG102" s="13" t="n">
        <v>9885</v>
      </c>
      <c r="BH102" s="13" t="n">
        <v>10210</v>
      </c>
      <c r="BI102" s="13" t="n">
        <v>9502</v>
      </c>
      <c r="BJ102" s="13" t="n">
        <v>9214</v>
      </c>
      <c r="BK102" s="13" t="n">
        <v>9948</v>
      </c>
      <c r="BL102" s="13" t="n">
        <v>10005</v>
      </c>
    </row>
    <row r="103" ht="15.95" customHeight="1" s="574">
      <c r="A103" s="64" t="inlineStr">
        <is>
          <t>5803</t>
        </is>
      </c>
      <c r="B103" s="673" t="inlineStr">
        <is>
          <t>フジクラ</t>
        </is>
      </c>
      <c r="C103" s="676">
        <f>_xll.RssMarket("5803","現在値")</f>
        <v/>
      </c>
      <c r="D103" s="661">
        <f>C103-E103</f>
        <v/>
      </c>
      <c r="E103" s="13" t="n">
        <v>6161</v>
      </c>
      <c r="F103" s="13" t="n">
        <v>5161</v>
      </c>
      <c r="G103" s="13" t="n">
        <v>4729</v>
      </c>
      <c r="H103" s="13" t="n">
        <v>4738</v>
      </c>
      <c r="I103" s="13" t="n">
        <v>4256</v>
      </c>
      <c r="J103" s="13" t="n">
        <v>4142</v>
      </c>
      <c r="K103" s="13" t="n">
        <v>4194</v>
      </c>
      <c r="L103" s="13" t="n">
        <v>4401</v>
      </c>
      <c r="M103" s="13" t="n">
        <v>4747</v>
      </c>
      <c r="N103" s="13" t="n">
        <v>4805</v>
      </c>
      <c r="O103" s="13" t="n">
        <v>5001</v>
      </c>
      <c r="P103" s="13" t="n">
        <v>4574</v>
      </c>
      <c r="Q103" s="13" t="n">
        <v>4677</v>
      </c>
      <c r="R103" s="13" t="n">
        <v>4771</v>
      </c>
      <c r="S103" s="13" t="n">
        <v>5017</v>
      </c>
      <c r="T103" s="13" t="n">
        <v>5140</v>
      </c>
      <c r="U103" s="13" t="n">
        <v>5550</v>
      </c>
      <c r="V103" s="13" t="n">
        <v>4850</v>
      </c>
      <c r="W103" s="13" t="n">
        <v>4501</v>
      </c>
      <c r="X103" s="13" t="n">
        <v>4295</v>
      </c>
      <c r="Y103" s="13" t="n">
        <v>4695</v>
      </c>
      <c r="Z103" s="13" t="n">
        <v>5653</v>
      </c>
      <c r="AA103" s="13" t="n">
        <v>5819</v>
      </c>
      <c r="AB103" s="13" t="n">
        <v>6355</v>
      </c>
      <c r="AC103" s="13" t="n">
        <v>7855</v>
      </c>
      <c r="AD103" s="13" t="n">
        <v>7624</v>
      </c>
      <c r="AE103" s="13" t="n">
        <v>6832</v>
      </c>
      <c r="AF103" s="13" t="n">
        <v>6582</v>
      </c>
      <c r="AG103" s="13" t="n">
        <v>6498</v>
      </c>
      <c r="AH103" s="13" t="n">
        <v>5808</v>
      </c>
      <c r="AI103" s="13" t="n">
        <v>5971</v>
      </c>
      <c r="AJ103" s="13" t="n">
        <v>6281</v>
      </c>
      <c r="AK103" s="13" t="n">
        <v>6347</v>
      </c>
      <c r="AL103" s="13" t="n">
        <v>6037</v>
      </c>
      <c r="AM103" s="13" t="n">
        <v>5893</v>
      </c>
      <c r="AN103" s="13" t="n">
        <v>5985</v>
      </c>
      <c r="AO103" s="13" t="n">
        <v>5889</v>
      </c>
      <c r="AP103" s="13" t="n">
        <v>5529</v>
      </c>
      <c r="AQ103" s="13" t="n">
        <v>5762</v>
      </c>
      <c r="AR103" s="13" t="n">
        <v>5951</v>
      </c>
      <c r="AS103" s="13" t="n">
        <v>5683</v>
      </c>
      <c r="AT103" s="13" t="n">
        <v>5935</v>
      </c>
      <c r="AU103" s="13" t="n">
        <v>5698</v>
      </c>
      <c r="AV103" s="13" t="n">
        <v>5630</v>
      </c>
      <c r="AW103" s="13" t="n">
        <v>5028</v>
      </c>
      <c r="AX103" s="13" t="n">
        <v>4876</v>
      </c>
      <c r="AY103" s="13" t="n">
        <v>4370</v>
      </c>
      <c r="AZ103" s="13" t="n">
        <v>4600</v>
      </c>
      <c r="BA103" s="13" t="n">
        <v>4616</v>
      </c>
      <c r="BB103" s="13" t="n">
        <v>4293</v>
      </c>
      <c r="BC103" s="13" t="n">
        <v>4446</v>
      </c>
      <c r="BD103" s="13" t="n">
        <v>4090</v>
      </c>
      <c r="BE103" s="13" t="n">
        <v>4505</v>
      </c>
      <c r="BF103" s="13" t="n">
        <v>4605</v>
      </c>
      <c r="BG103" s="13" t="n">
        <v>4685.8</v>
      </c>
      <c r="BH103" s="13" t="n">
        <v>4579.1</v>
      </c>
      <c r="BI103" s="13" t="n">
        <v>4266.6</v>
      </c>
      <c r="BJ103" s="13" t="n">
        <v>4055</v>
      </c>
      <c r="BK103" s="13" t="n">
        <v>4221.6</v>
      </c>
      <c r="BL103" s="13" t="n">
        <v>4284.1</v>
      </c>
    </row>
    <row r="104" ht="15.95" customHeight="1" s="574">
      <c r="A104" s="64" t="inlineStr">
        <is>
          <t>6178</t>
        </is>
      </c>
      <c r="B104" s="673" t="inlineStr">
        <is>
          <t>日本郵政</t>
        </is>
      </c>
      <c r="C104" s="676">
        <f>_xll.RssMarket("6178","現在値")</f>
        <v/>
      </c>
      <c r="D104" s="661">
        <f>C104-E104</f>
        <v/>
      </c>
      <c r="E104" s="13" t="n">
        <v>2227.5</v>
      </c>
      <c r="F104" s="13" t="n">
        <v>2240.5</v>
      </c>
      <c r="G104" s="13" t="n">
        <v>2196.5</v>
      </c>
      <c r="H104" s="13" t="n">
        <v>2264.5</v>
      </c>
      <c r="I104" s="13" t="n">
        <v>2285.5</v>
      </c>
      <c r="J104" s="13" t="n">
        <v>2318</v>
      </c>
      <c r="K104" s="13" t="n">
        <v>2209.5</v>
      </c>
      <c r="L104" s="13" t="n">
        <v>2205</v>
      </c>
      <c r="M104" s="13" t="n">
        <v>2128</v>
      </c>
      <c r="N104" s="13" t="n">
        <v>2122.5</v>
      </c>
      <c r="O104" s="13" t="n">
        <v>2145.5</v>
      </c>
      <c r="P104" s="13" t="n">
        <v>2125</v>
      </c>
      <c r="Q104" s="13" t="n">
        <v>2074</v>
      </c>
      <c r="R104" s="13" t="n">
        <v>2035</v>
      </c>
      <c r="S104" s="13" t="n">
        <v>2068</v>
      </c>
      <c r="T104" s="13" t="n">
        <v>2029.5</v>
      </c>
      <c r="U104" s="13" t="n">
        <v>2059.5</v>
      </c>
      <c r="V104" s="13" t="n">
        <v>2091.5</v>
      </c>
      <c r="W104" s="13" t="n">
        <v>2116</v>
      </c>
      <c r="X104" s="13" t="n">
        <v>2134</v>
      </c>
      <c r="Y104" s="13" t="n">
        <v>2110</v>
      </c>
      <c r="Z104" s="13" t="n">
        <v>2093</v>
      </c>
      <c r="AA104" s="13" t="n">
        <v>2054</v>
      </c>
      <c r="AB104" s="13" t="n">
        <v>1957</v>
      </c>
      <c r="AC104" s="13" t="n">
        <v>1951</v>
      </c>
      <c r="AD104" s="13" t="n">
        <v>1941.5</v>
      </c>
      <c r="AE104" s="13" t="n">
        <v>1911</v>
      </c>
      <c r="AF104" s="13" t="n">
        <v>1865</v>
      </c>
      <c r="AG104" s="13" t="n">
        <v>1855.5</v>
      </c>
      <c r="AH104" s="13" t="n">
        <v>1861</v>
      </c>
      <c r="AI104" s="13" t="n">
        <v>1811.5</v>
      </c>
      <c r="AJ104" s="13" t="n">
        <v>1823</v>
      </c>
      <c r="AK104" s="13" t="n">
        <v>1823</v>
      </c>
      <c r="AL104" s="13" t="n">
        <v>1757.5</v>
      </c>
      <c r="AM104" s="13" t="n">
        <v>1779.5</v>
      </c>
      <c r="AN104" s="13" t="n">
        <v>1774</v>
      </c>
      <c r="AO104" s="13" t="n">
        <v>1799.5</v>
      </c>
      <c r="AP104" s="13" t="n">
        <v>1821</v>
      </c>
      <c r="AQ104" s="13" t="n">
        <v>1866.5</v>
      </c>
      <c r="AR104" s="13" t="n">
        <v>1872.5</v>
      </c>
      <c r="AS104" s="13" t="n">
        <v>1887</v>
      </c>
      <c r="AT104" s="13" t="n">
        <v>1867.5</v>
      </c>
      <c r="AU104" s="13" t="n">
        <v>1845</v>
      </c>
      <c r="AV104" s="13" t="n">
        <v>1857</v>
      </c>
      <c r="AW104" s="13" t="n">
        <v>1856</v>
      </c>
      <c r="AX104" s="13" t="n">
        <v>1871</v>
      </c>
      <c r="AY104" s="13" t="n">
        <v>1905</v>
      </c>
      <c r="AZ104" s="13" t="n">
        <v>1858</v>
      </c>
      <c r="BA104" s="13" t="n">
        <v>1849.5</v>
      </c>
      <c r="BB104" s="13" t="n">
        <v>1827</v>
      </c>
      <c r="BC104" s="13" t="n">
        <v>1833</v>
      </c>
      <c r="BD104" s="13" t="n">
        <v>1875.5</v>
      </c>
      <c r="BE104" s="13" t="n">
        <v>1789</v>
      </c>
      <c r="BF104" s="13" t="n">
        <v>1789.5</v>
      </c>
      <c r="BG104" s="13" t="n">
        <v>1856</v>
      </c>
      <c r="BH104" s="13" t="n">
        <v>1841.5</v>
      </c>
      <c r="BI104" s="13" t="n">
        <v>1858.5</v>
      </c>
      <c r="BJ104" s="13" t="n">
        <v>1804.5</v>
      </c>
      <c r="BK104" s="13" t="n">
        <v>1759</v>
      </c>
      <c r="BL104" s="13" t="n">
        <v>1808.5</v>
      </c>
    </row>
    <row r="105" ht="15.95" customHeight="1" s="574">
      <c r="A105" s="64" t="inlineStr">
        <is>
          <t>6925</t>
        </is>
      </c>
      <c r="B105" s="673" t="inlineStr">
        <is>
          <t>ウシオ電機</t>
        </is>
      </c>
      <c r="C105" s="676">
        <f>_xll.RssMarket("6925","現在値")</f>
        <v/>
      </c>
      <c r="D105" s="661">
        <f>C105-E105</f>
        <v/>
      </c>
      <c r="E105" s="13" t="n">
        <v>4765</v>
      </c>
      <c r="F105" s="13" t="n">
        <v>4631</v>
      </c>
      <c r="G105" s="13" t="n">
        <v>4596</v>
      </c>
      <c r="H105" s="13" t="n">
        <v>4302</v>
      </c>
      <c r="I105" s="13" t="n">
        <v>4088</v>
      </c>
      <c r="J105" s="13" t="n">
        <v>3918</v>
      </c>
      <c r="K105" s="13" t="n">
        <v>3978</v>
      </c>
      <c r="L105" s="13" t="n">
        <v>3976</v>
      </c>
      <c r="M105" s="13" t="n">
        <v>4260</v>
      </c>
      <c r="N105" s="13" t="n">
        <v>4310</v>
      </c>
      <c r="O105" s="13" t="n">
        <v>4116</v>
      </c>
      <c r="P105" s="13" t="n">
        <v>4063</v>
      </c>
      <c r="Q105" s="13" t="n">
        <v>4060</v>
      </c>
      <c r="R105" s="13" t="n">
        <v>4156</v>
      </c>
      <c r="S105" s="13" t="n">
        <v>4114</v>
      </c>
      <c r="T105" s="13" t="n">
        <v>4199</v>
      </c>
      <c r="U105" s="13" t="n">
        <v>4214</v>
      </c>
      <c r="V105" s="13" t="n">
        <v>4081</v>
      </c>
      <c r="W105" s="13" t="n">
        <v>4040</v>
      </c>
      <c r="X105" s="13" t="n">
        <v>3779</v>
      </c>
      <c r="Y105" s="13" t="n">
        <v>3928</v>
      </c>
      <c r="Z105" s="13" t="n">
        <v>4179</v>
      </c>
      <c r="AA105" s="13" t="n">
        <v>4239</v>
      </c>
      <c r="AB105" s="13" t="n">
        <v>3539</v>
      </c>
      <c r="AC105" s="13" t="n">
        <v>3439</v>
      </c>
      <c r="AD105" s="13" t="n">
        <v>3492</v>
      </c>
      <c r="AE105" s="13" t="n">
        <v>3406</v>
      </c>
      <c r="AF105" s="13" t="n">
        <v>3366</v>
      </c>
      <c r="AG105" s="13" t="n">
        <v>3385</v>
      </c>
      <c r="AH105" s="13" t="n">
        <v>3175</v>
      </c>
      <c r="AI105" s="13" t="n">
        <v>3160</v>
      </c>
      <c r="AJ105" s="13" t="n">
        <v>3090</v>
      </c>
      <c r="AK105" s="13" t="n">
        <v>3148</v>
      </c>
      <c r="AL105" s="13" t="n">
        <v>3220</v>
      </c>
      <c r="AM105" s="13" t="n">
        <v>3142</v>
      </c>
      <c r="AN105" s="13" t="n">
        <v>3166</v>
      </c>
      <c r="AO105" s="13" t="n">
        <v>3191</v>
      </c>
      <c r="AP105" s="13" t="n">
        <v>3207</v>
      </c>
      <c r="AQ105" s="13" t="n">
        <v>3153</v>
      </c>
      <c r="AR105" s="13" t="n">
        <v>3323</v>
      </c>
      <c r="AS105" s="13" t="n">
        <v>3291</v>
      </c>
      <c r="AT105" s="13" t="n">
        <v>3285</v>
      </c>
      <c r="AU105" s="13" t="n">
        <v>3247</v>
      </c>
      <c r="AV105" s="13" t="n">
        <v>3259</v>
      </c>
      <c r="AW105" s="13" t="n">
        <v>3197</v>
      </c>
      <c r="AX105" s="13" t="n">
        <v>3178</v>
      </c>
      <c r="AY105" s="13" t="n">
        <v>3068</v>
      </c>
      <c r="AZ105" s="13" t="n">
        <v>3067</v>
      </c>
      <c r="BA105" s="13" t="n">
        <v>3079</v>
      </c>
      <c r="BB105" s="13" t="n">
        <v>3033</v>
      </c>
      <c r="BC105" s="13" t="n">
        <v>3058</v>
      </c>
      <c r="BD105" s="13" t="n">
        <v>2815.5</v>
      </c>
      <c r="BE105" s="13" t="n">
        <v>2844</v>
      </c>
      <c r="BF105" s="13" t="n">
        <v>2926</v>
      </c>
      <c r="BG105" s="13" t="n">
        <v>2946.5</v>
      </c>
      <c r="BH105" s="13" t="n">
        <v>2949.5</v>
      </c>
      <c r="BI105" s="13" t="n">
        <v>2866</v>
      </c>
      <c r="BJ105" s="13" t="n">
        <v>2782</v>
      </c>
      <c r="BK105" s="13" t="n">
        <v>2860</v>
      </c>
      <c r="BL105" s="13" t="n">
        <v>2925</v>
      </c>
    </row>
    <row r="106" ht="15.95" customHeight="1" s="574">
      <c r="A106" s="64" t="inlineStr">
        <is>
          <t>7021</t>
        </is>
      </c>
      <c r="B106" s="673" t="inlineStr">
        <is>
          <t>ニッチツ</t>
        </is>
      </c>
      <c r="C106" s="676">
        <f>_xll.RssMarket("7021","現在値")</f>
        <v/>
      </c>
      <c r="D106" s="661">
        <f>C106-E106</f>
        <v/>
      </c>
      <c r="E106" s="13" t="n">
        <v>1760</v>
      </c>
      <c r="F106" s="13" t="n">
        <v>1787</v>
      </c>
      <c r="G106" s="13" t="n">
        <v>1800</v>
      </c>
      <c r="H106" s="13" t="n">
        <v>1809</v>
      </c>
      <c r="I106" s="13" t="n">
        <v>1805</v>
      </c>
      <c r="J106" s="13" t="n">
        <v>1769</v>
      </c>
      <c r="K106" s="13" t="n">
        <v>1806</v>
      </c>
      <c r="L106" s="13" t="n">
        <v>1765</v>
      </c>
      <c r="M106" s="13" t="n">
        <v>1810</v>
      </c>
      <c r="N106" s="13" t="n">
        <v>1770</v>
      </c>
      <c r="O106" s="13" t="n">
        <v>1754</v>
      </c>
      <c r="P106" s="13" t="n">
        <v>1800</v>
      </c>
      <c r="Q106" s="13" t="n">
        <v>1803</v>
      </c>
      <c r="R106" s="13" t="n">
        <v>1854</v>
      </c>
      <c r="S106" s="13" t="n">
        <v>1894</v>
      </c>
      <c r="T106" s="13" t="n">
        <v>1815</v>
      </c>
      <c r="U106" s="13" t="n">
        <v>1803</v>
      </c>
      <c r="V106" s="13" t="n">
        <v>1822</v>
      </c>
      <c r="W106" s="13" t="n">
        <v>1848</v>
      </c>
      <c r="X106" s="13" t="n">
        <v>1878</v>
      </c>
      <c r="Y106" s="13" t="n">
        <v>1916</v>
      </c>
      <c r="Z106" s="13" t="n">
        <v>1998</v>
      </c>
      <c r="AA106" s="13" t="n">
        <v>2161</v>
      </c>
      <c r="AB106" s="13" t="n">
        <v>2190</v>
      </c>
      <c r="AC106" s="13" t="n">
        <v>2156</v>
      </c>
      <c r="AD106" s="13" t="n">
        <v>2146</v>
      </c>
      <c r="AE106" s="13" t="n">
        <v>2141</v>
      </c>
      <c r="AF106" s="13" t="n">
        <v>2166</v>
      </c>
      <c r="AG106" s="13" t="n">
        <v>2138</v>
      </c>
      <c r="AH106" s="13" t="n">
        <v>2171</v>
      </c>
      <c r="AI106" s="13" t="n">
        <v>2230</v>
      </c>
      <c r="AJ106" s="13" t="n">
        <v>2226</v>
      </c>
      <c r="AK106" s="13" t="n">
        <v>2258</v>
      </c>
      <c r="AL106" s="13" t="n">
        <v>2280</v>
      </c>
      <c r="AM106" s="13" t="n">
        <v>2294</v>
      </c>
      <c r="AN106" s="13" t="n">
        <v>2312</v>
      </c>
      <c r="AO106" s="13" t="n">
        <v>2333</v>
      </c>
      <c r="AP106" s="13" t="n">
        <v>2341</v>
      </c>
      <c r="AQ106" s="13" t="n">
        <v>2334</v>
      </c>
      <c r="AR106" s="13" t="n">
        <v>2350</v>
      </c>
      <c r="AS106" s="13" t="n">
        <v>2350</v>
      </c>
      <c r="AT106" s="13" t="n">
        <v>2340</v>
      </c>
      <c r="AU106" s="13" t="n">
        <v>2322</v>
      </c>
      <c r="AV106" s="13" t="n">
        <v>2312</v>
      </c>
      <c r="AW106" s="13" t="n">
        <v>2296</v>
      </c>
      <c r="AX106" s="13" t="n">
        <v>2291</v>
      </c>
      <c r="AY106" s="13" t="n">
        <v>2290</v>
      </c>
      <c r="AZ106" s="13" t="n">
        <v>2295</v>
      </c>
      <c r="BA106" s="13" t="n">
        <v>2240</v>
      </c>
      <c r="BB106" s="13" t="n">
        <v>2257</v>
      </c>
      <c r="BC106" s="13" t="n">
        <v>2228</v>
      </c>
      <c r="BD106" s="13" t="n">
        <v>2203</v>
      </c>
      <c r="BE106" s="13" t="n">
        <v>2250</v>
      </c>
      <c r="BF106" s="13" t="n">
        <v>2266</v>
      </c>
      <c r="BG106" s="13" t="n">
        <v>2271</v>
      </c>
      <c r="BH106" s="13" t="n">
        <v>2261</v>
      </c>
      <c r="BI106" s="13" t="n">
        <v>2264</v>
      </c>
      <c r="BJ106" s="13" t="n">
        <v>2255</v>
      </c>
      <c r="BK106" s="13" t="n">
        <v>2314</v>
      </c>
      <c r="BL106" s="13" t="n">
        <v>2258</v>
      </c>
    </row>
    <row r="107" ht="15.95" customHeight="1" s="574">
      <c r="A107" s="64" t="inlineStr">
        <is>
          <t>7729</t>
        </is>
      </c>
      <c r="B107" s="673" t="inlineStr">
        <is>
          <t>東京精密</t>
        </is>
      </c>
      <c r="C107" s="676">
        <f>_xll.RssMarket("7729","現在値")</f>
        <v/>
      </c>
      <c r="D107" s="661">
        <f>C107-E107</f>
        <v/>
      </c>
      <c r="E107" s="13" t="n">
        <v>20160</v>
      </c>
      <c r="F107" s="13" t="n">
        <v>20075</v>
      </c>
      <c r="G107" s="13" t="n">
        <v>19255</v>
      </c>
      <c r="H107" s="13" t="n">
        <v>19190</v>
      </c>
      <c r="I107" s="13" t="n">
        <v>18655</v>
      </c>
      <c r="J107" s="13" t="n">
        <v>17480</v>
      </c>
      <c r="K107" s="13" t="n">
        <v>16925</v>
      </c>
      <c r="L107" s="13" t="n">
        <v>16640</v>
      </c>
      <c r="M107" s="13" t="n">
        <v>17910</v>
      </c>
      <c r="N107" s="13" t="n">
        <v>18325</v>
      </c>
      <c r="O107" s="13" t="n">
        <v>17715</v>
      </c>
      <c r="P107" s="13" t="n">
        <v>16910</v>
      </c>
      <c r="Q107" s="13" t="n">
        <v>16820</v>
      </c>
      <c r="R107" s="13" t="n">
        <v>17385</v>
      </c>
      <c r="S107" s="13" t="n">
        <v>17570</v>
      </c>
      <c r="T107" s="13" t="n">
        <v>17705</v>
      </c>
      <c r="U107" s="13" t="n">
        <v>18350</v>
      </c>
      <c r="V107" s="13" t="n">
        <v>16915</v>
      </c>
      <c r="W107" s="13" t="n">
        <v>16395</v>
      </c>
      <c r="X107" s="13" t="n">
        <v>15630</v>
      </c>
      <c r="Y107" s="13" t="n">
        <v>15915</v>
      </c>
      <c r="Z107" s="13" t="n">
        <v>16395</v>
      </c>
      <c r="AA107" s="13" t="n">
        <v>16515</v>
      </c>
      <c r="AB107" s="13" t="n">
        <v>17765</v>
      </c>
      <c r="AC107" s="13" t="n">
        <v>18690</v>
      </c>
      <c r="AD107" s="13" t="n">
        <v>18985</v>
      </c>
      <c r="AE107" s="13" t="n">
        <v>18860</v>
      </c>
      <c r="AF107" s="13" t="n">
        <v>18765</v>
      </c>
      <c r="AG107" s="13" t="n">
        <v>18305</v>
      </c>
      <c r="AH107" s="13" t="n">
        <v>17355</v>
      </c>
      <c r="AI107" s="13" t="n">
        <v>17130</v>
      </c>
      <c r="AJ107" s="13" t="n">
        <v>17355</v>
      </c>
      <c r="AK107" s="13" t="n">
        <v>17350</v>
      </c>
      <c r="AL107" s="13" t="n">
        <v>17430</v>
      </c>
      <c r="AM107" s="13" t="n">
        <v>16900</v>
      </c>
      <c r="AN107" s="13" t="n">
        <v>16650</v>
      </c>
      <c r="AO107" s="13" t="n">
        <v>16720</v>
      </c>
      <c r="AP107" s="13" t="n">
        <v>16250</v>
      </c>
      <c r="AQ107" s="13" t="n">
        <v>16420</v>
      </c>
      <c r="AR107" s="13" t="n">
        <v>16945</v>
      </c>
      <c r="AS107" s="13" t="n">
        <v>16545</v>
      </c>
      <c r="AT107" s="13" t="n">
        <v>16035</v>
      </c>
      <c r="AU107" s="13" t="n">
        <v>15700</v>
      </c>
      <c r="AV107" s="13" t="n">
        <v>15890</v>
      </c>
      <c r="AW107" s="13" t="n">
        <v>15395</v>
      </c>
      <c r="AX107" s="13" t="n">
        <v>15200</v>
      </c>
      <c r="AY107" s="13" t="n">
        <v>14035</v>
      </c>
      <c r="AZ107" s="13" t="n">
        <v>14150</v>
      </c>
      <c r="BA107" s="13" t="n">
        <v>14065</v>
      </c>
      <c r="BB107" s="13" t="n">
        <v>13795</v>
      </c>
      <c r="BC107" s="13" t="n">
        <v>14165</v>
      </c>
      <c r="BD107" s="13" t="n">
        <v>13210</v>
      </c>
      <c r="BE107" s="13" t="n">
        <v>13420</v>
      </c>
      <c r="BF107" s="13" t="n">
        <v>14190</v>
      </c>
      <c r="BG107" s="13" t="n">
        <v>14630</v>
      </c>
      <c r="BH107" s="13" t="n">
        <v>14735</v>
      </c>
      <c r="BI107" s="13" t="n">
        <v>14150</v>
      </c>
      <c r="BJ107" s="13" t="n">
        <v>13755</v>
      </c>
      <c r="BK107" s="13" t="n">
        <v>14280</v>
      </c>
      <c r="BL107" s="13" t="n">
        <v>14875</v>
      </c>
    </row>
    <row r="108" ht="15.95" customHeight="1" s="574">
      <c r="A108" s="64" t="inlineStr">
        <is>
          <t>8424</t>
        </is>
      </c>
      <c r="B108" s="673" t="inlineStr">
        <is>
          <t>芙蓉総合リース</t>
        </is>
      </c>
      <c r="C108" s="676">
        <f>_xll.RssMarket("8424","現在値")</f>
        <v/>
      </c>
      <c r="D108" s="661">
        <f>C108-E108</f>
        <v/>
      </c>
      <c r="E108" s="13" t="n">
        <v>4216</v>
      </c>
      <c r="F108" s="13" t="n">
        <v>4256</v>
      </c>
      <c r="G108" s="13" t="n">
        <v>4236</v>
      </c>
      <c r="H108" s="13" t="n">
        <v>4281</v>
      </c>
      <c r="I108" s="13" t="n">
        <v>4284</v>
      </c>
      <c r="J108" s="13" t="n">
        <v>4272</v>
      </c>
      <c r="K108" s="13" t="n">
        <v>4314</v>
      </c>
      <c r="L108" s="13" t="n">
        <v>4192</v>
      </c>
      <c r="M108" s="13" t="n">
        <v>4137</v>
      </c>
      <c r="N108" s="13" t="n">
        <v>4070</v>
      </c>
      <c r="O108" s="13" t="n">
        <v>4089</v>
      </c>
      <c r="P108" s="13" t="n">
        <v>4081</v>
      </c>
      <c r="Q108" s="13" t="n">
        <v>4094</v>
      </c>
      <c r="R108" s="13" t="n">
        <v>4194</v>
      </c>
      <c r="S108" s="13" t="n">
        <v>4182</v>
      </c>
      <c r="T108" s="13" t="n">
        <v>4184</v>
      </c>
      <c r="U108" s="13" t="n">
        <v>4234</v>
      </c>
      <c r="V108" s="13" t="n">
        <v>4287</v>
      </c>
      <c r="W108" s="13" t="n">
        <v>4375</v>
      </c>
      <c r="X108" s="13" t="n">
        <v>4333</v>
      </c>
      <c r="Y108" s="13" t="n">
        <v>4387</v>
      </c>
      <c r="Z108" s="13" t="n">
        <v>4315</v>
      </c>
      <c r="AA108" s="13" t="n">
        <v>4378</v>
      </c>
      <c r="AB108" s="13" t="n">
        <v>4394</v>
      </c>
      <c r="AC108" s="13" t="n">
        <v>4348</v>
      </c>
      <c r="AD108" s="13" t="n">
        <v>4403</v>
      </c>
      <c r="AE108" s="13" t="n">
        <v>4293</v>
      </c>
      <c r="AF108" s="13" t="n">
        <v>4272</v>
      </c>
      <c r="AG108" s="13" t="n">
        <v>4328</v>
      </c>
      <c r="AH108" s="13" t="n">
        <v>4295</v>
      </c>
      <c r="AI108" s="13" t="n">
        <v>4334</v>
      </c>
      <c r="AJ108" s="13" t="n">
        <v>4350</v>
      </c>
      <c r="AK108" s="13" t="n">
        <v>4263</v>
      </c>
      <c r="AL108" s="13" t="n">
        <v>4279</v>
      </c>
      <c r="AM108" s="13" t="n">
        <v>4268</v>
      </c>
      <c r="AN108" s="13" t="n">
        <v>4265</v>
      </c>
      <c r="AO108" s="13" t="n">
        <v>4261</v>
      </c>
      <c r="AP108" s="13" t="n">
        <v>4307</v>
      </c>
      <c r="AQ108" s="13" t="n">
        <v>4336</v>
      </c>
      <c r="AR108" s="13" t="n">
        <v>4330</v>
      </c>
      <c r="AS108" s="13" t="n">
        <v>4333</v>
      </c>
      <c r="AT108" s="13" t="n">
        <v>4310</v>
      </c>
      <c r="AU108" s="13" t="n">
        <v>4326</v>
      </c>
      <c r="AV108" s="13" t="n">
        <v>4338</v>
      </c>
      <c r="AW108" s="13" t="n">
        <v>4395</v>
      </c>
      <c r="AX108" s="13" t="n">
        <v>4443</v>
      </c>
      <c r="AY108" s="13" t="n">
        <v>4379</v>
      </c>
      <c r="AZ108" s="13" t="n">
        <v>4341</v>
      </c>
      <c r="BA108" s="13" t="n">
        <v>4356</v>
      </c>
      <c r="BB108" s="13" t="n">
        <v>4336</v>
      </c>
      <c r="BC108" s="13" t="n">
        <v>4341</v>
      </c>
      <c r="BD108" s="13" t="n">
        <v>4258</v>
      </c>
      <c r="BE108" s="13" t="n">
        <v>4259</v>
      </c>
      <c r="BF108" s="13" t="n">
        <v>4403</v>
      </c>
      <c r="BG108" s="13" t="n">
        <v>4405</v>
      </c>
      <c r="BH108" s="13" t="n">
        <v>4430</v>
      </c>
      <c r="BI108" s="13" t="n">
        <v>4347</v>
      </c>
      <c r="BJ108" s="13" t="n">
        <v>4299</v>
      </c>
      <c r="BK108" s="13" t="n">
        <v>4386</v>
      </c>
      <c r="BL108" s="13" t="n">
        <v>4447</v>
      </c>
    </row>
    <row r="109" ht="15.95" customHeight="1" s="574">
      <c r="A109" s="64" t="inlineStr">
        <is>
          <t>9020</t>
        </is>
      </c>
      <c r="B109" s="673" t="inlineStr">
        <is>
          <t>東日本旅客鉄道</t>
        </is>
      </c>
      <c r="C109" s="676">
        <f>_xll.RssMarket("9020","現在値")</f>
        <v/>
      </c>
      <c r="D109" s="661">
        <f>C109-E109</f>
        <v/>
      </c>
      <c r="E109" s="13" t="n">
        <v>3324</v>
      </c>
      <c r="F109" s="13" t="n">
        <v>3415</v>
      </c>
      <c r="G109" s="13" t="n">
        <v>3345</v>
      </c>
      <c r="H109" s="13" t="n">
        <v>3398</v>
      </c>
      <c r="I109" s="13" t="n">
        <v>3404</v>
      </c>
      <c r="J109" s="13" t="n">
        <v>3460</v>
      </c>
      <c r="K109" s="13" t="n">
        <v>3380</v>
      </c>
      <c r="L109" s="13" t="n">
        <v>3366</v>
      </c>
      <c r="M109" s="13" t="n">
        <v>3280</v>
      </c>
      <c r="N109" s="13" t="n">
        <v>3313</v>
      </c>
      <c r="O109" s="13" t="n">
        <v>3345</v>
      </c>
      <c r="P109" s="13" t="n">
        <v>3354</v>
      </c>
      <c r="Q109" s="13" t="n">
        <v>3412</v>
      </c>
      <c r="R109" s="13" t="n">
        <v>3444</v>
      </c>
      <c r="S109" s="13" t="n">
        <v>3528</v>
      </c>
      <c r="T109" s="13" t="n">
        <v>3570</v>
      </c>
      <c r="U109" s="13" t="n">
        <v>3606</v>
      </c>
      <c r="V109" s="13" t="n">
        <v>3692</v>
      </c>
      <c r="W109" s="13" t="n">
        <v>3775</v>
      </c>
      <c r="X109" s="13" t="n">
        <v>3788</v>
      </c>
      <c r="Y109" s="13" t="n">
        <v>3682</v>
      </c>
      <c r="Z109" s="13" t="n">
        <v>3766</v>
      </c>
      <c r="AA109" s="13" t="n">
        <v>3680</v>
      </c>
      <c r="AB109" s="13" t="n">
        <v>3764</v>
      </c>
      <c r="AC109" s="13" t="n">
        <v>3693</v>
      </c>
      <c r="AD109" s="13" t="n">
        <v>3639</v>
      </c>
      <c r="AE109" s="13" t="n">
        <v>3645</v>
      </c>
      <c r="AF109" s="13" t="n">
        <v>3610</v>
      </c>
      <c r="AG109" s="13" t="n">
        <v>3700</v>
      </c>
      <c r="AH109" s="13" t="n">
        <v>3388</v>
      </c>
      <c r="AI109" s="13" t="n">
        <v>3451</v>
      </c>
      <c r="AJ109" s="13" t="n">
        <v>3427</v>
      </c>
      <c r="AK109" s="13" t="n">
        <v>3461</v>
      </c>
      <c r="AL109" s="13" t="n">
        <v>3501</v>
      </c>
      <c r="AM109" s="13" t="n">
        <v>3522</v>
      </c>
      <c r="AN109" s="13" t="n">
        <v>3544</v>
      </c>
      <c r="AO109" s="13" t="n">
        <v>3517</v>
      </c>
      <c r="AP109" s="13" t="n">
        <v>3478</v>
      </c>
      <c r="AQ109" s="13" t="n">
        <v>3525</v>
      </c>
      <c r="AR109" s="13" t="n">
        <v>3582</v>
      </c>
      <c r="AS109" s="13" t="n">
        <v>3514</v>
      </c>
      <c r="AT109" s="13" t="n">
        <v>3602</v>
      </c>
      <c r="AU109" s="13" t="n">
        <v>3559</v>
      </c>
      <c r="AV109" s="13" t="n">
        <v>3579</v>
      </c>
      <c r="AW109" s="13" t="n">
        <v>3608</v>
      </c>
      <c r="AX109" s="13" t="n">
        <v>3574</v>
      </c>
      <c r="AY109" s="13" t="n">
        <v>3576</v>
      </c>
      <c r="AZ109" s="13" t="n">
        <v>3640</v>
      </c>
      <c r="BA109" s="13" t="n">
        <v>3675</v>
      </c>
      <c r="BB109" s="13" t="n">
        <v>3684</v>
      </c>
      <c r="BC109" s="13" t="n">
        <v>3625</v>
      </c>
      <c r="BD109" s="13" t="n">
        <v>3620</v>
      </c>
      <c r="BE109" s="13" t="n">
        <v>3671</v>
      </c>
      <c r="BF109" s="13" t="n">
        <v>3647</v>
      </c>
      <c r="BG109" s="13" t="n">
        <v>3635</v>
      </c>
      <c r="BH109" s="13" t="n">
        <v>3589</v>
      </c>
      <c r="BI109" s="13" t="n">
        <v>3557</v>
      </c>
      <c r="BJ109" s="13" t="n">
        <v>3611</v>
      </c>
      <c r="BK109" s="13" t="n">
        <v>3702</v>
      </c>
      <c r="BL109" s="13" t="n">
        <v>3756</v>
      </c>
    </row>
    <row r="110" ht="15.95" customHeight="1" s="574">
      <c r="A110" s="64" t="inlineStr">
        <is>
          <t>9069</t>
        </is>
      </c>
      <c r="B110" s="673" t="inlineStr">
        <is>
          <t>センコーグループＨＬＤＧＳ</t>
        </is>
      </c>
      <c r="C110" s="676">
        <f>_xll.RssMarket("9069","現在値")</f>
        <v/>
      </c>
      <c r="D110" s="661">
        <f>C110-E110</f>
        <v/>
      </c>
      <c r="E110" s="13" t="n">
        <v>1901</v>
      </c>
      <c r="F110" s="13" t="n">
        <v>1883.5</v>
      </c>
      <c r="G110" s="13" t="n">
        <v>1907.5</v>
      </c>
      <c r="H110" s="13" t="n">
        <v>1932.5</v>
      </c>
      <c r="I110" s="13" t="n">
        <v>1922.5</v>
      </c>
      <c r="J110" s="13" t="n">
        <v>1945</v>
      </c>
      <c r="K110" s="13" t="n">
        <v>1954</v>
      </c>
      <c r="L110" s="13" t="n">
        <v>1952.5</v>
      </c>
      <c r="M110" s="13" t="n">
        <v>1907.5</v>
      </c>
      <c r="N110" s="13" t="n">
        <v>1902.5</v>
      </c>
      <c r="O110" s="13" t="n">
        <v>1917</v>
      </c>
      <c r="P110" s="13" t="n">
        <v>1893.5</v>
      </c>
      <c r="Q110" s="13" t="n">
        <v>1892</v>
      </c>
      <c r="R110" s="13" t="n">
        <v>1906.5</v>
      </c>
      <c r="S110" s="13" t="n">
        <v>1919.5</v>
      </c>
      <c r="T110" s="13" t="n">
        <v>1918</v>
      </c>
      <c r="U110" s="13" t="n">
        <v>1935</v>
      </c>
      <c r="V110" s="13" t="n">
        <v>1966.5</v>
      </c>
      <c r="W110" s="13" t="n">
        <v>2032</v>
      </c>
      <c r="X110" s="13" t="n">
        <v>2012</v>
      </c>
      <c r="Y110" s="13" t="n">
        <v>2027</v>
      </c>
      <c r="Z110" s="13" t="n">
        <v>2005</v>
      </c>
      <c r="AA110" s="13" t="n">
        <v>2031.5</v>
      </c>
      <c r="AB110" s="13" t="n">
        <v>2006</v>
      </c>
      <c r="AC110" s="13" t="n">
        <v>1849.5</v>
      </c>
      <c r="AD110" s="13" t="n">
        <v>1828.5</v>
      </c>
      <c r="AE110" s="13" t="n">
        <v>1858</v>
      </c>
      <c r="AF110" s="13" t="n">
        <v>1869</v>
      </c>
      <c r="AG110" s="13" t="n">
        <v>1864.5</v>
      </c>
      <c r="AH110" s="13" t="n">
        <v>1828</v>
      </c>
      <c r="AI110" s="13" t="n">
        <v>1845.5</v>
      </c>
      <c r="AJ110" s="13" t="n">
        <v>1868</v>
      </c>
      <c r="AK110" s="13" t="n">
        <v>1827.5</v>
      </c>
      <c r="AL110" s="13" t="n">
        <v>1854.5</v>
      </c>
      <c r="AM110" s="13" t="n">
        <v>1875</v>
      </c>
      <c r="AN110" s="13" t="n">
        <v>1899</v>
      </c>
      <c r="AO110" s="13" t="n">
        <v>1915</v>
      </c>
      <c r="AP110" s="13" t="n">
        <v>1906.5</v>
      </c>
      <c r="AQ110" s="13" t="n">
        <v>1886</v>
      </c>
      <c r="AR110" s="13" t="n">
        <v>1901</v>
      </c>
      <c r="AS110" s="13" t="n">
        <v>1887</v>
      </c>
      <c r="AT110" s="13" t="n">
        <v>1877.5</v>
      </c>
      <c r="AU110" s="13" t="n">
        <v>1867</v>
      </c>
      <c r="AV110" s="13" t="n">
        <v>1876</v>
      </c>
      <c r="AW110" s="13" t="n">
        <v>1917</v>
      </c>
      <c r="AX110" s="13" t="n">
        <v>1903.5</v>
      </c>
      <c r="AY110" s="13" t="n">
        <v>1872.5</v>
      </c>
      <c r="AZ110" s="13" t="n">
        <v>1855</v>
      </c>
      <c r="BA110" s="13" t="n">
        <v>1867</v>
      </c>
      <c r="BB110" s="13" t="n">
        <v>1875</v>
      </c>
      <c r="BC110" s="13" t="n">
        <v>1869.5</v>
      </c>
      <c r="BD110" s="13" t="n">
        <v>1795.5</v>
      </c>
      <c r="BE110" s="13" t="n">
        <v>1783</v>
      </c>
      <c r="BF110" s="13" t="n">
        <v>1808</v>
      </c>
      <c r="BG110" s="13" t="n">
        <v>1806.5</v>
      </c>
      <c r="BH110" s="13" t="n">
        <v>1809</v>
      </c>
      <c r="BI110" s="13" t="n">
        <v>1789.5</v>
      </c>
      <c r="BJ110" s="13" t="n">
        <v>1738.5</v>
      </c>
      <c r="BK110" s="13" t="n">
        <v>1793</v>
      </c>
      <c r="BL110" s="13" t="n">
        <v>1836.5</v>
      </c>
    </row>
    <row r="111" ht="15.95" customHeight="1" s="574">
      <c r="A111" s="64" t="inlineStr">
        <is>
          <t>9227</t>
        </is>
      </c>
      <c r="B111" s="673" t="inlineStr">
        <is>
          <t>マイクロ波化学</t>
        </is>
      </c>
      <c r="C111" s="676">
        <f>_xll.RssMarket("9227","現在値")</f>
        <v/>
      </c>
      <c r="D111" s="661">
        <f>C111-E111</f>
        <v/>
      </c>
      <c r="E111" s="13" t="n">
        <v>946</v>
      </c>
      <c r="F111" s="13" t="n">
        <v>887</v>
      </c>
      <c r="G111" s="13" t="n">
        <v>881</v>
      </c>
      <c r="H111" s="13" t="n">
        <v>865</v>
      </c>
      <c r="I111" s="13" t="n">
        <v>864</v>
      </c>
      <c r="J111" s="13" t="n">
        <v>865</v>
      </c>
      <c r="K111" s="13" t="n">
        <v>915</v>
      </c>
      <c r="L111" s="13" t="n">
        <v>930</v>
      </c>
      <c r="M111" s="13" t="n">
        <v>887</v>
      </c>
      <c r="N111" s="13" t="n">
        <v>904</v>
      </c>
      <c r="O111" s="13" t="n">
        <v>912</v>
      </c>
      <c r="P111" s="13" t="n">
        <v>996</v>
      </c>
      <c r="Q111" s="13" t="n">
        <v>1031</v>
      </c>
      <c r="R111" s="13" t="n">
        <v>1120</v>
      </c>
      <c r="S111" s="13" t="n">
        <v>1209</v>
      </c>
      <c r="T111" s="13" t="n">
        <v>1093</v>
      </c>
      <c r="U111" s="13" t="n">
        <v>943</v>
      </c>
      <c r="V111" s="13" t="n">
        <v>793</v>
      </c>
      <c r="W111" s="13" t="n">
        <v>770</v>
      </c>
      <c r="X111" s="13" t="n">
        <v>799</v>
      </c>
      <c r="Y111" s="13" t="n">
        <v>813</v>
      </c>
      <c r="Z111" s="13" t="n">
        <v>822</v>
      </c>
      <c r="AA111" s="13" t="n">
        <v>806</v>
      </c>
      <c r="AB111" s="13" t="n">
        <v>854</v>
      </c>
      <c r="AC111" s="13" t="n">
        <v>962</v>
      </c>
      <c r="AD111" s="13" t="n">
        <v>980</v>
      </c>
      <c r="AE111" s="13" t="n">
        <v>1015</v>
      </c>
      <c r="AF111" s="13" t="n">
        <v>1006</v>
      </c>
      <c r="AG111" s="13" t="n">
        <v>1027</v>
      </c>
      <c r="AH111" s="13" t="n">
        <v>1024</v>
      </c>
      <c r="AI111" s="13" t="n">
        <v>1040</v>
      </c>
      <c r="AJ111" s="13" t="n">
        <v>1034</v>
      </c>
      <c r="AK111" s="13" t="n">
        <v>1063</v>
      </c>
      <c r="AL111" s="13" t="n">
        <v>1095</v>
      </c>
      <c r="AM111" s="13" t="n">
        <v>1133</v>
      </c>
      <c r="AN111" s="13" t="n">
        <v>1181</v>
      </c>
      <c r="AO111" s="13" t="n">
        <v>1196</v>
      </c>
      <c r="AP111" s="13" t="n">
        <v>1061</v>
      </c>
      <c r="AQ111" s="13" t="n">
        <v>1043</v>
      </c>
      <c r="AR111" s="13" t="n">
        <v>1017</v>
      </c>
      <c r="AS111" s="13" t="n">
        <v>1002</v>
      </c>
      <c r="AT111" s="13" t="n">
        <v>1000</v>
      </c>
      <c r="AU111" s="13" t="n">
        <v>948</v>
      </c>
      <c r="AV111" s="13" t="n">
        <v>972</v>
      </c>
      <c r="AW111" s="13" t="n">
        <v>998</v>
      </c>
      <c r="AX111" s="13" t="n">
        <v>928</v>
      </c>
      <c r="AY111" s="13" t="n">
        <v>948</v>
      </c>
      <c r="AZ111" s="13" t="n">
        <v>956</v>
      </c>
      <c r="BA111" s="13" t="n">
        <v>975</v>
      </c>
      <c r="BB111" s="13" t="n">
        <v>1020</v>
      </c>
      <c r="BC111" s="13" t="n">
        <v>950</v>
      </c>
      <c r="BD111" s="13" t="n">
        <v>960</v>
      </c>
      <c r="BE111" s="13" t="n">
        <v>978</v>
      </c>
      <c r="BF111" s="13" t="n">
        <v>972</v>
      </c>
      <c r="BG111" s="13" t="n">
        <v>1017</v>
      </c>
      <c r="BH111" s="13" t="n">
        <v>999</v>
      </c>
      <c r="BI111" s="13" t="n">
        <v>978</v>
      </c>
      <c r="BJ111" s="13" t="n">
        <v>1074</v>
      </c>
      <c r="BK111" s="13" t="n">
        <v>1144</v>
      </c>
      <c r="BL111" s="13" t="n">
        <v>994</v>
      </c>
    </row>
    <row r="112" ht="15.95" customHeight="1" s="574">
      <c r="A112" s="64" t="inlineStr">
        <is>
          <t>9348</t>
        </is>
      </c>
      <c r="B112" s="673" t="inlineStr">
        <is>
          <t>ｉｓｐａｃｅ</t>
        </is>
      </c>
      <c r="C112" s="676">
        <f>_xll.RssMarket("9348","現在値")</f>
        <v/>
      </c>
      <c r="D112" s="661">
        <f>C112-E112</f>
        <v/>
      </c>
      <c r="E112" s="13" t="n">
        <v>455</v>
      </c>
      <c r="F112" s="13" t="n">
        <v>434</v>
      </c>
      <c r="G112" s="13" t="n">
        <v>473</v>
      </c>
      <c r="H112" s="13" t="n">
        <v>468</v>
      </c>
      <c r="I112" s="13" t="n">
        <v>551</v>
      </c>
      <c r="J112" s="13" t="n">
        <v>576</v>
      </c>
      <c r="K112" s="13" t="n">
        <v>577</v>
      </c>
      <c r="L112" s="13" t="n">
        <v>598</v>
      </c>
      <c r="M112" s="13" t="n">
        <v>615</v>
      </c>
      <c r="N112" s="13" t="n">
        <v>555</v>
      </c>
      <c r="O112" s="13" t="n">
        <v>587</v>
      </c>
      <c r="P112" s="13" t="n">
        <v>583</v>
      </c>
      <c r="Q112" s="13" t="n">
        <v>588</v>
      </c>
      <c r="R112" s="13" t="n">
        <v>671</v>
      </c>
      <c r="S112" s="13" t="n">
        <v>699</v>
      </c>
      <c r="T112" s="13" t="n">
        <v>600</v>
      </c>
      <c r="U112" s="13" t="n">
        <v>580</v>
      </c>
      <c r="V112" s="13" t="n">
        <v>568</v>
      </c>
      <c r="W112" s="13" t="n">
        <v>507</v>
      </c>
      <c r="X112" s="13" t="n">
        <v>494</v>
      </c>
      <c r="Y112" s="13" t="n">
        <v>534</v>
      </c>
      <c r="Z112" s="13" t="n">
        <v>496</v>
      </c>
      <c r="AA112" s="13" t="n">
        <v>506</v>
      </c>
      <c r="AB112" s="13" t="n">
        <v>499</v>
      </c>
      <c r="AC112" s="13" t="n">
        <v>498</v>
      </c>
      <c r="AD112" s="13" t="n">
        <v>497</v>
      </c>
      <c r="AE112" s="13" t="n">
        <v>510</v>
      </c>
      <c r="AF112" s="13" t="n">
        <v>503</v>
      </c>
      <c r="AG112" s="13" t="n">
        <v>484</v>
      </c>
      <c r="AH112" s="13" t="n">
        <v>470</v>
      </c>
      <c r="AI112" s="13" t="n">
        <v>468</v>
      </c>
      <c r="AJ112" s="13" t="n">
        <v>476</v>
      </c>
      <c r="AK112" s="13" t="n">
        <v>466</v>
      </c>
      <c r="AL112" s="13" t="n">
        <v>476</v>
      </c>
      <c r="AM112" s="13" t="n">
        <v>482</v>
      </c>
      <c r="AN112" s="13" t="n">
        <v>492</v>
      </c>
      <c r="AO112" s="13" t="n">
        <v>488</v>
      </c>
      <c r="AP112" s="13" t="n">
        <v>496</v>
      </c>
      <c r="AQ112" s="13" t="n">
        <v>496</v>
      </c>
      <c r="AR112" s="13" t="n">
        <v>489</v>
      </c>
      <c r="AS112" s="13" t="n">
        <v>512</v>
      </c>
      <c r="AT112" s="13" t="n">
        <v>510</v>
      </c>
      <c r="AU112" s="13" t="n">
        <v>500</v>
      </c>
      <c r="AV112" s="13" t="n">
        <v>515</v>
      </c>
      <c r="AW112" s="13" t="n">
        <v>457</v>
      </c>
      <c r="AX112" s="13" t="n">
        <v>456</v>
      </c>
      <c r="AY112" s="13" t="n">
        <v>434</v>
      </c>
      <c r="AZ112" s="13" t="n">
        <v>432</v>
      </c>
      <c r="BA112" s="13" t="n">
        <v>424</v>
      </c>
      <c r="BB112" s="13" t="n">
        <v>472</v>
      </c>
      <c r="BC112" s="13" t="n">
        <v>444</v>
      </c>
      <c r="BD112" s="13" t="n">
        <v>435</v>
      </c>
      <c r="BE112" s="13" t="n">
        <v>466</v>
      </c>
      <c r="BF112" s="13" t="n">
        <v>566</v>
      </c>
      <c r="BG112" s="13" t="n">
        <v>566</v>
      </c>
      <c r="BH112" s="13" t="n">
        <v>577</v>
      </c>
      <c r="BI112" s="13" t="n">
        <v>549</v>
      </c>
      <c r="BJ112" s="13" t="n">
        <v>537</v>
      </c>
      <c r="BK112" s="13" t="n">
        <v>584</v>
      </c>
      <c r="BL112" s="13" t="n">
        <v>603</v>
      </c>
    </row>
    <row r="113" ht="15.95" customHeight="1" s="574">
      <c r="A113" s="64" t="inlineStr">
        <is>
          <t>9449</t>
        </is>
      </c>
      <c r="B113" s="673" t="inlineStr">
        <is>
          <t>ＧＭＯインターネットグループ</t>
        </is>
      </c>
      <c r="C113" s="676">
        <f>_xll.RssMarket("9449","現在値")</f>
        <v/>
      </c>
      <c r="D113" s="661">
        <f>C113-E113</f>
        <v/>
      </c>
      <c r="E113" s="13" t="n">
        <v>3542</v>
      </c>
      <c r="F113" s="13" t="n">
        <v>3000</v>
      </c>
      <c r="G113" s="13" t="n">
        <v>3098</v>
      </c>
      <c r="H113" s="13" t="n">
        <v>3083</v>
      </c>
      <c r="I113" s="13" t="n">
        <v>3146</v>
      </c>
      <c r="J113" s="13" t="n">
        <v>3171</v>
      </c>
      <c r="K113" s="13" t="n">
        <v>3162</v>
      </c>
      <c r="L113" s="13" t="n">
        <v>3230</v>
      </c>
      <c r="M113" s="13" t="n">
        <v>3245</v>
      </c>
      <c r="N113" s="13" t="n">
        <v>3307</v>
      </c>
      <c r="O113" s="13" t="n">
        <v>3327</v>
      </c>
      <c r="P113" s="13" t="n">
        <v>3355</v>
      </c>
      <c r="Q113" s="13" t="n">
        <v>3285</v>
      </c>
      <c r="R113" s="13" t="n">
        <v>3283</v>
      </c>
      <c r="S113" s="13" t="n">
        <v>3330</v>
      </c>
      <c r="T113" s="13" t="n">
        <v>3438</v>
      </c>
      <c r="U113" s="13" t="n">
        <v>3396</v>
      </c>
      <c r="V113" s="13" t="n">
        <v>3317</v>
      </c>
      <c r="W113" s="13" t="n">
        <v>3307</v>
      </c>
      <c r="X113" s="13" t="n">
        <v>3348</v>
      </c>
      <c r="Y113" s="13" t="n">
        <v>3310</v>
      </c>
      <c r="Z113" s="13" t="n">
        <v>3079</v>
      </c>
      <c r="AA113" s="13" t="n">
        <v>3091</v>
      </c>
      <c r="AB113" s="13" t="n">
        <v>3172</v>
      </c>
      <c r="AC113" s="13" t="n">
        <v>3114</v>
      </c>
      <c r="AD113" s="13" t="n">
        <v>3161</v>
      </c>
      <c r="AE113" s="13" t="n">
        <v>3183</v>
      </c>
      <c r="AF113" s="13" t="n">
        <v>3054</v>
      </c>
      <c r="AG113" s="13" t="n">
        <v>3045</v>
      </c>
      <c r="AH113" s="13" t="n">
        <v>3080</v>
      </c>
      <c r="AI113" s="13" t="n">
        <v>3108</v>
      </c>
      <c r="AJ113" s="13" t="n">
        <v>3092</v>
      </c>
      <c r="AK113" s="13" t="n">
        <v>3153</v>
      </c>
      <c r="AL113" s="13" t="n">
        <v>3168</v>
      </c>
      <c r="AM113" s="13" t="n">
        <v>3261</v>
      </c>
      <c r="AN113" s="13" t="n">
        <v>3309</v>
      </c>
      <c r="AO113" s="13" t="n">
        <v>3236</v>
      </c>
      <c r="AP113" s="13" t="n">
        <v>3276</v>
      </c>
      <c r="AQ113" s="13" t="n">
        <v>3258</v>
      </c>
      <c r="AR113" s="13" t="n">
        <v>3083</v>
      </c>
      <c r="AS113" s="13" t="n">
        <v>3026</v>
      </c>
      <c r="AT113" s="13" t="n">
        <v>2975</v>
      </c>
      <c r="AU113" s="13" t="n">
        <v>2964.5</v>
      </c>
      <c r="AV113" s="13" t="n">
        <v>3053</v>
      </c>
      <c r="AW113" s="13" t="n">
        <v>3131</v>
      </c>
      <c r="AX113" s="13" t="n">
        <v>3023</v>
      </c>
      <c r="AY113" s="13" t="n">
        <v>3008</v>
      </c>
      <c r="AZ113" s="13" t="n">
        <v>2997.5</v>
      </c>
      <c r="BA113" s="13" t="n">
        <v>2901</v>
      </c>
      <c r="BB113" s="13" t="n">
        <v>2988</v>
      </c>
      <c r="BC113" s="13" t="n">
        <v>2866.5</v>
      </c>
      <c r="BD113" s="13" t="n">
        <v>2796.5</v>
      </c>
      <c r="BE113" s="13" t="n">
        <v>2863.5</v>
      </c>
      <c r="BF113" s="13" t="n">
        <v>2837.5</v>
      </c>
      <c r="BG113" s="13" t="n">
        <v>2860.5</v>
      </c>
      <c r="BH113" s="13" t="n">
        <v>2840.5</v>
      </c>
      <c r="BI113" s="13" t="n">
        <v>2758</v>
      </c>
      <c r="BJ113" s="13" t="n">
        <v>2827.5</v>
      </c>
      <c r="BK113" s="13" t="n">
        <v>2927.5</v>
      </c>
      <c r="BL113" s="13" t="n">
        <v>2835.5</v>
      </c>
    </row>
    <row r="114" ht="15.95" customHeight="1" s="574">
      <c r="A114" s="64" t="inlineStr">
        <is>
          <t>9501</t>
        </is>
      </c>
      <c r="B114" s="673" t="inlineStr">
        <is>
          <t>東京電力ＨＤ</t>
        </is>
      </c>
      <c r="C114" s="676">
        <f>_xll.RssMarket("9501","現在値")</f>
        <v/>
      </c>
      <c r="D114" s="661">
        <f>C114-E114</f>
        <v/>
      </c>
      <c r="E114" s="13" t="n">
        <v>477.5</v>
      </c>
      <c r="F114" s="13" t="n">
        <v>514</v>
      </c>
      <c r="G114" s="13" t="n">
        <v>508.1</v>
      </c>
      <c r="H114" s="13" t="n">
        <v>513.5</v>
      </c>
      <c r="I114" s="13" t="n">
        <v>509.3</v>
      </c>
      <c r="J114" s="13" t="n">
        <v>494.8</v>
      </c>
      <c r="K114" s="13" t="n">
        <v>512.2</v>
      </c>
      <c r="L114" s="13" t="n">
        <v>535.4</v>
      </c>
      <c r="M114" s="13" t="n">
        <v>528.4</v>
      </c>
      <c r="N114" s="13" t="n">
        <v>541</v>
      </c>
      <c r="O114" s="13" t="n">
        <v>572.9</v>
      </c>
      <c r="P114" s="13" t="n">
        <v>560</v>
      </c>
      <c r="Q114" s="13" t="n">
        <v>558.9</v>
      </c>
      <c r="R114" s="13" t="n">
        <v>564.7</v>
      </c>
      <c r="S114" s="13" t="n">
        <v>557.3</v>
      </c>
      <c r="T114" s="13" t="n">
        <v>572.3</v>
      </c>
      <c r="U114" s="13" t="n">
        <v>567.2</v>
      </c>
      <c r="V114" s="13" t="n">
        <v>549</v>
      </c>
      <c r="W114" s="13" t="n">
        <v>557.4</v>
      </c>
      <c r="X114" s="13" t="n">
        <v>547.9</v>
      </c>
      <c r="Y114" s="13" t="n">
        <v>580.7</v>
      </c>
      <c r="Z114" s="13" t="n">
        <v>558.5</v>
      </c>
      <c r="AA114" s="13" t="n">
        <v>592.7</v>
      </c>
      <c r="AB114" s="13" t="n">
        <v>609</v>
      </c>
      <c r="AC114" s="13" t="n">
        <v>612.6</v>
      </c>
      <c r="AD114" s="13" t="n">
        <v>645.2</v>
      </c>
      <c r="AE114" s="13" t="n">
        <v>651.1</v>
      </c>
      <c r="AF114" s="13" t="n">
        <v>632.8</v>
      </c>
      <c r="AG114" s="13" t="n">
        <v>624</v>
      </c>
      <c r="AH114" s="13" t="n">
        <v>612.7</v>
      </c>
      <c r="AI114" s="13" t="n">
        <v>592.2</v>
      </c>
      <c r="AJ114" s="13" t="n">
        <v>611.1</v>
      </c>
      <c r="AK114" s="13" t="n">
        <v>580.5</v>
      </c>
      <c r="AL114" s="13" t="n">
        <v>584.7</v>
      </c>
      <c r="AM114" s="13" t="n">
        <v>584.8</v>
      </c>
      <c r="AN114" s="13" t="n">
        <v>625.3</v>
      </c>
      <c r="AO114" s="13" t="n">
        <v>603.2</v>
      </c>
      <c r="AP114" s="13" t="n">
        <v>611.5</v>
      </c>
      <c r="AQ114" s="13" t="n">
        <v>624</v>
      </c>
      <c r="AR114" s="13" t="n">
        <v>638</v>
      </c>
      <c r="AS114" s="13" t="n">
        <v>632.5</v>
      </c>
      <c r="AT114" s="13" t="n">
        <v>650</v>
      </c>
      <c r="AU114" s="13" t="n">
        <v>651.3</v>
      </c>
      <c r="AV114" s="13" t="n">
        <v>665.1</v>
      </c>
      <c r="AW114" s="13" t="n">
        <v>657.3</v>
      </c>
      <c r="AX114" s="13" t="n">
        <v>640.4</v>
      </c>
      <c r="AY114" s="13" t="n">
        <v>624.1</v>
      </c>
      <c r="AZ114" s="13" t="n">
        <v>636.3</v>
      </c>
      <c r="BA114" s="13" t="n">
        <v>646</v>
      </c>
      <c r="BB114" s="13" t="n">
        <v>648.3</v>
      </c>
      <c r="BC114" s="13" t="n">
        <v>661.3</v>
      </c>
      <c r="BD114" s="13" t="n">
        <v>638.9</v>
      </c>
      <c r="BE114" s="13" t="n">
        <v>634.5</v>
      </c>
      <c r="BF114" s="13" t="n">
        <v>635.2</v>
      </c>
      <c r="BG114" s="13" t="n">
        <v>623.4</v>
      </c>
      <c r="BH114" s="13" t="n">
        <v>636.6</v>
      </c>
      <c r="BI114" s="13" t="n">
        <v>626.3</v>
      </c>
      <c r="BJ114" s="13" t="n">
        <v>617.3</v>
      </c>
      <c r="BK114" s="13" t="n">
        <v>653.4</v>
      </c>
      <c r="BL114" s="13" t="n">
        <v>713.4</v>
      </c>
    </row>
    <row r="115" ht="15.95" customHeight="1" s="574">
      <c r="A115" s="64" t="inlineStr">
        <is>
          <t>9531</t>
        </is>
      </c>
      <c r="B115" s="673" t="inlineStr">
        <is>
          <t>東京瓦斯</t>
        </is>
      </c>
      <c r="C115" s="676">
        <f>_xll.RssMarket("9531","現在値")</f>
        <v/>
      </c>
      <c r="D115" s="661">
        <f>C115-E115</f>
        <v/>
      </c>
      <c r="E115" s="13" t="n">
        <v>6210</v>
      </c>
      <c r="F115" s="13" t="n">
        <v>6178</v>
      </c>
      <c r="G115" s="13" t="n">
        <v>6151</v>
      </c>
      <c r="H115" s="13" t="n">
        <v>6223</v>
      </c>
      <c r="I115" s="13" t="n">
        <v>6303</v>
      </c>
      <c r="J115" s="13" t="n">
        <v>6395</v>
      </c>
      <c r="K115" s="13" t="n">
        <v>6305</v>
      </c>
      <c r="L115" s="13" t="n">
        <v>6311</v>
      </c>
      <c r="M115" s="13" t="n">
        <v>6190</v>
      </c>
      <c r="N115" s="13" t="n">
        <v>6219</v>
      </c>
      <c r="O115" s="13" t="n">
        <v>6292</v>
      </c>
      <c r="P115" s="13" t="n">
        <v>6220</v>
      </c>
      <c r="Q115" s="13" t="n">
        <v>6175</v>
      </c>
      <c r="R115" s="13" t="n">
        <v>6380</v>
      </c>
      <c r="S115" s="13" t="n">
        <v>6294</v>
      </c>
      <c r="T115" s="13" t="n">
        <v>6471</v>
      </c>
      <c r="U115" s="13" t="n">
        <v>6436</v>
      </c>
      <c r="V115" s="13" t="n">
        <v>6522</v>
      </c>
      <c r="W115" s="13" t="n">
        <v>6656</v>
      </c>
      <c r="X115" s="13" t="n">
        <v>6639</v>
      </c>
      <c r="Y115" s="13" t="n">
        <v>6699</v>
      </c>
      <c r="Z115" s="13" t="n">
        <v>6565</v>
      </c>
      <c r="AA115" s="13" t="n">
        <v>6722</v>
      </c>
      <c r="AB115" s="13" t="n">
        <v>6625</v>
      </c>
      <c r="AC115" s="13" t="n">
        <v>6607</v>
      </c>
      <c r="AD115" s="13" t="n">
        <v>6670</v>
      </c>
      <c r="AE115" s="13" t="n">
        <v>6745</v>
      </c>
      <c r="AF115" s="13" t="n">
        <v>6600</v>
      </c>
      <c r="AG115" s="13" t="n">
        <v>6812</v>
      </c>
      <c r="AH115" s="13" t="n">
        <v>6614</v>
      </c>
      <c r="AI115" s="13" t="n">
        <v>6670</v>
      </c>
      <c r="AJ115" s="13" t="n">
        <v>6937</v>
      </c>
      <c r="AK115" s="13" t="n">
        <v>6473</v>
      </c>
      <c r="AL115" s="13" t="n">
        <v>6454</v>
      </c>
      <c r="AM115" s="13" t="n">
        <v>6471</v>
      </c>
      <c r="AN115" s="13" t="n">
        <v>6487</v>
      </c>
      <c r="AO115" s="13" t="n">
        <v>6596</v>
      </c>
      <c r="AP115" s="13" t="n">
        <v>6644</v>
      </c>
      <c r="AQ115" s="13" t="n">
        <v>6914</v>
      </c>
      <c r="AR115" s="13" t="n">
        <v>7117</v>
      </c>
      <c r="AS115" s="13" t="n">
        <v>6955</v>
      </c>
      <c r="AT115" s="13" t="n">
        <v>7007</v>
      </c>
      <c r="AU115" s="13" t="n">
        <v>7072</v>
      </c>
      <c r="AV115" s="13" t="n">
        <v>7286</v>
      </c>
      <c r="AW115" s="13" t="n">
        <v>7297</v>
      </c>
      <c r="AX115" s="13" t="n">
        <v>7302</v>
      </c>
      <c r="AY115" s="13" t="n">
        <v>7369</v>
      </c>
      <c r="AZ115" s="13" t="n">
        <v>7224</v>
      </c>
      <c r="BA115" s="13" t="n">
        <v>7356</v>
      </c>
      <c r="BB115" s="13" t="n">
        <v>7297</v>
      </c>
      <c r="BC115" s="13" t="n">
        <v>7645</v>
      </c>
      <c r="BD115" s="13" t="n">
        <v>7417</v>
      </c>
      <c r="BE115" s="13" t="n">
        <v>7604</v>
      </c>
      <c r="BF115" s="13" t="n">
        <v>7757</v>
      </c>
      <c r="BG115" s="13" t="n">
        <v>7636</v>
      </c>
      <c r="BH115" s="13" t="n">
        <v>7544</v>
      </c>
      <c r="BI115" s="13" t="n">
        <v>7260</v>
      </c>
      <c r="BJ115" s="13" t="n">
        <v>7080</v>
      </c>
      <c r="BK115" s="13" t="n">
        <v>7319</v>
      </c>
      <c r="BL115" s="13" t="n">
        <v>7687</v>
      </c>
    </row>
    <row r="116" ht="15.95" customHeight="1" s="574">
      <c r="A116" s="64" t="inlineStr">
        <is>
          <t>9882</t>
        </is>
      </c>
      <c r="B116" s="673" t="inlineStr">
        <is>
          <t>イエローハット</t>
        </is>
      </c>
      <c r="C116" s="676">
        <f>_xll.RssMarket("9882","現在値")</f>
        <v/>
      </c>
      <c r="D116" s="661">
        <f>C116-E116</f>
        <v/>
      </c>
      <c r="E116" s="13" t="n">
        <v>1752</v>
      </c>
      <c r="F116" s="13" t="n">
        <v>1773</v>
      </c>
      <c r="G116" s="13" t="n">
        <v>1736</v>
      </c>
      <c r="H116" s="13" t="n">
        <v>1743</v>
      </c>
      <c r="I116" s="13" t="n">
        <v>1733</v>
      </c>
      <c r="J116" s="13" t="n">
        <v>1727</v>
      </c>
      <c r="K116" s="13" t="n">
        <v>1709</v>
      </c>
      <c r="L116" s="13" t="n">
        <v>1674</v>
      </c>
      <c r="M116" s="13" t="n">
        <v>1663</v>
      </c>
      <c r="N116" s="13" t="n">
        <v>1652</v>
      </c>
      <c r="O116" s="13" t="n">
        <v>1687</v>
      </c>
      <c r="P116" s="13" t="n">
        <v>1634</v>
      </c>
      <c r="Q116" s="13" t="n">
        <v>1621</v>
      </c>
      <c r="R116" s="13" t="n">
        <v>1655</v>
      </c>
      <c r="S116" s="13" t="n">
        <v>1627</v>
      </c>
      <c r="T116" s="13" t="n">
        <v>1625</v>
      </c>
      <c r="U116" s="13" t="n">
        <v>1616</v>
      </c>
      <c r="V116" s="13" t="n">
        <v>1630</v>
      </c>
      <c r="W116" s="13" t="n">
        <v>1631</v>
      </c>
      <c r="X116" s="13" t="n">
        <v>1620</v>
      </c>
      <c r="Y116" s="13" t="n">
        <v>1634</v>
      </c>
      <c r="Z116" s="13" t="n">
        <v>1621</v>
      </c>
      <c r="AA116" s="13" t="n">
        <v>1637</v>
      </c>
      <c r="AB116" s="13" t="n">
        <v>1595</v>
      </c>
      <c r="AC116" s="13" t="n">
        <v>1613</v>
      </c>
      <c r="AD116" s="13" t="n">
        <v>1633</v>
      </c>
      <c r="AE116" s="13" t="n">
        <v>1650</v>
      </c>
      <c r="AF116" s="13" t="n">
        <v>1497</v>
      </c>
      <c r="AG116" s="13" t="n">
        <v>1503</v>
      </c>
      <c r="AH116" s="13" t="n">
        <v>1506</v>
      </c>
      <c r="AI116" s="13" t="n">
        <v>1517</v>
      </c>
      <c r="AJ116" s="13" t="n">
        <v>1515</v>
      </c>
      <c r="AK116" s="13" t="n">
        <v>1507</v>
      </c>
      <c r="AL116" s="13" t="n">
        <v>1520</v>
      </c>
      <c r="AM116" s="13" t="n">
        <v>1533</v>
      </c>
      <c r="AN116" s="13" t="n">
        <v>1539</v>
      </c>
      <c r="AO116" s="13" t="n">
        <v>1566</v>
      </c>
      <c r="AP116" s="13" t="n">
        <v>1562</v>
      </c>
      <c r="AQ116" s="13" t="n">
        <v>1561</v>
      </c>
      <c r="AR116" s="13" t="n">
        <v>1550</v>
      </c>
      <c r="AS116" s="13" t="n">
        <v>1553</v>
      </c>
      <c r="AT116" s="13" t="n">
        <v>1562</v>
      </c>
      <c r="AU116" s="13" t="n">
        <v>1575</v>
      </c>
      <c r="AV116" s="13" t="n">
        <v>1596</v>
      </c>
      <c r="AW116" s="13" t="n">
        <v>1597</v>
      </c>
      <c r="AX116" s="13" t="n">
        <v>1627</v>
      </c>
      <c r="AY116" s="13" t="n">
        <v>1605</v>
      </c>
      <c r="AZ116" s="13" t="n">
        <v>1568</v>
      </c>
      <c r="BA116" s="13" t="n">
        <v>1546</v>
      </c>
      <c r="BB116" s="13" t="n">
        <v>1557</v>
      </c>
      <c r="BC116" s="13" t="n">
        <v>1567</v>
      </c>
      <c r="BD116" s="13" t="n">
        <v>1545</v>
      </c>
      <c r="BE116" s="13" t="n">
        <v>1538</v>
      </c>
      <c r="BF116" s="13" t="n">
        <v>1595</v>
      </c>
      <c r="BG116" s="13" t="n">
        <v>1586</v>
      </c>
      <c r="BH116" s="13" t="n">
        <v>1580</v>
      </c>
      <c r="BI116" s="13" t="n">
        <v>1556</v>
      </c>
      <c r="BJ116" s="13" t="n">
        <v>1523</v>
      </c>
      <c r="BK116" s="13" t="n">
        <v>1542</v>
      </c>
      <c r="BL116" s="13" t="n">
        <v>1598</v>
      </c>
    </row>
    <row r="117" ht="15.95" customHeight="1" s="574">
      <c r="A117" s="64" t="inlineStr">
        <is>
          <t>5838</t>
        </is>
      </c>
      <c r="B117" s="673" t="inlineStr">
        <is>
          <t>楽天銀行</t>
        </is>
      </c>
      <c r="C117" s="676">
        <f>_xll.RssMarket("5838","現在値")</f>
        <v/>
      </c>
      <c r="D117" s="661">
        <f>C117-E117</f>
        <v/>
      </c>
      <c r="E117" s="13" t="n">
        <v>5037</v>
      </c>
      <c r="F117" s="13" t="n">
        <v>5124</v>
      </c>
      <c r="G117" s="13" t="n">
        <v>5161</v>
      </c>
      <c r="H117" s="13" t="n">
        <v>5244</v>
      </c>
      <c r="I117" s="13" t="n">
        <v>5260</v>
      </c>
      <c r="J117" s="13" t="n">
        <v>5104</v>
      </c>
      <c r="K117" s="13" t="n">
        <v>4762</v>
      </c>
      <c r="L117" s="13" t="n">
        <v>4869</v>
      </c>
      <c r="M117" s="13" t="n">
        <v>4950</v>
      </c>
      <c r="N117" s="13" t="n">
        <v>4955</v>
      </c>
      <c r="O117" s="13" t="n">
        <v>4899</v>
      </c>
      <c r="P117" s="13" t="n">
        <v>4562</v>
      </c>
      <c r="Q117" s="13" t="n">
        <v>4498</v>
      </c>
      <c r="R117" s="13" t="n">
        <v>4653</v>
      </c>
      <c r="S117" s="13" t="n">
        <v>4793</v>
      </c>
      <c r="T117" s="13" t="n">
        <v>4798</v>
      </c>
      <c r="U117" s="13" t="n">
        <v>5096</v>
      </c>
      <c r="V117" s="13" t="n">
        <v>4847</v>
      </c>
      <c r="W117" s="13" t="n">
        <v>5480</v>
      </c>
      <c r="X117" s="13" t="n">
        <v>6480</v>
      </c>
      <c r="Y117" s="13" t="n">
        <v>6767</v>
      </c>
      <c r="Z117" s="13" t="n">
        <v>6601</v>
      </c>
      <c r="AA117" s="13" t="n">
        <v>6000</v>
      </c>
      <c r="AB117" s="13" t="n">
        <v>6039</v>
      </c>
      <c r="AC117" s="13" t="n">
        <v>6156</v>
      </c>
      <c r="AD117" s="13" t="n">
        <v>6422</v>
      </c>
      <c r="AE117" s="13" t="n">
        <v>6267</v>
      </c>
      <c r="AF117" s="13" t="n">
        <v>6291</v>
      </c>
      <c r="AG117" s="13" t="n">
        <v>6294</v>
      </c>
      <c r="AH117" s="13" t="n">
        <v>6238</v>
      </c>
      <c r="AI117" s="13" t="n">
        <v>6305</v>
      </c>
      <c r="AJ117" s="13" t="n">
        <v>6415</v>
      </c>
      <c r="AK117" s="13" t="n">
        <v>6132</v>
      </c>
      <c r="AL117" s="13" t="n">
        <v>6156</v>
      </c>
      <c r="AM117" s="13" t="n">
        <v>6250</v>
      </c>
      <c r="AN117" s="13" t="n">
        <v>6131</v>
      </c>
      <c r="AO117" s="13" t="n">
        <v>6431</v>
      </c>
      <c r="AP117" s="13" t="n">
        <v>6549</v>
      </c>
      <c r="AQ117" s="13" t="n">
        <v>6552</v>
      </c>
      <c r="AR117" s="13" t="n">
        <v>6750</v>
      </c>
      <c r="AS117" s="13" t="n">
        <v>6795</v>
      </c>
      <c r="AT117" s="13" t="n">
        <v>6759</v>
      </c>
      <c r="AU117" s="13" t="n">
        <v>6700</v>
      </c>
      <c r="AV117" s="13" t="n">
        <v>6700</v>
      </c>
      <c r="AW117" s="13" t="n">
        <v>6700</v>
      </c>
      <c r="AX117" s="13" t="n">
        <v>6548</v>
      </c>
      <c r="AY117" s="13" t="n">
        <v>6231</v>
      </c>
      <c r="AZ117" s="13" t="n">
        <v>6065</v>
      </c>
      <c r="BA117" s="13" t="n">
        <v>6009</v>
      </c>
      <c r="BB117" s="13" t="n">
        <v>6002</v>
      </c>
      <c r="BC117" s="13" t="n">
        <v>6105</v>
      </c>
      <c r="BD117" s="13" t="n">
        <v>5640</v>
      </c>
      <c r="BE117" s="13" t="n">
        <v>5788</v>
      </c>
      <c r="BF117" s="13" t="n">
        <v>6065</v>
      </c>
      <c r="BG117" s="13" t="n">
        <v>6022</v>
      </c>
      <c r="BH117" s="13" t="n">
        <v>6236</v>
      </c>
      <c r="BI117" s="13" t="n">
        <v>6181</v>
      </c>
      <c r="BJ117" s="13" t="n">
        <v>6088</v>
      </c>
      <c r="BK117" s="13" t="n">
        <v>6136</v>
      </c>
      <c r="BL117" s="13" t="n">
        <v>6203</v>
      </c>
    </row>
    <row r="118" ht="15.95" customHeight="1" s="574">
      <c r="A118" s="64" t="inlineStr">
        <is>
          <t>5844</t>
        </is>
      </c>
      <c r="B118" s="673" t="inlineStr">
        <is>
          <t>京都フィナンシャルＧ</t>
        </is>
      </c>
      <c r="C118" s="676">
        <f>_xll.RssMarket("5844","現在値")</f>
        <v/>
      </c>
      <c r="D118" s="661">
        <f>C118-E118</f>
        <v/>
      </c>
      <c r="E118" s="13" t="n">
        <v>4821</v>
      </c>
      <c r="F118" s="13" t="n">
        <v>4726</v>
      </c>
      <c r="G118" s="13" t="n">
        <v>4535</v>
      </c>
      <c r="H118" s="13" t="n">
        <v>4656</v>
      </c>
      <c r="I118" s="13" t="n">
        <v>4462</v>
      </c>
      <c r="J118" s="13" t="n">
        <v>4442</v>
      </c>
      <c r="K118" s="13" t="n">
        <v>4494</v>
      </c>
      <c r="L118" s="13" t="n">
        <v>4575</v>
      </c>
      <c r="M118" s="13" t="n">
        <v>4622</v>
      </c>
      <c r="N118" s="13" t="n">
        <v>4482</v>
      </c>
      <c r="O118" s="13" t="n">
        <v>4347</v>
      </c>
      <c r="P118" s="13" t="n">
        <v>4373</v>
      </c>
      <c r="Q118" s="13" t="n">
        <v>4341</v>
      </c>
      <c r="R118" s="13" t="n">
        <v>4419</v>
      </c>
      <c r="S118" s="13" t="n">
        <v>4420</v>
      </c>
      <c r="T118" s="13" t="n">
        <v>4502</v>
      </c>
      <c r="U118" s="13" t="n">
        <v>4575</v>
      </c>
      <c r="V118" s="13" t="n">
        <v>4479</v>
      </c>
      <c r="W118" s="13" t="n">
        <v>4495</v>
      </c>
      <c r="X118" s="13" t="n">
        <v>4385</v>
      </c>
      <c r="Y118" s="13" t="n">
        <v>4407</v>
      </c>
      <c r="Z118" s="13" t="n">
        <v>4374</v>
      </c>
      <c r="AA118" s="13" t="n">
        <v>4413</v>
      </c>
      <c r="AB118" s="13" t="n">
        <v>4400</v>
      </c>
      <c r="AC118" s="13" t="n">
        <v>4484</v>
      </c>
      <c r="AD118" s="13" t="n">
        <v>4419</v>
      </c>
      <c r="AE118" s="13" t="n">
        <v>4401</v>
      </c>
      <c r="AF118" s="13" t="n">
        <v>4395</v>
      </c>
      <c r="AG118" s="13" t="n">
        <v>4499</v>
      </c>
      <c r="AH118" s="13" t="n">
        <v>4373</v>
      </c>
      <c r="AI118" s="13" t="n">
        <v>4336</v>
      </c>
      <c r="AJ118" s="13" t="n">
        <v>4352</v>
      </c>
      <c r="AK118" s="13" t="n">
        <v>4200</v>
      </c>
      <c r="AL118" s="13" t="n">
        <v>4295</v>
      </c>
      <c r="AM118" s="13" t="n">
        <v>4264</v>
      </c>
      <c r="AN118" s="13" t="n">
        <v>4258</v>
      </c>
      <c r="AO118" s="13" t="n">
        <v>4333</v>
      </c>
      <c r="AP118" s="13" t="n">
        <v>4307</v>
      </c>
      <c r="AQ118" s="13" t="n">
        <v>4393</v>
      </c>
      <c r="AR118" s="13" t="n">
        <v>4421</v>
      </c>
      <c r="AS118" s="13" t="n">
        <v>4393</v>
      </c>
      <c r="AT118" s="13" t="n">
        <v>4336</v>
      </c>
      <c r="AU118" s="13" t="n">
        <v>4373</v>
      </c>
      <c r="AV118" s="13" t="n">
        <v>4330</v>
      </c>
      <c r="AW118" s="13" t="n">
        <v>4412</v>
      </c>
      <c r="AX118" s="13" t="n">
        <v>4490</v>
      </c>
      <c r="AY118" s="13" t="n">
        <v>4410</v>
      </c>
      <c r="AZ118" s="13" t="n">
        <v>4388</v>
      </c>
      <c r="BA118" s="13" t="n">
        <v>4337</v>
      </c>
      <c r="BB118" s="13" t="n">
        <v>4283</v>
      </c>
      <c r="BC118" s="13" t="n">
        <v>4376</v>
      </c>
      <c r="BD118" s="13" t="n">
        <v>4061</v>
      </c>
      <c r="BE118" s="13" t="n">
        <v>4210</v>
      </c>
      <c r="BF118" s="13" t="n">
        <v>4477</v>
      </c>
      <c r="BG118" s="13" t="n">
        <v>4385</v>
      </c>
      <c r="BH118" s="13" t="n">
        <v>4403</v>
      </c>
      <c r="BI118" s="13" t="n">
        <v>4289</v>
      </c>
      <c r="BJ118" s="13" t="n">
        <v>4294</v>
      </c>
      <c r="BK118" s="13" t="n">
        <v>4396</v>
      </c>
      <c r="BL118" s="13" t="n">
        <v>4400</v>
      </c>
    </row>
    <row r="119" ht="15.95" customHeight="1" s="574">
      <c r="A119" s="64" t="inlineStr">
        <is>
          <t>9404</t>
        </is>
      </c>
      <c r="B119" s="673" t="inlineStr">
        <is>
          <t>日本テレビＨＬＤＳ</t>
        </is>
      </c>
      <c r="C119" s="676">
        <f>_xll.RssMarket("9404","現在値")</f>
        <v/>
      </c>
      <c r="D119" s="661">
        <f>C119-E119</f>
        <v/>
      </c>
      <c r="E119" s="13" t="n">
        <v>2784</v>
      </c>
      <c r="F119" s="13" t="n">
        <v>2790.5</v>
      </c>
      <c r="G119" s="13" t="n">
        <v>2834</v>
      </c>
      <c r="H119" s="13" t="n">
        <v>2884</v>
      </c>
      <c r="I119" s="13" t="n">
        <v>2831.5</v>
      </c>
      <c r="J119" s="13" t="n">
        <v>2871</v>
      </c>
      <c r="K119" s="13" t="n">
        <v>2885.5</v>
      </c>
      <c r="L119" s="13" t="n">
        <v>2867</v>
      </c>
      <c r="M119" s="13" t="n">
        <v>2878.5</v>
      </c>
      <c r="N119" s="13" t="n">
        <v>2792</v>
      </c>
      <c r="O119" s="13" t="n">
        <v>2793</v>
      </c>
      <c r="P119" s="13" t="n">
        <v>2798</v>
      </c>
      <c r="Q119" s="13" t="n">
        <v>2824</v>
      </c>
      <c r="R119" s="13" t="n">
        <v>2839.5</v>
      </c>
      <c r="S119" s="13" t="n">
        <v>2852.5</v>
      </c>
      <c r="T119" s="13" t="n">
        <v>2871</v>
      </c>
      <c r="U119" s="13" t="n">
        <v>2843.5</v>
      </c>
      <c r="V119" s="13" t="n">
        <v>2921</v>
      </c>
      <c r="W119" s="13" t="n">
        <v>2954.5</v>
      </c>
      <c r="X119" s="13" t="n">
        <v>2935.5</v>
      </c>
      <c r="Y119" s="13" t="n">
        <v>2942</v>
      </c>
      <c r="Z119" s="13" t="n">
        <v>2871</v>
      </c>
      <c r="AA119" s="13" t="n">
        <v>2919.5</v>
      </c>
      <c r="AB119" s="13" t="n">
        <v>2921</v>
      </c>
      <c r="AC119" s="13" t="n">
        <v>2960.5</v>
      </c>
      <c r="AD119" s="13" t="n">
        <v>2936.5</v>
      </c>
      <c r="AE119" s="13" t="n">
        <v>2935</v>
      </c>
      <c r="AF119" s="13" t="n">
        <v>2987.5</v>
      </c>
      <c r="AG119" s="13" t="n">
        <v>2982</v>
      </c>
      <c r="AH119" s="13" t="n">
        <v>2986</v>
      </c>
      <c r="AI119" s="13" t="n">
        <v>2976.5</v>
      </c>
      <c r="AJ119" s="13" t="n">
        <v>3019</v>
      </c>
      <c r="AK119" s="13" t="n">
        <v>3031</v>
      </c>
      <c r="AL119" s="13" t="n">
        <v>2988.5</v>
      </c>
      <c r="AM119" s="13" t="n">
        <v>3004</v>
      </c>
      <c r="AN119" s="13" t="n">
        <v>3057</v>
      </c>
      <c r="AO119" s="13" t="n">
        <v>3141</v>
      </c>
      <c r="AP119" s="13" t="n">
        <v>3161</v>
      </c>
      <c r="AQ119" s="13" t="n">
        <v>3189</v>
      </c>
      <c r="AR119" s="13" t="n">
        <v>3152</v>
      </c>
      <c r="AS119" s="13" t="n">
        <v>3152</v>
      </c>
      <c r="AT119" s="13" t="n">
        <v>3142</v>
      </c>
      <c r="AU119" s="13" t="n">
        <v>3136</v>
      </c>
      <c r="AV119" s="13" t="n">
        <v>3128</v>
      </c>
      <c r="AW119" s="13" t="n">
        <v>3178</v>
      </c>
      <c r="AX119" s="13" t="n">
        <v>3184</v>
      </c>
      <c r="AY119" s="13" t="n">
        <v>3132</v>
      </c>
      <c r="AZ119" s="13" t="n">
        <v>3106</v>
      </c>
      <c r="BA119" s="13" t="n">
        <v>3100</v>
      </c>
      <c r="BB119" s="13" t="n">
        <v>3100</v>
      </c>
      <c r="BC119" s="13" t="n">
        <v>3194</v>
      </c>
      <c r="BD119" s="13" t="n">
        <v>3157</v>
      </c>
      <c r="BE119" s="13" t="n">
        <v>3168</v>
      </c>
      <c r="BF119" s="13" t="n">
        <v>3256</v>
      </c>
      <c r="BG119" s="13" t="n">
        <v>3209</v>
      </c>
      <c r="BH119" s="13" t="n">
        <v>3216</v>
      </c>
      <c r="BI119" s="13" t="n">
        <v>3176</v>
      </c>
      <c r="BJ119" s="13" t="n">
        <v>3108</v>
      </c>
      <c r="BK119" s="13" t="n">
        <v>3114</v>
      </c>
      <c r="BL119" s="13" t="n">
        <v>3196</v>
      </c>
    </row>
    <row r="120" ht="15.95" customHeight="1" s="574">
      <c r="A120" s="64" t="inlineStr">
        <is>
          <t>6744</t>
        </is>
      </c>
      <c r="B120" s="673" t="inlineStr">
        <is>
          <t>能美防災</t>
        </is>
      </c>
      <c r="C120" s="676">
        <f>_xll.RssMarket("6744","現在値")</f>
        <v/>
      </c>
      <c r="D120" s="661">
        <f>C120-E120</f>
        <v/>
      </c>
      <c r="E120" s="13" t="n">
        <v>4205</v>
      </c>
      <c r="F120" s="13" t="n">
        <v>4235</v>
      </c>
      <c r="G120" s="13" t="n">
        <v>4175</v>
      </c>
      <c r="H120" s="13" t="n">
        <v>4185</v>
      </c>
      <c r="I120" s="13" t="n">
        <v>4250</v>
      </c>
      <c r="J120" s="13" t="n">
        <v>4210</v>
      </c>
      <c r="K120" s="13" t="n">
        <v>4290</v>
      </c>
      <c r="L120" s="13" t="n">
        <v>4365</v>
      </c>
      <c r="M120" s="13" t="n">
        <v>4500</v>
      </c>
      <c r="N120" s="13" t="n">
        <v>4520</v>
      </c>
      <c r="O120" s="13" t="n">
        <v>4540</v>
      </c>
      <c r="P120" s="13" t="n">
        <v>4645</v>
      </c>
      <c r="Q120" s="13" t="n">
        <v>4690</v>
      </c>
      <c r="R120" s="13" t="n">
        <v>4930</v>
      </c>
      <c r="S120" s="13" t="n">
        <v>4805</v>
      </c>
      <c r="T120" s="13" t="n">
        <v>4780</v>
      </c>
      <c r="U120" s="13" t="n">
        <v>4735</v>
      </c>
      <c r="V120" s="13" t="n">
        <v>4645</v>
      </c>
      <c r="W120" s="13" t="n">
        <v>4670</v>
      </c>
      <c r="X120" s="13" t="n">
        <v>4590</v>
      </c>
      <c r="Y120" s="13" t="n">
        <v>4660</v>
      </c>
      <c r="Z120" s="13" t="n">
        <v>4710</v>
      </c>
      <c r="AA120" s="13" t="n">
        <v>4665</v>
      </c>
      <c r="AB120" s="13" t="n">
        <v>4520</v>
      </c>
      <c r="AC120" s="13" t="n">
        <v>4300</v>
      </c>
      <c r="AD120" s="13" t="n">
        <v>4430</v>
      </c>
      <c r="AE120" s="13" t="n">
        <v>4350</v>
      </c>
      <c r="AF120" s="13" t="n">
        <v>4355</v>
      </c>
      <c r="AG120" s="13" t="n">
        <v>4310</v>
      </c>
      <c r="AH120" s="13" t="n">
        <v>4220</v>
      </c>
      <c r="AI120" s="13" t="n">
        <v>4110</v>
      </c>
      <c r="AJ120" s="13" t="n">
        <v>4025</v>
      </c>
      <c r="AK120" s="13" t="n">
        <v>3975</v>
      </c>
      <c r="AL120" s="13" t="n">
        <v>3905</v>
      </c>
      <c r="AM120" s="13" t="n">
        <v>3965</v>
      </c>
      <c r="AN120" s="13" t="n">
        <v>4025</v>
      </c>
      <c r="AO120" s="13" t="n">
        <v>4040</v>
      </c>
      <c r="AP120" s="13" t="n">
        <v>4065</v>
      </c>
      <c r="AQ120" s="13" t="n">
        <v>4110</v>
      </c>
      <c r="AR120" s="13" t="n">
        <v>4215</v>
      </c>
      <c r="AS120" s="13" t="n">
        <v>4285</v>
      </c>
      <c r="AT120" s="13" t="n">
        <v>4365</v>
      </c>
      <c r="AU120" s="13" t="n">
        <v>4385</v>
      </c>
      <c r="AV120" s="13" t="n">
        <v>4410</v>
      </c>
      <c r="AW120" s="13" t="n">
        <v>4395</v>
      </c>
      <c r="AX120" s="13" t="n">
        <v>4410</v>
      </c>
      <c r="AY120" s="13" t="n">
        <v>4295</v>
      </c>
      <c r="AZ120" s="13" t="n">
        <v>4250</v>
      </c>
      <c r="BA120" s="13" t="n">
        <v>4205</v>
      </c>
      <c r="BB120" s="13" t="n">
        <v>4215</v>
      </c>
      <c r="BC120" s="13" t="n">
        <v>4285</v>
      </c>
      <c r="BD120" s="13" t="n">
        <v>4100</v>
      </c>
      <c r="BE120" s="13" t="n">
        <v>4170</v>
      </c>
      <c r="BF120" s="13" t="n">
        <v>4310</v>
      </c>
      <c r="BG120" s="13" t="n">
        <v>4310</v>
      </c>
      <c r="BH120" s="13" t="n">
        <v>4410</v>
      </c>
      <c r="BI120" s="13" t="n">
        <v>4265</v>
      </c>
      <c r="BJ120" s="13" t="n">
        <v>4195</v>
      </c>
      <c r="BK120" s="13" t="n">
        <v>4385</v>
      </c>
      <c r="BL120" s="13" t="n">
        <v>4510</v>
      </c>
    </row>
    <row r="121" ht="15.95" customHeight="1" s="574">
      <c r="A121" s="64" t="inlineStr">
        <is>
          <t>7685</t>
        </is>
      </c>
      <c r="B121" s="673" t="inlineStr">
        <is>
          <t>ＢＵＹＳＥＬＬＴＥＣＨ</t>
        </is>
      </c>
      <c r="C121" s="676">
        <f>_xll.RssMarket("7685","現在値")</f>
        <v/>
      </c>
      <c r="D121" s="661">
        <f>C121-E121</f>
        <v/>
      </c>
      <c r="E121" s="13" t="n">
        <v>3465</v>
      </c>
      <c r="F121" s="13" t="n">
        <v>3450</v>
      </c>
      <c r="G121" s="13" t="n">
        <v>3595</v>
      </c>
      <c r="H121" s="13" t="n">
        <v>3630</v>
      </c>
      <c r="I121" s="13" t="n">
        <v>3755</v>
      </c>
      <c r="J121" s="13" t="n">
        <v>3835</v>
      </c>
      <c r="K121" s="13" t="n">
        <v>3820</v>
      </c>
      <c r="L121" s="13" t="n">
        <v>3585</v>
      </c>
      <c r="M121" s="13" t="n">
        <v>3740</v>
      </c>
      <c r="N121" s="13" t="n">
        <v>3690</v>
      </c>
      <c r="O121" s="13" t="n">
        <v>3855</v>
      </c>
      <c r="P121" s="13" t="n">
        <v>3920</v>
      </c>
      <c r="Q121" s="13" t="n">
        <v>4065</v>
      </c>
      <c r="R121" s="13" t="n">
        <v>4085</v>
      </c>
      <c r="S121" s="13" t="n">
        <v>4015</v>
      </c>
      <c r="T121" s="13" t="n">
        <v>3930</v>
      </c>
      <c r="U121" s="13" t="n">
        <v>3825</v>
      </c>
      <c r="V121" s="13" t="n">
        <v>3790</v>
      </c>
      <c r="W121" s="13" t="n">
        <v>3665</v>
      </c>
      <c r="X121" s="13" t="n">
        <v>3815</v>
      </c>
      <c r="Y121" s="13" t="n">
        <v>3765</v>
      </c>
      <c r="Z121" s="13" t="n">
        <v>3345</v>
      </c>
      <c r="AA121" s="13" t="n">
        <v>3450</v>
      </c>
      <c r="AB121" s="13" t="n">
        <v>3445</v>
      </c>
      <c r="AC121" s="13" t="n">
        <v>3325</v>
      </c>
      <c r="AD121" s="13" t="n">
        <v>3175</v>
      </c>
      <c r="AE121" s="13" t="n">
        <v>3340</v>
      </c>
      <c r="AF121" s="13" t="n">
        <v>3280</v>
      </c>
      <c r="AG121" s="13" t="n">
        <v>3205</v>
      </c>
      <c r="AH121" s="13" t="n">
        <v>3160</v>
      </c>
      <c r="AI121" s="13" t="n">
        <v>3350</v>
      </c>
      <c r="AJ121" s="13" t="n">
        <v>3185</v>
      </c>
      <c r="AK121" s="13" t="n">
        <v>3170</v>
      </c>
      <c r="AL121" s="13" t="n">
        <v>3110</v>
      </c>
      <c r="AM121" s="13" t="n">
        <v>3310</v>
      </c>
      <c r="AN121" s="13" t="n">
        <v>3300</v>
      </c>
      <c r="AO121" s="13" t="n">
        <v>3490</v>
      </c>
      <c r="AP121" s="13" t="n">
        <v>3460</v>
      </c>
      <c r="AQ121" s="13" t="n">
        <v>3540</v>
      </c>
      <c r="AR121" s="13" t="n">
        <v>3645</v>
      </c>
      <c r="AS121" s="13" t="n">
        <v>3645</v>
      </c>
      <c r="AT121" s="13" t="n">
        <v>3530</v>
      </c>
      <c r="AU121" s="13" t="n">
        <v>3525</v>
      </c>
      <c r="AV121" s="13" t="n">
        <v>3375</v>
      </c>
      <c r="AW121" s="13" t="n">
        <v>3475</v>
      </c>
      <c r="AX121" s="13" t="n">
        <v>3495</v>
      </c>
      <c r="AY121" s="13" t="n">
        <v>3355</v>
      </c>
      <c r="AZ121" s="13" t="n">
        <v>3300</v>
      </c>
      <c r="BA121" s="13" t="n">
        <v>3135</v>
      </c>
      <c r="BB121" s="13" t="n">
        <v>3165</v>
      </c>
      <c r="BC121" s="13" t="n">
        <v>3245</v>
      </c>
      <c r="BD121" s="13" t="n">
        <v>3045</v>
      </c>
      <c r="BE121" s="13" t="n">
        <v>3085</v>
      </c>
      <c r="BF121" s="13" t="n">
        <v>3155</v>
      </c>
      <c r="BG121" s="13" t="n">
        <v>3095</v>
      </c>
      <c r="BH121" s="13" t="n">
        <v>3095</v>
      </c>
      <c r="BI121" s="13" t="n">
        <v>2985</v>
      </c>
      <c r="BJ121" s="13" t="n">
        <v>3025</v>
      </c>
      <c r="BK121" s="13" t="n">
        <v>3305</v>
      </c>
      <c r="BL121" s="13" t="n">
        <v>3465</v>
      </c>
    </row>
    <row r="122" ht="15.95" customHeight="1" s="574">
      <c r="A122" s="64" t="inlineStr">
        <is>
          <t>8334</t>
        </is>
      </c>
      <c r="B122" s="673" t="inlineStr">
        <is>
          <t>群馬銀行</t>
        </is>
      </c>
      <c r="C122" s="676">
        <f>_xll.RssMarket("8334","現在値")</f>
        <v/>
      </c>
      <c r="D122" s="661">
        <f>C122-E122</f>
        <v/>
      </c>
      <c r="E122" s="13" t="n">
        <v>2335</v>
      </c>
      <c r="F122" s="13" t="n">
        <v>2316.5</v>
      </c>
      <c r="G122" s="13" t="n">
        <v>2307</v>
      </c>
      <c r="H122" s="13" t="n">
        <v>2333</v>
      </c>
      <c r="I122" s="13" t="n">
        <v>2358</v>
      </c>
      <c r="J122" s="13" t="n">
        <v>2343.5</v>
      </c>
      <c r="K122" s="13" t="n">
        <v>2299.5</v>
      </c>
      <c r="L122" s="13" t="n">
        <v>2313</v>
      </c>
      <c r="M122" s="13" t="n">
        <v>2257</v>
      </c>
      <c r="N122" s="13" t="n">
        <v>2262.5</v>
      </c>
      <c r="O122" s="13" t="n">
        <v>2225.5</v>
      </c>
      <c r="P122" s="13" t="n">
        <v>2199</v>
      </c>
      <c r="Q122" s="13" t="n">
        <v>2166.5</v>
      </c>
      <c r="R122" s="13" t="n">
        <v>2169</v>
      </c>
      <c r="S122" s="13" t="n">
        <v>2260</v>
      </c>
      <c r="T122" s="13" t="n">
        <v>2234</v>
      </c>
      <c r="U122" s="13" t="n">
        <v>2268</v>
      </c>
      <c r="V122" s="13" t="n">
        <v>2305</v>
      </c>
      <c r="W122" s="13" t="n">
        <v>2316</v>
      </c>
      <c r="X122" s="13" t="n">
        <v>2346</v>
      </c>
      <c r="Y122" s="13" t="n">
        <v>2309</v>
      </c>
      <c r="Z122" s="13" t="n">
        <v>2280</v>
      </c>
      <c r="AA122" s="13" t="n">
        <v>2238</v>
      </c>
      <c r="AB122" s="13" t="n">
        <v>2232</v>
      </c>
      <c r="AC122" s="13" t="n">
        <v>2179</v>
      </c>
      <c r="AD122" s="13" t="n">
        <v>2191</v>
      </c>
      <c r="AE122" s="13" t="n">
        <v>2171.5</v>
      </c>
      <c r="AF122" s="13" t="n">
        <v>2218.5</v>
      </c>
      <c r="AG122" s="13" t="n">
        <v>2164</v>
      </c>
      <c r="AH122" s="13" t="n">
        <v>2223</v>
      </c>
      <c r="AI122" s="13" t="n">
        <v>2157</v>
      </c>
      <c r="AJ122" s="13" t="n">
        <v>2159.5</v>
      </c>
      <c r="AK122" s="13" t="n">
        <v>2206</v>
      </c>
      <c r="AL122" s="13" t="n">
        <v>2026.5</v>
      </c>
      <c r="AM122" s="13" t="n">
        <v>2030</v>
      </c>
      <c r="AN122" s="13" t="n">
        <v>2042</v>
      </c>
      <c r="AO122" s="13" t="n">
        <v>2058.5</v>
      </c>
      <c r="AP122" s="13" t="n">
        <v>2118</v>
      </c>
      <c r="AQ122" s="13" t="n">
        <v>2180</v>
      </c>
      <c r="AR122" s="13" t="n">
        <v>2214</v>
      </c>
      <c r="AS122" s="13" t="n">
        <v>2264.5</v>
      </c>
      <c r="AT122" s="13" t="n">
        <v>2257</v>
      </c>
      <c r="AU122" s="13" t="n">
        <v>2239.5</v>
      </c>
      <c r="AV122" s="13" t="n">
        <v>2273.5</v>
      </c>
      <c r="AW122" s="13" t="n">
        <v>2269</v>
      </c>
      <c r="AX122" s="13" t="n">
        <v>2278</v>
      </c>
      <c r="AY122" s="13" t="n">
        <v>2285.5</v>
      </c>
      <c r="AZ122" s="13" t="n">
        <v>2239.5</v>
      </c>
      <c r="BA122" s="13" t="n">
        <v>2208.5</v>
      </c>
      <c r="BB122" s="13" t="n">
        <v>2231.5</v>
      </c>
      <c r="BC122" s="13" t="n">
        <v>2205.5</v>
      </c>
      <c r="BD122" s="13" t="n">
        <v>2226.5</v>
      </c>
      <c r="BE122" s="13" t="n">
        <v>2062.5</v>
      </c>
      <c r="BF122" s="13" t="n">
        <v>2170</v>
      </c>
      <c r="BG122" s="13" t="n">
        <v>2282</v>
      </c>
      <c r="BH122" s="13" t="n">
        <v>2130.5</v>
      </c>
      <c r="BI122" s="13" t="n">
        <v>2158</v>
      </c>
      <c r="BJ122" s="13" t="n">
        <v>2098</v>
      </c>
      <c r="BK122" s="13" t="n">
        <v>2036</v>
      </c>
      <c r="BL122" s="13" t="n">
        <v>2125</v>
      </c>
    </row>
    <row r="123" ht="15.95" customHeight="1" s="574">
      <c r="A123" s="64" t="inlineStr">
        <is>
          <t>8359</t>
        </is>
      </c>
      <c r="B123" s="673" t="inlineStr">
        <is>
          <t>八十二長野銀行</t>
        </is>
      </c>
      <c r="C123" s="676">
        <f>_xll.RssMarket("8359","現在値")</f>
        <v/>
      </c>
      <c r="D123" s="661">
        <f>C123-E123</f>
        <v/>
      </c>
      <c r="E123" s="13" t="n">
        <v>2406.5</v>
      </c>
      <c r="F123" s="13" t="n">
        <v>2347</v>
      </c>
      <c r="G123" s="13" t="n">
        <v>2287</v>
      </c>
      <c r="H123" s="13" t="n">
        <v>2346</v>
      </c>
      <c r="I123" s="13" t="n">
        <v>2342.5</v>
      </c>
      <c r="J123" s="13" t="n">
        <v>2304.5</v>
      </c>
      <c r="K123" s="13" t="n">
        <v>2331</v>
      </c>
      <c r="L123" s="13" t="n">
        <v>2353.5</v>
      </c>
      <c r="M123" s="13" t="n">
        <v>2380.5</v>
      </c>
      <c r="N123" s="13" t="n">
        <v>2343.5</v>
      </c>
      <c r="O123" s="13" t="n">
        <v>2311.5</v>
      </c>
      <c r="P123" s="13" t="n">
        <v>2314.5</v>
      </c>
      <c r="Q123" s="13" t="n">
        <v>2334</v>
      </c>
      <c r="R123" s="13" t="n">
        <v>2323.5</v>
      </c>
      <c r="S123" s="13" t="n">
        <v>2292</v>
      </c>
      <c r="T123" s="13" t="n">
        <v>2295.5</v>
      </c>
      <c r="U123" s="13" t="n">
        <v>2346</v>
      </c>
      <c r="V123" s="13" t="n">
        <v>2335</v>
      </c>
      <c r="W123" s="13" t="n">
        <v>2350</v>
      </c>
      <c r="X123" s="13" t="n">
        <v>2300.5</v>
      </c>
      <c r="Y123" s="13" t="n">
        <v>2270</v>
      </c>
      <c r="Z123" s="13" t="n">
        <v>2215.5</v>
      </c>
      <c r="AA123" s="13" t="n">
        <v>2388</v>
      </c>
      <c r="AB123" s="13" t="n">
        <v>2325</v>
      </c>
      <c r="AC123" s="13" t="n">
        <v>2357</v>
      </c>
      <c r="AD123" s="13" t="n">
        <v>2338.5</v>
      </c>
      <c r="AE123" s="13" t="n">
        <v>2295.5</v>
      </c>
      <c r="AF123" s="13" t="n">
        <v>2201.5</v>
      </c>
      <c r="AG123" s="13" t="n">
        <v>2307.5</v>
      </c>
      <c r="AH123" s="13" t="n">
        <v>2094.5</v>
      </c>
      <c r="AI123" s="13" t="n">
        <v>2121.5</v>
      </c>
      <c r="AJ123" s="13" t="n">
        <v>2168</v>
      </c>
      <c r="AK123" s="13" t="n">
        <v>2025.5</v>
      </c>
      <c r="AL123" s="13" t="n">
        <v>2027.5</v>
      </c>
      <c r="AM123" s="13" t="n">
        <v>2026.5</v>
      </c>
      <c r="AN123" s="13" t="n">
        <v>2012</v>
      </c>
      <c r="AO123" s="13" t="n">
        <v>2035.5</v>
      </c>
      <c r="AP123" s="13" t="n">
        <v>2080</v>
      </c>
      <c r="AQ123" s="13" t="n">
        <v>2104</v>
      </c>
      <c r="AR123" s="13" t="n">
        <v>2124.5</v>
      </c>
      <c r="AS123" s="13" t="n">
        <v>2103</v>
      </c>
      <c r="AT123" s="13" t="n">
        <v>2067.5</v>
      </c>
      <c r="AU123" s="13" t="n">
        <v>2089</v>
      </c>
      <c r="AV123" s="13" t="n">
        <v>2105.5</v>
      </c>
      <c r="AW123" s="13" t="n">
        <v>2112.5</v>
      </c>
      <c r="AX123" s="13" t="n">
        <v>2131</v>
      </c>
      <c r="AY123" s="13" t="n">
        <v>2079</v>
      </c>
      <c r="AZ123" s="13" t="n">
        <v>2058.5</v>
      </c>
      <c r="BA123" s="13" t="n">
        <v>2027.5</v>
      </c>
      <c r="BB123" s="13" t="n">
        <v>2022</v>
      </c>
      <c r="BC123" s="13" t="n">
        <v>2069</v>
      </c>
      <c r="BD123" s="13" t="n">
        <v>1927</v>
      </c>
      <c r="BE123" s="13" t="n">
        <v>1951</v>
      </c>
      <c r="BF123" s="13" t="n">
        <v>2059</v>
      </c>
      <c r="BG123" s="13" t="n">
        <v>2052</v>
      </c>
      <c r="BH123" s="13" t="n">
        <v>2086</v>
      </c>
      <c r="BI123" s="13" t="n">
        <v>2030.5</v>
      </c>
      <c r="BJ123" s="13" t="n">
        <v>1953.5</v>
      </c>
      <c r="BK123" s="13" t="n">
        <v>1960</v>
      </c>
      <c r="BL123" s="13" t="n">
        <v>2024.5</v>
      </c>
    </row>
    <row r="124" ht="15.95" customHeight="1" s="574">
      <c r="A124" s="64" t="inlineStr">
        <is>
          <t>8801</t>
        </is>
      </c>
      <c r="B124" s="673" t="inlineStr">
        <is>
          <t>三井不動産</t>
        </is>
      </c>
      <c r="C124" s="676">
        <f>_xll.RssMarket("8801","現在値")</f>
        <v/>
      </c>
      <c r="D124" s="661">
        <f>C124-E124</f>
        <v/>
      </c>
      <c r="E124" s="13" t="n">
        <v>1478.5</v>
      </c>
      <c r="F124" s="13" t="n">
        <v>1509.5</v>
      </c>
      <c r="G124" s="13" t="n">
        <v>1516.5</v>
      </c>
      <c r="H124" s="13" t="n">
        <v>1530</v>
      </c>
      <c r="I124" s="13" t="n">
        <v>1558</v>
      </c>
      <c r="J124" s="13" t="n">
        <v>1538</v>
      </c>
      <c r="K124" s="13" t="n">
        <v>1546.5</v>
      </c>
      <c r="L124" s="13" t="n">
        <v>1462.5</v>
      </c>
      <c r="M124" s="13" t="n">
        <v>1495</v>
      </c>
      <c r="N124" s="13" t="n">
        <v>1467.5</v>
      </c>
      <c r="O124" s="13" t="n">
        <v>1478.5</v>
      </c>
      <c r="P124" s="13" t="n">
        <v>1510.5</v>
      </c>
      <c r="Q124" s="13" t="n">
        <v>1478.5</v>
      </c>
      <c r="R124" s="13" t="n">
        <v>1530.5</v>
      </c>
      <c r="S124" s="13" t="n">
        <v>1505</v>
      </c>
      <c r="T124" s="13" t="n">
        <v>1532</v>
      </c>
      <c r="U124" s="13" t="n">
        <v>1523</v>
      </c>
      <c r="V124" s="13" t="n">
        <v>1480</v>
      </c>
      <c r="W124" s="13" t="n">
        <v>1520</v>
      </c>
      <c r="X124" s="13" t="n">
        <v>1508</v>
      </c>
      <c r="Y124" s="13" t="n">
        <v>1534</v>
      </c>
      <c r="Z124" s="13" t="n">
        <v>1498</v>
      </c>
      <c r="AA124" s="13" t="n">
        <v>1539.5</v>
      </c>
      <c r="AB124" s="13" t="n">
        <v>1528</v>
      </c>
      <c r="AC124" s="13" t="n">
        <v>1697.5</v>
      </c>
      <c r="AD124" s="13" t="n">
        <v>1674.5</v>
      </c>
      <c r="AE124" s="13" t="n">
        <v>1670.5</v>
      </c>
      <c r="AF124" s="13" t="n">
        <v>1656.5</v>
      </c>
      <c r="AG124" s="13" t="n">
        <v>1699</v>
      </c>
      <c r="AH124" s="13" t="n">
        <v>1693</v>
      </c>
      <c r="AI124" s="13" t="n">
        <v>1704.5</v>
      </c>
      <c r="AJ124" s="13" t="n">
        <v>1711</v>
      </c>
      <c r="AK124" s="13" t="n">
        <v>1701</v>
      </c>
      <c r="AL124" s="13" t="n">
        <v>1704</v>
      </c>
      <c r="AM124" s="13" t="n">
        <v>1734</v>
      </c>
      <c r="AN124" s="13" t="n">
        <v>1719</v>
      </c>
      <c r="AO124" s="13" t="n">
        <v>1749</v>
      </c>
      <c r="AP124" s="13" t="n">
        <v>1753</v>
      </c>
      <c r="AQ124" s="13" t="n">
        <v>1731</v>
      </c>
      <c r="AR124" s="13" t="n">
        <v>1759</v>
      </c>
      <c r="AS124" s="13" t="n">
        <v>1778.5</v>
      </c>
      <c r="AT124" s="13" t="n">
        <v>1787</v>
      </c>
      <c r="AU124" s="13" t="n">
        <v>1727.5</v>
      </c>
      <c r="AV124" s="13" t="n">
        <v>1730</v>
      </c>
      <c r="AW124" s="13" t="n">
        <v>1720</v>
      </c>
      <c r="AX124" s="13" t="n">
        <v>1770</v>
      </c>
      <c r="AY124" s="13" t="n">
        <v>1672</v>
      </c>
      <c r="AZ124" s="13" t="n">
        <v>1650</v>
      </c>
      <c r="BA124" s="13" t="n">
        <v>1692.5</v>
      </c>
      <c r="BB124" s="13" t="n">
        <v>1688</v>
      </c>
      <c r="BC124" s="13" t="n">
        <v>1713</v>
      </c>
      <c r="BD124" s="13" t="n">
        <v>1655.5</v>
      </c>
      <c r="BE124" s="13" t="n">
        <v>1651</v>
      </c>
      <c r="BF124" s="13" t="n">
        <v>1701</v>
      </c>
      <c r="BG124" s="13" t="n">
        <v>1733</v>
      </c>
      <c r="BH124" s="13" t="n">
        <v>1753</v>
      </c>
      <c r="BI124" s="13" t="n">
        <v>1738.5</v>
      </c>
      <c r="BJ124" s="13" t="n">
        <v>1685</v>
      </c>
      <c r="BK124" s="13" t="n">
        <v>1814</v>
      </c>
      <c r="BL124" s="13" t="n">
        <v>1880.5</v>
      </c>
    </row>
    <row r="125" ht="15.95" customHeight="1" s="574">
      <c r="A125" s="64" t="inlineStr">
        <is>
          <t>8934</t>
        </is>
      </c>
      <c r="B125" s="673" t="inlineStr">
        <is>
          <t>サンフロンティア不動産</t>
        </is>
      </c>
      <c r="C125" s="676">
        <f>_xll.RssMarket("8934","現在値")</f>
        <v/>
      </c>
      <c r="D125" s="661">
        <f>C125-E125</f>
        <v/>
      </c>
      <c r="E125" s="13" t="n">
        <v>2339</v>
      </c>
      <c r="F125" s="13" t="n">
        <v>2380</v>
      </c>
      <c r="G125" s="13" t="n">
        <v>2359</v>
      </c>
      <c r="H125" s="13" t="n">
        <v>2361</v>
      </c>
      <c r="I125" s="13" t="n">
        <v>2380</v>
      </c>
      <c r="J125" s="13" t="n">
        <v>2360</v>
      </c>
      <c r="K125" s="13" t="n">
        <v>2401</v>
      </c>
      <c r="L125" s="13" t="n">
        <v>2321</v>
      </c>
      <c r="M125" s="13" t="n">
        <v>2324</v>
      </c>
      <c r="N125" s="13" t="n">
        <v>2276</v>
      </c>
      <c r="O125" s="13" t="n">
        <v>2274</v>
      </c>
      <c r="P125" s="13" t="n">
        <v>2266</v>
      </c>
      <c r="Q125" s="13" t="n">
        <v>2373</v>
      </c>
      <c r="R125" s="13" t="n">
        <v>2360</v>
      </c>
      <c r="S125" s="13" t="n">
        <v>2342</v>
      </c>
      <c r="T125" s="13" t="n">
        <v>2359</v>
      </c>
      <c r="U125" s="13" t="n">
        <v>2339</v>
      </c>
      <c r="V125" s="13" t="n">
        <v>2404</v>
      </c>
      <c r="W125" s="13" t="n">
        <v>2343</v>
      </c>
      <c r="X125" s="13" t="n">
        <v>2435</v>
      </c>
      <c r="Y125" s="13" t="n">
        <v>2402</v>
      </c>
      <c r="Z125" s="13" t="n">
        <v>2467</v>
      </c>
      <c r="AA125" s="13" t="n">
        <v>2445</v>
      </c>
      <c r="AB125" s="13" t="n">
        <v>2443</v>
      </c>
      <c r="AC125" s="13" t="n">
        <v>2539</v>
      </c>
      <c r="AD125" s="13" t="n">
        <v>2605</v>
      </c>
      <c r="AE125" s="13" t="n">
        <v>2626</v>
      </c>
      <c r="AF125" s="13" t="n">
        <v>2648</v>
      </c>
      <c r="AG125" s="13" t="n">
        <v>2685</v>
      </c>
      <c r="AH125" s="13" t="n">
        <v>2693</v>
      </c>
      <c r="AI125" s="13" t="n">
        <v>2649</v>
      </c>
      <c r="AJ125" s="13" t="n">
        <v>2643</v>
      </c>
      <c r="AK125" s="13" t="n">
        <v>2687</v>
      </c>
      <c r="AL125" s="13" t="n">
        <v>2711</v>
      </c>
      <c r="AM125" s="13" t="n">
        <v>2739</v>
      </c>
      <c r="AN125" s="13" t="n">
        <v>2769</v>
      </c>
      <c r="AO125" s="13" t="n">
        <v>2785</v>
      </c>
      <c r="AP125" s="13" t="n">
        <v>2801</v>
      </c>
      <c r="AQ125" s="13" t="n">
        <v>2825</v>
      </c>
      <c r="AR125" s="13" t="n">
        <v>2818</v>
      </c>
      <c r="AS125" s="13" t="n">
        <v>2855</v>
      </c>
      <c r="AT125" s="13" t="n">
        <v>2812</v>
      </c>
      <c r="AU125" s="13" t="n">
        <v>2777</v>
      </c>
      <c r="AV125" s="13" t="n">
        <v>2743</v>
      </c>
      <c r="AW125" s="13" t="n">
        <v>2701</v>
      </c>
      <c r="AX125" s="13" t="n">
        <v>2691</v>
      </c>
      <c r="AY125" s="13" t="n">
        <v>2685</v>
      </c>
      <c r="AZ125" s="13" t="n">
        <v>2686</v>
      </c>
      <c r="BA125" s="13" t="n">
        <v>2695</v>
      </c>
      <c r="BB125" s="13" t="n">
        <v>2633</v>
      </c>
      <c r="BC125" s="13" t="n">
        <v>2647</v>
      </c>
      <c r="BD125" s="13" t="n">
        <v>2701</v>
      </c>
      <c r="BE125" s="13" t="n">
        <v>2671</v>
      </c>
      <c r="BF125" s="13" t="n">
        <v>2682</v>
      </c>
      <c r="BG125" s="13" t="n">
        <v>2661</v>
      </c>
      <c r="BH125" s="13" t="n">
        <v>2650</v>
      </c>
      <c r="BI125" s="13" t="n">
        <v>2705</v>
      </c>
      <c r="BJ125" s="13" t="n">
        <v>2720</v>
      </c>
      <c r="BK125" s="13" t="n">
        <v>2700</v>
      </c>
      <c r="BL125" s="13" t="n">
        <v>2693</v>
      </c>
    </row>
    <row r="126" ht="15.95" customHeight="1" s="574">
      <c r="A126" s="64" t="inlineStr">
        <is>
          <t>9416</t>
        </is>
      </c>
      <c r="B126" s="673" t="inlineStr">
        <is>
          <t>ビジョン</t>
        </is>
      </c>
      <c r="C126" s="676">
        <f>_xll.RssMarket("9416","現在値")</f>
        <v/>
      </c>
      <c r="D126" s="661">
        <f>C126-E126</f>
        <v/>
      </c>
      <c r="E126" s="13" t="n">
        <v>1018</v>
      </c>
      <c r="F126" s="13" t="n">
        <v>1030</v>
      </c>
      <c r="G126" s="13" t="n">
        <v>1015</v>
      </c>
      <c r="H126" s="13" t="n">
        <v>1018</v>
      </c>
      <c r="I126" s="13" t="n">
        <v>1020</v>
      </c>
      <c r="J126" s="13" t="n">
        <v>1006</v>
      </c>
      <c r="K126" s="13" t="n">
        <v>1009</v>
      </c>
      <c r="L126" s="13" t="n">
        <v>1031</v>
      </c>
      <c r="M126" s="13" t="n">
        <v>1024</v>
      </c>
      <c r="N126" s="13" t="n">
        <v>1005</v>
      </c>
      <c r="O126" s="13" t="n">
        <v>1016</v>
      </c>
      <c r="P126" s="13" t="n">
        <v>1023</v>
      </c>
      <c r="Q126" s="13" t="n">
        <v>1027</v>
      </c>
      <c r="R126" s="13" t="n">
        <v>1067</v>
      </c>
      <c r="S126" s="13" t="n">
        <v>1057</v>
      </c>
      <c r="T126" s="13" t="n">
        <v>1058</v>
      </c>
      <c r="U126" s="13" t="n">
        <v>1099</v>
      </c>
      <c r="V126" s="13" t="n">
        <v>1018</v>
      </c>
      <c r="W126" s="13" t="n">
        <v>1022</v>
      </c>
      <c r="X126" s="13" t="n">
        <v>1026</v>
      </c>
      <c r="Y126" s="13" t="n">
        <v>1004</v>
      </c>
      <c r="Z126" s="13" t="n">
        <v>1039</v>
      </c>
      <c r="AA126" s="13" t="n">
        <v>1105</v>
      </c>
      <c r="AB126" s="13" t="n">
        <v>1089</v>
      </c>
      <c r="AC126" s="13" t="n">
        <v>1098</v>
      </c>
      <c r="AD126" s="13" t="n">
        <v>1109</v>
      </c>
      <c r="AE126" s="13" t="n">
        <v>1115</v>
      </c>
      <c r="AF126" s="13" t="n">
        <v>1108</v>
      </c>
      <c r="AG126" s="13" t="n">
        <v>1095</v>
      </c>
      <c r="AH126" s="13" t="n">
        <v>1093</v>
      </c>
      <c r="AI126" s="13" t="n">
        <v>1106</v>
      </c>
      <c r="AJ126" s="13" t="n">
        <v>1091</v>
      </c>
      <c r="AK126" s="13" t="n">
        <v>1084</v>
      </c>
      <c r="AL126" s="13" t="n">
        <v>1105</v>
      </c>
      <c r="AM126" s="13" t="n">
        <v>1114</v>
      </c>
      <c r="AN126" s="13" t="n">
        <v>1142</v>
      </c>
      <c r="AO126" s="13" t="n">
        <v>1161</v>
      </c>
      <c r="AP126" s="13" t="n">
        <v>1184</v>
      </c>
      <c r="AQ126" s="13" t="n">
        <v>1190</v>
      </c>
      <c r="AR126" s="13" t="n">
        <v>1206</v>
      </c>
      <c r="AS126" s="13" t="n">
        <v>1187</v>
      </c>
      <c r="AT126" s="13" t="n">
        <v>1196</v>
      </c>
      <c r="AU126" s="13" t="n">
        <v>1205</v>
      </c>
      <c r="AV126" s="13" t="n">
        <v>1196</v>
      </c>
      <c r="AW126" s="13" t="n">
        <v>1209</v>
      </c>
      <c r="AX126" s="13" t="n">
        <v>1182</v>
      </c>
      <c r="AY126" s="13" t="n">
        <v>1169</v>
      </c>
      <c r="AZ126" s="13" t="n">
        <v>1161</v>
      </c>
      <c r="BA126" s="13" t="n">
        <v>1151</v>
      </c>
      <c r="BB126" s="13" t="n">
        <v>1165</v>
      </c>
      <c r="BC126" s="13" t="n">
        <v>1134</v>
      </c>
      <c r="BD126" s="13" t="n">
        <v>1140</v>
      </c>
      <c r="BE126" s="13" t="n">
        <v>1168</v>
      </c>
      <c r="BF126" s="13" t="n">
        <v>1154</v>
      </c>
      <c r="BG126" s="13" t="n">
        <v>1159</v>
      </c>
      <c r="BH126" s="13" t="n">
        <v>1142</v>
      </c>
      <c r="BI126" s="13" t="n">
        <v>1127</v>
      </c>
      <c r="BJ126" s="13" t="n">
        <v>1152</v>
      </c>
      <c r="BK126" s="13" t="n">
        <v>1178</v>
      </c>
      <c r="BL126" s="13" t="n">
        <v>1172</v>
      </c>
    </row>
    <row r="127" ht="15.95" customHeight="1" s="574">
      <c r="A127" s="64" t="inlineStr">
        <is>
          <t>9532</t>
        </is>
      </c>
      <c r="B127" s="673" t="inlineStr">
        <is>
          <t>大阪瓦斯</t>
        </is>
      </c>
      <c r="C127" s="676">
        <f>_xll.RssMarket("9532","現在値")</f>
        <v/>
      </c>
      <c r="D127" s="661">
        <f>C127-E127</f>
        <v/>
      </c>
      <c r="E127" s="13" t="n">
        <v>5451</v>
      </c>
      <c r="F127" s="13" t="n">
        <v>5410</v>
      </c>
      <c r="G127" s="13" t="n">
        <v>5446</v>
      </c>
      <c r="H127" s="13" t="n">
        <v>5481</v>
      </c>
      <c r="I127" s="13" t="n">
        <v>5615</v>
      </c>
      <c r="J127" s="13" t="n">
        <v>5672</v>
      </c>
      <c r="K127" s="13" t="n">
        <v>5517</v>
      </c>
      <c r="L127" s="13" t="n">
        <v>5516</v>
      </c>
      <c r="M127" s="13" t="n">
        <v>5489</v>
      </c>
      <c r="N127" s="13" t="n">
        <v>5439</v>
      </c>
      <c r="O127" s="13" t="n">
        <v>5569</v>
      </c>
      <c r="P127" s="13" t="n">
        <v>5399</v>
      </c>
      <c r="Q127" s="13" t="n">
        <v>5340</v>
      </c>
      <c r="R127" s="13" t="n">
        <v>5361</v>
      </c>
      <c r="S127" s="13" t="n">
        <v>5385</v>
      </c>
      <c r="T127" s="13" t="n">
        <v>5500</v>
      </c>
      <c r="U127" s="13" t="n">
        <v>5567</v>
      </c>
      <c r="V127" s="13" t="n">
        <v>5650</v>
      </c>
      <c r="W127" s="13" t="n">
        <v>5668</v>
      </c>
      <c r="X127" s="13" t="n">
        <v>5760</v>
      </c>
      <c r="Y127" s="13" t="n">
        <v>5806</v>
      </c>
      <c r="Z127" s="13" t="n">
        <v>5650</v>
      </c>
      <c r="AA127" s="13" t="n">
        <v>5732</v>
      </c>
      <c r="AB127" s="13" t="n">
        <v>5742</v>
      </c>
      <c r="AC127" s="13" t="n">
        <v>5769</v>
      </c>
      <c r="AD127" s="13" t="n">
        <v>5699</v>
      </c>
      <c r="AE127" s="13" t="n">
        <v>5590</v>
      </c>
      <c r="AF127" s="13" t="n">
        <v>5767</v>
      </c>
      <c r="AG127" s="13" t="n">
        <v>5762</v>
      </c>
      <c r="AH127" s="13" t="n">
        <v>5704</v>
      </c>
      <c r="AI127" s="13" t="n">
        <v>5682</v>
      </c>
      <c r="AJ127" s="13" t="n">
        <v>5949</v>
      </c>
      <c r="AK127" s="13" t="n">
        <v>5804</v>
      </c>
      <c r="AL127" s="13" t="n">
        <v>5839</v>
      </c>
      <c r="AM127" s="13" t="n">
        <v>5856</v>
      </c>
      <c r="AN127" s="13" t="n">
        <v>5831</v>
      </c>
      <c r="AO127" s="13" t="n">
        <v>5927</v>
      </c>
      <c r="AP127" s="13" t="n">
        <v>5978</v>
      </c>
      <c r="AQ127" s="13" t="n">
        <v>6128</v>
      </c>
      <c r="AR127" s="13" t="n">
        <v>6236</v>
      </c>
      <c r="AS127" s="13" t="n">
        <v>6205</v>
      </c>
      <c r="AT127" s="13" t="n">
        <v>6220</v>
      </c>
      <c r="AU127" s="13" t="n">
        <v>6276</v>
      </c>
      <c r="AV127" s="13" t="n">
        <v>6448</v>
      </c>
      <c r="AW127" s="13" t="n">
        <v>6467</v>
      </c>
      <c r="AX127" s="13" t="n">
        <v>6501</v>
      </c>
      <c r="AY127" s="13" t="n">
        <v>6462</v>
      </c>
      <c r="AZ127" s="13" t="n">
        <v>6439</v>
      </c>
      <c r="BA127" s="13" t="n">
        <v>6498</v>
      </c>
      <c r="BB127" s="13" t="n">
        <v>6384</v>
      </c>
      <c r="BC127" s="13" t="n">
        <v>6550</v>
      </c>
      <c r="BD127" s="13" t="n">
        <v>6381</v>
      </c>
      <c r="BE127" s="13" t="n">
        <v>6469</v>
      </c>
      <c r="BF127" s="13" t="n">
        <v>6463</v>
      </c>
      <c r="BG127" s="13" t="n">
        <v>6383</v>
      </c>
      <c r="BH127" s="13" t="n">
        <v>6404</v>
      </c>
      <c r="BI127" s="13" t="n">
        <v>6305</v>
      </c>
      <c r="BJ127" s="13" t="n">
        <v>6135</v>
      </c>
      <c r="BK127" s="13" t="n">
        <v>6387</v>
      </c>
      <c r="BL127" s="13" t="n">
        <v>6505</v>
      </c>
    </row>
    <row r="128" ht="15.95" customHeight="1" s="574">
      <c r="A128" s="64" t="inlineStr">
        <is>
          <t>6330</t>
        </is>
      </c>
      <c r="B128" s="673" t="inlineStr">
        <is>
          <t>東洋エンジニア</t>
        </is>
      </c>
      <c r="C128" s="676">
        <f>_xll.RssMarket("6330","現在値")</f>
        <v/>
      </c>
      <c r="D128" s="661">
        <f>C128-E128</f>
        <v/>
      </c>
      <c r="E128" s="13" t="n">
        <v>2016</v>
      </c>
      <c r="F128" s="13" t="n">
        <v>2075</v>
      </c>
      <c r="G128" s="13" t="n">
        <v>2198</v>
      </c>
      <c r="H128" s="13" t="n">
        <v>2088</v>
      </c>
      <c r="I128" s="13" t="n">
        <v>1918</v>
      </c>
      <c r="J128" s="13" t="n">
        <v>1830</v>
      </c>
      <c r="K128" s="13" t="n">
        <v>1892</v>
      </c>
      <c r="L128" s="13" t="n">
        <v>1982</v>
      </c>
      <c r="M128" s="13" t="n">
        <v>2052</v>
      </c>
      <c r="N128" s="13" t="n">
        <v>1975</v>
      </c>
      <c r="O128" s="13" t="n">
        <v>2020</v>
      </c>
      <c r="P128" s="13" t="n">
        <v>1919</v>
      </c>
      <c r="Q128" s="13" t="n">
        <v>1918</v>
      </c>
      <c r="R128" s="13" t="n">
        <v>2021</v>
      </c>
      <c r="S128" s="13" t="n">
        <v>2109</v>
      </c>
      <c r="T128" s="13" t="n">
        <v>2098</v>
      </c>
      <c r="U128" s="13" t="n">
        <v>2167</v>
      </c>
      <c r="V128" s="13" t="n">
        <v>2175</v>
      </c>
      <c r="W128" s="13" t="n">
        <v>2016</v>
      </c>
      <c r="X128" s="13" t="n">
        <v>2025</v>
      </c>
      <c r="Y128" s="13" t="n">
        <v>2113</v>
      </c>
      <c r="Z128" s="13" t="n">
        <v>2077</v>
      </c>
      <c r="AA128" s="13" t="n">
        <v>2099</v>
      </c>
      <c r="AB128" s="13" t="n">
        <v>2151</v>
      </c>
      <c r="AC128" s="13" t="n">
        <v>2133</v>
      </c>
      <c r="AD128" s="13" t="n">
        <v>2159</v>
      </c>
      <c r="AE128" s="13" t="n">
        <v>2234</v>
      </c>
      <c r="AF128" s="13" t="n">
        <v>2342</v>
      </c>
      <c r="AG128" s="13" t="n">
        <v>2294</v>
      </c>
      <c r="AH128" s="13" t="n">
        <v>2268</v>
      </c>
      <c r="AI128" s="13" t="n">
        <v>2266</v>
      </c>
      <c r="AJ128" s="13" t="n">
        <v>2388</v>
      </c>
      <c r="AK128" s="13" t="n">
        <v>2315</v>
      </c>
      <c r="AL128" s="13" t="n">
        <v>2329</v>
      </c>
      <c r="AM128" s="13" t="n">
        <v>2430</v>
      </c>
      <c r="AN128" s="13" t="n">
        <v>2430</v>
      </c>
      <c r="AO128" s="13" t="n">
        <v>2551</v>
      </c>
      <c r="AP128" s="13" t="n">
        <v>2612</v>
      </c>
      <c r="AQ128" s="13" t="n">
        <v>2600</v>
      </c>
      <c r="AR128" s="13" t="n">
        <v>2493</v>
      </c>
      <c r="AS128" s="13" t="n">
        <v>2356</v>
      </c>
      <c r="AT128" s="13" t="n">
        <v>2319</v>
      </c>
      <c r="AU128" s="13" t="n">
        <v>2336</v>
      </c>
      <c r="AV128" s="13" t="n">
        <v>2341</v>
      </c>
      <c r="AW128" s="13" t="n">
        <v>2311</v>
      </c>
      <c r="AX128" s="13" t="n">
        <v>2421</v>
      </c>
      <c r="AY128" s="13" t="n">
        <v>2207</v>
      </c>
      <c r="AZ128" s="13" t="n">
        <v>2198</v>
      </c>
      <c r="BA128" s="13" t="n">
        <v>2319</v>
      </c>
      <c r="BB128" s="13" t="n">
        <v>2570</v>
      </c>
      <c r="BC128" s="13" t="n">
        <v>2702</v>
      </c>
      <c r="BD128" s="13" t="n">
        <v>2598</v>
      </c>
      <c r="BE128" s="13" t="n">
        <v>2759</v>
      </c>
      <c r="BF128" s="13" t="n">
        <v>2664</v>
      </c>
      <c r="BG128" s="13" t="n">
        <v>2650</v>
      </c>
      <c r="BH128" s="13" t="n">
        <v>2704</v>
      </c>
      <c r="BI128" s="13" t="n">
        <v>2523</v>
      </c>
      <c r="BJ128" s="13" t="n">
        <v>2910</v>
      </c>
      <c r="BK128" s="13" t="n">
        <v>3610</v>
      </c>
      <c r="BL128" s="13" t="n">
        <v>3500</v>
      </c>
    </row>
    <row r="129" ht="15.95" customHeight="1" s="574">
      <c r="A129" s="64" t="inlineStr">
        <is>
          <t>4082</t>
        </is>
      </c>
      <c r="B129" s="673" t="inlineStr">
        <is>
          <t>第一稀元素化学工</t>
        </is>
      </c>
      <c r="C129" s="676">
        <f>_xll.RssMarket("4082","現在値")</f>
        <v/>
      </c>
      <c r="D129" s="661">
        <f>C129-E129</f>
        <v/>
      </c>
      <c r="E129" s="13" t="n">
        <v>2133</v>
      </c>
      <c r="F129" s="13" t="n">
        <v>2061</v>
      </c>
      <c r="G129" s="13" t="n">
        <v>2065</v>
      </c>
      <c r="H129" s="13" t="n">
        <v>2015</v>
      </c>
      <c r="I129" s="13" t="n">
        <v>1874</v>
      </c>
      <c r="J129" s="13" t="n">
        <v>1865</v>
      </c>
      <c r="K129" s="13" t="n">
        <v>1839</v>
      </c>
      <c r="L129" s="13" t="n">
        <v>1976</v>
      </c>
      <c r="M129" s="13" t="n">
        <v>2098</v>
      </c>
      <c r="N129" s="13" t="n">
        <v>2105</v>
      </c>
      <c r="O129" s="13" t="n">
        <v>2201</v>
      </c>
      <c r="P129" s="13" t="n">
        <v>2160</v>
      </c>
      <c r="Q129" s="13" t="n">
        <v>2275</v>
      </c>
      <c r="R129" s="13" t="n">
        <v>2293</v>
      </c>
      <c r="S129" s="13" t="n">
        <v>2245</v>
      </c>
      <c r="T129" s="13" t="n">
        <v>2179</v>
      </c>
      <c r="U129" s="13" t="n">
        <v>2025</v>
      </c>
      <c r="V129" s="13" t="n">
        <v>2021</v>
      </c>
      <c r="W129" s="13" t="n">
        <v>1959</v>
      </c>
      <c r="X129" s="13" t="n">
        <v>1953</v>
      </c>
      <c r="Y129" s="13" t="n">
        <v>2133</v>
      </c>
      <c r="Z129" s="13" t="n">
        <v>2166</v>
      </c>
      <c r="AA129" s="13" t="n">
        <v>2188</v>
      </c>
      <c r="AB129" s="13" t="n">
        <v>2530</v>
      </c>
      <c r="AC129" s="13" t="n">
        <v>2622</v>
      </c>
      <c r="AD129" s="13" t="n">
        <v>2590</v>
      </c>
      <c r="AE129" s="13" t="n">
        <v>2708</v>
      </c>
      <c r="AF129" s="13" t="n">
        <v>2493</v>
      </c>
      <c r="AG129" s="13" t="n">
        <v>2369</v>
      </c>
      <c r="AH129" s="13" t="n">
        <v>2322</v>
      </c>
      <c r="AI129" s="13" t="n">
        <v>2290</v>
      </c>
      <c r="AJ129" s="13" t="n">
        <v>2357</v>
      </c>
      <c r="AK129" s="13" t="n">
        <v>2254</v>
      </c>
      <c r="AL129" s="13" t="n">
        <v>2310</v>
      </c>
      <c r="AM129" s="13" t="n">
        <v>2302</v>
      </c>
      <c r="AN129" s="13" t="n">
        <v>2305</v>
      </c>
      <c r="AO129" s="13" t="n">
        <v>2360</v>
      </c>
      <c r="AP129" s="13" t="n">
        <v>2545</v>
      </c>
      <c r="AQ129" s="13" t="n">
        <v>2333</v>
      </c>
      <c r="AR129" s="13" t="n">
        <v>2252</v>
      </c>
      <c r="AS129" s="13" t="n">
        <v>2102</v>
      </c>
      <c r="AT129" s="13" t="n">
        <v>2086</v>
      </c>
      <c r="AU129" s="13" t="n">
        <v>2043</v>
      </c>
      <c r="AV129" s="13" t="n">
        <v>2065</v>
      </c>
      <c r="AW129" s="13" t="n">
        <v>2122</v>
      </c>
      <c r="AX129" s="13" t="n">
        <v>2208</v>
      </c>
      <c r="AY129" s="13" t="n">
        <v>2088</v>
      </c>
      <c r="AZ129" s="13" t="n">
        <v>2087</v>
      </c>
      <c r="BA129" s="13" t="n">
        <v>2082</v>
      </c>
      <c r="BB129" s="13" t="n">
        <v>2241</v>
      </c>
      <c r="BC129" s="13" t="n">
        <v>2340</v>
      </c>
      <c r="BD129" s="13" t="n">
        <v>2300</v>
      </c>
      <c r="BE129" s="13" t="n">
        <v>2425</v>
      </c>
      <c r="BF129" s="13" t="n">
        <v>2455</v>
      </c>
      <c r="BG129" s="13" t="n">
        <v>2370</v>
      </c>
      <c r="BH129" s="13" t="n">
        <v>2410</v>
      </c>
      <c r="BI129" s="13" t="n">
        <v>2315</v>
      </c>
      <c r="BJ129" s="13" t="n">
        <v>2300</v>
      </c>
      <c r="BK129" s="13" t="n">
        <v>2515</v>
      </c>
      <c r="BL129" s="13" t="n">
        <v>2620</v>
      </c>
    </row>
    <row r="130" ht="15.95" customHeight="1" s="574">
      <c r="A130" s="64" t="inlineStr">
        <is>
          <t>4519</t>
        </is>
      </c>
      <c r="B130" s="673" t="inlineStr">
        <is>
          <t>中外製薬</t>
        </is>
      </c>
      <c r="C130" s="676">
        <f>_xll.RssMarket("4519","現在値")</f>
        <v/>
      </c>
      <c r="D130" s="661">
        <f>C130-E130</f>
        <v/>
      </c>
      <c r="E130" s="13" t="n">
        <v>7522</v>
      </c>
      <c r="F130" s="13" t="n">
        <v>7550</v>
      </c>
      <c r="G130" s="13" t="n">
        <v>7650</v>
      </c>
      <c r="H130" s="13" t="n">
        <v>7523</v>
      </c>
      <c r="I130" s="13" t="n">
        <v>7450</v>
      </c>
      <c r="J130" s="13" t="n">
        <v>7428</v>
      </c>
      <c r="K130" s="13" t="n">
        <v>7560</v>
      </c>
      <c r="L130" s="13" t="n">
        <v>7465</v>
      </c>
      <c r="M130" s="13" t="n">
        <v>7554</v>
      </c>
      <c r="N130" s="13" t="n">
        <v>7567</v>
      </c>
      <c r="O130" s="13" t="n">
        <v>7423</v>
      </c>
      <c r="P130" s="13" t="n">
        <v>7618</v>
      </c>
      <c r="Q130" s="13" t="n">
        <v>7664</v>
      </c>
      <c r="R130" s="13" t="n">
        <v>7892</v>
      </c>
      <c r="S130" s="13" t="n">
        <v>7743</v>
      </c>
      <c r="T130" s="13" t="n">
        <v>7878</v>
      </c>
      <c r="U130" s="13" t="n">
        <v>8117</v>
      </c>
      <c r="V130" s="13" t="n">
        <v>8090</v>
      </c>
      <c r="W130" s="13" t="n">
        <v>7836</v>
      </c>
      <c r="X130" s="13" t="n">
        <v>7899</v>
      </c>
      <c r="Y130" s="13" t="n">
        <v>7936</v>
      </c>
      <c r="Z130" s="13" t="n">
        <v>7885</v>
      </c>
      <c r="AA130" s="13" t="n">
        <v>7938</v>
      </c>
      <c r="AB130" s="13" t="n">
        <v>8096</v>
      </c>
      <c r="AC130" s="13" t="n">
        <v>7805</v>
      </c>
      <c r="AD130" s="13" t="n">
        <v>7794</v>
      </c>
      <c r="AE130" s="13" t="n">
        <v>7953</v>
      </c>
      <c r="AF130" s="13" t="n">
        <v>7900</v>
      </c>
      <c r="AG130" s="13" t="n">
        <v>8095</v>
      </c>
      <c r="AH130" s="13" t="n">
        <v>8245</v>
      </c>
      <c r="AI130" s="13" t="n">
        <v>8116</v>
      </c>
      <c r="AJ130" s="13" t="n">
        <v>7940</v>
      </c>
      <c r="AK130" s="13" t="n">
        <v>7445</v>
      </c>
      <c r="AL130" s="13" t="n">
        <v>8845</v>
      </c>
      <c r="AM130" s="13" t="n">
        <v>8926</v>
      </c>
      <c r="AN130" s="13" t="n">
        <v>8760</v>
      </c>
      <c r="AO130" s="13" t="n">
        <v>8694</v>
      </c>
      <c r="AP130" s="13" t="n">
        <v>8844</v>
      </c>
      <c r="AQ130" s="13" t="n">
        <v>8349</v>
      </c>
      <c r="AR130" s="13" t="n">
        <v>8591</v>
      </c>
      <c r="AS130" s="13" t="n">
        <v>8657</v>
      </c>
      <c r="AT130" s="13" t="n">
        <v>8520</v>
      </c>
      <c r="AU130" s="13" t="n">
        <v>8585</v>
      </c>
      <c r="AV130" s="13" t="n">
        <v>8675</v>
      </c>
      <c r="AW130" s="13" t="n">
        <v>8775</v>
      </c>
      <c r="AX130" s="13" t="n">
        <v>8883</v>
      </c>
      <c r="AY130" s="13" t="n">
        <v>8739</v>
      </c>
      <c r="AZ130" s="13" t="n">
        <v>8865</v>
      </c>
      <c r="BA130" s="13" t="n">
        <v>8779</v>
      </c>
      <c r="BB130" s="13" t="n">
        <v>9198</v>
      </c>
      <c r="BC130" s="13" t="n">
        <v>9000</v>
      </c>
      <c r="BD130" s="13" t="n">
        <v>8611</v>
      </c>
      <c r="BE130" s="13" t="n">
        <v>8660</v>
      </c>
      <c r="BF130" s="13" t="n">
        <v>8540</v>
      </c>
      <c r="BG130" s="13" t="n">
        <v>8451</v>
      </c>
      <c r="BH130" s="13" t="n">
        <v>8462</v>
      </c>
      <c r="BI130" s="13" t="n">
        <v>8224</v>
      </c>
      <c r="BJ130" s="13" t="n">
        <v>7947</v>
      </c>
      <c r="BK130" s="13" t="n">
        <v>8650</v>
      </c>
      <c r="BL130" s="13" t="n">
        <v>8986</v>
      </c>
    </row>
    <row r="131" ht="15.95" customHeight="1" s="574">
      <c r="A131" s="64" t="inlineStr">
        <is>
          <t>2160</t>
        </is>
      </c>
      <c r="B131" s="673" t="inlineStr">
        <is>
          <t>ジーエヌアイグループ</t>
        </is>
      </c>
      <c r="C131" s="676">
        <f>_xll.RssMarket("2160","現在値")</f>
        <v/>
      </c>
      <c r="D131" s="661">
        <f>C131-E131</f>
        <v/>
      </c>
      <c r="E131" s="13" t="n">
        <v>2470</v>
      </c>
      <c r="F131" s="13" t="n">
        <v>2527</v>
      </c>
      <c r="G131" s="13" t="n">
        <v>2542</v>
      </c>
      <c r="H131" s="13" t="n">
        <v>2493</v>
      </c>
      <c r="I131" s="13" t="n">
        <v>2520</v>
      </c>
      <c r="J131" s="13" t="n">
        <v>2685</v>
      </c>
      <c r="K131" s="13" t="n">
        <v>2735</v>
      </c>
      <c r="L131" s="13" t="n">
        <v>2810</v>
      </c>
      <c r="M131" s="13" t="n">
        <v>2833</v>
      </c>
      <c r="N131" s="13" t="n">
        <v>2684</v>
      </c>
      <c r="O131" s="13" t="n">
        <v>2625</v>
      </c>
      <c r="P131" s="13" t="n">
        <v>2580</v>
      </c>
      <c r="Q131" s="13" t="n">
        <v>2574</v>
      </c>
      <c r="R131" s="13" t="n">
        <v>2546</v>
      </c>
      <c r="S131" s="13" t="n">
        <v>2615</v>
      </c>
      <c r="T131" s="13" t="n">
        <v>2646</v>
      </c>
      <c r="U131" s="13" t="n">
        <v>2833</v>
      </c>
      <c r="V131" s="13" t="n">
        <v>2834</v>
      </c>
      <c r="W131" s="13" t="n">
        <v>2821</v>
      </c>
      <c r="X131" s="13" t="n">
        <v>2736</v>
      </c>
      <c r="Y131" s="13" t="n">
        <v>2830</v>
      </c>
      <c r="Z131" s="13" t="n">
        <v>2688</v>
      </c>
      <c r="AA131" s="13" t="n">
        <v>2955</v>
      </c>
      <c r="AB131" s="13" t="n">
        <v>3015</v>
      </c>
      <c r="AC131" s="13" t="n">
        <v>3240</v>
      </c>
      <c r="AD131" s="13" t="n">
        <v>2984</v>
      </c>
      <c r="AE131" s="13" t="n">
        <v>3000</v>
      </c>
      <c r="AF131" s="13" t="n">
        <v>2979</v>
      </c>
      <c r="AG131" s="13" t="n">
        <v>3055</v>
      </c>
      <c r="AH131" s="13" t="n">
        <v>3020</v>
      </c>
      <c r="AI131" s="13" t="n">
        <v>2920</v>
      </c>
      <c r="AJ131" s="13" t="n">
        <v>3165</v>
      </c>
      <c r="AK131" s="13" t="n">
        <v>3110</v>
      </c>
      <c r="AL131" s="13" t="n">
        <v>3130</v>
      </c>
      <c r="AM131" s="13" t="n">
        <v>3130</v>
      </c>
      <c r="AN131" s="13" t="n">
        <v>3300</v>
      </c>
      <c r="AO131" s="13" t="n">
        <v>3390</v>
      </c>
      <c r="AP131" s="13" t="n">
        <v>3440</v>
      </c>
      <c r="AQ131" s="13" t="n">
        <v>3370</v>
      </c>
      <c r="AR131" s="13" t="n">
        <v>3380</v>
      </c>
      <c r="AS131" s="13" t="n">
        <v>3340</v>
      </c>
      <c r="AT131" s="13" t="n">
        <v>3185</v>
      </c>
      <c r="AU131" s="13" t="n">
        <v>3135</v>
      </c>
      <c r="AV131" s="13" t="n">
        <v>3180</v>
      </c>
      <c r="AW131" s="13" t="n">
        <v>3130</v>
      </c>
      <c r="AX131" s="13" t="n">
        <v>3235</v>
      </c>
      <c r="AY131" s="13" t="n">
        <v>3110</v>
      </c>
      <c r="AZ131" s="13" t="n">
        <v>3130</v>
      </c>
      <c r="BA131" s="13" t="n">
        <v>3145</v>
      </c>
      <c r="BB131" s="13" t="n">
        <v>3075</v>
      </c>
      <c r="BC131" s="13" t="n">
        <v>3200</v>
      </c>
      <c r="BD131" s="13" t="n">
        <v>2940</v>
      </c>
      <c r="BE131" s="13" t="n">
        <v>3060</v>
      </c>
      <c r="BF131" s="13" t="n">
        <v>3250</v>
      </c>
      <c r="BG131" s="13" t="n">
        <v>3040</v>
      </c>
      <c r="BH131" s="13" t="n">
        <v>3070</v>
      </c>
      <c r="BI131" s="13" t="n">
        <v>2968</v>
      </c>
      <c r="BJ131" s="13" t="n">
        <v>2741</v>
      </c>
      <c r="BK131" s="13" t="n">
        <v>2842</v>
      </c>
      <c r="BL131" s="13" t="n">
        <v>3125</v>
      </c>
    </row>
    <row r="132" ht="15.95" customHeight="1" s="574">
      <c r="A132" s="64" t="inlineStr">
        <is>
          <t>6227</t>
        </is>
      </c>
      <c r="B132" s="673" t="inlineStr">
        <is>
          <t>ＡＩメカテック</t>
        </is>
      </c>
      <c r="C132" s="676">
        <f>_xll.RssMarket("6227","現在値")</f>
        <v/>
      </c>
      <c r="D132" s="661">
        <f>C132-E132</f>
        <v/>
      </c>
      <c r="E132" s="13" t="n">
        <v>7920</v>
      </c>
      <c r="F132" s="13" t="n">
        <v>6970</v>
      </c>
      <c r="G132" s="13" t="n">
        <v>8160</v>
      </c>
      <c r="H132" s="13" t="n">
        <v>8080</v>
      </c>
      <c r="I132" s="13" t="n">
        <v>7850</v>
      </c>
      <c r="J132" s="13" t="n">
        <v>6850</v>
      </c>
      <c r="K132" s="13" t="n">
        <v>7000</v>
      </c>
      <c r="L132" s="13" t="n">
        <v>7060</v>
      </c>
      <c r="M132" s="13" t="n">
        <v>7440</v>
      </c>
      <c r="N132" s="13" t="n">
        <v>6490</v>
      </c>
      <c r="O132" s="13" t="n">
        <v>6070</v>
      </c>
      <c r="P132" s="13" t="n">
        <v>6140</v>
      </c>
      <c r="Q132" s="13" t="n">
        <v>5950</v>
      </c>
      <c r="R132" s="13" t="n">
        <v>5670</v>
      </c>
      <c r="S132" s="13" t="n">
        <v>5640</v>
      </c>
      <c r="T132" s="13" t="n">
        <v>5490</v>
      </c>
      <c r="U132" s="13" t="n">
        <v>6220</v>
      </c>
      <c r="V132" s="13" t="n">
        <v>6050</v>
      </c>
      <c r="W132" s="13" t="n">
        <v>6060</v>
      </c>
      <c r="X132" s="13" t="n">
        <v>6600</v>
      </c>
      <c r="Y132" s="13" t="n">
        <v>6870</v>
      </c>
      <c r="Z132" s="13" t="n">
        <v>7250</v>
      </c>
      <c r="AA132" s="13" t="n">
        <v>6250</v>
      </c>
      <c r="AB132" s="13" t="n">
        <v>6690</v>
      </c>
      <c r="AC132" s="13" t="n">
        <v>6540</v>
      </c>
      <c r="AD132" s="13" t="n">
        <v>6870</v>
      </c>
      <c r="AE132" s="13" t="n">
        <v>6490</v>
      </c>
      <c r="AF132" s="13" t="n">
        <v>6690</v>
      </c>
      <c r="AG132" s="13" t="n">
        <v>6790</v>
      </c>
      <c r="AH132" s="13" t="n">
        <v>6110</v>
      </c>
      <c r="AI132" s="13" t="n">
        <v>6330</v>
      </c>
      <c r="AJ132" s="13" t="n">
        <v>6150</v>
      </c>
      <c r="AK132" s="13" t="n">
        <v>6630</v>
      </c>
      <c r="AL132" s="13" t="n">
        <v>6590</v>
      </c>
      <c r="AM132" s="13" t="n">
        <v>6380</v>
      </c>
      <c r="AN132" s="13" t="n">
        <v>6860</v>
      </c>
      <c r="AO132" s="13" t="n">
        <v>6910</v>
      </c>
      <c r="AP132" s="13" t="n">
        <v>7500</v>
      </c>
      <c r="AQ132" s="13" t="n">
        <v>8120</v>
      </c>
      <c r="AR132" s="13" t="n">
        <v>8150</v>
      </c>
      <c r="AS132" s="13" t="n">
        <v>8420</v>
      </c>
      <c r="AT132" s="13" t="n">
        <v>7700</v>
      </c>
      <c r="AU132" s="13" t="n">
        <v>6700</v>
      </c>
      <c r="AV132" s="13" t="n">
        <v>6080</v>
      </c>
      <c r="AW132" s="13" t="n">
        <v>5910</v>
      </c>
      <c r="AX132" s="13" t="n">
        <v>6010</v>
      </c>
      <c r="AY132" s="13" t="n">
        <v>5690</v>
      </c>
      <c r="AZ132" s="13" t="n">
        <v>5930</v>
      </c>
      <c r="BA132" s="13" t="n">
        <v>5380</v>
      </c>
      <c r="BB132" s="13" t="n">
        <v>5390</v>
      </c>
      <c r="BC132" s="13" t="n">
        <v>5740</v>
      </c>
      <c r="BD132" s="13" t="n">
        <v>5270</v>
      </c>
      <c r="BE132" s="13" t="n">
        <v>5560</v>
      </c>
      <c r="BF132" s="13" t="n">
        <v>5980</v>
      </c>
      <c r="BG132" s="13" t="n">
        <v>6300</v>
      </c>
      <c r="BH132" s="13" t="n">
        <v>6963.3</v>
      </c>
      <c r="BI132" s="13" t="n">
        <v>6323.3</v>
      </c>
      <c r="BJ132" s="13" t="n">
        <v>6133.3</v>
      </c>
      <c r="BK132" s="13" t="n">
        <v>6706.6</v>
      </c>
      <c r="BL132" s="13" t="n">
        <v>6486.6</v>
      </c>
    </row>
    <row r="133" ht="15.95" customHeight="1" s="574">
      <c r="A133" s="64" t="inlineStr">
        <is>
          <t>6327</t>
        </is>
      </c>
      <c r="B133" s="673" t="inlineStr">
        <is>
          <t>北川精機</t>
        </is>
      </c>
      <c r="C133" s="676">
        <f>_xll.RssMarket("6327","現在値")</f>
        <v/>
      </c>
      <c r="D133" s="661">
        <f>C133-E133</f>
        <v/>
      </c>
      <c r="E133" s="13" t="n">
        <v>6190</v>
      </c>
      <c r="F133" s="13" t="n">
        <v>5190</v>
      </c>
      <c r="G133" s="13" t="n">
        <v>5150</v>
      </c>
      <c r="H133" s="13" t="n">
        <v>4445</v>
      </c>
      <c r="I133" s="13" t="n">
        <v>3045</v>
      </c>
      <c r="J133" s="13" t="n">
        <v>3050</v>
      </c>
      <c r="K133" s="13" t="n">
        <v>3100</v>
      </c>
      <c r="L133" s="13" t="n">
        <v>3585</v>
      </c>
      <c r="M133" s="13" t="n">
        <v>3980</v>
      </c>
      <c r="N133" s="13" t="n">
        <v>3840</v>
      </c>
      <c r="O133" s="13" t="n">
        <v>4520</v>
      </c>
      <c r="P133" s="13" t="n">
        <v>4900</v>
      </c>
      <c r="Q133" s="13" t="n">
        <v>4980</v>
      </c>
      <c r="R133" s="13" t="n">
        <v>5910</v>
      </c>
      <c r="S133" s="13" t="n">
        <v>5000</v>
      </c>
      <c r="T133" s="13" t="n">
        <v>4300</v>
      </c>
      <c r="U133" s="13" t="n">
        <v>3415</v>
      </c>
      <c r="V133" s="13" t="n">
        <v>2914</v>
      </c>
      <c r="W133" s="13" t="n">
        <v>2414</v>
      </c>
      <c r="X133" s="13" t="n">
        <v>2337</v>
      </c>
      <c r="Y133" s="13" t="n">
        <v>2370</v>
      </c>
      <c r="Z133" s="13" t="n">
        <v>2573</v>
      </c>
      <c r="AA133" s="13" t="n">
        <v>2555</v>
      </c>
      <c r="AB133" s="13" t="n">
        <v>2672</v>
      </c>
      <c r="AC133" s="13" t="n">
        <v>2760</v>
      </c>
      <c r="AD133" s="13" t="n">
        <v>2990</v>
      </c>
      <c r="AE133" s="13" t="n">
        <v>3480</v>
      </c>
      <c r="AF133" s="13" t="n">
        <v>3610</v>
      </c>
      <c r="AG133" s="13" t="n">
        <v>3380</v>
      </c>
      <c r="AH133" s="13" t="n">
        <v>2897</v>
      </c>
      <c r="AI133" s="13" t="n">
        <v>2867</v>
      </c>
      <c r="AJ133" s="13" t="n">
        <v>2685</v>
      </c>
      <c r="AK133" s="13" t="n">
        <v>2185</v>
      </c>
      <c r="AL133" s="13" t="n">
        <v>2100</v>
      </c>
      <c r="AM133" s="13" t="n">
        <v>2097</v>
      </c>
      <c r="AN133" s="13" t="n">
        <v>2158</v>
      </c>
      <c r="AO133" s="13" t="n">
        <v>2194</v>
      </c>
      <c r="AP133" s="13" t="n">
        <v>1996</v>
      </c>
      <c r="AQ133" s="13" t="n">
        <v>2053</v>
      </c>
      <c r="AR133" s="13" t="n">
        <v>2082</v>
      </c>
      <c r="AS133" s="13" t="n">
        <v>2057</v>
      </c>
      <c r="AT133" s="13" t="n">
        <v>2100</v>
      </c>
      <c r="AU133" s="13" t="n">
        <v>1921</v>
      </c>
      <c r="AV133" s="13" t="n">
        <v>1954</v>
      </c>
      <c r="AW133" s="13" t="n">
        <v>1819</v>
      </c>
      <c r="AX133" s="13" t="n">
        <v>1836</v>
      </c>
      <c r="AY133" s="13" t="n">
        <v>1651</v>
      </c>
      <c r="AZ133" s="13" t="n">
        <v>1633</v>
      </c>
      <c r="BA133" s="13" t="n">
        <v>1555</v>
      </c>
      <c r="BB133" s="13" t="n">
        <v>1503</v>
      </c>
      <c r="BC133" s="13" t="n">
        <v>1525</v>
      </c>
      <c r="BD133" s="13" t="n">
        <v>1439</v>
      </c>
      <c r="BE133" s="13" t="n">
        <v>1481</v>
      </c>
      <c r="BF133" s="13" t="n">
        <v>1604</v>
      </c>
      <c r="BG133" s="13" t="n">
        <v>1624</v>
      </c>
      <c r="BH133" s="13" t="n">
        <v>1670</v>
      </c>
      <c r="BI133" s="13" t="n">
        <v>1560</v>
      </c>
      <c r="BJ133" s="13" t="n">
        <v>1488</v>
      </c>
      <c r="BK133" s="13" t="n">
        <v>1657</v>
      </c>
      <c r="BL133" s="13" t="n">
        <v>1770</v>
      </c>
    </row>
    <row r="134" ht="15.95" customHeight="1" s="574">
      <c r="A134" s="64" t="inlineStr">
        <is>
          <t>3110</t>
        </is>
      </c>
      <c r="B134" s="673" t="inlineStr">
        <is>
          <t>日東紡績</t>
        </is>
      </c>
      <c r="C134" s="676">
        <f>_xll.RssMarket("3110","現在値")</f>
        <v/>
      </c>
      <c r="D134" s="661">
        <f>C134-E134</f>
        <v/>
      </c>
      <c r="E134" s="13" t="n">
        <v>20680</v>
      </c>
      <c r="F134" s="13" t="n">
        <v>19500</v>
      </c>
      <c r="G134" s="13" t="n">
        <v>21170</v>
      </c>
      <c r="H134" s="13" t="n">
        <v>21690</v>
      </c>
      <c r="I134" s="13" t="n">
        <v>18380</v>
      </c>
      <c r="J134" s="13" t="n">
        <v>17330</v>
      </c>
      <c r="K134" s="13" t="n">
        <v>17840</v>
      </c>
      <c r="L134" s="13" t="n">
        <v>18680</v>
      </c>
      <c r="M134" s="13" t="n">
        <v>20250</v>
      </c>
      <c r="N134" s="13" t="n">
        <v>20770</v>
      </c>
      <c r="O134" s="13" t="n">
        <v>21770</v>
      </c>
      <c r="P134" s="13" t="n">
        <v>21900</v>
      </c>
      <c r="Q134" s="13" t="n">
        <v>24240</v>
      </c>
      <c r="R134" s="13" t="n">
        <v>22670</v>
      </c>
      <c r="S134" s="13" t="n">
        <v>22710</v>
      </c>
      <c r="T134" s="13" t="n">
        <v>23300</v>
      </c>
      <c r="U134" s="13" t="n">
        <v>27560</v>
      </c>
      <c r="V134" s="13" t="n">
        <v>25310</v>
      </c>
      <c r="W134" s="13" t="n">
        <v>22020</v>
      </c>
      <c r="X134" s="13" t="n">
        <v>21090</v>
      </c>
      <c r="Y134" s="13" t="n">
        <v>21580</v>
      </c>
      <c r="Z134" s="13" t="n">
        <v>22730</v>
      </c>
      <c r="AA134" s="13" t="n">
        <v>23900</v>
      </c>
      <c r="AB134" s="13" t="n">
        <v>26190</v>
      </c>
      <c r="AC134" s="13" t="n">
        <v>25790</v>
      </c>
      <c r="AD134" s="13" t="n">
        <v>29000</v>
      </c>
      <c r="AE134" s="13" t="n">
        <v>29090</v>
      </c>
      <c r="AF134" s="13" t="n">
        <v>30400</v>
      </c>
      <c r="AG134" s="13" t="n">
        <v>31950</v>
      </c>
      <c r="AH134" s="13" t="n">
        <v>28160</v>
      </c>
      <c r="AI134" s="13" t="n">
        <v>28540</v>
      </c>
      <c r="AJ134" s="13" t="n">
        <v>28210</v>
      </c>
      <c r="AK134" s="13" t="n">
        <v>27350</v>
      </c>
      <c r="AL134" s="13" t="n">
        <v>27380</v>
      </c>
      <c r="AM134" s="13" t="n">
        <v>25550</v>
      </c>
      <c r="AN134" s="13" t="n">
        <v>27460</v>
      </c>
      <c r="AO134" s="13" t="n">
        <v>26460</v>
      </c>
      <c r="AP134" s="13" t="n">
        <v>26720</v>
      </c>
      <c r="AQ134" s="13" t="n">
        <v>27510</v>
      </c>
      <c r="AR134" s="13" t="n">
        <v>27040</v>
      </c>
      <c r="AS134" s="13" t="n">
        <v>26500</v>
      </c>
      <c r="AT134" s="13" t="n">
        <v>29440</v>
      </c>
      <c r="AU134" s="13" t="n">
        <v>28960</v>
      </c>
      <c r="AV134" s="13" t="n">
        <v>27430</v>
      </c>
      <c r="AW134" s="13" t="n">
        <v>25290</v>
      </c>
      <c r="AX134" s="13" t="n">
        <v>24850</v>
      </c>
      <c r="AY134" s="13" t="n">
        <v>21660</v>
      </c>
      <c r="AZ134" s="13" t="n">
        <v>20760</v>
      </c>
      <c r="BA134" s="13" t="n">
        <v>20480</v>
      </c>
      <c r="BB134" s="13" t="n">
        <v>19610</v>
      </c>
      <c r="BC134" s="13" t="n">
        <v>20870</v>
      </c>
      <c r="BD134" s="13" t="n">
        <v>18740</v>
      </c>
      <c r="BE134" s="13" t="n">
        <v>19760</v>
      </c>
      <c r="BF134" s="13" t="n">
        <v>21500</v>
      </c>
      <c r="BG134" s="13" t="n">
        <v>21810</v>
      </c>
      <c r="BH134" s="13" t="n">
        <v>22360</v>
      </c>
      <c r="BI134" s="13" t="n">
        <v>20100</v>
      </c>
      <c r="BJ134" s="13" t="n">
        <v>20120</v>
      </c>
      <c r="BK134" s="13" t="n">
        <v>21580</v>
      </c>
      <c r="BL134" s="13" t="n">
        <v>22300</v>
      </c>
    </row>
    <row r="135" ht="15.95" customHeight="1" s="574">
      <c r="A135" s="64" t="inlineStr">
        <is>
          <t>6232</t>
        </is>
      </c>
      <c r="B135" s="673" t="inlineStr">
        <is>
          <t>ＡＣＳＬ</t>
        </is>
      </c>
      <c r="C135" s="676">
        <f>_xll.RssMarket("6232","現在値")</f>
        <v/>
      </c>
      <c r="D135" s="661">
        <f>C135-E135</f>
        <v/>
      </c>
      <c r="E135" s="13" t="n">
        <v>2017</v>
      </c>
      <c r="F135" s="13" t="n">
        <v>1827</v>
      </c>
      <c r="G135" s="13" t="n">
        <v>1764</v>
      </c>
      <c r="H135" s="13" t="n">
        <v>1834</v>
      </c>
      <c r="I135" s="13" t="n">
        <v>1768</v>
      </c>
      <c r="J135" s="13" t="n">
        <v>1828</v>
      </c>
      <c r="K135" s="13" t="n">
        <v>1902</v>
      </c>
      <c r="L135" s="13" t="n">
        <v>2025</v>
      </c>
      <c r="M135" s="13" t="n">
        <v>2096</v>
      </c>
      <c r="N135" s="13" t="n">
        <v>1970</v>
      </c>
      <c r="O135" s="13" t="n">
        <v>2018</v>
      </c>
      <c r="P135" s="13" t="n">
        <v>1988</v>
      </c>
      <c r="Q135" s="13" t="n">
        <v>2154</v>
      </c>
      <c r="R135" s="13" t="n">
        <v>2332</v>
      </c>
      <c r="S135" s="13" t="n">
        <v>2487</v>
      </c>
      <c r="T135" s="13" t="n">
        <v>2334</v>
      </c>
      <c r="U135" s="13" t="n">
        <v>2728</v>
      </c>
      <c r="V135" s="13" t="n">
        <v>2841</v>
      </c>
      <c r="W135" s="13" t="n">
        <v>2753</v>
      </c>
      <c r="X135" s="13" t="n">
        <v>2786</v>
      </c>
      <c r="Y135" s="13" t="n">
        <v>3360</v>
      </c>
      <c r="Z135" s="13" t="n">
        <v>3040</v>
      </c>
      <c r="AA135" s="13" t="n">
        <v>3115</v>
      </c>
      <c r="AB135" s="13" t="n">
        <v>2931</v>
      </c>
      <c r="AC135" s="13" t="n">
        <v>3010</v>
      </c>
      <c r="AD135" s="13" t="n">
        <v>3165</v>
      </c>
      <c r="AE135" s="13" t="n">
        <v>3430</v>
      </c>
      <c r="AF135" s="13" t="n">
        <v>2927</v>
      </c>
      <c r="AG135" s="13" t="n">
        <v>2427</v>
      </c>
      <c r="AH135" s="13" t="n">
        <v>2502</v>
      </c>
      <c r="AI135" s="13" t="n">
        <v>2359</v>
      </c>
      <c r="AJ135" s="13" t="n">
        <v>2316</v>
      </c>
      <c r="AK135" s="13" t="n">
        <v>2350</v>
      </c>
      <c r="AL135" s="13" t="n">
        <v>2538</v>
      </c>
      <c r="AM135" s="13" t="n">
        <v>2261</v>
      </c>
      <c r="AN135" s="13" t="n">
        <v>2122</v>
      </c>
      <c r="AO135" s="13" t="n">
        <v>1722</v>
      </c>
      <c r="AP135" s="13" t="n">
        <v>1745</v>
      </c>
      <c r="AQ135" s="13" t="n">
        <v>1704</v>
      </c>
      <c r="AR135" s="13" t="n">
        <v>1809</v>
      </c>
      <c r="AS135" s="13" t="n">
        <v>1800</v>
      </c>
      <c r="AT135" s="13" t="n">
        <v>1868</v>
      </c>
      <c r="AU135" s="13" t="n">
        <v>1807</v>
      </c>
      <c r="AV135" s="13" t="n">
        <v>1610</v>
      </c>
      <c r="AW135" s="13" t="n">
        <v>1574</v>
      </c>
      <c r="AX135" s="13" t="n">
        <v>1636</v>
      </c>
      <c r="AY135" s="13" t="n">
        <v>1474</v>
      </c>
      <c r="AZ135" s="13" t="n">
        <v>1462</v>
      </c>
      <c r="BA135" s="13" t="n">
        <v>1471</v>
      </c>
      <c r="BB135" s="13" t="n">
        <v>1486</v>
      </c>
      <c r="BC135" s="13" t="n">
        <v>1525</v>
      </c>
      <c r="BD135" s="13" t="n">
        <v>1373</v>
      </c>
      <c r="BE135" s="13" t="n">
        <v>1464</v>
      </c>
      <c r="BF135" s="13" t="n">
        <v>1538</v>
      </c>
      <c r="BG135" s="13" t="n">
        <v>1495</v>
      </c>
      <c r="BH135" s="13" t="n">
        <v>1542</v>
      </c>
      <c r="BI135" s="13" t="n">
        <v>1447</v>
      </c>
      <c r="BJ135" s="13" t="n">
        <v>1396</v>
      </c>
      <c r="BK135" s="13" t="n">
        <v>1542</v>
      </c>
      <c r="BL135" s="13" t="n">
        <v>1645</v>
      </c>
    </row>
    <row r="136" ht="15.95" customHeight="1" s="574">
      <c r="A136" s="64" t="inlineStr">
        <is>
          <t>7794</t>
        </is>
      </c>
      <c r="B136" s="673" t="inlineStr">
        <is>
          <t>イーディーピー</t>
        </is>
      </c>
      <c r="C136" s="676">
        <f>_xll.RssMarket("7794","現在値")</f>
        <v/>
      </c>
      <c r="D136" s="661">
        <f>C136-E136</f>
        <v/>
      </c>
      <c r="E136" s="13" t="n">
        <v>1208</v>
      </c>
      <c r="F136" s="13" t="n">
        <v>1094</v>
      </c>
      <c r="G136" s="13" t="n">
        <v>1097</v>
      </c>
      <c r="H136" s="13" t="n">
        <v>1068</v>
      </c>
      <c r="I136" s="13" t="n">
        <v>1078</v>
      </c>
      <c r="J136" s="13" t="n">
        <v>1064</v>
      </c>
      <c r="K136" s="13" t="n">
        <v>1090</v>
      </c>
      <c r="L136" s="13" t="n">
        <v>1110</v>
      </c>
      <c r="M136" s="13" t="n">
        <v>1085</v>
      </c>
      <c r="N136" s="13" t="n">
        <v>1005</v>
      </c>
      <c r="O136" s="13" t="n">
        <v>1070</v>
      </c>
      <c r="P136" s="13" t="n">
        <v>1082</v>
      </c>
      <c r="Q136" s="13" t="n">
        <v>1168</v>
      </c>
      <c r="R136" s="13" t="n">
        <v>1149</v>
      </c>
      <c r="S136" s="13" t="n">
        <v>1284</v>
      </c>
      <c r="T136" s="13" t="n">
        <v>1094</v>
      </c>
      <c r="U136" s="13" t="n">
        <v>1168</v>
      </c>
      <c r="V136" s="13" t="n">
        <v>1118</v>
      </c>
      <c r="W136" s="13" t="n">
        <v>1086</v>
      </c>
      <c r="X136" s="13" t="n">
        <v>1090</v>
      </c>
      <c r="Y136" s="13" t="n">
        <v>1137</v>
      </c>
      <c r="Z136" s="13" t="n">
        <v>1102</v>
      </c>
      <c r="AA136" s="13" t="n">
        <v>1150</v>
      </c>
      <c r="AB136" s="13" t="n">
        <v>1129</v>
      </c>
      <c r="AC136" s="13" t="n">
        <v>1330</v>
      </c>
      <c r="AD136" s="13" t="n">
        <v>1340</v>
      </c>
      <c r="AE136" s="13" t="n">
        <v>1408</v>
      </c>
      <c r="AF136" s="13" t="n">
        <v>1361</v>
      </c>
      <c r="AG136" s="13" t="n">
        <v>1287</v>
      </c>
      <c r="AH136" s="13" t="n">
        <v>1297</v>
      </c>
      <c r="AI136" s="13" t="n">
        <v>1332</v>
      </c>
      <c r="AJ136" s="13" t="n">
        <v>1316</v>
      </c>
      <c r="AK136" s="13" t="n">
        <v>1344</v>
      </c>
      <c r="AL136" s="13" t="n">
        <v>1413</v>
      </c>
      <c r="AM136" s="13" t="n">
        <v>1429</v>
      </c>
      <c r="AN136" s="13" t="n">
        <v>1470</v>
      </c>
      <c r="AO136" s="13" t="n">
        <v>1536</v>
      </c>
      <c r="AP136" s="13" t="n">
        <v>1584</v>
      </c>
      <c r="AQ136" s="13" t="n">
        <v>1284</v>
      </c>
      <c r="AR136" s="13" t="n">
        <v>1218</v>
      </c>
      <c r="AS136" s="13" t="n">
        <v>1176</v>
      </c>
      <c r="AT136" s="13" t="n">
        <v>1205</v>
      </c>
      <c r="AU136" s="13" t="n">
        <v>1216</v>
      </c>
      <c r="AV136" s="13" t="n">
        <v>1185</v>
      </c>
      <c r="AW136" s="13" t="n">
        <v>1212</v>
      </c>
      <c r="AX136" s="13" t="n">
        <v>1212</v>
      </c>
      <c r="AY136" s="13" t="n">
        <v>1140</v>
      </c>
      <c r="AZ136" s="13" t="n">
        <v>1170</v>
      </c>
      <c r="BA136" s="13" t="n">
        <v>1206</v>
      </c>
      <c r="BB136" s="13" t="n">
        <v>1253</v>
      </c>
      <c r="BC136" s="13" t="n">
        <v>1285</v>
      </c>
      <c r="BD136" s="13" t="n">
        <v>1278</v>
      </c>
      <c r="BE136" s="13" t="n">
        <v>1326</v>
      </c>
      <c r="BF136" s="13" t="n">
        <v>1314</v>
      </c>
      <c r="BG136" s="13" t="n">
        <v>1014</v>
      </c>
      <c r="BH136" s="13" t="n">
        <v>1100</v>
      </c>
      <c r="BI136" s="13" t="n">
        <v>1085</v>
      </c>
      <c r="BJ136" s="13" t="n">
        <v>1119</v>
      </c>
      <c r="BK136" s="13" t="n">
        <v>1229</v>
      </c>
      <c r="BL136" s="13" t="n">
        <v>1349</v>
      </c>
    </row>
    <row r="137" ht="15.95" customHeight="1" s="574">
      <c r="A137" s="64" t="inlineStr">
        <is>
          <t>6085</t>
        </is>
      </c>
      <c r="B137" s="673" t="inlineStr">
        <is>
          <t>アーキテクツＳＪ</t>
        </is>
      </c>
      <c r="C137" s="676">
        <f>_xll.RssMarket("6085","現在値")</f>
        <v/>
      </c>
      <c r="D137" s="661">
        <f>C137-E137</f>
        <v/>
      </c>
      <c r="E137" s="13" t="n">
        <v>365</v>
      </c>
      <c r="F137" s="13" t="n">
        <v>322</v>
      </c>
      <c r="G137" s="13" t="n">
        <v>320</v>
      </c>
      <c r="H137" s="13" t="n">
        <v>313</v>
      </c>
      <c r="I137" s="13" t="n">
        <v>343</v>
      </c>
      <c r="J137" s="13" t="n">
        <v>396</v>
      </c>
      <c r="K137" s="13" t="n">
        <v>417</v>
      </c>
      <c r="L137" s="13" t="n">
        <v>311</v>
      </c>
      <c r="M137" s="13" t="n">
        <v>320</v>
      </c>
      <c r="N137" s="13" t="n">
        <v>264</v>
      </c>
      <c r="O137" s="13" t="n">
        <v>248</v>
      </c>
      <c r="P137" s="13" t="n">
        <v>282</v>
      </c>
      <c r="Q137" s="13" t="n">
        <v>361</v>
      </c>
      <c r="R137" s="13" t="n">
        <v>325</v>
      </c>
      <c r="S137" s="13" t="n">
        <v>343</v>
      </c>
      <c r="T137" s="13" t="n">
        <v>423</v>
      </c>
      <c r="U137" s="13" t="n">
        <v>523</v>
      </c>
      <c r="V137" s="13" t="n">
        <v>485</v>
      </c>
      <c r="W137" s="13" t="n">
        <v>465</v>
      </c>
      <c r="X137" s="13" t="n">
        <v>432</v>
      </c>
      <c r="Y137" s="13" t="n">
        <v>463</v>
      </c>
      <c r="Z137" s="13" t="n">
        <v>563</v>
      </c>
      <c r="AA137" s="13" t="n">
        <v>504</v>
      </c>
      <c r="AB137" s="13" t="n">
        <v>530</v>
      </c>
      <c r="AC137" s="13" t="n">
        <v>483</v>
      </c>
      <c r="AD137" s="13" t="n">
        <v>547</v>
      </c>
      <c r="AE137" s="13" t="n">
        <v>580</v>
      </c>
      <c r="AF137" s="13" t="n">
        <v>570</v>
      </c>
      <c r="AG137" s="13" t="n">
        <v>615</v>
      </c>
      <c r="AH137" s="13" t="n">
        <v>515</v>
      </c>
      <c r="AI137" s="13" t="n">
        <v>615</v>
      </c>
      <c r="AJ137" s="13" t="n">
        <v>640</v>
      </c>
      <c r="AK137" s="13" t="n">
        <v>540</v>
      </c>
      <c r="AL137" s="13" t="n">
        <v>516</v>
      </c>
      <c r="AM137" s="13" t="n">
        <v>441</v>
      </c>
      <c r="AN137" s="13" t="n">
        <v>430</v>
      </c>
      <c r="AO137" s="13" t="n">
        <v>380</v>
      </c>
      <c r="AP137" s="13" t="n">
        <v>396</v>
      </c>
      <c r="AQ137" s="13" t="n">
        <v>362</v>
      </c>
      <c r="AR137" s="13" t="n">
        <v>335.5</v>
      </c>
      <c r="AS137" s="13" t="n">
        <v>286.5</v>
      </c>
      <c r="AT137" s="13" t="n">
        <v>294</v>
      </c>
      <c r="AU137" s="13" t="n">
        <v>313.5</v>
      </c>
      <c r="AV137" s="13" t="n">
        <v>266</v>
      </c>
      <c r="AW137" s="13" t="n">
        <v>259.9</v>
      </c>
      <c r="AX137" s="13" t="n">
        <v>254</v>
      </c>
      <c r="AY137" s="13" t="n">
        <v>242.9</v>
      </c>
      <c r="AZ137" s="13" t="n">
        <v>262.3</v>
      </c>
      <c r="BA137" s="13" t="n">
        <v>280.4</v>
      </c>
      <c r="BB137" s="13" t="n">
        <v>285.2</v>
      </c>
      <c r="BC137" s="13" t="n">
        <v>296.9</v>
      </c>
      <c r="BD137" s="13" t="n">
        <v>293</v>
      </c>
      <c r="BE137" s="13" t="n">
        <v>317</v>
      </c>
      <c r="BF137" s="13" t="n">
        <v>296.5</v>
      </c>
      <c r="BG137" s="13" t="n">
        <v>334</v>
      </c>
      <c r="BH137" s="13" t="n">
        <v>285.4</v>
      </c>
      <c r="BI137" s="13" t="n">
        <v>237.9</v>
      </c>
      <c r="BJ137" s="13" t="n">
        <v>276.5</v>
      </c>
      <c r="BK137" s="13" t="n">
        <v>260</v>
      </c>
      <c r="BL137" s="13" t="n">
        <v>330</v>
      </c>
    </row>
    <row r="138" ht="15.95" customHeight="1" s="574">
      <c r="A138" s="64" t="inlineStr">
        <is>
          <t>3103</t>
        </is>
      </c>
      <c r="B138" s="673" t="inlineStr">
        <is>
          <t>ユニチカ</t>
        </is>
      </c>
      <c r="C138" s="676">
        <f>_xll.RssMarket("3103","現在値")</f>
        <v/>
      </c>
      <c r="D138" s="661">
        <f>C138-E138</f>
        <v/>
      </c>
      <c r="E138" s="13" t="n">
        <v>1220</v>
      </c>
      <c r="F138" s="13" t="n">
        <v>1107</v>
      </c>
      <c r="G138" s="13" t="n">
        <v>1236</v>
      </c>
      <c r="H138" s="13" t="n">
        <v>1129</v>
      </c>
      <c r="I138" s="13" t="n">
        <v>1150</v>
      </c>
      <c r="J138" s="13" t="n">
        <v>1133</v>
      </c>
      <c r="K138" s="13" t="n">
        <v>1216</v>
      </c>
      <c r="L138" s="13" t="n">
        <v>1196</v>
      </c>
      <c r="M138" s="13" t="n">
        <v>1227</v>
      </c>
      <c r="N138" s="13" t="n">
        <v>1187</v>
      </c>
      <c r="O138" s="13" t="n">
        <v>1265</v>
      </c>
      <c r="P138" s="13" t="n">
        <v>1223</v>
      </c>
      <c r="Q138" s="13" t="n">
        <v>1312</v>
      </c>
      <c r="R138" s="13" t="n">
        <v>1411</v>
      </c>
      <c r="S138" s="13" t="n">
        <v>1385</v>
      </c>
      <c r="T138" s="13" t="n">
        <v>1440</v>
      </c>
      <c r="U138" s="13" t="n">
        <v>1575</v>
      </c>
      <c r="V138" s="13" t="n">
        <v>1574</v>
      </c>
      <c r="W138" s="13" t="n">
        <v>1274</v>
      </c>
      <c r="X138" s="13" t="n">
        <v>1284</v>
      </c>
      <c r="Y138" s="13" t="n">
        <v>1412</v>
      </c>
      <c r="Z138" s="13" t="n">
        <v>1315</v>
      </c>
      <c r="AA138" s="13" t="n">
        <v>1415</v>
      </c>
      <c r="AB138" s="13" t="n">
        <v>1815</v>
      </c>
      <c r="AC138" s="13" t="n">
        <v>2315</v>
      </c>
      <c r="AD138" s="13" t="n">
        <v>2261</v>
      </c>
      <c r="AE138" s="13" t="n">
        <v>2308</v>
      </c>
      <c r="AF138" s="13" t="n">
        <v>2569</v>
      </c>
      <c r="AG138" s="13" t="n">
        <v>2535</v>
      </c>
      <c r="AH138" s="13" t="n">
        <v>2382</v>
      </c>
      <c r="AI138" s="13" t="n">
        <v>2438</v>
      </c>
      <c r="AJ138" s="13" t="n">
        <v>2234</v>
      </c>
      <c r="AK138" s="13" t="n">
        <v>2482</v>
      </c>
      <c r="AL138" s="13" t="n">
        <v>2565</v>
      </c>
      <c r="AM138" s="13" t="n">
        <v>2851</v>
      </c>
      <c r="AN138" s="13" t="n">
        <v>2835</v>
      </c>
      <c r="AO138" s="13" t="n">
        <v>3045</v>
      </c>
      <c r="AP138" s="13" t="n">
        <v>3745</v>
      </c>
      <c r="AQ138" s="13" t="n">
        <v>3085</v>
      </c>
      <c r="AR138" s="13" t="n">
        <v>2581</v>
      </c>
      <c r="AS138" s="13" t="n">
        <v>2081</v>
      </c>
      <c r="AT138" s="13" t="n">
        <v>2163</v>
      </c>
      <c r="AU138" s="13" t="n">
        <v>1763</v>
      </c>
      <c r="AV138" s="13" t="n">
        <v>1463</v>
      </c>
      <c r="AW138" s="13" t="n">
        <v>1163</v>
      </c>
      <c r="AX138" s="13" t="n">
        <v>1152</v>
      </c>
      <c r="AY138" s="13" t="n">
        <v>1046</v>
      </c>
      <c r="AZ138" s="13" t="n">
        <v>1081</v>
      </c>
      <c r="BA138" s="13" t="n">
        <v>1113</v>
      </c>
      <c r="BB138" s="13" t="n">
        <v>1194</v>
      </c>
      <c r="BC138" s="13" t="n">
        <v>1228</v>
      </c>
      <c r="BD138" s="13" t="n">
        <v>1147</v>
      </c>
      <c r="BE138" s="13" t="n">
        <v>1215</v>
      </c>
      <c r="BF138" s="13" t="n">
        <v>1189</v>
      </c>
      <c r="BG138" s="13" t="n">
        <v>1145</v>
      </c>
      <c r="BH138" s="13" t="n">
        <v>1397</v>
      </c>
      <c r="BI138" s="13" t="n">
        <v>1317</v>
      </c>
      <c r="BJ138" s="13" t="n">
        <v>1327</v>
      </c>
      <c r="BK138" s="13" t="n">
        <v>1490</v>
      </c>
      <c r="BL138" s="13" t="n">
        <v>1549</v>
      </c>
    </row>
    <row r="139" ht="15.95" customHeight="1" s="574">
      <c r="A139" s="64" t="inlineStr">
        <is>
          <t>4422</t>
        </is>
      </c>
      <c r="B139" s="673" t="inlineStr">
        <is>
          <t>ＶＡＬＵＥＮＥＸ</t>
        </is>
      </c>
      <c r="C139" s="676">
        <f>_xll.RssMarket("4422","現在値")</f>
        <v/>
      </c>
      <c r="D139" s="661">
        <f>C139-E139</f>
        <v/>
      </c>
      <c r="E139" s="13" t="n">
        <v>609</v>
      </c>
      <c r="F139" s="13" t="n">
        <v>589</v>
      </c>
      <c r="G139" s="13" t="n">
        <v>632</v>
      </c>
      <c r="H139" s="13" t="n">
        <v>625</v>
      </c>
      <c r="I139" s="13" t="n">
        <v>644</v>
      </c>
      <c r="J139" s="13" t="n">
        <v>778</v>
      </c>
      <c r="K139" s="13" t="n">
        <v>747</v>
      </c>
      <c r="L139" s="13" t="n">
        <v>915</v>
      </c>
      <c r="M139" s="13" t="n">
        <v>765</v>
      </c>
      <c r="N139" s="13" t="n">
        <v>665</v>
      </c>
      <c r="O139" s="13" t="n">
        <v>674</v>
      </c>
      <c r="P139" s="13" t="n">
        <v>683</v>
      </c>
      <c r="Q139" s="13" t="n">
        <v>707</v>
      </c>
      <c r="R139" s="13" t="n">
        <v>692</v>
      </c>
      <c r="S139" s="13" t="n">
        <v>717</v>
      </c>
      <c r="T139" s="13" t="n">
        <v>760</v>
      </c>
      <c r="U139" s="13" t="n">
        <v>834</v>
      </c>
      <c r="V139" s="13" t="n">
        <v>801</v>
      </c>
      <c r="W139" s="13" t="n">
        <v>774</v>
      </c>
      <c r="X139" s="13" t="n">
        <v>765</v>
      </c>
      <c r="Y139" s="13" t="n">
        <v>811</v>
      </c>
      <c r="Z139" s="13" t="n">
        <v>847</v>
      </c>
      <c r="AA139" s="13" t="n">
        <v>846</v>
      </c>
      <c r="AB139" s="13" t="n">
        <v>864</v>
      </c>
      <c r="AC139" s="13" t="n">
        <v>937</v>
      </c>
      <c r="AD139" s="13" t="n">
        <v>1082</v>
      </c>
      <c r="AE139" s="13" t="n">
        <v>932</v>
      </c>
      <c r="AF139" s="13" t="n">
        <v>1020</v>
      </c>
      <c r="AG139" s="13" t="n">
        <v>1025</v>
      </c>
      <c r="AH139" s="13" t="n">
        <v>1014</v>
      </c>
      <c r="AI139" s="13" t="n">
        <v>1056</v>
      </c>
      <c r="AJ139" s="13" t="n">
        <v>1155</v>
      </c>
      <c r="AK139" s="13" t="n">
        <v>1236</v>
      </c>
      <c r="AL139" s="13" t="n">
        <v>1248</v>
      </c>
      <c r="AM139" s="13" t="n">
        <v>1434</v>
      </c>
      <c r="AN139" s="13" t="n">
        <v>1134</v>
      </c>
      <c r="AO139" s="13" t="n">
        <v>1298</v>
      </c>
      <c r="AP139" s="13" t="n">
        <v>1325</v>
      </c>
      <c r="AQ139" s="13" t="n">
        <v>1397</v>
      </c>
      <c r="AR139" s="13" t="n">
        <v>1097</v>
      </c>
      <c r="AS139" s="13" t="n">
        <v>947</v>
      </c>
      <c r="AT139" s="13" t="n">
        <v>1000</v>
      </c>
      <c r="AU139" s="13" t="n">
        <v>1050</v>
      </c>
      <c r="AV139" s="13" t="n">
        <v>900</v>
      </c>
      <c r="AW139" s="13" t="n">
        <v>886</v>
      </c>
      <c r="AX139" s="13" t="n">
        <v>891</v>
      </c>
      <c r="AY139" s="13" t="n">
        <v>741</v>
      </c>
      <c r="AZ139" s="13" t="n">
        <v>641</v>
      </c>
      <c r="BA139" s="13" t="n">
        <v>541</v>
      </c>
      <c r="BB139" s="13" t="n">
        <v>461</v>
      </c>
      <c r="BC139" s="13" t="n">
        <v>470</v>
      </c>
      <c r="BD139" s="13" t="n">
        <v>471</v>
      </c>
      <c r="BE139" s="13" t="n">
        <v>480</v>
      </c>
      <c r="BF139" s="13" t="n">
        <v>486</v>
      </c>
      <c r="BG139" s="13" t="n">
        <v>499</v>
      </c>
      <c r="BH139" s="13" t="n">
        <v>571</v>
      </c>
      <c r="BI139" s="13" t="n">
        <v>522</v>
      </c>
      <c r="BJ139" s="13" t="n">
        <v>442</v>
      </c>
      <c r="BK139" s="13" t="n">
        <v>475</v>
      </c>
      <c r="BL139" s="13" t="n">
        <v>515</v>
      </c>
    </row>
    <row r="140" ht="15.95" customHeight="1" s="574">
      <c r="A140" s="64" t="inlineStr">
        <is>
          <t>6740</t>
        </is>
      </c>
      <c r="B140" s="673" t="inlineStr">
        <is>
          <t>ジャパンディスプレイ</t>
        </is>
      </c>
      <c r="C140" s="676">
        <f>_xll.RssMarket("6740","現在値")</f>
        <v/>
      </c>
      <c r="D140" s="661">
        <f>C140-E140</f>
        <v/>
      </c>
      <c r="E140" s="13" t="n">
        <v>53</v>
      </c>
      <c r="F140" s="13" t="n">
        <v>55</v>
      </c>
      <c r="G140" s="13" t="n">
        <v>51</v>
      </c>
      <c r="H140" s="13" t="n">
        <v>45</v>
      </c>
      <c r="I140" s="13" t="n">
        <v>52</v>
      </c>
      <c r="J140" s="13" t="n">
        <v>54</v>
      </c>
      <c r="K140" s="13" t="n">
        <v>56</v>
      </c>
      <c r="L140" s="13" t="n">
        <v>54</v>
      </c>
      <c r="M140" s="13" t="n">
        <v>55</v>
      </c>
      <c r="N140" s="13" t="n">
        <v>56</v>
      </c>
      <c r="O140" s="13" t="n">
        <v>54</v>
      </c>
      <c r="P140" s="13" t="n">
        <v>57</v>
      </c>
      <c r="Q140" s="13" t="n">
        <v>56</v>
      </c>
      <c r="R140" s="13" t="n">
        <v>55</v>
      </c>
      <c r="S140" s="13" t="n">
        <v>65</v>
      </c>
      <c r="T140" s="13" t="n">
        <v>67</v>
      </c>
      <c r="U140" s="13" t="n">
        <v>63</v>
      </c>
      <c r="V140" s="13" t="n">
        <v>62</v>
      </c>
      <c r="W140" s="13" t="n">
        <v>66</v>
      </c>
      <c r="X140" s="13" t="n">
        <v>70</v>
      </c>
      <c r="Y140" s="13" t="n">
        <v>68</v>
      </c>
      <c r="Z140" s="13" t="n">
        <v>70</v>
      </c>
      <c r="AA140" s="13" t="n">
        <v>71</v>
      </c>
      <c r="AB140" s="13" t="n">
        <v>75</v>
      </c>
      <c r="AC140" s="13" t="n">
        <v>81</v>
      </c>
      <c r="AD140" s="13" t="n">
        <v>82</v>
      </c>
      <c r="AE140" s="13" t="n">
        <v>89</v>
      </c>
      <c r="AF140" s="13" t="n">
        <v>100</v>
      </c>
      <c r="AG140" s="13" t="n">
        <v>94</v>
      </c>
      <c r="AH140" s="13" t="n">
        <v>91</v>
      </c>
      <c r="AI140" s="13" t="n">
        <v>101</v>
      </c>
      <c r="AJ140" s="13" t="n">
        <v>95</v>
      </c>
      <c r="AK140" s="13" t="n">
        <v>103</v>
      </c>
      <c r="AL140" s="13" t="n">
        <v>104</v>
      </c>
      <c r="AM140" s="13" t="n">
        <v>120</v>
      </c>
      <c r="AN140" s="13" t="n">
        <v>110</v>
      </c>
      <c r="AO140" s="13" t="n">
        <v>109</v>
      </c>
      <c r="AP140" s="13" t="n">
        <v>92</v>
      </c>
      <c r="AQ140" s="13" t="n">
        <v>90</v>
      </c>
      <c r="AR140" s="13" t="n">
        <v>82</v>
      </c>
      <c r="AS140" s="13" t="n">
        <v>83</v>
      </c>
      <c r="AT140" s="13" t="n">
        <v>87</v>
      </c>
      <c r="AU140" s="13" t="n">
        <v>87</v>
      </c>
      <c r="AV140" s="13" t="n">
        <v>82</v>
      </c>
      <c r="AW140" s="13" t="n">
        <v>84</v>
      </c>
      <c r="AX140" s="13" t="n">
        <v>92</v>
      </c>
      <c r="AY140" s="13" t="n">
        <v>93</v>
      </c>
      <c r="AZ140" s="13" t="n">
        <v>95</v>
      </c>
      <c r="BA140" s="13" t="n">
        <v>72</v>
      </c>
      <c r="BB140" s="13" t="n">
        <v>81</v>
      </c>
      <c r="BC140" s="13" t="n">
        <v>77</v>
      </c>
      <c r="BD140" s="13" t="n">
        <v>81</v>
      </c>
      <c r="BE140" s="13" t="n">
        <v>71</v>
      </c>
      <c r="BF140" s="13" t="n">
        <v>62</v>
      </c>
      <c r="BG140" s="13" t="n">
        <v>65</v>
      </c>
      <c r="BH140" s="13" t="n">
        <v>95</v>
      </c>
      <c r="BI140" s="13" t="n">
        <v>116</v>
      </c>
      <c r="BJ140" s="13" t="n">
        <v>133</v>
      </c>
      <c r="BK140" s="13" t="n">
        <v>121</v>
      </c>
      <c r="BL140" s="13" t="n">
        <v>91</v>
      </c>
    </row>
    <row r="141" ht="15.95" customHeight="1" s="574">
      <c r="A141" s="64" t="inlineStr">
        <is>
          <t>6613</t>
        </is>
      </c>
      <c r="B141" s="673" t="inlineStr">
        <is>
          <t>ＱＤレーザ</t>
        </is>
      </c>
      <c r="C141" s="676">
        <f>_xll.RssMarket("6613","現在値")</f>
        <v/>
      </c>
      <c r="D141" s="661">
        <f>C141-E141</f>
        <v/>
      </c>
      <c r="E141" s="13" t="n">
        <v>3020</v>
      </c>
      <c r="F141" s="13" t="n">
        <v>2520</v>
      </c>
      <c r="G141" s="13" t="n">
        <v>2377</v>
      </c>
      <c r="H141" s="13" t="n">
        <v>2620</v>
      </c>
      <c r="I141" s="13" t="n">
        <v>2409</v>
      </c>
      <c r="J141" s="13" t="n">
        <v>2372</v>
      </c>
      <c r="K141" s="13" t="n">
        <v>2550</v>
      </c>
      <c r="L141" s="13" t="n">
        <v>2570</v>
      </c>
      <c r="M141" s="13" t="n">
        <v>2450</v>
      </c>
      <c r="N141" s="13" t="n">
        <v>2600</v>
      </c>
      <c r="O141" s="13" t="n">
        <v>2740</v>
      </c>
      <c r="P141" s="13" t="n">
        <v>2423</v>
      </c>
      <c r="Q141" s="13" t="n">
        <v>2424</v>
      </c>
      <c r="R141" s="13" t="n">
        <v>2732</v>
      </c>
      <c r="S141" s="13" t="n">
        <v>2620</v>
      </c>
      <c r="T141" s="13" t="n">
        <v>3190</v>
      </c>
      <c r="U141" s="13" t="n">
        <v>3100</v>
      </c>
      <c r="V141" s="13" t="n">
        <v>2600</v>
      </c>
      <c r="W141" s="13" t="n">
        <v>2645</v>
      </c>
      <c r="X141" s="13" t="n">
        <v>2626</v>
      </c>
      <c r="Y141" s="13" t="n">
        <v>2127</v>
      </c>
      <c r="Z141" s="13" t="n">
        <v>1727</v>
      </c>
      <c r="AA141" s="13" t="n">
        <v>1579</v>
      </c>
      <c r="AB141" s="13" t="n">
        <v>1641</v>
      </c>
      <c r="AC141" s="13" t="n">
        <v>1680</v>
      </c>
      <c r="AD141" s="13" t="n">
        <v>1688</v>
      </c>
      <c r="AE141" s="13" t="n">
        <v>1853</v>
      </c>
      <c r="AF141" s="13" t="n">
        <v>1506</v>
      </c>
      <c r="AG141" s="13" t="n">
        <v>1419</v>
      </c>
      <c r="AH141" s="13" t="n">
        <v>1419</v>
      </c>
      <c r="AI141" s="13" t="n">
        <v>1459</v>
      </c>
      <c r="AJ141" s="13" t="n">
        <v>1533</v>
      </c>
      <c r="AK141" s="13" t="n">
        <v>1465</v>
      </c>
      <c r="AL141" s="13" t="n">
        <v>1544</v>
      </c>
      <c r="AM141" s="13" t="n">
        <v>1526</v>
      </c>
      <c r="AN141" s="13" t="n">
        <v>1609</v>
      </c>
      <c r="AO141" s="13" t="n">
        <v>1585</v>
      </c>
      <c r="AP141" s="13" t="n">
        <v>1285</v>
      </c>
      <c r="AQ141" s="13" t="n">
        <v>1381</v>
      </c>
      <c r="AR141" s="13" t="n">
        <v>1338</v>
      </c>
      <c r="AS141" s="13" t="n">
        <v>1462</v>
      </c>
      <c r="AT141" s="13" t="n">
        <v>1221</v>
      </c>
      <c r="AU141" s="13" t="n">
        <v>1086</v>
      </c>
      <c r="AV141" s="13" t="n">
        <v>1033</v>
      </c>
      <c r="AW141" s="13" t="n">
        <v>1115</v>
      </c>
      <c r="AX141" s="13" t="n">
        <v>1035</v>
      </c>
      <c r="AY141" s="13" t="n">
        <v>1048</v>
      </c>
      <c r="AZ141" s="13" t="n">
        <v>1038</v>
      </c>
      <c r="BA141" s="13" t="n">
        <v>1081</v>
      </c>
      <c r="BB141" s="13" t="n">
        <v>1215</v>
      </c>
      <c r="BC141" s="13" t="n">
        <v>1216</v>
      </c>
      <c r="BD141" s="13" t="n">
        <v>1295</v>
      </c>
      <c r="BE141" s="13" t="n">
        <v>1171</v>
      </c>
      <c r="BF141" s="13" t="n">
        <v>1156</v>
      </c>
      <c r="BG141" s="13" t="n">
        <v>1382</v>
      </c>
      <c r="BH141" s="13" t="n">
        <v>1393</v>
      </c>
      <c r="BI141" s="13" t="n">
        <v>1300</v>
      </c>
      <c r="BJ141" s="13" t="n">
        <v>1546</v>
      </c>
      <c r="BK141" s="13" t="n">
        <v>1721</v>
      </c>
      <c r="BL141" s="13" t="n">
        <v>1450</v>
      </c>
    </row>
    <row r="142" ht="15.95" customHeight="1" s="574">
      <c r="A142" s="64" t="inlineStr">
        <is>
          <t>4568</t>
        </is>
      </c>
      <c r="B142" s="673">
        <f>銘柄管理!C142</f>
        <v/>
      </c>
      <c r="C142" s="676">
        <f>_xll.RssMarket("4568","現在値")</f>
        <v/>
      </c>
      <c r="D142" s="661" t="n"/>
      <c r="E142" s="13" t="n">
        <v>2534.5</v>
      </c>
      <c r="F142" s="13" t="n">
        <v>2541.5</v>
      </c>
      <c r="G142" s="13" t="n">
        <v>2595.5</v>
      </c>
      <c r="H142" s="13" t="n">
        <v>2519.5</v>
      </c>
      <c r="I142" s="13" t="n">
        <v>2500.5</v>
      </c>
      <c r="J142" s="13" t="n">
        <v>2495</v>
      </c>
      <c r="K142" s="13" t="n">
        <v>2487.5</v>
      </c>
      <c r="L142" s="13" t="n">
        <v>2528.5</v>
      </c>
      <c r="M142" s="13" t="n">
        <v>2490</v>
      </c>
      <c r="N142" s="13" t="n">
        <v>2392</v>
      </c>
      <c r="O142" s="13" t="n">
        <v>2517</v>
      </c>
      <c r="P142" s="13" t="n">
        <v>2582.5</v>
      </c>
      <c r="Q142" s="13" t="n">
        <v>2619</v>
      </c>
      <c r="R142" s="13" t="n">
        <v>2700.5</v>
      </c>
      <c r="S142" s="13" t="n">
        <v>2662.5</v>
      </c>
      <c r="T142" s="13" t="n">
        <v>2682</v>
      </c>
      <c r="U142" s="13" t="n">
        <v>2700.5</v>
      </c>
      <c r="V142" s="13" t="n">
        <v>2649.5</v>
      </c>
      <c r="W142" s="13" t="n">
        <v>2664.5</v>
      </c>
      <c r="X142" s="13" t="n">
        <v>2605.5</v>
      </c>
      <c r="Y142" s="13" t="n">
        <v>2636</v>
      </c>
      <c r="Z142" s="13" t="n">
        <v>2620.5</v>
      </c>
      <c r="AA142" s="13" t="n">
        <v>2574</v>
      </c>
      <c r="AB142" s="13" t="n">
        <v>2582</v>
      </c>
      <c r="AC142" s="13" t="n">
        <v>2725.5</v>
      </c>
      <c r="AD142" s="13" t="n">
        <v>2738</v>
      </c>
      <c r="AE142" s="13" t="n">
        <v>2649</v>
      </c>
      <c r="AF142" s="13" t="n">
        <v>2596</v>
      </c>
      <c r="AG142" s="13" t="n">
        <v>2600</v>
      </c>
      <c r="AH142" s="13" t="n">
        <v>2616.5</v>
      </c>
      <c r="AI142" s="13" t="n">
        <v>2588.5</v>
      </c>
      <c r="AJ142" s="13" t="n">
        <v>2650.5</v>
      </c>
      <c r="AK142" s="13" t="n">
        <v>2602.5</v>
      </c>
      <c r="AL142" s="13" t="n">
        <v>2499</v>
      </c>
      <c r="AM142" s="13" t="n">
        <v>2790</v>
      </c>
      <c r="AN142" s="13" t="n">
        <v>2843.5</v>
      </c>
      <c r="AO142" s="13" t="n">
        <v>2915</v>
      </c>
      <c r="AP142" s="13" t="n">
        <v>3000</v>
      </c>
      <c r="AQ142" s="13" t="n">
        <v>2939</v>
      </c>
      <c r="AR142" s="13" t="n">
        <v>2889</v>
      </c>
      <c r="AS142" s="13" t="n">
        <v>2832</v>
      </c>
      <c r="AT142" s="13" t="n">
        <v>2734</v>
      </c>
      <c r="AU142" s="13" t="n">
        <v>2731.5</v>
      </c>
      <c r="AV142" s="13" t="n">
        <v>2772.5</v>
      </c>
      <c r="AW142" s="13" t="n">
        <v>2806.5</v>
      </c>
      <c r="AX142" s="13" t="n">
        <v>2832.5</v>
      </c>
      <c r="AY142" s="13" t="n">
        <v>2873</v>
      </c>
      <c r="AZ142" s="13" t="n">
        <v>2858</v>
      </c>
      <c r="BA142" s="13" t="n">
        <v>2863.5</v>
      </c>
      <c r="BB142" s="13" t="n">
        <v>2888.5</v>
      </c>
      <c r="BC142" s="13" t="n">
        <v>2887</v>
      </c>
      <c r="BD142" s="13" t="n">
        <v>2766</v>
      </c>
      <c r="BE142" s="13" t="n">
        <v>2816.5</v>
      </c>
      <c r="BF142" s="13" t="n">
        <v>2930</v>
      </c>
      <c r="BG142" s="13" t="n">
        <v>2874.5</v>
      </c>
      <c r="BH142" s="13" t="n">
        <v>2974</v>
      </c>
      <c r="BI142" s="13" t="n">
        <v>3010</v>
      </c>
      <c r="BJ142" s="13" t="n">
        <v>2961</v>
      </c>
      <c r="BK142" s="13" t="n">
        <v>2903</v>
      </c>
      <c r="BL142" s="13" t="n">
        <v>2977</v>
      </c>
    </row>
    <row r="143" ht="15.95" customHeight="1" s="574">
      <c r="A143" s="64" t="inlineStr">
        <is>
          <t>6522</t>
        </is>
      </c>
      <c r="B143" s="673" t="inlineStr">
        <is>
          <t>アスタリスク</t>
        </is>
      </c>
      <c r="C143" s="676">
        <f>_xll.RssMarket("6522","現在値")</f>
        <v/>
      </c>
      <c r="D143" s="661">
        <f>C143-E143</f>
        <v/>
      </c>
      <c r="E143" s="13" t="n">
        <v>1161</v>
      </c>
      <c r="F143" s="13" t="n">
        <v>1009</v>
      </c>
      <c r="G143" s="13" t="n">
        <v>731</v>
      </c>
      <c r="H143" s="13" t="n">
        <v>720</v>
      </c>
      <c r="I143" s="13" t="n">
        <v>710</v>
      </c>
      <c r="J143" s="13" t="n">
        <v>743</v>
      </c>
      <c r="K143" s="13" t="n">
        <v>748</v>
      </c>
      <c r="L143" s="13" t="n">
        <v>747</v>
      </c>
      <c r="M143" s="13" t="n">
        <v>753</v>
      </c>
      <c r="N143" s="13" t="n">
        <v>786</v>
      </c>
      <c r="O143" s="13" t="n">
        <v>812</v>
      </c>
      <c r="P143" s="13" t="n">
        <v>796</v>
      </c>
      <c r="Q143" s="13" t="n">
        <v>945</v>
      </c>
      <c r="R143" s="13" t="n">
        <v>795</v>
      </c>
      <c r="S143" s="13" t="n">
        <v>788</v>
      </c>
      <c r="T143" s="13" t="n">
        <v>810</v>
      </c>
      <c r="U143" s="13" t="n">
        <v>943</v>
      </c>
      <c r="V143" s="13" t="n">
        <v>982</v>
      </c>
      <c r="W143" s="13" t="n">
        <v>920</v>
      </c>
      <c r="X143" s="13" t="n">
        <v>958</v>
      </c>
      <c r="Y143" s="13" t="n">
        <v>1002</v>
      </c>
      <c r="Z143" s="13" t="n">
        <v>1012</v>
      </c>
      <c r="AA143" s="13" t="n">
        <v>1038</v>
      </c>
      <c r="AB143" s="13" t="n">
        <v>1019</v>
      </c>
      <c r="AC143" s="13" t="n">
        <v>1067</v>
      </c>
      <c r="AD143" s="13" t="n">
        <v>1180</v>
      </c>
      <c r="AE143" s="13" t="n">
        <v>1263</v>
      </c>
      <c r="AF143" s="13" t="n">
        <v>1216</v>
      </c>
      <c r="AG143" s="13" t="n">
        <v>1182</v>
      </c>
      <c r="AH143" s="13" t="n">
        <v>1141</v>
      </c>
      <c r="AI143" s="13" t="n">
        <v>1173</v>
      </c>
      <c r="AJ143" s="13" t="n">
        <v>1251</v>
      </c>
      <c r="AK143" s="13" t="n">
        <v>1199</v>
      </c>
      <c r="AL143" s="13" t="n">
        <v>1235</v>
      </c>
      <c r="AM143" s="13" t="n">
        <v>1351</v>
      </c>
      <c r="AN143" s="13" t="n">
        <v>1336</v>
      </c>
      <c r="AO143" s="13" t="n">
        <v>1036</v>
      </c>
      <c r="AP143" s="13" t="n">
        <v>1068</v>
      </c>
      <c r="AQ143" s="13" t="n">
        <v>1086</v>
      </c>
      <c r="AR143" s="13" t="n">
        <v>936</v>
      </c>
      <c r="AS143" s="13" t="n">
        <v>1013</v>
      </c>
      <c r="AT143" s="13" t="n">
        <v>1024</v>
      </c>
      <c r="AU143" s="13" t="n">
        <v>1020</v>
      </c>
      <c r="AV143" s="13" t="n">
        <v>975</v>
      </c>
      <c r="AW143" s="13" t="n">
        <v>1075</v>
      </c>
      <c r="AX143" s="13" t="n">
        <v>1058</v>
      </c>
      <c r="AY143" s="13" t="n">
        <v>1052</v>
      </c>
      <c r="AZ143" s="13" t="n">
        <v>1150</v>
      </c>
      <c r="BA143" s="13" t="n">
        <v>1094</v>
      </c>
      <c r="BB143" s="13" t="n">
        <v>1084</v>
      </c>
      <c r="BC143" s="13" t="n">
        <v>1163</v>
      </c>
      <c r="BD143" s="13" t="n">
        <v>1463</v>
      </c>
      <c r="BE143" s="13" t="n">
        <v>1500</v>
      </c>
      <c r="BF143" s="13" t="n">
        <v>1441</v>
      </c>
      <c r="BG143" s="13" t="n">
        <v>1300</v>
      </c>
      <c r="BH143" s="13" t="n">
        <v>1000</v>
      </c>
      <c r="BI143" s="13" t="n">
        <v>1004</v>
      </c>
      <c r="BJ143" s="13" t="n">
        <v>854</v>
      </c>
      <c r="BK143" s="13" t="n">
        <v>557</v>
      </c>
      <c r="BL143" s="13" t="n">
        <v>477</v>
      </c>
    </row>
    <row r="144" ht="15.95" customHeight="1" s="574">
      <c r="A144" s="64" t="inlineStr">
        <is>
          <t>6777</t>
        </is>
      </c>
      <c r="B144" s="673" t="inlineStr">
        <is>
          <t>ＳＡＮＴＥＣＨＯＬＤＩＮＧＳ</t>
        </is>
      </c>
      <c r="C144" s="676">
        <f>_xll.RssMarket("6777","現在値")</f>
        <v/>
      </c>
      <c r="D144" s="661">
        <f>C144-E144</f>
        <v/>
      </c>
      <c r="E144" s="13" t="n">
        <v>30150</v>
      </c>
      <c r="F144" s="13" t="n">
        <v>28910</v>
      </c>
      <c r="G144" s="13" t="n">
        <v>27070</v>
      </c>
      <c r="H144" s="13" t="n">
        <v>23220</v>
      </c>
      <c r="I144" s="13" t="n">
        <v>22800</v>
      </c>
      <c r="J144" s="13" t="n">
        <v>23640</v>
      </c>
      <c r="K144" s="13" t="n">
        <v>23200</v>
      </c>
      <c r="L144" s="13" t="n">
        <v>25170</v>
      </c>
      <c r="M144" s="13" t="n">
        <v>25730</v>
      </c>
      <c r="N144" s="13" t="n">
        <v>26130</v>
      </c>
      <c r="O144" s="13" t="n">
        <v>25450</v>
      </c>
      <c r="P144" s="13" t="n">
        <v>25380</v>
      </c>
      <c r="Q144" s="13" t="n">
        <v>24980</v>
      </c>
      <c r="R144" s="13" t="n">
        <v>24670</v>
      </c>
      <c r="S144" s="13" t="n">
        <v>25060</v>
      </c>
      <c r="T144" s="13" t="n">
        <v>28440</v>
      </c>
      <c r="U144" s="13" t="n">
        <v>27250</v>
      </c>
      <c r="V144" s="13" t="n">
        <v>26020</v>
      </c>
      <c r="W144" s="13" t="n">
        <v>26860</v>
      </c>
      <c r="X144" s="13" t="n">
        <v>27650</v>
      </c>
      <c r="Y144" s="13" t="n">
        <v>32300</v>
      </c>
      <c r="Z144" s="13" t="n">
        <v>29750</v>
      </c>
      <c r="AA144" s="13" t="n">
        <v>31950</v>
      </c>
      <c r="AB144" s="13" t="n">
        <v>33000</v>
      </c>
      <c r="AC144" s="13" t="n">
        <v>31000</v>
      </c>
      <c r="AD144" s="13" t="n">
        <v>27230</v>
      </c>
      <c r="AE144" s="13" t="n">
        <v>27720</v>
      </c>
      <c r="AF144" s="13" t="n">
        <v>28230</v>
      </c>
      <c r="AG144" s="13" t="n">
        <v>27830</v>
      </c>
      <c r="AH144" s="13" t="n">
        <v>27940</v>
      </c>
      <c r="AI144" s="13" t="n">
        <v>28580</v>
      </c>
      <c r="AJ144" s="13" t="n">
        <v>28680</v>
      </c>
      <c r="AK144" s="13" t="n">
        <v>28700</v>
      </c>
      <c r="AL144" s="13" t="n">
        <v>30950</v>
      </c>
      <c r="AM144" s="13" t="n">
        <v>29450</v>
      </c>
      <c r="AN144" s="13" t="n">
        <v>29770</v>
      </c>
      <c r="AO144" s="13" t="n">
        <v>29280</v>
      </c>
      <c r="AP144" s="13" t="n">
        <v>26530</v>
      </c>
      <c r="AQ144" s="13" t="n">
        <v>24420</v>
      </c>
      <c r="AR144" s="13" t="n">
        <v>24630</v>
      </c>
      <c r="AS144" s="13" t="n">
        <v>24760</v>
      </c>
      <c r="AT144" s="13" t="n">
        <v>23730</v>
      </c>
      <c r="AU144" s="13" t="n">
        <v>21980</v>
      </c>
      <c r="AV144" s="13" t="n">
        <v>20830</v>
      </c>
      <c r="AW144" s="13" t="n">
        <v>21330</v>
      </c>
      <c r="AX144" s="13" t="n">
        <v>19350</v>
      </c>
      <c r="AY144" s="13" t="n">
        <v>19640</v>
      </c>
      <c r="AZ144" s="13" t="n">
        <v>19010</v>
      </c>
      <c r="BA144" s="13" t="n">
        <v>17790</v>
      </c>
      <c r="BB144" s="13" t="n">
        <v>18050</v>
      </c>
      <c r="BC144" s="13" t="n">
        <v>16440</v>
      </c>
      <c r="BD144" s="13" t="n">
        <v>17480</v>
      </c>
      <c r="BE144" s="13" t="n">
        <v>18500</v>
      </c>
      <c r="BF144" s="13" t="n">
        <v>19110</v>
      </c>
      <c r="BG144" s="13" t="n">
        <v>19690</v>
      </c>
      <c r="BH144" s="13" t="n">
        <v>18370</v>
      </c>
      <c r="BI144" s="13" t="n">
        <v>18420</v>
      </c>
      <c r="BJ144" s="13" t="n">
        <v>20060</v>
      </c>
      <c r="BK144" s="13" t="n">
        <v>20130</v>
      </c>
      <c r="BL144" s="13" t="n">
        <v>20470</v>
      </c>
    </row>
    <row r="145" ht="15.95" customHeight="1" s="574">
      <c r="A145" s="64" t="inlineStr">
        <is>
          <t>6787</t>
        </is>
      </c>
      <c r="B145" s="673" t="inlineStr">
        <is>
          <t>メイコー</t>
        </is>
      </c>
      <c r="C145" s="676">
        <f>_xll.RssMarket("6787","現在値")</f>
        <v/>
      </c>
      <c r="D145" s="661">
        <f>C145-E145</f>
        <v/>
      </c>
      <c r="E145" s="13" t="n">
        <v>37050</v>
      </c>
      <c r="F145" s="13" t="n">
        <v>39900</v>
      </c>
      <c r="G145" s="13" t="n">
        <v>35750</v>
      </c>
      <c r="H145" s="13" t="n">
        <v>34850</v>
      </c>
      <c r="I145" s="13" t="n">
        <v>30850</v>
      </c>
      <c r="J145" s="13" t="n">
        <v>29180</v>
      </c>
      <c r="K145" s="13" t="n">
        <v>30900</v>
      </c>
      <c r="L145" s="13" t="n">
        <v>33900</v>
      </c>
      <c r="M145" s="13" t="n">
        <v>35600</v>
      </c>
      <c r="N145" s="13" t="n">
        <v>37300</v>
      </c>
      <c r="O145" s="13" t="n">
        <v>37100</v>
      </c>
      <c r="P145" s="13" t="n">
        <v>39200</v>
      </c>
      <c r="Q145" s="13" t="n">
        <v>38550</v>
      </c>
      <c r="R145" s="13" t="n">
        <v>38600</v>
      </c>
      <c r="S145" s="13" t="n">
        <v>37600</v>
      </c>
      <c r="T145" s="13" t="n">
        <v>37900</v>
      </c>
      <c r="U145" s="13" t="n">
        <v>42750</v>
      </c>
      <c r="V145" s="13" t="n">
        <v>43450</v>
      </c>
      <c r="W145" s="13" t="n">
        <v>40050</v>
      </c>
      <c r="X145" s="13" t="n">
        <v>35400</v>
      </c>
      <c r="Y145" s="13" t="n">
        <v>36850</v>
      </c>
      <c r="Z145" s="13" t="n">
        <v>39800</v>
      </c>
      <c r="AA145" s="13" t="n">
        <v>36200</v>
      </c>
      <c r="AB145" s="13" t="n">
        <v>38650</v>
      </c>
      <c r="AC145" s="13" t="n">
        <v>31650</v>
      </c>
      <c r="AD145" s="13" t="n">
        <v>30750</v>
      </c>
      <c r="AE145" s="13" t="n">
        <v>31500</v>
      </c>
      <c r="AF145" s="13" t="n">
        <v>33500</v>
      </c>
      <c r="AG145" s="13" t="n">
        <v>31200</v>
      </c>
      <c r="AH145" s="13" t="n">
        <v>29740</v>
      </c>
      <c r="AI145" s="13" t="n">
        <v>31650</v>
      </c>
      <c r="AJ145" s="13" t="n">
        <v>32000</v>
      </c>
      <c r="AK145" s="13" t="n">
        <v>30800</v>
      </c>
      <c r="AL145" s="13" t="n">
        <v>29440</v>
      </c>
      <c r="AM145" s="13" t="n">
        <v>28170</v>
      </c>
      <c r="AN145" s="13" t="n">
        <v>29330</v>
      </c>
      <c r="AO145" s="13" t="n">
        <v>27830</v>
      </c>
      <c r="AP145" s="13" t="n">
        <v>27340</v>
      </c>
      <c r="AQ145" s="13" t="n">
        <v>28650</v>
      </c>
      <c r="AR145" s="13" t="n">
        <v>29730</v>
      </c>
      <c r="AS145" s="13" t="n">
        <v>28240</v>
      </c>
      <c r="AT145" s="13" t="n">
        <v>29370</v>
      </c>
      <c r="AU145" s="13" t="n">
        <v>26150</v>
      </c>
      <c r="AV145" s="13" t="n">
        <v>26460</v>
      </c>
      <c r="AW145" s="13" t="n">
        <v>27020</v>
      </c>
      <c r="AX145" s="13" t="n">
        <v>26160</v>
      </c>
      <c r="AY145" s="13" t="n">
        <v>24730</v>
      </c>
      <c r="AZ145" s="13" t="n">
        <v>25680</v>
      </c>
      <c r="BA145" s="13" t="n">
        <v>26670</v>
      </c>
      <c r="BB145" s="13" t="n">
        <v>26690</v>
      </c>
      <c r="BC145" s="13" t="n">
        <v>28890</v>
      </c>
      <c r="BD145" s="13" t="n">
        <v>24140</v>
      </c>
      <c r="BE145" s="13" t="n">
        <v>27420</v>
      </c>
      <c r="BF145" s="13" t="n">
        <v>28590</v>
      </c>
      <c r="BG145" s="13" t="n">
        <v>28800</v>
      </c>
      <c r="BH145" s="13" t="n">
        <v>28470</v>
      </c>
      <c r="BI145" s="13" t="n">
        <v>25720</v>
      </c>
      <c r="BJ145" s="13" t="n">
        <v>25860</v>
      </c>
      <c r="BK145" s="13" t="n">
        <v>25210</v>
      </c>
      <c r="BL145" s="13" t="n">
        <v>26470</v>
      </c>
    </row>
    <row r="146" ht="15.95" customHeight="1" s="574">
      <c r="A146" s="64" t="inlineStr">
        <is>
          <t>4888</t>
        </is>
      </c>
      <c r="B146" s="673" t="inlineStr">
        <is>
          <t>ステラファーマ</t>
        </is>
      </c>
      <c r="C146" s="676">
        <f>_xll.RssMarket("4888","現在値")</f>
        <v/>
      </c>
      <c r="D146" s="661">
        <f>C146-E146</f>
        <v/>
      </c>
      <c r="E146" s="13" t="n">
        <v>336</v>
      </c>
      <c r="F146" s="13" t="n">
        <v>352</v>
      </c>
      <c r="G146" s="13" t="n">
        <v>350</v>
      </c>
      <c r="H146" s="13" t="n">
        <v>332</v>
      </c>
      <c r="I146" s="13" t="n">
        <v>333</v>
      </c>
      <c r="J146" s="13" t="n">
        <v>318</v>
      </c>
      <c r="K146" s="13" t="n">
        <v>305</v>
      </c>
      <c r="L146" s="13" t="n">
        <v>300</v>
      </c>
      <c r="M146" s="13" t="n">
        <v>344</v>
      </c>
      <c r="N146" s="13" t="n">
        <v>343</v>
      </c>
      <c r="O146" s="13" t="n">
        <v>349</v>
      </c>
      <c r="P146" s="13" t="n">
        <v>332</v>
      </c>
      <c r="Q146" s="13" t="n">
        <v>339</v>
      </c>
      <c r="R146" s="13" t="n">
        <v>357</v>
      </c>
      <c r="S146" s="13" t="n">
        <v>388</v>
      </c>
      <c r="T146" s="13" t="n">
        <v>392</v>
      </c>
      <c r="U146" s="13" t="n">
        <v>444</v>
      </c>
      <c r="V146" s="13" t="n">
        <v>445</v>
      </c>
      <c r="W146" s="13" t="n">
        <v>441</v>
      </c>
      <c r="X146" s="13" t="n">
        <v>412</v>
      </c>
      <c r="Y146" s="13" t="n">
        <v>432</v>
      </c>
      <c r="Z146" s="13" t="n">
        <v>433</v>
      </c>
      <c r="AA146" s="13" t="n">
        <v>413</v>
      </c>
      <c r="AB146" s="13" t="n">
        <v>411</v>
      </c>
      <c r="AC146" s="13" t="n">
        <v>479</v>
      </c>
      <c r="AD146" s="13" t="n">
        <v>469</v>
      </c>
      <c r="AE146" s="13" t="n">
        <v>487</v>
      </c>
      <c r="AF146" s="13" t="n">
        <v>530</v>
      </c>
      <c r="AG146" s="13" t="n">
        <v>532</v>
      </c>
      <c r="AH146" s="13" t="n">
        <v>525</v>
      </c>
      <c r="AI146" s="13" t="n">
        <v>514</v>
      </c>
      <c r="AJ146" s="13" t="n">
        <v>519</v>
      </c>
      <c r="AK146" s="13" t="n">
        <v>540</v>
      </c>
      <c r="AL146" s="13" t="n">
        <v>543</v>
      </c>
      <c r="AM146" s="13" t="n">
        <v>543</v>
      </c>
      <c r="AN146" s="13" t="n">
        <v>565</v>
      </c>
      <c r="AO146" s="13" t="n">
        <v>626</v>
      </c>
      <c r="AP146" s="13" t="n">
        <v>716</v>
      </c>
      <c r="AQ146" s="13" t="n">
        <v>713</v>
      </c>
      <c r="AR146" s="13" t="n">
        <v>750</v>
      </c>
      <c r="AS146" s="13" t="n">
        <v>650</v>
      </c>
      <c r="AT146" s="13" t="n">
        <v>711</v>
      </c>
      <c r="AU146" s="13" t="n">
        <v>717</v>
      </c>
      <c r="AV146" s="13" t="n">
        <v>720</v>
      </c>
      <c r="AW146" s="13" t="n">
        <v>709</v>
      </c>
      <c r="AX146" s="13" t="n">
        <v>690</v>
      </c>
      <c r="AY146" s="13" t="n">
        <v>643</v>
      </c>
      <c r="AZ146" s="13" t="n">
        <v>580</v>
      </c>
      <c r="BA146" s="13" t="n">
        <v>587</v>
      </c>
      <c r="BB146" s="13" t="n">
        <v>672</v>
      </c>
      <c r="BC146" s="13" t="n">
        <v>705</v>
      </c>
      <c r="BD146" s="13" t="n">
        <v>759</v>
      </c>
      <c r="BE146" s="13" t="n">
        <v>756</v>
      </c>
      <c r="BF146" s="13" t="n">
        <v>881</v>
      </c>
      <c r="BG146" s="13" t="n">
        <v>778</v>
      </c>
      <c r="BH146" s="13" t="n">
        <v>840</v>
      </c>
      <c r="BI146" s="13" t="n">
        <v>855</v>
      </c>
      <c r="BJ146" s="13" t="n">
        <v>705</v>
      </c>
      <c r="BK146" s="13" t="n">
        <v>605</v>
      </c>
      <c r="BL146" s="13" t="n">
        <v>560</v>
      </c>
    </row>
    <row r="147" ht="15.95" customHeight="1" s="574">
      <c r="A147" s="64" t="inlineStr">
        <is>
          <t>6387</t>
        </is>
      </c>
      <c r="B147" s="673" t="inlineStr">
        <is>
          <t>サムコ</t>
        </is>
      </c>
      <c r="C147" s="676">
        <f>_xll.RssMarket("6387","現在値")</f>
        <v/>
      </c>
      <c r="D147" s="661">
        <f>C147-E147</f>
        <v/>
      </c>
      <c r="E147" s="13" t="n">
        <v>15590</v>
      </c>
      <c r="F147" s="13" t="n">
        <v>14580</v>
      </c>
      <c r="G147" s="13" t="n">
        <v>16190</v>
      </c>
      <c r="H147" s="13" t="n">
        <v>16220</v>
      </c>
      <c r="I147" s="13" t="n">
        <v>12300</v>
      </c>
      <c r="J147" s="13" t="n">
        <v>11190</v>
      </c>
      <c r="K147" s="13" t="n">
        <v>11760</v>
      </c>
      <c r="L147" s="13" t="n">
        <v>12680</v>
      </c>
      <c r="M147" s="13" t="n">
        <v>12880</v>
      </c>
      <c r="N147" s="13" t="n">
        <v>12380</v>
      </c>
      <c r="O147" s="13" t="n">
        <v>12050</v>
      </c>
      <c r="P147" s="13" t="n">
        <v>11050</v>
      </c>
      <c r="Q147" s="13" t="n">
        <v>10080</v>
      </c>
      <c r="R147" s="13" t="n">
        <v>10290</v>
      </c>
      <c r="S147" s="13" t="n">
        <v>10490</v>
      </c>
      <c r="T147" s="13" t="n">
        <v>11640</v>
      </c>
      <c r="U147" s="13" t="n">
        <v>11890</v>
      </c>
      <c r="V147" s="13" t="n">
        <v>10820</v>
      </c>
      <c r="W147" s="13" t="n">
        <v>10900</v>
      </c>
      <c r="X147" s="13" t="n">
        <v>11040</v>
      </c>
      <c r="Y147" s="13" t="n">
        <v>12120</v>
      </c>
      <c r="Z147" s="13" t="n">
        <v>12030</v>
      </c>
      <c r="AA147" s="13" t="n">
        <v>13200</v>
      </c>
      <c r="AB147" s="13" t="n">
        <v>13170</v>
      </c>
      <c r="AC147" s="13" t="n">
        <v>12690</v>
      </c>
      <c r="AD147" s="13" t="n">
        <v>12870</v>
      </c>
      <c r="AE147" s="13" t="n">
        <v>13410</v>
      </c>
      <c r="AF147" s="13" t="n">
        <v>14370</v>
      </c>
      <c r="AG147" s="13" t="n">
        <v>11470</v>
      </c>
      <c r="AH147" s="13" t="n">
        <v>11560</v>
      </c>
      <c r="AI147" s="13" t="n">
        <v>11250</v>
      </c>
      <c r="AJ147" s="13" t="n">
        <v>11100</v>
      </c>
      <c r="AK147" s="13" t="n">
        <v>10860</v>
      </c>
      <c r="AL147" s="13" t="n">
        <v>11040</v>
      </c>
      <c r="AM147" s="13" t="n">
        <v>10350</v>
      </c>
      <c r="AN147" s="13" t="n">
        <v>9520</v>
      </c>
      <c r="AO147" s="13" t="n">
        <v>9550</v>
      </c>
      <c r="AP147" s="13" t="n">
        <v>9640</v>
      </c>
      <c r="AQ147" s="13" t="n">
        <v>10110</v>
      </c>
      <c r="AR147" s="13" t="n">
        <v>9730</v>
      </c>
      <c r="AS147" s="13" t="n">
        <v>10190</v>
      </c>
      <c r="AT147" s="13" t="n">
        <v>9780</v>
      </c>
      <c r="AU147" s="13" t="n">
        <v>9220</v>
      </c>
      <c r="AV147" s="13" t="n">
        <v>9290</v>
      </c>
      <c r="AW147" s="13" t="n">
        <v>9200</v>
      </c>
      <c r="AX147" s="13" t="n">
        <v>8400</v>
      </c>
      <c r="AY147" s="13" t="n">
        <v>8430</v>
      </c>
      <c r="AZ147" s="13" t="n">
        <v>8270</v>
      </c>
      <c r="BA147" s="13" t="n">
        <v>8170</v>
      </c>
      <c r="BB147" s="13" t="n">
        <v>8950</v>
      </c>
      <c r="BC147" s="13" t="n">
        <v>8150</v>
      </c>
      <c r="BD147" s="13" t="n">
        <v>8090</v>
      </c>
      <c r="BE147" s="13" t="n">
        <v>8500</v>
      </c>
      <c r="BF147" s="13" t="n">
        <v>8620</v>
      </c>
      <c r="BG147" s="13" t="n">
        <v>8250</v>
      </c>
      <c r="BH147" s="13" t="n">
        <v>8050</v>
      </c>
      <c r="BI147" s="13" t="n">
        <v>7200</v>
      </c>
      <c r="BJ147" s="13" t="n">
        <v>7690</v>
      </c>
      <c r="BK147" s="13" t="n">
        <v>7540</v>
      </c>
      <c r="BL147" s="13" t="n">
        <v>7210</v>
      </c>
    </row>
    <row r="148" ht="15.95" customHeight="1" s="574">
      <c r="A148" s="64" t="inlineStr">
        <is>
          <t>6838</t>
        </is>
      </c>
      <c r="B148" s="673" t="inlineStr">
        <is>
          <t>多摩川ホールディングス</t>
        </is>
      </c>
      <c r="C148" s="676">
        <f>_xll.RssMarket("6838","現在値")</f>
        <v/>
      </c>
      <c r="D148" s="661">
        <f>C148-E148</f>
        <v/>
      </c>
      <c r="E148" s="13" t="n">
        <v>2026</v>
      </c>
      <c r="F148" s="13" t="n">
        <v>2048</v>
      </c>
      <c r="G148" s="13" t="n">
        <v>2153</v>
      </c>
      <c r="H148" s="13" t="n">
        <v>2280</v>
      </c>
      <c r="I148" s="13" t="n">
        <v>1795</v>
      </c>
      <c r="J148" s="13" t="n">
        <v>1750</v>
      </c>
      <c r="K148" s="13" t="n">
        <v>1836</v>
      </c>
      <c r="L148" s="13" t="n">
        <v>2135</v>
      </c>
      <c r="M148" s="13" t="n">
        <v>2389</v>
      </c>
      <c r="N148" s="13" t="n">
        <v>2446</v>
      </c>
      <c r="O148" s="13" t="n">
        <v>2407</v>
      </c>
      <c r="P148" s="13" t="n">
        <v>2283</v>
      </c>
      <c r="Q148" s="13" t="n">
        <v>2286</v>
      </c>
      <c r="R148" s="13" t="n">
        <v>2087</v>
      </c>
      <c r="S148" s="13" t="n">
        <v>2210</v>
      </c>
      <c r="T148" s="13" t="n">
        <v>2224</v>
      </c>
      <c r="U148" s="13" t="n">
        <v>2194</v>
      </c>
      <c r="V148" s="13" t="n">
        <v>2083</v>
      </c>
      <c r="W148" s="13" t="n">
        <v>1957</v>
      </c>
      <c r="X148" s="13" t="n">
        <v>1918</v>
      </c>
      <c r="Y148" s="13" t="n">
        <v>2024</v>
      </c>
      <c r="Z148" s="13" t="n">
        <v>2182</v>
      </c>
      <c r="AA148" s="13" t="n">
        <v>2000</v>
      </c>
      <c r="AB148" s="13" t="n">
        <v>1910</v>
      </c>
      <c r="AC148" s="13" t="n">
        <v>1935</v>
      </c>
      <c r="AD148" s="13" t="n">
        <v>1973</v>
      </c>
      <c r="AE148" s="13" t="n">
        <v>2172</v>
      </c>
      <c r="AF148" s="13" t="n">
        <v>1930</v>
      </c>
      <c r="AG148" s="13" t="n">
        <v>1751</v>
      </c>
      <c r="AH148" s="13" t="n">
        <v>1649</v>
      </c>
      <c r="AI148" s="13" t="n">
        <v>1684</v>
      </c>
      <c r="AJ148" s="13" t="n">
        <v>1622</v>
      </c>
      <c r="AK148" s="13" t="n">
        <v>1634</v>
      </c>
      <c r="AL148" s="13" t="n">
        <v>1709</v>
      </c>
      <c r="AM148" s="13" t="n">
        <v>1791</v>
      </c>
      <c r="AN148" s="13" t="n">
        <v>1826</v>
      </c>
      <c r="AO148" s="13" t="n">
        <v>1808</v>
      </c>
      <c r="AP148" s="13" t="n">
        <v>1750</v>
      </c>
      <c r="AQ148" s="13" t="n">
        <v>1487</v>
      </c>
      <c r="AR148" s="13" t="n">
        <v>1378</v>
      </c>
      <c r="AS148" s="13" t="n">
        <v>1259</v>
      </c>
      <c r="AT148" s="13" t="n">
        <v>1282</v>
      </c>
      <c r="AU148" s="13" t="n">
        <v>1287</v>
      </c>
      <c r="AV148" s="13" t="n">
        <v>1265</v>
      </c>
      <c r="AW148" s="13" t="n">
        <v>1342</v>
      </c>
      <c r="AX148" s="13" t="n">
        <v>1398</v>
      </c>
      <c r="AY148" s="13" t="n">
        <v>1345</v>
      </c>
      <c r="AZ148" s="13" t="n">
        <v>1359</v>
      </c>
      <c r="BA148" s="13" t="n">
        <v>1361</v>
      </c>
      <c r="BB148" s="13" t="n">
        <v>1210</v>
      </c>
      <c r="BC148" s="13" t="n">
        <v>1268</v>
      </c>
      <c r="BD148" s="13" t="n">
        <v>1205</v>
      </c>
      <c r="BE148" s="13" t="n">
        <v>1276</v>
      </c>
      <c r="BF148" s="13" t="n">
        <v>1326</v>
      </c>
      <c r="BG148" s="13" t="n">
        <v>1314</v>
      </c>
      <c r="BH148" s="13" t="n">
        <v>1380</v>
      </c>
      <c r="BI148" s="13" t="n">
        <v>1282</v>
      </c>
      <c r="BJ148" s="13" t="n">
        <v>1343</v>
      </c>
      <c r="BK148" s="13" t="n">
        <v>1501</v>
      </c>
      <c r="BL148" s="13" t="n">
        <v>1669</v>
      </c>
    </row>
    <row r="149" ht="15.95" customHeight="1" s="574">
      <c r="A149" s="64" t="inlineStr">
        <is>
          <t>7375</t>
        </is>
      </c>
      <c r="B149" s="673" t="inlineStr">
        <is>
          <t>リファインバースグループ</t>
        </is>
      </c>
      <c r="C149" s="676">
        <f>_xll.RssMarket("7375","現在値")</f>
        <v/>
      </c>
      <c r="D149" s="661">
        <f>C149-E149</f>
        <v/>
      </c>
      <c r="E149" s="13" t="n">
        <v>1418</v>
      </c>
      <c r="F149" s="13" t="n">
        <v>1370</v>
      </c>
      <c r="G149" s="13" t="n">
        <v>1329</v>
      </c>
      <c r="H149" s="13" t="n">
        <v>1325</v>
      </c>
      <c r="I149" s="13" t="n">
        <v>1294</v>
      </c>
      <c r="J149" s="13" t="n">
        <v>1312</v>
      </c>
      <c r="K149" s="13" t="n">
        <v>1345</v>
      </c>
      <c r="L149" s="13" t="n">
        <v>1412</v>
      </c>
      <c r="M149" s="13" t="n">
        <v>1436</v>
      </c>
      <c r="N149" s="13" t="n">
        <v>1406</v>
      </c>
      <c r="O149" s="13" t="n">
        <v>1446</v>
      </c>
      <c r="P149" s="13" t="n">
        <v>1421</v>
      </c>
      <c r="Q149" s="13" t="n">
        <v>1447</v>
      </c>
      <c r="R149" s="13" t="n">
        <v>1480</v>
      </c>
      <c r="S149" s="13" t="n">
        <v>1588</v>
      </c>
      <c r="T149" s="13" t="n">
        <v>1606</v>
      </c>
      <c r="U149" s="13" t="n">
        <v>1890</v>
      </c>
      <c r="V149" s="13" t="n">
        <v>2030</v>
      </c>
      <c r="W149" s="13" t="n">
        <v>1773</v>
      </c>
      <c r="X149" s="13" t="n">
        <v>1877</v>
      </c>
      <c r="Y149" s="13" t="n">
        <v>1958</v>
      </c>
      <c r="Z149" s="13" t="n">
        <v>1940</v>
      </c>
      <c r="AA149" s="13" t="n">
        <v>1540</v>
      </c>
      <c r="AB149" s="13" t="n">
        <v>1530</v>
      </c>
      <c r="AC149" s="13" t="n">
        <v>1624</v>
      </c>
      <c r="AD149" s="13" t="n">
        <v>1660</v>
      </c>
      <c r="AE149" s="13" t="n">
        <v>1664</v>
      </c>
      <c r="AF149" s="13" t="n">
        <v>1717</v>
      </c>
      <c r="AG149" s="13" t="n">
        <v>1748</v>
      </c>
      <c r="AH149" s="13" t="n">
        <v>1853</v>
      </c>
      <c r="AI149" s="13" t="n">
        <v>2121</v>
      </c>
      <c r="AJ149" s="13" t="n">
        <v>2127</v>
      </c>
      <c r="AK149" s="13" t="n">
        <v>1931</v>
      </c>
      <c r="AL149" s="13" t="n">
        <v>2030</v>
      </c>
      <c r="AM149" s="13" t="n">
        <v>2130</v>
      </c>
      <c r="AN149" s="13" t="n">
        <v>2265</v>
      </c>
      <c r="AO149" s="13" t="n">
        <v>2262</v>
      </c>
      <c r="AP149" s="13" t="n">
        <v>1862</v>
      </c>
      <c r="AQ149" s="13" t="n">
        <v>2045</v>
      </c>
      <c r="AR149" s="13" t="n">
        <v>1988</v>
      </c>
      <c r="AS149" s="13" t="n">
        <v>2127</v>
      </c>
      <c r="AT149" s="13" t="n">
        <v>1727</v>
      </c>
      <c r="AU149" s="13" t="n">
        <v>1644</v>
      </c>
      <c r="AV149" s="13" t="n">
        <v>1344</v>
      </c>
      <c r="AW149" s="13" t="n">
        <v>1415</v>
      </c>
      <c r="AX149" s="13" t="n">
        <v>1533</v>
      </c>
      <c r="AY149" s="13" t="n">
        <v>1933</v>
      </c>
      <c r="AZ149" s="13" t="n">
        <v>1829</v>
      </c>
      <c r="BA149" s="13" t="n">
        <v>1530</v>
      </c>
      <c r="BB149" s="13" t="n">
        <v>1618</v>
      </c>
      <c r="BC149" s="13" t="n">
        <v>1318</v>
      </c>
      <c r="BD149" s="13" t="n">
        <v>1200</v>
      </c>
      <c r="BE149" s="13" t="n">
        <v>1379</v>
      </c>
      <c r="BF149" s="13" t="n">
        <v>1219</v>
      </c>
      <c r="BG149" s="13" t="n">
        <v>1387</v>
      </c>
      <c r="BH149" s="13" t="n">
        <v>1087</v>
      </c>
      <c r="BI149" s="13" t="n">
        <v>1096</v>
      </c>
      <c r="BJ149" s="13" t="n">
        <v>1176</v>
      </c>
      <c r="BK149" s="13" t="n">
        <v>1093</v>
      </c>
      <c r="BL149" s="13" t="n">
        <v>1023</v>
      </c>
    </row>
    <row r="150" ht="15.95" customHeight="1" s="574">
      <c r="A150" s="64" t="inlineStr">
        <is>
          <t>4307</t>
        </is>
      </c>
      <c r="B150" s="673" t="inlineStr">
        <is>
          <t>野村総合研究所</t>
        </is>
      </c>
      <c r="C150" s="676">
        <f>_xll.RssMarket("4307","現在値")</f>
        <v/>
      </c>
      <c r="D150" s="661">
        <f>C150-E150</f>
        <v/>
      </c>
      <c r="E150" s="13" t="n">
        <v>4256</v>
      </c>
      <c r="F150" s="13" t="n">
        <v>4358</v>
      </c>
      <c r="G150" s="13" t="n">
        <v>4596</v>
      </c>
      <c r="H150" s="13" t="n">
        <v>4505</v>
      </c>
      <c r="I150" s="13" t="n">
        <v>4496</v>
      </c>
      <c r="J150" s="13" t="n">
        <v>4600</v>
      </c>
      <c r="K150" s="13" t="n">
        <v>4650</v>
      </c>
      <c r="L150" s="13" t="n">
        <v>4699</v>
      </c>
      <c r="M150" s="13" t="n">
        <v>4882</v>
      </c>
      <c r="N150" s="13" t="n">
        <v>4743</v>
      </c>
      <c r="O150" s="13" t="n">
        <v>4894</v>
      </c>
      <c r="P150" s="13" t="n">
        <v>5047</v>
      </c>
      <c r="Q150" s="13" t="n">
        <v>5224</v>
      </c>
      <c r="R150" s="13" t="n">
        <v>5022</v>
      </c>
      <c r="S150" s="13" t="n">
        <v>4832</v>
      </c>
      <c r="T150" s="13" t="n">
        <v>4747</v>
      </c>
      <c r="U150" s="13" t="n">
        <v>4612</v>
      </c>
      <c r="V150" s="13" t="n">
        <v>4697</v>
      </c>
      <c r="W150" s="13" t="n">
        <v>4681</v>
      </c>
      <c r="X150" s="13" t="n">
        <v>4735</v>
      </c>
      <c r="Y150" s="13" t="n">
        <v>4800</v>
      </c>
      <c r="Z150" s="13" t="n">
        <v>4561</v>
      </c>
      <c r="AA150" s="13" t="n">
        <v>4332</v>
      </c>
      <c r="AB150" s="13" t="n">
        <v>4174</v>
      </c>
      <c r="AC150" s="13" t="n">
        <v>4340</v>
      </c>
      <c r="AD150" s="13" t="n">
        <v>4228</v>
      </c>
      <c r="AE150" s="13" t="n">
        <v>4301</v>
      </c>
      <c r="AF150" s="13" t="n">
        <v>4351</v>
      </c>
      <c r="AG150" s="13" t="n">
        <v>4249</v>
      </c>
      <c r="AH150" s="13" t="n">
        <v>4183</v>
      </c>
      <c r="AI150" s="13" t="n">
        <v>4142</v>
      </c>
      <c r="AJ150" s="13" t="n">
        <v>4313</v>
      </c>
      <c r="AK150" s="13" t="n">
        <v>4409</v>
      </c>
      <c r="AL150" s="13" t="n">
        <v>5092</v>
      </c>
      <c r="AM150" s="13" t="n">
        <v>5075</v>
      </c>
      <c r="AN150" s="13" t="n">
        <v>5155</v>
      </c>
      <c r="AO150" s="13" t="n">
        <v>4988</v>
      </c>
      <c r="AP150" s="13" t="n">
        <v>4965</v>
      </c>
      <c r="AQ150" s="13" t="n">
        <v>4886</v>
      </c>
      <c r="AR150" s="13" t="n">
        <v>4874</v>
      </c>
      <c r="AS150" s="13" t="n">
        <v>4878</v>
      </c>
      <c r="AT150" s="13" t="n">
        <v>4650</v>
      </c>
      <c r="AU150" s="13" t="n">
        <v>4492</v>
      </c>
      <c r="AV150" s="13" t="n">
        <v>4418</v>
      </c>
      <c r="AW150" s="13" t="n">
        <v>4511</v>
      </c>
      <c r="AX150" s="13" t="n">
        <v>4525</v>
      </c>
      <c r="AY150" s="13" t="n">
        <v>4475</v>
      </c>
      <c r="AZ150" s="13" t="n">
        <v>4470</v>
      </c>
      <c r="BA150" s="13" t="n">
        <v>4451</v>
      </c>
      <c r="BB150" s="13" t="n">
        <v>4416</v>
      </c>
      <c r="BC150" s="13" t="n">
        <v>4635</v>
      </c>
      <c r="BD150" s="13" t="n">
        <v>4332</v>
      </c>
      <c r="BE150" s="13" t="n">
        <v>4250</v>
      </c>
      <c r="BF150" s="13" t="n">
        <v>4257</v>
      </c>
      <c r="BG150" s="13" t="n">
        <v>4221</v>
      </c>
      <c r="BH150" s="13" t="n">
        <v>4246</v>
      </c>
      <c r="BI150" s="13" t="n">
        <v>4293</v>
      </c>
      <c r="BJ150" s="13" t="n">
        <v>4229</v>
      </c>
      <c r="BK150" s="13" t="n">
        <v>4290</v>
      </c>
      <c r="BL150" s="13" t="n">
        <v>4301</v>
      </c>
    </row>
    <row r="151" ht="15.95" customHeight="1" s="574">
      <c r="A151" s="64" t="inlineStr">
        <is>
          <t>6516</t>
        </is>
      </c>
      <c r="B151" s="673" t="inlineStr">
        <is>
          <t>山洋電気</t>
        </is>
      </c>
      <c r="C151" s="676">
        <f>_xll.RssMarket("6516","現在値")</f>
        <v/>
      </c>
      <c r="D151" s="661">
        <f>C151-E151</f>
        <v/>
      </c>
      <c r="E151" s="13" t="n">
        <v>7030</v>
      </c>
      <c r="F151" s="13" t="n">
        <v>6820</v>
      </c>
      <c r="G151" s="13" t="n">
        <v>6780</v>
      </c>
      <c r="H151" s="13" t="n">
        <v>6580</v>
      </c>
      <c r="I151" s="13" t="n">
        <v>6280</v>
      </c>
      <c r="J151" s="13" t="n">
        <v>6250</v>
      </c>
      <c r="K151" s="13" t="n">
        <v>6260</v>
      </c>
      <c r="L151" s="13" t="n">
        <v>6420</v>
      </c>
      <c r="M151" s="13" t="n">
        <v>6740</v>
      </c>
      <c r="N151" s="13" t="n">
        <v>6820</v>
      </c>
      <c r="O151" s="13" t="n">
        <v>6700</v>
      </c>
      <c r="P151" s="13" t="n">
        <v>6600</v>
      </c>
      <c r="Q151" s="13" t="n">
        <v>6990</v>
      </c>
      <c r="R151" s="13" t="n">
        <v>6790</v>
      </c>
      <c r="S151" s="13" t="n">
        <v>6760</v>
      </c>
      <c r="T151" s="13" t="n">
        <v>6800</v>
      </c>
      <c r="U151" s="13" t="n">
        <v>7070</v>
      </c>
      <c r="V151" s="13" t="n">
        <v>7090</v>
      </c>
      <c r="W151" s="13" t="n">
        <v>7160</v>
      </c>
      <c r="X151" s="13" t="n">
        <v>6860</v>
      </c>
      <c r="Y151" s="13" t="n">
        <v>7050</v>
      </c>
      <c r="Z151" s="13" t="n">
        <v>7240</v>
      </c>
      <c r="AA151" s="13" t="n">
        <v>7410</v>
      </c>
      <c r="AB151" s="13" t="n">
        <v>7490</v>
      </c>
      <c r="AC151" s="13" t="n">
        <v>7640</v>
      </c>
      <c r="AD151" s="13" t="n">
        <v>7560</v>
      </c>
      <c r="AE151" s="13" t="n">
        <v>7680</v>
      </c>
      <c r="AF151" s="13" t="n">
        <v>7440</v>
      </c>
      <c r="AG151" s="13" t="n">
        <v>7230</v>
      </c>
      <c r="AH151" s="13" t="n">
        <v>6770</v>
      </c>
      <c r="AI151" s="13" t="n">
        <v>6920</v>
      </c>
      <c r="AJ151" s="13" t="n">
        <v>7020</v>
      </c>
      <c r="AK151" s="13" t="n">
        <v>6640</v>
      </c>
      <c r="AL151" s="13" t="n">
        <v>5640</v>
      </c>
      <c r="AM151" s="13" t="n">
        <v>5190</v>
      </c>
      <c r="AN151" s="13" t="n">
        <v>5370</v>
      </c>
      <c r="AO151" s="13" t="n">
        <v>5220</v>
      </c>
      <c r="AP151" s="13" t="n">
        <v>5150</v>
      </c>
      <c r="AQ151" s="13" t="n">
        <v>5100</v>
      </c>
      <c r="AR151" s="13" t="n">
        <v>5170</v>
      </c>
      <c r="AS151" s="13" t="n">
        <v>5200</v>
      </c>
      <c r="AT151" s="13" t="n">
        <v>5280</v>
      </c>
      <c r="AU151" s="13" t="n">
        <v>5010</v>
      </c>
      <c r="AV151" s="13" t="n">
        <v>5080</v>
      </c>
      <c r="AW151" s="13" t="n">
        <v>4870</v>
      </c>
      <c r="AX151" s="13" t="n">
        <v>4835</v>
      </c>
      <c r="AY151" s="13" t="n">
        <v>4620</v>
      </c>
      <c r="AZ151" s="13" t="n">
        <v>4560</v>
      </c>
      <c r="BA151" s="13" t="n">
        <v>4545</v>
      </c>
      <c r="BB151" s="13" t="n">
        <v>4485</v>
      </c>
      <c r="BC151" s="13" t="n">
        <v>4595</v>
      </c>
      <c r="BD151" s="13" t="n">
        <v>4360</v>
      </c>
      <c r="BE151" s="13" t="n">
        <v>4380</v>
      </c>
      <c r="BF151" s="13" t="n">
        <v>4500</v>
      </c>
      <c r="BG151" s="13" t="n">
        <v>4540</v>
      </c>
      <c r="BH151" s="13" t="n">
        <v>4535</v>
      </c>
      <c r="BI151" s="13" t="n">
        <v>4390</v>
      </c>
      <c r="BJ151" s="13" t="n">
        <v>4270</v>
      </c>
      <c r="BK151" s="13" t="n">
        <v>4625</v>
      </c>
      <c r="BL151" s="13" t="n">
        <v>4805</v>
      </c>
    </row>
    <row r="152" ht="15.95" customHeight="1" s="574">
      <c r="A152" s="64" t="inlineStr">
        <is>
          <t>7381</t>
        </is>
      </c>
      <c r="B152" s="673" t="inlineStr">
        <is>
          <t>ＣＣＩグループ</t>
        </is>
      </c>
      <c r="C152" s="676">
        <f>_xll.RssMarket("7381","現在値")</f>
        <v/>
      </c>
      <c r="D152" s="661">
        <f>C152-E152</f>
        <v/>
      </c>
      <c r="E152" s="13" t="n">
        <v>968</v>
      </c>
      <c r="F152" s="13" t="n">
        <v>961</v>
      </c>
      <c r="G152" s="13" t="n">
        <v>975</v>
      </c>
      <c r="H152" s="13" t="n">
        <v>1001</v>
      </c>
      <c r="I152" s="13" t="n">
        <v>989</v>
      </c>
      <c r="J152" s="13" t="n">
        <v>972</v>
      </c>
      <c r="K152" s="13" t="n">
        <v>991</v>
      </c>
      <c r="L152" s="13" t="n">
        <v>977</v>
      </c>
      <c r="M152" s="13" t="n">
        <v>1034</v>
      </c>
      <c r="N152" s="13" t="n">
        <v>1024</v>
      </c>
      <c r="O152" s="13" t="n">
        <v>1012</v>
      </c>
      <c r="P152" s="13" t="n">
        <v>1013</v>
      </c>
      <c r="Q152" s="13" t="n">
        <v>1014</v>
      </c>
      <c r="R152" s="13" t="n">
        <v>1037</v>
      </c>
      <c r="S152" s="13" t="n">
        <v>1032</v>
      </c>
      <c r="T152" s="13" t="n">
        <v>1049</v>
      </c>
      <c r="U152" s="13" t="n">
        <v>1057</v>
      </c>
      <c r="V152" s="13" t="n">
        <v>1056</v>
      </c>
      <c r="W152" s="13" t="n">
        <v>1063</v>
      </c>
      <c r="X152" s="13" t="n">
        <v>1021</v>
      </c>
      <c r="Y152" s="13" t="n">
        <v>1026</v>
      </c>
      <c r="Z152" s="13" t="n">
        <v>1030</v>
      </c>
      <c r="AA152" s="13" t="n">
        <v>1044</v>
      </c>
      <c r="AB152" s="13" t="n">
        <v>1045</v>
      </c>
      <c r="AC152" s="13" t="n">
        <v>1027</v>
      </c>
      <c r="AD152" s="13" t="n">
        <v>1013</v>
      </c>
      <c r="AE152" s="13" t="n">
        <v>1008</v>
      </c>
      <c r="AF152" s="13" t="n">
        <v>1014</v>
      </c>
      <c r="AG152" s="13" t="n">
        <v>1015</v>
      </c>
      <c r="AH152" s="13" t="n">
        <v>963</v>
      </c>
      <c r="AI152" s="13" t="n">
        <v>941</v>
      </c>
      <c r="AJ152" s="13" t="n">
        <v>952</v>
      </c>
      <c r="AK152" s="13" t="n">
        <v>912</v>
      </c>
      <c r="AL152" s="13" t="n">
        <v>924</v>
      </c>
      <c r="AM152" s="13" t="n">
        <v>923</v>
      </c>
      <c r="AN152" s="13" t="n">
        <v>931</v>
      </c>
      <c r="AO152" s="13" t="n">
        <v>970</v>
      </c>
      <c r="AP152" s="13" t="n">
        <v>997</v>
      </c>
      <c r="AQ152" s="13" t="n">
        <v>1015</v>
      </c>
      <c r="AR152" s="13" t="n">
        <v>1037</v>
      </c>
      <c r="AS152" s="13" t="n">
        <v>1034</v>
      </c>
      <c r="AT152" s="13" t="n">
        <v>1022</v>
      </c>
      <c r="AU152" s="13" t="n">
        <v>1016</v>
      </c>
      <c r="AV152" s="13" t="n">
        <v>1024</v>
      </c>
      <c r="AW152" s="13" t="n">
        <v>1028</v>
      </c>
      <c r="AX152" s="13" t="n">
        <v>1041</v>
      </c>
      <c r="AY152" s="13" t="n">
        <v>1013</v>
      </c>
      <c r="AZ152" s="13" t="n">
        <v>1005</v>
      </c>
      <c r="BA152" s="13" t="n">
        <v>985</v>
      </c>
      <c r="BB152" s="13" t="n">
        <v>977</v>
      </c>
      <c r="BC152" s="13" t="n">
        <v>990</v>
      </c>
      <c r="BD152" s="13" t="n">
        <v>930</v>
      </c>
      <c r="BE152" s="13" t="n">
        <v>949</v>
      </c>
      <c r="BF152" s="13" t="n">
        <v>985</v>
      </c>
      <c r="BG152" s="13" t="n">
        <v>971</v>
      </c>
      <c r="BH152" s="13" t="n">
        <v>982</v>
      </c>
      <c r="BI152" s="13" t="n">
        <v>947</v>
      </c>
      <c r="BJ152" s="13" t="n">
        <v>916</v>
      </c>
      <c r="BK152" s="13" t="n">
        <v>964</v>
      </c>
      <c r="BL152" s="13" t="n">
        <v>997</v>
      </c>
    </row>
    <row r="153" ht="15.95" customHeight="1" s="574">
      <c r="A153" s="64" t="inlineStr">
        <is>
          <t>4417</t>
        </is>
      </c>
      <c r="B153" s="673" t="inlineStr">
        <is>
          <t>グローバルセキュ</t>
        </is>
      </c>
      <c r="C153" s="676">
        <f>_xll.RssMarket("4417","現在値")</f>
        <v/>
      </c>
      <c r="D153" s="661">
        <f>C153-E153</f>
        <v/>
      </c>
      <c r="E153" s="13" t="n">
        <v>3290</v>
      </c>
      <c r="F153" s="13" t="n">
        <v>3255</v>
      </c>
      <c r="G153" s="13" t="n">
        <v>3240</v>
      </c>
      <c r="H153" s="13" t="n">
        <v>3070</v>
      </c>
      <c r="I153" s="13" t="n">
        <v>2968</v>
      </c>
      <c r="J153" s="13" t="n">
        <v>3030</v>
      </c>
      <c r="K153" s="13" t="n">
        <v>3100</v>
      </c>
      <c r="L153" s="13" t="n">
        <v>3145</v>
      </c>
      <c r="M153" s="13" t="n">
        <v>3060</v>
      </c>
      <c r="N153" s="13" t="n">
        <v>3080</v>
      </c>
      <c r="O153" s="13" t="n">
        <v>3175</v>
      </c>
      <c r="P153" s="13" t="n">
        <v>3360</v>
      </c>
      <c r="Q153" s="13" t="n">
        <v>3415</v>
      </c>
      <c r="R153" s="13" t="n">
        <v>3435</v>
      </c>
      <c r="S153" s="13" t="n">
        <v>3250</v>
      </c>
      <c r="T153" s="13" t="n">
        <v>3385</v>
      </c>
      <c r="U153" s="13" t="n">
        <v>3305</v>
      </c>
      <c r="V153" s="13" t="n">
        <v>3260</v>
      </c>
      <c r="W153" s="13" t="n">
        <v>3110</v>
      </c>
      <c r="X153" s="13" t="n">
        <v>2863</v>
      </c>
      <c r="Y153" s="13" t="n">
        <v>2909</v>
      </c>
      <c r="Z153" s="13" t="n">
        <v>2761</v>
      </c>
      <c r="AA153" s="13" t="n">
        <v>2809</v>
      </c>
      <c r="AB153" s="13" t="n">
        <v>2758</v>
      </c>
      <c r="AC153" s="13" t="n">
        <v>2970</v>
      </c>
      <c r="AD153" s="13" t="n">
        <v>2990</v>
      </c>
      <c r="AE153" s="13" t="n">
        <v>2909</v>
      </c>
      <c r="AF153" s="13" t="n">
        <v>2778</v>
      </c>
      <c r="AG153" s="13" t="n">
        <v>2682</v>
      </c>
      <c r="AH153" s="13" t="n">
        <v>2497</v>
      </c>
      <c r="AI153" s="13" t="n">
        <v>2500</v>
      </c>
      <c r="AJ153" s="13" t="n">
        <v>2468</v>
      </c>
      <c r="AK153" s="13" t="n">
        <v>2479</v>
      </c>
      <c r="AL153" s="13" t="n">
        <v>2475</v>
      </c>
      <c r="AM153" s="13" t="n">
        <v>2513</v>
      </c>
      <c r="AN153" s="13" t="n">
        <v>2429</v>
      </c>
      <c r="AO153" s="13" t="n">
        <v>2494</v>
      </c>
      <c r="AP153" s="13" t="n">
        <v>2514</v>
      </c>
      <c r="AQ153" s="13" t="n">
        <v>2489</v>
      </c>
      <c r="AR153" s="13" t="n">
        <v>2356</v>
      </c>
      <c r="AS153" s="13" t="n">
        <v>2230</v>
      </c>
      <c r="AT153" s="13" t="n">
        <v>2255</v>
      </c>
      <c r="AU153" s="13" t="n">
        <v>2482</v>
      </c>
      <c r="AV153" s="13" t="n">
        <v>2520</v>
      </c>
      <c r="AW153" s="13" t="n">
        <v>2576</v>
      </c>
      <c r="AX153" s="13" t="n">
        <v>2550</v>
      </c>
      <c r="AY153" s="13" t="n">
        <v>2540</v>
      </c>
      <c r="AZ153" s="13" t="n">
        <v>2510</v>
      </c>
      <c r="BA153" s="13" t="n">
        <v>2485</v>
      </c>
      <c r="BB153" s="13" t="n">
        <v>2554</v>
      </c>
      <c r="BC153" s="13" t="n">
        <v>2338</v>
      </c>
      <c r="BD153" s="13" t="n">
        <v>2264</v>
      </c>
      <c r="BE153" s="13" t="n">
        <v>2376</v>
      </c>
      <c r="BF153" s="13" t="n">
        <v>2350</v>
      </c>
      <c r="BG153" s="13" t="n">
        <v>2403</v>
      </c>
      <c r="BH153" s="13" t="n">
        <v>2372</v>
      </c>
      <c r="BI153" s="13" t="n">
        <v>2328</v>
      </c>
      <c r="BJ153" s="13" t="n">
        <v>2459</v>
      </c>
      <c r="BK153" s="13" t="n">
        <v>2505</v>
      </c>
      <c r="BL153" s="13" t="n">
        <v>2354</v>
      </c>
    </row>
    <row r="154" ht="15.95" customHeight="1" s="574">
      <c r="A154" s="64" t="inlineStr">
        <is>
          <t>6981</t>
        </is>
      </c>
      <c r="B154" s="673" t="inlineStr">
        <is>
          <t>村田製作所</t>
        </is>
      </c>
      <c r="C154" s="676">
        <f>_xll.RssMarket("6981","現在値")</f>
        <v/>
      </c>
      <c r="D154" s="661">
        <f>C154-E154</f>
        <v/>
      </c>
      <c r="E154" s="13" t="n">
        <v>12250</v>
      </c>
      <c r="F154" s="13" t="n">
        <v>11750</v>
      </c>
      <c r="G154" s="13" t="n">
        <v>10865</v>
      </c>
      <c r="H154" s="13" t="n">
        <v>10530</v>
      </c>
      <c r="I154" s="13" t="n">
        <v>8556</v>
      </c>
      <c r="J154" s="13" t="n">
        <v>8967</v>
      </c>
      <c r="K154" s="13" t="n">
        <v>8650</v>
      </c>
      <c r="L154" s="13" t="n">
        <v>8711</v>
      </c>
      <c r="M154" s="13" t="n">
        <v>9695</v>
      </c>
      <c r="N154" s="13" t="n">
        <v>9904</v>
      </c>
      <c r="O154" s="13" t="n">
        <v>10420</v>
      </c>
      <c r="P154" s="13" t="n">
        <v>10230</v>
      </c>
      <c r="Q154" s="13" t="n">
        <v>10490</v>
      </c>
      <c r="R154" s="13" t="n">
        <v>9625</v>
      </c>
      <c r="S154" s="13" t="n">
        <v>8538</v>
      </c>
      <c r="T154" s="13" t="n">
        <v>7820</v>
      </c>
      <c r="U154" s="13" t="n">
        <v>7928</v>
      </c>
      <c r="V154" s="13" t="n">
        <v>7130</v>
      </c>
      <c r="W154" s="13" t="n">
        <v>6727</v>
      </c>
      <c r="X154" s="13" t="n">
        <v>6164</v>
      </c>
      <c r="Y154" s="13" t="n">
        <v>6180</v>
      </c>
      <c r="Z154" s="13" t="n">
        <v>6171</v>
      </c>
      <c r="AA154" s="13" t="n">
        <v>6151</v>
      </c>
      <c r="AB154" s="13" t="n">
        <v>6339</v>
      </c>
      <c r="AC154" s="13" t="n">
        <v>6089</v>
      </c>
      <c r="AD154" s="13" t="n">
        <v>6078</v>
      </c>
      <c r="AE154" s="13" t="n">
        <v>5960</v>
      </c>
      <c r="AF154" s="13" t="n">
        <v>5850</v>
      </c>
      <c r="AG154" s="13" t="n">
        <v>5648</v>
      </c>
      <c r="AH154" s="13" t="n">
        <v>5138</v>
      </c>
      <c r="AI154" s="13" t="n">
        <v>5156</v>
      </c>
      <c r="AJ154" s="13" t="n">
        <v>4840</v>
      </c>
      <c r="AK154" s="13" t="n">
        <v>4916</v>
      </c>
      <c r="AL154" s="13" t="n">
        <v>4936</v>
      </c>
      <c r="AM154" s="13" t="n">
        <v>4813</v>
      </c>
      <c r="AN154" s="13" t="n">
        <v>4911</v>
      </c>
      <c r="AO154" s="13" t="n">
        <v>4810</v>
      </c>
      <c r="AP154" s="13" t="n">
        <v>4738</v>
      </c>
      <c r="AQ154" s="13" t="n">
        <v>4600</v>
      </c>
      <c r="AR154" s="13" t="n">
        <v>4792</v>
      </c>
      <c r="AS154" s="13" t="n">
        <v>4520</v>
      </c>
      <c r="AT154" s="13" t="n">
        <v>4329</v>
      </c>
      <c r="AU154" s="13" t="n">
        <v>4170</v>
      </c>
      <c r="AV154" s="13" t="n">
        <v>4146</v>
      </c>
      <c r="AW154" s="13" t="n">
        <v>3990</v>
      </c>
      <c r="AX154" s="13" t="n">
        <v>4000</v>
      </c>
      <c r="AY154" s="13" t="n">
        <v>3786</v>
      </c>
      <c r="AZ154" s="13" t="n">
        <v>3807</v>
      </c>
      <c r="BA154" s="13" t="n">
        <v>3789</v>
      </c>
      <c r="BB154" s="13" t="n">
        <v>3478</v>
      </c>
      <c r="BC154" s="13" t="n">
        <v>3671</v>
      </c>
      <c r="BD154" s="13" t="n">
        <v>3409</v>
      </c>
      <c r="BE154" s="13" t="n">
        <v>3534</v>
      </c>
      <c r="BF154" s="13" t="n">
        <v>3745</v>
      </c>
      <c r="BG154" s="13" t="n">
        <v>3723</v>
      </c>
      <c r="BH154" s="13" t="n">
        <v>3660</v>
      </c>
      <c r="BI154" s="13" t="n">
        <v>3543</v>
      </c>
      <c r="BJ154" s="13" t="n">
        <v>3508</v>
      </c>
      <c r="BK154" s="13" t="n">
        <v>3748</v>
      </c>
      <c r="BL154" s="13" t="n">
        <v>3844</v>
      </c>
    </row>
    <row r="155" ht="15.95" customHeight="1" s="574">
      <c r="A155" s="64" t="inlineStr">
        <is>
          <t>6754</t>
        </is>
      </c>
      <c r="B155" s="673" t="inlineStr">
        <is>
          <t>アンリツ</t>
        </is>
      </c>
      <c r="C155" s="676">
        <f>_xll.RssMarket("6754","現在値")</f>
        <v/>
      </c>
      <c r="D155" s="661">
        <f>C155-E155</f>
        <v/>
      </c>
      <c r="E155" s="13" t="n">
        <v>4322</v>
      </c>
      <c r="F155" s="13" t="n">
        <v>4333</v>
      </c>
      <c r="G155" s="13" t="n">
        <v>4122</v>
      </c>
      <c r="H155" s="13" t="n">
        <v>4096</v>
      </c>
      <c r="I155" s="13" t="n">
        <v>3882</v>
      </c>
      <c r="J155" s="13" t="n">
        <v>3879</v>
      </c>
      <c r="K155" s="13" t="n">
        <v>3834</v>
      </c>
      <c r="L155" s="13" t="n">
        <v>4269</v>
      </c>
      <c r="M155" s="13" t="n">
        <v>4689</v>
      </c>
      <c r="N155" s="13" t="n">
        <v>4632</v>
      </c>
      <c r="O155" s="13" t="n">
        <v>4776</v>
      </c>
      <c r="P155" s="13" t="n">
        <v>4584</v>
      </c>
      <c r="Q155" s="13" t="n">
        <v>4768</v>
      </c>
      <c r="R155" s="13" t="n">
        <v>4547</v>
      </c>
      <c r="S155" s="13" t="n">
        <v>4580</v>
      </c>
      <c r="T155" s="13" t="n">
        <v>4614</v>
      </c>
      <c r="U155" s="13" t="n">
        <v>4732</v>
      </c>
      <c r="V155" s="13" t="n">
        <v>4601</v>
      </c>
      <c r="W155" s="13" t="n">
        <v>4468</v>
      </c>
      <c r="X155" s="13" t="n">
        <v>4381</v>
      </c>
      <c r="Y155" s="13" t="n">
        <v>4144</v>
      </c>
      <c r="Z155" s="13" t="n">
        <v>4205</v>
      </c>
      <c r="AA155" s="13" t="n">
        <v>4239</v>
      </c>
      <c r="AB155" s="13" t="n">
        <v>4144</v>
      </c>
      <c r="AC155" s="13" t="n">
        <v>4189</v>
      </c>
      <c r="AD155" s="13" t="n">
        <v>4016</v>
      </c>
      <c r="AE155" s="13" t="n">
        <v>4142</v>
      </c>
      <c r="AF155" s="13" t="n">
        <v>4233</v>
      </c>
      <c r="AG155" s="13" t="n">
        <v>4090</v>
      </c>
      <c r="AH155" s="13" t="n">
        <v>3858</v>
      </c>
      <c r="AI155" s="13" t="n">
        <v>4039</v>
      </c>
      <c r="AJ155" s="13" t="n">
        <v>3974</v>
      </c>
      <c r="AK155" s="13" t="n">
        <v>3755</v>
      </c>
      <c r="AL155" s="13" t="n">
        <v>3594</v>
      </c>
      <c r="AM155" s="13" t="n">
        <v>3572</v>
      </c>
      <c r="AN155" s="13" t="n">
        <v>3635</v>
      </c>
      <c r="AO155" s="13" t="n">
        <v>3662</v>
      </c>
      <c r="AP155" s="13" t="n">
        <v>3466</v>
      </c>
      <c r="AQ155" s="13" t="n">
        <v>3418</v>
      </c>
      <c r="AR155" s="13" t="n">
        <v>3374</v>
      </c>
      <c r="AS155" s="13" t="n">
        <v>3403</v>
      </c>
      <c r="AT155" s="13" t="n">
        <v>3396</v>
      </c>
      <c r="AU155" s="13" t="n">
        <v>3392</v>
      </c>
      <c r="AV155" s="13" t="n">
        <v>3398</v>
      </c>
      <c r="AW155" s="13" t="n">
        <v>3277</v>
      </c>
      <c r="AX155" s="13" t="n">
        <v>3299</v>
      </c>
      <c r="AY155" s="13" t="n">
        <v>3014</v>
      </c>
      <c r="AZ155" s="13" t="n">
        <v>3004</v>
      </c>
      <c r="BA155" s="13" t="n">
        <v>3002</v>
      </c>
      <c r="BB155" s="13" t="n">
        <v>2911.5</v>
      </c>
      <c r="BC155" s="13" t="n">
        <v>2986.5</v>
      </c>
      <c r="BD155" s="13" t="n">
        <v>2738</v>
      </c>
      <c r="BE155" s="13" t="n">
        <v>2826</v>
      </c>
      <c r="BF155" s="13" t="n">
        <v>2812</v>
      </c>
      <c r="BG155" s="13" t="n">
        <v>2907.5</v>
      </c>
      <c r="BH155" s="13" t="n">
        <v>2983</v>
      </c>
      <c r="BI155" s="13" t="n">
        <v>2833.5</v>
      </c>
      <c r="BJ155" s="13" t="n">
        <v>2657.5</v>
      </c>
      <c r="BK155" s="13" t="n">
        <v>2807.5</v>
      </c>
      <c r="BL155" s="13" t="n">
        <v>2894.5</v>
      </c>
    </row>
    <row r="156" ht="15.95" customHeight="1" s="574">
      <c r="A156" s="64" t="inlineStr">
        <is>
          <t>4088</t>
        </is>
      </c>
      <c r="B156" s="673" t="inlineStr">
        <is>
          <t>エア・ウォーター</t>
        </is>
      </c>
      <c r="C156" s="676">
        <f>_xll.RssMarket("4088","現在値")</f>
        <v/>
      </c>
      <c r="D156" s="661">
        <f>C156-E156</f>
        <v/>
      </c>
      <c r="E156" s="13" t="n">
        <v>2495</v>
      </c>
      <c r="F156" s="13" t="n">
        <v>2471</v>
      </c>
      <c r="G156" s="13" t="n">
        <v>2490</v>
      </c>
      <c r="H156" s="13" t="n">
        <v>2520</v>
      </c>
      <c r="I156" s="13" t="n">
        <v>2441</v>
      </c>
      <c r="J156" s="13" t="n">
        <v>2419</v>
      </c>
      <c r="K156" s="13" t="n">
        <v>2440</v>
      </c>
      <c r="L156" s="13" t="n">
        <v>2470</v>
      </c>
      <c r="M156" s="13" t="n">
        <v>2464</v>
      </c>
      <c r="N156" s="13" t="n">
        <v>2488</v>
      </c>
      <c r="O156" s="13" t="n">
        <v>2490</v>
      </c>
      <c r="P156" s="13" t="n">
        <v>2462</v>
      </c>
      <c r="Q156" s="13" t="n">
        <v>2464</v>
      </c>
      <c r="R156" s="13" t="n">
        <v>2599</v>
      </c>
      <c r="S156" s="13" t="n">
        <v>2594</v>
      </c>
      <c r="T156" s="13" t="n">
        <v>2625</v>
      </c>
      <c r="U156" s="13" t="n">
        <v>2516</v>
      </c>
      <c r="V156" s="13" t="n">
        <v>2579</v>
      </c>
      <c r="W156" s="13" t="n">
        <v>2546</v>
      </c>
      <c r="X156" s="13" t="n">
        <v>2481</v>
      </c>
      <c r="Y156" s="13" t="n">
        <v>2489</v>
      </c>
      <c r="Z156" s="13" t="n">
        <v>2302</v>
      </c>
      <c r="AA156" s="13" t="n">
        <v>2283</v>
      </c>
      <c r="AB156" s="13" t="n">
        <v>2179</v>
      </c>
      <c r="AC156" s="13" t="n">
        <v>2101</v>
      </c>
      <c r="AD156" s="13" t="n">
        <v>2066</v>
      </c>
      <c r="AE156" s="13" t="n">
        <v>1965</v>
      </c>
      <c r="AF156" s="13" t="n">
        <v>1938.5</v>
      </c>
      <c r="AG156" s="13" t="n">
        <v>1913.5</v>
      </c>
      <c r="AH156" s="13" t="n">
        <v>1895.5</v>
      </c>
      <c r="AI156" s="13" t="n">
        <v>2218.5</v>
      </c>
      <c r="AJ156" s="13" t="n">
        <v>2260</v>
      </c>
      <c r="AK156" s="13" t="n">
        <v>2231</v>
      </c>
      <c r="AL156" s="13" t="n">
        <v>2236</v>
      </c>
      <c r="AM156" s="13" t="n">
        <v>2207</v>
      </c>
      <c r="AN156" s="13" t="n">
        <v>2223.5</v>
      </c>
      <c r="AO156" s="13" t="n">
        <v>2254</v>
      </c>
      <c r="AP156" s="13" t="n">
        <v>2257</v>
      </c>
      <c r="AQ156" s="13" t="n">
        <v>2263.5</v>
      </c>
      <c r="AR156" s="13" t="n">
        <v>2309.5</v>
      </c>
      <c r="AS156" s="13" t="n">
        <v>2293.5</v>
      </c>
      <c r="AT156" s="13" t="n">
        <v>2258.5</v>
      </c>
      <c r="AU156" s="13" t="n">
        <v>2233.5</v>
      </c>
      <c r="AV156" s="13" t="n">
        <v>2235.5</v>
      </c>
      <c r="AW156" s="13" t="n">
        <v>2259.5</v>
      </c>
      <c r="AX156" s="13" t="n">
        <v>2297.5</v>
      </c>
      <c r="AY156" s="13" t="n">
        <v>2275</v>
      </c>
      <c r="AZ156" s="13" t="n">
        <v>2221.5</v>
      </c>
      <c r="BA156" s="13" t="n">
        <v>2199</v>
      </c>
      <c r="BB156" s="13" t="n">
        <v>2161.5</v>
      </c>
      <c r="BC156" s="13" t="n">
        <v>2200</v>
      </c>
      <c r="BD156" s="13" t="n">
        <v>2124.5</v>
      </c>
      <c r="BE156" s="13" t="n">
        <v>2139</v>
      </c>
      <c r="BF156" s="13" t="n">
        <v>2173</v>
      </c>
      <c r="BG156" s="13" t="n">
        <v>2149.5</v>
      </c>
      <c r="BH156" s="13" t="n">
        <v>2145</v>
      </c>
      <c r="BI156" s="13" t="n">
        <v>2098</v>
      </c>
      <c r="BJ156" s="13" t="n">
        <v>2056.5</v>
      </c>
      <c r="BK156" s="13" t="n">
        <v>2085.5</v>
      </c>
      <c r="BL156" s="13" t="n">
        <v>2182</v>
      </c>
    </row>
    <row r="157" ht="15.95" customHeight="1" s="574">
      <c r="A157" s="64" t="inlineStr">
        <is>
          <t>4091</t>
        </is>
      </c>
      <c r="B157" s="673" t="inlineStr">
        <is>
          <t>日本酸素ＨＬＤＧＳ</t>
        </is>
      </c>
      <c r="C157" s="676">
        <f>_xll.RssMarket("4091","現在値")</f>
        <v/>
      </c>
      <c r="D157" s="661">
        <f>C157-E157</f>
        <v/>
      </c>
      <c r="E157" s="13" t="n">
        <v>5490</v>
      </c>
      <c r="F157" s="13" t="n">
        <v>5564</v>
      </c>
      <c r="G157" s="13" t="n">
        <v>5590</v>
      </c>
      <c r="H157" s="13" t="n">
        <v>5534</v>
      </c>
      <c r="I157" s="13" t="n">
        <v>5403</v>
      </c>
      <c r="J157" s="13" t="n">
        <v>5293</v>
      </c>
      <c r="K157" s="13" t="n">
        <v>5275</v>
      </c>
      <c r="L157" s="13" t="n">
        <v>5434</v>
      </c>
      <c r="M157" s="13" t="n">
        <v>5586</v>
      </c>
      <c r="N157" s="13" t="n">
        <v>5620</v>
      </c>
      <c r="O157" s="13" t="n">
        <v>5679</v>
      </c>
      <c r="P157" s="13" t="n">
        <v>5711</v>
      </c>
      <c r="Q157" s="13" t="n">
        <v>5972</v>
      </c>
      <c r="R157" s="13" t="n">
        <v>6184</v>
      </c>
      <c r="S157" s="13" t="n">
        <v>6256</v>
      </c>
      <c r="T157" s="13" t="n">
        <v>6373</v>
      </c>
      <c r="U157" s="13" t="n">
        <v>6289</v>
      </c>
      <c r="V157" s="13" t="n">
        <v>6192</v>
      </c>
      <c r="W157" s="13" t="n">
        <v>5852</v>
      </c>
      <c r="X157" s="13" t="n">
        <v>5817</v>
      </c>
      <c r="Y157" s="13" t="n">
        <v>5973</v>
      </c>
      <c r="Z157" s="13" t="n">
        <v>5994</v>
      </c>
      <c r="AA157" s="13" t="n">
        <v>6116</v>
      </c>
      <c r="AB157" s="13" t="n">
        <v>6093</v>
      </c>
      <c r="AC157" s="13" t="n">
        <v>5907</v>
      </c>
      <c r="AD157" s="13" t="n">
        <v>5787</v>
      </c>
      <c r="AE157" s="13" t="n">
        <v>6199</v>
      </c>
      <c r="AF157" s="13" t="n">
        <v>5636</v>
      </c>
      <c r="AG157" s="13" t="n">
        <v>5698</v>
      </c>
      <c r="AH157" s="13" t="n">
        <v>5524</v>
      </c>
      <c r="AI157" s="13" t="n">
        <v>5540</v>
      </c>
      <c r="AJ157" s="13" t="n">
        <v>5677</v>
      </c>
      <c r="AK157" s="13" t="n">
        <v>5626</v>
      </c>
      <c r="AL157" s="13" t="n">
        <v>5690</v>
      </c>
      <c r="AM157" s="13" t="n">
        <v>5600</v>
      </c>
      <c r="AN157" s="13" t="n">
        <v>5686</v>
      </c>
      <c r="AO157" s="13" t="n">
        <v>5772</v>
      </c>
      <c r="AP157" s="13" t="n">
        <v>5772</v>
      </c>
      <c r="AQ157" s="13" t="n">
        <v>5915</v>
      </c>
      <c r="AR157" s="13" t="n">
        <v>6044</v>
      </c>
      <c r="AS157" s="13" t="n">
        <v>5864</v>
      </c>
      <c r="AT157" s="13" t="n">
        <v>5957</v>
      </c>
      <c r="AU157" s="13" t="n">
        <v>5871</v>
      </c>
      <c r="AV157" s="13" t="n">
        <v>5907</v>
      </c>
      <c r="AW157" s="13" t="n">
        <v>5871</v>
      </c>
      <c r="AX157" s="13" t="n">
        <v>5858</v>
      </c>
      <c r="AY157" s="13" t="n">
        <v>5813</v>
      </c>
      <c r="AZ157" s="13" t="n">
        <v>5788</v>
      </c>
      <c r="BA157" s="13" t="n">
        <v>5869</v>
      </c>
      <c r="BB157" s="13" t="n">
        <v>5760</v>
      </c>
      <c r="BC157" s="13" t="n">
        <v>5742</v>
      </c>
      <c r="BD157" s="13" t="n">
        <v>5533</v>
      </c>
      <c r="BE157" s="13" t="n">
        <v>5814</v>
      </c>
      <c r="BF157" s="13" t="n">
        <v>5875</v>
      </c>
      <c r="BG157" s="13" t="n">
        <v>5969</v>
      </c>
      <c r="BH157" s="13" t="n">
        <v>5955</v>
      </c>
      <c r="BI157" s="13" t="n">
        <v>5840</v>
      </c>
      <c r="BJ157" s="13" t="n">
        <v>5821</v>
      </c>
      <c r="BK157" s="13" t="n">
        <v>5989</v>
      </c>
      <c r="BL157" s="13" t="n">
        <v>6294</v>
      </c>
    </row>
    <row r="158" ht="15.95" customHeight="1" s="574">
      <c r="A158" s="64" t="inlineStr">
        <is>
          <t>6857</t>
        </is>
      </c>
      <c r="B158" s="673" t="inlineStr">
        <is>
          <t>アドバンテスト</t>
        </is>
      </c>
      <c r="C158" s="676">
        <f>_xll.RssMarket("6857","現在値")</f>
        <v/>
      </c>
      <c r="D158" s="661">
        <f>C158-E158</f>
        <v/>
      </c>
      <c r="E158" s="13" t="n">
        <v>32170</v>
      </c>
      <c r="F158" s="13" t="n">
        <v>31740</v>
      </c>
      <c r="G158" s="13" t="n">
        <v>30060</v>
      </c>
      <c r="H158" s="13" t="n">
        <v>30340</v>
      </c>
      <c r="I158" s="13" t="n">
        <v>27325</v>
      </c>
      <c r="J158" s="13" t="n">
        <v>25175</v>
      </c>
      <c r="K158" s="13" t="n">
        <v>25235</v>
      </c>
      <c r="L158" s="13" t="n">
        <v>26765</v>
      </c>
      <c r="M158" s="13" t="n">
        <v>28170</v>
      </c>
      <c r="N158" s="13" t="n">
        <v>27660</v>
      </c>
      <c r="O158" s="13" t="n">
        <v>26320</v>
      </c>
      <c r="P158" s="13" t="n">
        <v>25675</v>
      </c>
      <c r="Q158" s="13" t="n">
        <v>26170</v>
      </c>
      <c r="R158" s="13" t="n">
        <v>26340</v>
      </c>
      <c r="S158" s="13" t="n">
        <v>27130</v>
      </c>
      <c r="T158" s="13" t="n">
        <v>27755</v>
      </c>
      <c r="U158" s="13" t="n">
        <v>26845</v>
      </c>
      <c r="V158" s="13" t="n">
        <v>26745</v>
      </c>
      <c r="W158" s="13" t="n">
        <v>25625</v>
      </c>
      <c r="X158" s="13" t="n">
        <v>25290</v>
      </c>
      <c r="Y158" s="13" t="n">
        <v>26150</v>
      </c>
      <c r="Z158" s="13" t="n">
        <v>26360</v>
      </c>
      <c r="AA158" s="13" t="n">
        <v>28615</v>
      </c>
      <c r="AB158" s="13" t="n">
        <v>28290</v>
      </c>
      <c r="AC158" s="13" t="n">
        <v>28705</v>
      </c>
      <c r="AD158" s="13" t="n">
        <v>28780</v>
      </c>
      <c r="AE158" s="13" t="n">
        <v>29885</v>
      </c>
      <c r="AF158" s="13" t="n">
        <v>29715</v>
      </c>
      <c r="AG158" s="13" t="n">
        <v>27815</v>
      </c>
      <c r="AH158" s="13" t="n">
        <v>28260</v>
      </c>
      <c r="AI158" s="13" t="n">
        <v>29750</v>
      </c>
      <c r="AJ158" s="13" t="n">
        <v>31500</v>
      </c>
      <c r="AK158" s="13" t="n">
        <v>29440</v>
      </c>
      <c r="AL158" s="13" t="n">
        <v>27900</v>
      </c>
      <c r="AM158" s="13" t="n">
        <v>27900</v>
      </c>
      <c r="AN158" s="13" t="n">
        <v>27200</v>
      </c>
      <c r="AO158" s="13" t="n">
        <v>27100</v>
      </c>
      <c r="AP158" s="13" t="n">
        <v>27870</v>
      </c>
      <c r="AQ158" s="13" t="n">
        <v>28625</v>
      </c>
      <c r="AR158" s="13" t="n">
        <v>27585</v>
      </c>
      <c r="AS158" s="13" t="n">
        <v>27000</v>
      </c>
      <c r="AT158" s="13" t="n">
        <v>24880</v>
      </c>
      <c r="AU158" s="13" t="n">
        <v>24990</v>
      </c>
      <c r="AV158" s="13" t="n">
        <v>24800</v>
      </c>
      <c r="AW158" s="13" t="n">
        <v>25220</v>
      </c>
      <c r="AX158" s="13" t="n">
        <v>22200</v>
      </c>
      <c r="AY158" s="13" t="n">
        <v>21930</v>
      </c>
      <c r="AZ158" s="13" t="n">
        <v>21555</v>
      </c>
      <c r="BA158" s="13" t="n">
        <v>21125</v>
      </c>
      <c r="BB158" s="13" t="n">
        <v>22500</v>
      </c>
      <c r="BC158" s="13" t="n">
        <v>20330</v>
      </c>
      <c r="BD158" s="13" t="n">
        <v>20925</v>
      </c>
      <c r="BE158" s="13" t="n">
        <v>22070</v>
      </c>
      <c r="BF158" s="13" t="n">
        <v>22965</v>
      </c>
      <c r="BG158" s="13" t="n">
        <v>23425</v>
      </c>
      <c r="BH158" s="13" t="n">
        <v>22345</v>
      </c>
      <c r="BI158" s="13" t="n">
        <v>22730</v>
      </c>
      <c r="BJ158" s="13" t="n">
        <v>23980</v>
      </c>
      <c r="BK158" s="13" t="n">
        <v>25130</v>
      </c>
      <c r="BL158" s="13" t="n">
        <v>23545</v>
      </c>
    </row>
    <row r="159" ht="15.95" customHeight="1" s="574">
      <c r="A159" s="64" t="inlineStr">
        <is>
          <t>3891</t>
        </is>
      </c>
      <c r="B159" s="673" t="inlineStr">
        <is>
          <t>ニッポン高度紙工業</t>
        </is>
      </c>
      <c r="C159" s="676">
        <f>_xll.RssMarket("3891","現在値")</f>
        <v/>
      </c>
      <c r="D159" s="661">
        <f>C159-E159</f>
        <v/>
      </c>
      <c r="E159" s="13" t="n">
        <v>10200</v>
      </c>
      <c r="F159" s="13" t="n">
        <v>10750</v>
      </c>
      <c r="G159" s="13" t="n">
        <v>9980</v>
      </c>
      <c r="H159" s="13" t="n">
        <v>8920</v>
      </c>
      <c r="I159" s="13" t="n">
        <v>8460</v>
      </c>
      <c r="J159" s="13" t="n">
        <v>8900</v>
      </c>
      <c r="K159" s="13" t="n">
        <v>9240</v>
      </c>
      <c r="L159" s="13" t="n">
        <v>9040</v>
      </c>
      <c r="M159" s="13" t="n">
        <v>9170</v>
      </c>
      <c r="N159" s="13" t="n">
        <v>8370</v>
      </c>
      <c r="O159" s="13" t="n">
        <v>8460</v>
      </c>
      <c r="P159" s="13" t="n">
        <v>8110</v>
      </c>
      <c r="Q159" s="13" t="n">
        <v>8030</v>
      </c>
      <c r="R159" s="13" t="n">
        <v>7230</v>
      </c>
      <c r="S159" s="13" t="n">
        <v>7100</v>
      </c>
      <c r="T159" s="13" t="n">
        <v>6870</v>
      </c>
      <c r="U159" s="13" t="n">
        <v>7790</v>
      </c>
      <c r="V159" s="13" t="n">
        <v>7490</v>
      </c>
      <c r="W159" s="13" t="n">
        <v>6780</v>
      </c>
      <c r="X159" s="13" t="n">
        <v>6830</v>
      </c>
      <c r="Y159" s="13" t="n">
        <v>6550</v>
      </c>
      <c r="Z159" s="13" t="n">
        <v>6430</v>
      </c>
      <c r="AA159" s="13" t="n">
        <v>6100</v>
      </c>
      <c r="AB159" s="13" t="n">
        <v>6210</v>
      </c>
      <c r="AC159" s="13" t="n">
        <v>6530</v>
      </c>
      <c r="AD159" s="13" t="n">
        <v>6330</v>
      </c>
      <c r="AE159" s="13" t="n">
        <v>6490</v>
      </c>
      <c r="AF159" s="13" t="n">
        <v>6550</v>
      </c>
      <c r="AG159" s="13" t="n">
        <v>6600</v>
      </c>
      <c r="AH159" s="13" t="n">
        <v>6110</v>
      </c>
      <c r="AI159" s="13" t="n">
        <v>6360</v>
      </c>
      <c r="AJ159" s="13" t="n">
        <v>6420</v>
      </c>
      <c r="AK159" s="13" t="n">
        <v>6150</v>
      </c>
      <c r="AL159" s="13" t="n">
        <v>5150</v>
      </c>
      <c r="AM159" s="13" t="n">
        <v>4445</v>
      </c>
      <c r="AN159" s="13" t="n">
        <v>4480</v>
      </c>
      <c r="AO159" s="13" t="n">
        <v>4630</v>
      </c>
      <c r="AP159" s="13" t="n">
        <v>4395</v>
      </c>
      <c r="AQ159" s="13" t="n">
        <v>4275</v>
      </c>
      <c r="AR159" s="13" t="n">
        <v>4495</v>
      </c>
      <c r="AS159" s="13" t="n">
        <v>4500</v>
      </c>
      <c r="AT159" s="13" t="n">
        <v>4295</v>
      </c>
      <c r="AU159" s="13" t="n">
        <v>4140</v>
      </c>
      <c r="AV159" s="13" t="n">
        <v>4115</v>
      </c>
      <c r="AW159" s="13" t="n">
        <v>4060</v>
      </c>
      <c r="AX159" s="13" t="n">
        <v>4100</v>
      </c>
      <c r="AY159" s="13" t="n">
        <v>3785</v>
      </c>
      <c r="AZ159" s="13" t="n">
        <v>3775</v>
      </c>
      <c r="BA159" s="13" t="n">
        <v>3715</v>
      </c>
      <c r="BB159" s="13" t="n">
        <v>3655</v>
      </c>
      <c r="BC159" s="13" t="n">
        <v>3715</v>
      </c>
      <c r="BD159" s="13" t="n">
        <v>3440</v>
      </c>
      <c r="BE159" s="13" t="n">
        <v>3515</v>
      </c>
      <c r="BF159" s="13" t="n">
        <v>3720</v>
      </c>
      <c r="BG159" s="13" t="n">
        <v>3770</v>
      </c>
      <c r="BH159" s="13" t="n">
        <v>3855</v>
      </c>
      <c r="BI159" s="13" t="n">
        <v>3685</v>
      </c>
      <c r="BJ159" s="13" t="n">
        <v>3495</v>
      </c>
      <c r="BK159" s="13" t="n">
        <v>3735</v>
      </c>
      <c r="BL159" s="13" t="n">
        <v>4105</v>
      </c>
    </row>
    <row r="160" ht="15.95" customHeight="1" s="574">
      <c r="A160" s="64" t="inlineStr">
        <is>
          <t>4373</t>
        </is>
      </c>
      <c r="B160" s="673" t="inlineStr">
        <is>
          <t>シンプレクスＨＤ</t>
        </is>
      </c>
      <c r="C160" s="676">
        <f>_xll.RssMarket("4373","現在値")</f>
        <v/>
      </c>
      <c r="D160" s="661">
        <f>C160-E160</f>
        <v/>
      </c>
      <c r="E160" s="13" t="n">
        <v>944</v>
      </c>
      <c r="F160" s="13" t="n">
        <v>931</v>
      </c>
      <c r="G160" s="13" t="n">
        <v>958</v>
      </c>
      <c r="H160" s="13" t="n">
        <v>957</v>
      </c>
      <c r="I160" s="13" t="n">
        <v>990</v>
      </c>
      <c r="J160" s="13" t="n">
        <v>1021</v>
      </c>
      <c r="K160" s="13" t="n">
        <v>1038</v>
      </c>
      <c r="L160" s="13" t="n">
        <v>1070</v>
      </c>
      <c r="M160" s="13" t="n">
        <v>1092</v>
      </c>
      <c r="N160" s="13" t="n">
        <v>1083</v>
      </c>
      <c r="O160" s="13" t="n">
        <v>1106</v>
      </c>
      <c r="P160" s="13" t="n">
        <v>1119</v>
      </c>
      <c r="Q160" s="13" t="n">
        <v>1122</v>
      </c>
      <c r="R160" s="13" t="n">
        <v>1064</v>
      </c>
      <c r="S160" s="13" t="n">
        <v>1029</v>
      </c>
      <c r="T160" s="13" t="n">
        <v>1034</v>
      </c>
      <c r="U160" s="13" t="n">
        <v>1016</v>
      </c>
      <c r="V160" s="13" t="n">
        <v>1037</v>
      </c>
      <c r="W160" s="13" t="n">
        <v>1005</v>
      </c>
      <c r="X160" s="13" t="n">
        <v>990</v>
      </c>
      <c r="Y160" s="13" t="n">
        <v>1036</v>
      </c>
      <c r="Z160" s="13" t="n">
        <v>948</v>
      </c>
      <c r="AA160" s="13" t="n">
        <v>951</v>
      </c>
      <c r="AB160" s="13" t="n">
        <v>931</v>
      </c>
      <c r="AC160" s="13" t="n">
        <v>953</v>
      </c>
      <c r="AD160" s="13" t="n">
        <v>957</v>
      </c>
      <c r="AE160" s="13" t="n">
        <v>945</v>
      </c>
      <c r="AF160" s="13" t="n">
        <v>937</v>
      </c>
      <c r="AG160" s="13" t="n">
        <v>895</v>
      </c>
      <c r="AH160" s="13" t="n">
        <v>921</v>
      </c>
      <c r="AI160" s="13" t="n">
        <v>879</v>
      </c>
      <c r="AJ160" s="13" t="n">
        <v>881</v>
      </c>
      <c r="AK160" s="13" t="n">
        <v>876</v>
      </c>
      <c r="AL160" s="13" t="n">
        <v>917</v>
      </c>
      <c r="AM160" s="13" t="n">
        <v>932</v>
      </c>
      <c r="AN160" s="13" t="n">
        <v>960</v>
      </c>
      <c r="AO160" s="13" t="n">
        <v>930</v>
      </c>
      <c r="AP160" s="13" t="n">
        <v>948</v>
      </c>
      <c r="AQ160" s="13" t="n">
        <v>944</v>
      </c>
      <c r="AR160" s="13" t="n">
        <v>899</v>
      </c>
      <c r="AS160" s="13" t="n">
        <v>908</v>
      </c>
      <c r="AT160" s="13" t="n">
        <v>852</v>
      </c>
      <c r="AU160" s="13" t="n">
        <v>814</v>
      </c>
      <c r="AV160" s="13" t="n">
        <v>816</v>
      </c>
      <c r="AW160" s="13" t="n">
        <v>838</v>
      </c>
      <c r="AX160" s="13" t="n">
        <v>855</v>
      </c>
      <c r="AY160" s="13" t="n">
        <v>840</v>
      </c>
      <c r="AZ160" s="13" t="n">
        <v>835</v>
      </c>
      <c r="BA160" s="13" t="n">
        <v>832</v>
      </c>
      <c r="BB160" s="13" t="n">
        <v>814</v>
      </c>
      <c r="BC160" s="13" t="n">
        <v>824</v>
      </c>
      <c r="BD160" s="13" t="n">
        <v>801</v>
      </c>
      <c r="BE160" s="13" t="n">
        <v>777</v>
      </c>
      <c r="BF160" s="13" t="n">
        <v>814</v>
      </c>
      <c r="BG160" s="13" t="n">
        <v>808</v>
      </c>
      <c r="BH160" s="13" t="n">
        <v>817</v>
      </c>
      <c r="BI160" s="13" t="n">
        <v>818</v>
      </c>
      <c r="BJ160" s="13" t="n">
        <v>803</v>
      </c>
      <c r="BK160" s="13" t="n">
        <v>823</v>
      </c>
      <c r="BL160" s="13" t="n">
        <v>846</v>
      </c>
    </row>
    <row r="161" ht="15.95" customHeight="1" s="574">
      <c r="A161" s="64" t="inlineStr">
        <is>
          <t>8892</t>
        </is>
      </c>
      <c r="B161" s="673" t="inlineStr">
        <is>
          <t>エスコン</t>
        </is>
      </c>
      <c r="C161" s="676">
        <f>_xll.RssMarket("8892","現在値")</f>
        <v/>
      </c>
      <c r="D161" s="661">
        <f>C161-E161</f>
        <v/>
      </c>
      <c r="E161" s="13" t="n">
        <v>1060</v>
      </c>
      <c r="F161" s="13" t="n">
        <v>1066</v>
      </c>
      <c r="G161" s="13" t="n">
        <v>1077</v>
      </c>
      <c r="H161" s="13" t="n">
        <v>1099</v>
      </c>
      <c r="I161" s="13" t="n">
        <v>1110</v>
      </c>
      <c r="J161" s="13" t="n">
        <v>1089</v>
      </c>
      <c r="K161" s="13" t="n">
        <v>1103</v>
      </c>
      <c r="L161" s="13" t="n">
        <v>1082</v>
      </c>
      <c r="M161" s="13" t="n">
        <v>1088</v>
      </c>
      <c r="N161" s="13" t="n">
        <v>1066</v>
      </c>
      <c r="O161" s="13" t="n">
        <v>1081</v>
      </c>
      <c r="P161" s="13" t="n">
        <v>1069</v>
      </c>
      <c r="Q161" s="13" t="n">
        <v>1077</v>
      </c>
      <c r="R161" s="13" t="n">
        <v>1099</v>
      </c>
      <c r="S161" s="13" t="n">
        <v>1107</v>
      </c>
      <c r="T161" s="13" t="n">
        <v>1104</v>
      </c>
      <c r="U161" s="13" t="n">
        <v>1106</v>
      </c>
      <c r="V161" s="13" t="n">
        <v>1111</v>
      </c>
      <c r="W161" s="13" t="n">
        <v>1139</v>
      </c>
      <c r="X161" s="13" t="n">
        <v>1122</v>
      </c>
      <c r="Y161" s="13" t="n">
        <v>1150</v>
      </c>
      <c r="Z161" s="13" t="n">
        <v>1121</v>
      </c>
      <c r="AA161" s="13" t="n">
        <v>1125</v>
      </c>
      <c r="AB161" s="13" t="n">
        <v>1155</v>
      </c>
      <c r="AC161" s="13" t="n">
        <v>1171</v>
      </c>
      <c r="AD161" s="13" t="n">
        <v>1164</v>
      </c>
      <c r="AE161" s="13" t="n">
        <v>1166</v>
      </c>
      <c r="AF161" s="13" t="n">
        <v>1171</v>
      </c>
      <c r="AG161" s="13" t="n">
        <v>1160</v>
      </c>
      <c r="AH161" s="13" t="n">
        <v>1175</v>
      </c>
      <c r="AI161" s="13" t="n">
        <v>1195</v>
      </c>
      <c r="AJ161" s="13" t="n">
        <v>1200</v>
      </c>
      <c r="AK161" s="13" t="n">
        <v>1136</v>
      </c>
      <c r="AL161" s="13" t="n">
        <v>1129</v>
      </c>
      <c r="AM161" s="13" t="n">
        <v>1126</v>
      </c>
      <c r="AN161" s="13" t="n">
        <v>1140</v>
      </c>
      <c r="AO161" s="13" t="n">
        <v>1143</v>
      </c>
      <c r="AP161" s="13" t="n">
        <v>1132</v>
      </c>
      <c r="AQ161" s="13" t="n">
        <v>1136</v>
      </c>
      <c r="AR161" s="13" t="n">
        <v>1141</v>
      </c>
      <c r="AS161" s="13" t="n">
        <v>1129</v>
      </c>
      <c r="AT161" s="13" t="n">
        <v>1131</v>
      </c>
      <c r="AU161" s="13" t="n">
        <v>1127</v>
      </c>
      <c r="AV161" s="13" t="n">
        <v>1118</v>
      </c>
      <c r="AW161" s="13" t="n">
        <v>1132</v>
      </c>
      <c r="AX161" s="13" t="n">
        <v>1122</v>
      </c>
      <c r="AY161" s="13" t="n">
        <v>1117</v>
      </c>
      <c r="AZ161" s="13" t="n">
        <v>1102</v>
      </c>
      <c r="BA161" s="13" t="n">
        <v>1097</v>
      </c>
      <c r="BB161" s="13" t="n">
        <v>1118</v>
      </c>
      <c r="BC161" s="13" t="n">
        <v>1082</v>
      </c>
      <c r="BD161" s="13" t="n">
        <v>1083</v>
      </c>
      <c r="BE161" s="13" t="n">
        <v>1138</v>
      </c>
      <c r="BF161" s="13" t="n">
        <v>1137</v>
      </c>
      <c r="BG161" s="13" t="n">
        <v>1137</v>
      </c>
      <c r="BH161" s="13" t="n">
        <v>1120</v>
      </c>
      <c r="BI161" s="13" t="n">
        <v>1104</v>
      </c>
      <c r="BJ161" s="13" t="n">
        <v>1127</v>
      </c>
      <c r="BK161" s="13" t="n">
        <v>1135</v>
      </c>
      <c r="BL161" s="13" t="n">
        <v>1116</v>
      </c>
    </row>
    <row r="162" ht="15.95" customHeight="1" s="574">
      <c r="A162" s="64" t="inlineStr">
        <is>
          <t>9687</t>
        </is>
      </c>
      <c r="B162" s="673" t="inlineStr">
        <is>
          <t>ＫＳＫ</t>
        </is>
      </c>
      <c r="C162" s="676">
        <f>_xll.RssMarket("9687","現在値")</f>
        <v/>
      </c>
      <c r="D162" s="661">
        <f>C162-E162</f>
        <v/>
      </c>
      <c r="E162" s="13" t="n">
        <v>4330</v>
      </c>
      <c r="F162" s="13" t="n">
        <v>4315</v>
      </c>
      <c r="G162" s="13" t="n">
        <v>4345</v>
      </c>
      <c r="H162" s="13" t="n">
        <v>4300</v>
      </c>
      <c r="I162" s="13" t="n">
        <v>4345</v>
      </c>
      <c r="J162" s="13" t="n">
        <v>4325</v>
      </c>
      <c r="K162" s="13" t="n">
        <v>4330</v>
      </c>
      <c r="L162" s="13" t="n">
        <v>4300</v>
      </c>
      <c r="M162" s="13" t="n">
        <v>4335</v>
      </c>
      <c r="N162" s="13" t="n">
        <v>4350</v>
      </c>
      <c r="O162" s="13" t="n">
        <v>4325</v>
      </c>
      <c r="P162" s="13" t="n">
        <v>4350</v>
      </c>
      <c r="Q162" s="13" t="n">
        <v>4360</v>
      </c>
      <c r="R162" s="13" t="n">
        <v>4350</v>
      </c>
      <c r="S162" s="13" t="n">
        <v>4360</v>
      </c>
      <c r="T162" s="13" t="n">
        <v>4365</v>
      </c>
      <c r="U162" s="13" t="n">
        <v>4305</v>
      </c>
      <c r="V162" s="13" t="n">
        <v>4345</v>
      </c>
      <c r="W162" s="13" t="n">
        <v>4335</v>
      </c>
      <c r="X162" s="13" t="n">
        <v>4355</v>
      </c>
      <c r="Y162" s="13" t="n">
        <v>4350</v>
      </c>
      <c r="Z162" s="13" t="n">
        <v>4365</v>
      </c>
      <c r="AA162" s="13" t="n">
        <v>4400</v>
      </c>
      <c r="AB162" s="13" t="n">
        <v>4375</v>
      </c>
      <c r="AC162" s="13" t="n">
        <v>4360</v>
      </c>
      <c r="AD162" s="13" t="n">
        <v>4440</v>
      </c>
      <c r="AE162" s="13" t="n">
        <v>4415</v>
      </c>
      <c r="AF162" s="13" t="n">
        <v>4365</v>
      </c>
      <c r="AG162" s="13" t="n">
        <v>4315</v>
      </c>
      <c r="AH162" s="13" t="n">
        <v>4350</v>
      </c>
      <c r="AI162" s="13" t="n">
        <v>4375</v>
      </c>
      <c r="AJ162" s="13" t="n">
        <v>4370</v>
      </c>
      <c r="AK162" s="13" t="n">
        <v>4350</v>
      </c>
      <c r="AL162" s="13" t="n">
        <v>4360</v>
      </c>
      <c r="AM162" s="13" t="n">
        <v>4385</v>
      </c>
      <c r="AN162" s="13" t="n">
        <v>4355</v>
      </c>
      <c r="AO162" s="13" t="n">
        <v>4345</v>
      </c>
      <c r="AP162" s="13" t="n">
        <v>4355</v>
      </c>
      <c r="AQ162" s="13" t="n">
        <v>4380</v>
      </c>
      <c r="AR162" s="13" t="n">
        <v>4430</v>
      </c>
      <c r="AS162" s="13" t="n">
        <v>4455</v>
      </c>
      <c r="AT162" s="13" t="n">
        <v>4375</v>
      </c>
      <c r="AU162" s="13" t="n">
        <v>4355</v>
      </c>
      <c r="AV162" s="13" t="n">
        <v>4380</v>
      </c>
      <c r="AW162" s="13" t="n">
        <v>4385</v>
      </c>
      <c r="AX162" s="13" t="n">
        <v>4330</v>
      </c>
      <c r="AY162" s="13" t="n">
        <v>4295</v>
      </c>
      <c r="AZ162" s="13" t="n">
        <v>4340</v>
      </c>
      <c r="BA162" s="13" t="n">
        <v>4480</v>
      </c>
      <c r="BB162" s="13" t="n">
        <v>4430</v>
      </c>
      <c r="BC162" s="13" t="n">
        <v>4500</v>
      </c>
      <c r="BD162" s="13" t="n">
        <v>4470</v>
      </c>
      <c r="BE162" s="13" t="n">
        <v>4415</v>
      </c>
      <c r="BF162" s="13" t="n">
        <v>4400</v>
      </c>
      <c r="BG162" s="13" t="n">
        <v>4495</v>
      </c>
      <c r="BH162" s="13" t="n">
        <v>4490</v>
      </c>
      <c r="BI162" s="13" t="n">
        <v>4355</v>
      </c>
      <c r="BJ162" s="13" t="n">
        <v>4400</v>
      </c>
      <c r="BK162" s="13" t="n">
        <v>4385</v>
      </c>
      <c r="BL162" s="13" t="n">
        <v>4420</v>
      </c>
    </row>
    <row r="163" ht="15.95" customHeight="1" s="574">
      <c r="A163" s="64" t="inlineStr">
        <is>
          <t>1930</t>
        </is>
      </c>
      <c r="B163" s="673" t="inlineStr">
        <is>
          <t>北陸電気工事</t>
        </is>
      </c>
      <c r="C163" s="676">
        <f>_xll.RssMarket("1930","現在値")</f>
        <v/>
      </c>
      <c r="D163" s="661">
        <f>C163-E163</f>
        <v/>
      </c>
      <c r="E163" s="13" t="n">
        <v>1725</v>
      </c>
      <c r="F163" s="13" t="n">
        <v>1701</v>
      </c>
      <c r="G163" s="13" t="n">
        <v>1699</v>
      </c>
      <c r="H163" s="13" t="n">
        <v>1651</v>
      </c>
      <c r="I163" s="13" t="n">
        <v>1621</v>
      </c>
      <c r="J163" s="13" t="n">
        <v>1581</v>
      </c>
      <c r="K163" s="13" t="n">
        <v>1594</v>
      </c>
      <c r="L163" s="13" t="n">
        <v>1582</v>
      </c>
      <c r="M163" s="13" t="n">
        <v>1619</v>
      </c>
      <c r="N163" s="13" t="n">
        <v>1552</v>
      </c>
      <c r="O163" s="13" t="n">
        <v>1582</v>
      </c>
      <c r="P163" s="13" t="n">
        <v>1570</v>
      </c>
      <c r="Q163" s="13" t="n">
        <v>1623</v>
      </c>
      <c r="R163" s="13" t="n">
        <v>1704</v>
      </c>
      <c r="S163" s="13" t="n">
        <v>1681</v>
      </c>
      <c r="T163" s="13" t="n">
        <v>1671</v>
      </c>
      <c r="U163" s="13" t="n">
        <v>1605</v>
      </c>
      <c r="V163" s="13" t="n">
        <v>1590</v>
      </c>
      <c r="W163" s="13" t="n">
        <v>1634</v>
      </c>
      <c r="X163" s="13" t="n">
        <v>1608</v>
      </c>
      <c r="Y163" s="13" t="n">
        <v>1667</v>
      </c>
      <c r="Z163" s="13" t="n">
        <v>1683</v>
      </c>
      <c r="AA163" s="13" t="n">
        <v>1739</v>
      </c>
      <c r="AB163" s="13" t="n">
        <v>1766</v>
      </c>
      <c r="AC163" s="13" t="n">
        <v>1721</v>
      </c>
      <c r="AD163" s="13" t="n">
        <v>1684</v>
      </c>
      <c r="AE163" s="13" t="n">
        <v>1668</v>
      </c>
      <c r="AF163" s="13" t="n">
        <v>1693</v>
      </c>
      <c r="AG163" s="13" t="n">
        <v>1682</v>
      </c>
      <c r="AH163" s="13" t="n">
        <v>1502</v>
      </c>
      <c r="AI163" s="13" t="n">
        <v>1443</v>
      </c>
      <c r="AJ163" s="13" t="n">
        <v>1458</v>
      </c>
      <c r="AK163" s="13" t="n">
        <v>1441</v>
      </c>
      <c r="AL163" s="13" t="n">
        <v>1446</v>
      </c>
      <c r="AM163" s="13" t="n">
        <v>1472</v>
      </c>
      <c r="AN163" s="13" t="n">
        <v>1453</v>
      </c>
      <c r="AO163" s="13" t="n">
        <v>1456</v>
      </c>
      <c r="AP163" s="13" t="n">
        <v>1473</v>
      </c>
      <c r="AQ163" s="13" t="n">
        <v>1448</v>
      </c>
      <c r="AR163" s="13" t="n">
        <v>1441</v>
      </c>
      <c r="AS163" s="13" t="n">
        <v>1439</v>
      </c>
      <c r="AT163" s="13" t="n">
        <v>1474</v>
      </c>
      <c r="AU163" s="13" t="n">
        <v>1485</v>
      </c>
      <c r="AV163" s="13" t="n">
        <v>1513</v>
      </c>
      <c r="AW163" s="13" t="n">
        <v>1466</v>
      </c>
      <c r="AX163" s="13" t="n">
        <v>1458</v>
      </c>
      <c r="AY163" s="13" t="n">
        <v>1455</v>
      </c>
      <c r="AZ163" s="13" t="n">
        <v>1454</v>
      </c>
      <c r="BA163" s="13" t="n">
        <v>1474</v>
      </c>
      <c r="BB163" s="13" t="n">
        <v>1431</v>
      </c>
      <c r="BC163" s="13" t="n">
        <v>1443</v>
      </c>
      <c r="BD163" s="13" t="n">
        <v>1505</v>
      </c>
      <c r="BE163" s="13" t="n">
        <v>1501</v>
      </c>
      <c r="BF163" s="13" t="n">
        <v>1514</v>
      </c>
      <c r="BG163" s="13" t="n">
        <v>1475</v>
      </c>
      <c r="BH163" s="13" t="n">
        <v>1455</v>
      </c>
      <c r="BI163" s="13" t="n">
        <v>1541</v>
      </c>
      <c r="BJ163" s="13" t="n">
        <v>1621</v>
      </c>
      <c r="BK163" s="13" t="n">
        <v>1577</v>
      </c>
      <c r="BL163" s="13" t="n">
        <v>1578</v>
      </c>
    </row>
    <row r="164" ht="15.95" customHeight="1" s="574">
      <c r="A164" s="64" t="inlineStr">
        <is>
          <t>8704</t>
        </is>
      </c>
      <c r="B164" s="673" t="inlineStr">
        <is>
          <t>トレイダーズＨＬＤＧＳ</t>
        </is>
      </c>
      <c r="C164" s="676">
        <f>_xll.RssMarket("8704","現在値")</f>
        <v/>
      </c>
      <c r="D164" s="661">
        <f>C164-E164</f>
        <v/>
      </c>
      <c r="E164" s="13" t="n">
        <v>1217</v>
      </c>
      <c r="F164" s="13" t="n">
        <v>1161</v>
      </c>
      <c r="G164" s="13" t="n">
        <v>1157</v>
      </c>
      <c r="H164" s="13" t="n">
        <v>1153</v>
      </c>
      <c r="I164" s="13" t="n">
        <v>1154</v>
      </c>
      <c r="J164" s="13" t="n">
        <v>1106</v>
      </c>
      <c r="K164" s="13" t="n">
        <v>1099</v>
      </c>
      <c r="L164" s="13" t="n">
        <v>1126</v>
      </c>
      <c r="M164" s="13" t="n">
        <v>1138</v>
      </c>
      <c r="N164" s="13" t="n">
        <v>1108</v>
      </c>
      <c r="O164" s="13" t="n">
        <v>1178</v>
      </c>
      <c r="P164" s="13" t="n">
        <v>1189</v>
      </c>
      <c r="Q164" s="13" t="n">
        <v>1210</v>
      </c>
      <c r="R164" s="13" t="n">
        <v>1193</v>
      </c>
      <c r="S164" s="13" t="n">
        <v>1148</v>
      </c>
      <c r="T164" s="13" t="n">
        <v>1139</v>
      </c>
      <c r="U164" s="13" t="n">
        <v>1134</v>
      </c>
      <c r="V164" s="13" t="n">
        <v>1139</v>
      </c>
      <c r="W164" s="13" t="n">
        <v>1119</v>
      </c>
      <c r="X164" s="13" t="n">
        <v>1134</v>
      </c>
      <c r="Y164" s="13" t="n">
        <v>1146</v>
      </c>
      <c r="Z164" s="13" t="n">
        <v>1169</v>
      </c>
      <c r="AA164" s="13" t="n">
        <v>1171</v>
      </c>
      <c r="AB164" s="13" t="n">
        <v>1217</v>
      </c>
      <c r="AC164" s="13" t="n">
        <v>1210</v>
      </c>
      <c r="AD164" s="13" t="n">
        <v>1236</v>
      </c>
      <c r="AE164" s="13" t="n">
        <v>1235</v>
      </c>
      <c r="AF164" s="13" t="n">
        <v>1178</v>
      </c>
      <c r="AG164" s="13" t="n">
        <v>1128</v>
      </c>
      <c r="AH164" s="13" t="n">
        <v>1043</v>
      </c>
      <c r="AI164" s="13" t="n">
        <v>1081</v>
      </c>
      <c r="AJ164" s="13" t="n">
        <v>1030</v>
      </c>
      <c r="AK164" s="13" t="n">
        <v>1029</v>
      </c>
      <c r="AL164" s="13" t="n">
        <v>1036</v>
      </c>
      <c r="AM164" s="13" t="n">
        <v>1042</v>
      </c>
      <c r="AN164" s="13" t="n">
        <v>1068</v>
      </c>
      <c r="AO164" s="13" t="n">
        <v>1053</v>
      </c>
      <c r="AP164" s="13" t="n">
        <v>1044</v>
      </c>
      <c r="AQ164" s="13" t="n">
        <v>1061</v>
      </c>
      <c r="AR164" s="13" t="n">
        <v>1043</v>
      </c>
      <c r="AS164" s="13" t="n">
        <v>1034</v>
      </c>
      <c r="AT164" s="13" t="n">
        <v>1038</v>
      </c>
      <c r="AU164" s="13" t="n">
        <v>1047</v>
      </c>
      <c r="AV164" s="13" t="n">
        <v>1057</v>
      </c>
      <c r="AW164" s="13" t="n">
        <v>1078</v>
      </c>
      <c r="AX164" s="13" t="n">
        <v>1048</v>
      </c>
      <c r="AY164" s="13" t="n">
        <v>1041</v>
      </c>
      <c r="AZ164" s="13" t="n">
        <v>1040</v>
      </c>
      <c r="BA164" s="13" t="n">
        <v>1028</v>
      </c>
      <c r="BB164" s="13" t="n">
        <v>1045</v>
      </c>
      <c r="BC164" s="13" t="n">
        <v>1013</v>
      </c>
      <c r="BD164" s="13" t="n">
        <v>1017</v>
      </c>
      <c r="BE164" s="13" t="n">
        <v>1047</v>
      </c>
      <c r="BF164" s="13" t="n">
        <v>1049</v>
      </c>
      <c r="BG164" s="13" t="n">
        <v>1072</v>
      </c>
      <c r="BH164" s="13" t="n">
        <v>1033</v>
      </c>
      <c r="BI164" s="13" t="n">
        <v>1001</v>
      </c>
      <c r="BJ164" s="13" t="n">
        <v>1030</v>
      </c>
      <c r="BK164" s="13" t="n">
        <v>1068</v>
      </c>
      <c r="BL164" s="13" t="n">
        <v>1026</v>
      </c>
    </row>
    <row r="165" ht="15.95" customHeight="1" s="574">
      <c r="A165" s="64" t="inlineStr">
        <is>
          <t>4733</t>
        </is>
      </c>
      <c r="B165" s="673" t="inlineStr">
        <is>
          <t>オービックビジネスＣ</t>
        </is>
      </c>
      <c r="C165" s="676">
        <f>_xll.RssMarket("4733","現在値")</f>
        <v/>
      </c>
      <c r="D165" s="661">
        <f>C165-E165</f>
        <v/>
      </c>
      <c r="E165" s="13" t="n">
        <v>5650</v>
      </c>
      <c r="F165" s="13" t="n">
        <v>5694</v>
      </c>
      <c r="G165" s="13" t="n">
        <v>5893</v>
      </c>
      <c r="H165" s="13" t="n">
        <v>5841</v>
      </c>
      <c r="I165" s="13" t="n">
        <v>5850</v>
      </c>
      <c r="J165" s="13" t="n">
        <v>5927</v>
      </c>
      <c r="K165" s="13" t="n">
        <v>5976</v>
      </c>
      <c r="L165" s="13" t="n">
        <v>6029</v>
      </c>
      <c r="M165" s="13" t="n">
        <v>6020</v>
      </c>
      <c r="N165" s="13" t="n">
        <v>5991</v>
      </c>
      <c r="O165" s="13" t="n">
        <v>6216</v>
      </c>
      <c r="P165" s="13" t="n">
        <v>6424</v>
      </c>
      <c r="Q165" s="13" t="n">
        <v>6379</v>
      </c>
      <c r="R165" s="13" t="n">
        <v>6117</v>
      </c>
      <c r="S165" s="13" t="n">
        <v>6088</v>
      </c>
      <c r="T165" s="13" t="n">
        <v>6169</v>
      </c>
      <c r="U165" s="13" t="n">
        <v>5979</v>
      </c>
      <c r="V165" s="13" t="n">
        <v>6121</v>
      </c>
      <c r="W165" s="13" t="n">
        <v>6101</v>
      </c>
      <c r="X165" s="13" t="n">
        <v>6121</v>
      </c>
      <c r="Y165" s="13" t="n">
        <v>6249</v>
      </c>
      <c r="Z165" s="13" t="n">
        <v>6117</v>
      </c>
      <c r="AA165" s="13" t="n">
        <v>6047</v>
      </c>
      <c r="AB165" s="13" t="n">
        <v>5999</v>
      </c>
      <c r="AC165" s="13" t="n">
        <v>6042</v>
      </c>
      <c r="AD165" s="13" t="n">
        <v>6075</v>
      </c>
      <c r="AE165" s="13" t="n">
        <v>6170</v>
      </c>
      <c r="AF165" s="13" t="n">
        <v>6213</v>
      </c>
      <c r="AG165" s="13" t="n">
        <v>6099</v>
      </c>
      <c r="AH165" s="13" t="n">
        <v>6082</v>
      </c>
      <c r="AI165" s="13" t="n">
        <v>6125</v>
      </c>
      <c r="AJ165" s="13" t="n">
        <v>6244</v>
      </c>
      <c r="AK165" s="13" t="n">
        <v>6176</v>
      </c>
      <c r="AL165" s="13" t="n">
        <v>6270</v>
      </c>
      <c r="AM165" s="13" t="n">
        <v>6270</v>
      </c>
      <c r="AN165" s="13" t="n">
        <v>6750</v>
      </c>
      <c r="AO165" s="13" t="n">
        <v>6481</v>
      </c>
      <c r="AP165" s="13" t="n">
        <v>6771</v>
      </c>
      <c r="AQ165" s="13" t="n">
        <v>6682</v>
      </c>
      <c r="AR165" s="13" t="n">
        <v>6605</v>
      </c>
      <c r="AS165" s="13" t="n">
        <v>6727</v>
      </c>
      <c r="AT165" s="13" t="n">
        <v>6551</v>
      </c>
      <c r="AU165" s="13" t="n">
        <v>6279</v>
      </c>
      <c r="AV165" s="13" t="n">
        <v>6187</v>
      </c>
      <c r="AW165" s="13" t="n">
        <v>6361</v>
      </c>
      <c r="AX165" s="13" t="n">
        <v>6485</v>
      </c>
      <c r="AY165" s="13" t="n">
        <v>6418</v>
      </c>
      <c r="AZ165" s="13" t="n">
        <v>6365</v>
      </c>
      <c r="BA165" s="13" t="n">
        <v>6327</v>
      </c>
      <c r="BB165" s="13" t="n">
        <v>6346</v>
      </c>
      <c r="BC165" s="13" t="n">
        <v>6371</v>
      </c>
      <c r="BD165" s="13" t="n">
        <v>6241</v>
      </c>
      <c r="BE165" s="13" t="n">
        <v>6164</v>
      </c>
      <c r="BF165" s="13" t="n">
        <v>6261</v>
      </c>
      <c r="BG165" s="13" t="n">
        <v>6202</v>
      </c>
      <c r="BH165" s="13" t="n">
        <v>6204</v>
      </c>
      <c r="BI165" s="13" t="n">
        <v>6240</v>
      </c>
      <c r="BJ165" s="13" t="n">
        <v>6100</v>
      </c>
      <c r="BK165" s="13" t="n">
        <v>6121</v>
      </c>
      <c r="BL165" s="13" t="n">
        <v>6287</v>
      </c>
    </row>
    <row r="166" ht="15.95" customHeight="1" s="574">
      <c r="A166" s="64" t="inlineStr">
        <is>
          <t>9733</t>
        </is>
      </c>
      <c r="B166" s="673" t="inlineStr">
        <is>
          <t>ナガセ</t>
        </is>
      </c>
      <c r="C166" s="676">
        <f>_xll.RssMarket("9733","現在値")</f>
        <v/>
      </c>
      <c r="D166" s="661">
        <f>C166-E166</f>
        <v/>
      </c>
      <c r="E166" s="13" t="n">
        <v>2220</v>
      </c>
      <c r="F166" s="13" t="n">
        <v>2212</v>
      </c>
      <c r="G166" s="13" t="n">
        <v>2201</v>
      </c>
      <c r="H166" s="13" t="n">
        <v>2203</v>
      </c>
      <c r="I166" s="13" t="n">
        <v>2235</v>
      </c>
      <c r="J166" s="13" t="n">
        <v>2225</v>
      </c>
      <c r="K166" s="13" t="n">
        <v>2246</v>
      </c>
      <c r="L166" s="13" t="n">
        <v>2200</v>
      </c>
      <c r="M166" s="13" t="n">
        <v>2204</v>
      </c>
      <c r="N166" s="13" t="n">
        <v>2187</v>
      </c>
      <c r="O166" s="13" t="n">
        <v>2207</v>
      </c>
      <c r="P166" s="13" t="n">
        <v>2200</v>
      </c>
      <c r="Q166" s="13" t="n">
        <v>2244</v>
      </c>
      <c r="R166" s="13" t="n">
        <v>2282</v>
      </c>
      <c r="S166" s="13" t="n">
        <v>2265</v>
      </c>
      <c r="T166" s="13" t="n">
        <v>2266</v>
      </c>
      <c r="U166" s="13" t="n">
        <v>2273</v>
      </c>
      <c r="V166" s="13" t="n">
        <v>2310</v>
      </c>
      <c r="W166" s="13" t="n">
        <v>2296</v>
      </c>
      <c r="X166" s="13" t="n">
        <v>2320</v>
      </c>
      <c r="Y166" s="13" t="n">
        <v>2316</v>
      </c>
      <c r="Z166" s="13" t="n">
        <v>2287</v>
      </c>
      <c r="AA166" s="13" t="n">
        <v>2267</v>
      </c>
      <c r="AB166" s="13" t="n">
        <v>2278</v>
      </c>
      <c r="AC166" s="13" t="n">
        <v>2283</v>
      </c>
      <c r="AD166" s="13" t="n">
        <v>2269</v>
      </c>
      <c r="AE166" s="13" t="n">
        <v>2287</v>
      </c>
      <c r="AF166" s="13" t="n">
        <v>2280</v>
      </c>
      <c r="AG166" s="13" t="n">
        <v>2290</v>
      </c>
      <c r="AH166" s="13" t="n">
        <v>2300</v>
      </c>
      <c r="AI166" s="13" t="n">
        <v>2311</v>
      </c>
      <c r="AJ166" s="13" t="n">
        <v>2335</v>
      </c>
      <c r="AK166" s="13" t="n">
        <v>2290</v>
      </c>
      <c r="AL166" s="13" t="n">
        <v>2311</v>
      </c>
      <c r="AM166" s="13" t="n">
        <v>2345</v>
      </c>
      <c r="AN166" s="13" t="n">
        <v>2370</v>
      </c>
      <c r="AO166" s="13" t="n">
        <v>2362</v>
      </c>
      <c r="AP166" s="13" t="n">
        <v>2412</v>
      </c>
      <c r="AQ166" s="13" t="n">
        <v>2460</v>
      </c>
      <c r="AR166" s="13" t="n">
        <v>2452</v>
      </c>
      <c r="AS166" s="13" t="n">
        <v>2421</v>
      </c>
      <c r="AT166" s="13" t="n">
        <v>2481</v>
      </c>
      <c r="AU166" s="13" t="n">
        <v>2498</v>
      </c>
      <c r="AV166" s="13" t="n">
        <v>2528</v>
      </c>
      <c r="AW166" s="13" t="n">
        <v>2523</v>
      </c>
      <c r="AX166" s="13" t="n">
        <v>2544</v>
      </c>
      <c r="AY166" s="13" t="n">
        <v>2515</v>
      </c>
      <c r="AZ166" s="13" t="n">
        <v>2522</v>
      </c>
      <c r="BA166" s="13" t="n">
        <v>2459</v>
      </c>
      <c r="BB166" s="13" t="n">
        <v>2432</v>
      </c>
      <c r="BC166" s="13" t="n">
        <v>2435</v>
      </c>
      <c r="BD166" s="13" t="n">
        <v>2351</v>
      </c>
      <c r="BE166" s="13" t="n">
        <v>2595</v>
      </c>
      <c r="BF166" s="13" t="n">
        <v>2843</v>
      </c>
      <c r="BG166" s="13" t="n">
        <v>2845</v>
      </c>
      <c r="BH166" s="13" t="n">
        <v>2825</v>
      </c>
      <c r="BI166" s="13" t="n">
        <v>2737</v>
      </c>
      <c r="BJ166" s="13" t="n">
        <v>2734</v>
      </c>
      <c r="BK166" s="13" t="n">
        <v>2770</v>
      </c>
      <c r="BL166" s="13" t="n">
        <v>2797</v>
      </c>
    </row>
    <row r="167" ht="15.95" customHeight="1" s="574">
      <c r="A167" s="64" t="inlineStr">
        <is>
          <t>9551</t>
        </is>
      </c>
      <c r="B167" s="673" t="inlineStr">
        <is>
          <t>メタウォーター</t>
        </is>
      </c>
      <c r="C167" s="676">
        <f>_xll.RssMarket("9551","現在値")</f>
        <v/>
      </c>
      <c r="D167" s="661">
        <f>C167-E167</f>
        <v/>
      </c>
      <c r="E167" s="13" t="n">
        <v>3535</v>
      </c>
      <c r="F167" s="13" t="n">
        <v>3455</v>
      </c>
      <c r="G167" s="13" t="n">
        <v>3410</v>
      </c>
      <c r="H167" s="13" t="n">
        <v>3340</v>
      </c>
      <c r="I167" s="13" t="n">
        <v>3145</v>
      </c>
      <c r="J167" s="13" t="n">
        <v>3105</v>
      </c>
      <c r="K167" s="13" t="n">
        <v>3150</v>
      </c>
      <c r="L167" s="13" t="n">
        <v>3240</v>
      </c>
      <c r="M167" s="13" t="n">
        <v>3285</v>
      </c>
      <c r="N167" s="13" t="n">
        <v>3250</v>
      </c>
      <c r="O167" s="13" t="n">
        <v>3280</v>
      </c>
      <c r="P167" s="13" t="n">
        <v>3270</v>
      </c>
      <c r="Q167" s="13" t="n">
        <v>3345</v>
      </c>
      <c r="R167" s="13" t="n">
        <v>3555</v>
      </c>
      <c r="S167" s="13" t="n">
        <v>3250</v>
      </c>
      <c r="T167" s="13" t="n">
        <v>3265</v>
      </c>
      <c r="U167" s="13" t="n">
        <v>3275</v>
      </c>
      <c r="V167" s="13" t="n">
        <v>3265</v>
      </c>
      <c r="W167" s="13" t="n">
        <v>3270</v>
      </c>
      <c r="X167" s="13" t="n">
        <v>3235</v>
      </c>
      <c r="Y167" s="13" t="n">
        <v>3285</v>
      </c>
      <c r="Z167" s="13" t="n">
        <v>3360</v>
      </c>
      <c r="AA167" s="13" t="n">
        <v>3515</v>
      </c>
      <c r="AB167" s="13" t="n">
        <v>3430</v>
      </c>
      <c r="AC167" s="13" t="n">
        <v>3440</v>
      </c>
      <c r="AD167" s="13" t="n">
        <v>3385</v>
      </c>
      <c r="AE167" s="13" t="n">
        <v>3440</v>
      </c>
      <c r="AF167" s="13" t="n">
        <v>3435</v>
      </c>
      <c r="AG167" s="13" t="n">
        <v>3365</v>
      </c>
      <c r="AH167" s="13" t="n">
        <v>3390</v>
      </c>
      <c r="AI167" s="13" t="n">
        <v>3415</v>
      </c>
      <c r="AJ167" s="13" t="n">
        <v>3270</v>
      </c>
      <c r="AK167" s="13" t="n">
        <v>3620</v>
      </c>
      <c r="AL167" s="13" t="n">
        <v>3590</v>
      </c>
      <c r="AM167" s="13" t="n">
        <v>3620</v>
      </c>
      <c r="AN167" s="13" t="n">
        <v>3690</v>
      </c>
      <c r="AO167" s="13" t="n">
        <v>3705</v>
      </c>
      <c r="AP167" s="13" t="n">
        <v>3705</v>
      </c>
      <c r="AQ167" s="13" t="n">
        <v>3685</v>
      </c>
      <c r="AR167" s="13" t="n">
        <v>3675</v>
      </c>
      <c r="AS167" s="13" t="n">
        <v>3710</v>
      </c>
      <c r="AT167" s="13" t="n">
        <v>3630</v>
      </c>
      <c r="AU167" s="13" t="n">
        <v>3675</v>
      </c>
      <c r="AV167" s="13" t="n">
        <v>3705</v>
      </c>
      <c r="AW167" s="13" t="n">
        <v>3705</v>
      </c>
      <c r="AX167" s="13" t="n">
        <v>3565</v>
      </c>
      <c r="AY167" s="13" t="n">
        <v>3590</v>
      </c>
      <c r="AZ167" s="13" t="n">
        <v>3555</v>
      </c>
      <c r="BA167" s="13" t="n">
        <v>3515</v>
      </c>
      <c r="BB167" s="13" t="n">
        <v>3640</v>
      </c>
      <c r="BC167" s="13" t="n">
        <v>3400</v>
      </c>
      <c r="BD167" s="13" t="n">
        <v>3410</v>
      </c>
      <c r="BE167" s="13" t="n">
        <v>3535</v>
      </c>
      <c r="BF167" s="13" t="n">
        <v>3520</v>
      </c>
      <c r="BG167" s="13" t="n">
        <v>3545</v>
      </c>
      <c r="BH167" s="13" t="n">
        <v>3450</v>
      </c>
      <c r="BI167" s="13" t="n">
        <v>3330</v>
      </c>
      <c r="BJ167" s="13" t="n">
        <v>3570</v>
      </c>
      <c r="BK167" s="13" t="n">
        <v>3785</v>
      </c>
      <c r="BL167" s="13" t="n">
        <v>3645</v>
      </c>
    </row>
    <row r="168" ht="15.95" customHeight="1" s="574">
      <c r="A168" s="64" t="inlineStr">
        <is>
          <t>2359</t>
        </is>
      </c>
      <c r="B168" s="673" t="inlineStr">
        <is>
          <t>コア</t>
        </is>
      </c>
      <c r="C168" s="676">
        <f>_xll.RssMarket("2359","現在値")</f>
        <v/>
      </c>
      <c r="D168" s="661">
        <f>C168-E168</f>
        <v/>
      </c>
      <c r="E168" s="13" t="n">
        <v>2031</v>
      </c>
      <c r="F168" s="13" t="n">
        <v>2020</v>
      </c>
      <c r="G168" s="13" t="n">
        <v>2005</v>
      </c>
      <c r="H168" s="13" t="n">
        <v>1993</v>
      </c>
      <c r="I168" s="13" t="n">
        <v>2019</v>
      </c>
      <c r="J168" s="13" t="n">
        <v>2027</v>
      </c>
      <c r="K168" s="13" t="n">
        <v>2034</v>
      </c>
      <c r="L168" s="13" t="n">
        <v>2083</v>
      </c>
      <c r="M168" s="13" t="n">
        <v>2040</v>
      </c>
      <c r="N168" s="13" t="n">
        <v>2041</v>
      </c>
      <c r="O168" s="13" t="n">
        <v>2043</v>
      </c>
      <c r="P168" s="13" t="n">
        <v>2048</v>
      </c>
      <c r="Q168" s="13" t="n">
        <v>2020</v>
      </c>
      <c r="R168" s="13" t="n">
        <v>2060</v>
      </c>
      <c r="S168" s="13" t="n">
        <v>2030</v>
      </c>
      <c r="T168" s="13" t="n">
        <v>2096</v>
      </c>
      <c r="U168" s="13" t="n">
        <v>2099</v>
      </c>
      <c r="V168" s="13" t="n">
        <v>2102</v>
      </c>
      <c r="W168" s="13" t="n">
        <v>2100</v>
      </c>
      <c r="X168" s="13" t="n">
        <v>2086</v>
      </c>
      <c r="Y168" s="13" t="n">
        <v>2044</v>
      </c>
      <c r="Z168" s="13" t="n">
        <v>2053</v>
      </c>
      <c r="AA168" s="13" t="n">
        <v>2064</v>
      </c>
      <c r="AB168" s="13" t="n">
        <v>2051</v>
      </c>
      <c r="AC168" s="13" t="n">
        <v>2015</v>
      </c>
      <c r="AD168" s="13" t="n">
        <v>2008</v>
      </c>
      <c r="AE168" s="13" t="n">
        <v>2006</v>
      </c>
      <c r="AF168" s="13" t="n">
        <v>1988</v>
      </c>
      <c r="AG168" s="13" t="n">
        <v>2016</v>
      </c>
      <c r="AH168" s="13" t="n">
        <v>2048</v>
      </c>
      <c r="AI168" s="13" t="n">
        <v>2205</v>
      </c>
      <c r="AJ168" s="13" t="n">
        <v>2228</v>
      </c>
      <c r="AK168" s="13" t="n">
        <v>2137</v>
      </c>
      <c r="AL168" s="13" t="n">
        <v>2137</v>
      </c>
      <c r="AM168" s="13" t="n">
        <v>2206</v>
      </c>
      <c r="AN168" s="13" t="n">
        <v>2245</v>
      </c>
      <c r="AO168" s="13" t="n">
        <v>2243</v>
      </c>
      <c r="AP168" s="13" t="n">
        <v>2251</v>
      </c>
      <c r="AQ168" s="13" t="n">
        <v>2232</v>
      </c>
      <c r="AR168" s="13" t="n">
        <v>2243</v>
      </c>
      <c r="AS168" s="13" t="n">
        <v>2215</v>
      </c>
      <c r="AT168" s="13" t="n">
        <v>2218</v>
      </c>
      <c r="AU168" s="13" t="n">
        <v>2239</v>
      </c>
      <c r="AV168" s="13" t="n">
        <v>2276</v>
      </c>
      <c r="AW168" s="13" t="n">
        <v>2313</v>
      </c>
      <c r="AX168" s="13" t="n">
        <v>2287</v>
      </c>
      <c r="AY168" s="13" t="n">
        <v>2269</v>
      </c>
      <c r="AZ168" s="13" t="n">
        <v>2273</v>
      </c>
      <c r="BA168" s="13" t="n">
        <v>2242</v>
      </c>
      <c r="BB168" s="13" t="n">
        <v>2271</v>
      </c>
      <c r="BC168" s="13" t="n">
        <v>2243</v>
      </c>
      <c r="BD168" s="13" t="n">
        <v>2216</v>
      </c>
      <c r="BE168" s="13" t="n">
        <v>2305</v>
      </c>
      <c r="BF168" s="13" t="n">
        <v>2287</v>
      </c>
      <c r="BG168" s="13" t="n">
        <v>2281</v>
      </c>
      <c r="BH168" s="13" t="n">
        <v>2179</v>
      </c>
      <c r="BI168" s="13" t="n">
        <v>2146</v>
      </c>
      <c r="BJ168" s="13" t="n">
        <v>2185</v>
      </c>
      <c r="BK168" s="13" t="n">
        <v>2233</v>
      </c>
      <c r="BL168" s="13" t="n">
        <v>2185</v>
      </c>
    </row>
    <row r="169" ht="15.95" customHeight="1" s="574">
      <c r="A169" s="64" t="inlineStr">
        <is>
          <t>8103</t>
        </is>
      </c>
      <c r="B169" s="673" t="inlineStr">
        <is>
          <t>明和産業</t>
        </is>
      </c>
      <c r="C169" s="676">
        <f>_xll.RssMarket("8103","現在値")</f>
        <v/>
      </c>
      <c r="D169" s="661">
        <f>C169-E169</f>
        <v/>
      </c>
      <c r="E169" s="13" t="n">
        <v>883</v>
      </c>
      <c r="F169" s="13" t="n">
        <v>869</v>
      </c>
      <c r="G169" s="13" t="n">
        <v>873</v>
      </c>
      <c r="H169" s="13" t="n">
        <v>872</v>
      </c>
      <c r="I169" s="13" t="n">
        <v>871</v>
      </c>
      <c r="J169" s="13" t="n">
        <v>858</v>
      </c>
      <c r="K169" s="13" t="n">
        <v>868</v>
      </c>
      <c r="L169" s="13" t="n">
        <v>880</v>
      </c>
      <c r="M169" s="13" t="n">
        <v>879</v>
      </c>
      <c r="N169" s="13" t="n">
        <v>882</v>
      </c>
      <c r="O169" s="13" t="n">
        <v>885</v>
      </c>
      <c r="P169" s="13" t="n">
        <v>878</v>
      </c>
      <c r="Q169" s="13" t="n">
        <v>882</v>
      </c>
      <c r="R169" s="13" t="n">
        <v>880</v>
      </c>
      <c r="S169" s="13" t="n">
        <v>887</v>
      </c>
      <c r="T169" s="13" t="n">
        <v>886</v>
      </c>
      <c r="U169" s="13" t="n">
        <v>907</v>
      </c>
      <c r="V169" s="13" t="n">
        <v>902</v>
      </c>
      <c r="W169" s="13" t="n">
        <v>890</v>
      </c>
      <c r="X169" s="13" t="n">
        <v>893</v>
      </c>
      <c r="Y169" s="13" t="n">
        <v>909</v>
      </c>
      <c r="Z169" s="13" t="n">
        <v>889</v>
      </c>
      <c r="AA169" s="13" t="n">
        <v>897</v>
      </c>
      <c r="AB169" s="13" t="n">
        <v>902</v>
      </c>
      <c r="AC169" s="13" t="n">
        <v>897</v>
      </c>
      <c r="AD169" s="13" t="n">
        <v>879</v>
      </c>
      <c r="AE169" s="13" t="n">
        <v>885</v>
      </c>
      <c r="AF169" s="13" t="n">
        <v>895</v>
      </c>
      <c r="AG169" s="13" t="n">
        <v>903</v>
      </c>
      <c r="AH169" s="13" t="n">
        <v>854</v>
      </c>
      <c r="AI169" s="13" t="n">
        <v>830</v>
      </c>
      <c r="AJ169" s="13" t="n">
        <v>773</v>
      </c>
      <c r="AK169" s="13" t="n">
        <v>765</v>
      </c>
      <c r="AL169" s="13" t="n">
        <v>773</v>
      </c>
      <c r="AM169" s="13" t="n">
        <v>767</v>
      </c>
      <c r="AN169" s="13" t="n">
        <v>773</v>
      </c>
      <c r="AO169" s="13" t="n">
        <v>773</v>
      </c>
      <c r="AP169" s="13" t="n">
        <v>778</v>
      </c>
      <c r="AQ169" s="13" t="n">
        <v>782</v>
      </c>
      <c r="AR169" s="13" t="n">
        <v>783</v>
      </c>
      <c r="AS169" s="13" t="n">
        <v>774</v>
      </c>
      <c r="AT169" s="13" t="n">
        <v>780</v>
      </c>
      <c r="AU169" s="13" t="n">
        <v>785</v>
      </c>
      <c r="AV169" s="13" t="n">
        <v>795</v>
      </c>
      <c r="AW169" s="13" t="n">
        <v>800</v>
      </c>
      <c r="AX169" s="13" t="n">
        <v>805</v>
      </c>
      <c r="AY169" s="13" t="n">
        <v>796</v>
      </c>
      <c r="AZ169" s="13" t="n">
        <v>787</v>
      </c>
      <c r="BA169" s="13" t="n">
        <v>792</v>
      </c>
      <c r="BB169" s="13" t="n">
        <v>794</v>
      </c>
      <c r="BC169" s="13" t="n">
        <v>804</v>
      </c>
      <c r="BD169" s="13" t="n">
        <v>789</v>
      </c>
      <c r="BE169" s="13" t="n">
        <v>786</v>
      </c>
      <c r="BF169" s="13" t="n">
        <v>826</v>
      </c>
      <c r="BG169" s="13" t="n">
        <v>824</v>
      </c>
      <c r="BH169" s="13" t="n">
        <v>829</v>
      </c>
      <c r="BI169" s="13" t="n">
        <v>819</v>
      </c>
      <c r="BJ169" s="13" t="n">
        <v>801</v>
      </c>
      <c r="BK169" s="13" t="n">
        <v>815</v>
      </c>
      <c r="BL169" s="13" t="n">
        <v>839</v>
      </c>
    </row>
    <row r="170" ht="15.95" customHeight="1" s="574">
      <c r="A170" s="64" t="inlineStr">
        <is>
          <t>4709</t>
        </is>
      </c>
      <c r="B170" s="673" t="inlineStr">
        <is>
          <t>ＩＤホールディングス</t>
        </is>
      </c>
      <c r="C170" s="676">
        <f>_xll.RssMarket("4709","現在値")</f>
        <v/>
      </c>
      <c r="D170" s="661">
        <f>C170-E170</f>
        <v/>
      </c>
      <c r="E170" s="13" t="n">
        <v>1057</v>
      </c>
      <c r="F170" s="13" t="n">
        <v>1056</v>
      </c>
      <c r="G170" s="13" t="n">
        <v>1092</v>
      </c>
      <c r="H170" s="13" t="n">
        <v>1110</v>
      </c>
      <c r="I170" s="13" t="n">
        <v>1060</v>
      </c>
      <c r="J170" s="13" t="n">
        <v>1059</v>
      </c>
      <c r="K170" s="13" t="n">
        <v>1084</v>
      </c>
      <c r="L170" s="13" t="n">
        <v>1022</v>
      </c>
      <c r="M170" s="13" t="n">
        <v>1003</v>
      </c>
      <c r="N170" s="13" t="n">
        <v>989</v>
      </c>
      <c r="O170" s="13" t="n">
        <v>1004</v>
      </c>
      <c r="P170" s="13" t="n">
        <v>1024</v>
      </c>
      <c r="Q170" s="13" t="n">
        <v>1034</v>
      </c>
      <c r="R170" s="13" t="n">
        <v>1037</v>
      </c>
      <c r="S170" s="13" t="n">
        <v>1020</v>
      </c>
      <c r="T170" s="13" t="n">
        <v>1001</v>
      </c>
      <c r="U170" s="13" t="n">
        <v>1033</v>
      </c>
      <c r="V170" s="13" t="n">
        <v>1045</v>
      </c>
      <c r="W170" s="13" t="n">
        <v>1049</v>
      </c>
      <c r="X170" s="13" t="n">
        <v>1037</v>
      </c>
      <c r="Y170" s="13" t="n">
        <v>1052</v>
      </c>
      <c r="Z170" s="13" t="n">
        <v>1016</v>
      </c>
      <c r="AA170" s="13" t="n">
        <v>1031</v>
      </c>
      <c r="AB170" s="13" t="n">
        <v>1015</v>
      </c>
      <c r="AC170" s="13" t="n">
        <v>1066</v>
      </c>
      <c r="AD170" s="13" t="n">
        <v>1072</v>
      </c>
      <c r="AE170" s="13" t="n">
        <v>1071</v>
      </c>
      <c r="AF170" s="13" t="n">
        <v>1017</v>
      </c>
      <c r="AG170" s="13" t="n">
        <v>1035</v>
      </c>
      <c r="AH170" s="13" t="n">
        <v>1031</v>
      </c>
      <c r="AI170" s="13" t="n">
        <v>1005</v>
      </c>
      <c r="AJ170" s="13" t="n">
        <v>902</v>
      </c>
      <c r="AK170" s="13" t="n">
        <v>896</v>
      </c>
      <c r="AL170" s="13" t="n">
        <v>886</v>
      </c>
      <c r="AM170" s="13" t="n">
        <v>892</v>
      </c>
      <c r="AN170" s="13" t="n">
        <v>912</v>
      </c>
      <c r="AO170" s="13" t="n">
        <v>921</v>
      </c>
      <c r="AP170" s="13" t="n">
        <v>920</v>
      </c>
      <c r="AQ170" s="13" t="n">
        <v>936</v>
      </c>
      <c r="AR170" s="13" t="n">
        <v>938</v>
      </c>
      <c r="AS170" s="13" t="n">
        <v>933</v>
      </c>
      <c r="AT170" s="13" t="n">
        <v>914</v>
      </c>
      <c r="AU170" s="13" t="n">
        <v>915</v>
      </c>
      <c r="AV170" s="13" t="n">
        <v>927</v>
      </c>
      <c r="AW170" s="13" t="n">
        <v>938</v>
      </c>
      <c r="AX170" s="13" t="n">
        <v>955</v>
      </c>
      <c r="AY170" s="13" t="n">
        <v>945</v>
      </c>
      <c r="AZ170" s="13" t="n">
        <v>944</v>
      </c>
      <c r="BA170" s="13" t="n">
        <v>944</v>
      </c>
      <c r="BB170" s="13" t="n">
        <v>952</v>
      </c>
      <c r="BC170" s="13" t="n">
        <v>957</v>
      </c>
      <c r="BD170" s="13" t="n">
        <v>935</v>
      </c>
      <c r="BE170" s="13" t="n">
        <v>930</v>
      </c>
      <c r="BF170" s="13" t="n">
        <v>957</v>
      </c>
      <c r="BG170" s="13" t="n">
        <v>947</v>
      </c>
      <c r="BH170" s="13" t="n">
        <v>949.5</v>
      </c>
      <c r="BI170" s="13" t="n">
        <v>937</v>
      </c>
      <c r="BJ170" s="13" t="n">
        <v>916</v>
      </c>
      <c r="BK170" s="13" t="n">
        <v>940</v>
      </c>
      <c r="BL170" s="13" t="n">
        <v>965.5</v>
      </c>
    </row>
    <row r="171" ht="15.95" customHeight="1" s="574">
      <c r="A171" s="64" t="inlineStr">
        <is>
          <t>7981</t>
        </is>
      </c>
      <c r="B171" s="673" t="inlineStr">
        <is>
          <t>タカラスタンダ－ド</t>
        </is>
      </c>
      <c r="C171" s="676">
        <f>_xll.RssMarket("7981","現在値")</f>
        <v/>
      </c>
      <c r="D171" s="661">
        <f>C171-E171</f>
        <v/>
      </c>
      <c r="E171" s="13" t="n">
        <v>3050</v>
      </c>
      <c r="F171" s="13" t="n">
        <v>3030</v>
      </c>
      <c r="G171" s="13" t="n">
        <v>3000</v>
      </c>
      <c r="H171" s="13" t="n">
        <v>2967</v>
      </c>
      <c r="I171" s="13" t="n">
        <v>2961</v>
      </c>
      <c r="J171" s="13" t="n">
        <v>2944</v>
      </c>
      <c r="K171" s="13" t="n">
        <v>2941</v>
      </c>
      <c r="L171" s="13" t="n">
        <v>2967</v>
      </c>
      <c r="M171" s="13" t="n">
        <v>2944</v>
      </c>
      <c r="N171" s="13" t="n">
        <v>2942</v>
      </c>
      <c r="O171" s="13" t="n">
        <v>2923</v>
      </c>
      <c r="P171" s="13" t="n">
        <v>2968</v>
      </c>
      <c r="Q171" s="13" t="n">
        <v>2969</v>
      </c>
      <c r="R171" s="13" t="n">
        <v>2960</v>
      </c>
      <c r="S171" s="13" t="n">
        <v>2952</v>
      </c>
      <c r="T171" s="13" t="n">
        <v>2990</v>
      </c>
      <c r="U171" s="13" t="n">
        <v>2912</v>
      </c>
      <c r="V171" s="13" t="n">
        <v>2896</v>
      </c>
      <c r="W171" s="13" t="n">
        <v>2901</v>
      </c>
      <c r="X171" s="13" t="n">
        <v>2947</v>
      </c>
      <c r="Y171" s="13" t="n">
        <v>2908</v>
      </c>
      <c r="Z171" s="13" t="n">
        <v>2990</v>
      </c>
      <c r="AA171" s="13" t="n">
        <v>3005</v>
      </c>
      <c r="AB171" s="13" t="n">
        <v>2995</v>
      </c>
      <c r="AC171" s="13" t="n">
        <v>3025</v>
      </c>
      <c r="AD171" s="13" t="n">
        <v>3095</v>
      </c>
      <c r="AE171" s="13" t="n">
        <v>3050</v>
      </c>
      <c r="AF171" s="13" t="n">
        <v>3210</v>
      </c>
      <c r="AG171" s="13" t="n">
        <v>3070</v>
      </c>
      <c r="AH171" s="13" t="n">
        <v>2964</v>
      </c>
      <c r="AI171" s="13" t="n">
        <v>2820</v>
      </c>
      <c r="AJ171" s="13" t="n">
        <v>2747</v>
      </c>
      <c r="AK171" s="13" t="n">
        <v>2648</v>
      </c>
      <c r="AL171" s="13" t="n">
        <v>2660</v>
      </c>
      <c r="AM171" s="13" t="n">
        <v>2657</v>
      </c>
      <c r="AN171" s="13" t="n">
        <v>2675</v>
      </c>
      <c r="AO171" s="13" t="n">
        <v>2714</v>
      </c>
      <c r="AP171" s="13" t="n">
        <v>2720</v>
      </c>
      <c r="AQ171" s="13" t="n">
        <v>2765</v>
      </c>
      <c r="AR171" s="13" t="n">
        <v>2719</v>
      </c>
      <c r="AS171" s="13" t="n">
        <v>2665</v>
      </c>
      <c r="AT171" s="13" t="n">
        <v>2740</v>
      </c>
      <c r="AU171" s="13" t="n">
        <v>2932</v>
      </c>
      <c r="AV171" s="13" t="n">
        <v>2963</v>
      </c>
      <c r="AW171" s="13" t="n">
        <v>2928</v>
      </c>
      <c r="AX171" s="13" t="n">
        <v>2847</v>
      </c>
      <c r="AY171" s="13" t="n">
        <v>2811</v>
      </c>
      <c r="AZ171" s="13" t="n">
        <v>2797</v>
      </c>
      <c r="BA171" s="13" t="n">
        <v>2778</v>
      </c>
      <c r="BB171" s="13" t="n">
        <v>2826</v>
      </c>
      <c r="BC171" s="13" t="n">
        <v>2740</v>
      </c>
      <c r="BD171" s="13" t="n">
        <v>2760</v>
      </c>
      <c r="BE171" s="13" t="n">
        <v>2855</v>
      </c>
      <c r="BF171" s="13" t="n">
        <v>2858</v>
      </c>
      <c r="BG171" s="13" t="n">
        <v>2867</v>
      </c>
      <c r="BH171" s="13" t="n">
        <v>2805</v>
      </c>
      <c r="BI171" s="13" t="n">
        <v>2740</v>
      </c>
      <c r="BJ171" s="13" t="n">
        <v>2817</v>
      </c>
      <c r="BK171" s="13" t="n">
        <v>2930</v>
      </c>
      <c r="BL171" s="13" t="n">
        <v>2836</v>
      </c>
    </row>
    <row r="172" ht="15.95" customHeight="1" s="574">
      <c r="A172" s="64" t="inlineStr">
        <is>
          <t>8303</t>
        </is>
      </c>
      <c r="B172" s="673" t="inlineStr">
        <is>
          <t>ＳＢＩ新生銀行</t>
        </is>
      </c>
      <c r="C172" s="676">
        <f>_xll.RssMarket("8303","現在値")</f>
        <v/>
      </c>
      <c r="D172" s="661">
        <f>C172-E172</f>
        <v/>
      </c>
      <c r="E172" s="13" t="n">
        <v>1422.5</v>
      </c>
      <c r="F172" s="13" t="n">
        <v>1460</v>
      </c>
      <c r="G172" s="13" t="n">
        <v>1445</v>
      </c>
      <c r="H172" s="13" t="n">
        <v>1449</v>
      </c>
      <c r="I172" s="13" t="n">
        <v>1460</v>
      </c>
      <c r="J172" s="13" t="n">
        <v>1436</v>
      </c>
      <c r="K172" s="13" t="n">
        <v>1445</v>
      </c>
      <c r="L172" s="13" t="n">
        <v>1392.5</v>
      </c>
      <c r="M172" s="13" t="n">
        <v>1396</v>
      </c>
      <c r="N172" s="13" t="n">
        <v>1418</v>
      </c>
      <c r="O172" s="13" t="n">
        <v>1392</v>
      </c>
      <c r="P172" s="13" t="n">
        <v>1359</v>
      </c>
      <c r="Q172" s="13" t="n">
        <v>1398</v>
      </c>
      <c r="R172" s="13" t="n">
        <v>1359.5</v>
      </c>
      <c r="S172" s="13" t="n">
        <v>1380</v>
      </c>
      <c r="T172" s="13" t="n">
        <v>1458.5</v>
      </c>
      <c r="U172" s="13" t="n">
        <v>1481</v>
      </c>
      <c r="V172" s="13" t="n">
        <v>1500</v>
      </c>
      <c r="W172" s="13" t="n">
        <v>1560</v>
      </c>
      <c r="X172" s="13" t="n">
        <v>1588</v>
      </c>
      <c r="Y172" s="13" t="n">
        <v>1629</v>
      </c>
      <c r="Z172" s="13" t="n">
        <v>1648.5</v>
      </c>
      <c r="AA172" s="13" t="n">
        <v>1616.5</v>
      </c>
      <c r="AB172" s="13" t="n">
        <v>1656.5</v>
      </c>
      <c r="AC172" s="13" t="n">
        <v>1658.5</v>
      </c>
      <c r="AD172" s="13" t="n">
        <v>1640</v>
      </c>
      <c r="AE172" s="13" t="n">
        <v>1676.5</v>
      </c>
      <c r="AF172" s="13" t="n">
        <v>1693</v>
      </c>
      <c r="AG172" s="13" t="n">
        <v>1717</v>
      </c>
      <c r="AH172" s="13" t="n">
        <v>1835</v>
      </c>
      <c r="AI172" s="13" t="n">
        <v>1821.5</v>
      </c>
      <c r="AJ172" s="13" t="n">
        <v>1722.5</v>
      </c>
      <c r="AK172" s="13" t="n">
        <v>1686</v>
      </c>
      <c r="AL172" s="13" t="n">
        <v>1747</v>
      </c>
      <c r="AM172" s="13" t="n">
        <v>1635</v>
      </c>
      <c r="AN172" s="13" t="n">
        <v>1658</v>
      </c>
      <c r="AO172" s="13" t="n">
        <v>1674.5</v>
      </c>
      <c r="AP172" s="13" t="n">
        <v>1687</v>
      </c>
      <c r="AQ172" s="13" t="n">
        <v>1709</v>
      </c>
      <c r="AR172" s="13" t="n">
        <v>1693.5</v>
      </c>
      <c r="AS172" s="13" t="n">
        <v>1670</v>
      </c>
      <c r="AT172" s="13" t="n">
        <v>1666.5</v>
      </c>
      <c r="AU172" s="13" t="n">
        <v>1693.5</v>
      </c>
      <c r="AV172" s="13" t="n">
        <v>1720.5</v>
      </c>
      <c r="AW172" s="13" t="n">
        <v>1766</v>
      </c>
      <c r="AX172" s="13" t="n">
        <v>1774</v>
      </c>
      <c r="AY172" s="13" t="n">
        <v>1756</v>
      </c>
      <c r="AZ172" s="13" t="n">
        <v>1725.5</v>
      </c>
      <c r="BA172" s="13" t="n">
        <v>1722</v>
      </c>
      <c r="BB172" s="13" t="n">
        <v>1759.5</v>
      </c>
      <c r="BC172" s="13" t="n">
        <v>1682.5</v>
      </c>
      <c r="BD172" s="13" t="n">
        <v>1686.5</v>
      </c>
      <c r="BE172" s="13" t="n">
        <v>1720.5</v>
      </c>
      <c r="BF172" s="13" t="n">
        <v>1692</v>
      </c>
      <c r="BG172" s="13" t="n">
        <v>1720</v>
      </c>
      <c r="BH172" s="13" t="n">
        <v>1695.5</v>
      </c>
      <c r="BI172" s="13" t="n">
        <v>1652</v>
      </c>
      <c r="BJ172" s="13" t="n">
        <v>1685</v>
      </c>
      <c r="BK172" s="13" t="n">
        <v>1705</v>
      </c>
      <c r="BL172" s="13" t="n">
        <v>1675.5</v>
      </c>
    </row>
    <row r="173" ht="15.95" customHeight="1" s="574">
      <c r="A173" s="64" t="inlineStr">
        <is>
          <t>4382</t>
        </is>
      </c>
      <c r="B173" s="673" t="inlineStr">
        <is>
          <t>ＨＥＲＯＺ</t>
        </is>
      </c>
      <c r="C173" s="676">
        <f>_xll.RssMarket("4382","現在値")</f>
        <v/>
      </c>
      <c r="D173" s="661">
        <f>C173-E173</f>
        <v/>
      </c>
      <c r="E173" s="13" t="n">
        <v>731</v>
      </c>
      <c r="F173" s="13" t="n">
        <v>728</v>
      </c>
      <c r="G173" s="13" t="n">
        <v>787</v>
      </c>
      <c r="H173" s="13" t="n">
        <v>792</v>
      </c>
      <c r="I173" s="13" t="n">
        <v>803</v>
      </c>
      <c r="J173" s="13" t="n">
        <v>761</v>
      </c>
      <c r="K173" s="13" t="n">
        <v>763</v>
      </c>
      <c r="L173" s="13" t="n">
        <v>707</v>
      </c>
      <c r="M173" s="13" t="n">
        <v>720</v>
      </c>
      <c r="N173" s="13" t="n">
        <v>698</v>
      </c>
      <c r="O173" s="13" t="n">
        <v>700</v>
      </c>
      <c r="P173" s="13" t="n">
        <v>701</v>
      </c>
      <c r="Q173" s="13" t="n">
        <v>706</v>
      </c>
      <c r="R173" s="13" t="n">
        <v>715</v>
      </c>
      <c r="S173" s="13" t="n">
        <v>718</v>
      </c>
      <c r="T173" s="13" t="n">
        <v>749</v>
      </c>
      <c r="U173" s="13" t="n">
        <v>756</v>
      </c>
      <c r="V173" s="13" t="n">
        <v>771</v>
      </c>
      <c r="W173" s="13" t="n">
        <v>762</v>
      </c>
      <c r="X173" s="13" t="n">
        <v>764</v>
      </c>
      <c r="Y173" s="13" t="n">
        <v>774</v>
      </c>
      <c r="Z173" s="13" t="n">
        <v>761</v>
      </c>
      <c r="AA173" s="13" t="n">
        <v>764</v>
      </c>
      <c r="AB173" s="13" t="n">
        <v>770</v>
      </c>
      <c r="AC173" s="13" t="n">
        <v>782</v>
      </c>
      <c r="AD173" s="13" t="n">
        <v>783</v>
      </c>
      <c r="AE173" s="13" t="n">
        <v>804</v>
      </c>
      <c r="AF173" s="13" t="n">
        <v>809</v>
      </c>
      <c r="AG173" s="13" t="n">
        <v>810</v>
      </c>
      <c r="AH173" s="13" t="n">
        <v>808</v>
      </c>
      <c r="AI173" s="13" t="n">
        <v>816</v>
      </c>
      <c r="AJ173" s="13" t="n">
        <v>872</v>
      </c>
      <c r="AK173" s="13" t="n">
        <v>846</v>
      </c>
      <c r="AL173" s="13" t="n">
        <v>850</v>
      </c>
      <c r="AM173" s="13" t="n">
        <v>852</v>
      </c>
      <c r="AN173" s="13" t="n">
        <v>858</v>
      </c>
      <c r="AO173" s="13" t="n">
        <v>859</v>
      </c>
      <c r="AP173" s="13" t="n">
        <v>879</v>
      </c>
      <c r="AQ173" s="13" t="n">
        <v>890</v>
      </c>
      <c r="AR173" s="13" t="n">
        <v>873</v>
      </c>
      <c r="AS173" s="13" t="n">
        <v>869</v>
      </c>
      <c r="AT173" s="13" t="n">
        <v>857</v>
      </c>
      <c r="AU173" s="13" t="n">
        <v>850</v>
      </c>
      <c r="AV173" s="13" t="n">
        <v>857</v>
      </c>
      <c r="AW173" s="13" t="n">
        <v>886</v>
      </c>
      <c r="AX173" s="13" t="n">
        <v>872</v>
      </c>
      <c r="AY173" s="13" t="n">
        <v>874</v>
      </c>
      <c r="AZ173" s="13" t="n">
        <v>855</v>
      </c>
      <c r="BA173" s="13" t="n">
        <v>851</v>
      </c>
      <c r="BB173" s="13" t="n">
        <v>858</v>
      </c>
      <c r="BC173" s="13" t="n">
        <v>834</v>
      </c>
      <c r="BD173" s="13" t="n">
        <v>824</v>
      </c>
      <c r="BE173" s="13" t="n">
        <v>840</v>
      </c>
      <c r="BF173" s="13" t="n">
        <v>808</v>
      </c>
      <c r="BG173" s="13" t="n">
        <v>824</v>
      </c>
      <c r="BH173" s="13" t="n">
        <v>808</v>
      </c>
      <c r="BI173" s="13" t="n">
        <v>778</v>
      </c>
      <c r="BJ173" s="13" t="n">
        <v>822</v>
      </c>
      <c r="BK173" s="13" t="n">
        <v>861</v>
      </c>
      <c r="BL173" s="13" t="n">
        <v>863</v>
      </c>
    </row>
    <row r="174" ht="15.95" customHeight="1" s="574">
      <c r="A174" s="64" t="inlineStr">
        <is>
          <t>2327</t>
        </is>
      </c>
      <c r="B174" s="673" t="inlineStr">
        <is>
          <t>日鉄ソリューションズ</t>
        </is>
      </c>
      <c r="C174" s="676">
        <f>_xll.RssMarket("2327","現在値")</f>
        <v/>
      </c>
      <c r="D174" s="661">
        <f>C174-E174</f>
        <v/>
      </c>
      <c r="E174" s="13" t="n">
        <v>3228</v>
      </c>
      <c r="F174" s="13" t="n">
        <v>3194</v>
      </c>
      <c r="G174" s="13" t="n">
        <v>3135</v>
      </c>
      <c r="H174" s="13" t="n">
        <v>3120</v>
      </c>
      <c r="I174" s="13" t="n">
        <v>3214</v>
      </c>
      <c r="J174" s="13" t="n">
        <v>3232</v>
      </c>
      <c r="K174" s="13" t="n">
        <v>3256</v>
      </c>
      <c r="L174" s="13" t="n">
        <v>3339</v>
      </c>
      <c r="M174" s="13" t="n">
        <v>3415</v>
      </c>
      <c r="N174" s="13" t="n">
        <v>3433</v>
      </c>
      <c r="O174" s="13" t="n">
        <v>3423</v>
      </c>
      <c r="P174" s="13" t="n">
        <v>3545</v>
      </c>
      <c r="Q174" s="13" t="n">
        <v>3566</v>
      </c>
      <c r="R174" s="13" t="n">
        <v>3485</v>
      </c>
      <c r="S174" s="13" t="n">
        <v>3511</v>
      </c>
      <c r="T174" s="13" t="n">
        <v>3566</v>
      </c>
      <c r="U174" s="13" t="n">
        <v>3649</v>
      </c>
      <c r="V174" s="13" t="n">
        <v>3576</v>
      </c>
      <c r="W174" s="13" t="n">
        <v>3548</v>
      </c>
      <c r="X174" s="13" t="n">
        <v>3590</v>
      </c>
      <c r="Y174" s="13" t="n">
        <v>3522</v>
      </c>
      <c r="Z174" s="13" t="n">
        <v>3476</v>
      </c>
      <c r="AA174" s="13" t="n">
        <v>3529</v>
      </c>
      <c r="AB174" s="13" t="n">
        <v>3563</v>
      </c>
      <c r="AC174" s="13" t="n">
        <v>3709</v>
      </c>
      <c r="AD174" s="13" t="n">
        <v>3610</v>
      </c>
      <c r="AE174" s="13" t="n">
        <v>3648</v>
      </c>
      <c r="AF174" s="13" t="n">
        <v>3590</v>
      </c>
      <c r="AG174" s="13" t="n">
        <v>3566</v>
      </c>
      <c r="AH174" s="13" t="n">
        <v>3605</v>
      </c>
      <c r="AI174" s="13" t="n">
        <v>3711</v>
      </c>
      <c r="AJ174" s="13" t="n">
        <v>3584</v>
      </c>
      <c r="AK174" s="13" t="n">
        <v>3680</v>
      </c>
      <c r="AL174" s="13" t="n">
        <v>3708</v>
      </c>
      <c r="AM174" s="13" t="n">
        <v>3903</v>
      </c>
      <c r="AN174" s="13" t="n">
        <v>3878</v>
      </c>
      <c r="AO174" s="13" t="n">
        <v>3832</v>
      </c>
      <c r="AP174" s="13" t="n">
        <v>3909</v>
      </c>
      <c r="AQ174" s="13" t="n">
        <v>3862</v>
      </c>
      <c r="AR174" s="13" t="n">
        <v>3865</v>
      </c>
      <c r="AS174" s="13" t="n">
        <v>3750</v>
      </c>
      <c r="AT174" s="13" t="n">
        <v>3714</v>
      </c>
      <c r="AU174" s="13" t="n">
        <v>3771</v>
      </c>
      <c r="AV174" s="13" t="n">
        <v>3841</v>
      </c>
      <c r="AW174" s="13" t="n">
        <v>3864</v>
      </c>
      <c r="AX174" s="13" t="n">
        <v>3872</v>
      </c>
      <c r="AY174" s="13" t="n">
        <v>3854</v>
      </c>
      <c r="AZ174" s="13" t="n">
        <v>3820</v>
      </c>
      <c r="BA174" s="13" t="n">
        <v>3670</v>
      </c>
      <c r="BB174" s="13" t="n">
        <v>3741</v>
      </c>
      <c r="BC174" s="13" t="n">
        <v>3662</v>
      </c>
      <c r="BD174" s="13" t="n">
        <v>3639</v>
      </c>
      <c r="BE174" s="13" t="n">
        <v>3692</v>
      </c>
      <c r="BF174" s="13" t="n">
        <v>3669</v>
      </c>
      <c r="BG174" s="13" t="n">
        <v>3670</v>
      </c>
      <c r="BH174" s="13" t="n">
        <v>3648</v>
      </c>
      <c r="BI174" s="13" t="n">
        <v>3624</v>
      </c>
      <c r="BJ174" s="13" t="n">
        <v>3683</v>
      </c>
      <c r="BK174" s="13" t="n">
        <v>3762</v>
      </c>
      <c r="BL174" s="13" t="n">
        <v>3743</v>
      </c>
    </row>
    <row r="175" ht="15.95" customHeight="1" s="574">
      <c r="A175" s="64" t="inlineStr">
        <is>
          <t>1942</t>
        </is>
      </c>
      <c r="B175" s="673" t="inlineStr">
        <is>
          <t>関電工</t>
        </is>
      </c>
      <c r="C175" s="676">
        <f>_xll.RssMarket("1942","現在値")</f>
        <v/>
      </c>
      <c r="D175" s="661">
        <f>C175-E175</f>
        <v/>
      </c>
      <c r="E175" s="13" t="n">
        <v>6736</v>
      </c>
      <c r="F175" s="13" t="n">
        <v>6829</v>
      </c>
      <c r="G175" s="13" t="n">
        <v>6467</v>
      </c>
      <c r="H175" s="13" t="n">
        <v>6237</v>
      </c>
      <c r="I175" s="13" t="n">
        <v>5773</v>
      </c>
      <c r="J175" s="13" t="n">
        <v>5801</v>
      </c>
      <c r="K175" s="13" t="n">
        <v>5935</v>
      </c>
      <c r="L175" s="13" t="n">
        <v>5745</v>
      </c>
      <c r="M175" s="13" t="n">
        <v>5854</v>
      </c>
      <c r="N175" s="13" t="n">
        <v>5786</v>
      </c>
      <c r="O175" s="13" t="n">
        <v>5802</v>
      </c>
      <c r="P175" s="13" t="n">
        <v>6067</v>
      </c>
      <c r="Q175" s="13" t="n">
        <v>6087</v>
      </c>
      <c r="R175" s="13" t="n">
        <v>6538</v>
      </c>
      <c r="S175" s="13" t="n">
        <v>6568</v>
      </c>
      <c r="T175" s="13" t="n">
        <v>6475</v>
      </c>
      <c r="U175" s="13" t="n">
        <v>6442</v>
      </c>
      <c r="V175" s="13" t="n">
        <v>5966</v>
      </c>
      <c r="W175" s="13" t="n">
        <v>6089</v>
      </c>
      <c r="X175" s="13" t="n">
        <v>6088</v>
      </c>
      <c r="Y175" s="13" t="n">
        <v>6422</v>
      </c>
      <c r="Z175" s="13" t="n">
        <v>6470</v>
      </c>
      <c r="AA175" s="13" t="n">
        <v>6845</v>
      </c>
      <c r="AB175" s="13" t="n">
        <v>6929</v>
      </c>
      <c r="AC175" s="13" t="n">
        <v>7267</v>
      </c>
      <c r="AD175" s="13" t="n">
        <v>7346</v>
      </c>
      <c r="AE175" s="13" t="n">
        <v>7165</v>
      </c>
      <c r="AF175" s="13" t="n">
        <v>7046</v>
      </c>
      <c r="AG175" s="13" t="n">
        <v>7025</v>
      </c>
      <c r="AH175" s="13" t="n">
        <v>6734</v>
      </c>
      <c r="AI175" s="13" t="n">
        <v>6838</v>
      </c>
      <c r="AJ175" s="13" t="n">
        <v>6797</v>
      </c>
      <c r="AK175" s="13" t="n">
        <v>5982</v>
      </c>
      <c r="AL175" s="13" t="n">
        <v>6073</v>
      </c>
      <c r="AM175" s="13" t="n">
        <v>6077</v>
      </c>
      <c r="AN175" s="13" t="n">
        <v>6052</v>
      </c>
      <c r="AO175" s="13" t="n">
        <v>6145</v>
      </c>
      <c r="AP175" s="13" t="n">
        <v>6139</v>
      </c>
      <c r="AQ175" s="13" t="n">
        <v>6141</v>
      </c>
      <c r="AR175" s="13" t="n">
        <v>6188</v>
      </c>
      <c r="AS175" s="13" t="n">
        <v>6110</v>
      </c>
      <c r="AT175" s="13" t="n">
        <v>6326</v>
      </c>
      <c r="AU175" s="13" t="n">
        <v>6243</v>
      </c>
      <c r="AV175" s="13" t="n">
        <v>6333</v>
      </c>
      <c r="AW175" s="13" t="n">
        <v>6385</v>
      </c>
      <c r="AX175" s="13" t="n">
        <v>6300</v>
      </c>
      <c r="AY175" s="13" t="n">
        <v>6075</v>
      </c>
      <c r="AZ175" s="13" t="n">
        <v>6063</v>
      </c>
      <c r="BA175" s="13" t="n">
        <v>6113</v>
      </c>
      <c r="BB175" s="13" t="n">
        <v>6022</v>
      </c>
      <c r="BC175" s="13" t="n">
        <v>6200</v>
      </c>
      <c r="BD175" s="13" t="n">
        <v>5862</v>
      </c>
      <c r="BE175" s="13" t="n">
        <v>5995</v>
      </c>
      <c r="BF175" s="13" t="n">
        <v>6216</v>
      </c>
      <c r="BG175" s="13" t="n">
        <v>6306</v>
      </c>
      <c r="BH175" s="13" t="n">
        <v>6332</v>
      </c>
      <c r="BI175" s="13" t="n">
        <v>6048</v>
      </c>
      <c r="BJ175" s="13" t="n">
        <v>5918</v>
      </c>
      <c r="BK175" s="13" t="n">
        <v>6195</v>
      </c>
      <c r="BL175" s="13" t="n">
        <v>6352</v>
      </c>
    </row>
    <row r="176" ht="15.95" customHeight="1" s="574">
      <c r="A176" s="64" t="inlineStr">
        <is>
          <t>1938</t>
        </is>
      </c>
      <c r="B176" s="673" t="inlineStr">
        <is>
          <t>日本リーテック</t>
        </is>
      </c>
      <c r="C176" s="676">
        <f>_xll.RssMarket("1938","現在値")</f>
        <v/>
      </c>
      <c r="D176" s="661">
        <f>C176-E176</f>
        <v/>
      </c>
      <c r="E176" s="13" t="n">
        <v>2781</v>
      </c>
      <c r="F176" s="13" t="n">
        <v>2796</v>
      </c>
      <c r="G176" s="13" t="n">
        <v>2767</v>
      </c>
      <c r="H176" s="13" t="n">
        <v>2758</v>
      </c>
      <c r="I176" s="13" t="n">
        <v>2688</v>
      </c>
      <c r="J176" s="13" t="n">
        <v>2664</v>
      </c>
      <c r="K176" s="13" t="n">
        <v>2744</v>
      </c>
      <c r="L176" s="13" t="n">
        <v>2695</v>
      </c>
      <c r="M176" s="13" t="n">
        <v>2772</v>
      </c>
      <c r="N176" s="13" t="n">
        <v>2763</v>
      </c>
      <c r="O176" s="13" t="n">
        <v>2705</v>
      </c>
      <c r="P176" s="13" t="n">
        <v>2704</v>
      </c>
      <c r="Q176" s="13" t="n">
        <v>2732</v>
      </c>
      <c r="R176" s="13" t="n">
        <v>2829</v>
      </c>
      <c r="S176" s="13" t="n">
        <v>2779</v>
      </c>
      <c r="T176" s="13" t="n">
        <v>2761</v>
      </c>
      <c r="U176" s="13" t="n">
        <v>2830</v>
      </c>
      <c r="V176" s="13" t="n">
        <v>2637</v>
      </c>
      <c r="W176" s="13" t="n">
        <v>2655</v>
      </c>
      <c r="X176" s="13" t="n">
        <v>2704</v>
      </c>
      <c r="Y176" s="13" t="n">
        <v>2802</v>
      </c>
      <c r="Z176" s="13" t="n">
        <v>2849</v>
      </c>
      <c r="AA176" s="13" t="n">
        <v>2921</v>
      </c>
      <c r="AB176" s="13" t="n">
        <v>2919</v>
      </c>
      <c r="AC176" s="13" t="n">
        <v>3055</v>
      </c>
      <c r="AD176" s="13" t="n">
        <v>3045</v>
      </c>
      <c r="AE176" s="13" t="n">
        <v>3010</v>
      </c>
      <c r="AF176" s="13" t="n">
        <v>2918</v>
      </c>
      <c r="AG176" s="13" t="n">
        <v>2924</v>
      </c>
      <c r="AH176" s="13" t="n">
        <v>2789</v>
      </c>
      <c r="AI176" s="13" t="n">
        <v>2710</v>
      </c>
      <c r="AJ176" s="13" t="n">
        <v>2733</v>
      </c>
      <c r="AK176" s="13" t="n">
        <v>2543</v>
      </c>
      <c r="AL176" s="13" t="n">
        <v>2582</v>
      </c>
      <c r="AM176" s="13" t="n">
        <v>2572</v>
      </c>
      <c r="AN176" s="13" t="n">
        <v>2510</v>
      </c>
      <c r="AO176" s="13" t="n">
        <v>2588</v>
      </c>
      <c r="AP176" s="13" t="n">
        <v>2543</v>
      </c>
      <c r="AQ176" s="13" t="n">
        <v>2537</v>
      </c>
      <c r="AR176" s="13" t="n">
        <v>2610</v>
      </c>
      <c r="AS176" s="13" t="n">
        <v>2585</v>
      </c>
      <c r="AT176" s="13" t="n">
        <v>2654</v>
      </c>
      <c r="AU176" s="13" t="n">
        <v>2657</v>
      </c>
      <c r="AV176" s="13" t="n">
        <v>2654</v>
      </c>
      <c r="AW176" s="13" t="n">
        <v>2641</v>
      </c>
      <c r="AX176" s="13" t="n">
        <v>2679</v>
      </c>
      <c r="AY176" s="13" t="n">
        <v>2576</v>
      </c>
      <c r="AZ176" s="13" t="n">
        <v>2551</v>
      </c>
      <c r="BA176" s="13" t="n">
        <v>2535</v>
      </c>
      <c r="BB176" s="13" t="n">
        <v>2522</v>
      </c>
      <c r="BC176" s="13" t="n">
        <v>2576</v>
      </c>
      <c r="BD176" s="13" t="n">
        <v>2521</v>
      </c>
      <c r="BE176" s="13" t="n">
        <v>2534</v>
      </c>
      <c r="BF176" s="13" t="n">
        <v>2653</v>
      </c>
      <c r="BG176" s="13" t="n">
        <v>2633</v>
      </c>
      <c r="BH176" s="13" t="n">
        <v>2700</v>
      </c>
      <c r="BI176" s="13" t="n">
        <v>2592</v>
      </c>
      <c r="BJ176" s="13" t="n">
        <v>2525</v>
      </c>
      <c r="BK176" s="13" t="n">
        <v>2694</v>
      </c>
      <c r="BL176" s="13" t="n">
        <v>2763</v>
      </c>
    </row>
    <row r="177" ht="15.95" customHeight="1" s="574">
      <c r="A177" s="64" t="inlineStr">
        <is>
          <t>7236</t>
        </is>
      </c>
      <c r="B177" s="673" t="inlineStr">
        <is>
          <t>ティラド</t>
        </is>
      </c>
      <c r="C177" s="676">
        <f>_xll.RssMarket("7236","現在値")</f>
        <v/>
      </c>
      <c r="D177" s="661">
        <f>C177-E177</f>
        <v/>
      </c>
      <c r="E177" s="13" t="n">
        <v>14830</v>
      </c>
      <c r="F177" s="13" t="n">
        <v>14280</v>
      </c>
      <c r="G177" s="13" t="n">
        <v>14250</v>
      </c>
      <c r="H177" s="13" t="n">
        <v>14230</v>
      </c>
      <c r="I177" s="13" t="n">
        <v>13950</v>
      </c>
      <c r="J177" s="13" t="n">
        <v>14130</v>
      </c>
      <c r="K177" s="13" t="n">
        <v>14350</v>
      </c>
      <c r="L177" s="13" t="n">
        <v>14050</v>
      </c>
      <c r="M177" s="13" t="n">
        <v>14360</v>
      </c>
      <c r="N177" s="13" t="n">
        <v>14060</v>
      </c>
      <c r="O177" s="13" t="n">
        <v>14420</v>
      </c>
      <c r="P177" s="13" t="n">
        <v>14980</v>
      </c>
      <c r="Q177" s="13" t="n">
        <v>15320</v>
      </c>
      <c r="R177" s="13" t="n">
        <v>14860</v>
      </c>
      <c r="S177" s="13" t="n">
        <v>14850</v>
      </c>
      <c r="T177" s="13" t="n">
        <v>14960</v>
      </c>
      <c r="U177" s="13" t="n">
        <v>15440</v>
      </c>
      <c r="V177" s="13" t="n">
        <v>14740</v>
      </c>
      <c r="W177" s="13" t="n">
        <v>14340</v>
      </c>
      <c r="X177" s="13" t="n">
        <v>13650</v>
      </c>
      <c r="Y177" s="13" t="n">
        <v>13850</v>
      </c>
      <c r="Z177" s="13" t="n">
        <v>13830</v>
      </c>
      <c r="AA177" s="13" t="n">
        <v>14370</v>
      </c>
      <c r="AB177" s="13" t="n">
        <v>14450</v>
      </c>
      <c r="AC177" s="13" t="n">
        <v>14800</v>
      </c>
      <c r="AD177" s="13" t="n">
        <v>14480</v>
      </c>
      <c r="AE177" s="13" t="n">
        <v>14730</v>
      </c>
      <c r="AF177" s="13" t="n">
        <v>14500</v>
      </c>
      <c r="AG177" s="13" t="n">
        <v>14680</v>
      </c>
      <c r="AH177" s="13" t="n">
        <v>14600</v>
      </c>
      <c r="AI177" s="13" t="n">
        <v>11110</v>
      </c>
      <c r="AJ177" s="13" t="n">
        <v>9610</v>
      </c>
      <c r="AK177" s="13" t="n">
        <v>8110</v>
      </c>
      <c r="AL177" s="13" t="n">
        <v>8150</v>
      </c>
      <c r="AM177" s="13" t="n">
        <v>8510</v>
      </c>
      <c r="AN177" s="13" t="n">
        <v>8820</v>
      </c>
      <c r="AO177" s="13" t="n">
        <v>9140</v>
      </c>
      <c r="AP177" s="13" t="n">
        <v>9210</v>
      </c>
      <c r="AQ177" s="13" t="n">
        <v>9040</v>
      </c>
      <c r="AR177" s="13" t="n">
        <v>9010</v>
      </c>
      <c r="AS177" s="13" t="n">
        <v>8550</v>
      </c>
      <c r="AT177" s="13" t="n">
        <v>8360</v>
      </c>
      <c r="AU177" s="13" t="n">
        <v>8250</v>
      </c>
      <c r="AV177" s="13" t="n">
        <v>8200</v>
      </c>
      <c r="AW177" s="13" t="n">
        <v>8200</v>
      </c>
      <c r="AX177" s="13" t="n">
        <v>8380</v>
      </c>
      <c r="AY177" s="13" t="n">
        <v>8090</v>
      </c>
      <c r="AZ177" s="13" t="n">
        <v>8110</v>
      </c>
      <c r="BA177" s="13" t="n">
        <v>8050</v>
      </c>
      <c r="BB177" s="13" t="n">
        <v>8060</v>
      </c>
      <c r="BC177" s="13" t="n">
        <v>8230</v>
      </c>
      <c r="BD177" s="13" t="n">
        <v>7750</v>
      </c>
      <c r="BE177" s="13" t="n">
        <v>7890</v>
      </c>
      <c r="BF177" s="13" t="n">
        <v>8330</v>
      </c>
      <c r="BG177" s="13" t="n">
        <v>8420</v>
      </c>
      <c r="BH177" s="13" t="n">
        <v>8700</v>
      </c>
      <c r="BI177" s="13" t="n">
        <v>8480</v>
      </c>
      <c r="BJ177" s="13" t="n">
        <v>8300</v>
      </c>
      <c r="BK177" s="13" t="n">
        <v>8830</v>
      </c>
      <c r="BL177" s="13" t="n">
        <v>9320</v>
      </c>
    </row>
    <row r="178" ht="15.95" customHeight="1" s="574">
      <c r="A178" s="64" t="inlineStr">
        <is>
          <t>6436</t>
        </is>
      </c>
      <c r="B178" s="673" t="inlineStr">
        <is>
          <t>アマノ</t>
        </is>
      </c>
      <c r="C178" s="676">
        <f>_xll.RssMarket("6436","現在値")</f>
        <v/>
      </c>
      <c r="D178" s="661">
        <f>C178-E178</f>
        <v/>
      </c>
      <c r="E178" s="13" t="n">
        <v>3597</v>
      </c>
      <c r="F178" s="13" t="n">
        <v>3577</v>
      </c>
      <c r="G178" s="13" t="n">
        <v>3565</v>
      </c>
      <c r="H178" s="13" t="n">
        <v>3563</v>
      </c>
      <c r="I178" s="13" t="n">
        <v>3588</v>
      </c>
      <c r="J178" s="13" t="n">
        <v>3597</v>
      </c>
      <c r="K178" s="13" t="n">
        <v>3632</v>
      </c>
      <c r="L178" s="13" t="n">
        <v>3562</v>
      </c>
      <c r="M178" s="13" t="n">
        <v>3530</v>
      </c>
      <c r="N178" s="13" t="n">
        <v>3512</v>
      </c>
      <c r="O178" s="13" t="n">
        <v>3533</v>
      </c>
      <c r="P178" s="13" t="n">
        <v>3532</v>
      </c>
      <c r="Q178" s="13" t="n">
        <v>3534</v>
      </c>
      <c r="R178" s="13" t="n">
        <v>3574</v>
      </c>
      <c r="S178" s="13" t="n">
        <v>3568</v>
      </c>
      <c r="T178" s="13" t="n">
        <v>3553</v>
      </c>
      <c r="U178" s="13" t="n">
        <v>3594</v>
      </c>
      <c r="V178" s="13" t="n">
        <v>3622</v>
      </c>
      <c r="W178" s="13" t="n">
        <v>3634</v>
      </c>
      <c r="X178" s="13" t="n">
        <v>3639</v>
      </c>
      <c r="Y178" s="13" t="n">
        <v>3695</v>
      </c>
      <c r="Z178" s="13" t="n">
        <v>3631</v>
      </c>
      <c r="AA178" s="13" t="n">
        <v>3671</v>
      </c>
      <c r="AB178" s="13" t="n">
        <v>3672</v>
      </c>
      <c r="AC178" s="13" t="n">
        <v>3647</v>
      </c>
      <c r="AD178" s="13" t="n">
        <v>3678</v>
      </c>
      <c r="AE178" s="13" t="n">
        <v>3688</v>
      </c>
      <c r="AF178" s="13" t="n">
        <v>3676</v>
      </c>
      <c r="AG178" s="13" t="n">
        <v>3621</v>
      </c>
      <c r="AH178" s="13" t="n">
        <v>3573</v>
      </c>
      <c r="AI178" s="13" t="n">
        <v>3583</v>
      </c>
      <c r="AJ178" s="13" t="n">
        <v>3706</v>
      </c>
      <c r="AK178" s="13" t="n">
        <v>3637</v>
      </c>
      <c r="AL178" s="13" t="n">
        <v>3795</v>
      </c>
      <c r="AM178" s="13" t="n">
        <v>3840</v>
      </c>
      <c r="AN178" s="13" t="n">
        <v>3846</v>
      </c>
      <c r="AO178" s="13" t="n">
        <v>3841</v>
      </c>
      <c r="AP178" s="13" t="n">
        <v>3876</v>
      </c>
      <c r="AQ178" s="13" t="n">
        <v>3914</v>
      </c>
      <c r="AR178" s="13" t="n">
        <v>3883</v>
      </c>
      <c r="AS178" s="13" t="n">
        <v>3850</v>
      </c>
      <c r="AT178" s="13" t="n">
        <v>3863</v>
      </c>
      <c r="AU178" s="13" t="n">
        <v>3887</v>
      </c>
      <c r="AV178" s="13" t="n">
        <v>3885</v>
      </c>
      <c r="AW178" s="13" t="n">
        <v>3951</v>
      </c>
      <c r="AX178" s="13" t="n">
        <v>3924</v>
      </c>
      <c r="AY178" s="13" t="n">
        <v>3902</v>
      </c>
      <c r="AZ178" s="13" t="n">
        <v>3871</v>
      </c>
      <c r="BA178" s="13" t="n">
        <v>3848</v>
      </c>
      <c r="BB178" s="13" t="n">
        <v>3844</v>
      </c>
      <c r="BC178" s="13" t="n">
        <v>3856</v>
      </c>
      <c r="BD178" s="13" t="n">
        <v>3778</v>
      </c>
      <c r="BE178" s="13" t="n">
        <v>3753</v>
      </c>
      <c r="BF178" s="13" t="n">
        <v>3891</v>
      </c>
      <c r="BG178" s="13" t="n">
        <v>3896</v>
      </c>
      <c r="BH178" s="13" t="n">
        <v>3895</v>
      </c>
      <c r="BI178" s="13" t="n">
        <v>3867</v>
      </c>
      <c r="BJ178" s="13" t="n">
        <v>3818</v>
      </c>
      <c r="BK178" s="13" t="n">
        <v>3860</v>
      </c>
      <c r="BL178" s="13" t="n">
        <v>3916</v>
      </c>
    </row>
    <row r="179" ht="15.95" customHeight="1" s="574">
      <c r="A179" s="64" t="inlineStr">
        <is>
          <t>5410</t>
        </is>
      </c>
      <c r="B179" s="673" t="inlineStr">
        <is>
          <t>合同製鐵</t>
        </is>
      </c>
      <c r="C179" s="676">
        <f>_xll.RssMarket("5410","現在値")</f>
        <v/>
      </c>
      <c r="D179" s="661">
        <f>C179-E179</f>
        <v/>
      </c>
      <c r="E179" s="13" t="n">
        <v>2591</v>
      </c>
      <c r="F179" s="13" t="n">
        <v>2607</v>
      </c>
      <c r="G179" s="13" t="n">
        <v>2617</v>
      </c>
      <c r="H179" s="13" t="n">
        <v>2594</v>
      </c>
      <c r="I179" s="13" t="n">
        <v>2602</v>
      </c>
      <c r="J179" s="13" t="n">
        <v>2533</v>
      </c>
      <c r="K179" s="13" t="n">
        <v>2553</v>
      </c>
      <c r="L179" s="13" t="n">
        <v>2530</v>
      </c>
      <c r="M179" s="13" t="n">
        <v>2566</v>
      </c>
      <c r="N179" s="13" t="n">
        <v>2551</v>
      </c>
      <c r="O179" s="13" t="n">
        <v>2581</v>
      </c>
      <c r="P179" s="13" t="n">
        <v>2567</v>
      </c>
      <c r="Q179" s="13" t="n">
        <v>2600</v>
      </c>
      <c r="R179" s="13" t="n">
        <v>2747</v>
      </c>
      <c r="S179" s="13" t="n">
        <v>2704</v>
      </c>
      <c r="T179" s="13" t="n">
        <v>2705</v>
      </c>
      <c r="U179" s="13" t="n">
        <v>2658</v>
      </c>
      <c r="V179" s="13" t="n">
        <v>2682</v>
      </c>
      <c r="W179" s="13" t="n">
        <v>2713</v>
      </c>
      <c r="X179" s="13" t="n">
        <v>2675</v>
      </c>
      <c r="Y179" s="13" t="n">
        <v>2780</v>
      </c>
      <c r="Z179" s="13" t="n">
        <v>2762</v>
      </c>
      <c r="AA179" s="13" t="n">
        <v>2839</v>
      </c>
      <c r="AB179" s="13" t="n">
        <v>2852</v>
      </c>
      <c r="AC179" s="13" t="n">
        <v>2824</v>
      </c>
      <c r="AD179" s="13" t="n">
        <v>2852</v>
      </c>
      <c r="AE179" s="13" t="n">
        <v>2849</v>
      </c>
      <c r="AF179" s="13" t="n">
        <v>2886</v>
      </c>
      <c r="AG179" s="13" t="n">
        <v>2881</v>
      </c>
      <c r="AH179" s="13" t="n">
        <v>2883</v>
      </c>
      <c r="AI179" s="13" t="n">
        <v>2845</v>
      </c>
      <c r="AJ179" s="13" t="n">
        <v>2929</v>
      </c>
      <c r="AK179" s="13" t="n">
        <v>3040</v>
      </c>
      <c r="AL179" s="13" t="n">
        <v>3410</v>
      </c>
      <c r="AM179" s="13" t="n">
        <v>3460</v>
      </c>
      <c r="AN179" s="13" t="n">
        <v>3475</v>
      </c>
      <c r="AO179" s="13" t="n">
        <v>3535</v>
      </c>
      <c r="AP179" s="13" t="n">
        <v>3540</v>
      </c>
      <c r="AQ179" s="13" t="n">
        <v>3555</v>
      </c>
      <c r="AR179" s="13" t="n">
        <v>3570</v>
      </c>
      <c r="AS179" s="13" t="n">
        <v>3560</v>
      </c>
      <c r="AT179" s="13" t="n">
        <v>3565</v>
      </c>
      <c r="AU179" s="13" t="n">
        <v>3545</v>
      </c>
      <c r="AV179" s="13" t="n">
        <v>3580</v>
      </c>
      <c r="AW179" s="13" t="n">
        <v>3640</v>
      </c>
      <c r="AX179" s="13" t="n">
        <v>3700</v>
      </c>
      <c r="AY179" s="13" t="n">
        <v>3675</v>
      </c>
      <c r="AZ179" s="13" t="n">
        <v>3695</v>
      </c>
      <c r="BA179" s="13" t="n">
        <v>3690</v>
      </c>
      <c r="BB179" s="13" t="n">
        <v>3670</v>
      </c>
      <c r="BC179" s="13" t="n">
        <v>3725</v>
      </c>
      <c r="BD179" s="13" t="n">
        <v>3635</v>
      </c>
      <c r="BE179" s="13" t="n">
        <v>3640</v>
      </c>
      <c r="BF179" s="13" t="n">
        <v>3735</v>
      </c>
      <c r="BG179" s="13" t="n">
        <v>3720</v>
      </c>
      <c r="BH179" s="13" t="n">
        <v>3730</v>
      </c>
      <c r="BI179" s="13" t="n">
        <v>3690</v>
      </c>
      <c r="BJ179" s="13" t="n">
        <v>3600</v>
      </c>
      <c r="BK179" s="13" t="n">
        <v>3685</v>
      </c>
      <c r="BL179" s="13" t="n">
        <v>3790</v>
      </c>
    </row>
    <row r="180" ht="15.95" customHeight="1" s="574">
      <c r="A180" s="64" t="inlineStr">
        <is>
          <t>5440</t>
        </is>
      </c>
      <c r="B180" s="673" t="inlineStr">
        <is>
          <t>共英製鋼</t>
        </is>
      </c>
      <c r="C180" s="676">
        <f>_xll.RssMarket("5440","現在値")</f>
        <v/>
      </c>
      <c r="D180" s="661">
        <f>C180-E180</f>
        <v/>
      </c>
      <c r="E180" s="13" t="n">
        <v>1753</v>
      </c>
      <c r="F180" s="13" t="n">
        <v>1767</v>
      </c>
      <c r="G180" s="13" t="n">
        <v>1755</v>
      </c>
      <c r="H180" s="13" t="n">
        <v>1753</v>
      </c>
      <c r="I180" s="13" t="n">
        <v>1760</v>
      </c>
      <c r="J180" s="13" t="n">
        <v>1716</v>
      </c>
      <c r="K180" s="13" t="n">
        <v>1717</v>
      </c>
      <c r="L180" s="13" t="n">
        <v>1731</v>
      </c>
      <c r="M180" s="13" t="n">
        <v>1748</v>
      </c>
      <c r="N180" s="13" t="n">
        <v>1738</v>
      </c>
      <c r="O180" s="13" t="n">
        <v>1753</v>
      </c>
      <c r="P180" s="13" t="n">
        <v>1734</v>
      </c>
      <c r="Q180" s="13" t="n">
        <v>1754</v>
      </c>
      <c r="R180" s="13" t="n">
        <v>1815</v>
      </c>
      <c r="S180" s="13" t="n">
        <v>1820</v>
      </c>
      <c r="T180" s="13" t="n">
        <v>1829</v>
      </c>
      <c r="U180" s="13" t="n">
        <v>1848</v>
      </c>
      <c r="V180" s="13" t="n">
        <v>1853</v>
      </c>
      <c r="W180" s="13" t="n">
        <v>1841</v>
      </c>
      <c r="X180" s="13" t="n">
        <v>1814</v>
      </c>
      <c r="Y180" s="13" t="n">
        <v>1833</v>
      </c>
      <c r="Z180" s="13" t="n">
        <v>1819</v>
      </c>
      <c r="AA180" s="13" t="n">
        <v>1865</v>
      </c>
      <c r="AB180" s="13" t="n">
        <v>1878</v>
      </c>
      <c r="AC180" s="13" t="n">
        <v>1824</v>
      </c>
      <c r="AD180" s="13" t="n">
        <v>1823</v>
      </c>
      <c r="AE180" s="13" t="n">
        <v>1831</v>
      </c>
      <c r="AF180" s="13" t="n">
        <v>1825</v>
      </c>
      <c r="AG180" s="13" t="n">
        <v>1826</v>
      </c>
      <c r="AH180" s="13" t="n">
        <v>1827</v>
      </c>
      <c r="AI180" s="13" t="n">
        <v>1899</v>
      </c>
      <c r="AJ180" s="13" t="n">
        <v>2185</v>
      </c>
      <c r="AK180" s="13" t="n">
        <v>2189</v>
      </c>
      <c r="AL180" s="13" t="n">
        <v>2229</v>
      </c>
      <c r="AM180" s="13" t="n">
        <v>2238</v>
      </c>
      <c r="AN180" s="13" t="n">
        <v>2258</v>
      </c>
      <c r="AO180" s="13" t="n">
        <v>2274</v>
      </c>
      <c r="AP180" s="13" t="n">
        <v>2307</v>
      </c>
      <c r="AQ180" s="13" t="n">
        <v>2288</v>
      </c>
      <c r="AR180" s="13" t="n">
        <v>2320</v>
      </c>
      <c r="AS180" s="13" t="n">
        <v>2332</v>
      </c>
      <c r="AT180" s="13" t="n">
        <v>2345</v>
      </c>
      <c r="AU180" s="13" t="n">
        <v>2339</v>
      </c>
      <c r="AV180" s="13" t="n">
        <v>2363</v>
      </c>
      <c r="AW180" s="13" t="n">
        <v>2401</v>
      </c>
      <c r="AX180" s="13" t="n">
        <v>2426</v>
      </c>
      <c r="AY180" s="13" t="n">
        <v>2376</v>
      </c>
      <c r="AZ180" s="13" t="n">
        <v>2380</v>
      </c>
      <c r="BA180" s="13" t="n">
        <v>2391</v>
      </c>
      <c r="BB180" s="13" t="n">
        <v>2370</v>
      </c>
      <c r="BC180" s="13" t="n">
        <v>2398</v>
      </c>
      <c r="BD180" s="13" t="n">
        <v>2321</v>
      </c>
      <c r="BE180" s="13" t="n">
        <v>2332</v>
      </c>
      <c r="BF180" s="13" t="n">
        <v>2414</v>
      </c>
      <c r="BG180" s="13" t="n">
        <v>2389</v>
      </c>
      <c r="BH180" s="13" t="n">
        <v>2387</v>
      </c>
      <c r="BI180" s="13" t="n">
        <v>2368</v>
      </c>
      <c r="BJ180" s="13" t="n">
        <v>2304</v>
      </c>
      <c r="BK180" s="13" t="n">
        <v>2358</v>
      </c>
      <c r="BL180" s="13" t="n">
        <v>2446</v>
      </c>
    </row>
    <row r="181" ht="15.95" customHeight="1" s="574">
      <c r="A181" s="64" t="inlineStr">
        <is>
          <t>9505</t>
        </is>
      </c>
      <c r="B181" s="673" t="inlineStr">
        <is>
          <t>北陸電力</t>
        </is>
      </c>
      <c r="C181" s="676">
        <f>_xll.RssMarket("9505","現在値")</f>
        <v/>
      </c>
      <c r="D181" s="661">
        <f>C181-E181</f>
        <v/>
      </c>
      <c r="E181" s="13" t="n">
        <v>845.8</v>
      </c>
      <c r="F181" s="13" t="n">
        <v>844.5</v>
      </c>
      <c r="G181" s="13" t="n">
        <v>850</v>
      </c>
      <c r="H181" s="13" t="n">
        <v>851.7</v>
      </c>
      <c r="I181" s="13" t="n">
        <v>864.2</v>
      </c>
      <c r="J181" s="13" t="n">
        <v>853.5</v>
      </c>
      <c r="K181" s="13" t="n">
        <v>857.8</v>
      </c>
      <c r="L181" s="13" t="n">
        <v>833.3</v>
      </c>
      <c r="M181" s="13" t="n">
        <v>820.6</v>
      </c>
      <c r="N181" s="13" t="n">
        <v>799.7</v>
      </c>
      <c r="O181" s="13" t="n">
        <v>813.3</v>
      </c>
      <c r="P181" s="13" t="n">
        <v>807.6</v>
      </c>
      <c r="Q181" s="13" t="n">
        <v>804.5</v>
      </c>
      <c r="R181" s="13" t="n">
        <v>834.5</v>
      </c>
      <c r="S181" s="13" t="n">
        <v>840.3</v>
      </c>
      <c r="T181" s="13" t="n">
        <v>857.3</v>
      </c>
      <c r="U181" s="13" t="n">
        <v>849</v>
      </c>
      <c r="V181" s="13" t="n">
        <v>860.6</v>
      </c>
      <c r="W181" s="13" t="n">
        <v>872</v>
      </c>
      <c r="X181" s="13" t="n">
        <v>863.6</v>
      </c>
      <c r="Y181" s="13" t="n">
        <v>878.9</v>
      </c>
      <c r="Z181" s="13" t="n">
        <v>866.4</v>
      </c>
      <c r="AA181" s="13" t="n">
        <v>907.2</v>
      </c>
      <c r="AB181" s="13" t="n">
        <v>915.1</v>
      </c>
      <c r="AC181" s="13" t="n">
        <v>908.1</v>
      </c>
      <c r="AD181" s="13" t="n">
        <v>918.3</v>
      </c>
      <c r="AE181" s="13" t="n">
        <v>904</v>
      </c>
      <c r="AF181" s="13" t="n">
        <v>887.4</v>
      </c>
      <c r="AG181" s="13" t="n">
        <v>894.3</v>
      </c>
      <c r="AH181" s="13" t="n">
        <v>864.9</v>
      </c>
      <c r="AI181" s="13" t="n">
        <v>872.8</v>
      </c>
      <c r="AJ181" s="13" t="n">
        <v>1005</v>
      </c>
      <c r="AK181" s="13" t="n">
        <v>988.6</v>
      </c>
      <c r="AL181" s="13" t="n">
        <v>993.7</v>
      </c>
      <c r="AM181" s="13" t="n">
        <v>989.3</v>
      </c>
      <c r="AN181" s="13" t="n">
        <v>1001</v>
      </c>
      <c r="AO181" s="13" t="n">
        <v>1010.5</v>
      </c>
      <c r="AP181" s="13" t="n">
        <v>1031</v>
      </c>
      <c r="AQ181" s="13" t="n">
        <v>1058.5</v>
      </c>
      <c r="AR181" s="13" t="n">
        <v>1083</v>
      </c>
      <c r="AS181" s="13" t="n">
        <v>1080</v>
      </c>
      <c r="AT181" s="13" t="n">
        <v>1076</v>
      </c>
      <c r="AU181" s="13" t="n">
        <v>1094</v>
      </c>
      <c r="AV181" s="13" t="n">
        <v>1105</v>
      </c>
      <c r="AW181" s="13" t="n">
        <v>1105</v>
      </c>
      <c r="AX181" s="13" t="n">
        <v>1112</v>
      </c>
      <c r="AY181" s="13" t="n">
        <v>1107</v>
      </c>
      <c r="AZ181" s="13" t="n">
        <v>1094</v>
      </c>
      <c r="BA181" s="13" t="n">
        <v>1115</v>
      </c>
      <c r="BB181" s="13" t="n">
        <v>1110.5</v>
      </c>
      <c r="BC181" s="13" t="n">
        <v>1106.5</v>
      </c>
      <c r="BD181" s="13" t="n">
        <v>1067.5</v>
      </c>
      <c r="BE181" s="13" t="n">
        <v>1088</v>
      </c>
      <c r="BF181" s="13" t="n">
        <v>1107</v>
      </c>
      <c r="BG181" s="13" t="n">
        <v>1082.5</v>
      </c>
      <c r="BH181" s="13" t="n">
        <v>1066</v>
      </c>
      <c r="BI181" s="13" t="n">
        <v>1054</v>
      </c>
      <c r="BJ181" s="13" t="n">
        <v>1037</v>
      </c>
      <c r="BK181" s="13" t="n">
        <v>1088</v>
      </c>
      <c r="BL181" s="13" t="n">
        <v>1134.5</v>
      </c>
    </row>
    <row r="182" ht="15.95" customHeight="1" s="574">
      <c r="A182" s="64" t="inlineStr">
        <is>
          <t>8091</t>
        </is>
      </c>
      <c r="B182" s="673" t="inlineStr">
        <is>
          <t>ニチモウ</t>
        </is>
      </c>
      <c r="C182" s="676">
        <f>_xll.RssMarket("8091","現在値")</f>
        <v/>
      </c>
      <c r="D182" s="661">
        <f>C182-E182</f>
        <v/>
      </c>
      <c r="E182" s="13" t="n">
        <v>2268</v>
      </c>
      <c r="F182" s="13" t="n">
        <v>2272</v>
      </c>
      <c r="G182" s="13" t="n">
        <v>2211</v>
      </c>
      <c r="H182" s="13" t="n">
        <v>2214</v>
      </c>
      <c r="I182" s="13" t="n">
        <v>2178</v>
      </c>
      <c r="J182" s="13" t="n">
        <v>2175</v>
      </c>
      <c r="K182" s="13" t="n">
        <v>2206</v>
      </c>
      <c r="L182" s="13" t="n">
        <v>2175</v>
      </c>
      <c r="M182" s="13" t="n">
        <v>2211</v>
      </c>
      <c r="N182" s="13" t="n">
        <v>2158</v>
      </c>
      <c r="O182" s="13" t="n">
        <v>2135</v>
      </c>
      <c r="P182" s="13" t="n">
        <v>2124</v>
      </c>
      <c r="Q182" s="13" t="n">
        <v>2147</v>
      </c>
      <c r="R182" s="13" t="n">
        <v>2176</v>
      </c>
      <c r="S182" s="13" t="n">
        <v>2168</v>
      </c>
      <c r="T182" s="13" t="n">
        <v>2140</v>
      </c>
      <c r="U182" s="13" t="n">
        <v>2134</v>
      </c>
      <c r="V182" s="13" t="n">
        <v>2147</v>
      </c>
      <c r="W182" s="13" t="n">
        <v>2163</v>
      </c>
      <c r="X182" s="13" t="n">
        <v>2152</v>
      </c>
      <c r="Y182" s="13" t="n">
        <v>2190</v>
      </c>
      <c r="Z182" s="13" t="n">
        <v>2158</v>
      </c>
      <c r="AA182" s="13" t="n">
        <v>2309</v>
      </c>
      <c r="AB182" s="13" t="n">
        <v>2279</v>
      </c>
      <c r="AC182" s="13" t="n">
        <v>2275</v>
      </c>
      <c r="AD182" s="13" t="n">
        <v>2255</v>
      </c>
      <c r="AE182" s="13" t="n">
        <v>2267</v>
      </c>
      <c r="AF182" s="13" t="n">
        <v>2238</v>
      </c>
      <c r="AG182" s="13" t="n">
        <v>2259</v>
      </c>
      <c r="AH182" s="13" t="n">
        <v>2223</v>
      </c>
      <c r="AI182" s="13" t="n">
        <v>2246</v>
      </c>
      <c r="AJ182" s="13" t="n">
        <v>2302</v>
      </c>
      <c r="AK182" s="13" t="n">
        <v>2265</v>
      </c>
      <c r="AL182" s="13" t="n">
        <v>2452</v>
      </c>
      <c r="AM182" s="13" t="n">
        <v>2444</v>
      </c>
      <c r="AN182" s="13" t="n">
        <v>2466</v>
      </c>
      <c r="AO182" s="13" t="n">
        <v>2495</v>
      </c>
      <c r="AP182" s="13" t="n">
        <v>2501</v>
      </c>
      <c r="AQ182" s="13" t="n">
        <v>2522</v>
      </c>
      <c r="AR182" s="13" t="n">
        <v>2520</v>
      </c>
      <c r="AS182" s="13" t="n">
        <v>2527</v>
      </c>
      <c r="AT182" s="13" t="n">
        <v>2525</v>
      </c>
      <c r="AU182" s="13" t="n">
        <v>2523</v>
      </c>
      <c r="AV182" s="13" t="n">
        <v>2533</v>
      </c>
      <c r="AW182" s="13" t="n">
        <v>2569</v>
      </c>
      <c r="AX182" s="13" t="n">
        <v>2583</v>
      </c>
      <c r="AY182" s="13" t="n">
        <v>2554</v>
      </c>
      <c r="AZ182" s="13" t="n">
        <v>2550</v>
      </c>
      <c r="BA182" s="13" t="n">
        <v>2549</v>
      </c>
      <c r="BB182" s="13" t="n">
        <v>2554</v>
      </c>
      <c r="BC182" s="13" t="n">
        <v>2550</v>
      </c>
      <c r="BD182" s="13" t="n">
        <v>2499</v>
      </c>
      <c r="BE182" s="13" t="n">
        <v>2516</v>
      </c>
      <c r="BF182" s="13" t="n">
        <v>2570</v>
      </c>
      <c r="BG182" s="13" t="n">
        <v>2545</v>
      </c>
      <c r="BH182" s="13" t="n">
        <v>2570</v>
      </c>
      <c r="BI182" s="13" t="n">
        <v>2536</v>
      </c>
      <c r="BJ182" s="13" t="n">
        <v>2500</v>
      </c>
      <c r="BK182" s="13" t="n">
        <v>2566</v>
      </c>
      <c r="BL182" s="13" t="n">
        <v>2620</v>
      </c>
    </row>
    <row r="183" ht="15.95" customHeight="1" s="574">
      <c r="A183" s="64" t="inlineStr">
        <is>
          <t>6507</t>
        </is>
      </c>
      <c r="B183" s="673" t="inlineStr">
        <is>
          <t>シンフォニアテクノロジー</t>
        </is>
      </c>
      <c r="C183" s="676">
        <f>_xll.RssMarket("6507","現在値")</f>
        <v/>
      </c>
      <c r="D183" s="661">
        <f>C183-E183</f>
        <v/>
      </c>
      <c r="E183" s="13" t="n">
        <v>16640</v>
      </c>
      <c r="F183" s="13" t="n">
        <v>16230</v>
      </c>
      <c r="G183" s="13" t="n">
        <v>15680</v>
      </c>
      <c r="H183" s="13" t="n">
        <v>14720</v>
      </c>
      <c r="I183" s="13" t="n">
        <v>13410</v>
      </c>
      <c r="J183" s="13" t="n">
        <v>13210</v>
      </c>
      <c r="K183" s="13" t="n">
        <v>13280</v>
      </c>
      <c r="L183" s="13" t="n">
        <v>14230</v>
      </c>
      <c r="M183" s="13" t="n">
        <v>15330</v>
      </c>
      <c r="N183" s="13" t="n">
        <v>15010</v>
      </c>
      <c r="O183" s="13" t="n">
        <v>14010</v>
      </c>
      <c r="P183" s="13" t="n">
        <v>14110</v>
      </c>
      <c r="Q183" s="13" t="n">
        <v>13380</v>
      </c>
      <c r="R183" s="13" t="n">
        <v>13750</v>
      </c>
      <c r="S183" s="13" t="n">
        <v>14140</v>
      </c>
      <c r="T183" s="13" t="n">
        <v>14660</v>
      </c>
      <c r="U183" s="13" t="n">
        <v>14450</v>
      </c>
      <c r="V183" s="13" t="n">
        <v>13790</v>
      </c>
      <c r="W183" s="13" t="n">
        <v>13600</v>
      </c>
      <c r="X183" s="13" t="n">
        <v>13180</v>
      </c>
      <c r="Y183" s="13" t="n">
        <v>13600</v>
      </c>
      <c r="Z183" s="13" t="n">
        <v>15030</v>
      </c>
      <c r="AA183" s="13" t="n">
        <v>15210</v>
      </c>
      <c r="AB183" s="13" t="n">
        <v>15680</v>
      </c>
      <c r="AC183" s="13" t="n">
        <v>14720</v>
      </c>
      <c r="AD183" s="13" t="n">
        <v>14780</v>
      </c>
      <c r="AE183" s="13" t="n">
        <v>14800</v>
      </c>
      <c r="AF183" s="13" t="n">
        <v>14870</v>
      </c>
      <c r="AG183" s="13" t="n">
        <v>15040</v>
      </c>
      <c r="AH183" s="13" t="n">
        <v>14370</v>
      </c>
      <c r="AI183" s="13" t="n">
        <v>14250</v>
      </c>
      <c r="AJ183" s="13" t="n">
        <v>13960</v>
      </c>
      <c r="AK183" s="13" t="n">
        <v>13670</v>
      </c>
      <c r="AL183" s="13" t="n">
        <v>13380</v>
      </c>
      <c r="AM183" s="13" t="n">
        <v>13180</v>
      </c>
      <c r="AN183" s="13" t="n">
        <v>13270</v>
      </c>
      <c r="AO183" s="13" t="n">
        <v>13440</v>
      </c>
      <c r="AP183" s="13" t="n">
        <v>13600</v>
      </c>
      <c r="AQ183" s="13" t="n">
        <v>13440</v>
      </c>
      <c r="AR183" s="13" t="n">
        <v>14000</v>
      </c>
      <c r="AS183" s="13" t="n">
        <v>13180</v>
      </c>
      <c r="AT183" s="13" t="n">
        <v>13300</v>
      </c>
      <c r="AU183" s="13" t="n">
        <v>13380</v>
      </c>
      <c r="AV183" s="13" t="n">
        <v>13480</v>
      </c>
      <c r="AW183" s="13" t="n">
        <v>12940</v>
      </c>
      <c r="AX183" s="13" t="n">
        <v>12960</v>
      </c>
      <c r="AY183" s="13" t="n">
        <v>12200</v>
      </c>
      <c r="AZ183" s="13" t="n">
        <v>12000</v>
      </c>
      <c r="BA183" s="13" t="n">
        <v>12130</v>
      </c>
      <c r="BB183" s="13" t="n">
        <v>11770</v>
      </c>
      <c r="BC183" s="13" t="n">
        <v>11360</v>
      </c>
      <c r="BD183" s="13" t="n">
        <v>10370</v>
      </c>
      <c r="BE183" s="13" t="n">
        <v>10760</v>
      </c>
      <c r="BF183" s="13" t="n">
        <v>11480</v>
      </c>
      <c r="BG183" s="13" t="n">
        <v>11960</v>
      </c>
      <c r="BH183" s="13" t="n">
        <v>12210</v>
      </c>
      <c r="BI183" s="13" t="n">
        <v>11710</v>
      </c>
      <c r="BJ183" s="13" t="n">
        <v>11600</v>
      </c>
      <c r="BK183" s="13" t="n">
        <v>12490</v>
      </c>
      <c r="BL183" s="13" t="n">
        <v>12970</v>
      </c>
    </row>
    <row r="184" ht="15.95" customHeight="1" s="574">
      <c r="A184" s="64" t="inlineStr">
        <is>
          <t>9022</t>
        </is>
      </c>
      <c r="B184" s="673" t="inlineStr">
        <is>
          <t>東海旅客鉄道</t>
        </is>
      </c>
      <c r="C184" s="676">
        <f>_xll.RssMarket("9022","現在値")</f>
        <v/>
      </c>
      <c r="D184" s="661">
        <f>C184-E184</f>
        <v/>
      </c>
      <c r="E184" s="13" t="n">
        <v>3259</v>
      </c>
      <c r="F184" s="13" t="n">
        <v>3256</v>
      </c>
      <c r="G184" s="13" t="n">
        <v>3297</v>
      </c>
      <c r="H184" s="13" t="n">
        <v>3351</v>
      </c>
      <c r="I184" s="13" t="n">
        <v>3365</v>
      </c>
      <c r="J184" s="13" t="n">
        <v>3405</v>
      </c>
      <c r="K184" s="13" t="n">
        <v>3507</v>
      </c>
      <c r="L184" s="13" t="n">
        <v>3394</v>
      </c>
      <c r="M184" s="13" t="n">
        <v>3345</v>
      </c>
      <c r="N184" s="13" t="n">
        <v>3297</v>
      </c>
      <c r="O184" s="13" t="n">
        <v>3325</v>
      </c>
      <c r="P184" s="13" t="n">
        <v>3364</v>
      </c>
      <c r="Q184" s="13" t="n">
        <v>3386</v>
      </c>
      <c r="R184" s="13" t="n">
        <v>3479</v>
      </c>
      <c r="S184" s="13" t="n">
        <v>3471</v>
      </c>
      <c r="T184" s="13" t="n">
        <v>3500</v>
      </c>
      <c r="U184" s="13" t="n">
        <v>3552</v>
      </c>
      <c r="V184" s="13" t="n">
        <v>3553</v>
      </c>
      <c r="W184" s="13" t="n">
        <v>3535</v>
      </c>
      <c r="X184" s="13" t="n">
        <v>3550</v>
      </c>
      <c r="Y184" s="13" t="n">
        <v>3609</v>
      </c>
      <c r="Z184" s="13" t="n">
        <v>3557</v>
      </c>
      <c r="AA184" s="13" t="n">
        <v>3634</v>
      </c>
      <c r="AB184" s="13" t="n">
        <v>3618</v>
      </c>
      <c r="AC184" s="13" t="n">
        <v>3626</v>
      </c>
      <c r="AD184" s="13" t="n">
        <v>3582</v>
      </c>
      <c r="AE184" s="13" t="n">
        <v>3580</v>
      </c>
      <c r="AF184" s="13" t="n">
        <v>3579</v>
      </c>
      <c r="AG184" s="13" t="n">
        <v>3681</v>
      </c>
      <c r="AH184" s="13" t="n">
        <v>3611</v>
      </c>
      <c r="AI184" s="13" t="n">
        <v>3744</v>
      </c>
      <c r="AJ184" s="13" t="n">
        <v>4069</v>
      </c>
      <c r="AK184" s="13" t="n">
        <v>4052</v>
      </c>
      <c r="AL184" s="13" t="n">
        <v>4110</v>
      </c>
      <c r="AM184" s="13" t="n">
        <v>4039</v>
      </c>
      <c r="AN184" s="13" t="n">
        <v>4149</v>
      </c>
      <c r="AO184" s="13" t="n">
        <v>4213</v>
      </c>
      <c r="AP184" s="13" t="n">
        <v>4253</v>
      </c>
      <c r="AQ184" s="13" t="n">
        <v>4195</v>
      </c>
      <c r="AR184" s="13" t="n">
        <v>4251</v>
      </c>
      <c r="AS184" s="13" t="n">
        <v>4325</v>
      </c>
      <c r="AT184" s="13" t="n">
        <v>4193</v>
      </c>
      <c r="AU184" s="13" t="n">
        <v>4220</v>
      </c>
      <c r="AV184" s="13" t="n">
        <v>4196</v>
      </c>
      <c r="AW184" s="13" t="n">
        <v>4220</v>
      </c>
      <c r="AX184" s="13" t="n">
        <v>4179</v>
      </c>
      <c r="AY184" s="13" t="n">
        <v>4049</v>
      </c>
      <c r="AZ184" s="13" t="n">
        <v>4080</v>
      </c>
      <c r="BA184" s="13" t="n">
        <v>4142</v>
      </c>
      <c r="BB184" s="13" t="n">
        <v>4190</v>
      </c>
      <c r="BC184" s="13" t="n">
        <v>4192</v>
      </c>
      <c r="BD184" s="13" t="n">
        <v>4084</v>
      </c>
      <c r="BE184" s="13" t="n">
        <v>4082</v>
      </c>
      <c r="BF184" s="13" t="n">
        <v>4221</v>
      </c>
      <c r="BG184" s="13" t="n">
        <v>4233</v>
      </c>
      <c r="BH184" s="13" t="n">
        <v>4274</v>
      </c>
      <c r="BI184" s="13" t="n">
        <v>4156</v>
      </c>
      <c r="BJ184" s="13" t="n">
        <v>4117</v>
      </c>
      <c r="BK184" s="13" t="n">
        <v>4233</v>
      </c>
      <c r="BL184" s="13" t="n">
        <v>4386</v>
      </c>
    </row>
    <row r="185" ht="15.95" customHeight="1" s="574">
      <c r="A185" s="64" t="inlineStr">
        <is>
          <t>9536</t>
        </is>
      </c>
      <c r="B185" s="673" t="inlineStr">
        <is>
          <t>西部ガスＨＬＤＧＳ</t>
        </is>
      </c>
      <c r="C185" s="676">
        <f>_xll.RssMarket("9536","現在値")</f>
        <v/>
      </c>
      <c r="D185" s="661">
        <f>C185-E185</f>
        <v/>
      </c>
      <c r="E185" s="13" t="n">
        <v>2213</v>
      </c>
      <c r="F185" s="13" t="n">
        <v>2238</v>
      </c>
      <c r="G185" s="13" t="n">
        <v>2240</v>
      </c>
      <c r="H185" s="13" t="n">
        <v>2238</v>
      </c>
      <c r="I185" s="13" t="n">
        <v>2243</v>
      </c>
      <c r="J185" s="13" t="n">
        <v>2232</v>
      </c>
      <c r="K185" s="13" t="n">
        <v>2229</v>
      </c>
      <c r="L185" s="13" t="n">
        <v>2210</v>
      </c>
      <c r="M185" s="13" t="n">
        <v>2201</v>
      </c>
      <c r="N185" s="13" t="n">
        <v>2182</v>
      </c>
      <c r="O185" s="13" t="n">
        <v>2189</v>
      </c>
      <c r="P185" s="13" t="n">
        <v>2154</v>
      </c>
      <c r="Q185" s="13" t="n">
        <v>2197</v>
      </c>
      <c r="R185" s="13" t="n">
        <v>2195</v>
      </c>
      <c r="S185" s="13" t="n">
        <v>2182</v>
      </c>
      <c r="T185" s="13" t="n">
        <v>2222</v>
      </c>
      <c r="U185" s="13" t="n">
        <v>2198</v>
      </c>
      <c r="V185" s="13" t="n">
        <v>2221</v>
      </c>
      <c r="W185" s="13" t="n">
        <v>2201</v>
      </c>
      <c r="X185" s="13" t="n">
        <v>2208</v>
      </c>
      <c r="Y185" s="13" t="n">
        <v>2238</v>
      </c>
      <c r="Z185" s="13" t="n">
        <v>2201</v>
      </c>
      <c r="AA185" s="13" t="n">
        <v>2261</v>
      </c>
      <c r="AB185" s="13" t="n">
        <v>2244</v>
      </c>
      <c r="AC185" s="13" t="n">
        <v>2225</v>
      </c>
      <c r="AD185" s="13" t="n">
        <v>2233</v>
      </c>
      <c r="AE185" s="13" t="n">
        <v>2241</v>
      </c>
      <c r="AF185" s="13" t="n">
        <v>2222</v>
      </c>
      <c r="AG185" s="13" t="n">
        <v>2275</v>
      </c>
      <c r="AH185" s="13" t="n">
        <v>2208</v>
      </c>
      <c r="AI185" s="13" t="n">
        <v>2236</v>
      </c>
      <c r="AJ185" s="13" t="n">
        <v>2457</v>
      </c>
      <c r="AK185" s="13" t="n">
        <v>2423</v>
      </c>
      <c r="AL185" s="13" t="n">
        <v>2470</v>
      </c>
      <c r="AM185" s="13" t="n">
        <v>2441</v>
      </c>
      <c r="AN185" s="13" t="n">
        <v>2460</v>
      </c>
      <c r="AO185" s="13" t="n">
        <v>2529</v>
      </c>
      <c r="AP185" s="13" t="n">
        <v>2535</v>
      </c>
      <c r="AQ185" s="13" t="n">
        <v>2595</v>
      </c>
      <c r="AR185" s="13" t="n">
        <v>2615</v>
      </c>
      <c r="AS185" s="13" t="n">
        <v>2586</v>
      </c>
      <c r="AT185" s="13" t="n">
        <v>2574</v>
      </c>
      <c r="AU185" s="13" t="n">
        <v>2573</v>
      </c>
      <c r="AV185" s="13" t="n">
        <v>2552</v>
      </c>
      <c r="AW185" s="13" t="n">
        <v>2575</v>
      </c>
      <c r="AX185" s="13" t="n">
        <v>2621</v>
      </c>
      <c r="AY185" s="13" t="n">
        <v>2579</v>
      </c>
      <c r="AZ185" s="13" t="n">
        <v>2562</v>
      </c>
      <c r="BA185" s="13" t="n">
        <v>2567</v>
      </c>
      <c r="BB185" s="13" t="n">
        <v>2566</v>
      </c>
      <c r="BC185" s="13" t="n">
        <v>2578</v>
      </c>
      <c r="BD185" s="13" t="n">
        <v>2545</v>
      </c>
      <c r="BE185" s="13" t="n">
        <v>2577</v>
      </c>
      <c r="BF185" s="13" t="n">
        <v>2587</v>
      </c>
      <c r="BG185" s="13" t="n">
        <v>2570</v>
      </c>
      <c r="BH185" s="13" t="n">
        <v>2587</v>
      </c>
      <c r="BI185" s="13" t="n">
        <v>2531</v>
      </c>
      <c r="BJ185" s="13" t="n">
        <v>2431</v>
      </c>
      <c r="BK185" s="13" t="n">
        <v>2496</v>
      </c>
      <c r="BL185" s="13" t="n">
        <v>2570</v>
      </c>
    </row>
    <row r="186" ht="15.95" customHeight="1" s="574">
      <c r="A186" s="64" t="inlineStr">
        <is>
          <t>9506</t>
        </is>
      </c>
      <c r="B186" s="673" t="inlineStr">
        <is>
          <t>東北電力</t>
        </is>
      </c>
      <c r="C186" s="676">
        <f>_xll.RssMarket("9506","現在値")</f>
        <v/>
      </c>
      <c r="D186" s="661">
        <f>C186-E186</f>
        <v/>
      </c>
      <c r="E186" s="13" t="n">
        <v>1041</v>
      </c>
      <c r="F186" s="13" t="n">
        <v>1049</v>
      </c>
      <c r="G186" s="13" t="n">
        <v>1046</v>
      </c>
      <c r="H186" s="13" t="n">
        <v>1043.5</v>
      </c>
      <c r="I186" s="13" t="n">
        <v>1019.5</v>
      </c>
      <c r="J186" s="13" t="n">
        <v>1018.5</v>
      </c>
      <c r="K186" s="13" t="n">
        <v>1015.5</v>
      </c>
      <c r="L186" s="13" t="n">
        <v>1006.5</v>
      </c>
      <c r="M186" s="13" t="n">
        <v>993.3</v>
      </c>
      <c r="N186" s="13" t="n">
        <v>991.4</v>
      </c>
      <c r="O186" s="13" t="n">
        <v>1013.5</v>
      </c>
      <c r="P186" s="13" t="n">
        <v>983.6</v>
      </c>
      <c r="Q186" s="13" t="n">
        <v>989.5</v>
      </c>
      <c r="R186" s="13" t="n">
        <v>1006.5</v>
      </c>
      <c r="S186" s="13" t="n">
        <v>996.7</v>
      </c>
      <c r="T186" s="13" t="n">
        <v>998</v>
      </c>
      <c r="U186" s="13" t="n">
        <v>1009</v>
      </c>
      <c r="V186" s="13" t="n">
        <v>1011</v>
      </c>
      <c r="W186" s="13" t="n">
        <v>1024.5</v>
      </c>
      <c r="X186" s="13" t="n">
        <v>1006</v>
      </c>
      <c r="Y186" s="13" t="n">
        <v>1019</v>
      </c>
      <c r="Z186" s="13" t="n">
        <v>1006.5</v>
      </c>
      <c r="AA186" s="13" t="n">
        <v>1051.5</v>
      </c>
      <c r="AB186" s="13" t="n">
        <v>1052.5</v>
      </c>
      <c r="AC186" s="13" t="n">
        <v>1064</v>
      </c>
      <c r="AD186" s="13" t="n">
        <v>1060</v>
      </c>
      <c r="AE186" s="13" t="n">
        <v>1055.5</v>
      </c>
      <c r="AF186" s="13" t="n">
        <v>1092.5</v>
      </c>
      <c r="AG186" s="13" t="n">
        <v>1064</v>
      </c>
      <c r="AH186" s="13" t="n">
        <v>1088.5</v>
      </c>
      <c r="AI186" s="13" t="n">
        <v>1157</v>
      </c>
      <c r="AJ186" s="13" t="n">
        <v>1122</v>
      </c>
      <c r="AK186" s="13" t="n">
        <v>1128.5</v>
      </c>
      <c r="AL186" s="13" t="n">
        <v>1117.5</v>
      </c>
      <c r="AM186" s="13" t="n">
        <v>1130</v>
      </c>
      <c r="AN186" s="13" t="n">
        <v>1144.5</v>
      </c>
      <c r="AO186" s="13" t="n">
        <v>1170.5</v>
      </c>
      <c r="AP186" s="13" t="n">
        <v>1178</v>
      </c>
      <c r="AQ186" s="13" t="n">
        <v>1182.5</v>
      </c>
      <c r="AR186" s="13" t="n">
        <v>1172</v>
      </c>
      <c r="AS186" s="13" t="n">
        <v>1170.5</v>
      </c>
      <c r="AT186" s="13" t="n">
        <v>1158.5</v>
      </c>
      <c r="AU186" s="13" t="n">
        <v>1164</v>
      </c>
      <c r="AV186" s="13" t="n">
        <v>1175.5</v>
      </c>
      <c r="AW186" s="13" t="n">
        <v>1172.5</v>
      </c>
      <c r="AX186" s="13" t="n">
        <v>1168</v>
      </c>
      <c r="AY186" s="13" t="n">
        <v>1170</v>
      </c>
      <c r="AZ186" s="13" t="n">
        <v>1190.5</v>
      </c>
      <c r="BA186" s="13" t="n">
        <v>1190.5</v>
      </c>
      <c r="BB186" s="13" t="n">
        <v>1200</v>
      </c>
      <c r="BC186" s="13" t="n">
        <v>1170</v>
      </c>
      <c r="BD186" s="13" t="n">
        <v>1188.5</v>
      </c>
      <c r="BE186" s="13" t="n">
        <v>1212.5</v>
      </c>
      <c r="BF186" s="13" t="n">
        <v>1184</v>
      </c>
      <c r="BG186" s="13" t="n">
        <v>1169</v>
      </c>
      <c r="BH186" s="13" t="n">
        <v>1142</v>
      </c>
      <c r="BI186" s="13" t="n">
        <v>1123</v>
      </c>
      <c r="BJ186" s="13" t="n">
        <v>1143.5</v>
      </c>
      <c r="BK186" s="13" t="n">
        <v>1197.5</v>
      </c>
      <c r="BL186" s="13" t="n">
        <v>1141</v>
      </c>
    </row>
    <row r="187" ht="15.95" customHeight="1" s="574">
      <c r="A187" s="64" t="inlineStr">
        <is>
          <t>2127</t>
        </is>
      </c>
      <c r="B187" s="673" t="inlineStr">
        <is>
          <t>日本Ｍ＆Ａセンターホールデ</t>
        </is>
      </c>
      <c r="C187" s="676">
        <f>_xll.RssMarket("2127","現在値")</f>
        <v/>
      </c>
      <c r="D187" s="661">
        <f>C187-E187</f>
        <v/>
      </c>
      <c r="E187" s="13" t="n">
        <v>634.1</v>
      </c>
      <c r="F187" s="13" t="n">
        <v>644.1</v>
      </c>
      <c r="G187" s="13" t="n">
        <v>650.9</v>
      </c>
      <c r="H187" s="13" t="n">
        <v>638.3</v>
      </c>
      <c r="I187" s="13" t="n">
        <v>636</v>
      </c>
      <c r="J187" s="13" t="n">
        <v>643.5</v>
      </c>
      <c r="K187" s="13" t="n">
        <v>637.5</v>
      </c>
      <c r="L187" s="13" t="n">
        <v>632.9</v>
      </c>
      <c r="M187" s="13" t="n">
        <v>637.1</v>
      </c>
      <c r="N187" s="13" t="n">
        <v>624</v>
      </c>
      <c r="O187" s="13" t="n">
        <v>645</v>
      </c>
      <c r="P187" s="13" t="n">
        <v>655.8</v>
      </c>
      <c r="Q187" s="13" t="n">
        <v>654.4</v>
      </c>
      <c r="R187" s="13" t="n">
        <v>652</v>
      </c>
      <c r="S187" s="13" t="n">
        <v>652.8</v>
      </c>
      <c r="T187" s="13" t="n">
        <v>665.5</v>
      </c>
      <c r="U187" s="13" t="n">
        <v>655.1</v>
      </c>
      <c r="V187" s="13" t="n">
        <v>661.9</v>
      </c>
      <c r="W187" s="13" t="n">
        <v>657.2</v>
      </c>
      <c r="X187" s="13" t="n">
        <v>645</v>
      </c>
      <c r="Y187" s="13" t="n">
        <v>660.2</v>
      </c>
      <c r="Z187" s="13" t="n">
        <v>633.4</v>
      </c>
      <c r="AA187" s="13" t="n">
        <v>638.3</v>
      </c>
      <c r="AB187" s="13" t="n">
        <v>638.8</v>
      </c>
      <c r="AC187" s="13" t="n">
        <v>644.7</v>
      </c>
      <c r="AD187" s="13" t="n">
        <v>639.5</v>
      </c>
      <c r="AE187" s="13" t="n">
        <v>658.8</v>
      </c>
      <c r="AF187" s="13" t="n">
        <v>656.1</v>
      </c>
      <c r="AG187" s="13" t="n">
        <v>652.3</v>
      </c>
      <c r="AH187" s="13" t="n">
        <v>626.9</v>
      </c>
      <c r="AI187" s="13" t="n">
        <v>654.5</v>
      </c>
      <c r="AJ187" s="13" t="n">
        <v>690</v>
      </c>
      <c r="AK187" s="13" t="n">
        <v>677.5</v>
      </c>
      <c r="AL187" s="13" t="n">
        <v>668.7</v>
      </c>
      <c r="AM187" s="13" t="n">
        <v>683</v>
      </c>
      <c r="AN187" s="13" t="n">
        <v>688.8</v>
      </c>
      <c r="AO187" s="13" t="n">
        <v>690.3</v>
      </c>
      <c r="AP187" s="13" t="n">
        <v>682.3</v>
      </c>
      <c r="AQ187" s="13" t="n">
        <v>689.8</v>
      </c>
      <c r="AR187" s="13" t="n">
        <v>689.8</v>
      </c>
      <c r="AS187" s="13" t="n">
        <v>676.5</v>
      </c>
      <c r="AT187" s="13" t="n">
        <v>667.9</v>
      </c>
      <c r="AU187" s="13" t="n">
        <v>655.7</v>
      </c>
      <c r="AV187" s="13" t="n">
        <v>658.3</v>
      </c>
      <c r="AW187" s="13" t="n">
        <v>662</v>
      </c>
      <c r="AX187" s="13" t="n">
        <v>672.6</v>
      </c>
      <c r="AY187" s="13" t="n">
        <v>654</v>
      </c>
      <c r="AZ187" s="13" t="n">
        <v>650.5</v>
      </c>
      <c r="BA187" s="13" t="n">
        <v>649.9</v>
      </c>
      <c r="BB187" s="13" t="n">
        <v>642.3</v>
      </c>
      <c r="BC187" s="13" t="n">
        <v>648.6</v>
      </c>
      <c r="BD187" s="13" t="n">
        <v>630.1</v>
      </c>
      <c r="BE187" s="13" t="n">
        <v>623.7</v>
      </c>
      <c r="BF187" s="13" t="n">
        <v>650.9</v>
      </c>
      <c r="BG187" s="13" t="n">
        <v>647.8</v>
      </c>
      <c r="BH187" s="13" t="n">
        <v>648.8</v>
      </c>
      <c r="BI187" s="13" t="n">
        <v>640</v>
      </c>
      <c r="BJ187" s="13" t="n">
        <v>627.4</v>
      </c>
      <c r="BK187" s="13" t="n">
        <v>633.6</v>
      </c>
      <c r="BL187" s="13" t="n">
        <v>649.5</v>
      </c>
    </row>
    <row r="188" ht="15.95" customHeight="1" s="574">
      <c r="A188" s="64" t="inlineStr">
        <is>
          <t>6753</t>
        </is>
      </c>
      <c r="B188" s="673" t="inlineStr">
        <is>
          <t>シャープ</t>
        </is>
      </c>
      <c r="C188" s="676">
        <f>_xll.RssMarket("6753","現在値")</f>
        <v/>
      </c>
      <c r="D188" s="661">
        <f>C188-E188</f>
        <v/>
      </c>
      <c r="E188" s="13" t="n">
        <v>585</v>
      </c>
      <c r="F188" s="13" t="n">
        <v>573.2</v>
      </c>
      <c r="G188" s="13" t="n">
        <v>594.4</v>
      </c>
      <c r="H188" s="13" t="n">
        <v>593.8</v>
      </c>
      <c r="I188" s="13" t="n">
        <v>609.2</v>
      </c>
      <c r="J188" s="13" t="n">
        <v>620.5</v>
      </c>
      <c r="K188" s="13" t="n">
        <v>636.2</v>
      </c>
      <c r="L188" s="13" t="n">
        <v>657.2</v>
      </c>
      <c r="M188" s="13" t="n">
        <v>658.1</v>
      </c>
      <c r="N188" s="13" t="n">
        <v>671.6</v>
      </c>
      <c r="O188" s="13" t="n">
        <v>668.5</v>
      </c>
      <c r="P188" s="13" t="n">
        <v>651.9</v>
      </c>
      <c r="Q188" s="13" t="n">
        <v>629.8</v>
      </c>
      <c r="R188" s="13" t="n">
        <v>621.5</v>
      </c>
      <c r="S188" s="13" t="n">
        <v>621.6</v>
      </c>
      <c r="T188" s="13" t="n">
        <v>610.1</v>
      </c>
      <c r="U188" s="13" t="n">
        <v>638.6</v>
      </c>
      <c r="V188" s="13" t="n">
        <v>631.5</v>
      </c>
      <c r="W188" s="13" t="n">
        <v>606.3</v>
      </c>
      <c r="X188" s="13" t="n">
        <v>601</v>
      </c>
      <c r="Y188" s="13" t="n">
        <v>640.2</v>
      </c>
      <c r="Z188" s="13" t="n">
        <v>606.5</v>
      </c>
      <c r="AA188" s="13" t="n">
        <v>603.9</v>
      </c>
      <c r="AB188" s="13" t="n">
        <v>571.7</v>
      </c>
      <c r="AC188" s="13" t="n">
        <v>591.1</v>
      </c>
      <c r="AD188" s="13" t="n">
        <v>592.8</v>
      </c>
      <c r="AE188" s="13" t="n">
        <v>561</v>
      </c>
      <c r="AF188" s="13" t="n">
        <v>564.3</v>
      </c>
      <c r="AG188" s="13" t="n">
        <v>559.4</v>
      </c>
      <c r="AH188" s="13" t="n">
        <v>582.4</v>
      </c>
      <c r="AI188" s="13" t="n">
        <v>559.5</v>
      </c>
      <c r="AJ188" s="13" t="n">
        <v>566.1</v>
      </c>
      <c r="AK188" s="13" t="n">
        <v>545.3</v>
      </c>
      <c r="AL188" s="13" t="n">
        <v>555</v>
      </c>
      <c r="AM188" s="13" t="n">
        <v>592.6</v>
      </c>
      <c r="AN188" s="13" t="n">
        <v>611.3</v>
      </c>
      <c r="AO188" s="13" t="n">
        <v>612</v>
      </c>
      <c r="AP188" s="13" t="n">
        <v>613.8</v>
      </c>
      <c r="AQ188" s="13" t="n">
        <v>616.1</v>
      </c>
      <c r="AR188" s="13" t="n">
        <v>603.6</v>
      </c>
      <c r="AS188" s="13" t="n">
        <v>594.7</v>
      </c>
      <c r="AT188" s="13" t="n">
        <v>589.4</v>
      </c>
      <c r="AU188" s="13" t="n">
        <v>587.8</v>
      </c>
      <c r="AV188" s="13" t="n">
        <v>604.4</v>
      </c>
      <c r="AW188" s="13" t="n">
        <v>612.4</v>
      </c>
      <c r="AX188" s="13" t="n">
        <v>629.6</v>
      </c>
      <c r="AY188" s="13" t="n">
        <v>626.4</v>
      </c>
      <c r="AZ188" s="13" t="n">
        <v>637</v>
      </c>
      <c r="BA188" s="13" t="n">
        <v>637.4</v>
      </c>
      <c r="BB188" s="13" t="n">
        <v>598.2</v>
      </c>
      <c r="BC188" s="13" t="n">
        <v>605.5</v>
      </c>
      <c r="BD188" s="13" t="n">
        <v>576</v>
      </c>
      <c r="BE188" s="13" t="n">
        <v>570.8</v>
      </c>
      <c r="BF188" s="13" t="n">
        <v>587.4</v>
      </c>
      <c r="BG188" s="13" t="n">
        <v>587.6</v>
      </c>
      <c r="BH188" s="13" t="n">
        <v>580.5</v>
      </c>
      <c r="BI188" s="13" t="n">
        <v>581</v>
      </c>
      <c r="BJ188" s="13" t="n">
        <v>565.4</v>
      </c>
      <c r="BK188" s="13" t="n">
        <v>579</v>
      </c>
      <c r="BL188" s="13" t="n">
        <v>599.8</v>
      </c>
    </row>
    <row r="189" ht="15.95" customHeight="1" s="574">
      <c r="A189" s="64" t="inlineStr">
        <is>
          <t>9064</t>
        </is>
      </c>
      <c r="B189" s="673">
        <f>銘柄管理!C189</f>
        <v/>
      </c>
      <c r="C189" s="676">
        <f>_xll.RssMarket("9064","現在値")</f>
        <v/>
      </c>
      <c r="D189" s="661" t="n"/>
      <c r="E189" s="13" t="n">
        <v>1757</v>
      </c>
      <c r="F189" s="13" t="n">
        <v>1770.5</v>
      </c>
      <c r="G189" s="13" t="n">
        <v>1769.5</v>
      </c>
      <c r="H189" s="13" t="n">
        <v>1774.5</v>
      </c>
      <c r="I189" s="13" t="n">
        <v>1785</v>
      </c>
      <c r="J189" s="13" t="n">
        <v>1815.5</v>
      </c>
      <c r="K189" s="13" t="n">
        <v>1805</v>
      </c>
      <c r="L189" s="13" t="n">
        <v>1792.5</v>
      </c>
      <c r="M189" s="13" t="n">
        <v>1799</v>
      </c>
      <c r="N189" s="13" t="n">
        <v>1800.5</v>
      </c>
      <c r="O189" s="13" t="n">
        <v>1825.5</v>
      </c>
      <c r="P189" s="13" t="n">
        <v>1800</v>
      </c>
      <c r="Q189" s="13" t="n">
        <v>1799.5</v>
      </c>
      <c r="R189" s="13" t="n">
        <v>1818</v>
      </c>
      <c r="S189" s="13" t="n">
        <v>1778.5</v>
      </c>
      <c r="T189" s="13" t="n">
        <v>1763</v>
      </c>
      <c r="U189" s="13" t="n">
        <v>1773.5</v>
      </c>
      <c r="V189" s="13" t="n">
        <v>1771</v>
      </c>
      <c r="W189" s="13" t="n">
        <v>1787</v>
      </c>
      <c r="X189" s="13" t="n">
        <v>1750</v>
      </c>
      <c r="Y189" s="13" t="n">
        <v>1780</v>
      </c>
      <c r="Z189" s="13" t="n">
        <v>1727</v>
      </c>
      <c r="AA189" s="13" t="n">
        <v>1732.5</v>
      </c>
      <c r="AB189" s="13" t="n">
        <v>1780</v>
      </c>
      <c r="AC189" s="13" t="n">
        <v>1752.5</v>
      </c>
      <c r="AD189" s="13" t="n">
        <v>1745.5</v>
      </c>
      <c r="AE189" s="13" t="n">
        <v>1730.5</v>
      </c>
      <c r="AF189" s="13" t="n">
        <v>1800</v>
      </c>
      <c r="AG189" s="13" t="n">
        <v>1822.5</v>
      </c>
      <c r="AH189" s="13" t="n">
        <v>1748.5</v>
      </c>
      <c r="AI189" s="13" t="n">
        <v>1764.5</v>
      </c>
      <c r="AJ189" s="13" t="n">
        <v>1802.5</v>
      </c>
      <c r="AK189" s="13" t="n">
        <v>1774</v>
      </c>
      <c r="AL189" s="13" t="n">
        <v>1768</v>
      </c>
      <c r="AM189" s="13" t="n">
        <v>1773</v>
      </c>
      <c r="AN189" s="13" t="n">
        <v>1809</v>
      </c>
      <c r="AO189" s="13" t="n">
        <v>1832.5</v>
      </c>
      <c r="AP189" s="13" t="n">
        <v>1821.5</v>
      </c>
      <c r="AQ189" s="13" t="n">
        <v>1845</v>
      </c>
      <c r="AR189" s="13" t="n">
        <v>1862.5</v>
      </c>
      <c r="AS189" s="13" t="n">
        <v>1866.5</v>
      </c>
      <c r="AT189" s="13" t="n">
        <v>1861</v>
      </c>
      <c r="AU189" s="13" t="n">
        <v>1846.5</v>
      </c>
      <c r="AV189" s="13" t="n">
        <v>1836</v>
      </c>
      <c r="AW189" s="13" t="n">
        <v>1848.5</v>
      </c>
      <c r="AX189" s="13" t="n">
        <v>1870.5</v>
      </c>
      <c r="AY189" s="13" t="n">
        <v>1814.5</v>
      </c>
      <c r="AZ189" s="13" t="n">
        <v>1796.5</v>
      </c>
      <c r="BA189" s="13" t="n">
        <v>1776.5</v>
      </c>
      <c r="BB189" s="13" t="n">
        <v>1768</v>
      </c>
      <c r="BC189" s="13" t="n">
        <v>1758.5</v>
      </c>
      <c r="BD189" s="13" t="n">
        <v>1744.5</v>
      </c>
      <c r="BE189" s="13" t="n">
        <v>1745</v>
      </c>
      <c r="BF189" s="13" t="n">
        <v>1772.5</v>
      </c>
      <c r="BG189" s="13" t="n">
        <v>1767.5</v>
      </c>
      <c r="BH189" s="13" t="n">
        <v>1764</v>
      </c>
      <c r="BI189" s="13" t="n">
        <v>1748</v>
      </c>
      <c r="BJ189" s="13" t="n">
        <v>1701</v>
      </c>
      <c r="BK189" s="13" t="n">
        <v>1725.5</v>
      </c>
      <c r="BL189" s="13" t="n">
        <v>1780</v>
      </c>
    </row>
    <row r="190" ht="15.95" customHeight="1" s="574">
      <c r="A190" s="64" t="inlineStr">
        <is>
          <t>7181</t>
        </is>
      </c>
      <c r="B190" s="673" t="inlineStr">
        <is>
          <t>かんぽ生命保険</t>
        </is>
      </c>
      <c r="C190" s="676">
        <f>_xll.RssMarket("7181","現在値")</f>
        <v/>
      </c>
      <c r="D190" s="661">
        <f>C190-E190</f>
        <v/>
      </c>
      <c r="E190" s="13" t="n">
        <v>1524.5</v>
      </c>
      <c r="F190" s="13" t="n">
        <v>1525</v>
      </c>
      <c r="G190" s="13" t="n">
        <v>1516</v>
      </c>
      <c r="H190" s="13" t="n">
        <v>1560</v>
      </c>
      <c r="I190" s="13" t="n">
        <v>1541</v>
      </c>
      <c r="J190" s="13" t="n">
        <v>1535</v>
      </c>
      <c r="K190" s="13" t="n">
        <v>1568</v>
      </c>
      <c r="L190" s="13" t="n">
        <v>1455</v>
      </c>
      <c r="M190" s="13" t="n">
        <v>1422.5</v>
      </c>
      <c r="N190" s="13" t="n">
        <v>1404.5</v>
      </c>
      <c r="O190" s="13" t="n">
        <v>1429.5</v>
      </c>
      <c r="P190" s="13" t="n">
        <v>1407.5</v>
      </c>
      <c r="Q190" s="13" t="n">
        <v>1406</v>
      </c>
      <c r="R190" s="13" t="n">
        <v>1429.5</v>
      </c>
      <c r="S190" s="13" t="n">
        <v>1413.5</v>
      </c>
      <c r="T190" s="13" t="n">
        <v>1479</v>
      </c>
      <c r="U190" s="13" t="n">
        <v>1473.5</v>
      </c>
      <c r="V190" s="13" t="n">
        <v>1526.5</v>
      </c>
      <c r="W190" s="13" t="n">
        <v>1543.5</v>
      </c>
      <c r="X190" s="13" t="n">
        <v>1529</v>
      </c>
      <c r="Y190" s="13" t="n">
        <v>1525</v>
      </c>
      <c r="Z190" s="13" t="n">
        <v>1463.5</v>
      </c>
      <c r="AA190" s="13" t="n">
        <v>1648</v>
      </c>
      <c r="AB190" s="13" t="n">
        <v>1594.5</v>
      </c>
      <c r="AC190" s="13" t="n">
        <v>1618</v>
      </c>
      <c r="AD190" s="13" t="n">
        <v>1554</v>
      </c>
      <c r="AE190" s="13" t="n">
        <v>1547.5</v>
      </c>
      <c r="AF190" s="13" t="n">
        <v>1558.5</v>
      </c>
      <c r="AG190" s="13" t="n">
        <v>1573</v>
      </c>
      <c r="AH190" s="13" t="n">
        <v>1531</v>
      </c>
      <c r="AI190" s="13" t="n">
        <v>1525.5</v>
      </c>
      <c r="AJ190" s="13" t="n">
        <v>1525.5</v>
      </c>
      <c r="AK190" s="13" t="n">
        <v>1491</v>
      </c>
      <c r="AL190" s="13" t="n">
        <v>1495.5</v>
      </c>
      <c r="AM190" s="13" t="n">
        <v>1506</v>
      </c>
      <c r="AN190" s="13" t="n">
        <v>1498</v>
      </c>
      <c r="AO190" s="13" t="n">
        <v>1542.5</v>
      </c>
      <c r="AP190" s="13" t="n">
        <v>1576.5</v>
      </c>
      <c r="AQ190" s="13" t="n">
        <v>1600.5</v>
      </c>
      <c r="AR190" s="13" t="n">
        <v>1670</v>
      </c>
      <c r="AS190" s="13" t="n">
        <v>1644.5</v>
      </c>
      <c r="AT190" s="13" t="n">
        <v>1625</v>
      </c>
      <c r="AU190" s="13" t="n">
        <v>1584.5</v>
      </c>
      <c r="AV190" s="13" t="n">
        <v>1595.5</v>
      </c>
      <c r="AW190" s="13" t="n">
        <v>1598</v>
      </c>
      <c r="AX190" s="13" t="n">
        <v>1635.5</v>
      </c>
      <c r="AY190" s="13" t="n">
        <v>1601.5</v>
      </c>
      <c r="AZ190" s="13" t="n">
        <v>1595</v>
      </c>
      <c r="BA190" s="13" t="n">
        <v>1619.5</v>
      </c>
      <c r="BB190" s="13" t="n">
        <v>1623</v>
      </c>
      <c r="BC190" s="13" t="n">
        <v>1642.5</v>
      </c>
      <c r="BD190" s="13" t="n">
        <v>1575</v>
      </c>
      <c r="BE190" s="13" t="n">
        <v>1571</v>
      </c>
      <c r="BF190" s="13" t="n">
        <v>1638.6</v>
      </c>
      <c r="BG190" s="13" t="n">
        <v>1602.3</v>
      </c>
      <c r="BH190" s="13" t="n">
        <v>1626.3</v>
      </c>
      <c r="BI190" s="13" t="n">
        <v>1554.6</v>
      </c>
      <c r="BJ190" s="13" t="n">
        <v>1534.6</v>
      </c>
      <c r="BK190" s="13" t="n">
        <v>1569.6</v>
      </c>
      <c r="BL190" s="13" t="n">
        <v>1605.6</v>
      </c>
    </row>
    <row r="191" ht="15.95" customHeight="1" s="574">
      <c r="A191" s="64" t="inlineStr">
        <is>
          <t>6485</t>
        </is>
      </c>
      <c r="B191" s="673">
        <f>銘柄管理!C191</f>
        <v/>
      </c>
      <c r="C191" s="676">
        <f>_xll.RssMarket("6485","現在値")</f>
        <v/>
      </c>
      <c r="D191" s="661" t="n"/>
      <c r="E191" s="13" t="n">
        <v>1482</v>
      </c>
      <c r="F191" s="13" t="n">
        <v>1459</v>
      </c>
      <c r="G191" s="13" t="n">
        <v>1454</v>
      </c>
      <c r="H191" s="13" t="n">
        <v>1449</v>
      </c>
      <c r="I191" s="13" t="n">
        <v>1424</v>
      </c>
      <c r="J191" s="13" t="n">
        <v>1411</v>
      </c>
      <c r="K191" s="13" t="n">
        <v>1429</v>
      </c>
      <c r="L191" s="13" t="n">
        <v>1419</v>
      </c>
      <c r="M191" s="13" t="n">
        <v>1435</v>
      </c>
      <c r="N191" s="13" t="n">
        <v>1414</v>
      </c>
      <c r="O191" s="13" t="n">
        <v>1402</v>
      </c>
      <c r="P191" s="13" t="n">
        <v>1376</v>
      </c>
      <c r="Q191" s="13" t="n">
        <v>1388</v>
      </c>
      <c r="R191" s="13" t="n">
        <v>1417</v>
      </c>
      <c r="S191" s="13" t="n">
        <v>1425</v>
      </c>
      <c r="T191" s="13" t="n">
        <v>1420</v>
      </c>
      <c r="U191" s="13" t="n">
        <v>1411</v>
      </c>
      <c r="V191" s="13" t="n">
        <v>1428</v>
      </c>
      <c r="W191" s="13" t="n">
        <v>1455</v>
      </c>
      <c r="X191" s="13" t="n">
        <v>1442</v>
      </c>
      <c r="Y191" s="13" t="n">
        <v>1497</v>
      </c>
      <c r="Z191" s="13" t="n">
        <v>1485</v>
      </c>
      <c r="AA191" s="13" t="n">
        <v>1500</v>
      </c>
      <c r="AB191" s="13" t="n">
        <v>1524</v>
      </c>
      <c r="AC191" s="13" t="n">
        <v>1508</v>
      </c>
      <c r="AD191" s="13" t="n">
        <v>1507</v>
      </c>
      <c r="AE191" s="13" t="n">
        <v>1512</v>
      </c>
      <c r="AF191" s="13" t="n">
        <v>1503</v>
      </c>
      <c r="AG191" s="13" t="n">
        <v>1493</v>
      </c>
      <c r="AH191" s="13" t="n">
        <v>1555</v>
      </c>
      <c r="AI191" s="13" t="n">
        <v>1491</v>
      </c>
      <c r="AJ191" s="13" t="n">
        <v>1498</v>
      </c>
      <c r="AK191" s="13" t="n">
        <v>1504</v>
      </c>
      <c r="AL191" s="13" t="n">
        <v>1525</v>
      </c>
      <c r="AM191" s="13" t="n">
        <v>1554</v>
      </c>
      <c r="AN191" s="13" t="n">
        <v>1554</v>
      </c>
      <c r="AO191" s="13" t="n">
        <v>1555</v>
      </c>
      <c r="AP191" s="13" t="n">
        <v>1567</v>
      </c>
      <c r="AQ191" s="13" t="n">
        <v>1576</v>
      </c>
      <c r="AR191" s="13" t="n">
        <v>1574</v>
      </c>
      <c r="AS191" s="13" t="n">
        <v>1594</v>
      </c>
      <c r="AT191" s="13" t="n">
        <v>1611</v>
      </c>
      <c r="AU191" s="13" t="n">
        <v>1619</v>
      </c>
      <c r="AV191" s="13" t="n">
        <v>1630</v>
      </c>
      <c r="AW191" s="13" t="n">
        <v>1605</v>
      </c>
      <c r="AX191" s="13" t="n">
        <v>1588</v>
      </c>
      <c r="AY191" s="13" t="n">
        <v>1586</v>
      </c>
      <c r="AZ191" s="13" t="n">
        <v>1580</v>
      </c>
      <c r="BA191" s="13" t="n">
        <v>1586</v>
      </c>
      <c r="BB191" s="13" t="n">
        <v>1556</v>
      </c>
      <c r="BC191" s="13" t="n">
        <v>1573</v>
      </c>
      <c r="BD191" s="13" t="n">
        <v>1612</v>
      </c>
      <c r="BE191" s="13" t="n">
        <v>1600</v>
      </c>
      <c r="BF191" s="13" t="n">
        <v>1605</v>
      </c>
      <c r="BG191" s="13" t="n">
        <v>1580</v>
      </c>
      <c r="BH191" s="13" t="n">
        <v>1561</v>
      </c>
      <c r="BI191" s="13" t="n">
        <v>1637</v>
      </c>
      <c r="BJ191" s="13" t="n">
        <v>1678</v>
      </c>
      <c r="BK191" s="13" t="n">
        <v>1627</v>
      </c>
      <c r="BL191" s="13" t="n">
        <v>1628</v>
      </c>
    </row>
    <row r="192" ht="15.95" customHeight="1" s="574">
      <c r="A192" s="64" t="inlineStr">
        <is>
          <t>4887</t>
        </is>
      </c>
      <c r="B192" s="673" t="inlineStr">
        <is>
          <t>サワイグループＨＤ</t>
        </is>
      </c>
      <c r="C192" s="676">
        <f>_xll.RssMarket("4887","現在値")</f>
        <v/>
      </c>
      <c r="D192" s="661">
        <f>C192-E192</f>
        <v/>
      </c>
      <c r="E192" s="13" t="n">
        <v>1633.5</v>
      </c>
      <c r="F192" s="13" t="n">
        <v>1638</v>
      </c>
      <c r="G192" s="13" t="n">
        <v>1676.5</v>
      </c>
      <c r="H192" s="13" t="n">
        <v>1650.5</v>
      </c>
      <c r="I192" s="13" t="n">
        <v>1711</v>
      </c>
      <c r="J192" s="13" t="n">
        <v>1720</v>
      </c>
      <c r="K192" s="13" t="n">
        <v>1688</v>
      </c>
      <c r="L192" s="13" t="n">
        <v>1712.5</v>
      </c>
      <c r="M192" s="13" t="n">
        <v>1717</v>
      </c>
      <c r="N192" s="13" t="n">
        <v>1719.5</v>
      </c>
      <c r="O192" s="13" t="n">
        <v>1707.5</v>
      </c>
      <c r="P192" s="13" t="n">
        <v>1732</v>
      </c>
      <c r="Q192" s="13" t="n">
        <v>1749</v>
      </c>
      <c r="R192" s="13" t="n">
        <v>1734.5</v>
      </c>
      <c r="S192" s="13" t="n">
        <v>1773.5</v>
      </c>
      <c r="T192" s="13" t="n">
        <v>1788.5</v>
      </c>
      <c r="U192" s="13" t="n">
        <v>1768</v>
      </c>
      <c r="V192" s="13" t="n">
        <v>1757.5</v>
      </c>
      <c r="W192" s="13" t="n">
        <v>1789</v>
      </c>
      <c r="X192" s="13" t="n">
        <v>1805</v>
      </c>
      <c r="Y192" s="13" t="n">
        <v>1740</v>
      </c>
      <c r="Z192" s="13" t="n">
        <v>2032.5</v>
      </c>
      <c r="AA192" s="13" t="n">
        <v>2082.5</v>
      </c>
      <c r="AB192" s="13" t="n">
        <v>2080.5</v>
      </c>
      <c r="AC192" s="13" t="n">
        <v>2081</v>
      </c>
      <c r="AD192" s="13" t="n">
        <v>2097.5</v>
      </c>
      <c r="AE192" s="13" t="n">
        <v>2102</v>
      </c>
      <c r="AF192" s="13" t="n">
        <v>2135</v>
      </c>
      <c r="AG192" s="13" t="n">
        <v>2066</v>
      </c>
      <c r="AH192" s="13" t="n">
        <v>2104.5</v>
      </c>
      <c r="AI192" s="13" t="n">
        <v>2098.5</v>
      </c>
      <c r="AJ192" s="13" t="n">
        <v>2080.5</v>
      </c>
      <c r="AK192" s="13" t="n">
        <v>2121</v>
      </c>
      <c r="AL192" s="13" t="n">
        <v>2099</v>
      </c>
      <c r="AM192" s="13" t="n">
        <v>2110.5</v>
      </c>
      <c r="AN192" s="13" t="n">
        <v>2174</v>
      </c>
      <c r="AO192" s="13" t="n">
        <v>2189.5</v>
      </c>
      <c r="AP192" s="13" t="n">
        <v>2208</v>
      </c>
      <c r="AQ192" s="13" t="n">
        <v>2248</v>
      </c>
      <c r="AR192" s="13" t="n">
        <v>2222</v>
      </c>
      <c r="AS192" s="13" t="n">
        <v>2177</v>
      </c>
      <c r="AT192" s="13" t="n">
        <v>2224.5</v>
      </c>
      <c r="AU192" s="13" t="n">
        <v>2255.5</v>
      </c>
      <c r="AV192" s="13" t="n">
        <v>2252.5</v>
      </c>
      <c r="AW192" s="13" t="n">
        <v>2267.5</v>
      </c>
      <c r="AX192" s="13" t="n">
        <v>2278.5</v>
      </c>
      <c r="AY192" s="13" t="n">
        <v>2287.5</v>
      </c>
      <c r="AZ192" s="13" t="n">
        <v>2301</v>
      </c>
      <c r="BA192" s="13" t="n">
        <v>2237</v>
      </c>
      <c r="BB192" s="13" t="n">
        <v>2275</v>
      </c>
      <c r="BC192" s="13" t="n">
        <v>2210</v>
      </c>
      <c r="BD192" s="13" t="n">
        <v>2243</v>
      </c>
      <c r="BE192" s="13" t="n">
        <v>2325</v>
      </c>
      <c r="BF192" s="13" t="n">
        <v>2278.5</v>
      </c>
      <c r="BG192" s="13" t="n">
        <v>2260</v>
      </c>
      <c r="BH192" s="13" t="n">
        <v>2192</v>
      </c>
      <c r="BI192" s="13" t="n">
        <v>2110</v>
      </c>
      <c r="BJ192" s="13" t="n">
        <v>2149</v>
      </c>
      <c r="BK192" s="13" t="n">
        <v>2190</v>
      </c>
      <c r="BL192" s="13" t="n">
        <v>2153</v>
      </c>
    </row>
    <row r="193" ht="15.95" customHeight="1" s="574">
      <c r="A193" s="64" t="inlineStr">
        <is>
          <t>5243</t>
        </is>
      </c>
      <c r="B193" s="673" t="inlineStr">
        <is>
          <t>ＮＯＴＥ</t>
        </is>
      </c>
      <c r="C193" s="676">
        <f>_xll.RssMarket("5243","現在値")</f>
        <v/>
      </c>
      <c r="D193" s="661">
        <f>C193-E193</f>
        <v/>
      </c>
      <c r="E193" s="13" t="n">
        <v>1800</v>
      </c>
      <c r="F193" s="13" t="n">
        <v>1760</v>
      </c>
      <c r="G193" s="13" t="n">
        <v>1821</v>
      </c>
      <c r="H193" s="13" t="n">
        <v>1728</v>
      </c>
      <c r="I193" s="13" t="n">
        <v>1655</v>
      </c>
      <c r="J193" s="13" t="n">
        <v>1683</v>
      </c>
      <c r="K193" s="13" t="n">
        <v>1676</v>
      </c>
      <c r="L193" s="13" t="n">
        <v>1754</v>
      </c>
      <c r="M193" s="13" t="n">
        <v>1848</v>
      </c>
      <c r="N193" s="13" t="n">
        <v>1816</v>
      </c>
      <c r="O193" s="13" t="n">
        <v>1935</v>
      </c>
      <c r="P193" s="13" t="n">
        <v>1901</v>
      </c>
      <c r="Q193" s="13" t="n">
        <v>2008</v>
      </c>
      <c r="R193" s="13" t="n">
        <v>2070</v>
      </c>
      <c r="S193" s="13" t="n">
        <v>2063</v>
      </c>
      <c r="T193" s="13" t="n">
        <v>2060</v>
      </c>
      <c r="U193" s="13" t="n">
        <v>2191</v>
      </c>
      <c r="V193" s="13" t="n">
        <v>2248</v>
      </c>
      <c r="W193" s="13" t="n">
        <v>2216</v>
      </c>
      <c r="X193" s="13" t="n">
        <v>2147</v>
      </c>
      <c r="Y193" s="13" t="n">
        <v>2205</v>
      </c>
      <c r="Z193" s="13" t="n">
        <v>2264</v>
      </c>
      <c r="AA193" s="13" t="n">
        <v>2255</v>
      </c>
      <c r="AB193" s="13" t="n">
        <v>2297</v>
      </c>
      <c r="AC193" s="13" t="n">
        <v>2407</v>
      </c>
      <c r="AD193" s="13" t="n">
        <v>2245</v>
      </c>
      <c r="AE193" s="13" t="n">
        <v>2135</v>
      </c>
      <c r="AF193" s="13" t="n">
        <v>2150</v>
      </c>
      <c r="AG193" s="13" t="n">
        <v>2251</v>
      </c>
      <c r="AH193" s="13" t="n">
        <v>2363</v>
      </c>
      <c r="AI193" s="13" t="n">
        <v>2424</v>
      </c>
      <c r="AJ193" s="13" t="n">
        <v>2503</v>
      </c>
      <c r="AK193" s="13" t="n">
        <v>2330</v>
      </c>
      <c r="AL193" s="13" t="n">
        <v>2449</v>
      </c>
      <c r="AM193" s="13" t="n">
        <v>2490</v>
      </c>
      <c r="AN193" s="13" t="n">
        <v>2691</v>
      </c>
      <c r="AO193" s="13" t="n">
        <v>2571</v>
      </c>
      <c r="AP193" s="13" t="n">
        <v>2609</v>
      </c>
      <c r="AQ193" s="13" t="n">
        <v>2608</v>
      </c>
      <c r="AR193" s="13" t="n">
        <v>2769</v>
      </c>
      <c r="AS193" s="13" t="n">
        <v>2521</v>
      </c>
      <c r="AT193" s="13" t="n">
        <v>3010</v>
      </c>
      <c r="AU193" s="13" t="n">
        <v>2909</v>
      </c>
      <c r="AV193" s="13" t="n">
        <v>2703</v>
      </c>
      <c r="AW193" s="13" t="n">
        <v>2695</v>
      </c>
      <c r="AX193" s="13" t="n">
        <v>2734</v>
      </c>
      <c r="AY193" s="13" t="n">
        <v>2517</v>
      </c>
      <c r="AZ193" s="13" t="n">
        <v>2552</v>
      </c>
      <c r="BA193" s="13" t="n">
        <v>2541</v>
      </c>
      <c r="BB193" s="13" t="n">
        <v>2459</v>
      </c>
      <c r="BC193" s="13" t="n">
        <v>2562</v>
      </c>
      <c r="BD193" s="13" t="n">
        <v>2445</v>
      </c>
      <c r="BE193" s="13" t="n">
        <v>2424</v>
      </c>
      <c r="BF193" s="13" t="n">
        <v>2519</v>
      </c>
      <c r="BG193" s="13" t="n">
        <v>2443</v>
      </c>
      <c r="BH193" s="13" t="n">
        <v>2485</v>
      </c>
      <c r="BI193" s="13" t="n">
        <v>2227</v>
      </c>
      <c r="BJ193" s="13" t="n">
        <v>2103</v>
      </c>
      <c r="BK193" s="13" t="n">
        <v>2188</v>
      </c>
      <c r="BL193" s="13" t="n">
        <v>2351</v>
      </c>
    </row>
    <row r="194" ht="15.95" customHeight="1" s="574">
      <c r="A194" s="64" t="inlineStr">
        <is>
          <t>2702</t>
        </is>
      </c>
      <c r="B194" s="673" t="inlineStr">
        <is>
          <t>日本マクドナルドＨＬＤＧ</t>
        </is>
      </c>
      <c r="C194" s="676">
        <f>_xll.RssMarket("2702","現在値")</f>
        <v/>
      </c>
      <c r="D194" s="661">
        <f>C194-E194</f>
        <v/>
      </c>
      <c r="E194" s="13" t="n">
        <v>7150</v>
      </c>
      <c r="F194" s="13" t="n">
        <v>7240</v>
      </c>
      <c r="G194" s="13" t="n">
        <v>7410</v>
      </c>
      <c r="H194" s="13" t="n">
        <v>7380</v>
      </c>
      <c r="I194" s="13" t="n">
        <v>7500</v>
      </c>
      <c r="J194" s="13" t="n">
        <v>7470</v>
      </c>
      <c r="K194" s="13" t="n">
        <v>7280</v>
      </c>
      <c r="L194" s="13" t="n">
        <v>7430</v>
      </c>
      <c r="M194" s="13" t="n">
        <v>7360</v>
      </c>
      <c r="N194" s="13" t="n">
        <v>7310</v>
      </c>
      <c r="O194" s="13" t="n">
        <v>7490</v>
      </c>
      <c r="P194" s="13" t="n">
        <v>7570</v>
      </c>
      <c r="Q194" s="13" t="n">
        <v>7750</v>
      </c>
      <c r="R194" s="13" t="n">
        <v>7790</v>
      </c>
      <c r="S194" s="13" t="n">
        <v>7780</v>
      </c>
      <c r="T194" s="13" t="n">
        <v>7870</v>
      </c>
      <c r="U194" s="13" t="n">
        <v>8080</v>
      </c>
      <c r="V194" s="13" t="n">
        <v>8130</v>
      </c>
      <c r="W194" s="13" t="n">
        <v>7980</v>
      </c>
      <c r="X194" s="13" t="n">
        <v>8070</v>
      </c>
      <c r="Y194" s="13" t="n">
        <v>8000</v>
      </c>
      <c r="Z194" s="13" t="n">
        <v>7800</v>
      </c>
      <c r="AA194" s="13" t="n">
        <v>8130</v>
      </c>
      <c r="AB194" s="13" t="n">
        <v>8330</v>
      </c>
      <c r="AC194" s="13" t="n">
        <v>8590</v>
      </c>
      <c r="AD194" s="13" t="n">
        <v>7690</v>
      </c>
      <c r="AE194" s="13" t="n">
        <v>7740</v>
      </c>
      <c r="AF194" s="13" t="n">
        <v>7870</v>
      </c>
      <c r="AG194" s="13" t="n">
        <v>8000</v>
      </c>
      <c r="AH194" s="13" t="n">
        <v>8130</v>
      </c>
      <c r="AI194" s="13" t="n">
        <v>8120</v>
      </c>
      <c r="AJ194" s="13" t="n">
        <v>8190</v>
      </c>
      <c r="AK194" s="13" t="n">
        <v>8210</v>
      </c>
      <c r="AL194" s="13" t="n">
        <v>8100</v>
      </c>
      <c r="AM194" s="13" t="n">
        <v>8120</v>
      </c>
      <c r="AN194" s="13" t="n">
        <v>8210</v>
      </c>
      <c r="AO194" s="13" t="n">
        <v>8250</v>
      </c>
      <c r="AP194" s="13" t="n">
        <v>8260</v>
      </c>
      <c r="AQ194" s="13" t="n">
        <v>8190</v>
      </c>
      <c r="AR194" s="13" t="n">
        <v>8200</v>
      </c>
      <c r="AS194" s="13" t="n">
        <v>8240</v>
      </c>
      <c r="AT194" s="13" t="n">
        <v>8030</v>
      </c>
      <c r="AU194" s="13" t="n">
        <v>8090</v>
      </c>
      <c r="AV194" s="13" t="n">
        <v>8240</v>
      </c>
      <c r="AW194" s="13" t="n">
        <v>8470</v>
      </c>
      <c r="AX194" s="13" t="n">
        <v>8580</v>
      </c>
      <c r="AY194" s="13" t="n">
        <v>8580</v>
      </c>
      <c r="AZ194" s="13" t="n">
        <v>8410</v>
      </c>
      <c r="BA194" s="13" t="n">
        <v>8420</v>
      </c>
      <c r="BB194" s="13" t="n">
        <v>8200</v>
      </c>
      <c r="BC194" s="13" t="n">
        <v>8260</v>
      </c>
      <c r="BD194" s="13" t="n">
        <v>8260</v>
      </c>
      <c r="BE194" s="13" t="n">
        <v>8430</v>
      </c>
      <c r="BF194" s="13" t="n">
        <v>8360</v>
      </c>
      <c r="BG194" s="13" t="n">
        <v>8060</v>
      </c>
      <c r="BH194" s="13" t="n">
        <v>8100</v>
      </c>
      <c r="BI194" s="13" t="n">
        <v>7960</v>
      </c>
      <c r="BJ194" s="13" t="n">
        <v>7820</v>
      </c>
      <c r="BK194" s="13" t="n">
        <v>7980</v>
      </c>
      <c r="BL194" s="13" t="n">
        <v>8030</v>
      </c>
    </row>
    <row r="195" ht="15.95" customHeight="1" s="574">
      <c r="A195" s="64" t="inlineStr">
        <is>
          <t>6890</t>
        </is>
      </c>
      <c r="B195" s="673" t="inlineStr">
        <is>
          <t>フェローテック</t>
        </is>
      </c>
      <c r="C195" s="676">
        <f>_xll.RssMarket("6890","現在値")</f>
        <v/>
      </c>
      <c r="D195" s="661">
        <f>C195-E195</f>
        <v/>
      </c>
      <c r="E195" s="13" t="n">
        <v>11590</v>
      </c>
      <c r="F195" s="13" t="n">
        <v>10470</v>
      </c>
      <c r="G195" s="13" t="n">
        <v>9440</v>
      </c>
      <c r="H195" s="13" t="n">
        <v>9300</v>
      </c>
      <c r="I195" s="13" t="n">
        <v>9100</v>
      </c>
      <c r="J195" s="13" t="n">
        <v>7940</v>
      </c>
      <c r="K195" s="13" t="n">
        <v>7880</v>
      </c>
      <c r="L195" s="13" t="n">
        <v>8230</v>
      </c>
      <c r="M195" s="13" t="n">
        <v>9100</v>
      </c>
      <c r="N195" s="13" t="n">
        <v>9020</v>
      </c>
      <c r="O195" s="13" t="n">
        <v>7950</v>
      </c>
      <c r="P195" s="13" t="n">
        <v>8010</v>
      </c>
      <c r="Q195" s="13" t="n">
        <v>8120</v>
      </c>
      <c r="R195" s="13" t="n">
        <v>8690</v>
      </c>
      <c r="S195" s="13" t="n">
        <v>8540</v>
      </c>
      <c r="T195" s="13" t="n">
        <v>8530</v>
      </c>
      <c r="U195" s="13" t="n">
        <v>9220</v>
      </c>
      <c r="V195" s="13" t="n">
        <v>8930</v>
      </c>
      <c r="W195" s="13" t="n">
        <v>8720</v>
      </c>
      <c r="X195" s="13" t="n">
        <v>8760</v>
      </c>
      <c r="Y195" s="13" t="n">
        <v>8550</v>
      </c>
      <c r="Z195" s="13" t="n">
        <v>9200</v>
      </c>
      <c r="AA195" s="13" t="n">
        <v>9460</v>
      </c>
      <c r="AB195" s="13" t="n">
        <v>9800</v>
      </c>
      <c r="AC195" s="13" t="n">
        <v>9430</v>
      </c>
      <c r="AD195" s="13" t="n">
        <v>9620</v>
      </c>
      <c r="AE195" s="13" t="n">
        <v>9610</v>
      </c>
      <c r="AF195" s="13" t="n">
        <v>9580</v>
      </c>
      <c r="AG195" s="13" t="n">
        <v>9150</v>
      </c>
      <c r="AH195" s="13" t="n">
        <v>8090</v>
      </c>
      <c r="AI195" s="13" t="n">
        <v>7530</v>
      </c>
      <c r="AJ195" s="13" t="n">
        <v>7750</v>
      </c>
      <c r="AK195" s="13" t="n">
        <v>7230</v>
      </c>
      <c r="AL195" s="13" t="n">
        <v>7480</v>
      </c>
      <c r="AM195" s="13" t="n">
        <v>7200</v>
      </c>
      <c r="AN195" s="13" t="n">
        <v>7000</v>
      </c>
      <c r="AO195" s="13" t="n">
        <v>6810</v>
      </c>
      <c r="AP195" s="13" t="n">
        <v>6700</v>
      </c>
      <c r="AQ195" s="13" t="n">
        <v>6700</v>
      </c>
      <c r="AR195" s="13" t="n">
        <v>6760</v>
      </c>
      <c r="AS195" s="13" t="n">
        <v>6760</v>
      </c>
      <c r="AT195" s="13" t="n">
        <v>6930</v>
      </c>
      <c r="AU195" s="13" t="n">
        <v>6940</v>
      </c>
      <c r="AV195" s="13" t="n">
        <v>6980</v>
      </c>
      <c r="AW195" s="13" t="n">
        <v>6850</v>
      </c>
      <c r="AX195" s="13" t="n">
        <v>6810</v>
      </c>
      <c r="AY195" s="13" t="n">
        <v>6510</v>
      </c>
      <c r="AZ195" s="13" t="n">
        <v>6490</v>
      </c>
      <c r="BA195" s="13" t="n">
        <v>6580</v>
      </c>
      <c r="BB195" s="13" t="n">
        <v>6320</v>
      </c>
      <c r="BC195" s="13" t="n">
        <v>6750</v>
      </c>
      <c r="BD195" s="13" t="n">
        <v>6280</v>
      </c>
      <c r="BE195" s="13" t="n">
        <v>6600</v>
      </c>
      <c r="BF195" s="13" t="n">
        <v>6500</v>
      </c>
      <c r="BG195" s="13" t="n">
        <v>6460</v>
      </c>
      <c r="BH195" s="13" t="n">
        <v>6430</v>
      </c>
      <c r="BI195" s="13" t="n">
        <v>5920</v>
      </c>
      <c r="BJ195" s="13" t="n">
        <v>5740</v>
      </c>
      <c r="BK195" s="13" t="n">
        <v>6010</v>
      </c>
      <c r="BL195" s="13" t="n">
        <v>6310</v>
      </c>
    </row>
    <row r="196" ht="15.95" customHeight="1" s="574">
      <c r="A196" s="64" t="inlineStr">
        <is>
          <t>4966</t>
        </is>
      </c>
      <c r="B196" s="673" t="inlineStr">
        <is>
          <t>上村工業</t>
        </is>
      </c>
      <c r="C196" s="676">
        <f>_xll.RssMarket("4966","現在値")</f>
        <v/>
      </c>
      <c r="D196" s="661">
        <f>C196-E196</f>
        <v/>
      </c>
      <c r="E196" s="13" t="n">
        <v>28050</v>
      </c>
      <c r="F196" s="13" t="n">
        <v>27070</v>
      </c>
      <c r="G196" s="13" t="n">
        <v>26340</v>
      </c>
      <c r="H196" s="13" t="n">
        <v>26410</v>
      </c>
      <c r="I196" s="13" t="n">
        <v>24160</v>
      </c>
      <c r="J196" s="13" t="n">
        <v>23150</v>
      </c>
      <c r="K196" s="13" t="n">
        <v>22470</v>
      </c>
      <c r="L196" s="13" t="n">
        <v>21800</v>
      </c>
      <c r="M196" s="13" t="n">
        <v>22740</v>
      </c>
      <c r="N196" s="13" t="n">
        <v>23020</v>
      </c>
      <c r="O196" s="13" t="n">
        <v>23580</v>
      </c>
      <c r="P196" s="13" t="n">
        <v>23160</v>
      </c>
      <c r="Q196" s="13" t="n">
        <v>23300</v>
      </c>
      <c r="R196" s="13" t="n">
        <v>23320</v>
      </c>
      <c r="S196" s="13" t="n">
        <v>23470</v>
      </c>
      <c r="T196" s="13" t="n">
        <v>23780</v>
      </c>
      <c r="U196" s="13" t="n">
        <v>23890</v>
      </c>
      <c r="V196" s="13" t="n">
        <v>24250</v>
      </c>
      <c r="W196" s="13" t="n">
        <v>23440</v>
      </c>
      <c r="X196" s="13" t="n">
        <v>22750</v>
      </c>
      <c r="Y196" s="13" t="n">
        <v>22810</v>
      </c>
      <c r="Z196" s="13" t="n">
        <v>23800</v>
      </c>
      <c r="AA196" s="13" t="n">
        <v>23990</v>
      </c>
      <c r="AB196" s="13" t="n">
        <v>25680</v>
      </c>
      <c r="AC196" s="13" t="n">
        <v>24970</v>
      </c>
      <c r="AD196" s="13" t="n">
        <v>24600</v>
      </c>
      <c r="AE196" s="13" t="n">
        <v>23830</v>
      </c>
      <c r="AF196" s="13" t="n">
        <v>23710</v>
      </c>
      <c r="AG196" s="13" t="n">
        <v>23800</v>
      </c>
      <c r="AH196" s="13" t="n">
        <v>22600</v>
      </c>
      <c r="AI196" s="13" t="n">
        <v>23440</v>
      </c>
      <c r="AJ196" s="13" t="n">
        <v>23320</v>
      </c>
      <c r="AK196" s="13" t="n">
        <v>23270</v>
      </c>
      <c r="AL196" s="13" t="n">
        <v>23320</v>
      </c>
      <c r="AM196" s="13" t="n">
        <v>23060</v>
      </c>
      <c r="AN196" s="13" t="n">
        <v>23410</v>
      </c>
      <c r="AO196" s="13" t="n">
        <v>23020</v>
      </c>
      <c r="AP196" s="13" t="n">
        <v>22810</v>
      </c>
      <c r="AQ196" s="13" t="n">
        <v>23140</v>
      </c>
      <c r="AR196" s="13" t="n">
        <v>23680</v>
      </c>
      <c r="AS196" s="13" t="n">
        <v>23980</v>
      </c>
      <c r="AT196" s="13" t="n">
        <v>24000</v>
      </c>
      <c r="AU196" s="13" t="n">
        <v>23230</v>
      </c>
      <c r="AV196" s="13" t="n">
        <v>22960</v>
      </c>
      <c r="AW196" s="13" t="n">
        <v>22670</v>
      </c>
      <c r="AX196" s="13" t="n">
        <v>22650</v>
      </c>
      <c r="AY196" s="13" t="n">
        <v>21010</v>
      </c>
      <c r="AZ196" s="13" t="n">
        <v>21410</v>
      </c>
      <c r="BA196" s="13" t="n">
        <v>20880</v>
      </c>
      <c r="BB196" s="13" t="n">
        <v>20420</v>
      </c>
      <c r="BC196" s="13" t="n">
        <v>20900</v>
      </c>
      <c r="BD196" s="13" t="n">
        <v>19720</v>
      </c>
      <c r="BE196" s="13" t="n">
        <v>20700</v>
      </c>
      <c r="BF196" s="13" t="n">
        <v>21890</v>
      </c>
      <c r="BG196" s="13" t="n">
        <v>22690</v>
      </c>
      <c r="BH196" s="13" t="n">
        <v>22960</v>
      </c>
      <c r="BI196" s="13" t="n">
        <v>22060</v>
      </c>
      <c r="BJ196" s="13" t="n">
        <v>21780</v>
      </c>
      <c r="BK196" s="13" t="n">
        <v>22570</v>
      </c>
      <c r="BL196" s="13" t="n">
        <v>23400</v>
      </c>
    </row>
    <row r="197" ht="15.95" customHeight="1" s="574">
      <c r="A197" s="64" t="inlineStr">
        <is>
          <t>6146</t>
        </is>
      </c>
      <c r="B197" s="673" t="inlineStr">
        <is>
          <t>ディスコ</t>
        </is>
      </c>
      <c r="C197" s="676">
        <f>_xll.RssMarket("6146","現在値")</f>
        <v/>
      </c>
      <c r="D197" s="661">
        <f>C197-E197</f>
        <v/>
      </c>
      <c r="E197" s="13" t="n">
        <v>88480</v>
      </c>
      <c r="F197" s="13" t="n">
        <v>84900</v>
      </c>
      <c r="G197" s="13" t="n">
        <v>83700</v>
      </c>
      <c r="H197" s="13" t="n">
        <v>81550</v>
      </c>
      <c r="I197" s="13" t="n">
        <v>85250</v>
      </c>
      <c r="J197" s="13" t="n">
        <v>79900</v>
      </c>
      <c r="K197" s="13" t="n">
        <v>70030</v>
      </c>
      <c r="L197" s="13" t="n">
        <v>70060</v>
      </c>
      <c r="M197" s="13" t="n">
        <v>67480</v>
      </c>
      <c r="N197" s="13" t="n">
        <v>72580</v>
      </c>
      <c r="O197" s="13" t="n">
        <v>72210</v>
      </c>
      <c r="P197" s="13" t="n">
        <v>68710</v>
      </c>
      <c r="Q197" s="13" t="n">
        <v>64200</v>
      </c>
      <c r="R197" s="13" t="n">
        <v>63760</v>
      </c>
      <c r="S197" s="13" t="n">
        <v>65090</v>
      </c>
      <c r="T197" s="13" t="n">
        <v>66350</v>
      </c>
      <c r="U197" s="13" t="n">
        <v>67630</v>
      </c>
      <c r="V197" s="13" t="n">
        <v>69780</v>
      </c>
      <c r="W197" s="13" t="n">
        <v>65860</v>
      </c>
      <c r="X197" s="13" t="n">
        <v>65650</v>
      </c>
      <c r="Y197" s="13" t="n">
        <v>61340</v>
      </c>
      <c r="Z197" s="13" t="n">
        <v>61600</v>
      </c>
      <c r="AA197" s="13" t="n">
        <v>63500</v>
      </c>
      <c r="AB197" s="13" t="n">
        <v>64900</v>
      </c>
      <c r="AC197" s="13" t="n">
        <v>70000</v>
      </c>
      <c r="AD197" s="13" t="n">
        <v>72840</v>
      </c>
      <c r="AE197" s="13" t="n">
        <v>72800</v>
      </c>
      <c r="AF197" s="13" t="n">
        <v>73380</v>
      </c>
      <c r="AG197" s="13" t="n">
        <v>75000</v>
      </c>
      <c r="AH197" s="13" t="n">
        <v>76590</v>
      </c>
      <c r="AI197" s="13" t="n">
        <v>72250</v>
      </c>
      <c r="AJ197" s="13" t="n">
        <v>74010</v>
      </c>
      <c r="AK197" s="13" t="n">
        <v>76440</v>
      </c>
      <c r="AL197" s="13" t="n">
        <v>76030</v>
      </c>
      <c r="AM197" s="13" t="n">
        <v>71700</v>
      </c>
      <c r="AN197" s="13" t="n">
        <v>72000</v>
      </c>
      <c r="AO197" s="13" t="n">
        <v>74830</v>
      </c>
      <c r="AP197" s="13" t="n">
        <v>74240</v>
      </c>
      <c r="AQ197" s="13" t="n">
        <v>72950</v>
      </c>
      <c r="AR197" s="13" t="n">
        <v>72900</v>
      </c>
      <c r="AS197" s="13" t="n">
        <v>73030</v>
      </c>
      <c r="AT197" s="13" t="n">
        <v>70580</v>
      </c>
      <c r="AU197" s="13" t="n">
        <v>71630</v>
      </c>
      <c r="AV197" s="13" t="n">
        <v>67370</v>
      </c>
      <c r="AW197" s="13" t="n">
        <v>66890</v>
      </c>
      <c r="AX197" s="13" t="n">
        <v>64600</v>
      </c>
      <c r="AY197" s="13" t="n">
        <v>67450</v>
      </c>
      <c r="AZ197" s="13" t="n">
        <v>62860</v>
      </c>
      <c r="BA197" s="13" t="n">
        <v>66980</v>
      </c>
      <c r="BB197" s="13" t="n">
        <v>65650</v>
      </c>
      <c r="BC197" s="13" t="n">
        <v>63570</v>
      </c>
      <c r="BD197" s="13" t="n">
        <v>63680</v>
      </c>
      <c r="BE197" s="13" t="n">
        <v>61240</v>
      </c>
      <c r="BF197" s="13" t="n">
        <v>64250</v>
      </c>
      <c r="BG197" s="13" t="n">
        <v>66530</v>
      </c>
      <c r="BH197" s="13" t="n">
        <v>67490</v>
      </c>
      <c r="BI197" s="13" t="n">
        <v>67980</v>
      </c>
      <c r="BJ197" s="13" t="n">
        <v>65390</v>
      </c>
      <c r="BK197" s="13" t="n">
        <v>65300</v>
      </c>
      <c r="BL197" s="13" t="n">
        <v>69580</v>
      </c>
    </row>
    <row r="198" ht="15.95" customHeight="1" s="574">
      <c r="A198" s="64" t="inlineStr">
        <is>
          <t>8035</t>
        </is>
      </c>
      <c r="B198" s="673" t="inlineStr">
        <is>
          <t>東京エレクトロン</t>
        </is>
      </c>
      <c r="C198" s="676">
        <f>_xll.RssMarket("8035","現在値")</f>
        <v/>
      </c>
      <c r="D198" s="661">
        <f>C198-E198</f>
        <v/>
      </c>
      <c r="E198" s="13" t="n">
        <v>77800</v>
      </c>
      <c r="F198" s="13" t="n">
        <v>75360</v>
      </c>
      <c r="G198" s="13" t="n">
        <v>72640</v>
      </c>
      <c r="H198" s="13" t="n">
        <v>70860</v>
      </c>
      <c r="I198" s="13" t="n">
        <v>68000</v>
      </c>
      <c r="J198" s="13" t="n">
        <v>63400</v>
      </c>
      <c r="K198" s="13" t="n">
        <v>61830</v>
      </c>
      <c r="L198" s="13" t="n">
        <v>55020</v>
      </c>
      <c r="M198" s="13" t="n">
        <v>59450</v>
      </c>
      <c r="N198" s="13" t="n">
        <v>63660</v>
      </c>
      <c r="O198" s="13" t="n">
        <v>60900</v>
      </c>
      <c r="P198" s="13" t="n">
        <v>53710</v>
      </c>
      <c r="Q198" s="13" t="n">
        <v>53060</v>
      </c>
      <c r="R198" s="13" t="n">
        <v>52420</v>
      </c>
      <c r="S198" s="13" t="n">
        <v>52320</v>
      </c>
      <c r="T198" s="13" t="n">
        <v>52500</v>
      </c>
      <c r="U198" s="13" t="n">
        <v>52180</v>
      </c>
      <c r="V198" s="13" t="n">
        <v>49830</v>
      </c>
      <c r="W198" s="13" t="n">
        <v>48800</v>
      </c>
      <c r="X198" s="13" t="n">
        <v>46100</v>
      </c>
      <c r="Y198" s="13" t="n">
        <v>47160</v>
      </c>
      <c r="Z198" s="13" t="n">
        <v>49260</v>
      </c>
      <c r="AA198" s="13" t="n">
        <v>50290</v>
      </c>
      <c r="AB198" s="13" t="n">
        <v>51200</v>
      </c>
      <c r="AC198" s="13" t="n">
        <v>51340</v>
      </c>
      <c r="AD198" s="13" t="n">
        <v>52160</v>
      </c>
      <c r="AE198" s="13" t="n">
        <v>52080</v>
      </c>
      <c r="AF198" s="13" t="n">
        <v>52450</v>
      </c>
      <c r="AG198" s="13" t="n">
        <v>51720</v>
      </c>
      <c r="AH198" s="13" t="n">
        <v>47450</v>
      </c>
      <c r="AI198" s="13" t="n">
        <v>44390</v>
      </c>
      <c r="AJ198" s="13" t="n">
        <v>45150</v>
      </c>
      <c r="AK198" s="13" t="n">
        <v>47100</v>
      </c>
      <c r="AL198" s="13" t="n">
        <v>45850</v>
      </c>
      <c r="AM198" s="13" t="n">
        <v>45480</v>
      </c>
      <c r="AN198" s="13" t="n">
        <v>45500</v>
      </c>
      <c r="AO198" s="13" t="n">
        <v>45780</v>
      </c>
      <c r="AP198" s="13" t="n">
        <v>44250</v>
      </c>
      <c r="AQ198" s="13" t="n">
        <v>44010</v>
      </c>
      <c r="AR198" s="13" t="n">
        <v>45820</v>
      </c>
      <c r="AS198" s="13" t="n">
        <v>43500</v>
      </c>
      <c r="AT198" s="13" t="n">
        <v>43700</v>
      </c>
      <c r="AU198" s="13" t="n">
        <v>42460</v>
      </c>
      <c r="AV198" s="13" t="n">
        <v>44040</v>
      </c>
      <c r="AW198" s="13" t="n">
        <v>42190</v>
      </c>
      <c r="AX198" s="13" t="n">
        <v>42410</v>
      </c>
      <c r="AY198" s="13" t="n">
        <v>38440</v>
      </c>
      <c r="AZ198" s="13" t="n">
        <v>38370</v>
      </c>
      <c r="BA198" s="13" t="n">
        <v>38420</v>
      </c>
      <c r="BB198" s="13" t="n">
        <v>38020</v>
      </c>
      <c r="BC198" s="13" t="n">
        <v>39280</v>
      </c>
      <c r="BD198" s="13" t="n">
        <v>37230</v>
      </c>
      <c r="BE198" s="13" t="n">
        <v>38840</v>
      </c>
      <c r="BF198" s="13" t="n">
        <v>39290</v>
      </c>
      <c r="BG198" s="13" t="n">
        <v>40530</v>
      </c>
      <c r="BH198" s="13" t="n">
        <v>40360</v>
      </c>
      <c r="BI198" s="13" t="n">
        <v>39130</v>
      </c>
      <c r="BJ198" s="13" t="n">
        <v>38300</v>
      </c>
      <c r="BK198" s="13" t="n">
        <v>39330</v>
      </c>
      <c r="BL198" s="13" t="n">
        <v>40290</v>
      </c>
    </row>
    <row r="199" ht="15.95" customHeight="1" s="574">
      <c r="A199" s="64" t="inlineStr">
        <is>
          <t>6920</t>
        </is>
      </c>
      <c r="B199" s="673" t="inlineStr">
        <is>
          <t>レーザーテック</t>
        </is>
      </c>
      <c r="C199" s="676">
        <f>_xll.RssMarket("6920","現在値")</f>
        <v/>
      </c>
      <c r="D199" s="661">
        <f>C199-E199</f>
        <v/>
      </c>
      <c r="E199" s="13" t="n">
        <v>57490</v>
      </c>
      <c r="F199" s="13" t="n">
        <v>55100</v>
      </c>
      <c r="G199" s="13" t="n">
        <v>52700</v>
      </c>
      <c r="H199" s="13" t="n">
        <v>46570</v>
      </c>
      <c r="I199" s="13" t="n">
        <v>48300</v>
      </c>
      <c r="J199" s="13" t="n">
        <v>44000</v>
      </c>
      <c r="K199" s="13" t="n">
        <v>40200</v>
      </c>
      <c r="L199" s="13" t="n">
        <v>40650</v>
      </c>
      <c r="M199" s="13" t="n">
        <v>39100</v>
      </c>
      <c r="N199" s="13" t="n">
        <v>42180</v>
      </c>
      <c r="O199" s="13" t="n">
        <v>42750</v>
      </c>
      <c r="P199" s="13" t="n">
        <v>41770</v>
      </c>
      <c r="Q199" s="13" t="n">
        <v>39250</v>
      </c>
      <c r="R199" s="13" t="n">
        <v>38380</v>
      </c>
      <c r="S199" s="13" t="n">
        <v>40130</v>
      </c>
      <c r="T199" s="13" t="n">
        <v>40110</v>
      </c>
      <c r="U199" s="13" t="n">
        <v>41530</v>
      </c>
      <c r="V199" s="13" t="n">
        <v>43020</v>
      </c>
      <c r="W199" s="13" t="n">
        <v>38130</v>
      </c>
      <c r="X199" s="13" t="n">
        <v>38060</v>
      </c>
      <c r="Y199" s="13" t="n">
        <v>35650</v>
      </c>
      <c r="Z199" s="13" t="n">
        <v>36060</v>
      </c>
      <c r="AA199" s="13" t="n">
        <v>38190</v>
      </c>
      <c r="AB199" s="13" t="n">
        <v>38410</v>
      </c>
      <c r="AC199" s="13" t="n">
        <v>40560</v>
      </c>
      <c r="AD199" s="13" t="n">
        <v>42490</v>
      </c>
      <c r="AE199" s="13" t="n">
        <v>43490</v>
      </c>
      <c r="AF199" s="13" t="n">
        <v>44110</v>
      </c>
      <c r="AG199" s="13" t="n">
        <v>43770</v>
      </c>
      <c r="AH199" s="13" t="n">
        <v>44920</v>
      </c>
      <c r="AI199" s="13" t="n">
        <v>42930</v>
      </c>
      <c r="AJ199" s="13" t="n">
        <v>42690</v>
      </c>
      <c r="AK199" s="13" t="n">
        <v>44330</v>
      </c>
      <c r="AL199" s="13" t="n">
        <v>45770</v>
      </c>
      <c r="AM199" s="13" t="n">
        <v>45060</v>
      </c>
      <c r="AN199" s="13" t="n">
        <v>43400</v>
      </c>
      <c r="AO199" s="13" t="n">
        <v>44800</v>
      </c>
      <c r="AP199" s="13" t="n">
        <v>44520</v>
      </c>
      <c r="AQ199" s="13" t="n">
        <v>42120</v>
      </c>
      <c r="AR199" s="13" t="n">
        <v>39950</v>
      </c>
      <c r="AS199" s="13" t="n">
        <v>42020</v>
      </c>
      <c r="AT199" s="13" t="n">
        <v>41370</v>
      </c>
      <c r="AU199" s="13" t="n">
        <v>42800</v>
      </c>
      <c r="AV199" s="13" t="n">
        <v>41230</v>
      </c>
      <c r="AW199" s="13" t="n">
        <v>41580</v>
      </c>
      <c r="AX199" s="13" t="n">
        <v>38700</v>
      </c>
      <c r="AY199" s="13" t="n">
        <v>39940</v>
      </c>
      <c r="AZ199" s="13" t="n">
        <v>36570</v>
      </c>
      <c r="BA199" s="13" t="n">
        <v>37460</v>
      </c>
      <c r="BB199" s="13" t="n">
        <v>35860</v>
      </c>
      <c r="BC199" s="13" t="n">
        <v>35020</v>
      </c>
      <c r="BD199" s="13" t="n">
        <v>35350</v>
      </c>
      <c r="BE199" s="13" t="n">
        <v>33350</v>
      </c>
      <c r="BF199" s="13" t="n">
        <v>35300</v>
      </c>
      <c r="BG199" s="13" t="n">
        <v>34970</v>
      </c>
      <c r="BH199" s="13" t="n">
        <v>34570</v>
      </c>
      <c r="BI199" s="13" t="n">
        <v>33410</v>
      </c>
      <c r="BJ199" s="13" t="n">
        <v>31870</v>
      </c>
      <c r="BK199" s="13" t="n">
        <v>32030</v>
      </c>
      <c r="BL199" s="13" t="n">
        <v>35090</v>
      </c>
    </row>
    <row r="200" ht="15.95" customHeight="1" s="574">
      <c r="A200" s="64" t="inlineStr">
        <is>
          <t>5801</t>
        </is>
      </c>
      <c r="B200" s="673" t="inlineStr">
        <is>
          <t>古河電工</t>
        </is>
      </c>
      <c r="C200" s="676">
        <f>_xll.RssMarket("5801","現在値")</f>
        <v/>
      </c>
      <c r="D200" s="661">
        <f>C200-E200</f>
        <v/>
      </c>
      <c r="E200" s="13" t="n">
        <v>58000</v>
      </c>
      <c r="F200" s="13" t="n">
        <v>53360</v>
      </c>
      <c r="G200" s="13" t="n">
        <v>47440</v>
      </c>
      <c r="H200" s="13" t="n">
        <v>46130</v>
      </c>
      <c r="I200" s="13" t="n">
        <v>42090</v>
      </c>
      <c r="J200" s="13" t="n">
        <v>40780</v>
      </c>
      <c r="K200" s="13" t="n">
        <v>41040</v>
      </c>
      <c r="L200" s="13" t="n">
        <v>45260</v>
      </c>
      <c r="M200" s="13" t="n">
        <v>49050</v>
      </c>
      <c r="N200" s="13" t="n">
        <v>51100</v>
      </c>
      <c r="O200" s="13" t="n">
        <v>53100</v>
      </c>
      <c r="P200" s="13" t="n">
        <v>50910</v>
      </c>
      <c r="Q200" s="13" t="n">
        <v>52130</v>
      </c>
      <c r="R200" s="13" t="n">
        <v>52060</v>
      </c>
      <c r="S200" s="13" t="n">
        <v>52000</v>
      </c>
      <c r="T200" s="13" t="n">
        <v>56110</v>
      </c>
      <c r="U200" s="13" t="n">
        <v>58080</v>
      </c>
      <c r="V200" s="13" t="n">
        <v>53650</v>
      </c>
      <c r="W200" s="13" t="n">
        <v>49280</v>
      </c>
      <c r="X200" s="13" t="n">
        <v>50860</v>
      </c>
      <c r="Y200" s="13" t="n">
        <v>50250</v>
      </c>
      <c r="Z200" s="13" t="n">
        <v>54840</v>
      </c>
      <c r="AA200" s="13" t="n">
        <v>54480</v>
      </c>
      <c r="AB200" s="13" t="n">
        <v>57220</v>
      </c>
      <c r="AC200" s="13" t="n">
        <v>58130</v>
      </c>
      <c r="AD200" s="13" t="n">
        <v>50430</v>
      </c>
      <c r="AE200" s="13" t="n">
        <v>43430</v>
      </c>
      <c r="AF200" s="13" t="n">
        <v>44870</v>
      </c>
      <c r="AG200" s="13" t="n">
        <v>46300</v>
      </c>
      <c r="AH200" s="13" t="n">
        <v>41190</v>
      </c>
      <c r="AI200" s="13" t="n">
        <v>42370</v>
      </c>
      <c r="AJ200" s="13" t="n">
        <v>42900</v>
      </c>
      <c r="AK200" s="13" t="n">
        <v>42620</v>
      </c>
      <c r="AL200" s="13" t="n">
        <v>42950</v>
      </c>
      <c r="AM200" s="13" t="n">
        <v>42530</v>
      </c>
      <c r="AN200" s="13" t="n">
        <v>44050</v>
      </c>
      <c r="AO200" s="13" t="n">
        <v>44260</v>
      </c>
      <c r="AP200" s="13" t="n">
        <v>43070</v>
      </c>
      <c r="AQ200" s="13" t="n">
        <v>44960</v>
      </c>
      <c r="AR200" s="13" t="n">
        <v>45720</v>
      </c>
      <c r="AS200" s="13" t="n">
        <v>44240</v>
      </c>
      <c r="AT200" s="13" t="n">
        <v>46880</v>
      </c>
      <c r="AU200" s="13" t="n">
        <v>45310</v>
      </c>
      <c r="AV200" s="13" t="n">
        <v>45800</v>
      </c>
      <c r="AW200" s="13" t="n">
        <v>44640</v>
      </c>
      <c r="AX200" s="13" t="n">
        <v>42940</v>
      </c>
      <c r="AY200" s="13" t="n">
        <v>36510</v>
      </c>
      <c r="AZ200" s="13" t="n">
        <v>37300</v>
      </c>
      <c r="BA200" s="13" t="n">
        <v>35800</v>
      </c>
      <c r="BB200" s="13" t="n">
        <v>32420</v>
      </c>
      <c r="BC200" s="13" t="n">
        <v>32490</v>
      </c>
      <c r="BD200" s="13" t="n">
        <v>28785</v>
      </c>
      <c r="BE200" s="13" t="n">
        <v>30950</v>
      </c>
      <c r="BF200" s="13" t="n">
        <v>30890</v>
      </c>
      <c r="BG200" s="13" t="n">
        <v>32210</v>
      </c>
      <c r="BH200" s="13" t="n">
        <v>31240</v>
      </c>
      <c r="BI200" s="13" t="n">
        <v>28085</v>
      </c>
      <c r="BJ200" s="13" t="n">
        <v>27680</v>
      </c>
      <c r="BK200" s="13" t="n">
        <v>29400</v>
      </c>
      <c r="BL200" s="13" t="n">
        <v>28720</v>
      </c>
    </row>
    <row r="201" ht="15.95" customHeight="1" s="574">
      <c r="A201" s="64" t="inlineStr">
        <is>
          <t>6506</t>
        </is>
      </c>
      <c r="B201" s="673" t="inlineStr">
        <is>
          <t>安川電機</t>
        </is>
      </c>
      <c r="C201" s="676">
        <f>_xll.RssMarket("6506","現在値")</f>
        <v/>
      </c>
      <c r="D201" s="661">
        <f>C201-E201</f>
        <v/>
      </c>
      <c r="E201" s="13" t="n">
        <v>7655</v>
      </c>
      <c r="F201" s="13" t="n">
        <v>7128</v>
      </c>
      <c r="G201" s="13" t="n">
        <v>7046</v>
      </c>
      <c r="H201" s="13" t="n">
        <v>6845</v>
      </c>
      <c r="I201" s="13" t="n">
        <v>6335</v>
      </c>
      <c r="J201" s="13" t="n">
        <v>6016</v>
      </c>
      <c r="K201" s="13" t="n">
        <v>5988</v>
      </c>
      <c r="L201" s="13" t="n">
        <v>6425</v>
      </c>
      <c r="M201" s="13" t="n">
        <v>6862</v>
      </c>
      <c r="N201" s="13" t="n">
        <v>6942</v>
      </c>
      <c r="O201" s="13" t="n">
        <v>7152</v>
      </c>
      <c r="P201" s="13" t="n">
        <v>6622</v>
      </c>
      <c r="Q201" s="13" t="n">
        <v>7140</v>
      </c>
      <c r="R201" s="13" t="n">
        <v>7208</v>
      </c>
      <c r="S201" s="13" t="n">
        <v>7136</v>
      </c>
      <c r="T201" s="13" t="n">
        <v>7107</v>
      </c>
      <c r="U201" s="13" t="n">
        <v>7481</v>
      </c>
      <c r="V201" s="13" t="n">
        <v>7052</v>
      </c>
      <c r="W201" s="13" t="n">
        <v>6698</v>
      </c>
      <c r="X201" s="13" t="n">
        <v>6076</v>
      </c>
      <c r="Y201" s="13" t="n">
        <v>6338</v>
      </c>
      <c r="Z201" s="13" t="n">
        <v>6682</v>
      </c>
      <c r="AA201" s="13" t="n">
        <v>6987</v>
      </c>
      <c r="AB201" s="13" t="n">
        <v>7006</v>
      </c>
      <c r="AC201" s="13" t="n">
        <v>6980</v>
      </c>
      <c r="AD201" s="13" t="n">
        <v>6970</v>
      </c>
      <c r="AE201" s="13" t="n">
        <v>6574</v>
      </c>
      <c r="AF201" s="13" t="n">
        <v>6367</v>
      </c>
      <c r="AG201" s="13" t="n">
        <v>5973</v>
      </c>
      <c r="AH201" s="13" t="n">
        <v>5521</v>
      </c>
      <c r="AI201" s="13" t="n">
        <v>5520</v>
      </c>
      <c r="AJ201" s="13" t="n">
        <v>5381</v>
      </c>
      <c r="AK201" s="13" t="n">
        <v>5462</v>
      </c>
      <c r="AL201" s="13" t="n">
        <v>5150</v>
      </c>
      <c r="AM201" s="13" t="n">
        <v>5151</v>
      </c>
      <c r="AN201" s="13" t="n">
        <v>5356</v>
      </c>
      <c r="AO201" s="13" t="n">
        <v>5495</v>
      </c>
      <c r="AP201" s="13" t="n">
        <v>5420</v>
      </c>
      <c r="AQ201" s="13" t="n">
        <v>5187</v>
      </c>
      <c r="AR201" s="13" t="n">
        <v>5288</v>
      </c>
      <c r="AS201" s="13" t="n">
        <v>5277</v>
      </c>
      <c r="AT201" s="13" t="n">
        <v>5151</v>
      </c>
      <c r="AU201" s="13" t="n">
        <v>5239</v>
      </c>
      <c r="AV201" s="13" t="n">
        <v>4894</v>
      </c>
      <c r="AW201" s="13" t="n">
        <v>4674</v>
      </c>
      <c r="AX201" s="13" t="n">
        <v>4659</v>
      </c>
      <c r="AY201" s="13" t="n">
        <v>4338</v>
      </c>
      <c r="AZ201" s="13" t="n">
        <v>4307</v>
      </c>
      <c r="BA201" s="13" t="n">
        <v>4280</v>
      </c>
      <c r="BB201" s="13" t="n">
        <v>4211</v>
      </c>
      <c r="BC201" s="13" t="n">
        <v>4322</v>
      </c>
      <c r="BD201" s="13" t="n">
        <v>4020</v>
      </c>
      <c r="BE201" s="13" t="n">
        <v>4128</v>
      </c>
      <c r="BF201" s="13" t="n">
        <v>4323</v>
      </c>
      <c r="BG201" s="13" t="n">
        <v>4416</v>
      </c>
      <c r="BH201" s="13" t="n">
        <v>4510</v>
      </c>
      <c r="BI201" s="13" t="n">
        <v>4387</v>
      </c>
      <c r="BJ201" s="13" t="n">
        <v>4242</v>
      </c>
      <c r="BK201" s="13" t="n">
        <v>4437</v>
      </c>
      <c r="BL201" s="13" t="n">
        <v>4654</v>
      </c>
    </row>
    <row r="202" ht="15.95" customHeight="1" s="574">
      <c r="A202" s="64" t="inlineStr">
        <is>
          <t>2768</t>
        </is>
      </c>
      <c r="B202" s="673" t="inlineStr">
        <is>
          <t>双日</t>
        </is>
      </c>
      <c r="C202" s="676">
        <f>_xll.RssMarket("2768","現在値")</f>
        <v/>
      </c>
      <c r="D202" s="661">
        <f>C202-E202</f>
        <v/>
      </c>
      <c r="E202" s="13" t="n">
        <v>5296</v>
      </c>
      <c r="F202" s="13" t="n">
        <v>5297</v>
      </c>
      <c r="G202" s="13" t="n">
        <v>5296</v>
      </c>
      <c r="H202" s="13" t="n">
        <v>5291</v>
      </c>
      <c r="I202" s="13" t="n">
        <v>5081</v>
      </c>
      <c r="J202" s="13" t="n">
        <v>5028</v>
      </c>
      <c r="K202" s="13" t="n">
        <v>5089</v>
      </c>
      <c r="L202" s="13" t="n">
        <v>5092</v>
      </c>
      <c r="M202" s="13" t="n">
        <v>5191</v>
      </c>
      <c r="N202" s="13" t="n">
        <v>5155</v>
      </c>
      <c r="O202" s="13" t="n">
        <v>5157</v>
      </c>
      <c r="P202" s="13" t="n">
        <v>5121</v>
      </c>
      <c r="Q202" s="13" t="n">
        <v>5143</v>
      </c>
      <c r="R202" s="13" t="n">
        <v>5391</v>
      </c>
      <c r="S202" s="13" t="n">
        <v>5427</v>
      </c>
      <c r="T202" s="13" t="n">
        <v>5510</v>
      </c>
      <c r="U202" s="13" t="n">
        <v>5594</v>
      </c>
      <c r="V202" s="13" t="n">
        <v>5550</v>
      </c>
      <c r="W202" s="13" t="n">
        <v>5564</v>
      </c>
      <c r="X202" s="13" t="n">
        <v>5533</v>
      </c>
      <c r="Y202" s="13" t="n">
        <v>5709</v>
      </c>
      <c r="Z202" s="13" t="n">
        <v>5696</v>
      </c>
      <c r="AA202" s="13" t="n">
        <v>5914</v>
      </c>
      <c r="AB202" s="13" t="n">
        <v>5863</v>
      </c>
      <c r="AC202" s="13" t="n">
        <v>5926</v>
      </c>
      <c r="AD202" s="13" t="n">
        <v>5855</v>
      </c>
      <c r="AE202" s="13" t="n">
        <v>5726</v>
      </c>
      <c r="AF202" s="13" t="n">
        <v>5690</v>
      </c>
      <c r="AG202" s="13" t="n">
        <v>5909</v>
      </c>
      <c r="AH202" s="13" t="n">
        <v>6218</v>
      </c>
      <c r="AI202" s="13" t="n">
        <v>5860</v>
      </c>
      <c r="AJ202" s="13" t="n">
        <v>5971</v>
      </c>
      <c r="AK202" s="13" t="n">
        <v>5825</v>
      </c>
      <c r="AL202" s="13" t="n">
        <v>5914</v>
      </c>
      <c r="AM202" s="13" t="n">
        <v>5885</v>
      </c>
      <c r="AN202" s="13" t="n">
        <v>5902</v>
      </c>
      <c r="AO202" s="13" t="n">
        <v>6070</v>
      </c>
      <c r="AP202" s="13" t="n">
        <v>6043</v>
      </c>
      <c r="AQ202" s="13" t="n">
        <v>6091</v>
      </c>
      <c r="AR202" s="13" t="n">
        <v>6254</v>
      </c>
      <c r="AS202" s="13" t="n">
        <v>6146</v>
      </c>
      <c r="AT202" s="13" t="n">
        <v>6235</v>
      </c>
      <c r="AU202" s="13" t="n">
        <v>6358</v>
      </c>
      <c r="AV202" s="13" t="n">
        <v>6383</v>
      </c>
      <c r="AW202" s="13" t="n">
        <v>6454</v>
      </c>
      <c r="AX202" s="13" t="n">
        <v>6603</v>
      </c>
      <c r="AY202" s="13" t="n">
        <v>6402</v>
      </c>
      <c r="AZ202" s="13" t="n">
        <v>6373</v>
      </c>
      <c r="BA202" s="13" t="n">
        <v>6359</v>
      </c>
      <c r="BB202" s="13" t="n">
        <v>6280</v>
      </c>
      <c r="BC202" s="13" t="n">
        <v>6421</v>
      </c>
      <c r="BD202" s="13" t="n">
        <v>6125</v>
      </c>
      <c r="BE202" s="13" t="n">
        <v>6251</v>
      </c>
      <c r="BF202" s="13" t="n">
        <v>6452</v>
      </c>
      <c r="BG202" s="13" t="n">
        <v>6366</v>
      </c>
      <c r="BH202" s="13" t="n">
        <v>6352</v>
      </c>
      <c r="BI202" s="13" t="n">
        <v>6186</v>
      </c>
      <c r="BJ202" s="13" t="n">
        <v>5989</v>
      </c>
      <c r="BK202" s="13" t="n">
        <v>6232</v>
      </c>
      <c r="BL202" s="13" t="n">
        <v>6550</v>
      </c>
    </row>
    <row r="203" ht="15.95" customHeight="1" s="574">
      <c r="A203" s="64" t="inlineStr">
        <is>
          <t>6305</t>
        </is>
      </c>
      <c r="B203" s="673" t="inlineStr">
        <is>
          <t>日立建機</t>
        </is>
      </c>
      <c r="C203" s="676">
        <f>_xll.RssMarket("6305","現在値")</f>
        <v/>
      </c>
      <c r="D203" s="661">
        <f>C203-E203</f>
        <v/>
      </c>
      <c r="E203" s="13" t="n">
        <v>5414</v>
      </c>
      <c r="F203" s="13" t="n">
        <v>5408</v>
      </c>
      <c r="G203" s="13" t="n">
        <v>5417</v>
      </c>
      <c r="H203" s="13" t="n">
        <v>5419</v>
      </c>
      <c r="I203" s="13" t="n">
        <v>5303</v>
      </c>
      <c r="J203" s="13" t="n">
        <v>5150</v>
      </c>
      <c r="K203" s="13" t="n">
        <v>5267</v>
      </c>
      <c r="L203" s="13" t="n">
        <v>5247</v>
      </c>
      <c r="M203" s="13" t="n">
        <v>5415</v>
      </c>
      <c r="N203" s="13" t="n">
        <v>5339</v>
      </c>
      <c r="O203" s="13" t="n">
        <v>5385</v>
      </c>
      <c r="P203" s="13" t="n">
        <v>5094</v>
      </c>
      <c r="Q203" s="13" t="n">
        <v>5100</v>
      </c>
      <c r="R203" s="13" t="n">
        <v>5199</v>
      </c>
      <c r="S203" s="13" t="n">
        <v>5228</v>
      </c>
      <c r="T203" s="13" t="n">
        <v>5222</v>
      </c>
      <c r="U203" s="13" t="n">
        <v>5049</v>
      </c>
      <c r="V203" s="13" t="n">
        <v>4982</v>
      </c>
      <c r="W203" s="13" t="n">
        <v>4987</v>
      </c>
      <c r="X203" s="13" t="n">
        <v>4912</v>
      </c>
      <c r="Y203" s="13" t="n">
        <v>5056</v>
      </c>
      <c r="Z203" s="13" t="n">
        <v>5052</v>
      </c>
      <c r="AA203" s="13" t="n">
        <v>5226</v>
      </c>
      <c r="AB203" s="13" t="n">
        <v>5301</v>
      </c>
      <c r="AC203" s="13" t="n">
        <v>5290</v>
      </c>
      <c r="AD203" s="13" t="n">
        <v>5443</v>
      </c>
      <c r="AE203" s="13" t="n">
        <v>5674</v>
      </c>
      <c r="AF203" s="13" t="n">
        <v>5679</v>
      </c>
      <c r="AG203" s="13" t="n">
        <v>5521</v>
      </c>
      <c r="AH203" s="13" t="n">
        <v>5541</v>
      </c>
      <c r="AI203" s="13" t="n">
        <v>5472</v>
      </c>
      <c r="AJ203" s="13" t="n">
        <v>5644</v>
      </c>
      <c r="AK203" s="13" t="n">
        <v>5432</v>
      </c>
      <c r="AL203" s="13" t="n">
        <v>5443</v>
      </c>
      <c r="AM203" s="13" t="n">
        <v>5490</v>
      </c>
      <c r="AN203" s="13" t="n">
        <v>5388</v>
      </c>
      <c r="AO203" s="13" t="n">
        <v>5497</v>
      </c>
      <c r="AP203" s="13" t="n">
        <v>5430</v>
      </c>
      <c r="AQ203" s="13" t="n">
        <v>5365</v>
      </c>
      <c r="AR203" s="13" t="n">
        <v>5550</v>
      </c>
      <c r="AS203" s="13" t="n">
        <v>5683</v>
      </c>
      <c r="AT203" s="13" t="n">
        <v>5640</v>
      </c>
      <c r="AU203" s="13" t="n">
        <v>5658</v>
      </c>
      <c r="AV203" s="13" t="n">
        <v>5707</v>
      </c>
      <c r="AW203" s="13" t="n">
        <v>5693</v>
      </c>
      <c r="AX203" s="13" t="n">
        <v>5707</v>
      </c>
      <c r="AY203" s="13" t="n">
        <v>5317</v>
      </c>
      <c r="AZ203" s="13" t="n">
        <v>5379</v>
      </c>
      <c r="BA203" s="13" t="n">
        <v>5443</v>
      </c>
      <c r="BB203" s="13" t="n">
        <v>5395</v>
      </c>
      <c r="BC203" s="13" t="n">
        <v>5519</v>
      </c>
      <c r="BD203" s="13" t="n">
        <v>5271</v>
      </c>
      <c r="BE203" s="13" t="n">
        <v>5248</v>
      </c>
      <c r="BF203" s="13" t="n">
        <v>5541</v>
      </c>
      <c r="BG203" s="13" t="n">
        <v>5519</v>
      </c>
      <c r="BH203" s="13" t="n">
        <v>5531</v>
      </c>
      <c r="BI203" s="13" t="n">
        <v>5397</v>
      </c>
      <c r="BJ203" s="13" t="n">
        <v>5181</v>
      </c>
      <c r="BK203" s="13" t="n">
        <v>5432</v>
      </c>
      <c r="BL203" s="13" t="n">
        <v>5747</v>
      </c>
    </row>
    <row r="204" ht="15.95" customHeight="1" s="574">
      <c r="A204" s="64" t="inlineStr">
        <is>
          <t>8015</t>
        </is>
      </c>
      <c r="B204" s="673" t="inlineStr">
        <is>
          <t>豊田通商</t>
        </is>
      </c>
      <c r="C204" s="676">
        <f>_xll.RssMarket("8015","現在値")</f>
        <v/>
      </c>
      <c r="D204" s="661">
        <f>C204-E204</f>
        <v/>
      </c>
      <c r="E204" s="13" t="n">
        <v>6171</v>
      </c>
      <c r="F204" s="13" t="n">
        <v>6191</v>
      </c>
      <c r="G204" s="13" t="n">
        <v>6344</v>
      </c>
      <c r="H204" s="13" t="n">
        <v>6416</v>
      </c>
      <c r="I204" s="13" t="n">
        <v>6174</v>
      </c>
      <c r="J204" s="13" t="n">
        <v>5969</v>
      </c>
      <c r="K204" s="13" t="n">
        <v>6092</v>
      </c>
      <c r="L204" s="13" t="n">
        <v>6165</v>
      </c>
      <c r="M204" s="13" t="n">
        <v>6456</v>
      </c>
      <c r="N204" s="13" t="n">
        <v>6436</v>
      </c>
      <c r="O204" s="13" t="n">
        <v>6500</v>
      </c>
      <c r="P204" s="13" t="n">
        <v>6467</v>
      </c>
      <c r="Q204" s="13" t="n">
        <v>6618</v>
      </c>
      <c r="R204" s="13" t="n">
        <v>6930</v>
      </c>
      <c r="S204" s="13" t="n">
        <v>6729</v>
      </c>
      <c r="T204" s="13" t="n">
        <v>6841</v>
      </c>
      <c r="U204" s="13" t="n">
        <v>7096</v>
      </c>
      <c r="V204" s="13" t="n">
        <v>6974</v>
      </c>
      <c r="W204" s="13" t="n">
        <v>6811</v>
      </c>
      <c r="X204" s="13" t="n">
        <v>6763</v>
      </c>
      <c r="Y204" s="13" t="n">
        <v>7056</v>
      </c>
      <c r="Z204" s="13" t="n">
        <v>7064</v>
      </c>
      <c r="AA204" s="13" t="n">
        <v>7387</v>
      </c>
      <c r="AB204" s="13" t="n">
        <v>7370</v>
      </c>
      <c r="AC204" s="13" t="n">
        <v>7397</v>
      </c>
      <c r="AD204" s="13" t="n">
        <v>7130</v>
      </c>
      <c r="AE204" s="13" t="n">
        <v>6991</v>
      </c>
      <c r="AF204" s="13" t="n">
        <v>6743</v>
      </c>
      <c r="AG204" s="13" t="n">
        <v>6840</v>
      </c>
      <c r="AH204" s="13" t="n">
        <v>6868</v>
      </c>
      <c r="AI204" s="13" t="n">
        <v>6101</v>
      </c>
      <c r="AJ204" s="13" t="n">
        <v>6379</v>
      </c>
      <c r="AK204" s="13" t="n">
        <v>6205</v>
      </c>
      <c r="AL204" s="13" t="n">
        <v>6124</v>
      </c>
      <c r="AM204" s="13" t="n">
        <v>6154</v>
      </c>
      <c r="AN204" s="13" t="n">
        <v>6177</v>
      </c>
      <c r="AO204" s="13" t="n">
        <v>6315</v>
      </c>
      <c r="AP204" s="13" t="n">
        <v>6284</v>
      </c>
      <c r="AQ204" s="13" t="n">
        <v>6241</v>
      </c>
      <c r="AR204" s="13" t="n">
        <v>6332</v>
      </c>
      <c r="AS204" s="13" t="n">
        <v>6255</v>
      </c>
      <c r="AT204" s="13" t="n">
        <v>6386</v>
      </c>
      <c r="AU204" s="13" t="n">
        <v>6386</v>
      </c>
      <c r="AV204" s="13" t="n">
        <v>6610</v>
      </c>
      <c r="AW204" s="13" t="n">
        <v>6605</v>
      </c>
      <c r="AX204" s="13" t="n">
        <v>6474</v>
      </c>
      <c r="AY204" s="13" t="n">
        <v>6027</v>
      </c>
      <c r="AZ204" s="13" t="n">
        <v>6005</v>
      </c>
      <c r="BA204" s="13" t="n">
        <v>6081</v>
      </c>
      <c r="BB204" s="13" t="n">
        <v>6061</v>
      </c>
      <c r="BC204" s="13" t="n">
        <v>6346</v>
      </c>
      <c r="BD204" s="13" t="n">
        <v>5950</v>
      </c>
      <c r="BE204" s="13" t="n">
        <v>5973</v>
      </c>
      <c r="BF204" s="13" t="n">
        <v>6191</v>
      </c>
      <c r="BG204" s="13" t="n">
        <v>6215</v>
      </c>
      <c r="BH204" s="13" t="n">
        <v>6229</v>
      </c>
      <c r="BI204" s="13" t="n">
        <v>6102</v>
      </c>
      <c r="BJ204" s="13" t="n">
        <v>5940</v>
      </c>
      <c r="BK204" s="13" t="n">
        <v>6275</v>
      </c>
      <c r="BL204" s="13" t="n">
        <v>6690</v>
      </c>
    </row>
    <row r="205">
      <c r="A205" s="65" t="inlineStr">
        <is>
          <t>6758</t>
        </is>
      </c>
      <c r="B205" s="4" t="inlineStr">
        <is>
          <t>ソニーグループ</t>
        </is>
      </c>
      <c r="C205" s="677">
        <f>_xll.RssMarket("6758","現在値")</f>
        <v/>
      </c>
      <c r="D205" s="678">
        <f>C205-E205</f>
        <v/>
      </c>
      <c r="E205" s="70" t="n">
        <v>3183</v>
      </c>
      <c r="F205" s="70" t="n">
        <v>3140</v>
      </c>
      <c r="G205" s="70" t="n">
        <v>3286</v>
      </c>
      <c r="H205" s="70" t="n">
        <v>3275</v>
      </c>
      <c r="I205" s="70" t="n">
        <v>3292</v>
      </c>
      <c r="J205" s="70" t="n">
        <v>3369</v>
      </c>
      <c r="K205" s="70" t="n">
        <v>3385</v>
      </c>
      <c r="L205" s="70" t="n">
        <v>3508</v>
      </c>
      <c r="M205" s="70" t="n">
        <v>3559</v>
      </c>
      <c r="N205" s="70" t="n">
        <v>3540</v>
      </c>
      <c r="O205" s="70" t="n">
        <v>3619</v>
      </c>
      <c r="P205" s="70" t="n">
        <v>3669</v>
      </c>
      <c r="Q205" s="70" t="n">
        <v>3542</v>
      </c>
      <c r="R205" s="70" t="n">
        <v>3444</v>
      </c>
      <c r="S205" s="70" t="n">
        <v>3451</v>
      </c>
      <c r="T205" s="70" t="n">
        <v>3525</v>
      </c>
      <c r="U205" s="70" t="n">
        <v>3598</v>
      </c>
      <c r="V205" s="70" t="n">
        <v>3525</v>
      </c>
      <c r="W205" s="70" t="n">
        <v>3554</v>
      </c>
      <c r="X205" s="70" t="n">
        <v>3606</v>
      </c>
      <c r="Y205" s="70" t="n">
        <v>3720</v>
      </c>
      <c r="Z205" s="70" t="n">
        <v>3596</v>
      </c>
      <c r="AA205" s="70" t="n">
        <v>3576</v>
      </c>
      <c r="AB205" s="70" t="n">
        <v>3444</v>
      </c>
      <c r="AC205" s="70" t="n">
        <v>3660</v>
      </c>
      <c r="AD205" s="70" t="n">
        <v>3484</v>
      </c>
      <c r="AE205" s="70" t="n">
        <v>3372</v>
      </c>
      <c r="AF205" s="70" t="n">
        <v>6743</v>
      </c>
      <c r="AG205" s="70" t="n">
        <v>6840</v>
      </c>
      <c r="AH205" s="70" t="n">
        <v>6868</v>
      </c>
      <c r="AI205" s="70" t="n">
        <v>6101</v>
      </c>
      <c r="AJ205" s="70" t="n">
        <v>6379</v>
      </c>
      <c r="AK205" s="70" t="n">
        <v>6205</v>
      </c>
      <c r="AL205" s="70" t="n">
        <v>6124</v>
      </c>
      <c r="AM205" s="70" t="n">
        <v>6154</v>
      </c>
      <c r="AN205" s="70" t="n">
        <v>6177</v>
      </c>
      <c r="AO205" s="70" t="n">
        <v>6315</v>
      </c>
      <c r="AP205" s="70" t="n">
        <v>6284</v>
      </c>
      <c r="AQ205" s="70" t="n">
        <v>6241</v>
      </c>
      <c r="AR205" s="70" t="n">
        <v>6332</v>
      </c>
      <c r="AS205" s="70" t="n">
        <v>6255</v>
      </c>
      <c r="AT205" s="70" t="n">
        <v>6386</v>
      </c>
      <c r="AU205" s="70" t="n">
        <v>6386</v>
      </c>
      <c r="AV205" s="70" t="n">
        <v>6610</v>
      </c>
      <c r="AW205" s="70" t="n">
        <v>6605</v>
      </c>
      <c r="AX205" s="70" t="n">
        <v>6474</v>
      </c>
      <c r="AY205" s="70" t="n">
        <v>6027</v>
      </c>
      <c r="AZ205" s="70" t="n">
        <v>6005</v>
      </c>
      <c r="BA205" s="70" t="n">
        <v>6081</v>
      </c>
      <c r="BB205" s="70" t="n">
        <v>6061</v>
      </c>
      <c r="BC205" s="70" t="n">
        <v>6346</v>
      </c>
      <c r="BD205" s="70" t="n">
        <v>5950</v>
      </c>
      <c r="BE205" s="70" t="n">
        <v>5973</v>
      </c>
      <c r="BF205" s="70" t="n">
        <v>6191</v>
      </c>
      <c r="BG205" s="70" t="n">
        <v>6215</v>
      </c>
      <c r="BH205" s="70" t="n">
        <v>6229</v>
      </c>
      <c r="BI205" s="70" t="n">
        <v>6102</v>
      </c>
      <c r="BJ205" s="70" t="n">
        <v>5940</v>
      </c>
      <c r="BK205" s="70" t="n">
        <v>6275</v>
      </c>
      <c r="BL205" s="70" t="n">
        <v>6690</v>
      </c>
    </row>
    <row r="206">
      <c r="A206" s="65" t="inlineStr">
        <is>
          <t>9101</t>
        </is>
      </c>
      <c r="B206" s="4" t="inlineStr">
        <is>
          <t>日本郵船</t>
        </is>
      </c>
      <c r="C206" s="677">
        <f>_xll.RssMarket("9101","現在値")</f>
        <v/>
      </c>
      <c r="D206" s="678">
        <f>C206-E206</f>
        <v/>
      </c>
      <c r="E206" s="70" t="n">
        <v>5203</v>
      </c>
      <c r="F206" s="70" t="n">
        <v>5152</v>
      </c>
      <c r="G206" s="70" t="n">
        <v>5348</v>
      </c>
      <c r="H206" s="70" t="n">
        <v>5466</v>
      </c>
      <c r="I206" s="70" t="n">
        <v>5630</v>
      </c>
      <c r="J206" s="70" t="n">
        <v>5660</v>
      </c>
      <c r="K206" s="70" t="n">
        <v>5566</v>
      </c>
      <c r="L206" s="70" t="n">
        <v>5646</v>
      </c>
      <c r="M206" s="70" t="n">
        <v>5609</v>
      </c>
      <c r="N206" s="70" t="n">
        <v>5438</v>
      </c>
      <c r="O206" s="70" t="n">
        <v>5362</v>
      </c>
      <c r="P206" s="70" t="n">
        <v>5319</v>
      </c>
      <c r="Q206" s="70" t="n">
        <v>5275</v>
      </c>
      <c r="R206" s="70" t="n">
        <v>5313</v>
      </c>
      <c r="S206" s="70" t="n">
        <v>5322</v>
      </c>
      <c r="T206" s="70" t="n">
        <v>5230</v>
      </c>
      <c r="U206" s="70" t="n">
        <v>5321</v>
      </c>
      <c r="V206" s="70" t="n">
        <v>5391</v>
      </c>
      <c r="W206" s="70" t="n">
        <v>5498</v>
      </c>
      <c r="X206" s="70" t="n">
        <v>5610</v>
      </c>
      <c r="Y206" s="70" t="n">
        <v>5619</v>
      </c>
      <c r="Z206" s="70" t="n">
        <v>5558</v>
      </c>
      <c r="AA206" s="70" t="n">
        <v>5498</v>
      </c>
      <c r="AB206" s="70" t="n">
        <v>5446</v>
      </c>
      <c r="AC206" s="70" t="n">
        <v>5358</v>
      </c>
      <c r="AD206" s="70" t="n">
        <v>5301</v>
      </c>
      <c r="AE206" s="70" t="n">
        <v>5471</v>
      </c>
      <c r="AF206" s="70" t="n">
        <v>5571</v>
      </c>
      <c r="AG206" s="70" t="n">
        <v>5660</v>
      </c>
      <c r="AH206" s="70" t="n">
        <v>5629</v>
      </c>
      <c r="AI206" s="70" t="n">
        <v>5669</v>
      </c>
      <c r="AJ206" s="70" t="n">
        <v>5662</v>
      </c>
      <c r="AK206" s="70" t="n">
        <v>5580</v>
      </c>
      <c r="AL206" s="70" t="n">
        <v>5874</v>
      </c>
      <c r="AM206" s="70" t="n">
        <v>5807</v>
      </c>
      <c r="AN206" s="70" t="n">
        <v>5828</v>
      </c>
      <c r="AO206" s="70" t="n">
        <v>5872</v>
      </c>
      <c r="AP206" s="70" t="n">
        <v>5908</v>
      </c>
      <c r="AQ206" s="70" t="n">
        <v>6096</v>
      </c>
      <c r="AR206" s="70" t="n">
        <v>6053</v>
      </c>
      <c r="AS206" s="70" t="n">
        <v>6044</v>
      </c>
      <c r="AT206" s="70" t="n">
        <v>6117</v>
      </c>
      <c r="AU206" s="70" t="n">
        <v>6104</v>
      </c>
      <c r="AV206" s="70" t="n">
        <v>6163</v>
      </c>
      <c r="AW206" s="70" t="n">
        <v>6163</v>
      </c>
      <c r="AX206" s="70" t="n">
        <v>6055</v>
      </c>
      <c r="AY206" s="70" t="n">
        <v>6309</v>
      </c>
      <c r="AZ206" s="70" t="n">
        <v>6288</v>
      </c>
      <c r="BA206" s="70" t="n">
        <v>6164</v>
      </c>
      <c r="BB206" s="70" t="n">
        <v>6162</v>
      </c>
      <c r="BC206" s="70" t="n">
        <v>5984</v>
      </c>
      <c r="BD206" s="70" t="n">
        <v>5768</v>
      </c>
      <c r="BE206" s="70" t="n">
        <v>5721</v>
      </c>
      <c r="BF206" s="70" t="n">
        <v>5896</v>
      </c>
      <c r="BG206" s="70" t="n">
        <v>5785</v>
      </c>
      <c r="BH206" s="70" t="n">
        <v>5729</v>
      </c>
      <c r="BI206" s="70" t="n">
        <v>5680</v>
      </c>
      <c r="BJ206" s="70" t="n">
        <v>5714</v>
      </c>
      <c r="BK206" s="70" t="n">
        <v>6140</v>
      </c>
      <c r="BL206" s="70" t="n">
        <v>6182</v>
      </c>
    </row>
    <row r="207">
      <c r="A207" s="65" t="inlineStr">
        <is>
          <t>7011</t>
        </is>
      </c>
      <c r="B207" s="4" t="inlineStr">
        <is>
          <t>三菱重工業</t>
        </is>
      </c>
      <c r="C207" s="677">
        <f>_xll.RssMarket("7011","現在値")</f>
        <v/>
      </c>
      <c r="D207" s="678">
        <f>C207-E207</f>
        <v/>
      </c>
      <c r="E207" s="70" t="n">
        <v>3909</v>
      </c>
      <c r="F207" s="70" t="n">
        <v>3917</v>
      </c>
      <c r="G207" s="70" t="n">
        <v>3860</v>
      </c>
      <c r="H207" s="70" t="n">
        <v>3810</v>
      </c>
      <c r="I207" s="70" t="n">
        <v>3540</v>
      </c>
      <c r="J207" s="70" t="n">
        <v>3494</v>
      </c>
      <c r="K207" s="70" t="n">
        <v>3578</v>
      </c>
      <c r="L207" s="70" t="n">
        <v>3699</v>
      </c>
      <c r="M207" s="70" t="n">
        <v>3790</v>
      </c>
      <c r="N207" s="70" t="n">
        <v>3701</v>
      </c>
      <c r="O207" s="70" t="n">
        <v>3573</v>
      </c>
      <c r="P207" s="70" t="n">
        <v>3516</v>
      </c>
      <c r="Q207" s="70" t="n">
        <v>3636</v>
      </c>
      <c r="R207" s="70" t="n">
        <v>3806</v>
      </c>
      <c r="S207" s="70" t="n">
        <v>3804</v>
      </c>
      <c r="T207" s="70" t="n">
        <v>3898</v>
      </c>
      <c r="U207" s="70" t="n">
        <v>3908</v>
      </c>
      <c r="V207" s="70" t="n">
        <v>3969</v>
      </c>
      <c r="W207" s="70" t="n">
        <v>3958</v>
      </c>
      <c r="X207" s="70" t="n">
        <v>4024</v>
      </c>
      <c r="Y207" s="70" t="n">
        <v>4126</v>
      </c>
      <c r="Z207" s="70" t="n">
        <v>4102</v>
      </c>
      <c r="AA207" s="70" t="n">
        <v>4080</v>
      </c>
      <c r="AB207" s="70" t="n">
        <v>4162</v>
      </c>
      <c r="AC207" s="70" t="n">
        <v>4406</v>
      </c>
      <c r="AD207" s="70" t="n">
        <v>4300</v>
      </c>
      <c r="AE207" s="70" t="n">
        <v>4384</v>
      </c>
      <c r="AF207" s="70" t="n">
        <v>4510</v>
      </c>
      <c r="AG207" s="70" t="n">
        <v>4527</v>
      </c>
      <c r="AH207" s="70" t="n">
        <v>4586</v>
      </c>
      <c r="AI207" s="70" t="n">
        <v>4615</v>
      </c>
      <c r="AJ207" s="70" t="n">
        <v>4797</v>
      </c>
      <c r="AK207" s="70" t="n">
        <v>4689</v>
      </c>
      <c r="AL207" s="70" t="n">
        <v>4738</v>
      </c>
      <c r="AM207" s="70" t="n">
        <v>4754</v>
      </c>
      <c r="AN207" s="70" t="n">
        <v>4508</v>
      </c>
      <c r="AO207" s="70" t="n">
        <v>4522</v>
      </c>
      <c r="AP207" s="70" t="n">
        <v>4506</v>
      </c>
      <c r="AQ207" s="70" t="n">
        <v>4371</v>
      </c>
      <c r="AR207" s="70" t="n">
        <v>4571</v>
      </c>
      <c r="AS207" s="70" t="n">
        <v>4561</v>
      </c>
      <c r="AT207" s="70" t="n">
        <v>4749</v>
      </c>
      <c r="AU207" s="70" t="n">
        <v>4761</v>
      </c>
      <c r="AV207" s="70" t="n">
        <v>4745</v>
      </c>
      <c r="AW207" s="70" t="n">
        <v>4781</v>
      </c>
      <c r="AX207" s="70" t="n">
        <v>4850</v>
      </c>
      <c r="AY207" s="70" t="n">
        <v>4784</v>
      </c>
      <c r="AZ207" s="70" t="n">
        <v>4735</v>
      </c>
      <c r="BA207" s="70" t="n">
        <v>4803</v>
      </c>
      <c r="BB207" s="70" t="n">
        <v>4711</v>
      </c>
      <c r="BC207" s="70" t="n">
        <v>4590</v>
      </c>
      <c r="BD207" s="70" t="n">
        <v>4223</v>
      </c>
      <c r="BE207" s="70" t="n">
        <v>4418</v>
      </c>
      <c r="BF207" s="70" t="n">
        <v>4577</v>
      </c>
      <c r="BG207" s="70" t="n">
        <v>4511</v>
      </c>
      <c r="BH207" s="70" t="n">
        <v>4547</v>
      </c>
      <c r="BI207" s="70" t="n">
        <v>4430</v>
      </c>
      <c r="BJ207" s="70" t="n">
        <v>4517</v>
      </c>
      <c r="BK207" s="70" t="n">
        <v>4848</v>
      </c>
      <c r="BL207" s="70" t="n">
        <v>5000</v>
      </c>
    </row>
    <row r="208">
      <c r="A208" s="65" t="inlineStr">
        <is>
          <t>1812</t>
        </is>
      </c>
      <c r="B208" s="4" t="inlineStr">
        <is>
          <t>鹿島建設</t>
        </is>
      </c>
      <c r="C208" s="677">
        <f>_xll.RssMarket("1812","現在値")</f>
        <v/>
      </c>
      <c r="D208" s="678">
        <f>C208-E208</f>
        <v/>
      </c>
      <c r="E208" s="70" t="n">
        <v>5970</v>
      </c>
      <c r="F208" s="70" t="n">
        <v>5961</v>
      </c>
      <c r="G208" s="70" t="n">
        <v>5920</v>
      </c>
      <c r="H208" s="70" t="n">
        <v>5899</v>
      </c>
      <c r="I208" s="70" t="n">
        <v>5521</v>
      </c>
      <c r="J208" s="70" t="n">
        <v>5450</v>
      </c>
      <c r="K208" s="70" t="n">
        <v>5567</v>
      </c>
      <c r="L208" s="70" t="n">
        <v>5391</v>
      </c>
      <c r="M208" s="70" t="n">
        <v>5559</v>
      </c>
      <c r="N208" s="70" t="n">
        <v>5455</v>
      </c>
      <c r="O208" s="70" t="n">
        <v>5535</v>
      </c>
      <c r="P208" s="70" t="n">
        <v>5521</v>
      </c>
      <c r="Q208" s="70" t="n">
        <v>5628</v>
      </c>
      <c r="R208" s="70" t="n">
        <v>5907</v>
      </c>
      <c r="S208" s="70" t="n">
        <v>5760</v>
      </c>
      <c r="T208" s="70" t="n">
        <v>5754</v>
      </c>
      <c r="U208" s="70" t="n">
        <v>5656</v>
      </c>
      <c r="V208" s="70" t="n">
        <v>5469</v>
      </c>
      <c r="W208" s="70" t="n">
        <v>5591</v>
      </c>
      <c r="X208" s="70" t="n">
        <v>5567</v>
      </c>
      <c r="Y208" s="70" t="n">
        <v>5836</v>
      </c>
      <c r="Z208" s="70" t="n">
        <v>5650</v>
      </c>
      <c r="AA208" s="70" t="n">
        <v>5843</v>
      </c>
      <c r="AB208" s="70" t="n">
        <v>6187</v>
      </c>
      <c r="AC208" s="70" t="n">
        <v>6477</v>
      </c>
      <c r="AD208" s="70" t="n">
        <v>6570</v>
      </c>
      <c r="AE208" s="70" t="n">
        <v>6257</v>
      </c>
      <c r="AF208" s="70" t="n">
        <v>6141</v>
      </c>
      <c r="AG208" s="70" t="n">
        <v>6262</v>
      </c>
      <c r="AH208" s="70" t="n">
        <v>6077</v>
      </c>
      <c r="AI208" s="70" t="n">
        <v>6117</v>
      </c>
      <c r="AJ208" s="70" t="n">
        <v>6499</v>
      </c>
      <c r="AK208" s="70" t="n">
        <v>5954</v>
      </c>
      <c r="AL208" s="70" t="n">
        <v>5907</v>
      </c>
      <c r="AM208" s="70" t="n">
        <v>5959</v>
      </c>
      <c r="AN208" s="70" t="n">
        <v>5969</v>
      </c>
      <c r="AO208" s="70" t="n">
        <v>6045</v>
      </c>
      <c r="AP208" s="70" t="n">
        <v>6092</v>
      </c>
      <c r="AQ208" s="70" t="n">
        <v>5932</v>
      </c>
      <c r="AR208" s="70" t="n">
        <v>6175</v>
      </c>
      <c r="AS208" s="70" t="n">
        <v>6135</v>
      </c>
      <c r="AT208" s="70" t="n">
        <v>6149</v>
      </c>
      <c r="AU208" s="70" t="n">
        <v>6177</v>
      </c>
      <c r="AV208" s="70" t="n">
        <v>6202</v>
      </c>
      <c r="AW208" s="70" t="n">
        <v>6324</v>
      </c>
      <c r="AX208" s="70" t="n">
        <v>6336</v>
      </c>
      <c r="AY208" s="70" t="n">
        <v>6029</v>
      </c>
      <c r="AZ208" s="70" t="n">
        <v>5993</v>
      </c>
      <c r="BA208" s="70" t="n">
        <v>6065</v>
      </c>
      <c r="BB208" s="70" t="n">
        <v>6039</v>
      </c>
      <c r="BC208" s="70" t="n">
        <v>6288</v>
      </c>
      <c r="BD208" s="70" t="n">
        <v>5907</v>
      </c>
      <c r="BE208" s="70" t="n">
        <v>5936</v>
      </c>
      <c r="BF208" s="70" t="n">
        <v>6078</v>
      </c>
      <c r="BG208" s="70" t="n">
        <v>6076</v>
      </c>
      <c r="BH208" s="70" t="n">
        <v>6132</v>
      </c>
      <c r="BI208" s="70" t="n">
        <v>5875</v>
      </c>
      <c r="BJ208" s="70" t="n">
        <v>5733</v>
      </c>
      <c r="BK208" s="70" t="n">
        <v>6099</v>
      </c>
      <c r="BL208" s="70" t="n">
        <v>6305</v>
      </c>
    </row>
    <row r="209">
      <c r="A209" s="65" t="inlineStr">
        <is>
          <t>6861</t>
        </is>
      </c>
      <c r="B209" s="4">
        <f>銘柄管理!C209</f>
        <v/>
      </c>
      <c r="C209" s="677">
        <f>_xll.RssMarket("6861","現在値")</f>
        <v/>
      </c>
      <c r="D209" s="678" t="n"/>
      <c r="E209" s="70" t="n">
        <v>77990</v>
      </c>
      <c r="F209" s="70" t="n">
        <v>77700</v>
      </c>
      <c r="G209" s="70" t="n">
        <v>75600</v>
      </c>
      <c r="H209" s="70" t="n">
        <v>75500</v>
      </c>
      <c r="I209" s="70" t="n">
        <v>72620</v>
      </c>
      <c r="J209" s="70" t="n">
        <v>71270</v>
      </c>
      <c r="K209" s="70" t="n">
        <v>72890</v>
      </c>
      <c r="L209" s="70" t="n">
        <v>74980</v>
      </c>
      <c r="M209" s="70" t="n">
        <v>78070</v>
      </c>
      <c r="N209" s="70" t="n">
        <v>80040</v>
      </c>
      <c r="O209" s="70" t="n">
        <v>80630</v>
      </c>
      <c r="P209" s="70" t="n">
        <v>78340</v>
      </c>
      <c r="Q209" s="70" t="n">
        <v>80220</v>
      </c>
      <c r="R209" s="70" t="n">
        <v>80110</v>
      </c>
      <c r="S209" s="70" t="n">
        <v>75180</v>
      </c>
      <c r="T209" s="70" t="n">
        <v>75780</v>
      </c>
      <c r="U209" s="70" t="n">
        <v>78860</v>
      </c>
      <c r="V209" s="70" t="n">
        <v>79370</v>
      </c>
      <c r="W209" s="70" t="n">
        <v>76960</v>
      </c>
      <c r="X209" s="70" t="n">
        <v>72910</v>
      </c>
      <c r="Y209" s="70" t="n">
        <v>75000</v>
      </c>
      <c r="Z209" s="70" t="n">
        <v>76830</v>
      </c>
      <c r="AA209" s="70" t="n">
        <v>77180</v>
      </c>
      <c r="AB209" s="70" t="n">
        <v>77310</v>
      </c>
      <c r="AC209" s="70" t="n">
        <v>79440</v>
      </c>
      <c r="AD209" s="70" t="n">
        <v>79260</v>
      </c>
      <c r="AE209" s="70" t="n">
        <v>82300</v>
      </c>
      <c r="AF209" s="70" t="n">
        <v>84170</v>
      </c>
      <c r="AG209" s="70" t="n">
        <v>79350</v>
      </c>
      <c r="AH209" s="70" t="n">
        <v>76460</v>
      </c>
      <c r="AI209" s="70" t="n">
        <v>71300</v>
      </c>
      <c r="AJ209" s="70" t="n">
        <v>73800</v>
      </c>
      <c r="AK209" s="70" t="n">
        <v>73180</v>
      </c>
      <c r="AL209" s="70" t="n">
        <v>63180</v>
      </c>
      <c r="AM209" s="70" t="n">
        <v>63470</v>
      </c>
      <c r="AN209" s="70" t="n">
        <v>63800</v>
      </c>
      <c r="AO209" s="70" t="n">
        <v>63170</v>
      </c>
      <c r="AP209" s="70" t="n">
        <v>64030</v>
      </c>
      <c r="AQ209" s="70" t="n">
        <v>62810</v>
      </c>
      <c r="AR209" s="70" t="n">
        <v>63030</v>
      </c>
      <c r="AS209" s="70" t="n">
        <v>62750</v>
      </c>
      <c r="AT209" s="70" t="n">
        <v>62850</v>
      </c>
      <c r="AU209" s="70" t="n">
        <v>63520</v>
      </c>
      <c r="AV209" s="70" t="n">
        <v>62440</v>
      </c>
      <c r="AW209" s="70" t="n">
        <v>61590</v>
      </c>
      <c r="AX209" s="70" t="n">
        <v>60520</v>
      </c>
      <c r="AY209" s="70" t="n">
        <v>58290</v>
      </c>
      <c r="AZ209" s="70" t="n">
        <v>58330</v>
      </c>
      <c r="BA209" s="70" t="n">
        <v>57730</v>
      </c>
      <c r="BB209" s="70" t="n">
        <v>56880</v>
      </c>
      <c r="BC209" s="70" t="n">
        <v>57990</v>
      </c>
      <c r="BD209" s="70" t="n">
        <v>54860</v>
      </c>
      <c r="BE209" s="70" t="n">
        <v>55370</v>
      </c>
      <c r="BF209" s="70" t="n">
        <v>57330</v>
      </c>
      <c r="BG209" s="70" t="n">
        <v>57730</v>
      </c>
      <c r="BH209" s="70" t="n">
        <v>58010</v>
      </c>
      <c r="BI209" s="70" t="n">
        <v>56540</v>
      </c>
      <c r="BJ209" s="70" t="n">
        <v>56280</v>
      </c>
      <c r="BK209" s="70" t="n">
        <v>59080</v>
      </c>
      <c r="BL209" s="70" t="n">
        <v>60650</v>
      </c>
    </row>
    <row r="210">
      <c r="A210" s="65" t="inlineStr">
        <is>
          <t>6324</t>
        </is>
      </c>
      <c r="B210" s="4" t="inlineStr">
        <is>
          <t>ハーモニック・ドライブ・シス</t>
        </is>
      </c>
      <c r="C210" s="677">
        <f>_xll.RssMarket("6324","現在値")</f>
        <v/>
      </c>
      <c r="D210" s="678">
        <f>C210-E210</f>
        <v/>
      </c>
      <c r="E210" s="70" t="n">
        <v>8710</v>
      </c>
      <c r="F210" s="70" t="n">
        <v>7770</v>
      </c>
      <c r="G210" s="70" t="n">
        <v>7850</v>
      </c>
      <c r="H210" s="70" t="n">
        <v>7000</v>
      </c>
      <c r="I210" s="70" t="n">
        <v>6550</v>
      </c>
      <c r="J210" s="70" t="n">
        <v>6280</v>
      </c>
      <c r="K210" s="70" t="n">
        <v>6240</v>
      </c>
      <c r="L210" s="70" t="n">
        <v>7160</v>
      </c>
      <c r="M210" s="70" t="n">
        <v>7090</v>
      </c>
      <c r="N210" s="70" t="n">
        <v>6910</v>
      </c>
      <c r="O210" s="70" t="n">
        <v>7410</v>
      </c>
      <c r="P210" s="70" t="n">
        <v>7110</v>
      </c>
      <c r="Q210" s="70" t="n">
        <v>7780</v>
      </c>
      <c r="R210" s="70" t="n">
        <v>7800</v>
      </c>
      <c r="S210" s="70" t="n">
        <v>7690</v>
      </c>
      <c r="T210" s="70" t="n">
        <v>7850</v>
      </c>
      <c r="U210" s="70" t="n">
        <v>7660</v>
      </c>
      <c r="V210" s="70" t="n">
        <v>7010</v>
      </c>
      <c r="W210" s="70" t="n">
        <v>6550</v>
      </c>
      <c r="X210" s="70" t="n">
        <v>5920</v>
      </c>
      <c r="Y210" s="70" t="n">
        <v>6030</v>
      </c>
      <c r="Z210" s="70" t="n">
        <v>6800</v>
      </c>
      <c r="AA210" s="70" t="n">
        <v>7100</v>
      </c>
      <c r="AB210" s="70" t="n">
        <v>6430</v>
      </c>
      <c r="AC210" s="70" t="n">
        <v>6970</v>
      </c>
      <c r="AD210" s="70" t="n">
        <v>6600</v>
      </c>
      <c r="AE210" s="70" t="n">
        <v>6400</v>
      </c>
      <c r="AF210" s="70" t="n">
        <v>6230</v>
      </c>
      <c r="AG210" s="70" t="n">
        <v>5710</v>
      </c>
      <c r="AH210" s="70" t="n">
        <v>5150</v>
      </c>
      <c r="AI210" s="70" t="n">
        <v>5220</v>
      </c>
      <c r="AJ210" s="70" t="n">
        <v>4745</v>
      </c>
      <c r="AK210" s="70" t="n">
        <v>4885</v>
      </c>
      <c r="AL210" s="70" t="n">
        <v>4195</v>
      </c>
      <c r="AM210" s="70" t="n">
        <v>4270</v>
      </c>
      <c r="AN210" s="70" t="n">
        <v>4385</v>
      </c>
      <c r="AO210" s="70" t="n">
        <v>4490</v>
      </c>
      <c r="AP210" s="70" t="n">
        <v>4515</v>
      </c>
      <c r="AQ210" s="70" t="n">
        <v>4430</v>
      </c>
      <c r="AR210" s="70" t="n">
        <v>4695</v>
      </c>
      <c r="AS210" s="70" t="n">
        <v>4350</v>
      </c>
      <c r="AT210" s="70" t="n">
        <v>4080</v>
      </c>
      <c r="AU210" s="70" t="n">
        <v>4155</v>
      </c>
      <c r="AV210" s="70" t="n">
        <v>3990</v>
      </c>
      <c r="AW210" s="70" t="n">
        <v>3940</v>
      </c>
      <c r="AX210" s="70" t="n">
        <v>4155</v>
      </c>
      <c r="AY210" s="70" t="n">
        <v>3810</v>
      </c>
      <c r="AZ210" s="70" t="n">
        <v>3830</v>
      </c>
      <c r="BA210" s="70" t="n">
        <v>3715</v>
      </c>
      <c r="BB210" s="70" t="n">
        <v>3565</v>
      </c>
      <c r="BC210" s="70" t="n">
        <v>3655</v>
      </c>
      <c r="BD210" s="70" t="n">
        <v>3465</v>
      </c>
      <c r="BE210" s="70" t="n">
        <v>3790</v>
      </c>
      <c r="BF210" s="70" t="n">
        <v>4065</v>
      </c>
      <c r="BG210" s="70" t="n">
        <v>4055</v>
      </c>
      <c r="BH210" s="70" t="n">
        <v>4070</v>
      </c>
      <c r="BI210" s="70" t="n">
        <v>3885</v>
      </c>
      <c r="BJ210" s="70" t="n">
        <v>3825</v>
      </c>
      <c r="BK210" s="70" t="n">
        <v>4135</v>
      </c>
      <c r="BL210" s="70" t="n">
        <v>4360</v>
      </c>
    </row>
    <row r="211">
      <c r="A211" s="65" t="inlineStr">
        <is>
          <t>6273</t>
        </is>
      </c>
      <c r="B211" s="4" t="inlineStr">
        <is>
          <t>ＳＭＣ</t>
        </is>
      </c>
      <c r="C211" s="677">
        <f>_xll.RssMarket("6273","現在値")</f>
        <v/>
      </c>
      <c r="D211" s="678">
        <f>C211-E211</f>
        <v/>
      </c>
      <c r="E211" s="70" t="n">
        <v>74240</v>
      </c>
      <c r="F211" s="70" t="n">
        <v>72840</v>
      </c>
      <c r="G211" s="70" t="n">
        <v>72600</v>
      </c>
      <c r="H211" s="70" t="n">
        <v>69030</v>
      </c>
      <c r="I211" s="70" t="n">
        <v>65510</v>
      </c>
      <c r="J211" s="70" t="n">
        <v>61920</v>
      </c>
      <c r="K211" s="70" t="n">
        <v>61840</v>
      </c>
      <c r="L211" s="70" t="n">
        <v>62210</v>
      </c>
      <c r="M211" s="70" t="n">
        <v>65260</v>
      </c>
      <c r="N211" s="70" t="n">
        <v>65070</v>
      </c>
      <c r="O211" s="70" t="n">
        <v>64000</v>
      </c>
      <c r="P211" s="70" t="n">
        <v>63680</v>
      </c>
      <c r="Q211" s="70" t="n">
        <v>66520</v>
      </c>
      <c r="R211" s="70" t="n">
        <v>69110</v>
      </c>
      <c r="S211" s="70" t="n">
        <v>67880</v>
      </c>
      <c r="T211" s="70" t="n">
        <v>66470</v>
      </c>
      <c r="U211" s="70" t="n">
        <v>66930</v>
      </c>
      <c r="V211" s="70" t="n">
        <v>66270</v>
      </c>
      <c r="W211" s="70" t="n">
        <v>64770</v>
      </c>
      <c r="X211" s="70" t="n">
        <v>64820</v>
      </c>
      <c r="Y211" s="70" t="n">
        <v>67120</v>
      </c>
      <c r="Z211" s="70" t="n">
        <v>66780</v>
      </c>
      <c r="AA211" s="70" t="n">
        <v>67880</v>
      </c>
      <c r="AB211" s="70" t="n">
        <v>79470</v>
      </c>
      <c r="AC211" s="70" t="n">
        <v>84250</v>
      </c>
      <c r="AD211" s="70" t="n">
        <v>84560</v>
      </c>
      <c r="AE211" s="70" t="n">
        <v>82320</v>
      </c>
      <c r="AF211" s="70" t="n">
        <v>82860</v>
      </c>
      <c r="AG211" s="70" t="n">
        <v>78840</v>
      </c>
      <c r="AH211" s="70" t="n">
        <v>75230</v>
      </c>
      <c r="AI211" s="70" t="n">
        <v>76080</v>
      </c>
      <c r="AJ211" s="70" t="n">
        <v>77000</v>
      </c>
      <c r="AK211" s="70" t="n">
        <v>75480</v>
      </c>
      <c r="AL211" s="70" t="n">
        <v>70470</v>
      </c>
      <c r="AM211" s="70" t="n">
        <v>69530</v>
      </c>
      <c r="AN211" s="70" t="n">
        <v>70740</v>
      </c>
      <c r="AO211" s="70" t="n">
        <v>71630</v>
      </c>
      <c r="AP211" s="70" t="n">
        <v>71470</v>
      </c>
      <c r="AQ211" s="70" t="n">
        <v>70100</v>
      </c>
      <c r="AR211" s="70" t="n">
        <v>71940</v>
      </c>
      <c r="AS211" s="70" t="n">
        <v>71960</v>
      </c>
      <c r="AT211" s="70" t="n">
        <v>71290</v>
      </c>
      <c r="AU211" s="70" t="n">
        <v>71780</v>
      </c>
      <c r="AV211" s="70" t="n">
        <v>70500</v>
      </c>
      <c r="AW211" s="70" t="n">
        <v>68370</v>
      </c>
      <c r="AX211" s="70" t="n">
        <v>66810</v>
      </c>
      <c r="AY211" s="70" t="n">
        <v>62130</v>
      </c>
      <c r="AZ211" s="70" t="n">
        <v>62120</v>
      </c>
      <c r="BA211" s="70" t="n">
        <v>61990</v>
      </c>
      <c r="BB211" s="70" t="n">
        <v>61030</v>
      </c>
      <c r="BC211" s="70" t="n">
        <v>63720</v>
      </c>
      <c r="BD211" s="70" t="n">
        <v>59870</v>
      </c>
      <c r="BE211" s="70" t="n">
        <v>61050</v>
      </c>
      <c r="BF211" s="70" t="n">
        <v>62720</v>
      </c>
      <c r="BG211" s="70" t="n">
        <v>64730</v>
      </c>
      <c r="BH211" s="70" t="n">
        <v>65230</v>
      </c>
      <c r="BI211" s="70" t="n">
        <v>62890</v>
      </c>
      <c r="BJ211" s="70" t="n">
        <v>60330</v>
      </c>
      <c r="BK211" s="70" t="n">
        <v>64870</v>
      </c>
      <c r="BL211" s="70" t="n">
        <v>68040</v>
      </c>
    </row>
    <row r="212">
      <c r="A212" s="65" t="inlineStr">
        <is>
          <t>4502</t>
        </is>
      </c>
      <c r="B212" s="4" t="inlineStr">
        <is>
          <t>武田薬品</t>
        </is>
      </c>
      <c r="C212" s="677">
        <f>_xll.RssMarket("4502","現在値")</f>
        <v/>
      </c>
      <c r="D212" s="678">
        <f>C212-E212</f>
        <v/>
      </c>
      <c r="E212" s="70" t="n">
        <v>4975</v>
      </c>
      <c r="F212" s="70" t="n">
        <v>4934</v>
      </c>
      <c r="G212" s="70" t="n">
        <v>4938</v>
      </c>
      <c r="H212" s="70" t="n">
        <v>5020</v>
      </c>
      <c r="I212" s="70" t="n">
        <v>5082</v>
      </c>
      <c r="J212" s="70" t="n">
        <v>5033</v>
      </c>
      <c r="K212" s="70" t="n">
        <v>5070</v>
      </c>
      <c r="L212" s="70" t="n">
        <v>5050</v>
      </c>
      <c r="M212" s="70" t="n">
        <v>4926</v>
      </c>
      <c r="N212" s="70" t="n">
        <v>4850</v>
      </c>
      <c r="O212" s="70" t="n">
        <v>4748</v>
      </c>
      <c r="P212" s="70" t="n">
        <v>4850</v>
      </c>
      <c r="Q212" s="70" t="n">
        <v>4881</v>
      </c>
      <c r="R212" s="70" t="n">
        <v>5118</v>
      </c>
      <c r="S212" s="70" t="n">
        <v>5120</v>
      </c>
      <c r="T212" s="70" t="n">
        <v>5128</v>
      </c>
      <c r="U212" s="70" t="n">
        <v>5104</v>
      </c>
      <c r="V212" s="70" t="n">
        <v>5109</v>
      </c>
      <c r="W212" s="70" t="n">
        <v>5180</v>
      </c>
      <c r="X212" s="70" t="n">
        <v>5255</v>
      </c>
      <c r="Y212" s="70" t="n">
        <v>5249</v>
      </c>
      <c r="Z212" s="70" t="n">
        <v>5277</v>
      </c>
      <c r="AA212" s="70" t="n">
        <v>5256</v>
      </c>
      <c r="AB212" s="70" t="n">
        <v>5192</v>
      </c>
      <c r="AC212" s="70" t="n">
        <v>5168</v>
      </c>
      <c r="AD212" s="70" t="n">
        <v>5162</v>
      </c>
      <c r="AE212" s="70" t="n">
        <v>5213</v>
      </c>
      <c r="AF212" s="70" t="n">
        <v>5310</v>
      </c>
      <c r="AG212" s="70" t="n">
        <v>5239</v>
      </c>
      <c r="AH212" s="70" t="n">
        <v>5270</v>
      </c>
      <c r="AI212" s="70" t="n">
        <v>5289</v>
      </c>
      <c r="AJ212" s="70" t="n">
        <v>5218</v>
      </c>
      <c r="AK212" s="70" t="n">
        <v>5335</v>
      </c>
      <c r="AL212" s="70" t="n">
        <v>5331</v>
      </c>
      <c r="AM212" s="70" t="n">
        <v>5318</v>
      </c>
      <c r="AN212" s="70" t="n">
        <v>5488</v>
      </c>
      <c r="AO212" s="70" t="n">
        <v>5575</v>
      </c>
      <c r="AP212" s="70" t="n">
        <v>5586</v>
      </c>
      <c r="AQ212" s="70" t="n">
        <v>5646</v>
      </c>
      <c r="AR212" s="70" t="n">
        <v>5654</v>
      </c>
      <c r="AS212" s="70" t="n">
        <v>5604</v>
      </c>
      <c r="AT212" s="70" t="n">
        <v>5636</v>
      </c>
      <c r="AU212" s="70" t="n">
        <v>5732</v>
      </c>
      <c r="AV212" s="70" t="n">
        <v>5821</v>
      </c>
      <c r="AW212" s="70" t="n">
        <v>5789</v>
      </c>
      <c r="AX212" s="70" t="n">
        <v>5798</v>
      </c>
      <c r="AY212" s="70" t="n">
        <v>5754</v>
      </c>
      <c r="AZ212" s="70" t="n">
        <v>5802</v>
      </c>
      <c r="BA212" s="70" t="n">
        <v>5890</v>
      </c>
      <c r="BB212" s="70" t="n">
        <v>5888</v>
      </c>
      <c r="BC212" s="70" t="n">
        <v>5664</v>
      </c>
      <c r="BD212" s="70" t="n">
        <v>5713</v>
      </c>
      <c r="BE212" s="70" t="n">
        <v>5840</v>
      </c>
      <c r="BF212" s="70" t="n">
        <v>5789</v>
      </c>
      <c r="BG212" s="70" t="n">
        <v>5820</v>
      </c>
      <c r="BH212" s="70" t="n">
        <v>5663</v>
      </c>
      <c r="BI212" s="70" t="n">
        <v>5577</v>
      </c>
      <c r="BJ212" s="70" t="n">
        <v>5768</v>
      </c>
      <c r="BK212" s="70" t="n">
        <v>5870</v>
      </c>
      <c r="BL212" s="70" t="n">
        <v>5820</v>
      </c>
    </row>
    <row r="213">
      <c r="A213" s="65" t="inlineStr">
        <is>
          <t>4004</t>
        </is>
      </c>
      <c r="B213" s="4" t="inlineStr">
        <is>
          <t>レゾナック・ホールディング</t>
        </is>
      </c>
      <c r="C213" s="677">
        <f>_xll.RssMarket("4004","現在値")</f>
        <v/>
      </c>
      <c r="D213" s="678">
        <f>C213-E213</f>
        <v/>
      </c>
      <c r="E213" s="70" t="n">
        <v>19325</v>
      </c>
      <c r="F213" s="70" t="n">
        <v>18390</v>
      </c>
      <c r="G213" s="70" t="n">
        <v>18520</v>
      </c>
      <c r="H213" s="70" t="n">
        <v>18290</v>
      </c>
      <c r="I213" s="70" t="n">
        <v>16950</v>
      </c>
      <c r="J213" s="70" t="n">
        <v>16375</v>
      </c>
      <c r="K213" s="70" t="n">
        <v>15335</v>
      </c>
      <c r="L213" s="70" t="n">
        <v>15970</v>
      </c>
      <c r="M213" s="70" t="n">
        <v>17315</v>
      </c>
      <c r="N213" s="70" t="n">
        <v>17860</v>
      </c>
      <c r="O213" s="70" t="n">
        <v>18700</v>
      </c>
      <c r="P213" s="70" t="n">
        <v>17825</v>
      </c>
      <c r="Q213" s="70" t="n">
        <v>18430</v>
      </c>
      <c r="R213" s="70" t="n">
        <v>18720</v>
      </c>
      <c r="S213" s="70" t="n">
        <v>18500</v>
      </c>
      <c r="T213" s="70" t="n">
        <v>19100</v>
      </c>
      <c r="U213" s="70" t="n">
        <v>19450</v>
      </c>
      <c r="V213" s="70" t="n">
        <v>18010</v>
      </c>
      <c r="W213" s="70" t="n">
        <v>17310</v>
      </c>
      <c r="X213" s="70" t="n">
        <v>15910</v>
      </c>
      <c r="Y213" s="70" t="n">
        <v>16300</v>
      </c>
      <c r="Z213" s="70" t="n">
        <v>16690</v>
      </c>
      <c r="AA213" s="70" t="n">
        <v>17200</v>
      </c>
      <c r="AB213" s="70" t="n">
        <v>18690</v>
      </c>
      <c r="AC213" s="70" t="n">
        <v>17815</v>
      </c>
      <c r="AD213" s="70" t="n">
        <v>16850</v>
      </c>
      <c r="AE213" s="70" t="n">
        <v>16000</v>
      </c>
      <c r="AF213" s="70" t="n">
        <v>15590</v>
      </c>
      <c r="AG213" s="70" t="n">
        <v>14045</v>
      </c>
      <c r="AH213" s="70" t="n">
        <v>14215</v>
      </c>
      <c r="AI213" s="70" t="n">
        <v>14155</v>
      </c>
      <c r="AJ213" s="70" t="n">
        <v>13990</v>
      </c>
      <c r="AK213" s="70" t="n">
        <v>13770</v>
      </c>
      <c r="AL213" s="70" t="n">
        <v>13750</v>
      </c>
      <c r="AM213" s="70" t="n">
        <v>14455</v>
      </c>
      <c r="AN213" s="70" t="n">
        <v>13330</v>
      </c>
      <c r="AO213" s="70" t="n">
        <v>12500</v>
      </c>
      <c r="AP213" s="70" t="n">
        <v>12460</v>
      </c>
      <c r="AQ213" s="70" t="n">
        <v>13200</v>
      </c>
      <c r="AR213" s="70" t="n">
        <v>12875</v>
      </c>
      <c r="AS213" s="70" t="n">
        <v>13490</v>
      </c>
      <c r="AT213" s="70" t="n">
        <v>13300</v>
      </c>
      <c r="AU213" s="70" t="n">
        <v>13405</v>
      </c>
      <c r="AV213" s="70" t="n">
        <v>13030</v>
      </c>
      <c r="AW213" s="70" t="n">
        <v>12770</v>
      </c>
      <c r="AX213" s="70" t="n">
        <v>11785</v>
      </c>
      <c r="AY213" s="70" t="n">
        <v>11845</v>
      </c>
      <c r="AZ213" s="70" t="n">
        <v>11300</v>
      </c>
      <c r="BA213" s="70" t="n">
        <v>10555</v>
      </c>
      <c r="BB213" s="70" t="n">
        <v>10740</v>
      </c>
      <c r="BC213" s="70" t="n">
        <v>9802</v>
      </c>
      <c r="BD213" s="70" t="n">
        <v>10435</v>
      </c>
      <c r="BE213" s="70" t="n">
        <v>10755</v>
      </c>
      <c r="BF213" s="70" t="n">
        <v>11010</v>
      </c>
      <c r="BG213" s="70" t="n">
        <v>10775</v>
      </c>
      <c r="BH213" s="70" t="n">
        <v>10565</v>
      </c>
      <c r="BI213" s="70" t="n">
        <v>10420</v>
      </c>
      <c r="BJ213" s="70" t="n">
        <v>11205</v>
      </c>
      <c r="BK213" s="70" t="n">
        <v>11500</v>
      </c>
      <c r="BL213" s="70" t="n">
        <v>10620</v>
      </c>
    </row>
    <row r="214">
      <c r="A214" s="65" t="inlineStr">
        <is>
          <t>9519</t>
        </is>
      </c>
      <c r="B214" s="4" t="inlineStr">
        <is>
          <t>レノバ</t>
        </is>
      </c>
      <c r="C214" s="677">
        <f>_xll.RssMarket("9519","現在値")</f>
        <v/>
      </c>
      <c r="D214" s="678">
        <f>C214-E214</f>
        <v/>
      </c>
      <c r="E214" s="70" t="n">
        <v>890</v>
      </c>
      <c r="F214" s="70" t="n">
        <v>817</v>
      </c>
      <c r="G214" s="70" t="n">
        <v>883</v>
      </c>
      <c r="H214" s="70" t="n">
        <v>893</v>
      </c>
      <c r="I214" s="70" t="n">
        <v>901</v>
      </c>
      <c r="J214" s="70" t="n">
        <v>920</v>
      </c>
      <c r="K214" s="70" t="n">
        <v>1003</v>
      </c>
      <c r="L214" s="70" t="n">
        <v>1026</v>
      </c>
      <c r="M214" s="70" t="n">
        <v>984</v>
      </c>
      <c r="N214" s="70" t="n">
        <v>1023</v>
      </c>
      <c r="O214" s="70" t="n">
        <v>1110</v>
      </c>
      <c r="P214" s="70" t="n">
        <v>1198</v>
      </c>
      <c r="Q214" s="70" t="n">
        <v>1203</v>
      </c>
      <c r="R214" s="70" t="n">
        <v>1223</v>
      </c>
      <c r="S214" s="70" t="n">
        <v>1288</v>
      </c>
      <c r="T214" s="70" t="n">
        <v>1335</v>
      </c>
      <c r="U214" s="70" t="n">
        <v>1350</v>
      </c>
      <c r="V214" s="70" t="n">
        <v>1305</v>
      </c>
      <c r="W214" s="70" t="n">
        <v>1262</v>
      </c>
      <c r="X214" s="70" t="n">
        <v>1375</v>
      </c>
      <c r="Y214" s="70" t="n">
        <v>1273</v>
      </c>
      <c r="Z214" s="70" t="n">
        <v>1346</v>
      </c>
      <c r="AA214" s="70" t="n">
        <v>1302</v>
      </c>
      <c r="AB214" s="70" t="n">
        <v>1220</v>
      </c>
      <c r="AC214" s="70" t="n">
        <v>1245</v>
      </c>
      <c r="AD214" s="70" t="n">
        <v>1225</v>
      </c>
      <c r="AE214" s="70" t="n">
        <v>1160</v>
      </c>
      <c r="AF214" s="70" t="n">
        <v>1138</v>
      </c>
      <c r="AG214" s="70" t="n">
        <v>1111</v>
      </c>
      <c r="AH214" s="70" t="n">
        <v>1111</v>
      </c>
      <c r="AI214" s="70" t="n">
        <v>1128</v>
      </c>
      <c r="AJ214" s="70" t="n">
        <v>1070</v>
      </c>
      <c r="AK214" s="70" t="n">
        <v>1059</v>
      </c>
      <c r="AL214" s="70" t="n">
        <v>988</v>
      </c>
      <c r="AM214" s="70" t="n">
        <v>949</v>
      </c>
      <c r="AN214" s="70" t="n">
        <v>980</v>
      </c>
      <c r="AO214" s="70" t="n">
        <v>1033</v>
      </c>
      <c r="AP214" s="70" t="n">
        <v>1041</v>
      </c>
      <c r="AQ214" s="70" t="n">
        <v>1079</v>
      </c>
      <c r="AR214" s="70" t="n">
        <v>1060</v>
      </c>
      <c r="AS214" s="70" t="n">
        <v>1009</v>
      </c>
      <c r="AT214" s="70" t="n">
        <v>997</v>
      </c>
      <c r="AU214" s="70" t="n">
        <v>945</v>
      </c>
      <c r="AV214" s="70" t="n">
        <v>979</v>
      </c>
      <c r="AW214" s="70" t="n">
        <v>926</v>
      </c>
      <c r="AX214" s="70" t="n">
        <v>899</v>
      </c>
      <c r="AY214" s="70" t="n">
        <v>908</v>
      </c>
      <c r="AZ214" s="70" t="n">
        <v>925</v>
      </c>
      <c r="BA214" s="70" t="n">
        <v>891</v>
      </c>
      <c r="BB214" s="70" t="n">
        <v>879</v>
      </c>
      <c r="BC214" s="70" t="n">
        <v>838</v>
      </c>
      <c r="BD214" s="70" t="n">
        <v>876</v>
      </c>
      <c r="BE214" s="70" t="n">
        <v>801</v>
      </c>
      <c r="BF214" s="70" t="n">
        <v>777</v>
      </c>
      <c r="BG214" s="70" t="n">
        <v>796</v>
      </c>
      <c r="BH214" s="70" t="n">
        <v>748</v>
      </c>
      <c r="BI214" s="70" t="n">
        <v>760</v>
      </c>
      <c r="BJ214" s="70" t="n">
        <v>758</v>
      </c>
      <c r="BK214" s="70" t="n">
        <v>829</v>
      </c>
      <c r="BL214" s="70" t="n">
        <v>812</v>
      </c>
    </row>
    <row r="215">
      <c r="A215" s="65" t="inlineStr">
        <is>
          <t>6752</t>
        </is>
      </c>
      <c r="B215" s="4" t="inlineStr">
        <is>
          <t>パナソニックホールディンク</t>
        </is>
      </c>
      <c r="C215" s="677">
        <f>_xll.RssMarket("6752","現在値")</f>
        <v/>
      </c>
      <c r="D215" s="678">
        <f>C215-E215</f>
        <v/>
      </c>
      <c r="E215" s="70" t="n">
        <v>4393</v>
      </c>
      <c r="F215" s="70" t="n">
        <v>4419</v>
      </c>
      <c r="G215" s="70" t="n">
        <v>4200</v>
      </c>
      <c r="H215" s="70" t="n">
        <v>4079</v>
      </c>
      <c r="I215" s="70" t="n">
        <v>3800</v>
      </c>
      <c r="J215" s="70" t="n">
        <v>3767</v>
      </c>
      <c r="K215" s="70" t="n">
        <v>3756</v>
      </c>
      <c r="L215" s="70" t="n">
        <v>3574</v>
      </c>
      <c r="M215" s="70" t="n">
        <v>3754</v>
      </c>
      <c r="N215" s="70" t="n">
        <v>3800</v>
      </c>
      <c r="O215" s="70" t="n">
        <v>3916</v>
      </c>
      <c r="P215" s="70" t="n">
        <v>3595</v>
      </c>
      <c r="Q215" s="70" t="n">
        <v>3700</v>
      </c>
      <c r="R215" s="70" t="n">
        <v>3544</v>
      </c>
      <c r="S215" s="70" t="n">
        <v>3569</v>
      </c>
      <c r="T215" s="70" t="n">
        <v>3566</v>
      </c>
      <c r="U215" s="70" t="n">
        <v>3507</v>
      </c>
      <c r="V215" s="70" t="n">
        <v>3421</v>
      </c>
      <c r="W215" s="70" t="n">
        <v>3207</v>
      </c>
      <c r="X215" s="70" t="n">
        <v>3353</v>
      </c>
      <c r="Y215" s="70" t="n">
        <v>3348</v>
      </c>
      <c r="Z215" s="70" t="n">
        <v>3293</v>
      </c>
      <c r="AA215" s="70" t="n">
        <v>3377</v>
      </c>
      <c r="AB215" s="70" t="n">
        <v>3275</v>
      </c>
      <c r="AC215" s="70" t="n">
        <v>3405</v>
      </c>
      <c r="AD215" s="70" t="n">
        <v>3334</v>
      </c>
      <c r="AE215" s="70" t="n">
        <v>3318</v>
      </c>
      <c r="AF215" s="70" t="n">
        <v>3349</v>
      </c>
      <c r="AG215" s="70" t="n">
        <v>3324</v>
      </c>
      <c r="AH215" s="70" t="n">
        <v>3203</v>
      </c>
      <c r="AI215" s="70" t="n">
        <v>3061</v>
      </c>
      <c r="AJ215" s="70" t="n">
        <v>3103</v>
      </c>
      <c r="AK215" s="70" t="n">
        <v>2879</v>
      </c>
      <c r="AL215" s="70" t="n">
        <v>2904.5</v>
      </c>
      <c r="AM215" s="70" t="n">
        <v>2985</v>
      </c>
      <c r="AN215" s="70" t="n">
        <v>3019</v>
      </c>
      <c r="AO215" s="70" t="n">
        <v>2982.5</v>
      </c>
      <c r="AP215" s="70" t="n">
        <v>2897</v>
      </c>
      <c r="AQ215" s="70" t="n">
        <v>2996</v>
      </c>
      <c r="AR215" s="70" t="n">
        <v>2925</v>
      </c>
      <c r="AS215" s="70" t="n">
        <v>2917.5</v>
      </c>
      <c r="AT215" s="70" t="n">
        <v>2879.5</v>
      </c>
      <c r="AU215" s="70" t="n">
        <v>2861</v>
      </c>
      <c r="AV215" s="70" t="n">
        <v>2925</v>
      </c>
      <c r="AW215" s="70" t="n">
        <v>2955.5</v>
      </c>
      <c r="AX215" s="70" t="n">
        <v>2835.5</v>
      </c>
      <c r="AY215" s="70" t="n">
        <v>2780.5</v>
      </c>
      <c r="AZ215" s="70" t="n">
        <v>2715</v>
      </c>
      <c r="BA215" s="70" t="n">
        <v>2743</v>
      </c>
      <c r="BB215" s="70" t="n">
        <v>2774</v>
      </c>
      <c r="BC215" s="70" t="n">
        <v>2585.5</v>
      </c>
      <c r="BD215" s="70" t="n">
        <v>2600</v>
      </c>
      <c r="BE215" s="70" t="n">
        <v>2667.5</v>
      </c>
      <c r="BF215" s="70" t="n">
        <v>2694</v>
      </c>
      <c r="BG215" s="70" t="n">
        <v>2630</v>
      </c>
      <c r="BH215" s="70" t="n">
        <v>2555.5</v>
      </c>
      <c r="BI215" s="70" t="n">
        <v>2505.5</v>
      </c>
      <c r="BJ215" s="70" t="n">
        <v>2600.5</v>
      </c>
      <c r="BK215" s="70" t="n">
        <v>2652</v>
      </c>
      <c r="BL215" s="70" t="n">
        <v>2602.5</v>
      </c>
    </row>
    <row r="216">
      <c r="A216" s="65" t="inlineStr">
        <is>
          <t>6622</t>
        </is>
      </c>
      <c r="B216" s="4" t="inlineStr">
        <is>
          <t>ダイヘン</t>
        </is>
      </c>
      <c r="C216" s="677">
        <f>_xll.RssMarket("6622","現在値")</f>
        <v/>
      </c>
      <c r="D216" s="678">
        <f>C216-E216</f>
        <v/>
      </c>
      <c r="E216" s="70" t="n">
        <v>19450</v>
      </c>
      <c r="F216" s="70" t="n">
        <v>17840</v>
      </c>
      <c r="G216" s="70" t="n">
        <v>16830</v>
      </c>
      <c r="H216" s="70" t="n">
        <v>16230</v>
      </c>
      <c r="I216" s="70" t="n">
        <v>14970</v>
      </c>
      <c r="J216" s="70" t="n">
        <v>14440</v>
      </c>
      <c r="K216" s="70" t="n">
        <v>14730</v>
      </c>
      <c r="L216" s="70" t="n">
        <v>15360</v>
      </c>
      <c r="M216" s="70" t="n">
        <v>16200</v>
      </c>
      <c r="N216" s="70" t="n">
        <v>15760</v>
      </c>
      <c r="O216" s="70" t="n">
        <v>15700</v>
      </c>
      <c r="P216" s="70" t="n">
        <v>15280</v>
      </c>
      <c r="Q216" s="70" t="n">
        <v>15790</v>
      </c>
      <c r="R216" s="70" t="n">
        <v>15850</v>
      </c>
      <c r="S216" s="70" t="n">
        <v>16380</v>
      </c>
      <c r="T216" s="70" t="n">
        <v>16620</v>
      </c>
      <c r="U216" s="70" t="n">
        <v>16830</v>
      </c>
      <c r="V216" s="70" t="n">
        <v>16340</v>
      </c>
      <c r="W216" s="70" t="n">
        <v>15820</v>
      </c>
      <c r="X216" s="70" t="n">
        <v>15280</v>
      </c>
      <c r="Y216" s="70" t="n">
        <v>15840</v>
      </c>
      <c r="Z216" s="70" t="n">
        <v>16540</v>
      </c>
      <c r="AA216" s="70" t="n">
        <v>16900</v>
      </c>
      <c r="AB216" s="70" t="n">
        <v>17330</v>
      </c>
      <c r="AC216" s="70" t="n">
        <v>18070</v>
      </c>
      <c r="AD216" s="70" t="n">
        <v>17720</v>
      </c>
      <c r="AE216" s="70" t="n">
        <v>17620</v>
      </c>
      <c r="AF216" s="70" t="n">
        <v>17280</v>
      </c>
      <c r="AG216" s="70" t="n">
        <v>16900</v>
      </c>
      <c r="AH216" s="70" t="n">
        <v>15760</v>
      </c>
      <c r="AI216" s="70" t="n">
        <v>15380</v>
      </c>
      <c r="AJ216" s="70" t="n">
        <v>14980</v>
      </c>
      <c r="AK216" s="70" t="n">
        <v>14770</v>
      </c>
      <c r="AL216" s="70" t="n">
        <v>13900</v>
      </c>
      <c r="AM216" s="70" t="n">
        <v>13720</v>
      </c>
      <c r="AN216" s="70" t="n">
        <v>13930</v>
      </c>
      <c r="AO216" s="70" t="n">
        <v>14100</v>
      </c>
      <c r="AP216" s="70" t="n">
        <v>13950</v>
      </c>
      <c r="AQ216" s="70" t="n">
        <v>13880</v>
      </c>
      <c r="AR216" s="70" t="n">
        <v>14310</v>
      </c>
      <c r="AS216" s="70" t="n">
        <v>13970</v>
      </c>
      <c r="AT216" s="70" t="n">
        <v>14380</v>
      </c>
      <c r="AU216" s="70" t="n">
        <v>14020</v>
      </c>
      <c r="AV216" s="70" t="n">
        <v>13950</v>
      </c>
      <c r="AW216" s="70" t="n">
        <v>13390</v>
      </c>
      <c r="AX216" s="70" t="n">
        <v>13730</v>
      </c>
      <c r="AY216" s="70" t="n">
        <v>12480</v>
      </c>
      <c r="AZ216" s="70" t="n">
        <v>12410</v>
      </c>
      <c r="BA216" s="70" t="n">
        <v>12000</v>
      </c>
      <c r="BB216" s="70" t="n">
        <v>11880</v>
      </c>
      <c r="BC216" s="70" t="n">
        <v>12340</v>
      </c>
      <c r="BD216" s="70" t="n">
        <v>11170</v>
      </c>
      <c r="BE216" s="70" t="n">
        <v>11530</v>
      </c>
      <c r="BF216" s="70" t="n">
        <v>12120</v>
      </c>
      <c r="BG216" s="70" t="n">
        <v>12440</v>
      </c>
      <c r="BH216" s="70" t="n">
        <v>12610</v>
      </c>
      <c r="BI216" s="70" t="n">
        <v>11970</v>
      </c>
      <c r="BJ216" s="70" t="n">
        <v>11610</v>
      </c>
      <c r="BK216" s="70" t="n">
        <v>12370</v>
      </c>
      <c r="BL216" s="70" t="n">
        <v>13130</v>
      </c>
    </row>
    <row r="217">
      <c r="A217" s="65" t="inlineStr">
        <is>
          <t>1407</t>
        </is>
      </c>
      <c r="B217" s="4" t="inlineStr">
        <is>
          <t>ウエストホールディングス</t>
        </is>
      </c>
      <c r="C217" s="677">
        <f>_xll.RssMarket("1407","現在値")</f>
        <v/>
      </c>
      <c r="D217" s="678">
        <f>C217-E217</f>
        <v/>
      </c>
      <c r="E217" s="70" t="n">
        <v>2250</v>
      </c>
      <c r="F217" s="70" t="n">
        <v>2216</v>
      </c>
      <c r="G217" s="70" t="n">
        <v>2310</v>
      </c>
      <c r="H217" s="70" t="n">
        <v>2256</v>
      </c>
      <c r="I217" s="70" t="n">
        <v>2313</v>
      </c>
      <c r="J217" s="70" t="n">
        <v>2305</v>
      </c>
      <c r="K217" s="70" t="n">
        <v>2297</v>
      </c>
      <c r="L217" s="70" t="n">
        <v>2450</v>
      </c>
      <c r="M217" s="70" t="n">
        <v>2478</v>
      </c>
      <c r="N217" s="70" t="n">
        <v>2436</v>
      </c>
      <c r="O217" s="70" t="n">
        <v>2578</v>
      </c>
      <c r="P217" s="70" t="n">
        <v>2489</v>
      </c>
      <c r="Q217" s="70" t="n">
        <v>2600</v>
      </c>
      <c r="R217" s="70" t="n">
        <v>2695</v>
      </c>
      <c r="S217" s="70" t="n">
        <v>2936</v>
      </c>
      <c r="T217" s="70" t="n">
        <v>3115</v>
      </c>
      <c r="U217" s="70" t="n">
        <v>2991</v>
      </c>
      <c r="V217" s="70" t="n">
        <v>2891</v>
      </c>
      <c r="W217" s="70" t="n">
        <v>2923</v>
      </c>
      <c r="X217" s="70" t="n">
        <v>3085</v>
      </c>
      <c r="Y217" s="70" t="n">
        <v>3040</v>
      </c>
      <c r="Z217" s="70" t="n">
        <v>2980</v>
      </c>
      <c r="AA217" s="70" t="n">
        <v>3005</v>
      </c>
      <c r="AB217" s="70" t="n">
        <v>3070</v>
      </c>
      <c r="AC217" s="70" t="n">
        <v>3015</v>
      </c>
      <c r="AD217" s="70" t="n">
        <v>2950</v>
      </c>
      <c r="AE217" s="70" t="n">
        <v>3115</v>
      </c>
      <c r="AF217" s="70" t="n">
        <v>2980</v>
      </c>
      <c r="AG217" s="70" t="n">
        <v>2860</v>
      </c>
      <c r="AH217" s="70" t="n">
        <v>2884</v>
      </c>
      <c r="AI217" s="70" t="n">
        <v>2877</v>
      </c>
      <c r="AJ217" s="70" t="n">
        <v>2756</v>
      </c>
      <c r="AK217" s="70" t="n">
        <v>2637</v>
      </c>
      <c r="AL217" s="70" t="n">
        <v>2548</v>
      </c>
      <c r="AM217" s="70" t="n">
        <v>2356</v>
      </c>
      <c r="AN217" s="70" t="n">
        <v>2270</v>
      </c>
      <c r="AO217" s="70" t="n">
        <v>2288</v>
      </c>
      <c r="AP217" s="70" t="n">
        <v>2279</v>
      </c>
      <c r="AQ217" s="70" t="n">
        <v>2239</v>
      </c>
      <c r="AR217" s="70" t="n">
        <v>2320</v>
      </c>
      <c r="AS217" s="70" t="n">
        <v>2122</v>
      </c>
      <c r="AT217" s="70" t="n">
        <v>1947</v>
      </c>
      <c r="AU217" s="70" t="n">
        <v>1855</v>
      </c>
      <c r="AV217" s="70" t="n">
        <v>1848</v>
      </c>
      <c r="AW217" s="70" t="n">
        <v>1824</v>
      </c>
      <c r="AX217" s="70" t="n">
        <v>1838</v>
      </c>
      <c r="AY217" s="70" t="n">
        <v>1831</v>
      </c>
      <c r="AZ217" s="70" t="n">
        <v>1900</v>
      </c>
      <c r="BA217" s="70" t="n">
        <v>1896</v>
      </c>
      <c r="BB217" s="70" t="n">
        <v>1834</v>
      </c>
      <c r="BC217" s="70" t="n">
        <v>1830</v>
      </c>
      <c r="BD217" s="70" t="n">
        <v>1755</v>
      </c>
      <c r="BE217" s="70" t="n">
        <v>1792</v>
      </c>
      <c r="BF217" s="70" t="n">
        <v>1716</v>
      </c>
      <c r="BG217" s="70" t="n">
        <v>1716</v>
      </c>
      <c r="BH217" s="70" t="n">
        <v>1800</v>
      </c>
      <c r="BI217" s="70" t="n">
        <v>1723</v>
      </c>
      <c r="BJ217" s="70" t="n">
        <v>1670</v>
      </c>
      <c r="BK217" s="70" t="n">
        <v>1750</v>
      </c>
      <c r="BL217" s="70" t="n">
        <v>1851</v>
      </c>
    </row>
    <row r="218">
      <c r="A218" s="65" t="inlineStr">
        <is>
          <t>285A</t>
        </is>
      </c>
      <c r="B218" s="4" t="inlineStr">
        <is>
          <t>QPS研究所</t>
        </is>
      </c>
      <c r="C218" s="677">
        <f>_xll.RssMarket("285A","現在値")</f>
        <v/>
      </c>
      <c r="D218" s="678">
        <f>C218-E218</f>
        <v/>
      </c>
      <c r="E218" s="70" t="n">
        <v>108700</v>
      </c>
      <c r="F218" s="70" t="n">
        <v>108600</v>
      </c>
      <c r="G218" s="70" t="n">
        <v>96000</v>
      </c>
      <c r="H218" s="70" t="n">
        <v>94720</v>
      </c>
      <c r="I218" s="70" t="n">
        <v>81200</v>
      </c>
      <c r="J218" s="70" t="n">
        <v>75440</v>
      </c>
      <c r="K218" s="70" t="n">
        <v>70500</v>
      </c>
      <c r="L218" s="70" t="n">
        <v>71880</v>
      </c>
      <c r="M218" s="70" t="n">
        <v>78140</v>
      </c>
      <c r="N218" s="70" t="n">
        <v>76920</v>
      </c>
      <c r="O218" s="70" t="n">
        <v>78080</v>
      </c>
      <c r="P218" s="70" t="n">
        <v>77540</v>
      </c>
      <c r="Q218" s="70" t="n">
        <v>72500</v>
      </c>
      <c r="R218" s="70" t="n">
        <v>65850</v>
      </c>
      <c r="S218" s="70" t="n">
        <v>61280</v>
      </c>
      <c r="T218" s="70" t="n">
        <v>60550</v>
      </c>
      <c r="U218" s="70" t="n">
        <v>65450</v>
      </c>
      <c r="V218" s="70" t="n">
        <v>57400</v>
      </c>
      <c r="W218" s="70" t="n">
        <v>55340</v>
      </c>
      <c r="X218" s="70" t="n">
        <v>51290</v>
      </c>
      <c r="Y218" s="70" t="n">
        <v>49770</v>
      </c>
      <c r="Z218" s="70" t="n">
        <v>51450</v>
      </c>
      <c r="AA218" s="70" t="n">
        <v>44450</v>
      </c>
      <c r="AB218" s="70" t="n">
        <v>48460</v>
      </c>
      <c r="AC218" s="70" t="n">
        <v>50500</v>
      </c>
      <c r="AD218" s="70" t="n">
        <v>46100</v>
      </c>
      <c r="AE218" s="70" t="n">
        <v>45940</v>
      </c>
      <c r="AF218" s="70" t="n">
        <v>44490</v>
      </c>
      <c r="AG218" s="70" t="n">
        <v>43410</v>
      </c>
      <c r="AH218" s="70" t="n">
        <v>36410</v>
      </c>
      <c r="AI218" s="70" t="n">
        <v>37560</v>
      </c>
      <c r="AJ218" s="70" t="n">
        <v>36320</v>
      </c>
      <c r="AK218" s="70" t="n">
        <v>35470</v>
      </c>
      <c r="AL218" s="70" t="n">
        <v>34580</v>
      </c>
      <c r="AM218" s="70" t="n">
        <v>35380</v>
      </c>
      <c r="AN218" s="70" t="n">
        <v>34800</v>
      </c>
      <c r="AO218" s="70" t="n">
        <v>32740</v>
      </c>
      <c r="AP218" s="70" t="n">
        <v>30510</v>
      </c>
      <c r="AQ218" s="70" t="n">
        <v>30530</v>
      </c>
      <c r="AR218" s="70" t="n">
        <v>33870</v>
      </c>
      <c r="AS218" s="70" t="n">
        <v>32410</v>
      </c>
      <c r="AT218" s="70" t="n">
        <v>35000</v>
      </c>
      <c r="AU218" s="70" t="n">
        <v>31270</v>
      </c>
      <c r="AV218" s="70" t="n">
        <v>30140</v>
      </c>
      <c r="AW218" s="70" t="n">
        <v>27700</v>
      </c>
      <c r="AX218" s="70" t="n">
        <v>27600</v>
      </c>
      <c r="AY218" s="70" t="n">
        <v>23270</v>
      </c>
      <c r="AZ218" s="70" t="n">
        <v>22800</v>
      </c>
      <c r="BA218" s="70" t="n">
        <v>21850</v>
      </c>
      <c r="BB218" s="70" t="n">
        <v>21095</v>
      </c>
      <c r="BC218" s="70" t="n">
        <v>21800</v>
      </c>
      <c r="BD218" s="70" t="n">
        <v>19080</v>
      </c>
      <c r="BE218" s="70" t="n">
        <v>20020</v>
      </c>
      <c r="BF218" s="70" t="n">
        <v>20270</v>
      </c>
      <c r="BG218" s="70" t="n">
        <v>21165</v>
      </c>
      <c r="BH218" s="70" t="n">
        <v>22445</v>
      </c>
      <c r="BI218" s="70" t="n">
        <v>21100</v>
      </c>
      <c r="BJ218" s="70" t="n">
        <v>21465</v>
      </c>
      <c r="BK218" s="70" t="n">
        <v>22360</v>
      </c>
      <c r="BL218" s="70" t="n">
        <v>23390</v>
      </c>
    </row>
    <row r="219">
      <c r="A219" s="65" t="inlineStr">
        <is>
          <t>141A</t>
        </is>
      </c>
      <c r="B219" s="4" t="inlineStr">
        <is>
          <t>トライアルホールディングス</t>
        </is>
      </c>
      <c r="C219" s="677">
        <f>_xll.RssMarket("141A","現在値")</f>
        <v/>
      </c>
      <c r="D219" s="678">
        <f>C219-E219</f>
        <v/>
      </c>
      <c r="E219" s="70" t="n">
        <v>2743</v>
      </c>
      <c r="F219" s="70" t="n">
        <v>2745</v>
      </c>
      <c r="G219" s="70" t="n">
        <v>2803</v>
      </c>
      <c r="H219" s="70" t="n">
        <v>2744</v>
      </c>
      <c r="I219" s="70" t="n">
        <v>2789</v>
      </c>
      <c r="J219" s="70" t="n">
        <v>2850</v>
      </c>
      <c r="K219" s="70" t="n">
        <v>2793</v>
      </c>
      <c r="L219" s="70" t="n">
        <v>2782</v>
      </c>
      <c r="M219" s="70" t="n">
        <v>2774</v>
      </c>
      <c r="N219" s="70" t="n">
        <v>2668</v>
      </c>
      <c r="O219" s="70" t="n">
        <v>2734</v>
      </c>
      <c r="P219" s="70" t="n">
        <v>2570</v>
      </c>
      <c r="Q219" s="70" t="n">
        <v>2686</v>
      </c>
      <c r="R219" s="70" t="n">
        <v>2865</v>
      </c>
      <c r="S219" s="70" t="n">
        <v>2900</v>
      </c>
      <c r="T219" s="70" t="n">
        <v>2805</v>
      </c>
      <c r="U219" s="70" t="n">
        <v>2878</v>
      </c>
      <c r="V219" s="70" t="n">
        <v>2971</v>
      </c>
      <c r="W219" s="70" t="n">
        <v>3055</v>
      </c>
      <c r="X219" s="70" t="n">
        <v>3105</v>
      </c>
      <c r="Y219" s="70" t="n">
        <v>3180</v>
      </c>
      <c r="Z219" s="70" t="n">
        <v>2911</v>
      </c>
      <c r="AA219" s="70" t="n">
        <v>3570</v>
      </c>
      <c r="AB219" s="70" t="n">
        <v>4270</v>
      </c>
      <c r="AC219" s="70" t="n">
        <v>4440</v>
      </c>
      <c r="AD219" s="70" t="n">
        <v>4330</v>
      </c>
      <c r="AE219" s="70" t="n">
        <v>4225</v>
      </c>
      <c r="AF219" s="70" t="n">
        <v>4140</v>
      </c>
      <c r="AG219" s="70" t="n">
        <v>4155</v>
      </c>
      <c r="AH219" s="70" t="n">
        <v>3885</v>
      </c>
      <c r="AI219" s="70" t="n">
        <v>3920</v>
      </c>
      <c r="AJ219" s="70" t="n">
        <v>4045</v>
      </c>
      <c r="AK219" s="70" t="n">
        <v>3905</v>
      </c>
      <c r="AL219" s="70" t="n">
        <v>3985</v>
      </c>
      <c r="AM219" s="70" t="n">
        <v>4255</v>
      </c>
      <c r="AN219" s="70" t="n">
        <v>4525</v>
      </c>
      <c r="AO219" s="70" t="n">
        <v>4745</v>
      </c>
      <c r="AP219" s="70" t="n">
        <v>4585</v>
      </c>
      <c r="AQ219" s="70" t="n">
        <v>4445</v>
      </c>
      <c r="AR219" s="70" t="n">
        <v>4495</v>
      </c>
      <c r="AS219" s="70" t="n">
        <v>4380</v>
      </c>
      <c r="AT219" s="70" t="n">
        <v>4255</v>
      </c>
      <c r="AU219" s="70" t="n">
        <v>4170</v>
      </c>
      <c r="AV219" s="70" t="n">
        <v>4445</v>
      </c>
      <c r="AW219" s="70" t="n">
        <v>4425</v>
      </c>
      <c r="AX219" s="70" t="n">
        <v>4655</v>
      </c>
      <c r="AY219" s="70" t="n">
        <v>4780</v>
      </c>
      <c r="AZ219" s="70" t="n">
        <v>4655</v>
      </c>
      <c r="BA219" s="70" t="n">
        <v>4625</v>
      </c>
      <c r="BB219" s="70" t="n">
        <v>4530</v>
      </c>
      <c r="BC219" s="70" t="n">
        <v>4445</v>
      </c>
      <c r="BD219" s="70" t="n">
        <v>4200</v>
      </c>
      <c r="BE219" s="70" t="n">
        <v>4205</v>
      </c>
      <c r="BF219" s="70" t="n">
        <v>4280</v>
      </c>
      <c r="BG219" s="70" t="n">
        <v>4110</v>
      </c>
      <c r="BH219" s="70" t="n">
        <v>4250</v>
      </c>
      <c r="BI219" s="70" t="n">
        <v>4145</v>
      </c>
      <c r="BJ219" s="70" t="n">
        <v>4005</v>
      </c>
      <c r="BK219" s="70" t="n">
        <v>4240</v>
      </c>
      <c r="BL219" s="70" t="n">
        <v>4510</v>
      </c>
    </row>
    <row r="220">
      <c r="A220" s="65" t="inlineStr">
        <is>
          <t>464A</t>
        </is>
      </c>
      <c r="B220" s="4" t="inlineStr">
        <is>
          <t>QPSホールディングス</t>
        </is>
      </c>
      <c r="C220" s="677">
        <f>_xll.RssMarket("464A","現在値")</f>
        <v/>
      </c>
      <c r="D220" s="678">
        <f>C220-E220</f>
        <v/>
      </c>
      <c r="E220" s="70" t="n">
        <v>2277</v>
      </c>
      <c r="F220" s="70" t="n">
        <v>2180</v>
      </c>
      <c r="G220" s="70" t="n">
        <v>2202</v>
      </c>
      <c r="H220" s="70" t="n">
        <v>2280</v>
      </c>
      <c r="I220" s="70" t="n">
        <v>2792</v>
      </c>
      <c r="J220" s="70" t="n">
        <v>2607</v>
      </c>
      <c r="K220" s="70" t="n">
        <v>2533</v>
      </c>
      <c r="L220" s="70" t="n">
        <v>2870</v>
      </c>
      <c r="M220" s="70" t="n">
        <v>2919</v>
      </c>
      <c r="N220" s="70" t="n">
        <v>2720</v>
      </c>
      <c r="O220" s="70" t="n">
        <v>2998</v>
      </c>
      <c r="P220" s="70" t="n">
        <v>3080</v>
      </c>
      <c r="Q220" s="70" t="n">
        <v>3495</v>
      </c>
      <c r="R220" s="70" t="n">
        <v>4060</v>
      </c>
      <c r="S220" s="70" t="n">
        <v>4365</v>
      </c>
      <c r="T220" s="70" t="n">
        <v>4200</v>
      </c>
      <c r="U220" s="70" t="n">
        <v>3930</v>
      </c>
      <c r="V220" s="70" t="n">
        <v>3725</v>
      </c>
      <c r="W220" s="70" t="n">
        <v>3435</v>
      </c>
      <c r="X220" s="70" t="n">
        <v>3240</v>
      </c>
      <c r="Y220" s="70" t="n">
        <v>3565</v>
      </c>
      <c r="Z220" s="70" t="n">
        <v>3230</v>
      </c>
      <c r="AA220" s="70" t="n">
        <v>3300</v>
      </c>
      <c r="AB220" s="70" t="n">
        <v>3280</v>
      </c>
      <c r="AC220" s="70" t="n">
        <v>3120</v>
      </c>
      <c r="AD220" s="70" t="n">
        <v>2954</v>
      </c>
      <c r="AE220" s="70" t="n">
        <v>2990</v>
      </c>
      <c r="AF220" s="70" t="n">
        <v>2825</v>
      </c>
      <c r="AG220" s="70" t="n">
        <v>2676</v>
      </c>
      <c r="AH220" s="70" t="n">
        <v>2530</v>
      </c>
      <c r="AI220" s="70" t="n">
        <v>2520</v>
      </c>
      <c r="AJ220" s="70" t="n">
        <v>2534</v>
      </c>
      <c r="AK220" s="70" t="n">
        <v>2423</v>
      </c>
      <c r="AL220" s="70" t="n">
        <v>2580</v>
      </c>
      <c r="AM220" s="70" t="n">
        <v>2582</v>
      </c>
      <c r="AN220" s="70" t="n">
        <v>2669</v>
      </c>
      <c r="AO220" s="70" t="n">
        <v>2750</v>
      </c>
      <c r="AP220" s="70" t="n">
        <v>2659</v>
      </c>
      <c r="AQ220" s="70" t="n">
        <v>2647</v>
      </c>
      <c r="AR220" s="70" t="n">
        <v>2630</v>
      </c>
      <c r="AS220" s="70" t="n">
        <v>2514</v>
      </c>
      <c r="AT220" s="70" t="n">
        <v>2610</v>
      </c>
      <c r="AU220" s="70" t="n">
        <v>2787</v>
      </c>
      <c r="AV220" s="70" t="n">
        <v>2832</v>
      </c>
      <c r="AW220" s="70" t="n">
        <v>2593</v>
      </c>
      <c r="AX220" s="70" t="n">
        <v>2702</v>
      </c>
      <c r="AY220" s="70" t="n">
        <v>2454</v>
      </c>
      <c r="AZ220" s="70" t="n">
        <v>2413</v>
      </c>
      <c r="BA220" s="70" t="n">
        <v>2297</v>
      </c>
      <c r="BB220" s="70" t="n">
        <v>2281</v>
      </c>
      <c r="BC220" s="70" t="n">
        <v>2232</v>
      </c>
      <c r="BD220" s="70" t="n">
        <v>2063</v>
      </c>
      <c r="BE220" s="70" t="n">
        <v>2133</v>
      </c>
      <c r="BF220" s="70" t="n">
        <v>2298</v>
      </c>
      <c r="BG220" s="70" t="n">
        <v>2363</v>
      </c>
      <c r="BH220" s="70" t="n">
        <v>2480</v>
      </c>
      <c r="BI220" s="70" t="n">
        <v>2275</v>
      </c>
      <c r="BJ220" s="70" t="n">
        <v>2278</v>
      </c>
      <c r="BK220" s="70" t="n">
        <v>2503</v>
      </c>
      <c r="BL220" s="70" t="n">
        <v>2632</v>
      </c>
    </row>
    <row r="221">
      <c r="A221" s="65" t="inlineStr">
        <is>
          <t>485A</t>
        </is>
      </c>
      <c r="B221" s="4" t="inlineStr">
        <is>
          <t>パワーエックス</t>
        </is>
      </c>
      <c r="C221" s="677">
        <f>_xll.RssMarket("485A","現在値")</f>
        <v/>
      </c>
      <c r="D221" s="678">
        <f>C221-E221</f>
        <v/>
      </c>
      <c r="E221" s="70" t="n">
        <v>2200</v>
      </c>
      <c r="F221" s="70" t="n">
        <v>1800</v>
      </c>
      <c r="G221" s="70" t="n">
        <v>2291</v>
      </c>
      <c r="H221" s="70" t="n">
        <v>2791</v>
      </c>
      <c r="I221" s="70" t="n">
        <v>2562</v>
      </c>
      <c r="J221" s="70" t="n">
        <v>2497</v>
      </c>
      <c r="K221" s="70" t="n">
        <v>2312</v>
      </c>
      <c r="L221" s="70" t="n">
        <v>2726</v>
      </c>
      <c r="M221" s="70" t="n">
        <v>2889</v>
      </c>
      <c r="N221" s="70" t="n">
        <v>2893</v>
      </c>
      <c r="O221" s="70" t="n">
        <v>3210</v>
      </c>
      <c r="P221" s="70" t="n">
        <v>3300</v>
      </c>
      <c r="Q221" s="70" t="n">
        <v>3465</v>
      </c>
      <c r="R221" s="70" t="n">
        <v>3855</v>
      </c>
      <c r="S221" s="70" t="n">
        <v>4340</v>
      </c>
      <c r="T221" s="70" t="n">
        <v>13590</v>
      </c>
      <c r="U221" s="70" t="n">
        <v>14720</v>
      </c>
      <c r="V221" s="70" t="n">
        <v>12850</v>
      </c>
      <c r="W221" s="70" t="n">
        <v>13350</v>
      </c>
      <c r="X221" s="70" t="n">
        <v>13650</v>
      </c>
      <c r="Y221" s="70" t="n">
        <v>14860</v>
      </c>
      <c r="Z221" s="70" t="n">
        <v>14990</v>
      </c>
      <c r="AA221" s="70" t="n">
        <v>12320</v>
      </c>
      <c r="AB221" s="70" t="n">
        <v>12150</v>
      </c>
      <c r="AC221" s="70" t="n">
        <v>13200</v>
      </c>
      <c r="AD221" s="70" t="n">
        <v>13080</v>
      </c>
      <c r="AE221" s="70" t="n">
        <v>14960</v>
      </c>
      <c r="AF221" s="70" t="n">
        <v>14090</v>
      </c>
      <c r="AG221" s="70" t="n">
        <v>11090</v>
      </c>
      <c r="AH221" s="70" t="n">
        <v>10480</v>
      </c>
      <c r="AI221" s="70" t="n">
        <v>10690</v>
      </c>
      <c r="AJ221" s="70" t="n">
        <v>9850</v>
      </c>
      <c r="AK221" s="70" t="n">
        <v>8970</v>
      </c>
      <c r="AL221" s="70" t="n">
        <v>7740</v>
      </c>
      <c r="AM221" s="70" t="n">
        <v>7130</v>
      </c>
      <c r="AN221" s="70" t="n">
        <v>7670</v>
      </c>
      <c r="AO221" s="70" t="n">
        <v>7120</v>
      </c>
      <c r="AP221" s="70" t="n">
        <v>6710</v>
      </c>
      <c r="AQ221" s="70" t="n">
        <v>6700</v>
      </c>
      <c r="AR221" s="70" t="n">
        <v>7320</v>
      </c>
      <c r="AS221" s="70" t="n">
        <v>6750</v>
      </c>
      <c r="AT221" s="70" t="n">
        <v>7110</v>
      </c>
      <c r="AU221" s="70" t="n">
        <v>7120</v>
      </c>
      <c r="AV221" s="70" t="n">
        <v>7600</v>
      </c>
      <c r="AW221" s="70" t="n">
        <v>6700</v>
      </c>
      <c r="AX221" s="70" t="n">
        <v>6420</v>
      </c>
      <c r="AY221" s="70" t="n">
        <v>5750</v>
      </c>
      <c r="AZ221" s="70" t="n">
        <v>5990</v>
      </c>
      <c r="BA221" s="70" t="n">
        <v>5800</v>
      </c>
      <c r="BB221" s="70" t="n">
        <v>5030</v>
      </c>
      <c r="BC221" s="70" t="n">
        <v>5330</v>
      </c>
      <c r="BD221" s="70" t="n">
        <v>4625</v>
      </c>
      <c r="BE221" s="70" t="n">
        <v>4725</v>
      </c>
      <c r="BF221" s="70" t="n">
        <v>4250</v>
      </c>
      <c r="BG221" s="70" t="n">
        <v>3945</v>
      </c>
      <c r="BH221" s="70" t="n">
        <v>4180</v>
      </c>
      <c r="BI221" s="70" t="n">
        <v>4880</v>
      </c>
      <c r="BJ221" s="70" t="n">
        <v>5330</v>
      </c>
      <c r="BK221" s="70" t="n">
        <v>5870</v>
      </c>
      <c r="BL221" s="70" t="n">
        <v>5800</v>
      </c>
    </row>
    <row r="222">
      <c r="A222" s="65" t="inlineStr">
        <is>
          <t>1570</t>
        </is>
      </c>
      <c r="B222" s="4">
        <f>銘柄管理!C222</f>
        <v/>
      </c>
      <c r="C222" s="677">
        <f>_xll.RssMarket("1570","現在値")</f>
        <v/>
      </c>
      <c r="D222" s="678" t="n"/>
      <c r="E222" s="70" t="n">
        <v>85450</v>
      </c>
      <c r="F222" s="70" t="n">
        <v>82660</v>
      </c>
      <c r="G222" s="70" t="n">
        <v>79550</v>
      </c>
      <c r="H222" s="70" t="n">
        <v>78180</v>
      </c>
      <c r="I222" s="70" t="n">
        <v>71130</v>
      </c>
      <c r="J222" s="70" t="n">
        <v>67250</v>
      </c>
      <c r="K222" s="70" t="n">
        <v>67450</v>
      </c>
      <c r="L222" s="70" t="n">
        <v>67010</v>
      </c>
      <c r="M222" s="70" t="n">
        <v>72640</v>
      </c>
      <c r="N222" s="70" t="n">
        <v>74620</v>
      </c>
      <c r="O222" s="70" t="n">
        <v>76720</v>
      </c>
      <c r="P222" s="70" t="n">
        <v>72930</v>
      </c>
      <c r="Q222" s="70" t="n">
        <v>73490</v>
      </c>
      <c r="R222" s="70" t="n">
        <v>72090</v>
      </c>
      <c r="S222" s="70" t="n">
        <v>68680</v>
      </c>
      <c r="T222" s="70" t="n">
        <v>69560</v>
      </c>
      <c r="U222" s="70" t="n">
        <v>70010</v>
      </c>
      <c r="V222" s="70" t="n">
        <v>65880</v>
      </c>
      <c r="W222" s="70" t="n">
        <v>62540</v>
      </c>
      <c r="X222" s="70" t="n">
        <v>59060</v>
      </c>
      <c r="Y222" s="70" t="n">
        <v>60530</v>
      </c>
      <c r="Z222" s="70" t="n">
        <v>60970</v>
      </c>
      <c r="AA222" s="70" t="n">
        <v>62240</v>
      </c>
      <c r="AB222" s="70" t="n">
        <v>64770</v>
      </c>
      <c r="AC222" s="70" t="n">
        <v>66000</v>
      </c>
      <c r="AD222" s="70" t="n">
        <v>64830</v>
      </c>
      <c r="AE222" s="70" t="n">
        <v>64310</v>
      </c>
      <c r="AF222" s="70" t="n">
        <v>64800</v>
      </c>
      <c r="AG222" s="70" t="n">
        <v>65520</v>
      </c>
      <c r="AH222" s="70" t="n">
        <v>58570</v>
      </c>
      <c r="AI222" s="70" t="n">
        <v>58070</v>
      </c>
      <c r="AJ222" s="70" t="n">
        <v>59440</v>
      </c>
      <c r="AK222" s="70" t="n">
        <v>60810</v>
      </c>
      <c r="AL222" s="70" t="n">
        <v>59020</v>
      </c>
      <c r="AM222" s="70" t="n">
        <v>57970</v>
      </c>
      <c r="AN222" s="70" t="n">
        <v>58850</v>
      </c>
      <c r="AO222" s="70" t="n">
        <v>58390</v>
      </c>
      <c r="AP222" s="70" t="n">
        <v>57370</v>
      </c>
      <c r="AQ222" s="70" t="n">
        <v>57070</v>
      </c>
      <c r="AR222" s="70" t="n">
        <v>59020</v>
      </c>
      <c r="AS222" s="70" t="n">
        <v>56180</v>
      </c>
      <c r="AT222" s="70" t="n">
        <v>55560</v>
      </c>
      <c r="AU222" s="70" t="n">
        <v>53100</v>
      </c>
      <c r="AV222" s="70" t="n">
        <v>53800</v>
      </c>
      <c r="AW222" s="70" t="n">
        <v>52140</v>
      </c>
      <c r="AX222" s="70" t="n">
        <v>52900</v>
      </c>
      <c r="AY222" s="70" t="n">
        <v>47750</v>
      </c>
      <c r="AZ222" s="70" t="n">
        <v>47670</v>
      </c>
      <c r="BA222" s="70" t="n">
        <v>47100</v>
      </c>
      <c r="BB222" s="70" t="n">
        <v>46000</v>
      </c>
      <c r="BC222" s="70" t="n">
        <v>48330</v>
      </c>
      <c r="BD222" s="70" t="n">
        <v>43890</v>
      </c>
      <c r="BE222" s="70" t="n">
        <v>45000</v>
      </c>
      <c r="BF222" s="70" t="n">
        <v>47200</v>
      </c>
      <c r="BG222" s="70" t="n">
        <v>47400</v>
      </c>
      <c r="BH222" s="70" t="n">
        <v>47830</v>
      </c>
      <c r="BI222" s="70" t="n">
        <v>45270</v>
      </c>
      <c r="BJ222" s="70" t="n">
        <v>43980</v>
      </c>
      <c r="BK222" s="70" t="n">
        <v>47260</v>
      </c>
      <c r="BL222" s="70" t="n">
        <v>50850</v>
      </c>
    </row>
    <row r="223">
      <c r="A223" s="65" t="inlineStr">
        <is>
          <t>6135</t>
        </is>
      </c>
      <c r="B223" s="4">
        <f>銘柄管理!C223</f>
        <v/>
      </c>
      <c r="C223" s="677">
        <f>_xll.RssMarket("6135","現在値")</f>
        <v/>
      </c>
      <c r="D223" s="678" t="n"/>
      <c r="E223" s="70" t="n">
        <v>14550</v>
      </c>
      <c r="F223" s="4" t="n">
        <v>14560</v>
      </c>
      <c r="G223" s="4" t="n">
        <v>14250</v>
      </c>
      <c r="H223" s="4" t="n">
        <v>14390</v>
      </c>
      <c r="I223" s="4" t="n">
        <v>13980</v>
      </c>
      <c r="J223" s="4" t="n">
        <v>14150</v>
      </c>
      <c r="K223" s="4" t="n">
        <v>14490</v>
      </c>
      <c r="L223" s="4" t="n">
        <v>14190</v>
      </c>
      <c r="M223" s="4" t="n">
        <v>14510</v>
      </c>
      <c r="N223" s="4" t="n">
        <v>14050</v>
      </c>
      <c r="O223" s="4" t="n">
        <v>13990</v>
      </c>
      <c r="P223" s="4" t="n">
        <v>13750</v>
      </c>
      <c r="Q223" s="4" t="n">
        <v>14110</v>
      </c>
      <c r="R223" s="4" t="n">
        <v>13240</v>
      </c>
      <c r="S223" s="4" t="n">
        <v>13210</v>
      </c>
      <c r="T223" s="4" t="n">
        <v>13220</v>
      </c>
      <c r="U223" s="4" t="n">
        <v>13400</v>
      </c>
      <c r="V223" s="4" t="n">
        <v>13110</v>
      </c>
      <c r="W223" s="4" t="n">
        <v>13290</v>
      </c>
      <c r="X223" s="4" t="n">
        <v>13190</v>
      </c>
      <c r="Y223" s="4" t="n">
        <v>13810</v>
      </c>
      <c r="Z223" s="4" t="n">
        <v>13680</v>
      </c>
      <c r="AA223" s="4" t="n">
        <v>13620</v>
      </c>
      <c r="AB223" s="4" t="n">
        <v>13960</v>
      </c>
      <c r="AC223" s="4" t="n">
        <v>13610</v>
      </c>
      <c r="AD223" s="4" t="n">
        <v>13750</v>
      </c>
      <c r="AE223" s="4" t="n">
        <v>13680</v>
      </c>
      <c r="AF223" s="4" t="n">
        <v>13200</v>
      </c>
      <c r="AG223" s="4" t="n">
        <v>13650</v>
      </c>
      <c r="AH223" s="4" t="n">
        <v>12660</v>
      </c>
      <c r="AI223" s="4" t="n">
        <v>11900</v>
      </c>
      <c r="AJ223" s="4" t="n">
        <v>11800</v>
      </c>
      <c r="AK223" s="4" t="n">
        <v>11800</v>
      </c>
      <c r="AL223" s="4" t="n">
        <v>11790</v>
      </c>
      <c r="AM223" s="4" t="n">
        <v>10570</v>
      </c>
      <c r="AN223" s="4" t="n">
        <v>11590</v>
      </c>
      <c r="AO223" s="4" t="n">
        <v>11620</v>
      </c>
      <c r="AP223" s="4" t="n">
        <v>11630</v>
      </c>
      <c r="AQ223" s="4" t="n">
        <v>11630</v>
      </c>
      <c r="AR223" s="4" t="n">
        <v>11600</v>
      </c>
      <c r="AS223" s="4" t="n">
        <v>11610</v>
      </c>
      <c r="AT223" s="4" t="n">
        <v>11610</v>
      </c>
      <c r="AU223" s="4" t="n">
        <v>11590</v>
      </c>
      <c r="AV223" s="4" t="n">
        <v>11600</v>
      </c>
      <c r="AW223" s="4" t="n">
        <v>11610</v>
      </c>
      <c r="AX223" s="4" t="n">
        <v>11540</v>
      </c>
      <c r="AY223" s="4" t="n">
        <v>11540</v>
      </c>
      <c r="AZ223" s="4" t="n">
        <v>11530</v>
      </c>
      <c r="BA223" s="4" t="n">
        <v>11540</v>
      </c>
      <c r="BB223" s="4" t="n">
        <v>11500</v>
      </c>
      <c r="BC223" s="4" t="n">
        <v>11560</v>
      </c>
      <c r="BD223" s="4" t="n">
        <v>11460</v>
      </c>
      <c r="BE223" s="4" t="n">
        <v>11500</v>
      </c>
      <c r="BF223" s="4" t="n">
        <v>11550</v>
      </c>
      <c r="BG223" s="4" t="n">
        <v>11570</v>
      </c>
      <c r="BH223" s="4" t="n">
        <v>11480</v>
      </c>
      <c r="BI223" s="4" t="n">
        <v>11500</v>
      </c>
      <c r="BJ223" s="4" t="n">
        <v>11450</v>
      </c>
      <c r="BK223" s="4" t="n">
        <v>11600</v>
      </c>
      <c r="BL223" s="4" t="n">
        <v>11600</v>
      </c>
    </row>
    <row r="224">
      <c r="A224" s="65" t="inlineStr">
        <is>
          <t>6055</t>
        </is>
      </c>
      <c r="B224" s="4">
        <f>銘柄管理!C224</f>
        <v/>
      </c>
      <c r="C224" s="677">
        <f>_xll.RssMarket("6055","現在値")</f>
        <v/>
      </c>
      <c r="D224" s="678" t="n"/>
      <c r="E224" s="70" t="n">
        <v>2632</v>
      </c>
      <c r="F224" s="4" t="n">
        <v>2454</v>
      </c>
      <c r="G224" s="4" t="n">
        <v>2361</v>
      </c>
      <c r="H224" s="4" t="n">
        <v>2396</v>
      </c>
      <c r="I224" s="4" t="n">
        <v>2267</v>
      </c>
      <c r="J224" s="4" t="n">
        <v>2167</v>
      </c>
      <c r="K224" s="4" t="n">
        <v>2118</v>
      </c>
      <c r="L224" s="4" t="n">
        <v>2084</v>
      </c>
      <c r="M224" s="4" t="n">
        <v>2266</v>
      </c>
      <c r="N224" s="4" t="n">
        <v>2422</v>
      </c>
      <c r="O224" s="4" t="n">
        <v>2117</v>
      </c>
      <c r="P224" s="4" t="n">
        <v>2007</v>
      </c>
      <c r="Q224" s="4" t="n">
        <v>2107</v>
      </c>
      <c r="R224" s="4" t="n">
        <v>2053</v>
      </c>
      <c r="S224" s="4" t="n">
        <v>2051</v>
      </c>
      <c r="T224" s="4" t="n">
        <v>2124</v>
      </c>
      <c r="U224" s="4" t="n">
        <v>1993</v>
      </c>
      <c r="V224" s="4" t="n">
        <v>2011</v>
      </c>
      <c r="W224" s="4" t="n">
        <v>1933</v>
      </c>
      <c r="X224" s="4" t="n">
        <v>1972</v>
      </c>
      <c r="Y224" s="4" t="n">
        <v>2078</v>
      </c>
      <c r="Z224" s="4" t="n">
        <v>1992</v>
      </c>
      <c r="AA224" s="4" t="n">
        <v>2012</v>
      </c>
      <c r="AB224" s="4" t="n">
        <v>2146</v>
      </c>
      <c r="AC224" s="4" t="n">
        <v>2173</v>
      </c>
      <c r="AD224" s="4" t="n">
        <v>2077</v>
      </c>
      <c r="AE224" s="4" t="n">
        <v>1953</v>
      </c>
      <c r="AF224" s="4" t="n">
        <v>1933</v>
      </c>
      <c r="AG224" s="4" t="n">
        <v>1800</v>
      </c>
      <c r="AH224" s="4" t="n">
        <v>1778</v>
      </c>
      <c r="AI224" s="4" t="n">
        <v>1802</v>
      </c>
      <c r="AJ224" s="4" t="n">
        <v>1872</v>
      </c>
      <c r="AK224" s="4" t="n">
        <v>1814</v>
      </c>
      <c r="AL224" s="4" t="n">
        <v>1786</v>
      </c>
      <c r="AM224" s="4" t="n">
        <v>1824</v>
      </c>
      <c r="AN224" s="4" t="n">
        <v>1844</v>
      </c>
      <c r="AO224" s="4" t="n">
        <v>1847</v>
      </c>
      <c r="AP224" s="4" t="n">
        <v>1862</v>
      </c>
      <c r="AQ224" s="4" t="n">
        <v>1900</v>
      </c>
      <c r="AR224" s="4" t="n">
        <v>1900</v>
      </c>
      <c r="AS224" s="4" t="n">
        <v>1905</v>
      </c>
      <c r="AT224" s="4" t="n">
        <v>1793</v>
      </c>
      <c r="AU224" s="4" t="n">
        <v>1801</v>
      </c>
      <c r="AV224" s="4" t="n">
        <v>1774</v>
      </c>
      <c r="AW224" s="4" t="n">
        <v>1811</v>
      </c>
      <c r="AX224" s="4" t="n">
        <v>1665</v>
      </c>
      <c r="AY224" s="4" t="n">
        <v>1642</v>
      </c>
      <c r="AZ224" s="4" t="n">
        <v>1626</v>
      </c>
      <c r="BA224" s="4" t="n">
        <v>1604</v>
      </c>
      <c r="BB224" s="4" t="n">
        <v>1659</v>
      </c>
      <c r="BC224" s="4" t="n">
        <v>1573</v>
      </c>
      <c r="BD224" s="4" t="n">
        <v>1599</v>
      </c>
      <c r="BE224" s="4" t="n">
        <v>1739</v>
      </c>
      <c r="BF224" s="4" t="n">
        <v>1708</v>
      </c>
      <c r="BG224" s="4" t="n">
        <v>1769</v>
      </c>
      <c r="BH224" s="4" t="n">
        <v>1671</v>
      </c>
      <c r="BI224" s="4" t="n">
        <v>1617</v>
      </c>
      <c r="BJ224" s="4" t="n">
        <v>1723</v>
      </c>
      <c r="BK224" s="4" t="n">
        <v>1830</v>
      </c>
      <c r="BL224" s="4" t="n">
        <v>1795</v>
      </c>
    </row>
    <row r="225">
      <c r="A225" s="65" t="inlineStr">
        <is>
          <t>6862</t>
        </is>
      </c>
      <c r="B225" s="4">
        <f>銘柄管理!C225</f>
        <v/>
      </c>
      <c r="C225" s="4">
        <f>_xll.RssMarket("6862","現在値")</f>
        <v/>
      </c>
      <c r="E225" s="70" t="n">
        <v>2340</v>
      </c>
      <c r="F225" s="4" t="n">
        <v>2540</v>
      </c>
      <c r="G225" s="4" t="n">
        <v>2191</v>
      </c>
      <c r="H225" s="4" t="n">
        <v>2138</v>
      </c>
      <c r="I225" s="4" t="n">
        <v>1920</v>
      </c>
      <c r="J225" s="4" t="n">
        <v>1907</v>
      </c>
      <c r="K225" s="4" t="n">
        <v>1962</v>
      </c>
      <c r="L225" s="4" t="n">
        <v>2099</v>
      </c>
      <c r="M225" s="4" t="n">
        <v>2269</v>
      </c>
      <c r="N225" s="4" t="n">
        <v>2135</v>
      </c>
      <c r="O225" s="4" t="n">
        <v>2260</v>
      </c>
      <c r="P225" s="4" t="n">
        <v>2196</v>
      </c>
      <c r="Q225" s="4" t="n">
        <v>2175</v>
      </c>
      <c r="R225" s="4" t="n">
        <v>2204</v>
      </c>
      <c r="S225" s="4" t="n">
        <v>2192</v>
      </c>
      <c r="T225" s="4" t="n">
        <v>2260</v>
      </c>
      <c r="U225" s="4" t="n">
        <v>2541</v>
      </c>
      <c r="V225" s="4" t="n">
        <v>2548</v>
      </c>
      <c r="W225" s="4" t="n">
        <v>2417</v>
      </c>
      <c r="X225" s="4" t="n">
        <v>2355</v>
      </c>
      <c r="Y225" s="4" t="n">
        <v>2533</v>
      </c>
      <c r="Z225" s="4" t="n">
        <v>2743</v>
      </c>
      <c r="AA225" s="4" t="n">
        <v>2729</v>
      </c>
      <c r="AB225" s="4" t="n">
        <v>2975</v>
      </c>
      <c r="AC225" s="4" t="n">
        <v>2930</v>
      </c>
      <c r="AD225" s="4" t="n">
        <v>3630</v>
      </c>
      <c r="AE225" s="4" t="n">
        <v>3485</v>
      </c>
      <c r="AF225" s="4" t="n">
        <v>3885</v>
      </c>
      <c r="AG225" s="4" t="n">
        <v>3760</v>
      </c>
      <c r="AH225" s="4" t="n">
        <v>3060</v>
      </c>
      <c r="AI225" s="4" t="n">
        <v>2841</v>
      </c>
      <c r="AJ225" s="4" t="n">
        <v>2622</v>
      </c>
      <c r="AK225" s="4" t="n">
        <v>2696</v>
      </c>
      <c r="AL225" s="4" t="n">
        <v>2482</v>
      </c>
      <c r="AM225" s="4" t="n">
        <v>2453</v>
      </c>
      <c r="AN225" s="4" t="n">
        <v>2480</v>
      </c>
      <c r="AO225" s="4" t="n">
        <v>2518</v>
      </c>
      <c r="AP225" s="4" t="n">
        <v>2509</v>
      </c>
      <c r="AQ225" s="4" t="n">
        <v>2372</v>
      </c>
      <c r="AR225" s="4" t="n">
        <v>2467</v>
      </c>
      <c r="AS225" s="4" t="n">
        <v>2388</v>
      </c>
      <c r="AT225" s="4" t="n">
        <v>2591</v>
      </c>
      <c r="AU225" s="4" t="n">
        <v>2312</v>
      </c>
      <c r="AV225" s="4" t="n">
        <v>2198</v>
      </c>
      <c r="AW225" s="4" t="n">
        <v>2195</v>
      </c>
      <c r="AX225" s="4" t="n">
        <v>2359</v>
      </c>
      <c r="AY225" s="4" t="n">
        <v>2048</v>
      </c>
      <c r="AZ225" s="4" t="n">
        <v>2088</v>
      </c>
      <c r="BA225" s="4" t="n">
        <v>2039</v>
      </c>
      <c r="BB225" s="4" t="n">
        <v>2017</v>
      </c>
      <c r="BC225" s="4" t="n">
        <v>2129</v>
      </c>
      <c r="BD225" s="4" t="n">
        <v>1992</v>
      </c>
      <c r="BE225" s="4" t="n">
        <v>2189</v>
      </c>
      <c r="BF225" s="4" t="n">
        <v>2348</v>
      </c>
      <c r="BG225" s="4" t="n">
        <v>2488</v>
      </c>
      <c r="BH225" s="4" t="n">
        <v>2197</v>
      </c>
      <c r="BI225" s="4" t="n">
        <v>2103</v>
      </c>
      <c r="BJ225" s="4" t="n">
        <v>2067</v>
      </c>
      <c r="BK225" s="4" t="n">
        <v>2256</v>
      </c>
      <c r="BL225" s="4" t="n">
        <v>2411</v>
      </c>
    </row>
    <row r="226">
      <c r="A226" s="65" t="inlineStr">
        <is>
          <t>2267</t>
        </is>
      </c>
      <c r="B226" s="4">
        <f>銘柄管理!C226</f>
        <v/>
      </c>
      <c r="C226" s="4">
        <f>_xll.RssMarket("2267","現在値")</f>
        <v/>
      </c>
      <c r="E226" s="70" t="n">
        <v>2705</v>
      </c>
      <c r="F226" s="4" t="n">
        <v>2703</v>
      </c>
      <c r="G226" s="4" t="n">
        <v>2619.5</v>
      </c>
      <c r="H226" s="4" t="n">
        <v>2634.5</v>
      </c>
      <c r="I226" s="4" t="n">
        <v>2667</v>
      </c>
      <c r="J226" s="4" t="n">
        <v>2658</v>
      </c>
      <c r="K226" s="4" t="n">
        <v>2682</v>
      </c>
      <c r="L226" s="4" t="n">
        <v>2675</v>
      </c>
      <c r="M226" s="4" t="n">
        <v>2630</v>
      </c>
      <c r="N226" s="4" t="n">
        <v>2684.5</v>
      </c>
      <c r="O226" s="4" t="n">
        <v>2714</v>
      </c>
      <c r="P226" s="4" t="n">
        <v>2683.5</v>
      </c>
      <c r="Q226" s="4" t="n">
        <v>2757.5</v>
      </c>
      <c r="R226" s="4" t="n">
        <v>2681.5</v>
      </c>
      <c r="S226" s="4" t="n">
        <v>2720.5</v>
      </c>
      <c r="T226" s="4" t="n">
        <v>2733.5</v>
      </c>
      <c r="U226" s="4" t="n">
        <v>2773.5</v>
      </c>
      <c r="V226" s="4" t="n">
        <v>2806.5</v>
      </c>
      <c r="W226" s="4" t="n">
        <v>2765</v>
      </c>
      <c r="X226" s="4" t="n">
        <v>2772.5</v>
      </c>
      <c r="Y226" s="4" t="n">
        <v>2811</v>
      </c>
      <c r="Z226" s="4" t="n">
        <v>2713</v>
      </c>
      <c r="AA226" s="4" t="n">
        <v>2761.5</v>
      </c>
      <c r="AB226" s="4" t="n">
        <v>2784.5</v>
      </c>
      <c r="AC226" s="4" t="n">
        <v>2800.5</v>
      </c>
      <c r="AD226" s="4" t="n">
        <v>2620</v>
      </c>
      <c r="AE226" s="4" t="n">
        <v>2906</v>
      </c>
      <c r="AF226" s="4" t="n">
        <v>2924.5</v>
      </c>
      <c r="AG226" s="4" t="n">
        <v>2961.5</v>
      </c>
      <c r="AH226" s="4" t="n">
        <v>3087</v>
      </c>
      <c r="AI226" s="4" t="n">
        <v>2732.5</v>
      </c>
      <c r="AJ226" s="4" t="n">
        <v>2722.5</v>
      </c>
      <c r="AK226" s="4" t="n">
        <v>2732.5</v>
      </c>
      <c r="AL226" s="4" t="n">
        <v>2768.5</v>
      </c>
      <c r="AM226" s="4" t="n">
        <v>2622.5</v>
      </c>
      <c r="AN226" s="4" t="n">
        <v>2600</v>
      </c>
      <c r="AO226" s="4" t="n">
        <v>2608.5</v>
      </c>
      <c r="AP226" s="4" t="n">
        <v>2620.5</v>
      </c>
      <c r="AQ226" s="4" t="n">
        <v>2644.5</v>
      </c>
      <c r="AR226" s="4" t="n">
        <v>2654</v>
      </c>
      <c r="AS226" s="4" t="n">
        <v>2720</v>
      </c>
      <c r="AT226" s="4" t="n">
        <v>2628.5</v>
      </c>
      <c r="AU226" s="4" t="n">
        <v>2638</v>
      </c>
      <c r="AV226" s="4" t="n">
        <v>2647</v>
      </c>
      <c r="AW226" s="4" t="n">
        <v>2701</v>
      </c>
      <c r="AX226" s="4" t="n">
        <v>2775</v>
      </c>
      <c r="AY226" s="4" t="n">
        <v>2755.5</v>
      </c>
      <c r="AZ226" s="4" t="n">
        <v>2726</v>
      </c>
      <c r="BA226" s="4" t="n">
        <v>2701</v>
      </c>
      <c r="BB226" s="4" t="n">
        <v>2680</v>
      </c>
      <c r="BC226" s="4" t="n">
        <v>2671.5</v>
      </c>
      <c r="BD226" s="4" t="n">
        <v>2660</v>
      </c>
      <c r="BE226" s="4" t="n">
        <v>2659</v>
      </c>
      <c r="BF226" s="4" t="n">
        <v>2670.5</v>
      </c>
      <c r="BG226" s="4" t="n">
        <v>2641</v>
      </c>
      <c r="BH226" s="4" t="n">
        <v>2600</v>
      </c>
      <c r="BI226" s="4" t="n">
        <v>2595.5</v>
      </c>
      <c r="BJ226" s="4" t="n">
        <v>2585</v>
      </c>
      <c r="BK226" s="4" t="n">
        <v>2581.5</v>
      </c>
      <c r="BL226" s="4" t="n">
        <v>2628.5</v>
      </c>
    </row>
    <row r="227">
      <c r="A227" s="65" t="inlineStr">
        <is>
          <t>1618</t>
        </is>
      </c>
      <c r="B227" s="4">
        <f>銘柄管理!C227</f>
        <v/>
      </c>
      <c r="C227" s="4">
        <f>_xll.RssMarket("1618","現在値")</f>
        <v/>
      </c>
      <c r="E227" s="70" t="n">
        <v>32520</v>
      </c>
      <c r="F227" s="4" t="n">
        <v>32950</v>
      </c>
      <c r="G227" s="4" t="n">
        <v>32410</v>
      </c>
      <c r="H227" s="4" t="n">
        <v>32260</v>
      </c>
      <c r="I227" s="4" t="n">
        <v>32420</v>
      </c>
      <c r="J227" s="4" t="n">
        <v>32910</v>
      </c>
      <c r="K227" s="4" t="n">
        <v>32130</v>
      </c>
      <c r="L227" s="4" t="n">
        <v>33540</v>
      </c>
      <c r="M227" s="4" t="n">
        <v>34010</v>
      </c>
      <c r="N227" s="4" t="n">
        <v>33900</v>
      </c>
      <c r="O227" s="4" t="n">
        <v>34900</v>
      </c>
      <c r="P227" s="4" t="n">
        <v>33640</v>
      </c>
      <c r="Q227" s="4" t="n">
        <v>32850</v>
      </c>
      <c r="R227" s="4" t="n">
        <v>34020</v>
      </c>
      <c r="S227" s="4" t="n">
        <v>34140</v>
      </c>
      <c r="T227" s="4" t="n">
        <v>34190</v>
      </c>
      <c r="U227" s="4" t="n">
        <v>34050</v>
      </c>
      <c r="V227" s="4" t="n">
        <v>34840</v>
      </c>
      <c r="W227" s="4" t="n">
        <v>35000</v>
      </c>
      <c r="X227" s="4" t="n">
        <v>35570</v>
      </c>
      <c r="Y227" s="4" t="n">
        <v>36050</v>
      </c>
      <c r="Z227" s="4" t="n">
        <v>35830</v>
      </c>
      <c r="AA227" s="4" t="n">
        <v>36390</v>
      </c>
      <c r="AB227" s="4" t="n">
        <v>35670</v>
      </c>
      <c r="AC227" s="4" t="n">
        <v>36000</v>
      </c>
      <c r="AD227" s="4" t="n">
        <v>36560</v>
      </c>
      <c r="AE227" s="4" t="n">
        <v>35330</v>
      </c>
      <c r="AF227" s="4" t="n">
        <v>34850</v>
      </c>
      <c r="AG227" s="4" t="n">
        <v>35260</v>
      </c>
      <c r="AH227" s="4" t="n">
        <v>36430</v>
      </c>
      <c r="AI227" s="4" t="n">
        <v>36110</v>
      </c>
      <c r="AJ227" s="4" t="n">
        <v>36200</v>
      </c>
      <c r="AK227" s="4" t="n">
        <v>35000</v>
      </c>
      <c r="AL227" s="4" t="n">
        <v>36020</v>
      </c>
      <c r="AM227" s="4" t="n">
        <v>35630</v>
      </c>
      <c r="AN227" s="4" t="n">
        <v>35340</v>
      </c>
      <c r="AO227" s="4" t="n">
        <v>35700</v>
      </c>
      <c r="AP227" s="4" t="n">
        <v>36070</v>
      </c>
      <c r="AQ227" s="4" t="n">
        <v>37180</v>
      </c>
      <c r="AR227" s="4" t="n">
        <v>37580</v>
      </c>
      <c r="AS227" s="4" t="n">
        <v>38060</v>
      </c>
      <c r="AT227" s="4" t="n">
        <v>38660</v>
      </c>
      <c r="AU227" s="4" t="n">
        <v>39070</v>
      </c>
      <c r="AV227" s="4" t="n">
        <v>38600</v>
      </c>
      <c r="AW227" s="4" t="n">
        <v>39100</v>
      </c>
      <c r="AX227" s="4" t="n">
        <v>39320</v>
      </c>
      <c r="AY227" s="4" t="n">
        <v>40620</v>
      </c>
      <c r="AZ227" s="4" t="n">
        <v>40740</v>
      </c>
      <c r="BA227" s="4" t="n">
        <v>41000</v>
      </c>
      <c r="BB227" s="4" t="n">
        <v>40380</v>
      </c>
      <c r="BC227" s="4" t="n">
        <v>41460</v>
      </c>
      <c r="BD227" s="4" t="n">
        <v>40440</v>
      </c>
      <c r="BE227" s="4" t="n">
        <v>41540</v>
      </c>
      <c r="BF227" s="4" t="n">
        <v>41240</v>
      </c>
      <c r="BG227" s="4" t="n">
        <v>40000</v>
      </c>
      <c r="BH227" s="4" t="n">
        <v>38510</v>
      </c>
      <c r="BI227" s="4" t="n">
        <v>38700</v>
      </c>
      <c r="BJ227" s="4" t="n">
        <v>37440</v>
      </c>
      <c r="BK227" s="4" t="n">
        <v>39830</v>
      </c>
      <c r="BL227" s="4" t="n">
        <v>40650</v>
      </c>
    </row>
    <row r="228">
      <c r="A228" s="65" t="inlineStr">
        <is>
          <t>3696</t>
        </is>
      </c>
      <c r="C228" s="4">
        <f>_xll.RssMarket("3696","現在値")</f>
        <v/>
      </c>
      <c r="E228" s="70" t="n">
        <v>1734</v>
      </c>
      <c r="F228" s="4" t="n">
        <v>1751</v>
      </c>
      <c r="G228" s="4" t="n">
        <v>1806</v>
      </c>
      <c r="H228" s="4" t="n">
        <v>1782</v>
      </c>
      <c r="I228" s="4" t="n">
        <v>1781</v>
      </c>
      <c r="J228" s="4" t="n">
        <v>1775</v>
      </c>
      <c r="K228" s="4" t="n">
        <v>1769</v>
      </c>
      <c r="L228" s="4" t="n">
        <v>1726</v>
      </c>
      <c r="M228" s="4" t="n">
        <v>1789</v>
      </c>
      <c r="N228" s="4" t="n">
        <v>1731</v>
      </c>
      <c r="O228" s="4" t="n">
        <v>1783</v>
      </c>
      <c r="P228" s="4" t="n">
        <v>1885</v>
      </c>
      <c r="Q228" s="4" t="n">
        <v>1832</v>
      </c>
      <c r="R228" s="4" t="n">
        <v>1798</v>
      </c>
      <c r="S228" s="4" t="n">
        <v>1736</v>
      </c>
      <c r="T228" s="4" t="n">
        <v>1709</v>
      </c>
      <c r="U228" s="4" t="n">
        <v>1775</v>
      </c>
      <c r="V228" s="4" t="n">
        <v>1801</v>
      </c>
      <c r="W228" s="4" t="n">
        <v>1838</v>
      </c>
      <c r="X228" s="4" t="n">
        <v>1790</v>
      </c>
      <c r="Y228" s="4" t="n">
        <v>1889</v>
      </c>
      <c r="Z228" s="4" t="n">
        <v>1888</v>
      </c>
      <c r="AA228" s="4" t="n">
        <v>1914</v>
      </c>
      <c r="AB228" s="4" t="n">
        <v>1847</v>
      </c>
      <c r="AC228" s="4" t="n">
        <v>1907</v>
      </c>
      <c r="AD228" s="4" t="n">
        <v>4330</v>
      </c>
      <c r="AE228" s="4" t="n">
        <v>4225</v>
      </c>
      <c r="AF228" s="4" t="n">
        <v>4140</v>
      </c>
      <c r="AG228" s="4" t="n">
        <v>4155</v>
      </c>
      <c r="AH228" s="4" t="n">
        <v>3885</v>
      </c>
      <c r="AI228" s="4" t="n">
        <v>3920</v>
      </c>
      <c r="AJ228" s="4" t="n">
        <v>4045</v>
      </c>
      <c r="AK228" s="4" t="n">
        <v>3905</v>
      </c>
      <c r="AL228" s="4" t="n">
        <v>3985</v>
      </c>
      <c r="AM228" s="4" t="n">
        <v>4255</v>
      </c>
      <c r="AN228" s="4" t="n">
        <v>4525</v>
      </c>
      <c r="AO228" s="4" t="n">
        <v>4745</v>
      </c>
      <c r="AP228" s="4" t="n">
        <v>4585</v>
      </c>
      <c r="AQ228" s="4" t="n">
        <v>4445</v>
      </c>
      <c r="AR228" s="4" t="n">
        <v>4495</v>
      </c>
      <c r="AS228" s="4" t="n">
        <v>4380</v>
      </c>
      <c r="AT228" s="4" t="n">
        <v>4255</v>
      </c>
      <c r="AU228" s="4" t="n">
        <v>4170</v>
      </c>
      <c r="AV228" s="4" t="n">
        <v>4445</v>
      </c>
      <c r="AW228" s="4" t="n">
        <v>4425</v>
      </c>
      <c r="AX228" s="4" t="n">
        <v>4655</v>
      </c>
      <c r="AY228" s="4" t="n">
        <v>4780</v>
      </c>
      <c r="AZ228" s="4" t="n">
        <v>4655</v>
      </c>
      <c r="BA228" s="4" t="n">
        <v>4625</v>
      </c>
      <c r="BB228" s="4" t="n">
        <v>4530</v>
      </c>
      <c r="BC228" s="4" t="n">
        <v>4445</v>
      </c>
      <c r="BD228" s="4" t="n">
        <v>4200</v>
      </c>
      <c r="BE228" s="4" t="n">
        <v>4205</v>
      </c>
      <c r="BF228" s="4" t="n">
        <v>4280</v>
      </c>
      <c r="BG228" s="4" t="n">
        <v>4110</v>
      </c>
      <c r="BH228" s="4" t="n">
        <v>4250</v>
      </c>
      <c r="BI228" s="4" t="n">
        <v>4145</v>
      </c>
      <c r="BJ228" s="4" t="n">
        <v>4005</v>
      </c>
      <c r="BK228" s="4" t="n">
        <v>4240</v>
      </c>
      <c r="BL228" s="4" t="n">
        <v>4510</v>
      </c>
    </row>
    <row r="229">
      <c r="A229" s="65" t="inlineStr">
        <is>
          <t>4222</t>
        </is>
      </c>
      <c r="B229" s="4">
        <f>銘柄管理!C229</f>
        <v/>
      </c>
      <c r="C229" s="4">
        <f>_xll.RssMarket("4222","現在値")</f>
        <v/>
      </c>
      <c r="E229" s="70" t="n">
        <v>718</v>
      </c>
      <c r="F229" s="4" t="n">
        <v>707</v>
      </c>
      <c r="G229" s="4" t="n">
        <v>723</v>
      </c>
      <c r="H229" s="4" t="n">
        <v>691</v>
      </c>
      <c r="I229" s="4" t="n">
        <v>654</v>
      </c>
      <c r="J229" s="4" t="n">
        <v>660</v>
      </c>
      <c r="K229" s="4" t="n">
        <v>665</v>
      </c>
      <c r="L229" s="4" t="n">
        <v>693</v>
      </c>
      <c r="M229" s="4" t="n">
        <v>714</v>
      </c>
      <c r="N229" s="4" t="n">
        <v>697</v>
      </c>
      <c r="O229" s="4" t="n">
        <v>715</v>
      </c>
      <c r="P229" s="4" t="n">
        <v>688</v>
      </c>
      <c r="Q229" s="4" t="n">
        <v>713</v>
      </c>
      <c r="R229" s="4" t="n">
        <v>731</v>
      </c>
      <c r="S229" s="4" t="n">
        <v>744</v>
      </c>
      <c r="T229" s="4" t="n">
        <v>755</v>
      </c>
      <c r="U229" s="4" t="n">
        <v>791</v>
      </c>
      <c r="V229" s="4" t="n">
        <v>788</v>
      </c>
      <c r="W229" s="4" t="n">
        <v>800</v>
      </c>
      <c r="X229" s="4" t="n">
        <v>809</v>
      </c>
      <c r="Y229" s="4" t="n">
        <v>855</v>
      </c>
      <c r="Z229" s="4" t="n">
        <v>859</v>
      </c>
      <c r="AA229" s="4" t="n">
        <v>894</v>
      </c>
      <c r="AB229" s="4" t="n">
        <v>1194</v>
      </c>
      <c r="AC229" s="4" t="n">
        <v>1235</v>
      </c>
      <c r="AD229" s="4" t="n">
        <v>1266</v>
      </c>
      <c r="AE229" s="4" t="n">
        <v>1262</v>
      </c>
      <c r="AF229" s="4" t="n">
        <v>1165</v>
      </c>
      <c r="AG229" s="4" t="n">
        <v>1146</v>
      </c>
      <c r="AH229" s="4" t="n">
        <v>1109</v>
      </c>
      <c r="AI229" s="4" t="n">
        <v>1118</v>
      </c>
      <c r="AJ229" s="4" t="n">
        <v>1124</v>
      </c>
      <c r="AK229" s="4" t="n">
        <v>1140</v>
      </c>
      <c r="AL229" s="4" t="n">
        <v>1149</v>
      </c>
      <c r="AM229" s="4" t="n">
        <v>1134</v>
      </c>
      <c r="AN229" s="4" t="n">
        <v>1159</v>
      </c>
      <c r="AO229" s="4" t="n">
        <v>1186</v>
      </c>
      <c r="AP229" s="4" t="n">
        <v>1199</v>
      </c>
      <c r="AQ229" s="4" t="n">
        <v>1151</v>
      </c>
      <c r="AR229" s="4" t="n">
        <v>1160</v>
      </c>
      <c r="AS229" s="4" t="n">
        <v>1140</v>
      </c>
      <c r="AT229" s="4" t="n">
        <v>1138</v>
      </c>
      <c r="AU229" s="4" t="n">
        <v>1121</v>
      </c>
      <c r="AV229" s="4" t="n">
        <v>1108</v>
      </c>
      <c r="AW229" s="4" t="n">
        <v>1119</v>
      </c>
      <c r="AX229" s="4" t="n">
        <v>1140</v>
      </c>
      <c r="AY229" s="4" t="n">
        <v>1017</v>
      </c>
      <c r="AZ229" s="4" t="n">
        <v>1045</v>
      </c>
      <c r="BA229" s="4" t="n">
        <v>1015</v>
      </c>
      <c r="BB229" s="4" t="n">
        <v>988</v>
      </c>
      <c r="BC229" s="4" t="n">
        <v>1020</v>
      </c>
      <c r="BD229" s="4" t="n">
        <v>991</v>
      </c>
      <c r="BE229" s="4" t="n">
        <v>1020</v>
      </c>
      <c r="BF229" s="4" t="n">
        <v>1091</v>
      </c>
      <c r="BG229" s="4" t="n">
        <v>1062</v>
      </c>
      <c r="BH229" s="4" t="n">
        <v>1069</v>
      </c>
      <c r="BI229" s="4" t="n">
        <v>1017</v>
      </c>
      <c r="BJ229" s="4" t="n">
        <v>955</v>
      </c>
      <c r="BK229" s="4" t="n">
        <v>1036</v>
      </c>
      <c r="BL229" s="4" t="n">
        <v>1096</v>
      </c>
    </row>
    <row r="230">
      <c r="A230" s="65" t="inlineStr">
        <is>
          <t>3563</t>
        </is>
      </c>
      <c r="B230" s="4">
        <f>銘柄管理!C230</f>
        <v/>
      </c>
      <c r="C230" s="4">
        <f>_xll.RssMarket("3563","現在値")</f>
        <v/>
      </c>
      <c r="E230" s="4" t="n">
        <v>9329</v>
      </c>
      <c r="F230" s="4" t="n">
        <v>9250</v>
      </c>
      <c r="G230" s="4" t="n">
        <v>9696</v>
      </c>
      <c r="H230" s="4" t="n">
        <v>10150</v>
      </c>
      <c r="I230" s="4" t="n">
        <v>9987</v>
      </c>
      <c r="J230" s="4" t="n">
        <v>9781</v>
      </c>
      <c r="K230" s="4" t="n">
        <v>9863</v>
      </c>
      <c r="L230" s="4" t="n">
        <v>9735</v>
      </c>
      <c r="M230" s="4" t="n">
        <v>9887</v>
      </c>
      <c r="N230" s="4" t="n">
        <v>9841</v>
      </c>
      <c r="O230" s="4" t="n">
        <v>10445</v>
      </c>
      <c r="P230" s="4" t="n">
        <v>10475</v>
      </c>
      <c r="Q230" s="4" t="n">
        <v>10595</v>
      </c>
      <c r="R230" s="4" t="n">
        <v>10875</v>
      </c>
      <c r="S230" s="4" t="n">
        <v>10390</v>
      </c>
      <c r="T230" s="4" t="n">
        <v>10085</v>
      </c>
      <c r="U230" s="4" t="n">
        <v>10195</v>
      </c>
      <c r="V230" s="4" t="n">
        <v>10825</v>
      </c>
      <c r="W230" s="4" t="n">
        <v>10600</v>
      </c>
      <c r="X230" s="4" t="n">
        <v>10765</v>
      </c>
      <c r="Y230" s="4" t="n">
        <v>10725</v>
      </c>
      <c r="Z230" s="4" t="n">
        <v>10465</v>
      </c>
      <c r="AA230" s="4" t="n">
        <v>10340</v>
      </c>
      <c r="AB230" s="4" t="n">
        <v>10695</v>
      </c>
      <c r="AC230" s="4" t="n">
        <v>10800</v>
      </c>
      <c r="AD230" s="4" t="n">
        <v>10375</v>
      </c>
      <c r="AE230" s="4" t="n">
        <v>10310</v>
      </c>
      <c r="AF230" s="4" t="n">
        <v>10300</v>
      </c>
      <c r="AG230" s="4" t="n">
        <v>9582</v>
      </c>
      <c r="AH230" s="4" t="n">
        <v>9162</v>
      </c>
      <c r="AI230" s="4" t="n">
        <v>9074</v>
      </c>
      <c r="AJ230" s="4" t="n">
        <v>9014</v>
      </c>
      <c r="AK230" s="4" t="n">
        <v>9138</v>
      </c>
      <c r="AL230" s="4" t="n">
        <v>9119</v>
      </c>
      <c r="AM230" s="4" t="n">
        <v>9148</v>
      </c>
      <c r="AN230" s="4" t="n">
        <v>9139</v>
      </c>
      <c r="AO230" s="4" t="n">
        <v>9397</v>
      </c>
      <c r="AP230" s="4" t="n">
        <v>9497</v>
      </c>
      <c r="AQ230" s="4" t="n">
        <v>9256</v>
      </c>
      <c r="AR230" s="4" t="n">
        <v>9493</v>
      </c>
      <c r="AS230" s="4" t="n">
        <v>9518</v>
      </c>
      <c r="AT230" s="4" t="n">
        <v>9598</v>
      </c>
      <c r="AU230" s="4" t="n">
        <v>9582</v>
      </c>
      <c r="AV230" s="4" t="n">
        <v>9588</v>
      </c>
      <c r="AW230" s="4" t="n">
        <v>9394</v>
      </c>
      <c r="AX230" s="4" t="n">
        <v>9634</v>
      </c>
      <c r="AY230" s="4" t="n">
        <v>9537</v>
      </c>
      <c r="AZ230" s="4" t="n">
        <v>9611</v>
      </c>
      <c r="BA230" s="4" t="n">
        <v>9751</v>
      </c>
      <c r="BB230" s="4" t="n">
        <v>9611</v>
      </c>
      <c r="BC230" s="4" t="n">
        <v>9725</v>
      </c>
      <c r="BD230" s="4" t="n">
        <v>9270</v>
      </c>
      <c r="BE230" s="4" t="n">
        <v>9463</v>
      </c>
      <c r="BF230" s="4" t="n">
        <v>9753</v>
      </c>
      <c r="BG230" s="4" t="n">
        <v>9899</v>
      </c>
      <c r="BH230" s="4" t="n">
        <v>10050</v>
      </c>
      <c r="BI230" s="4" t="n">
        <v>9851</v>
      </c>
      <c r="BJ230" s="4" t="n">
        <v>9429</v>
      </c>
      <c r="BK230" s="4" t="n">
        <v>9510</v>
      </c>
      <c r="BL230" s="4" t="n">
        <v>9717</v>
      </c>
    </row>
    <row r="231">
      <c r="A231" s="65" t="inlineStr">
        <is>
          <t>7013</t>
        </is>
      </c>
      <c r="B231" s="4">
        <f>銘柄管理!C231</f>
        <v/>
      </c>
      <c r="C231" s="4">
        <f>_xll.RssMarket("7013","現在値")</f>
        <v/>
      </c>
      <c r="E231" s="4" t="n">
        <v>2816.5</v>
      </c>
      <c r="F231" s="4" t="n">
        <v>2817</v>
      </c>
      <c r="G231" s="4" t="n">
        <v>2916.5</v>
      </c>
      <c r="H231" s="4" t="n">
        <v>2774.5</v>
      </c>
      <c r="I231" s="4" t="n">
        <v>2430</v>
      </c>
      <c r="J231" s="4" t="n">
        <v>2358</v>
      </c>
      <c r="K231" s="4" t="n">
        <v>2439.5</v>
      </c>
      <c r="L231" s="4" t="n">
        <v>2505</v>
      </c>
      <c r="M231" s="4" t="n">
        <v>2574</v>
      </c>
      <c r="N231" s="4" t="n">
        <v>2538.5</v>
      </c>
      <c r="O231" s="4" t="n">
        <v>2486.5</v>
      </c>
      <c r="P231" s="4" t="n">
        <v>2588.5</v>
      </c>
      <c r="Q231" s="4" t="n">
        <v>2694</v>
      </c>
      <c r="R231" s="4" t="n">
        <v>2766.5</v>
      </c>
      <c r="S231" s="4" t="n">
        <v>2730</v>
      </c>
      <c r="T231" s="4" t="n">
        <v>2818</v>
      </c>
      <c r="U231" s="4" t="n">
        <v>2839.5</v>
      </c>
      <c r="V231" s="4" t="n">
        <v>2761</v>
      </c>
      <c r="W231" s="4" t="n">
        <v>2675</v>
      </c>
      <c r="X231" s="4" t="n">
        <v>2554.5</v>
      </c>
      <c r="Y231" s="4" t="n">
        <v>2561</v>
      </c>
      <c r="Z231" s="4" t="n">
        <v>2670.5</v>
      </c>
      <c r="AA231" s="4" t="n">
        <v>2685</v>
      </c>
      <c r="AB231" s="4" t="n">
        <v>2679.5</v>
      </c>
      <c r="AC231" s="4" t="n">
        <v>2832.5</v>
      </c>
      <c r="AD231" s="4" t="n">
        <v>2806</v>
      </c>
      <c r="AE231" s="4" t="n">
        <v>2870</v>
      </c>
      <c r="AF231" s="4" t="n">
        <v>3059</v>
      </c>
      <c r="AG231" s="4" t="n">
        <v>3045</v>
      </c>
      <c r="AH231" s="4" t="n">
        <v>2880</v>
      </c>
      <c r="AI231" s="4" t="n">
        <v>2853</v>
      </c>
      <c r="AJ231" s="4" t="n">
        <v>2959.5</v>
      </c>
      <c r="AK231" s="4" t="n">
        <v>2901</v>
      </c>
      <c r="AL231" s="4" t="n">
        <v>2995</v>
      </c>
      <c r="AM231" s="4" t="n">
        <v>3027</v>
      </c>
      <c r="AN231" s="4" t="n">
        <v>3054</v>
      </c>
      <c r="AO231" s="4" t="n">
        <v>3087</v>
      </c>
      <c r="AP231" s="4" t="n">
        <v>3153</v>
      </c>
      <c r="AQ231" s="4" t="n">
        <v>3120</v>
      </c>
      <c r="AR231" s="4" t="n">
        <v>3210</v>
      </c>
      <c r="AS231" s="4" t="n">
        <v>3153</v>
      </c>
      <c r="AT231" s="4" t="n">
        <v>3293</v>
      </c>
      <c r="AU231" s="4" t="n">
        <v>3281</v>
      </c>
      <c r="AV231" s="4" t="n">
        <v>3303</v>
      </c>
      <c r="AW231" s="4" t="n">
        <v>3391</v>
      </c>
      <c r="AX231" s="4" t="n">
        <v>3442</v>
      </c>
      <c r="AY231" s="4" t="n">
        <v>3341</v>
      </c>
      <c r="AZ231" s="4" t="n">
        <v>3301</v>
      </c>
      <c r="BA231" s="4" t="n">
        <v>3400</v>
      </c>
      <c r="BB231" s="4" t="n">
        <v>3380</v>
      </c>
      <c r="BC231" s="4" t="n">
        <v>3330</v>
      </c>
      <c r="BD231" s="4" t="n">
        <v>3138</v>
      </c>
      <c r="BE231" s="4" t="n">
        <v>3308</v>
      </c>
      <c r="BF231" s="4" t="n">
        <v>3500</v>
      </c>
      <c r="BG231" s="4" t="n">
        <v>3487</v>
      </c>
      <c r="BH231" s="4" t="n">
        <v>3510</v>
      </c>
      <c r="BI231" s="4" t="n">
        <v>3419</v>
      </c>
      <c r="BJ231" s="4" t="n">
        <v>3470</v>
      </c>
      <c r="BK231" s="4" t="n">
        <v>3769</v>
      </c>
      <c r="BL231" s="4" t="n">
        <v>3930</v>
      </c>
    </row>
    <row r="232">
      <c r="A232" s="65" t="inlineStr">
        <is>
          <t>8793</t>
        </is>
      </c>
      <c r="B232" s="4">
        <f>銘柄管理!C232</f>
        <v/>
      </c>
      <c r="C232" s="4">
        <f>_xll.RssMarket("8793","現在値")</f>
        <v/>
      </c>
      <c r="E232" s="4" t="n">
        <v>4065</v>
      </c>
      <c r="F232" s="4" t="n">
        <v>4100</v>
      </c>
      <c r="G232" s="4" t="n">
        <v>4135</v>
      </c>
      <c r="H232" s="4" t="n">
        <v>4175</v>
      </c>
      <c r="I232" s="4" t="n">
        <v>4105</v>
      </c>
      <c r="J232" s="4" t="n">
        <v>4130</v>
      </c>
      <c r="K232" s="4" t="n">
        <v>4025</v>
      </c>
      <c r="L232" s="4" t="n">
        <v>4045</v>
      </c>
      <c r="M232" s="4" t="n">
        <v>3945</v>
      </c>
      <c r="N232" s="4" t="n">
        <v>3930</v>
      </c>
      <c r="O232" s="4" t="n">
        <v>3870</v>
      </c>
      <c r="P232" s="4" t="n">
        <v>3910</v>
      </c>
      <c r="Q232" s="4" t="n">
        <v>3970</v>
      </c>
      <c r="R232" s="4" t="n">
        <v>3960</v>
      </c>
      <c r="S232" s="4" t="n">
        <v>3940</v>
      </c>
      <c r="T232" s="4" t="n">
        <v>3950</v>
      </c>
      <c r="U232" s="4" t="n">
        <v>3985</v>
      </c>
      <c r="V232" s="4" t="n">
        <v>4010</v>
      </c>
      <c r="W232" s="4" t="n">
        <v>3965</v>
      </c>
      <c r="X232" s="4" t="n">
        <v>3970</v>
      </c>
      <c r="Y232" s="4" t="n">
        <v>3910</v>
      </c>
      <c r="Z232" s="4" t="n">
        <v>3975</v>
      </c>
      <c r="AA232" s="4" t="n">
        <v>3990</v>
      </c>
      <c r="AB232" s="4" t="n">
        <v>4015</v>
      </c>
      <c r="AC232" s="4" t="n">
        <v>4020</v>
      </c>
      <c r="AD232" s="4" t="n">
        <v>4035</v>
      </c>
      <c r="AE232" s="4" t="n">
        <v>4055</v>
      </c>
      <c r="AF232" s="4" t="n">
        <v>4040</v>
      </c>
      <c r="AG232" s="4" t="n">
        <v>4000</v>
      </c>
      <c r="AH232" s="4" t="n">
        <v>4055</v>
      </c>
      <c r="AI232" s="4" t="n">
        <v>4265</v>
      </c>
      <c r="AJ232" s="4" t="n">
        <v>4165</v>
      </c>
      <c r="AK232" s="4" t="n">
        <v>4265</v>
      </c>
      <c r="AL232" s="4" t="n">
        <v>4195</v>
      </c>
      <c r="AM232" s="4" t="n">
        <v>4215</v>
      </c>
      <c r="AN232" s="4" t="n">
        <v>4255</v>
      </c>
      <c r="AO232" s="4" t="n">
        <v>4285</v>
      </c>
      <c r="AP232" s="4" t="n">
        <v>4265</v>
      </c>
      <c r="AQ232" s="4" t="n">
        <v>4280</v>
      </c>
      <c r="AR232" s="4" t="n">
        <v>4275</v>
      </c>
      <c r="AS232" s="4" t="n">
        <v>4215</v>
      </c>
      <c r="AT232" s="4" t="n">
        <v>4170</v>
      </c>
      <c r="AU232" s="4" t="n">
        <v>4170</v>
      </c>
      <c r="AV232" s="4" t="n">
        <v>4205</v>
      </c>
      <c r="AW232" s="4" t="n">
        <v>4265</v>
      </c>
      <c r="AX232" s="4" t="n">
        <v>4225</v>
      </c>
      <c r="AY232" s="4" t="n">
        <v>4160</v>
      </c>
      <c r="AZ232" s="4" t="n">
        <v>4165</v>
      </c>
      <c r="BA232" s="4" t="n">
        <v>4150</v>
      </c>
      <c r="BB232" s="4" t="n">
        <v>4115</v>
      </c>
      <c r="BC232" s="4" t="n">
        <v>4045</v>
      </c>
      <c r="BD232" s="4" t="n">
        <v>4030</v>
      </c>
      <c r="BE232" s="4" t="n">
        <v>4165</v>
      </c>
      <c r="BF232" s="4" t="n">
        <v>4165</v>
      </c>
      <c r="BG232" s="4" t="n">
        <v>4190</v>
      </c>
      <c r="BH232" s="4" t="n">
        <v>4100</v>
      </c>
      <c r="BI232" s="4" t="n">
        <v>4035</v>
      </c>
      <c r="BJ232" s="4" t="n">
        <v>4100</v>
      </c>
      <c r="BK232" s="4" t="n">
        <v>4160</v>
      </c>
      <c r="BL232" s="4" t="n">
        <v>4075</v>
      </c>
    </row>
    <row r="233">
      <c r="A233" s="65" t="inlineStr">
        <is>
          <t>9962</t>
        </is>
      </c>
      <c r="B233" s="4">
        <f>銘柄管理!C233</f>
        <v/>
      </c>
      <c r="C233" s="4">
        <f>_xll.RssMarket("9962","現在値")</f>
        <v/>
      </c>
      <c r="E233" s="4" t="n">
        <v>3860</v>
      </c>
      <c r="F233" s="4" t="n">
        <v>3850</v>
      </c>
      <c r="G233" s="4" t="n">
        <v>3859</v>
      </c>
      <c r="H233" s="4" t="n">
        <v>3875</v>
      </c>
      <c r="I233" s="4" t="n">
        <v>3705</v>
      </c>
      <c r="J233" s="4" t="n">
        <v>3645</v>
      </c>
      <c r="K233" s="4" t="n">
        <v>3638</v>
      </c>
      <c r="L233" s="4" t="n">
        <v>3611</v>
      </c>
      <c r="M233" s="4" t="n">
        <v>3742</v>
      </c>
      <c r="N233" s="4" t="n">
        <v>3768</v>
      </c>
      <c r="O233" s="4" t="n">
        <v>3828</v>
      </c>
      <c r="P233" s="4" t="n">
        <v>3627</v>
      </c>
      <c r="Q233" s="4" t="n">
        <v>3675</v>
      </c>
      <c r="R233" s="4" t="n">
        <v>3773</v>
      </c>
      <c r="S233" s="4" t="n">
        <v>3635</v>
      </c>
      <c r="T233" s="4" t="n">
        <v>3555</v>
      </c>
      <c r="U233" s="4" t="n">
        <v>3509</v>
      </c>
      <c r="V233" s="4" t="n">
        <v>3376</v>
      </c>
      <c r="W233" s="4" t="n">
        <v>3227</v>
      </c>
      <c r="X233" s="4" t="n">
        <v>3129</v>
      </c>
      <c r="Y233" s="4" t="n">
        <v>3151</v>
      </c>
      <c r="Z233" s="4" t="n">
        <v>3229</v>
      </c>
      <c r="AA233" s="4" t="n">
        <v>3374</v>
      </c>
      <c r="AB233" s="4" t="n">
        <v>3289</v>
      </c>
      <c r="AC233" s="4" t="n">
        <v>3382</v>
      </c>
      <c r="AD233" s="4" t="n">
        <v>3426</v>
      </c>
      <c r="AE233" s="4" t="n">
        <v>3490</v>
      </c>
      <c r="AF233" s="4" t="n">
        <v>3452</v>
      </c>
      <c r="AG233" s="4" t="n">
        <v>3428</v>
      </c>
      <c r="AH233" s="4" t="n">
        <v>3589</v>
      </c>
      <c r="AI233" s="4" t="n">
        <v>3335</v>
      </c>
      <c r="AJ233" s="4" t="n">
        <v>3393</v>
      </c>
      <c r="AK233" s="4" t="n">
        <v>3042</v>
      </c>
      <c r="AL233" s="4" t="n">
        <v>3001</v>
      </c>
      <c r="AM233" s="4" t="n">
        <v>3090</v>
      </c>
      <c r="AN233" s="4" t="n">
        <v>3111</v>
      </c>
      <c r="AO233" s="4" t="n">
        <v>3132</v>
      </c>
      <c r="AP233" s="4" t="n">
        <v>3051</v>
      </c>
      <c r="AQ233" s="4" t="n">
        <v>3049</v>
      </c>
      <c r="AR233" s="4" t="n">
        <v>3025</v>
      </c>
      <c r="AS233" s="4" t="n">
        <v>2959</v>
      </c>
      <c r="AT233" s="4" t="n">
        <v>2984.5</v>
      </c>
      <c r="AU233" s="4" t="n">
        <v>3017</v>
      </c>
      <c r="AV233" s="4" t="n">
        <v>2979</v>
      </c>
      <c r="AW233" s="4" t="n">
        <v>2952.5</v>
      </c>
      <c r="AX233" s="4" t="n">
        <v>2807.5</v>
      </c>
      <c r="AY233" s="4" t="n">
        <v>2803.5</v>
      </c>
      <c r="AZ233" s="4" t="n">
        <v>2759.5</v>
      </c>
      <c r="BA233" s="4" t="n">
        <v>2712</v>
      </c>
      <c r="BB233" s="4" t="n">
        <v>2765</v>
      </c>
      <c r="BC233" s="4" t="n">
        <v>2625.5</v>
      </c>
      <c r="BD233" s="4" t="n">
        <v>2605.5</v>
      </c>
      <c r="BE233" s="4" t="n">
        <v>2781</v>
      </c>
      <c r="BF233" s="4" t="n">
        <v>2820</v>
      </c>
      <c r="BG233" s="4" t="n">
        <v>2823</v>
      </c>
      <c r="BH233" s="4" t="n">
        <v>2738.5</v>
      </c>
      <c r="BI233" s="4" t="n">
        <v>2648.5</v>
      </c>
      <c r="BJ233" s="4" t="n">
        <v>2786.5</v>
      </c>
      <c r="BK233" s="4" t="n">
        <v>2958</v>
      </c>
      <c r="BL233" s="4" t="n">
        <v>2884</v>
      </c>
    </row>
    <row r="234">
      <c r="A234" s="65" t="inlineStr">
        <is>
          <t>6762</t>
        </is>
      </c>
      <c r="B234" s="4">
        <f>銘柄管理!C234</f>
        <v/>
      </c>
      <c r="C234" s="4">
        <f>_xll.RssMarket("6762","現在値")</f>
        <v/>
      </c>
      <c r="E234" s="4" t="n">
        <v>4063</v>
      </c>
      <c r="F234" s="4" t="n">
        <v>3909</v>
      </c>
      <c r="G234" s="4" t="n">
        <v>3830</v>
      </c>
      <c r="H234" s="4" t="n">
        <v>3802</v>
      </c>
      <c r="I234" s="4" t="n">
        <v>3504</v>
      </c>
      <c r="J234" s="4" t="n">
        <v>3561</v>
      </c>
      <c r="K234" s="4" t="n">
        <v>3640</v>
      </c>
      <c r="L234" s="4" t="n">
        <v>3715</v>
      </c>
      <c r="M234" s="4" t="n">
        <v>4111</v>
      </c>
      <c r="N234" s="4" t="n">
        <v>3950</v>
      </c>
      <c r="O234" s="4" t="n">
        <v>3849</v>
      </c>
      <c r="P234" s="4" t="n">
        <v>4104</v>
      </c>
      <c r="Q234" s="4" t="n">
        <v>4108</v>
      </c>
      <c r="R234" s="4" t="n">
        <v>3796</v>
      </c>
      <c r="S234" s="4" t="n">
        <v>3608</v>
      </c>
      <c r="T234" s="4" t="n">
        <v>3715</v>
      </c>
      <c r="U234" s="4" t="n">
        <v>3370</v>
      </c>
      <c r="V234" s="4" t="n">
        <v>3141</v>
      </c>
      <c r="W234" s="4" t="n">
        <v>2943</v>
      </c>
      <c r="X234" s="4" t="n">
        <v>2985.5</v>
      </c>
      <c r="Y234" s="4" t="n">
        <v>2977.5</v>
      </c>
      <c r="Z234" s="4" t="n">
        <v>2993</v>
      </c>
      <c r="AA234" s="4" t="n">
        <v>3072</v>
      </c>
      <c r="AB234" s="4" t="n">
        <v>2916.5</v>
      </c>
      <c r="AC234" s="4" t="n">
        <v>2961</v>
      </c>
      <c r="AD234" s="4" t="n">
        <v>2936</v>
      </c>
      <c r="AE234" s="4" t="n">
        <v>2923.5</v>
      </c>
      <c r="AF234" s="4" t="n">
        <v>2896</v>
      </c>
      <c r="AG234" s="4" t="n">
        <v>2775.5</v>
      </c>
      <c r="AH234" s="4" t="n">
        <v>2890.5</v>
      </c>
      <c r="AI234" s="4" t="n">
        <v>2677</v>
      </c>
      <c r="AJ234" s="4" t="n">
        <v>2718</v>
      </c>
      <c r="AK234" s="4" t="n">
        <v>2689.5</v>
      </c>
      <c r="AL234" s="4" t="n">
        <v>2662</v>
      </c>
      <c r="AM234" s="4" t="n">
        <v>2700.5</v>
      </c>
      <c r="AN234" s="4" t="n">
        <v>2576</v>
      </c>
      <c r="AO234" s="4" t="n">
        <v>2542</v>
      </c>
      <c r="AP234" s="4" t="n">
        <v>2616</v>
      </c>
      <c r="AQ234" s="4" t="n">
        <v>2540</v>
      </c>
      <c r="AR234" s="4" t="n">
        <v>2246.5</v>
      </c>
      <c r="AS234" s="4" t="n">
        <v>2273</v>
      </c>
      <c r="AT234" s="4" t="n">
        <v>2266</v>
      </c>
      <c r="AU234" s="4" t="n">
        <v>2310</v>
      </c>
      <c r="AV234" s="4" t="n">
        <v>2220</v>
      </c>
      <c r="AW234" s="4" t="n">
        <v>2200</v>
      </c>
      <c r="AX234" s="4" t="n">
        <v>2076.5</v>
      </c>
      <c r="AY234" s="4" t="n">
        <v>2020.5</v>
      </c>
      <c r="AZ234" s="4" t="n">
        <v>2011.5</v>
      </c>
      <c r="BA234" s="4" t="n">
        <v>1945.5</v>
      </c>
      <c r="BB234" s="4" t="n">
        <v>2073</v>
      </c>
      <c r="BC234" s="4" t="n">
        <v>1966</v>
      </c>
      <c r="BD234" s="4" t="n">
        <v>2000</v>
      </c>
      <c r="BE234" s="4" t="n">
        <v>2110.5</v>
      </c>
      <c r="BF234" s="4" t="n">
        <v>2096.5</v>
      </c>
      <c r="BG234" s="4" t="n">
        <v>2089.5</v>
      </c>
      <c r="BH234" s="4" t="n">
        <v>2037.5</v>
      </c>
      <c r="BI234" s="4" t="n">
        <v>2042.5</v>
      </c>
      <c r="BJ234" s="4" t="n">
        <v>2127.5</v>
      </c>
      <c r="BK234" s="4" t="n">
        <v>2192</v>
      </c>
      <c r="BL234" s="4" t="n">
        <v>2109</v>
      </c>
    </row>
    <row r="235">
      <c r="A235" s="65" t="inlineStr">
        <is>
          <t>4392</t>
        </is>
      </c>
      <c r="B235" s="4">
        <f>銘柄管理!C235</f>
        <v/>
      </c>
      <c r="C235" s="4">
        <f>_xll.RssMarket("4392","現在値")</f>
        <v/>
      </c>
      <c r="E235" s="4" t="n">
        <v>1197</v>
      </c>
      <c r="F235" s="4" t="n">
        <v>1143</v>
      </c>
      <c r="G235" s="4" t="n">
        <v>1270</v>
      </c>
      <c r="H235" s="4" t="n">
        <v>1246</v>
      </c>
      <c r="I235" s="4" t="n">
        <v>1347</v>
      </c>
      <c r="J235" s="4" t="n">
        <v>1421</v>
      </c>
      <c r="K235" s="4" t="n">
        <v>1588</v>
      </c>
      <c r="L235" s="4" t="n">
        <v>1596</v>
      </c>
      <c r="M235" s="4" t="n">
        <v>1360</v>
      </c>
      <c r="N235" s="4" t="n">
        <v>1363</v>
      </c>
      <c r="O235" s="4" t="n">
        <v>1629</v>
      </c>
      <c r="P235" s="4" t="n">
        <v>1705</v>
      </c>
      <c r="Q235" s="4" t="n">
        <v>2015</v>
      </c>
      <c r="R235" s="4" t="n">
        <v>1781</v>
      </c>
      <c r="S235" s="4" t="n">
        <v>2039</v>
      </c>
      <c r="T235" s="4" t="n">
        <v>2246</v>
      </c>
      <c r="U235" s="4" t="n">
        <v>2185</v>
      </c>
      <c r="V235" s="4" t="n">
        <v>1785</v>
      </c>
      <c r="W235" s="4" t="n">
        <v>1981</v>
      </c>
      <c r="X235" s="4" t="n">
        <v>1581</v>
      </c>
      <c r="Y235" s="4" t="n">
        <v>1360</v>
      </c>
      <c r="Z235" s="4" t="n">
        <v>1060</v>
      </c>
      <c r="AA235" s="4" t="n">
        <v>910</v>
      </c>
      <c r="AB235" s="4" t="n">
        <v>760</v>
      </c>
      <c r="AC235" s="4" t="n">
        <v>735</v>
      </c>
      <c r="AD235" s="4" t="n">
        <v>870</v>
      </c>
      <c r="AE235" s="4" t="n">
        <v>509</v>
      </c>
      <c r="AF235" s="4" t="n">
        <v>429</v>
      </c>
      <c r="AG235" s="4" t="n">
        <v>349</v>
      </c>
      <c r="AH235" s="4" t="n">
        <v>345</v>
      </c>
      <c r="AI235" s="4" t="n">
        <v>344</v>
      </c>
      <c r="AJ235" s="4" t="n">
        <v>353</v>
      </c>
      <c r="AK235" s="4" t="n">
        <v>356</v>
      </c>
      <c r="AL235" s="4" t="n">
        <v>348</v>
      </c>
      <c r="AM235" s="4" t="n">
        <v>347</v>
      </c>
      <c r="AN235" s="4" t="n">
        <v>350</v>
      </c>
      <c r="AO235" s="4" t="n">
        <v>347</v>
      </c>
      <c r="AP235" s="4" t="n">
        <v>336</v>
      </c>
      <c r="AQ235" s="4" t="n">
        <v>328</v>
      </c>
      <c r="AR235" s="4" t="n">
        <v>329</v>
      </c>
      <c r="AS235" s="4" t="n">
        <v>323</v>
      </c>
      <c r="AT235" s="4" t="n">
        <v>322</v>
      </c>
      <c r="AU235" s="4" t="n">
        <v>319</v>
      </c>
      <c r="AV235" s="4" t="n">
        <v>322</v>
      </c>
      <c r="AW235" s="4" t="n">
        <v>324</v>
      </c>
      <c r="AX235" s="4" t="n">
        <v>333</v>
      </c>
      <c r="AY235" s="4" t="n">
        <v>321</v>
      </c>
      <c r="AZ235" s="4" t="n">
        <v>323</v>
      </c>
      <c r="BA235" s="4" t="n">
        <v>319</v>
      </c>
      <c r="BB235" s="4" t="n">
        <v>315</v>
      </c>
      <c r="BC235" s="4" t="n">
        <v>318</v>
      </c>
      <c r="BD235" s="4" t="n">
        <v>310</v>
      </c>
      <c r="BE235" s="4" t="n">
        <v>310</v>
      </c>
      <c r="BF235" s="4" t="n">
        <v>322</v>
      </c>
      <c r="BG235" s="4" t="n">
        <v>320</v>
      </c>
      <c r="BH235" s="4" t="n">
        <v>324</v>
      </c>
      <c r="BI235" s="4" t="n">
        <v>313</v>
      </c>
      <c r="BJ235" s="4" t="n">
        <v>301</v>
      </c>
      <c r="BK235" s="4" t="n">
        <v>308</v>
      </c>
      <c r="BL235" s="4" t="n">
        <v>326</v>
      </c>
    </row>
    <row r="236">
      <c r="A236" s="65" t="inlineStr">
        <is>
          <t>8005</t>
        </is>
      </c>
      <c r="B236" s="4">
        <f>銘柄管理!C236</f>
        <v/>
      </c>
      <c r="C236" s="4">
        <f>_xll.RssMarket("8005","現在値")</f>
        <v/>
      </c>
      <c r="E236" s="4" t="n">
        <v>1644</v>
      </c>
      <c r="F236" s="4" t="n">
        <v>1636</v>
      </c>
      <c r="G236" s="4" t="n">
        <v>1643</v>
      </c>
      <c r="H236" s="4" t="n">
        <v>1627</v>
      </c>
      <c r="I236" s="4" t="n">
        <v>1615</v>
      </c>
      <c r="J236" s="4" t="n">
        <v>1634</v>
      </c>
      <c r="K236" s="4" t="n">
        <v>1628</v>
      </c>
      <c r="L236" s="4" t="n">
        <v>1620</v>
      </c>
      <c r="M236" s="4" t="n">
        <v>1637</v>
      </c>
      <c r="N236" s="4" t="n">
        <v>1620</v>
      </c>
      <c r="O236" s="4" t="n">
        <v>1643</v>
      </c>
      <c r="P236" s="4" t="n">
        <v>1638</v>
      </c>
      <c r="Q236" s="4" t="n">
        <v>1679</v>
      </c>
      <c r="R236" s="4" t="n">
        <v>1649</v>
      </c>
      <c r="S236" s="4" t="n">
        <v>1626</v>
      </c>
      <c r="T236" s="4" t="n">
        <v>1628</v>
      </c>
      <c r="U236" s="4" t="n">
        <v>1642</v>
      </c>
      <c r="V236" s="4" t="n">
        <v>1634</v>
      </c>
      <c r="W236" s="4" t="n">
        <v>1642</v>
      </c>
      <c r="X236" s="4" t="n">
        <v>1657</v>
      </c>
      <c r="Y236" s="4" t="n">
        <v>1682</v>
      </c>
      <c r="Z236" s="4" t="n">
        <v>1649</v>
      </c>
      <c r="AA236" s="4" t="n">
        <v>1618</v>
      </c>
      <c r="AB236" s="4" t="n">
        <v>1623</v>
      </c>
      <c r="AC236" s="4" t="n">
        <v>1631</v>
      </c>
      <c r="AD236" s="4" t="n">
        <v>1655</v>
      </c>
      <c r="AE236" s="4" t="n">
        <v>1705</v>
      </c>
      <c r="AF236" s="4" t="n">
        <v>1597</v>
      </c>
      <c r="AG236" s="4" t="n">
        <v>1297</v>
      </c>
      <c r="AH236" s="4" t="n">
        <v>1305</v>
      </c>
      <c r="AI236" s="4" t="n">
        <v>1325</v>
      </c>
      <c r="AJ236" s="4" t="n">
        <v>1333</v>
      </c>
      <c r="AK236" s="4" t="n">
        <v>1314</v>
      </c>
      <c r="AL236" s="4" t="n">
        <v>1322</v>
      </c>
      <c r="AM236" s="4" t="n">
        <v>1317</v>
      </c>
      <c r="AN236" s="4" t="n">
        <v>1327</v>
      </c>
      <c r="AO236" s="4" t="n">
        <v>1347</v>
      </c>
      <c r="AP236" s="4" t="n">
        <v>1352</v>
      </c>
      <c r="AQ236" s="4" t="n">
        <v>1352</v>
      </c>
      <c r="AR236" s="4" t="n">
        <v>1355</v>
      </c>
      <c r="AS236" s="4" t="n">
        <v>1334</v>
      </c>
      <c r="AT236" s="4" t="n">
        <v>1316</v>
      </c>
      <c r="AU236" s="4" t="n">
        <v>1312</v>
      </c>
      <c r="AV236" s="4" t="n">
        <v>1329</v>
      </c>
      <c r="AW236" s="4" t="n">
        <v>1353</v>
      </c>
      <c r="AX236" s="4" t="n">
        <v>1358</v>
      </c>
      <c r="AY236" s="4" t="n">
        <v>1346</v>
      </c>
      <c r="AZ236" s="4" t="n">
        <v>1348</v>
      </c>
      <c r="BA236" s="4" t="n">
        <v>1342</v>
      </c>
      <c r="BB236" s="4" t="n">
        <v>1342</v>
      </c>
      <c r="BC236" s="4" t="n">
        <v>1345</v>
      </c>
      <c r="BD236" s="4" t="n">
        <v>1330</v>
      </c>
      <c r="BE236" s="4" t="n">
        <v>1297</v>
      </c>
      <c r="BF236" s="4" t="n">
        <v>1336</v>
      </c>
      <c r="BG236" s="4" t="n">
        <v>1333</v>
      </c>
      <c r="BH236" s="4" t="n">
        <v>1331</v>
      </c>
      <c r="BI236" s="4" t="n">
        <v>1314</v>
      </c>
      <c r="BJ236" s="4" t="n">
        <v>1282</v>
      </c>
      <c r="BK236" s="4" t="n">
        <v>1305</v>
      </c>
      <c r="BL236" s="4" t="n">
        <v>1336</v>
      </c>
    </row>
    <row r="237">
      <c r="A237" s="65" t="inlineStr">
        <is>
          <t>2326</t>
        </is>
      </c>
      <c r="B237" s="4">
        <f>銘柄管理!C237</f>
        <v/>
      </c>
      <c r="C237" s="4">
        <f>_xll.RssMarket("2326","現在値")</f>
        <v/>
      </c>
      <c r="E237" s="4" t="n">
        <v>3605</v>
      </c>
      <c r="F237" s="4" t="n">
        <v>3525</v>
      </c>
      <c r="G237" s="4" t="n">
        <v>3610</v>
      </c>
      <c r="H237" s="4" t="n">
        <v>3580</v>
      </c>
      <c r="I237" s="4" t="n">
        <v>3565</v>
      </c>
      <c r="J237" s="4" t="n">
        <v>3610</v>
      </c>
      <c r="K237" s="4" t="n">
        <v>3625</v>
      </c>
      <c r="L237" s="4" t="n">
        <v>3700</v>
      </c>
      <c r="M237" s="4" t="n">
        <v>3830</v>
      </c>
      <c r="N237" s="4" t="n">
        <v>3695</v>
      </c>
      <c r="O237" s="4" t="n">
        <v>3745</v>
      </c>
      <c r="P237" s="4" t="n">
        <v>4070</v>
      </c>
      <c r="Q237" s="4" t="n">
        <v>3980</v>
      </c>
      <c r="R237" s="4" t="n">
        <v>4045</v>
      </c>
      <c r="S237" s="4" t="n">
        <v>4145</v>
      </c>
      <c r="T237" s="4" t="n">
        <v>4100</v>
      </c>
      <c r="U237" s="4" t="n">
        <v>4150</v>
      </c>
      <c r="V237" s="4" t="n">
        <v>4120</v>
      </c>
      <c r="W237" s="4" t="n">
        <v>4145</v>
      </c>
      <c r="X237" s="4" t="n">
        <v>4350</v>
      </c>
      <c r="Y237" s="4" t="n">
        <v>4245</v>
      </c>
      <c r="Z237" s="4" t="n">
        <v>4240</v>
      </c>
      <c r="AA237" s="4" t="n">
        <v>4030</v>
      </c>
      <c r="AB237" s="4" t="n">
        <v>4110</v>
      </c>
      <c r="AC237" s="4" t="n">
        <v>4020</v>
      </c>
      <c r="AD237" s="4" t="n">
        <v>4240</v>
      </c>
      <c r="AE237" s="4" t="n">
        <v>4940</v>
      </c>
      <c r="AF237" s="4" t="n">
        <v>5940</v>
      </c>
      <c r="AG237" s="4" t="n">
        <v>5590</v>
      </c>
      <c r="AH237" s="4" t="n">
        <v>5600</v>
      </c>
      <c r="AI237" s="4" t="n">
        <v>5550</v>
      </c>
      <c r="AJ237" s="4" t="n">
        <v>5490</v>
      </c>
      <c r="AK237" s="4" t="n">
        <v>5510</v>
      </c>
      <c r="AL237" s="4" t="n">
        <v>5660</v>
      </c>
      <c r="AM237" s="4" t="n">
        <v>6050</v>
      </c>
      <c r="AN237" s="4" t="n">
        <v>5910</v>
      </c>
      <c r="AO237" s="4" t="n">
        <v>5850</v>
      </c>
      <c r="AP237" s="4" t="n">
        <v>5830</v>
      </c>
      <c r="AQ237" s="4" t="n">
        <v>5770</v>
      </c>
      <c r="AR237" s="4" t="n">
        <v>5550</v>
      </c>
      <c r="AS237" s="4" t="n">
        <v>5480</v>
      </c>
      <c r="AT237" s="4" t="n">
        <v>5400</v>
      </c>
      <c r="AU237" s="4" t="n">
        <v>5440</v>
      </c>
      <c r="AV237" s="4" t="n">
        <v>5420</v>
      </c>
      <c r="AW237" s="4" t="n">
        <v>5610</v>
      </c>
      <c r="AX237" s="4" t="n">
        <v>5440</v>
      </c>
      <c r="AY237" s="4" t="n">
        <v>5430</v>
      </c>
      <c r="AZ237" s="4" t="n">
        <v>5370</v>
      </c>
      <c r="BA237" s="4" t="n">
        <v>5260</v>
      </c>
      <c r="BB237" s="4" t="n">
        <v>5380</v>
      </c>
      <c r="BC237" s="4" t="n">
        <v>5160</v>
      </c>
      <c r="BD237" s="4" t="n">
        <v>5090</v>
      </c>
      <c r="BE237" s="4" t="n">
        <v>5230</v>
      </c>
      <c r="BF237" s="4" t="n">
        <v>5110</v>
      </c>
      <c r="BG237" s="4" t="n">
        <v>5080</v>
      </c>
      <c r="BH237" s="4" t="n">
        <v>4980</v>
      </c>
      <c r="BI237" s="4" t="n">
        <v>4865</v>
      </c>
      <c r="BJ237" s="4" t="n">
        <v>5040</v>
      </c>
      <c r="BK237" s="4" t="n">
        <v>5210</v>
      </c>
      <c r="BL237" s="4" t="n">
        <v>5220</v>
      </c>
    </row>
    <row r="238">
      <c r="A238" s="65" t="inlineStr">
        <is>
          <t>6809</t>
        </is>
      </c>
      <c r="B238" s="4">
        <f>銘柄管理!C238</f>
        <v/>
      </c>
      <c r="C238" s="4">
        <f>_xll.RssMarket("6809","現在値")</f>
        <v/>
      </c>
      <c r="E238" s="4" t="n">
        <v>1557</v>
      </c>
      <c r="F238" s="4" t="n">
        <v>1560</v>
      </c>
      <c r="G238" s="4" t="n">
        <v>1567</v>
      </c>
      <c r="H238" s="4" t="n">
        <v>1565</v>
      </c>
      <c r="I238" s="4" t="n">
        <v>1556</v>
      </c>
      <c r="J238" s="4" t="n">
        <v>1548</v>
      </c>
      <c r="K238" s="4" t="n">
        <v>1562</v>
      </c>
      <c r="L238" s="4" t="n">
        <v>1549</v>
      </c>
      <c r="M238" s="4" t="n">
        <v>1573</v>
      </c>
      <c r="N238" s="4" t="n">
        <v>1544</v>
      </c>
      <c r="O238" s="4" t="n">
        <v>1540</v>
      </c>
      <c r="P238" s="4" t="n">
        <v>1558</v>
      </c>
      <c r="Q238" s="4" t="n">
        <v>1535</v>
      </c>
      <c r="R238" s="4" t="n">
        <v>1552</v>
      </c>
      <c r="S238" s="4" t="n">
        <v>1544</v>
      </c>
      <c r="T238" s="4" t="n">
        <v>1537</v>
      </c>
      <c r="U238" s="4" t="n">
        <v>1560</v>
      </c>
      <c r="V238" s="4" t="n">
        <v>1557</v>
      </c>
      <c r="W238" s="4" t="n">
        <v>1535</v>
      </c>
      <c r="X238" s="4" t="n">
        <v>1525</v>
      </c>
      <c r="Y238" s="4" t="n">
        <v>1599</v>
      </c>
      <c r="Z238" s="4" t="n">
        <v>1577</v>
      </c>
      <c r="AA238" s="4" t="n">
        <v>1605</v>
      </c>
      <c r="AB238" s="4" t="n">
        <v>1581</v>
      </c>
      <c r="AC238" s="4" t="n">
        <v>1573</v>
      </c>
      <c r="AD238" s="4" t="n">
        <v>1558</v>
      </c>
      <c r="AE238" s="4" t="n">
        <v>1570</v>
      </c>
      <c r="AF238" s="4" t="n">
        <v>1569</v>
      </c>
      <c r="AG238" s="4" t="n">
        <v>1780</v>
      </c>
      <c r="AH238" s="4" t="n">
        <v>1747</v>
      </c>
      <c r="AI238" s="4" t="n">
        <v>1730</v>
      </c>
      <c r="AJ238" s="4" t="n">
        <v>1744</v>
      </c>
      <c r="AK238" s="4" t="n">
        <v>1707</v>
      </c>
      <c r="AL238" s="4" t="n">
        <v>1713</v>
      </c>
      <c r="AM238" s="4" t="n">
        <v>1745</v>
      </c>
      <c r="AN238" s="4" t="n">
        <v>1761</v>
      </c>
      <c r="AO238" s="4" t="n">
        <v>1786</v>
      </c>
      <c r="AP238" s="4" t="n">
        <v>1769</v>
      </c>
      <c r="AQ238" s="4" t="n">
        <v>1791</v>
      </c>
      <c r="AR238" s="4" t="n">
        <v>1776</v>
      </c>
      <c r="AS238" s="4" t="n">
        <v>1780</v>
      </c>
      <c r="AT238" s="4" t="n">
        <v>1777</v>
      </c>
      <c r="AU238" s="4" t="n">
        <v>1786</v>
      </c>
      <c r="AV238" s="4" t="n">
        <v>1807</v>
      </c>
      <c r="AW238" s="4" t="n">
        <v>1815</v>
      </c>
      <c r="AX238" s="4" t="n">
        <v>1844</v>
      </c>
      <c r="AY238" s="4" t="n">
        <v>1816</v>
      </c>
      <c r="AZ238" s="4" t="n">
        <v>1791</v>
      </c>
      <c r="BA238" s="4" t="n">
        <v>1790</v>
      </c>
      <c r="BB238" s="4" t="n">
        <v>1787</v>
      </c>
      <c r="BC238" s="4" t="n">
        <v>1799</v>
      </c>
      <c r="BD238" s="4" t="n">
        <v>1751</v>
      </c>
      <c r="BE238" s="4" t="n">
        <v>1788</v>
      </c>
      <c r="BF238" s="4" t="n">
        <v>1898</v>
      </c>
      <c r="BG238" s="4" t="n">
        <v>1879</v>
      </c>
      <c r="BH238" s="4" t="n">
        <v>1883</v>
      </c>
      <c r="BI238" s="4" t="n">
        <v>1814</v>
      </c>
      <c r="BJ238" s="4" t="n">
        <v>1773</v>
      </c>
      <c r="BK238" s="4" t="n">
        <v>1814</v>
      </c>
      <c r="BL238" s="4" t="n">
        <v>1794</v>
      </c>
    </row>
    <row r="239">
      <c r="A239" s="65" t="inlineStr">
        <is>
          <t>3984</t>
        </is>
      </c>
      <c r="B239" s="4">
        <f>銘柄管理!C239</f>
        <v/>
      </c>
      <c r="C239" s="4">
        <f>_xll.RssMarket("3984","現在値")</f>
        <v/>
      </c>
      <c r="E239" s="4" t="n">
        <v>1750</v>
      </c>
      <c r="F239" s="4" t="n">
        <v>1735</v>
      </c>
      <c r="G239" s="4" t="n">
        <v>1810</v>
      </c>
      <c r="H239" s="4" t="n">
        <v>1773</v>
      </c>
      <c r="I239" s="4" t="n">
        <v>1753</v>
      </c>
      <c r="J239" s="4" t="n">
        <v>1800</v>
      </c>
      <c r="K239" s="4" t="n">
        <v>1791</v>
      </c>
      <c r="L239" s="4" t="n">
        <v>1825</v>
      </c>
      <c r="M239" s="4" t="n">
        <v>1910</v>
      </c>
      <c r="N239" s="4" t="n">
        <v>1807</v>
      </c>
      <c r="O239" s="4" t="n">
        <v>1815</v>
      </c>
      <c r="P239" s="4" t="n">
        <v>1820</v>
      </c>
      <c r="Q239" s="4" t="n">
        <v>1812</v>
      </c>
      <c r="R239" s="4" t="n">
        <v>1720</v>
      </c>
      <c r="S239" s="4" t="n">
        <v>1670</v>
      </c>
      <c r="T239" s="4" t="n">
        <v>1706</v>
      </c>
      <c r="U239" s="4" t="n">
        <v>1741</v>
      </c>
      <c r="V239" s="4" t="n">
        <v>1791</v>
      </c>
      <c r="W239" s="4" t="n">
        <v>1758</v>
      </c>
      <c r="X239" s="4" t="n">
        <v>1736</v>
      </c>
      <c r="Y239" s="4" t="n">
        <v>1729</v>
      </c>
      <c r="Z239" s="4" t="n">
        <v>1706</v>
      </c>
      <c r="AA239" s="4" t="n">
        <v>1702</v>
      </c>
      <c r="AB239" s="4" t="n">
        <v>1700</v>
      </c>
      <c r="AC239" s="4" t="n">
        <v>1745</v>
      </c>
      <c r="AD239" s="4" t="n">
        <v>1724</v>
      </c>
      <c r="AE239" s="4" t="n">
        <v>1812</v>
      </c>
      <c r="AF239" s="4" t="n">
        <v>1793</v>
      </c>
      <c r="AG239" s="4" t="n">
        <v>1600</v>
      </c>
      <c r="AH239" s="4" t="n">
        <v>1540</v>
      </c>
      <c r="AI239" s="4" t="n">
        <v>1544</v>
      </c>
      <c r="AJ239" s="4" t="n">
        <v>1559</v>
      </c>
      <c r="AK239" s="4" t="n">
        <v>1554</v>
      </c>
      <c r="AL239" s="4" t="n">
        <v>1567</v>
      </c>
      <c r="AM239" s="4" t="n">
        <v>1577</v>
      </c>
      <c r="AN239" s="4" t="n">
        <v>1608</v>
      </c>
      <c r="AO239" s="4" t="n">
        <v>1580</v>
      </c>
      <c r="AP239" s="4" t="n">
        <v>1565</v>
      </c>
      <c r="AQ239" s="4" t="n">
        <v>1575</v>
      </c>
      <c r="AR239" s="4" t="n">
        <v>1576</v>
      </c>
      <c r="AS239" s="4" t="n">
        <v>1508</v>
      </c>
      <c r="AT239" s="4" t="n">
        <v>1468</v>
      </c>
      <c r="AU239" s="4" t="n">
        <v>1448</v>
      </c>
      <c r="AV239" s="4" t="n">
        <v>1458</v>
      </c>
      <c r="AW239" s="4" t="n">
        <v>1495</v>
      </c>
      <c r="AX239" s="4" t="n">
        <v>1535</v>
      </c>
      <c r="AY239" s="4" t="n">
        <v>1472</v>
      </c>
      <c r="AZ239" s="4" t="n">
        <v>1459</v>
      </c>
      <c r="BA239" s="4" t="n">
        <v>1456</v>
      </c>
      <c r="BB239" s="4" t="n">
        <v>1440</v>
      </c>
      <c r="BC239" s="4" t="n">
        <v>1474</v>
      </c>
      <c r="BD239" s="4" t="n">
        <v>1408</v>
      </c>
      <c r="BE239" s="4" t="n">
        <v>1384</v>
      </c>
      <c r="BF239" s="4" t="n">
        <v>1439</v>
      </c>
      <c r="BG239" s="4" t="n">
        <v>1431</v>
      </c>
      <c r="BH239" s="4" t="n">
        <v>1478</v>
      </c>
      <c r="BI239" s="4" t="n">
        <v>1461</v>
      </c>
      <c r="BJ239" s="4" t="n">
        <v>1426</v>
      </c>
      <c r="BK239" s="4" t="n">
        <v>1473</v>
      </c>
      <c r="BL239" s="4" t="n">
        <v>1543</v>
      </c>
    </row>
    <row r="240">
      <c r="A240" s="65" t="inlineStr">
        <is>
          <t>7609</t>
        </is>
      </c>
      <c r="B240" s="4">
        <f>銘柄管理!C240</f>
        <v/>
      </c>
      <c r="C240" s="4">
        <f>_xll.RssMarket("7609","現在値")</f>
        <v/>
      </c>
      <c r="E240" s="4" t="n">
        <v>3935</v>
      </c>
      <c r="F240" s="4" t="n">
        <v>3900</v>
      </c>
      <c r="G240" s="4" t="n">
        <v>3635</v>
      </c>
      <c r="H240" s="4" t="n">
        <v>3565</v>
      </c>
      <c r="I240" s="4" t="n">
        <v>3465</v>
      </c>
      <c r="J240" s="4" t="n">
        <v>3430</v>
      </c>
      <c r="K240" s="4" t="n">
        <v>3435</v>
      </c>
      <c r="L240" s="4" t="n">
        <v>3565</v>
      </c>
      <c r="M240" s="4" t="n">
        <v>3775</v>
      </c>
      <c r="N240" s="4" t="n">
        <v>3725</v>
      </c>
      <c r="O240" s="4" t="n">
        <v>3695</v>
      </c>
      <c r="P240" s="4" t="n">
        <v>3575</v>
      </c>
      <c r="Q240" s="4" t="n">
        <v>3565</v>
      </c>
      <c r="R240" s="4" t="n">
        <v>3570</v>
      </c>
      <c r="S240" s="4" t="n">
        <v>3540</v>
      </c>
      <c r="T240" s="4" t="n">
        <v>3530</v>
      </c>
      <c r="U240" s="4" t="n">
        <v>3655</v>
      </c>
      <c r="V240" s="4" t="n">
        <v>3615</v>
      </c>
      <c r="W240" s="4" t="n">
        <v>3535</v>
      </c>
      <c r="X240" s="4" t="n">
        <v>3490</v>
      </c>
      <c r="Y240" s="4" t="n">
        <v>3575</v>
      </c>
      <c r="Z240" s="4" t="n">
        <v>3855</v>
      </c>
      <c r="AA240" s="4" t="n">
        <v>3825</v>
      </c>
      <c r="AB240" s="4" t="n">
        <v>3930</v>
      </c>
      <c r="AC240" s="4" t="n">
        <v>3870</v>
      </c>
      <c r="AD240" s="4" t="n">
        <v>3940</v>
      </c>
      <c r="AE240" s="4" t="n">
        <v>3950</v>
      </c>
      <c r="AF240" s="4" t="n">
        <v>3840</v>
      </c>
      <c r="AG240" s="4" t="n">
        <v>3380</v>
      </c>
      <c r="AH240" s="4" t="n">
        <v>3140</v>
      </c>
      <c r="AI240" s="4" t="n">
        <v>2909</v>
      </c>
      <c r="AJ240" s="4" t="n">
        <v>2894</v>
      </c>
      <c r="AK240" s="4" t="n">
        <v>2889</v>
      </c>
      <c r="AL240" s="4" t="n">
        <v>2891</v>
      </c>
      <c r="AM240" s="4" t="n">
        <v>2862</v>
      </c>
      <c r="AN240" s="4" t="n">
        <v>2827</v>
      </c>
      <c r="AO240" s="4" t="n">
        <v>2883</v>
      </c>
      <c r="AP240" s="4" t="n">
        <v>2883</v>
      </c>
      <c r="AQ240" s="4" t="n">
        <v>2873</v>
      </c>
      <c r="AR240" s="4" t="n">
        <v>2961</v>
      </c>
      <c r="AS240" s="4" t="n">
        <v>2870</v>
      </c>
      <c r="AT240" s="4" t="n">
        <v>2930</v>
      </c>
      <c r="AU240" s="4" t="n">
        <v>2839</v>
      </c>
      <c r="AV240" s="4" t="n">
        <v>2823</v>
      </c>
      <c r="AW240" s="4" t="n">
        <v>2778</v>
      </c>
      <c r="AX240" s="4" t="n">
        <v>2843</v>
      </c>
      <c r="AY240" s="4" t="n">
        <v>2712</v>
      </c>
      <c r="AZ240" s="4" t="n">
        <v>2709</v>
      </c>
      <c r="BA240" s="4" t="n">
        <v>2721</v>
      </c>
      <c r="BB240" s="4" t="n">
        <v>2714</v>
      </c>
      <c r="BC240" s="4" t="n">
        <v>2778</v>
      </c>
      <c r="BD240" s="4" t="n">
        <v>2651</v>
      </c>
      <c r="BE240" s="4" t="n">
        <v>2766</v>
      </c>
      <c r="BF240" s="4" t="n">
        <v>2866</v>
      </c>
      <c r="BG240" s="4" t="n">
        <v>2866</v>
      </c>
      <c r="BH240" s="4" t="n">
        <v>2845</v>
      </c>
      <c r="BI240" s="4" t="n">
        <v>2783</v>
      </c>
      <c r="BJ240" s="4" t="n">
        <v>2703</v>
      </c>
      <c r="BK240" s="4" t="n">
        <v>2828</v>
      </c>
      <c r="BL240" s="4" t="n">
        <v>2948</v>
      </c>
    </row>
    <row r="241">
      <c r="A241" s="65" t="inlineStr">
        <is>
          <t>7972</t>
        </is>
      </c>
      <c r="B241" s="4">
        <f>銘柄管理!C241</f>
        <v/>
      </c>
      <c r="C241" s="4">
        <f>_xll.RssMarket("7972","現在値")</f>
        <v/>
      </c>
      <c r="E241" s="4" t="n">
        <v>2571</v>
      </c>
      <c r="F241" s="4" t="n">
        <v>2515</v>
      </c>
      <c r="G241" s="4" t="n">
        <v>2431</v>
      </c>
      <c r="H241" s="4" t="n">
        <v>2455</v>
      </c>
      <c r="I241" s="4" t="n">
        <v>2438</v>
      </c>
      <c r="J241" s="4" t="n">
        <v>2416</v>
      </c>
      <c r="K241" s="4" t="n">
        <v>2408</v>
      </c>
      <c r="L241" s="4" t="n">
        <v>2425</v>
      </c>
      <c r="M241" s="4" t="n">
        <v>2422</v>
      </c>
      <c r="N241" s="4" t="n">
        <v>2369</v>
      </c>
      <c r="O241" s="4" t="n">
        <v>2446</v>
      </c>
      <c r="P241" s="4" t="n">
        <v>2455</v>
      </c>
      <c r="Q241" s="4" t="n">
        <v>2522</v>
      </c>
      <c r="R241" s="4" t="n">
        <v>2567</v>
      </c>
      <c r="S241" s="4" t="n">
        <v>2615</v>
      </c>
      <c r="T241" s="4" t="n">
        <v>2713</v>
      </c>
      <c r="U241" s="4" t="n">
        <v>2622</v>
      </c>
      <c r="V241" s="4" t="n">
        <v>2625</v>
      </c>
      <c r="W241" s="4" t="n">
        <v>2573</v>
      </c>
      <c r="X241" s="4" t="n">
        <v>2653</v>
      </c>
      <c r="Y241" s="4" t="n">
        <v>2704</v>
      </c>
      <c r="Z241" s="4" t="n">
        <v>2698</v>
      </c>
      <c r="AA241" s="4" t="n">
        <v>2715</v>
      </c>
      <c r="AB241" s="4" t="n">
        <v>2789</v>
      </c>
      <c r="AC241" s="4" t="n">
        <v>2799</v>
      </c>
      <c r="AD241" s="4" t="n">
        <v>2787</v>
      </c>
      <c r="AE241" s="4" t="n">
        <v>2760</v>
      </c>
      <c r="AF241" s="4" t="n">
        <v>2893</v>
      </c>
      <c r="AG241" s="4" t="n">
        <v>3250</v>
      </c>
      <c r="AH241" s="4" t="n">
        <v>3160</v>
      </c>
      <c r="AI241" s="4" t="n">
        <v>3165</v>
      </c>
      <c r="AJ241" s="4" t="n">
        <v>3290</v>
      </c>
      <c r="AK241" s="4" t="n">
        <v>3215</v>
      </c>
      <c r="AL241" s="4" t="n">
        <v>3190</v>
      </c>
      <c r="AM241" s="4" t="n">
        <v>3235</v>
      </c>
      <c r="AN241" s="4" t="n">
        <v>3265</v>
      </c>
      <c r="AO241" s="4" t="n">
        <v>3300</v>
      </c>
      <c r="AP241" s="4" t="n">
        <v>3285</v>
      </c>
      <c r="AQ241" s="4" t="n">
        <v>3295</v>
      </c>
      <c r="AR241" s="4" t="n">
        <v>3350</v>
      </c>
      <c r="AS241" s="4" t="n">
        <v>3365</v>
      </c>
      <c r="AT241" s="4" t="n">
        <v>3535</v>
      </c>
      <c r="AU241" s="4" t="n">
        <v>3535</v>
      </c>
      <c r="AV241" s="4" t="n">
        <v>3480</v>
      </c>
      <c r="AW241" s="4" t="n">
        <v>3460</v>
      </c>
      <c r="AX241" s="4" t="n">
        <v>3520</v>
      </c>
      <c r="AY241" s="4" t="n">
        <v>3365</v>
      </c>
      <c r="AZ241" s="4" t="n">
        <v>3315</v>
      </c>
      <c r="BA241" s="4" t="n">
        <v>3285</v>
      </c>
      <c r="BB241" s="4" t="n">
        <v>3240</v>
      </c>
      <c r="BC241" s="4" t="n">
        <v>3245</v>
      </c>
      <c r="BD241" s="4" t="n">
        <v>3025</v>
      </c>
      <c r="BE241" s="4" t="n">
        <v>3125</v>
      </c>
      <c r="BF241" s="4" t="n">
        <v>3250</v>
      </c>
      <c r="BG241" s="4" t="n">
        <v>3265</v>
      </c>
      <c r="BH241" s="4" t="n">
        <v>3370</v>
      </c>
      <c r="BI241" s="4" t="n">
        <v>3300</v>
      </c>
      <c r="BJ241" s="4" t="n">
        <v>3170</v>
      </c>
      <c r="BK241" s="4" t="n">
        <v>3295</v>
      </c>
      <c r="BL241" s="4" t="n">
        <v>3455</v>
      </c>
    </row>
    <row r="242">
      <c r="A242" s="65" t="inlineStr">
        <is>
          <t>6521</t>
        </is>
      </c>
      <c r="B242" s="4">
        <f>銘柄管理!C242</f>
        <v/>
      </c>
      <c r="C242" s="4">
        <f>_xll.RssMarket("6521","現在値")</f>
        <v/>
      </c>
      <c r="E242" s="4" t="n">
        <v>5140</v>
      </c>
      <c r="F242" s="4" t="n">
        <v>5060</v>
      </c>
      <c r="G242" s="4" t="n">
        <v>4810</v>
      </c>
      <c r="H242" s="4" t="n">
        <v>4680</v>
      </c>
      <c r="I242" s="4" t="n">
        <v>4400</v>
      </c>
      <c r="J242" s="4" t="n">
        <v>4430</v>
      </c>
      <c r="K242" s="4" t="n">
        <v>4495</v>
      </c>
      <c r="L242" s="4" t="n">
        <v>4850</v>
      </c>
      <c r="M242" s="4" t="n">
        <v>5130</v>
      </c>
      <c r="N242" s="4" t="n">
        <v>4915</v>
      </c>
      <c r="O242" s="4" t="n">
        <v>5200</v>
      </c>
      <c r="P242" s="4" t="n">
        <v>5030</v>
      </c>
      <c r="Q242" s="4" t="n">
        <v>5330</v>
      </c>
      <c r="R242" s="4" t="n">
        <v>5420</v>
      </c>
      <c r="S242" s="4" t="n">
        <v>5850</v>
      </c>
      <c r="T242" s="4" t="n">
        <v>5590</v>
      </c>
      <c r="U242" s="4" t="n">
        <v>6100</v>
      </c>
      <c r="V242" s="4" t="n">
        <v>6410</v>
      </c>
      <c r="W242" s="4" t="n">
        <v>5590</v>
      </c>
      <c r="X242" s="4" t="n">
        <v>5780</v>
      </c>
      <c r="Y242" s="4" t="n">
        <v>5820</v>
      </c>
      <c r="Z242" s="4" t="n">
        <v>6780</v>
      </c>
      <c r="AA242" s="4" t="n">
        <v>6030</v>
      </c>
      <c r="AB242" s="4" t="n">
        <v>6460</v>
      </c>
      <c r="AC242" s="4" t="n">
        <v>6330</v>
      </c>
      <c r="AD242" s="4" t="n">
        <v>6530</v>
      </c>
      <c r="AE242" s="4" t="n">
        <v>6570</v>
      </c>
      <c r="AF242" s="4" t="n">
        <v>6210</v>
      </c>
      <c r="AG242" s="4" t="n">
        <v>5280</v>
      </c>
      <c r="AH242" s="4" t="n">
        <v>4680</v>
      </c>
      <c r="AI242" s="4" t="n">
        <v>4595</v>
      </c>
      <c r="AJ242" s="4" t="n">
        <v>4745</v>
      </c>
      <c r="AK242" s="4" t="n">
        <v>4645</v>
      </c>
      <c r="AL242" s="4" t="n">
        <v>4755</v>
      </c>
      <c r="AM242" s="4" t="n">
        <v>4600</v>
      </c>
      <c r="AN242" s="4" t="n">
        <v>4905</v>
      </c>
      <c r="AO242" s="4" t="n">
        <v>5090</v>
      </c>
      <c r="AP242" s="4" t="n">
        <v>4385</v>
      </c>
      <c r="AQ242" s="4" t="n">
        <v>4050</v>
      </c>
      <c r="AR242" s="4" t="n">
        <v>4435</v>
      </c>
      <c r="AS242" s="4" t="n">
        <v>4350</v>
      </c>
      <c r="AT242" s="4" t="n">
        <v>5010</v>
      </c>
      <c r="AU242" s="4" t="n">
        <v>5050</v>
      </c>
      <c r="AV242" s="4" t="n">
        <v>4685</v>
      </c>
      <c r="AW242" s="4" t="n">
        <v>4470</v>
      </c>
      <c r="AX242" s="4" t="n">
        <v>4665</v>
      </c>
      <c r="AY242" s="4" t="n">
        <v>4305</v>
      </c>
      <c r="AZ242" s="4" t="n">
        <v>4585</v>
      </c>
      <c r="BA242" s="4" t="n">
        <v>4290</v>
      </c>
      <c r="BB242" s="4" t="n">
        <v>4090</v>
      </c>
      <c r="BC242" s="4" t="n">
        <v>4495</v>
      </c>
      <c r="BD242" s="4" t="n">
        <v>4235</v>
      </c>
      <c r="BE242" s="4" t="n">
        <v>4200</v>
      </c>
      <c r="BF242" s="4" t="n">
        <v>4370</v>
      </c>
      <c r="BG242" s="4" t="n">
        <v>4450</v>
      </c>
      <c r="BH242" s="4" t="n">
        <v>4565</v>
      </c>
      <c r="BI242" s="4" t="n">
        <v>4945</v>
      </c>
      <c r="BJ242" s="4" t="n">
        <v>4700</v>
      </c>
      <c r="BK242" s="4" t="n">
        <v>5190</v>
      </c>
      <c r="BL242" s="4" t="n">
        <v>5090</v>
      </c>
    </row>
    <row r="243">
      <c r="A243" s="65" t="inlineStr">
        <is>
          <t>9165</t>
        </is>
      </c>
      <c r="B243" s="4">
        <f>銘柄管理!C243</f>
        <v/>
      </c>
      <c r="C243" s="4">
        <f>_xll.RssMarket("9165","現在値")</f>
        <v/>
      </c>
      <c r="E243" s="4" t="n">
        <v>1791</v>
      </c>
      <c r="F243" s="4" t="n">
        <v>1694</v>
      </c>
      <c r="G243" s="4" t="n">
        <v>1691</v>
      </c>
      <c r="H243" s="4" t="n">
        <v>1708</v>
      </c>
      <c r="I243" s="4" t="n">
        <v>1711</v>
      </c>
      <c r="J243" s="4" t="n">
        <v>1680</v>
      </c>
      <c r="K243" s="4" t="n">
        <v>1707</v>
      </c>
      <c r="L243" s="4" t="n">
        <v>1726</v>
      </c>
      <c r="M243" s="4" t="n">
        <v>1841</v>
      </c>
      <c r="N243" s="4" t="n">
        <v>1801</v>
      </c>
      <c r="O243" s="4" t="n">
        <v>1808</v>
      </c>
      <c r="P243" s="4" t="n">
        <v>1778</v>
      </c>
      <c r="Q243" s="4" t="n">
        <v>1826</v>
      </c>
      <c r="R243" s="4" t="n">
        <v>1873</v>
      </c>
      <c r="S243" s="4" t="n">
        <v>1865</v>
      </c>
      <c r="T243" s="4" t="n">
        <v>1945</v>
      </c>
      <c r="U243" s="4" t="n">
        <v>2193</v>
      </c>
      <c r="V243" s="4" t="n">
        <v>2005</v>
      </c>
      <c r="W243" s="4" t="n">
        <v>1750</v>
      </c>
      <c r="X243" s="4" t="n">
        <v>1820</v>
      </c>
      <c r="Y243" s="4" t="n">
        <v>1838</v>
      </c>
      <c r="Z243" s="4" t="n">
        <v>1844</v>
      </c>
      <c r="AA243" s="4" t="n">
        <v>1683</v>
      </c>
      <c r="AB243" s="4" t="n">
        <v>1724</v>
      </c>
      <c r="AC243" s="4" t="n">
        <v>1777</v>
      </c>
      <c r="AD243" s="4" t="n">
        <v>1765</v>
      </c>
      <c r="AE243" s="4" t="n">
        <v>1857</v>
      </c>
      <c r="AF243" s="4" t="n">
        <v>1800</v>
      </c>
      <c r="AG243" s="4" t="n">
        <v>1611</v>
      </c>
      <c r="AH243" s="4" t="n">
        <v>1490</v>
      </c>
      <c r="AI243" s="4" t="n">
        <v>1479</v>
      </c>
      <c r="AJ243" s="4" t="n">
        <v>1470</v>
      </c>
      <c r="AK243" s="4" t="n">
        <v>1467</v>
      </c>
      <c r="AL243" s="4" t="n">
        <v>1469</v>
      </c>
      <c r="AM243" s="4" t="n">
        <v>1468</v>
      </c>
      <c r="AN243" s="4" t="n">
        <v>1470</v>
      </c>
      <c r="AO243" s="4" t="n">
        <v>1469</v>
      </c>
      <c r="AP243" s="4" t="n">
        <v>1449</v>
      </c>
      <c r="AQ243" s="4" t="n">
        <v>1451</v>
      </c>
      <c r="AR243" s="4" t="n">
        <v>1460</v>
      </c>
      <c r="AS243" s="4" t="n">
        <v>1457</v>
      </c>
      <c r="AT243" s="4" t="n">
        <v>1440</v>
      </c>
      <c r="AU243" s="4" t="n">
        <v>1422</v>
      </c>
      <c r="AV243" s="4" t="n">
        <v>1421</v>
      </c>
      <c r="AW243" s="4" t="n">
        <v>1434</v>
      </c>
      <c r="AX243" s="4" t="n">
        <v>1434</v>
      </c>
      <c r="AY243" s="4" t="n">
        <v>1419</v>
      </c>
      <c r="AZ243" s="4" t="n">
        <v>1427</v>
      </c>
      <c r="BA243" s="4" t="n">
        <v>1419</v>
      </c>
      <c r="BB243" s="4" t="n">
        <v>1400</v>
      </c>
      <c r="BC243" s="4" t="n">
        <v>1415</v>
      </c>
      <c r="BD243" s="4" t="n">
        <v>1396</v>
      </c>
      <c r="BE243" s="4" t="n">
        <v>1408</v>
      </c>
      <c r="BF243" s="4" t="n">
        <v>1415</v>
      </c>
      <c r="BG243" s="4" t="n">
        <v>1415</v>
      </c>
      <c r="BH243" s="4" t="n">
        <v>1418</v>
      </c>
      <c r="BI243" s="4" t="n">
        <v>1420</v>
      </c>
      <c r="BJ243" s="4" t="n">
        <v>1405</v>
      </c>
      <c r="BK243" s="4" t="n">
        <v>1410</v>
      </c>
      <c r="BL243" s="4" t="n">
        <v>1414</v>
      </c>
    </row>
    <row r="244">
      <c r="A244" s="65" t="inlineStr">
        <is>
          <t>6902</t>
        </is>
      </c>
      <c r="B244" s="4">
        <f>銘柄管理!C244</f>
        <v/>
      </c>
      <c r="C244" s="4">
        <f>_xll.RssMarket("6902","現在値")</f>
        <v/>
      </c>
      <c r="E244" s="4" t="n">
        <v>1892</v>
      </c>
      <c r="F244" s="4" t="n">
        <v>1900.5</v>
      </c>
      <c r="G244" s="4" t="n">
        <v>1917</v>
      </c>
      <c r="H244" s="4" t="n">
        <v>1893.5</v>
      </c>
      <c r="I244" s="4" t="n">
        <v>1854</v>
      </c>
      <c r="J244" s="4" t="n">
        <v>1834.5</v>
      </c>
      <c r="K244" s="4" t="n">
        <v>1882.5</v>
      </c>
      <c r="L244" s="4" t="n">
        <v>1903.5</v>
      </c>
      <c r="M244" s="4" t="n">
        <v>1887</v>
      </c>
      <c r="N244" s="4" t="n">
        <v>1907</v>
      </c>
      <c r="O244" s="4" t="n">
        <v>1926</v>
      </c>
      <c r="P244" s="4" t="n">
        <v>1867.5</v>
      </c>
      <c r="Q244" s="4" t="n">
        <v>1869</v>
      </c>
      <c r="R244" s="4" t="n">
        <v>1908</v>
      </c>
      <c r="S244" s="4" t="n">
        <v>1886</v>
      </c>
      <c r="T244" s="4" t="n">
        <v>1888.5</v>
      </c>
      <c r="U244" s="4" t="n">
        <v>1837</v>
      </c>
      <c r="V244" s="4" t="n">
        <v>1834.5</v>
      </c>
      <c r="W244" s="4" t="n">
        <v>1850</v>
      </c>
      <c r="X244" s="4" t="n">
        <v>1835.5</v>
      </c>
      <c r="Y244" s="4" t="n">
        <v>1859.5</v>
      </c>
      <c r="Z244" s="4" t="n">
        <v>1838.5</v>
      </c>
      <c r="AA244" s="4" t="n">
        <v>1944</v>
      </c>
      <c r="AB244" s="4" t="n">
        <v>1884</v>
      </c>
      <c r="AC244" s="4" t="n">
        <v>1917</v>
      </c>
      <c r="AD244" s="4" t="n">
        <v>1878</v>
      </c>
      <c r="AE244" s="4" t="n">
        <v>1879</v>
      </c>
      <c r="AF244" s="4" t="n">
        <v>1919</v>
      </c>
      <c r="AG244" s="4" t="n">
        <v>1914.5</v>
      </c>
      <c r="AH244" s="4" t="n">
        <v>1895.5</v>
      </c>
      <c r="AI244" s="4" t="n">
        <v>1882.5</v>
      </c>
      <c r="AJ244" s="4" t="n">
        <v>1846.5</v>
      </c>
      <c r="AK244" s="4" t="n">
        <v>1883.5</v>
      </c>
      <c r="AL244" s="4" t="n">
        <v>1868</v>
      </c>
      <c r="AM244" s="4" t="n">
        <v>1893.5</v>
      </c>
      <c r="AN244" s="4" t="n">
        <v>1925.5</v>
      </c>
      <c r="AO244" s="4" t="n">
        <v>1944</v>
      </c>
      <c r="AP244" s="4" t="n">
        <v>1962.5</v>
      </c>
      <c r="AQ244" s="4" t="n">
        <v>1926</v>
      </c>
      <c r="AR244" s="4" t="n">
        <v>1917.5</v>
      </c>
      <c r="AS244" s="4" t="n">
        <v>1915</v>
      </c>
      <c r="AT244" s="4" t="n">
        <v>1926.5</v>
      </c>
      <c r="AU244" s="4" t="n">
        <v>1917</v>
      </c>
      <c r="AV244" s="4" t="n">
        <v>1933</v>
      </c>
      <c r="AW244" s="4" t="n">
        <v>1951.5</v>
      </c>
      <c r="AX244" s="4" t="n">
        <v>1960.5</v>
      </c>
      <c r="AY244" s="4" t="n">
        <v>1908</v>
      </c>
      <c r="AZ244" s="4" t="n">
        <v>1907.5</v>
      </c>
      <c r="BA244" s="4" t="n">
        <v>1923</v>
      </c>
      <c r="BB244" s="4" t="n">
        <v>1930</v>
      </c>
      <c r="BC244" s="4" t="n">
        <v>1954</v>
      </c>
      <c r="BD244" s="4" t="n">
        <v>1947.5</v>
      </c>
      <c r="BE244" s="4" t="n">
        <v>1891</v>
      </c>
      <c r="BF244" s="4" t="n">
        <v>1953.5</v>
      </c>
      <c r="BG244" s="4" t="n">
        <v>1944.5</v>
      </c>
      <c r="BH244" s="4" t="n">
        <v>1921.5</v>
      </c>
      <c r="BI244" s="4" t="n">
        <v>1907.5</v>
      </c>
      <c r="BJ244" s="4" t="n">
        <v>1864</v>
      </c>
      <c r="BK244" s="4" t="n">
        <v>1915.5</v>
      </c>
      <c r="BL244" s="4" t="n">
        <v>1965</v>
      </c>
    </row>
    <row r="245">
      <c r="A245" s="65" t="inlineStr">
        <is>
          <t>3936</t>
        </is>
      </c>
      <c r="B245" s="4">
        <f>銘柄管理!C245</f>
        <v/>
      </c>
      <c r="C245" s="4">
        <f>_xll.RssMarket("3936","現在値")</f>
        <v/>
      </c>
      <c r="E245" s="4" t="n">
        <v>169</v>
      </c>
      <c r="F245" s="4" t="n">
        <v>155</v>
      </c>
      <c r="G245" s="4" t="n">
        <v>161</v>
      </c>
      <c r="H245" s="4" t="n">
        <v>167</v>
      </c>
      <c r="I245" s="4" t="n">
        <v>171</v>
      </c>
      <c r="J245" s="4" t="n">
        <v>178</v>
      </c>
      <c r="K245" s="4" t="n">
        <v>179</v>
      </c>
      <c r="L245" s="4" t="n">
        <v>175</v>
      </c>
      <c r="M245" s="4" t="n">
        <v>169</v>
      </c>
      <c r="N245" s="4" t="n">
        <v>168</v>
      </c>
      <c r="O245" s="4" t="n">
        <v>165</v>
      </c>
      <c r="P245" s="4" t="n">
        <v>170</v>
      </c>
      <c r="Q245" s="4" t="n">
        <v>177</v>
      </c>
      <c r="R245" s="4" t="n">
        <v>167</v>
      </c>
      <c r="S245" s="4" t="n">
        <v>162</v>
      </c>
      <c r="T245" s="4" t="n">
        <v>167</v>
      </c>
      <c r="U245" s="4" t="n">
        <v>169</v>
      </c>
      <c r="V245" s="4" t="n">
        <v>174</v>
      </c>
      <c r="W245" s="4" t="n">
        <v>161</v>
      </c>
      <c r="X245" s="4" t="n">
        <v>200</v>
      </c>
      <c r="Y245" s="4" t="n">
        <v>206</v>
      </c>
      <c r="Z245" s="4" t="n">
        <v>156</v>
      </c>
      <c r="AA245" s="4" t="n">
        <v>169</v>
      </c>
      <c r="AB245" s="4" t="n">
        <v>172</v>
      </c>
      <c r="AC245" s="4" t="n">
        <v>168</v>
      </c>
      <c r="AD245" s="4" t="n">
        <v>176</v>
      </c>
      <c r="AE245" s="4" t="n">
        <v>186</v>
      </c>
      <c r="AF245" s="4" t="n">
        <v>173</v>
      </c>
      <c r="AG245" s="4" t="n">
        <v>193</v>
      </c>
      <c r="AH245" s="4" t="n">
        <v>209</v>
      </c>
      <c r="AI245" s="4" t="n">
        <v>238</v>
      </c>
      <c r="AJ245" s="4" t="n">
        <v>235</v>
      </c>
      <c r="AK245" s="4" t="n">
        <v>198</v>
      </c>
      <c r="AL245" s="4" t="n">
        <v>199</v>
      </c>
      <c r="AM245" s="4" t="n">
        <v>149</v>
      </c>
      <c r="AN245" s="4" t="n">
        <v>130</v>
      </c>
      <c r="AO245" s="4" t="n">
        <v>127</v>
      </c>
      <c r="AP245" s="4" t="n">
        <v>125</v>
      </c>
      <c r="AQ245" s="4" t="n">
        <v>124</v>
      </c>
      <c r="AR245" s="4" t="n">
        <v>125</v>
      </c>
      <c r="AS245" s="4" t="n">
        <v>127</v>
      </c>
      <c r="AT245" s="4" t="n">
        <v>129</v>
      </c>
      <c r="AU245" s="4" t="n">
        <v>127</v>
      </c>
      <c r="AV245" s="4" t="n">
        <v>126</v>
      </c>
      <c r="AW245" s="4" t="n">
        <v>127</v>
      </c>
      <c r="AX245" s="4" t="n">
        <v>125</v>
      </c>
      <c r="AY245" s="4" t="n">
        <v>130</v>
      </c>
      <c r="AZ245" s="4" t="n">
        <v>125</v>
      </c>
      <c r="BA245" s="4" t="n">
        <v>125</v>
      </c>
      <c r="BB245" s="4" t="n">
        <v>128</v>
      </c>
      <c r="BC245" s="4" t="n">
        <v>126</v>
      </c>
      <c r="BD245" s="4" t="n">
        <v>131</v>
      </c>
      <c r="BE245" s="4" t="n">
        <v>127</v>
      </c>
      <c r="BF245" s="4" t="n">
        <v>124</v>
      </c>
      <c r="BG245" s="4" t="n">
        <v>128</v>
      </c>
      <c r="BH245" s="4" t="n">
        <v>138</v>
      </c>
      <c r="BI245" s="4" t="n">
        <v>130</v>
      </c>
      <c r="BJ245" s="4" t="n">
        <v>132</v>
      </c>
      <c r="BK245" s="4" t="n">
        <v>130</v>
      </c>
      <c r="BL245" s="4" t="n">
        <v>131</v>
      </c>
    </row>
    <row r="246">
      <c r="A246" s="65" t="inlineStr">
        <is>
          <t>6928</t>
        </is>
      </c>
      <c r="B246" s="4">
        <f>銘柄管理!C246</f>
        <v/>
      </c>
      <c r="C246" s="4">
        <f>_xll.RssMarket("6928","現在値")</f>
        <v/>
      </c>
      <c r="E246" s="4" t="n">
        <v>3465</v>
      </c>
      <c r="F246" s="4" t="n">
        <v>3365</v>
      </c>
      <c r="G246" s="4" t="n">
        <v>3320</v>
      </c>
      <c r="H246" s="4" t="n">
        <v>3160</v>
      </c>
      <c r="I246" s="4" t="n">
        <v>3315</v>
      </c>
      <c r="J246" s="4" t="n">
        <v>3455</v>
      </c>
      <c r="K246" s="4" t="n">
        <v>3430</v>
      </c>
      <c r="L246" s="4" t="n">
        <v>3635</v>
      </c>
      <c r="M246" s="4" t="n">
        <v>3675</v>
      </c>
      <c r="N246" s="4" t="n">
        <v>3700</v>
      </c>
      <c r="O246" s="4" t="n">
        <v>3720</v>
      </c>
      <c r="P246" s="4" t="n">
        <v>3890</v>
      </c>
      <c r="Q246" s="4" t="n">
        <v>3805</v>
      </c>
      <c r="R246" s="4" t="n">
        <v>3735</v>
      </c>
      <c r="S246" s="4" t="n">
        <v>3530</v>
      </c>
      <c r="T246" s="4" t="n">
        <v>3655</v>
      </c>
      <c r="U246" s="4" t="n">
        <v>3650</v>
      </c>
      <c r="V246" s="4" t="n">
        <v>3485</v>
      </c>
      <c r="W246" s="4" t="n">
        <v>3500</v>
      </c>
      <c r="X246" s="4" t="n">
        <v>3475</v>
      </c>
      <c r="Y246" s="4" t="n">
        <v>3510</v>
      </c>
      <c r="Z246" s="4" t="n">
        <v>3470</v>
      </c>
      <c r="AA246" s="4" t="n">
        <v>3435</v>
      </c>
      <c r="AB246" s="4" t="n">
        <v>3505</v>
      </c>
      <c r="AC246" s="4" t="n">
        <v>3440</v>
      </c>
      <c r="AD246" s="4" t="n">
        <v>3480</v>
      </c>
      <c r="AE246" s="4" t="n">
        <v>3620</v>
      </c>
      <c r="AF246" s="4" t="n">
        <v>3600</v>
      </c>
      <c r="AG246" s="4" t="n">
        <v>3445</v>
      </c>
      <c r="AH246" s="4" t="n">
        <v>3285</v>
      </c>
      <c r="AI246" s="4" t="n">
        <v>3220</v>
      </c>
      <c r="AJ246" s="4" t="n">
        <v>3120</v>
      </c>
      <c r="AK246" s="4" t="n">
        <v>3165</v>
      </c>
      <c r="AL246" s="4" t="n">
        <v>3105</v>
      </c>
      <c r="AM246" s="4" t="n">
        <v>3200</v>
      </c>
      <c r="AN246" s="4" t="n">
        <v>3235</v>
      </c>
      <c r="AO246" s="4" t="n">
        <v>3230</v>
      </c>
      <c r="AP246" s="4" t="n">
        <v>3230</v>
      </c>
      <c r="AQ246" s="4" t="n">
        <v>3325</v>
      </c>
      <c r="AR246" s="4" t="n">
        <v>3290</v>
      </c>
      <c r="AS246" s="4" t="n">
        <v>3195</v>
      </c>
      <c r="AT246" s="4" t="n">
        <v>3150</v>
      </c>
      <c r="AU246" s="4" t="n">
        <v>3115</v>
      </c>
      <c r="AV246" s="4" t="n">
        <v>3085</v>
      </c>
      <c r="AW246" s="4" t="n">
        <v>3115</v>
      </c>
      <c r="AX246" s="4" t="n">
        <v>2917</v>
      </c>
      <c r="AY246" s="4" t="n">
        <v>2851</v>
      </c>
      <c r="AZ246" s="4" t="n">
        <v>2857</v>
      </c>
      <c r="BA246" s="4" t="n">
        <v>2860</v>
      </c>
      <c r="BB246" s="4" t="n">
        <v>2904</v>
      </c>
      <c r="BC246" s="4" t="n">
        <v>2814</v>
      </c>
      <c r="BD246" s="4" t="n">
        <v>2850</v>
      </c>
      <c r="BE246" s="4" t="n">
        <v>2879</v>
      </c>
      <c r="BF246" s="4" t="n">
        <v>2890</v>
      </c>
      <c r="BG246" s="4" t="n">
        <v>2920</v>
      </c>
      <c r="BH246" s="4" t="n">
        <v>2829</v>
      </c>
      <c r="BI246" s="4" t="n">
        <v>2755</v>
      </c>
      <c r="BJ246" s="4" t="n">
        <v>2871</v>
      </c>
      <c r="BK246" s="4" t="n">
        <v>3060</v>
      </c>
      <c r="BL246" s="4" t="n">
        <v>2959</v>
      </c>
    </row>
    <row r="247">
      <c r="A247" s="65" t="inlineStr">
        <is>
          <t>5632</t>
        </is>
      </c>
      <c r="B247" s="4">
        <f>銘柄管理!C247</f>
        <v/>
      </c>
      <c r="C247" s="4">
        <f>_xll.RssMarket("5632","現在値")</f>
        <v/>
      </c>
      <c r="E247" s="4" t="n">
        <v>2425</v>
      </c>
      <c r="F247" s="4" t="n">
        <v>2331</v>
      </c>
      <c r="G247" s="4" t="n">
        <v>2141</v>
      </c>
      <c r="H247" s="4" t="n">
        <v>2171</v>
      </c>
      <c r="I247" s="4" t="n">
        <v>2139</v>
      </c>
      <c r="J247" s="4" t="n">
        <v>2111</v>
      </c>
      <c r="K247" s="4" t="n">
        <v>2107</v>
      </c>
      <c r="L247" s="4" t="n">
        <v>2103</v>
      </c>
      <c r="M247" s="4" t="n">
        <v>2150</v>
      </c>
      <c r="N247" s="4" t="n">
        <v>2103</v>
      </c>
      <c r="O247" s="4" t="n">
        <v>2083</v>
      </c>
      <c r="P247" s="4" t="n">
        <v>2076</v>
      </c>
      <c r="Q247" s="4" t="n">
        <v>2127</v>
      </c>
      <c r="R247" s="4" t="n">
        <v>2157</v>
      </c>
      <c r="S247" s="4" t="n">
        <v>2126</v>
      </c>
      <c r="T247" s="4" t="n">
        <v>2143</v>
      </c>
      <c r="U247" s="4" t="n">
        <v>2135</v>
      </c>
      <c r="V247" s="4" t="n">
        <v>2144</v>
      </c>
      <c r="W247" s="4" t="n">
        <v>2105</v>
      </c>
      <c r="X247" s="4" t="n">
        <v>2015</v>
      </c>
      <c r="Y247" s="4" t="n">
        <v>2083</v>
      </c>
      <c r="Z247" s="4" t="n">
        <v>2053</v>
      </c>
      <c r="AA247" s="4" t="n">
        <v>2169</v>
      </c>
      <c r="AB247" s="4" t="n">
        <v>2074</v>
      </c>
      <c r="AC247" s="4" t="n">
        <v>1980</v>
      </c>
      <c r="AD247" s="4" t="n">
        <v>1863</v>
      </c>
      <c r="AE247" s="4" t="n">
        <v>1892</v>
      </c>
      <c r="AF247" s="4" t="n">
        <v>1835</v>
      </c>
      <c r="AG247" s="4" t="n">
        <v>1845</v>
      </c>
      <c r="AH247" s="4" t="n">
        <v>1812</v>
      </c>
      <c r="AI247" s="4" t="n">
        <v>1795</v>
      </c>
      <c r="AJ247" s="4" t="n">
        <v>1824</v>
      </c>
      <c r="AK247" s="4" t="n">
        <v>1788</v>
      </c>
      <c r="AL247" s="4" t="n">
        <v>1789</v>
      </c>
      <c r="AM247" s="4" t="n">
        <v>1806</v>
      </c>
      <c r="AN247" s="4" t="n">
        <v>1804</v>
      </c>
      <c r="AO247" s="4" t="n">
        <v>1833</v>
      </c>
      <c r="AP247" s="4" t="n">
        <v>1838</v>
      </c>
      <c r="AQ247" s="4" t="n">
        <v>1822</v>
      </c>
      <c r="AR247" s="4" t="n">
        <v>1837</v>
      </c>
      <c r="AS247" s="4" t="n">
        <v>1826</v>
      </c>
      <c r="AT247" s="4" t="n">
        <v>1813</v>
      </c>
      <c r="AU247" s="4" t="n">
        <v>1796</v>
      </c>
      <c r="AV247" s="4" t="n">
        <v>1791</v>
      </c>
      <c r="AW247" s="4" t="n">
        <v>1811</v>
      </c>
      <c r="AX247" s="4" t="n">
        <v>1840</v>
      </c>
      <c r="AY247" s="4" t="n">
        <v>1809</v>
      </c>
      <c r="AZ247" s="4" t="n">
        <v>1797</v>
      </c>
      <c r="BA247" s="4" t="n">
        <v>1815</v>
      </c>
      <c r="BB247" s="4" t="n">
        <v>1792</v>
      </c>
      <c r="BC247" s="4" t="n">
        <v>1835</v>
      </c>
      <c r="BD247" s="4" t="n">
        <v>1781</v>
      </c>
      <c r="BE247" s="4" t="n">
        <v>1807</v>
      </c>
      <c r="BF247" s="4" t="n">
        <v>1885</v>
      </c>
      <c r="BG247" s="4" t="n">
        <v>1874</v>
      </c>
      <c r="BH247" s="4" t="n">
        <v>1877</v>
      </c>
      <c r="BI247" s="4" t="n">
        <v>1831</v>
      </c>
      <c r="BJ247" s="4" t="n">
        <v>1778</v>
      </c>
      <c r="BK247" s="4" t="n">
        <v>1834</v>
      </c>
      <c r="BL247" s="4" t="n">
        <v>1893</v>
      </c>
    </row>
    <row r="248">
      <c r="A248" s="65" t="inlineStr">
        <is>
          <t>6098</t>
        </is>
      </c>
      <c r="B248" s="4">
        <f>銘柄管理!C248</f>
        <v/>
      </c>
      <c r="C248" s="4">
        <f>_xll.RssMarket("6098","現在値")</f>
        <v/>
      </c>
      <c r="E248" s="4" t="n">
        <v>11050</v>
      </c>
      <c r="F248" s="4" t="n">
        <v>10865</v>
      </c>
      <c r="G248" s="4" t="n">
        <v>10520</v>
      </c>
      <c r="H248" s="4" t="n">
        <v>10750</v>
      </c>
      <c r="I248" s="4" t="n">
        <v>10790</v>
      </c>
      <c r="J248" s="4" t="n">
        <v>11155</v>
      </c>
      <c r="K248" s="4" t="n">
        <v>11380</v>
      </c>
      <c r="L248" s="4" t="n">
        <v>10755</v>
      </c>
      <c r="M248" s="4" t="n">
        <v>10595</v>
      </c>
      <c r="N248" s="4" t="n">
        <v>10615</v>
      </c>
      <c r="O248" s="4" t="n">
        <v>10920</v>
      </c>
      <c r="P248" s="4" t="n">
        <v>10845</v>
      </c>
      <c r="Q248" s="4" t="n">
        <v>10900</v>
      </c>
      <c r="R248" s="4" t="n">
        <v>10570</v>
      </c>
      <c r="S248" s="4" t="n">
        <v>10185</v>
      </c>
      <c r="T248" s="4" t="n">
        <v>9907</v>
      </c>
      <c r="U248" s="4" t="n">
        <v>9688</v>
      </c>
      <c r="V248" s="4" t="n">
        <v>9789</v>
      </c>
      <c r="W248" s="4" t="n">
        <v>9564</v>
      </c>
      <c r="X248" s="4" t="n">
        <v>9653</v>
      </c>
      <c r="Y248" s="4" t="n">
        <v>9846</v>
      </c>
      <c r="Z248" s="4" t="n">
        <v>9122</v>
      </c>
      <c r="AA248" s="4" t="n">
        <v>7825</v>
      </c>
      <c r="AB248" s="4" t="n">
        <v>7780</v>
      </c>
      <c r="AC248" s="4" t="n">
        <v>7800</v>
      </c>
      <c r="AD248" s="4" t="n">
        <v>7573</v>
      </c>
      <c r="AE248" s="4" t="n">
        <v>7700</v>
      </c>
      <c r="AF248" s="4" t="n">
        <v>7822</v>
      </c>
      <c r="AG248" s="4" t="n">
        <v>7475</v>
      </c>
      <c r="AH248" s="4" t="n">
        <v>7361</v>
      </c>
      <c r="AI248" s="4" t="n">
        <v>7303</v>
      </c>
      <c r="AJ248" s="4" t="n">
        <v>7464</v>
      </c>
      <c r="AK248" s="4" t="n">
        <v>7302</v>
      </c>
      <c r="AL248" s="4" t="n">
        <v>7308</v>
      </c>
      <c r="AM248" s="4" t="n">
        <v>7561</v>
      </c>
      <c r="AN248" s="4" t="n">
        <v>7953</v>
      </c>
      <c r="AO248" s="4" t="n">
        <v>7853</v>
      </c>
      <c r="AP248" s="4" t="n">
        <v>7625</v>
      </c>
      <c r="AQ248" s="4" t="n">
        <v>7524</v>
      </c>
      <c r="AR248" s="4" t="n">
        <v>7275</v>
      </c>
      <c r="AS248" s="4" t="n">
        <v>7163</v>
      </c>
      <c r="AT248" s="4" t="n">
        <v>7030</v>
      </c>
      <c r="AU248" s="4" t="n">
        <v>6996</v>
      </c>
      <c r="AV248" s="4" t="n">
        <v>7117</v>
      </c>
      <c r="AW248" s="4" t="n">
        <v>7179</v>
      </c>
      <c r="AX248" s="4" t="n">
        <v>7333</v>
      </c>
      <c r="AY248" s="4" t="n">
        <v>6977</v>
      </c>
      <c r="AZ248" s="4" t="n">
        <v>6940</v>
      </c>
      <c r="BA248" s="4" t="n">
        <v>6942</v>
      </c>
      <c r="BB248" s="4" t="n">
        <v>6922</v>
      </c>
      <c r="BC248" s="4" t="n">
        <v>7145</v>
      </c>
      <c r="BD248" s="4" t="n">
        <v>6526</v>
      </c>
      <c r="BE248" s="4" t="n">
        <v>6316</v>
      </c>
      <c r="BF248" s="4" t="n">
        <v>6519</v>
      </c>
      <c r="BG248" s="4" t="n">
        <v>6399</v>
      </c>
      <c r="BH248" s="4" t="n">
        <v>6416</v>
      </c>
      <c r="BI248" s="4" t="n">
        <v>6539</v>
      </c>
      <c r="BJ248" s="4" t="n">
        <v>6311</v>
      </c>
      <c r="BK248" s="4" t="n">
        <v>6332</v>
      </c>
      <c r="BL248" s="4" t="n">
        <v>6554</v>
      </c>
    </row>
    <row r="249">
      <c r="A249" s="65" t="inlineStr">
        <is>
          <t>6361</t>
        </is>
      </c>
      <c r="B249" s="4">
        <f>銘柄管理!C249</f>
        <v/>
      </c>
      <c r="C249" s="4">
        <f>_xll.RssMarket("6361","現在値")</f>
        <v/>
      </c>
      <c r="E249" s="4" t="n">
        <v>6775</v>
      </c>
      <c r="F249" s="4" t="n">
        <v>6560</v>
      </c>
      <c r="G249" s="4" t="n">
        <v>6527</v>
      </c>
      <c r="H249" s="4" t="n">
        <v>6232</v>
      </c>
      <c r="I249" s="4" t="n">
        <v>5506</v>
      </c>
      <c r="J249" s="4" t="n">
        <v>5243</v>
      </c>
      <c r="K249" s="4" t="n">
        <v>5265</v>
      </c>
      <c r="L249" s="4" t="n">
        <v>5030</v>
      </c>
      <c r="M249" s="4" t="n">
        <v>5535</v>
      </c>
      <c r="N249" s="4" t="n">
        <v>5480</v>
      </c>
      <c r="O249" s="4" t="n">
        <v>5626</v>
      </c>
      <c r="P249" s="4" t="n">
        <v>5357</v>
      </c>
      <c r="Q249" s="4" t="n">
        <v>5730</v>
      </c>
      <c r="R249" s="4" t="n">
        <v>5683</v>
      </c>
      <c r="S249" s="4" t="n">
        <v>5499</v>
      </c>
      <c r="T249" s="4" t="n">
        <v>5472</v>
      </c>
      <c r="U249" s="4" t="n">
        <v>5693</v>
      </c>
      <c r="V249" s="4" t="n">
        <v>5452</v>
      </c>
      <c r="W249" s="4" t="n">
        <v>5036</v>
      </c>
      <c r="X249" s="4" t="n">
        <v>4935</v>
      </c>
      <c r="Y249" s="4" t="n">
        <v>5153</v>
      </c>
      <c r="Z249" s="4" t="n">
        <v>5349</v>
      </c>
      <c r="AA249" s="4" t="n">
        <v>5533</v>
      </c>
      <c r="AB249" s="4" t="n">
        <v>5729</v>
      </c>
      <c r="AC249" s="4" t="n">
        <v>5740</v>
      </c>
      <c r="AD249" s="4" t="n">
        <v>5841</v>
      </c>
      <c r="AE249" s="4" t="n">
        <v>5902</v>
      </c>
      <c r="AF249" s="4" t="n">
        <v>5750</v>
      </c>
      <c r="AG249" s="4" t="n">
        <v>5763</v>
      </c>
      <c r="AH249" s="4" t="n">
        <v>5242</v>
      </c>
      <c r="AI249" s="4" t="n">
        <v>5327</v>
      </c>
      <c r="AJ249" s="4" t="n">
        <v>5423</v>
      </c>
      <c r="AK249" s="4" t="n">
        <v>5446</v>
      </c>
      <c r="AL249" s="4" t="n">
        <v>5304</v>
      </c>
      <c r="AM249" s="4" t="n">
        <v>5309</v>
      </c>
      <c r="AN249" s="4" t="n">
        <v>5471</v>
      </c>
      <c r="AO249" s="4" t="n">
        <v>5137</v>
      </c>
      <c r="AP249" s="4" t="n">
        <v>5131</v>
      </c>
      <c r="AQ249" s="4" t="n">
        <v>4933</v>
      </c>
      <c r="AR249" s="4" t="n">
        <v>5161</v>
      </c>
      <c r="AS249" s="4" t="n">
        <v>5004</v>
      </c>
      <c r="AT249" s="4" t="n">
        <v>5171</v>
      </c>
      <c r="AU249" s="4" t="n">
        <v>5087</v>
      </c>
      <c r="AV249" s="4" t="n">
        <v>5124</v>
      </c>
      <c r="AW249" s="4" t="n">
        <v>5080</v>
      </c>
      <c r="AX249" s="4" t="n">
        <v>5057</v>
      </c>
      <c r="AY249" s="4" t="n">
        <v>4566</v>
      </c>
      <c r="AZ249" s="4" t="n">
        <v>4527</v>
      </c>
      <c r="BA249" s="4" t="n">
        <v>4487</v>
      </c>
      <c r="BB249" s="4" t="n">
        <v>4436</v>
      </c>
      <c r="BC249" s="4" t="n">
        <v>4552</v>
      </c>
      <c r="BD249" s="4" t="n">
        <v>4254</v>
      </c>
      <c r="BE249" s="4" t="n">
        <v>4253</v>
      </c>
      <c r="BF249" s="4" t="n">
        <v>4465</v>
      </c>
      <c r="BG249" s="4" t="n">
        <v>4642</v>
      </c>
      <c r="BH249" s="4" t="n">
        <v>4848</v>
      </c>
      <c r="BI249" s="4" t="n">
        <v>4487</v>
      </c>
      <c r="BJ249" s="4" t="n">
        <v>4365</v>
      </c>
      <c r="BK249" s="4" t="n">
        <v>4752</v>
      </c>
      <c r="BL249" s="4" t="n">
        <v>4965</v>
      </c>
    </row>
    <row r="250">
      <c r="A250" s="65" t="inlineStr">
        <is>
          <t>155A</t>
        </is>
      </c>
      <c r="B250" s="4">
        <f>銘柄管理!C250</f>
        <v/>
      </c>
      <c r="C250" s="4">
        <f>_xll.RssMarket("155A","現在値")</f>
        <v/>
      </c>
      <c r="E250" s="4" t="n">
        <v>914</v>
      </c>
      <c r="F250" s="4" t="n">
        <v>883</v>
      </c>
      <c r="G250" s="4" t="n">
        <v>866</v>
      </c>
      <c r="H250" s="4" t="n">
        <v>820</v>
      </c>
      <c r="I250" s="4" t="n">
        <v>835</v>
      </c>
      <c r="J250" s="4" t="n">
        <v>858</v>
      </c>
      <c r="K250" s="4" t="n">
        <v>889</v>
      </c>
      <c r="L250" s="4" t="n">
        <v>839</v>
      </c>
      <c r="M250" s="4" t="n">
        <v>868</v>
      </c>
      <c r="N250" s="4" t="n">
        <v>844</v>
      </c>
      <c r="O250" s="4" t="n">
        <v>833</v>
      </c>
      <c r="P250" s="4" t="n">
        <v>828</v>
      </c>
      <c r="Q250" s="4" t="n">
        <v>836</v>
      </c>
      <c r="R250" s="4" t="n">
        <v>872</v>
      </c>
      <c r="S250" s="4" t="n">
        <v>860</v>
      </c>
      <c r="T250" s="4" t="n">
        <v>879</v>
      </c>
      <c r="U250" s="4" t="n">
        <v>880</v>
      </c>
      <c r="V250" s="4" t="n">
        <v>852</v>
      </c>
      <c r="W250" s="4" t="n">
        <v>846</v>
      </c>
      <c r="X250" s="4" t="n">
        <v>835</v>
      </c>
      <c r="Y250" s="4" t="n">
        <v>875</v>
      </c>
      <c r="Z250" s="4" t="n">
        <v>880</v>
      </c>
      <c r="AA250" s="4" t="n">
        <v>889</v>
      </c>
      <c r="AB250" s="4" t="n">
        <v>739</v>
      </c>
      <c r="AC250" s="4" t="n">
        <v>770</v>
      </c>
      <c r="AD250" s="4" t="n">
        <v>791</v>
      </c>
      <c r="AE250" s="4" t="n">
        <v>798</v>
      </c>
      <c r="AF250" s="4" t="n">
        <v>815</v>
      </c>
      <c r="AG250" s="4" t="n">
        <v>816</v>
      </c>
      <c r="AH250" s="4" t="n">
        <v>801</v>
      </c>
      <c r="AI250" s="4" t="n">
        <v>801</v>
      </c>
      <c r="AJ250" s="4" t="n">
        <v>807</v>
      </c>
      <c r="AK250" s="4" t="n">
        <v>813</v>
      </c>
      <c r="AL250" s="4" t="n">
        <v>821</v>
      </c>
      <c r="AM250" s="4" t="n">
        <v>835</v>
      </c>
      <c r="AN250" s="4" t="n">
        <v>860</v>
      </c>
      <c r="AO250" s="4" t="n">
        <v>852</v>
      </c>
      <c r="AP250" s="4" t="n">
        <v>836</v>
      </c>
      <c r="AQ250" s="4" t="n">
        <v>842</v>
      </c>
      <c r="AR250" s="4" t="n">
        <v>833</v>
      </c>
      <c r="AS250" s="4" t="n">
        <v>829</v>
      </c>
      <c r="AT250" s="4" t="n">
        <v>812</v>
      </c>
      <c r="AU250" s="4" t="n">
        <v>808</v>
      </c>
      <c r="AV250" s="4" t="n">
        <v>823</v>
      </c>
      <c r="AW250" s="4" t="n">
        <v>847</v>
      </c>
      <c r="AX250" s="4" t="n">
        <v>876</v>
      </c>
      <c r="AY250" s="4" t="n">
        <v>853</v>
      </c>
      <c r="AZ250" s="4" t="n">
        <v>854</v>
      </c>
      <c r="BA250" s="4" t="n">
        <v>842</v>
      </c>
      <c r="BB250" s="4" t="n">
        <v>840</v>
      </c>
      <c r="BC250" s="4" t="n">
        <v>859</v>
      </c>
      <c r="BD250" s="4" t="n">
        <v>812</v>
      </c>
      <c r="BE250" s="4" t="n">
        <v>827</v>
      </c>
      <c r="BF250" s="4" t="n">
        <v>878</v>
      </c>
      <c r="BG250" s="4" t="n">
        <v>863</v>
      </c>
      <c r="BH250" s="4" t="n">
        <v>884</v>
      </c>
      <c r="BI250" s="4" t="n">
        <v>864</v>
      </c>
      <c r="BJ250" s="4" t="n">
        <v>861</v>
      </c>
      <c r="BK250" s="4" t="n">
        <v>890</v>
      </c>
      <c r="BL250" s="4" t="n">
        <v>935</v>
      </c>
    </row>
    <row r="251">
      <c r="A251" s="65" t="inlineStr">
        <is>
          <t>278A</t>
        </is>
      </c>
      <c r="B251" s="4">
        <f>銘柄管理!C251</f>
        <v/>
      </c>
      <c r="C251" s="4">
        <f>_xll.RssMarket("278A","現在値")</f>
        <v/>
      </c>
      <c r="E251" s="4" t="n">
        <v>9420</v>
      </c>
      <c r="F251" s="4" t="n">
        <v>7920</v>
      </c>
      <c r="G251" s="4" t="n">
        <v>8020</v>
      </c>
      <c r="H251" s="4" t="n">
        <v>8750</v>
      </c>
      <c r="I251" s="4" t="n">
        <v>8100</v>
      </c>
      <c r="J251" s="4" t="n">
        <v>8570</v>
      </c>
      <c r="K251" s="4" t="n">
        <v>8990</v>
      </c>
      <c r="L251" s="4" t="n">
        <v>8260</v>
      </c>
      <c r="M251" s="4" t="n">
        <v>8190</v>
      </c>
      <c r="N251" s="4" t="n">
        <v>8050</v>
      </c>
      <c r="O251" s="4" t="n">
        <v>8590</v>
      </c>
      <c r="P251" s="4" t="n">
        <v>8540</v>
      </c>
      <c r="Q251" s="4" t="n">
        <v>9110</v>
      </c>
      <c r="R251" s="4" t="n">
        <v>9690</v>
      </c>
      <c r="S251" s="4" t="n">
        <v>10010</v>
      </c>
      <c r="T251" s="4" t="n">
        <v>9210</v>
      </c>
      <c r="U251" s="4" t="n">
        <v>10870</v>
      </c>
      <c r="V251" s="4" t="n">
        <v>11320</v>
      </c>
      <c r="W251" s="4" t="n">
        <v>10910</v>
      </c>
      <c r="X251" s="4" t="n">
        <v>11100</v>
      </c>
      <c r="Y251" s="4" t="n">
        <v>12560</v>
      </c>
      <c r="Z251" s="4" t="n">
        <v>12750</v>
      </c>
      <c r="AA251" s="4" t="n">
        <v>12190</v>
      </c>
      <c r="AB251" s="4" t="n">
        <v>10740</v>
      </c>
      <c r="AC251" s="4" t="n">
        <v>11470</v>
      </c>
      <c r="AD251" s="4" t="n">
        <v>12400</v>
      </c>
      <c r="AE251" s="4" t="n">
        <v>16400</v>
      </c>
      <c r="AF251" s="4" t="n">
        <v>13400</v>
      </c>
      <c r="AG251" s="4" t="n">
        <v>12850</v>
      </c>
      <c r="AH251" s="4" t="n">
        <v>10770</v>
      </c>
      <c r="AI251" s="4" t="n">
        <v>9270</v>
      </c>
      <c r="AJ251" s="4" t="n">
        <v>7770</v>
      </c>
      <c r="AK251" s="4" t="n">
        <v>7450</v>
      </c>
      <c r="AL251" s="4" t="n">
        <v>7840</v>
      </c>
      <c r="AM251" s="4" t="n">
        <v>8260</v>
      </c>
      <c r="AN251" s="4" t="n">
        <v>7220</v>
      </c>
      <c r="AO251" s="4" t="n">
        <v>6220</v>
      </c>
      <c r="AP251" s="4" t="n">
        <v>6550</v>
      </c>
      <c r="AQ251" s="4" t="n">
        <v>6480</v>
      </c>
      <c r="AR251" s="4" t="n">
        <v>6700</v>
      </c>
      <c r="AS251" s="4" t="n">
        <v>6000</v>
      </c>
      <c r="AT251" s="4" t="n">
        <v>5660</v>
      </c>
      <c r="AU251" s="4" t="n">
        <v>5660</v>
      </c>
      <c r="AV251" s="4" t="n">
        <v>4960</v>
      </c>
      <c r="AW251" s="4" t="n">
        <v>4445</v>
      </c>
      <c r="AX251" s="4" t="n">
        <v>4250</v>
      </c>
      <c r="AY251" s="4" t="n">
        <v>4215</v>
      </c>
      <c r="AZ251" s="4" t="n">
        <v>4710</v>
      </c>
      <c r="BA251" s="4" t="n">
        <v>4490</v>
      </c>
      <c r="BB251" s="4" t="n">
        <v>4795</v>
      </c>
      <c r="BC251" s="4" t="n">
        <v>4495</v>
      </c>
      <c r="BD251" s="4" t="n">
        <v>3795</v>
      </c>
      <c r="BE251" s="4" t="n">
        <v>3825</v>
      </c>
      <c r="BF251" s="4" t="n">
        <v>4100</v>
      </c>
      <c r="BG251" s="4" t="n">
        <v>4000</v>
      </c>
      <c r="BH251" s="4" t="n">
        <v>4095</v>
      </c>
      <c r="BI251" s="4" t="n">
        <v>3395</v>
      </c>
      <c r="BJ251" s="4" t="n">
        <v>2891</v>
      </c>
      <c r="BK251" s="4" t="n">
        <v>2940</v>
      </c>
      <c r="BL251" s="4" t="n">
        <v>2985</v>
      </c>
    </row>
    <row r="252">
      <c r="A252" s="65" t="inlineStr">
        <is>
          <t>300A</t>
        </is>
      </c>
      <c r="B252" s="4">
        <f>銘柄管理!C252</f>
        <v/>
      </c>
      <c r="C252" s="4">
        <f>_xll.RssMarket("300A","現在値")</f>
        <v/>
      </c>
      <c r="E252" s="4" t="n">
        <v>2800</v>
      </c>
      <c r="F252" s="4" t="n">
        <v>2847</v>
      </c>
      <c r="G252" s="4" t="n">
        <v>2810</v>
      </c>
      <c r="H252" s="4" t="n">
        <v>2867</v>
      </c>
      <c r="I252" s="4" t="n">
        <v>2780</v>
      </c>
      <c r="J252" s="4" t="n">
        <v>2800</v>
      </c>
      <c r="K252" s="4" t="n">
        <v>2737</v>
      </c>
      <c r="L252" s="4" t="n">
        <v>2804</v>
      </c>
      <c r="M252" s="4" t="n">
        <v>2755</v>
      </c>
      <c r="N252" s="4" t="n">
        <v>2804</v>
      </c>
      <c r="O252" s="4" t="n">
        <v>2844</v>
      </c>
      <c r="P252" s="4" t="n">
        <v>2872</v>
      </c>
      <c r="Q252" s="4" t="n">
        <v>2835</v>
      </c>
      <c r="R252" s="4" t="n">
        <v>2887</v>
      </c>
      <c r="S252" s="4" t="n">
        <v>2844</v>
      </c>
      <c r="T252" s="4" t="n">
        <v>2869</v>
      </c>
      <c r="U252" s="4" t="n">
        <v>2918</v>
      </c>
      <c r="V252" s="4" t="n">
        <v>2864</v>
      </c>
      <c r="W252" s="4" t="n">
        <v>2891</v>
      </c>
      <c r="X252" s="4" t="n">
        <v>2900</v>
      </c>
      <c r="Y252" s="4" t="n">
        <v>2874</v>
      </c>
      <c r="Z252" s="4" t="n">
        <v>2950</v>
      </c>
      <c r="AA252" s="4" t="n">
        <v>2604</v>
      </c>
      <c r="AB252" s="4" t="n">
        <v>2781</v>
      </c>
      <c r="AC252" s="4" t="n">
        <v>2731</v>
      </c>
      <c r="AD252" s="4" t="n">
        <v>2802</v>
      </c>
      <c r="AE252" s="4" t="n">
        <v>2782</v>
      </c>
      <c r="AF252" s="4" t="n">
        <v>2753</v>
      </c>
      <c r="AG252" s="4" t="n">
        <v>2795</v>
      </c>
      <c r="AH252" s="4" t="n">
        <v>2768</v>
      </c>
      <c r="AI252" s="4" t="n">
        <v>2849</v>
      </c>
      <c r="AJ252" s="4" t="n">
        <v>2762</v>
      </c>
      <c r="AK252" s="4" t="n">
        <v>2879</v>
      </c>
      <c r="AL252" s="4" t="n">
        <v>2950</v>
      </c>
      <c r="AM252" s="4" t="n">
        <v>3060</v>
      </c>
      <c r="AN252" s="4" t="n">
        <v>3075</v>
      </c>
      <c r="AO252" s="4" t="n">
        <v>3045</v>
      </c>
      <c r="AP252" s="4" t="n">
        <v>2982</v>
      </c>
      <c r="AQ252" s="4" t="n">
        <v>2998</v>
      </c>
      <c r="AR252" s="4" t="n">
        <v>2945</v>
      </c>
      <c r="AS252" s="4" t="n">
        <v>2913</v>
      </c>
      <c r="AT252" s="4" t="n">
        <v>2898</v>
      </c>
      <c r="AU252" s="4" t="n">
        <v>2928</v>
      </c>
      <c r="AV252" s="4" t="n">
        <v>2853</v>
      </c>
      <c r="AW252" s="4" t="n">
        <v>2820</v>
      </c>
      <c r="AX252" s="4" t="n">
        <v>2824</v>
      </c>
      <c r="AY252" s="4" t="n">
        <v>2842</v>
      </c>
      <c r="AZ252" s="4" t="n">
        <v>2845</v>
      </c>
      <c r="BA252" s="4" t="n">
        <v>2808</v>
      </c>
      <c r="BB252" s="4" t="n">
        <v>2865</v>
      </c>
      <c r="BC252" s="4" t="n">
        <v>2749</v>
      </c>
      <c r="BD252" s="4" t="n">
        <v>2720</v>
      </c>
      <c r="BE252" s="4" t="n">
        <v>2842</v>
      </c>
      <c r="BF252" s="4" t="n">
        <v>2770</v>
      </c>
      <c r="BG252" s="4" t="n">
        <v>2818</v>
      </c>
      <c r="BH252" s="4" t="n">
        <v>2725</v>
      </c>
      <c r="BI252" s="4" t="n">
        <v>2650</v>
      </c>
      <c r="BJ252" s="4" t="n">
        <v>2774</v>
      </c>
      <c r="BK252" s="4" t="n">
        <v>2834</v>
      </c>
      <c r="BL252" s="4" t="n">
        <v>2784</v>
      </c>
    </row>
    <row r="253">
      <c r="A253" s="65" t="inlineStr">
        <is>
          <t>4776</t>
        </is>
      </c>
      <c r="B253" s="4">
        <f>銘柄管理!C253</f>
        <v/>
      </c>
      <c r="C253" s="4">
        <f>_xll.RssMarket("4776","現在値")</f>
        <v/>
      </c>
      <c r="E253" s="4" t="n">
        <v>2295</v>
      </c>
      <c r="F253" s="4" t="n">
        <v>2317</v>
      </c>
      <c r="G253" s="4" t="n">
        <v>2299</v>
      </c>
      <c r="H253" s="4" t="n">
        <v>2297</v>
      </c>
      <c r="I253" s="4" t="n">
        <v>2293</v>
      </c>
      <c r="J253" s="4" t="n">
        <v>2322</v>
      </c>
      <c r="K253" s="4" t="n">
        <v>2339</v>
      </c>
      <c r="L253" s="4" t="n">
        <v>2368</v>
      </c>
      <c r="M253" s="4" t="n">
        <v>2462</v>
      </c>
      <c r="N253" s="4" t="n">
        <v>2400</v>
      </c>
      <c r="O253" s="4" t="n">
        <v>2469</v>
      </c>
      <c r="P253" s="4" t="n">
        <v>2657</v>
      </c>
      <c r="Q253" s="4" t="n">
        <v>2597</v>
      </c>
      <c r="R253" s="4" t="n">
        <v>2539</v>
      </c>
      <c r="S253" s="4" t="n">
        <v>2515</v>
      </c>
      <c r="T253" s="4" t="n">
        <v>2559</v>
      </c>
      <c r="U253" s="4" t="n">
        <v>2587</v>
      </c>
      <c r="V253" s="4" t="n">
        <v>2513</v>
      </c>
      <c r="W253" s="4" t="n">
        <v>2495</v>
      </c>
      <c r="X253" s="4" t="n">
        <v>2452</v>
      </c>
      <c r="Y253" s="4" t="n">
        <v>2449</v>
      </c>
      <c r="Z253" s="4" t="n">
        <v>2365</v>
      </c>
      <c r="AA253" s="4" t="n">
        <v>2392</v>
      </c>
      <c r="AB253" s="4" t="n">
        <v>2124</v>
      </c>
      <c r="AC253" s="4" t="n">
        <v>2197</v>
      </c>
      <c r="AD253" s="4" t="n">
        <v>2136</v>
      </c>
      <c r="AE253" s="4" t="n">
        <v>2178</v>
      </c>
      <c r="AF253" s="4" t="n">
        <v>2185</v>
      </c>
      <c r="AG253" s="4" t="n">
        <v>2121</v>
      </c>
      <c r="AH253" s="4" t="n">
        <v>2082</v>
      </c>
      <c r="AI253" s="4" t="n">
        <v>2078</v>
      </c>
      <c r="AJ253" s="4" t="n">
        <v>2116</v>
      </c>
      <c r="AK253" s="4" t="n">
        <v>2113</v>
      </c>
      <c r="AL253" s="4" t="n">
        <v>2116</v>
      </c>
      <c r="AM253" s="4" t="n">
        <v>2116</v>
      </c>
      <c r="AN253" s="4" t="n">
        <v>2158</v>
      </c>
      <c r="AO253" s="4" t="n">
        <v>2133</v>
      </c>
      <c r="AP253" s="4" t="n">
        <v>2180</v>
      </c>
      <c r="AQ253" s="4" t="n">
        <v>2282</v>
      </c>
      <c r="AR253" s="4" t="n">
        <v>2187</v>
      </c>
      <c r="AS253" s="4" t="n">
        <v>2113</v>
      </c>
      <c r="AT253" s="4" t="n">
        <v>2041</v>
      </c>
      <c r="AU253" s="4" t="n">
        <v>1965</v>
      </c>
      <c r="AV253" s="4" t="n">
        <v>1977</v>
      </c>
      <c r="AW253" s="4" t="n">
        <v>2038</v>
      </c>
      <c r="AX253" s="4" t="n">
        <v>2113</v>
      </c>
      <c r="AY253" s="4" t="n">
        <v>2083</v>
      </c>
      <c r="AZ253" s="4" t="n">
        <v>2053</v>
      </c>
      <c r="BA253" s="4" t="n">
        <v>2033</v>
      </c>
      <c r="BB253" s="4" t="n">
        <v>2037</v>
      </c>
      <c r="BC253" s="4" t="n">
        <v>2087</v>
      </c>
      <c r="BD253" s="4" t="n">
        <v>2067</v>
      </c>
      <c r="BE253" s="4" t="n">
        <v>2044</v>
      </c>
      <c r="BF253" s="4" t="n">
        <v>2098</v>
      </c>
      <c r="BG253" s="4" t="n">
        <v>2048</v>
      </c>
      <c r="BH253" s="4" t="n">
        <v>2065</v>
      </c>
      <c r="BI253" s="4" t="n">
        <v>2044</v>
      </c>
      <c r="BJ253" s="4" t="n">
        <v>1992</v>
      </c>
      <c r="BK253" s="4" t="n">
        <v>2082</v>
      </c>
      <c r="BL253" s="4" t="n">
        <v>2152</v>
      </c>
    </row>
    <row r="254">
      <c r="A254" s="65" t="inlineStr">
        <is>
          <t>4704</t>
        </is>
      </c>
      <c r="B254" s="4">
        <f>銘柄管理!C254</f>
        <v/>
      </c>
      <c r="C254" s="4">
        <f>_xll.RssMarket("4704","現在値")</f>
        <v/>
      </c>
      <c r="E254" s="4" t="n">
        <v>5646</v>
      </c>
      <c r="F254" s="4" t="n">
        <v>5606</v>
      </c>
      <c r="G254" s="4" t="n">
        <v>5820</v>
      </c>
      <c r="H254" s="4" t="n">
        <v>5749</v>
      </c>
      <c r="I254" s="4" t="n">
        <v>5900</v>
      </c>
      <c r="J254" s="4" t="n">
        <v>6135</v>
      </c>
      <c r="K254" s="4" t="n">
        <v>6217</v>
      </c>
      <c r="L254" s="4" t="n">
        <v>6328</v>
      </c>
      <c r="M254" s="4" t="n">
        <v>6678</v>
      </c>
      <c r="N254" s="4" t="n">
        <v>6225</v>
      </c>
      <c r="O254" s="4" t="n">
        <v>6333</v>
      </c>
      <c r="P254" s="4" t="n">
        <v>6351</v>
      </c>
      <c r="Q254" s="4" t="n">
        <v>6353</v>
      </c>
      <c r="R254" s="4" t="n">
        <v>6010</v>
      </c>
      <c r="S254" s="4" t="n">
        <v>5880</v>
      </c>
      <c r="T254" s="4" t="n">
        <v>6065</v>
      </c>
      <c r="U254" s="4" t="n">
        <v>6356</v>
      </c>
      <c r="V254" s="4" t="n">
        <v>6184</v>
      </c>
      <c r="W254" s="4" t="n">
        <v>5990</v>
      </c>
      <c r="X254" s="4" t="n">
        <v>5944</v>
      </c>
      <c r="Y254" s="4" t="n">
        <v>6113</v>
      </c>
      <c r="Z254" s="4" t="n">
        <v>5905</v>
      </c>
      <c r="AA254" s="4" t="n">
        <v>5537</v>
      </c>
      <c r="AB254" s="4" t="n">
        <v>5471</v>
      </c>
      <c r="AC254" s="4" t="n">
        <v>5607</v>
      </c>
      <c r="AD254" s="4" t="n">
        <v>5594</v>
      </c>
      <c r="AE254" s="4" t="n">
        <v>5645</v>
      </c>
      <c r="AF254" s="4" t="n">
        <v>5645</v>
      </c>
      <c r="AG254" s="4" t="n">
        <v>5535</v>
      </c>
      <c r="AH254" s="4" t="n">
        <v>5304</v>
      </c>
      <c r="AI254" s="4" t="n">
        <v>5476</v>
      </c>
      <c r="AJ254" s="4" t="n">
        <v>5611</v>
      </c>
      <c r="AK254" s="4" t="n">
        <v>5476</v>
      </c>
      <c r="AL254" s="4" t="n">
        <v>5576</v>
      </c>
      <c r="AM254" s="4" t="n">
        <v>5765</v>
      </c>
      <c r="AN254" s="4" t="n">
        <v>5879</v>
      </c>
      <c r="AO254" s="4" t="n">
        <v>5986</v>
      </c>
      <c r="AP254" s="4" t="n">
        <v>5756</v>
      </c>
      <c r="AQ254" s="4" t="n">
        <v>5978</v>
      </c>
      <c r="AR254" s="4" t="n">
        <v>5998</v>
      </c>
      <c r="AS254" s="4" t="n">
        <v>5459</v>
      </c>
      <c r="AT254" s="4" t="n">
        <v>5361</v>
      </c>
      <c r="AU254" s="4" t="n">
        <v>5143</v>
      </c>
      <c r="AV254" s="4" t="n">
        <v>5135</v>
      </c>
      <c r="AW254" s="4" t="n">
        <v>5356</v>
      </c>
      <c r="AX254" s="4" t="n">
        <v>5504</v>
      </c>
      <c r="AY254" s="4" t="n">
        <v>5365</v>
      </c>
      <c r="AZ254" s="4" t="n">
        <v>5324</v>
      </c>
      <c r="BA254" s="4" t="n">
        <v>5316</v>
      </c>
      <c r="BB254" s="4" t="n">
        <v>5301</v>
      </c>
      <c r="BC254" s="4" t="n">
        <v>5371</v>
      </c>
      <c r="BD254" s="4" t="n">
        <v>5240</v>
      </c>
      <c r="BE254" s="4" t="n">
        <v>5172</v>
      </c>
      <c r="BF254" s="4" t="n">
        <v>5338</v>
      </c>
      <c r="BG254" s="4" t="n">
        <v>5217</v>
      </c>
      <c r="BH254" s="4" t="n">
        <v>5323</v>
      </c>
      <c r="BI254" s="4" t="n">
        <v>5363</v>
      </c>
      <c r="BJ254" s="4" t="n">
        <v>5295</v>
      </c>
      <c r="BK254" s="4" t="n">
        <v>5347</v>
      </c>
      <c r="BL254" s="4" t="n">
        <v>5343</v>
      </c>
    </row>
    <row r="255">
      <c r="A255" s="65" t="inlineStr">
        <is>
          <t>6370</t>
        </is>
      </c>
      <c r="B255" s="4">
        <f>銘柄管理!C255</f>
        <v/>
      </c>
      <c r="C255" s="4">
        <f>_xll.RssMarket("6370","現在値")</f>
        <v/>
      </c>
      <c r="E255" s="4" t="n">
        <v>9562</v>
      </c>
      <c r="F255" s="4" t="n">
        <v>9563</v>
      </c>
      <c r="G255" s="4" t="n">
        <v>9370</v>
      </c>
      <c r="H255" s="4" t="n">
        <v>9187</v>
      </c>
      <c r="I255" s="4" t="n">
        <v>8383</v>
      </c>
      <c r="J255" s="4" t="n">
        <v>8125</v>
      </c>
      <c r="K255" s="4" t="n">
        <v>8200</v>
      </c>
      <c r="L255" s="4" t="n">
        <v>8279</v>
      </c>
      <c r="M255" s="4" t="n">
        <v>8769</v>
      </c>
      <c r="N255" s="4" t="n">
        <v>8839</v>
      </c>
      <c r="O255" s="4" t="n">
        <v>8856</v>
      </c>
      <c r="P255" s="4" t="n">
        <v>8490</v>
      </c>
      <c r="Q255" s="4" t="n">
        <v>8699</v>
      </c>
      <c r="R255" s="4" t="n">
        <v>8753</v>
      </c>
      <c r="S255" s="4" t="n">
        <v>8691</v>
      </c>
      <c r="T255" s="4" t="n">
        <v>8819</v>
      </c>
      <c r="U255" s="4" t="n">
        <v>8776</v>
      </c>
      <c r="V255" s="4" t="n">
        <v>8684</v>
      </c>
      <c r="W255" s="4" t="n">
        <v>8563</v>
      </c>
      <c r="X255" s="4" t="n">
        <v>8388</v>
      </c>
      <c r="Y255" s="4" t="n">
        <v>8766</v>
      </c>
      <c r="Z255" s="4" t="n">
        <v>8720</v>
      </c>
      <c r="AA255" s="4" t="n">
        <v>9000</v>
      </c>
      <c r="AB255" s="4" t="n">
        <v>8809</v>
      </c>
      <c r="AC255" s="4" t="n">
        <v>8917</v>
      </c>
      <c r="AD255" s="4" t="n">
        <v>9036</v>
      </c>
      <c r="AE255" s="4" t="n">
        <v>8937</v>
      </c>
      <c r="AF255" s="4" t="n">
        <v>8648</v>
      </c>
      <c r="AG255" s="4" t="n">
        <v>8358</v>
      </c>
      <c r="AH255" s="4" t="n">
        <v>8044</v>
      </c>
      <c r="AI255" s="4" t="n">
        <v>8429</v>
      </c>
      <c r="AJ255" s="4" t="n">
        <v>8477</v>
      </c>
      <c r="AK255" s="4" t="n">
        <v>8303</v>
      </c>
      <c r="AL255" s="4" t="n">
        <v>7796</v>
      </c>
      <c r="AM255" s="4" t="n">
        <v>7827</v>
      </c>
      <c r="AN255" s="4" t="n">
        <v>7818</v>
      </c>
      <c r="AO255" s="4" t="n">
        <v>8038</v>
      </c>
      <c r="AP255" s="4" t="n">
        <v>8163</v>
      </c>
      <c r="AQ255" s="4" t="n">
        <v>8080</v>
      </c>
      <c r="AR255" s="4" t="n">
        <v>7971</v>
      </c>
      <c r="AS255" s="4" t="n">
        <v>7916</v>
      </c>
      <c r="AT255" s="4" t="n">
        <v>7947</v>
      </c>
      <c r="AU255" s="4" t="n">
        <v>8090</v>
      </c>
      <c r="AV255" s="4" t="n">
        <v>8118</v>
      </c>
      <c r="AW255" s="4" t="n">
        <v>8059</v>
      </c>
      <c r="AX255" s="4" t="n">
        <v>8115</v>
      </c>
      <c r="AY255" s="4" t="n">
        <v>7748</v>
      </c>
      <c r="AZ255" s="4" t="n">
        <v>7704</v>
      </c>
      <c r="BA255" s="4" t="n">
        <v>7685</v>
      </c>
      <c r="BB255" s="4" t="n">
        <v>7573</v>
      </c>
      <c r="BC255" s="4" t="n">
        <v>7730</v>
      </c>
      <c r="BD255" s="4" t="n">
        <v>7328</v>
      </c>
      <c r="BE255" s="4" t="n">
        <v>7353</v>
      </c>
      <c r="BF255" s="4" t="n">
        <v>7674</v>
      </c>
      <c r="BG255" s="4" t="n">
        <v>7745</v>
      </c>
      <c r="BH255" s="4" t="n">
        <v>7702</v>
      </c>
      <c r="BI255" s="4" t="n">
        <v>7522</v>
      </c>
      <c r="BJ255" s="4" t="n">
        <v>7186</v>
      </c>
      <c r="BK255" s="4" t="n">
        <v>7698</v>
      </c>
      <c r="BL255" s="4" t="n">
        <v>7974</v>
      </c>
    </row>
    <row r="256">
      <c r="A256" s="65" t="inlineStr">
        <is>
          <t>7014</t>
        </is>
      </c>
      <c r="B256" s="4">
        <f>銘柄管理!C256</f>
        <v/>
      </c>
      <c r="C256" s="4">
        <f>_xll.RssMarket("7014","現在値")</f>
        <v/>
      </c>
      <c r="E256" s="4" t="n">
        <v>3840</v>
      </c>
      <c r="F256" s="4" t="n">
        <v>3875</v>
      </c>
      <c r="G256" s="4" t="n">
        <v>3770</v>
      </c>
      <c r="H256" s="4" t="n">
        <v>3545</v>
      </c>
      <c r="I256" s="4" t="n">
        <v>3430</v>
      </c>
      <c r="J256" s="4" t="n">
        <v>3415</v>
      </c>
      <c r="K256" s="4" t="n">
        <v>3590</v>
      </c>
      <c r="L256" s="4" t="n">
        <v>3695</v>
      </c>
      <c r="M256" s="4" t="n">
        <v>3445</v>
      </c>
      <c r="N256" s="4" t="n">
        <v>3555</v>
      </c>
      <c r="O256" s="4" t="n">
        <v>3470</v>
      </c>
      <c r="P256" s="4" t="n">
        <v>3525</v>
      </c>
      <c r="Q256" s="4" t="n">
        <v>3735</v>
      </c>
      <c r="R256" s="4" t="n">
        <v>3800</v>
      </c>
      <c r="S256" s="4" t="n">
        <v>4075</v>
      </c>
      <c r="T256" s="4" t="n">
        <v>4080</v>
      </c>
      <c r="U256" s="4" t="n">
        <v>3815</v>
      </c>
      <c r="V256" s="4" t="n">
        <v>8563</v>
      </c>
      <c r="W256" s="4" t="n">
        <v>8388</v>
      </c>
      <c r="X256" s="4" t="n">
        <v>8766</v>
      </c>
      <c r="Y256" s="4" t="n">
        <v>8720</v>
      </c>
      <c r="Z256" s="4" t="n">
        <v>9000</v>
      </c>
      <c r="AA256" s="4" t="n">
        <v>8809</v>
      </c>
      <c r="AB256" s="4" t="n">
        <v>8917</v>
      </c>
      <c r="AC256" s="4" t="n">
        <v>9036</v>
      </c>
      <c r="AD256" s="4" t="n">
        <v>8937</v>
      </c>
      <c r="AE256" s="4" t="n">
        <v>8648</v>
      </c>
      <c r="AF256" s="4" t="n">
        <v>8358</v>
      </c>
      <c r="AG256" s="4" t="n">
        <v>8044</v>
      </c>
      <c r="AH256" s="4" t="n">
        <v>8429</v>
      </c>
      <c r="AI256" s="4" t="n">
        <v>8477</v>
      </c>
      <c r="AJ256" s="4" t="n">
        <v>8303</v>
      </c>
      <c r="AK256" s="4" t="n">
        <v>7796</v>
      </c>
      <c r="AL256" s="4" t="n">
        <v>7827</v>
      </c>
      <c r="AM256" s="4" t="n">
        <v>7818</v>
      </c>
      <c r="AN256" s="4" t="n">
        <v>8038</v>
      </c>
      <c r="AO256" s="4" t="n">
        <v>8163</v>
      </c>
      <c r="AP256" s="4" t="n">
        <v>8080</v>
      </c>
      <c r="AQ256" s="4" t="n">
        <v>7971</v>
      </c>
      <c r="AR256" s="4" t="n">
        <v>7916</v>
      </c>
      <c r="AS256" s="4" t="n">
        <v>7947</v>
      </c>
      <c r="AT256" s="4" t="n">
        <v>8090</v>
      </c>
      <c r="AU256" s="4" t="n">
        <v>8118</v>
      </c>
      <c r="AV256" s="4" t="n">
        <v>8059</v>
      </c>
      <c r="AW256" s="4" t="n">
        <v>8115</v>
      </c>
      <c r="AX256" s="4" t="n">
        <v>7748</v>
      </c>
      <c r="AY256" s="4" t="n">
        <v>7704</v>
      </c>
      <c r="AZ256" s="4" t="n">
        <v>7685</v>
      </c>
      <c r="BA256" s="4" t="n">
        <v>7573</v>
      </c>
      <c r="BB256" s="4" t="n">
        <v>7730</v>
      </c>
      <c r="BC256" s="4" t="n">
        <v>7328</v>
      </c>
      <c r="BD256" s="4" t="n">
        <v>7353</v>
      </c>
      <c r="BE256" s="4" t="n">
        <v>7674</v>
      </c>
      <c r="BF256" s="4" t="n">
        <v>7745</v>
      </c>
      <c r="BG256" s="4" t="n">
        <v>7702</v>
      </c>
      <c r="BH256" s="4" t="n">
        <v>7522</v>
      </c>
      <c r="BI256" s="4" t="n">
        <v>7186</v>
      </c>
      <c r="BJ256" s="4" t="n">
        <v>7698</v>
      </c>
      <c r="BK256" s="4" t="n">
        <v>7974</v>
      </c>
      <c r="BL256" s="4" t="n">
        <v>7826</v>
      </c>
    </row>
    <row r="257">
      <c r="A257" s="65" t="inlineStr">
        <is>
          <t>9880</t>
        </is>
      </c>
      <c r="B257" s="4">
        <f>銘柄管理!C257</f>
        <v/>
      </c>
      <c r="C257" s="4">
        <f>_xll.RssMarket("9880","現在値")</f>
        <v/>
      </c>
      <c r="E257" s="4" t="n">
        <v>4555</v>
      </c>
      <c r="F257" s="4" t="n">
        <v>4260</v>
      </c>
      <c r="G257" s="4" t="n">
        <v>4115</v>
      </c>
      <c r="H257" s="4" t="n">
        <v>3955</v>
      </c>
      <c r="I257" s="4" t="n">
        <v>4005</v>
      </c>
      <c r="J257" s="4" t="n">
        <v>4035</v>
      </c>
      <c r="K257" s="4" t="n">
        <v>4100</v>
      </c>
      <c r="L257" s="4" t="n">
        <v>4195</v>
      </c>
      <c r="M257" s="4" t="n">
        <v>4480</v>
      </c>
      <c r="N257" s="4" t="n">
        <v>4530</v>
      </c>
      <c r="O257" s="4" t="n">
        <v>4370</v>
      </c>
      <c r="P257" s="4" t="n">
        <v>4270</v>
      </c>
      <c r="Q257" s="4" t="n">
        <v>4345</v>
      </c>
      <c r="R257" s="4" t="n">
        <v>4185</v>
      </c>
      <c r="S257" s="4" t="n">
        <v>4320</v>
      </c>
      <c r="T257" s="4" t="n">
        <v>4310</v>
      </c>
      <c r="U257" s="4" t="n">
        <v>4585</v>
      </c>
      <c r="V257" s="4" t="n">
        <v>4345</v>
      </c>
      <c r="W257" s="4" t="n">
        <v>4305</v>
      </c>
      <c r="X257" s="4" t="n">
        <v>4100</v>
      </c>
      <c r="Y257" s="4" t="n">
        <v>4280</v>
      </c>
      <c r="Z257" s="4" t="n">
        <v>4540</v>
      </c>
      <c r="AA257" s="4" t="n">
        <v>3840</v>
      </c>
      <c r="AB257" s="4" t="n">
        <v>3345</v>
      </c>
      <c r="AC257" s="4" t="n">
        <v>3290</v>
      </c>
      <c r="AD257" s="4" t="n">
        <v>3370</v>
      </c>
      <c r="AE257" s="4" t="n">
        <v>3385</v>
      </c>
      <c r="AF257" s="4" t="n">
        <v>3220</v>
      </c>
      <c r="AG257" s="4" t="n">
        <v>3225</v>
      </c>
      <c r="AH257" s="4" t="n">
        <v>2823</v>
      </c>
      <c r="AI257" s="4" t="n">
        <v>2859</v>
      </c>
      <c r="AJ257" s="4" t="n">
        <v>2814</v>
      </c>
      <c r="AK257" s="4" t="n">
        <v>2764</v>
      </c>
      <c r="AL257" s="4" t="n">
        <v>2749</v>
      </c>
      <c r="AM257" s="4" t="n">
        <v>2633</v>
      </c>
      <c r="AN257" s="4" t="n">
        <v>2672</v>
      </c>
      <c r="AO257" s="4" t="n">
        <v>2737</v>
      </c>
      <c r="AP257" s="4" t="n">
        <v>2755</v>
      </c>
      <c r="AQ257" s="4" t="n">
        <v>2807</v>
      </c>
      <c r="AR257" s="4" t="n">
        <v>2895</v>
      </c>
      <c r="AS257" s="4" t="n">
        <v>2852</v>
      </c>
      <c r="AT257" s="4" t="n">
        <v>2678</v>
      </c>
      <c r="AU257" s="4" t="n">
        <v>2610</v>
      </c>
      <c r="AV257" s="4" t="n">
        <v>2594</v>
      </c>
      <c r="AW257" s="4" t="n">
        <v>2575</v>
      </c>
      <c r="AX257" s="4" t="n">
        <v>2624</v>
      </c>
      <c r="AY257" s="4" t="n">
        <v>2478</v>
      </c>
      <c r="AZ257" s="4" t="n">
        <v>2508</v>
      </c>
      <c r="BA257" s="4" t="n">
        <v>2479</v>
      </c>
      <c r="BB257" s="4" t="n">
        <v>2443</v>
      </c>
      <c r="BC257" s="4" t="n">
        <v>2495</v>
      </c>
      <c r="BD257" s="4" t="n">
        <v>2401</v>
      </c>
      <c r="BE257" s="4" t="n">
        <v>2401</v>
      </c>
      <c r="BF257" s="4" t="n">
        <v>2567</v>
      </c>
      <c r="BG257" s="4" t="n">
        <v>2597</v>
      </c>
      <c r="BH257" s="4" t="n">
        <v>2559</v>
      </c>
      <c r="BI257" s="4" t="n">
        <v>2476</v>
      </c>
      <c r="BJ257" s="4" t="n">
        <v>2371</v>
      </c>
      <c r="BK257" s="4" t="n">
        <v>2532</v>
      </c>
      <c r="BL257" s="4" t="n">
        <v>2660</v>
      </c>
    </row>
    <row r="258">
      <c r="A258" s="65" t="inlineStr">
        <is>
          <t>5253</t>
        </is>
      </c>
      <c r="B258" s="4">
        <f>銘柄管理!C258</f>
        <v/>
      </c>
      <c r="C258" s="4">
        <f>_xll.RssMarket("5253","現在値")</f>
        <v/>
      </c>
      <c r="E258" s="4" t="n">
        <v>1282</v>
      </c>
      <c r="F258" s="4" t="n">
        <v>1301</v>
      </c>
      <c r="G258" s="4" t="n">
        <v>1449</v>
      </c>
      <c r="H258" s="4" t="n">
        <v>1415</v>
      </c>
      <c r="I258" s="4" t="n">
        <v>1429</v>
      </c>
      <c r="J258" s="4" t="n">
        <v>1522</v>
      </c>
      <c r="K258" s="4" t="n">
        <v>1520</v>
      </c>
      <c r="L258" s="4" t="n">
        <v>1636</v>
      </c>
      <c r="M258" s="4" t="n">
        <v>1630</v>
      </c>
      <c r="N258" s="4" t="n">
        <v>1600</v>
      </c>
      <c r="O258" s="4" t="n">
        <v>1637</v>
      </c>
      <c r="P258" s="4" t="n">
        <v>1633</v>
      </c>
      <c r="Q258" s="4" t="n">
        <v>1600</v>
      </c>
      <c r="R258" s="4" t="n">
        <v>1587</v>
      </c>
      <c r="S258" s="4" t="n">
        <v>1564</v>
      </c>
      <c r="T258" s="4" t="n">
        <v>1693</v>
      </c>
      <c r="U258" s="4" t="n">
        <v>1760</v>
      </c>
      <c r="V258" s="4" t="n">
        <v>1743</v>
      </c>
      <c r="W258" s="4" t="n">
        <v>1700</v>
      </c>
      <c r="X258" s="4" t="n">
        <v>1671</v>
      </c>
      <c r="Y258" s="4" t="n">
        <v>1572</v>
      </c>
      <c r="Z258" s="4" t="n">
        <v>1466</v>
      </c>
      <c r="AA258" s="4" t="n">
        <v>1433</v>
      </c>
      <c r="AB258" s="4" t="n">
        <v>1430</v>
      </c>
      <c r="AC258" s="4" t="n">
        <v>1382</v>
      </c>
      <c r="AD258" s="4" t="n">
        <v>1411</v>
      </c>
      <c r="AE258" s="4" t="n">
        <v>1418</v>
      </c>
      <c r="AF258" s="4" t="n">
        <v>1415</v>
      </c>
      <c r="AG258" s="4" t="n">
        <v>1435</v>
      </c>
      <c r="AH258" s="4" t="n">
        <v>1372</v>
      </c>
      <c r="AI258" s="4" t="n">
        <v>1376</v>
      </c>
      <c r="AJ258" s="4" t="n">
        <v>1350</v>
      </c>
      <c r="AK258" s="4" t="n">
        <v>1385</v>
      </c>
      <c r="AL258" s="4" t="n">
        <v>1419</v>
      </c>
      <c r="AM258" s="4" t="n">
        <v>1425</v>
      </c>
      <c r="AN258" s="4" t="n">
        <v>1449</v>
      </c>
      <c r="AO258" s="4" t="n">
        <v>1450</v>
      </c>
      <c r="AP258" s="4" t="n">
        <v>1465</v>
      </c>
      <c r="AQ258" s="4" t="n">
        <v>1441</v>
      </c>
      <c r="AR258" s="4" t="n">
        <v>1470</v>
      </c>
      <c r="AS258" s="4" t="n">
        <v>1441</v>
      </c>
      <c r="AT258" s="4" t="n">
        <v>1408</v>
      </c>
      <c r="AU258" s="4" t="n">
        <v>1425</v>
      </c>
      <c r="AV258" s="4" t="n">
        <v>1476</v>
      </c>
      <c r="AW258" s="4" t="n">
        <v>1542</v>
      </c>
      <c r="AX258" s="4" t="n">
        <v>1419</v>
      </c>
      <c r="AY258" s="4" t="n">
        <v>1390</v>
      </c>
      <c r="AZ258" s="4" t="n">
        <v>1377</v>
      </c>
      <c r="BA258" s="4" t="n">
        <v>1340</v>
      </c>
      <c r="BB258" s="4" t="n">
        <v>1390</v>
      </c>
      <c r="BC258" s="4" t="n">
        <v>1336</v>
      </c>
      <c r="BD258" s="4" t="n">
        <v>1340</v>
      </c>
      <c r="BE258" s="4" t="n">
        <v>1389</v>
      </c>
      <c r="BF258" s="4" t="n">
        <v>1395</v>
      </c>
      <c r="BG258" s="4" t="n">
        <v>1471</v>
      </c>
      <c r="BH258" s="4" t="n">
        <v>1413</v>
      </c>
      <c r="BI258" s="4" t="n">
        <v>1411</v>
      </c>
      <c r="BJ258" s="4" t="n">
        <v>1610</v>
      </c>
      <c r="BK258" s="4" t="n">
        <v>1611</v>
      </c>
      <c r="BL258" s="4" t="n">
        <v>1637</v>
      </c>
    </row>
    <row r="259">
      <c r="A259" s="65" t="inlineStr">
        <is>
          <t>9104</t>
        </is>
      </c>
      <c r="B259" s="4">
        <f>銘柄管理!C259</f>
        <v/>
      </c>
      <c r="C259" s="4">
        <f>_xll.RssMarket("9104","現在値")</f>
        <v/>
      </c>
      <c r="E259" s="4" t="n">
        <v>5293</v>
      </c>
      <c r="F259" s="4" t="n">
        <v>5264</v>
      </c>
      <c r="G259" s="4" t="n">
        <v>5438</v>
      </c>
      <c r="H259" s="4" t="n">
        <v>5559</v>
      </c>
      <c r="I259" s="4" t="n">
        <v>5765</v>
      </c>
      <c r="J259" s="4" t="n">
        <v>5712</v>
      </c>
      <c r="K259" s="4" t="n">
        <v>5689</v>
      </c>
      <c r="L259" s="4" t="n">
        <v>5767</v>
      </c>
      <c r="M259" s="4" t="n">
        <v>5801</v>
      </c>
      <c r="N259" s="4" t="n">
        <v>5534</v>
      </c>
      <c r="O259" s="4" t="n">
        <v>5459</v>
      </c>
      <c r="P259" s="4" t="n">
        <v>5500</v>
      </c>
      <c r="Q259" s="4" t="n">
        <v>5385</v>
      </c>
      <c r="R259" s="4" t="n">
        <v>5476</v>
      </c>
      <c r="S259" s="4" t="n">
        <v>5433</v>
      </c>
      <c r="T259" s="4" t="n">
        <v>5454</v>
      </c>
      <c r="U259" s="4" t="n">
        <v>5560</v>
      </c>
      <c r="V259" s="4" t="n">
        <v>5650</v>
      </c>
      <c r="W259" s="4" t="n">
        <v>5709</v>
      </c>
      <c r="X259" s="4" t="n">
        <v>5795</v>
      </c>
      <c r="Y259" s="4" t="n">
        <v>5824</v>
      </c>
      <c r="Z259" s="4" t="n">
        <v>5851</v>
      </c>
      <c r="AA259" s="4" t="n">
        <v>5863</v>
      </c>
      <c r="AB259" s="4" t="n">
        <v>5901</v>
      </c>
      <c r="AC259" s="4" t="n">
        <v>5873</v>
      </c>
      <c r="AD259" s="4" t="n">
        <v>5846</v>
      </c>
      <c r="AE259" s="4" t="n">
        <v>5802</v>
      </c>
      <c r="AF259" s="4" t="n">
        <v>5774</v>
      </c>
      <c r="AG259" s="4" t="n">
        <v>5870</v>
      </c>
      <c r="AH259" s="4" t="n">
        <v>5917</v>
      </c>
      <c r="AI259" s="4" t="n">
        <v>5935</v>
      </c>
      <c r="AJ259" s="4" t="n">
        <v>5965</v>
      </c>
      <c r="AK259" s="4" t="n">
        <v>5773</v>
      </c>
      <c r="AL259" s="4" t="n">
        <v>6122</v>
      </c>
      <c r="AM259" s="4" t="n">
        <v>5999</v>
      </c>
      <c r="AN259" s="4" t="n">
        <v>6089</v>
      </c>
      <c r="AO259" s="4" t="n">
        <v>6088</v>
      </c>
      <c r="AP259" s="4" t="n">
        <v>6106</v>
      </c>
      <c r="AQ259" s="4" t="n">
        <v>6307</v>
      </c>
      <c r="AR259" s="4" t="n">
        <v>6380</v>
      </c>
      <c r="AS259" s="4" t="n">
        <v>6362</v>
      </c>
      <c r="AT259" s="4" t="n">
        <v>6408</v>
      </c>
      <c r="AU259" s="4" t="n">
        <v>6387</v>
      </c>
      <c r="AV259" s="4" t="n">
        <v>6473</v>
      </c>
      <c r="AW259" s="4" t="n">
        <v>6631</v>
      </c>
      <c r="AX259" s="4" t="n">
        <v>6593</v>
      </c>
      <c r="AY259" s="4" t="n">
        <v>6870</v>
      </c>
      <c r="AZ259" s="4" t="n">
        <v>6851</v>
      </c>
      <c r="BA259" s="4" t="n">
        <v>6766</v>
      </c>
      <c r="BB259" s="4" t="n">
        <v>6603</v>
      </c>
      <c r="BC259" s="4" t="n">
        <v>6498</v>
      </c>
      <c r="BD259" s="4" t="n">
        <v>6496</v>
      </c>
      <c r="BE259" s="4" t="n">
        <v>6763</v>
      </c>
      <c r="BF259" s="4" t="n">
        <v>7022</v>
      </c>
      <c r="BG259" s="4" t="n">
        <v>6862</v>
      </c>
      <c r="BH259" s="4" t="n">
        <v>6532</v>
      </c>
      <c r="BI259" s="4" t="n">
        <v>6410</v>
      </c>
      <c r="BJ259" s="4" t="n">
        <v>6382</v>
      </c>
      <c r="BK259" s="4" t="n">
        <v>6976</v>
      </c>
      <c r="BL259" s="4" t="n">
        <v>7014</v>
      </c>
    </row>
    <row r="260">
      <c r="A260" s="65" t="inlineStr">
        <is>
          <t>6366</t>
        </is>
      </c>
      <c r="B260" s="4">
        <f>銘柄管理!C260</f>
        <v/>
      </c>
      <c r="C260" s="4">
        <f>_xll.RssMarket("6366","現在値")</f>
        <v/>
      </c>
      <c r="E260" s="4" t="n">
        <v>727</v>
      </c>
      <c r="F260" s="4" t="n">
        <v>760</v>
      </c>
      <c r="G260" s="4" t="n">
        <v>798</v>
      </c>
      <c r="H260" s="4" t="n">
        <v>762</v>
      </c>
      <c r="I260" s="4" t="n">
        <v>708</v>
      </c>
      <c r="J260" s="4" t="n">
        <v>668</v>
      </c>
      <c r="K260" s="4" t="n">
        <v>670</v>
      </c>
      <c r="L260" s="4" t="n">
        <v>694</v>
      </c>
      <c r="M260" s="4" t="n">
        <v>732</v>
      </c>
      <c r="N260" s="4" t="n">
        <v>717</v>
      </c>
      <c r="O260" s="4" t="n">
        <v>706</v>
      </c>
      <c r="P260" s="4" t="n">
        <v>722</v>
      </c>
      <c r="Q260" s="4" t="n">
        <v>727</v>
      </c>
      <c r="R260" s="4" t="n">
        <v>753</v>
      </c>
      <c r="S260" s="4" t="n">
        <v>745</v>
      </c>
      <c r="T260" s="4" t="n">
        <v>772</v>
      </c>
      <c r="U260" s="4" t="n">
        <v>811</v>
      </c>
      <c r="V260" s="4" t="n">
        <v>747</v>
      </c>
      <c r="W260" s="4" t="n">
        <v>712</v>
      </c>
      <c r="X260" s="4" t="n">
        <v>712</v>
      </c>
      <c r="Y260" s="4" t="n">
        <v>771</v>
      </c>
      <c r="Z260" s="4" t="n">
        <v>751</v>
      </c>
      <c r="AA260" s="4" t="n">
        <v>813</v>
      </c>
      <c r="AB260" s="4" t="n">
        <v>821</v>
      </c>
      <c r="AC260" s="4" t="n">
        <v>822</v>
      </c>
      <c r="AD260" s="4" t="n">
        <v>794</v>
      </c>
      <c r="AE260" s="4" t="n">
        <v>843</v>
      </c>
      <c r="AF260" s="4" t="n">
        <v>993</v>
      </c>
      <c r="AG260" s="4" t="n">
        <v>1045</v>
      </c>
      <c r="AH260" s="4" t="n">
        <v>1023</v>
      </c>
      <c r="AI260" s="4" t="n">
        <v>1011</v>
      </c>
      <c r="AJ260" s="4" t="n">
        <v>1074</v>
      </c>
      <c r="AK260" s="4" t="n">
        <v>1027</v>
      </c>
      <c r="AL260" s="4" t="n">
        <v>1027</v>
      </c>
      <c r="AM260" s="4" t="n">
        <v>1064</v>
      </c>
      <c r="AN260" s="4" t="n">
        <v>1064</v>
      </c>
      <c r="AO260" s="4" t="n">
        <v>1091</v>
      </c>
      <c r="AP260" s="4" t="n">
        <v>1111</v>
      </c>
      <c r="AQ260" s="4" t="n">
        <v>1155</v>
      </c>
      <c r="AR260" s="4" t="n">
        <v>1173</v>
      </c>
      <c r="AS260" s="4" t="n">
        <v>1118</v>
      </c>
      <c r="AT260" s="4" t="n">
        <v>1135</v>
      </c>
      <c r="AU260" s="4" t="n">
        <v>1132</v>
      </c>
      <c r="AV260" s="4" t="n">
        <v>1165</v>
      </c>
      <c r="AW260" s="4" t="n">
        <v>1214</v>
      </c>
      <c r="AX260" s="4" t="n">
        <v>1116</v>
      </c>
      <c r="AY260" s="4" t="n">
        <v>966</v>
      </c>
      <c r="AZ260" s="4" t="n">
        <v>972</v>
      </c>
      <c r="BA260" s="4" t="n">
        <v>977</v>
      </c>
      <c r="BB260" s="4" t="n">
        <v>978</v>
      </c>
      <c r="BC260" s="4" t="n">
        <v>990</v>
      </c>
      <c r="BD260" s="4" t="n">
        <v>893</v>
      </c>
      <c r="BE260" s="4" t="n">
        <v>906</v>
      </c>
      <c r="BF260" s="4" t="n">
        <v>917</v>
      </c>
      <c r="BG260" s="4" t="n">
        <v>936</v>
      </c>
      <c r="BH260" s="4" t="n">
        <v>1046</v>
      </c>
      <c r="BI260" s="4" t="n">
        <v>1056</v>
      </c>
      <c r="BJ260" s="4" t="n">
        <v>1005</v>
      </c>
      <c r="BK260" s="4" t="n">
        <v>1148</v>
      </c>
      <c r="BL260" s="4" t="n">
        <v>1228</v>
      </c>
    </row>
    <row r="261">
      <c r="A261" s="65" t="inlineStr">
        <is>
          <t>6140</t>
        </is>
      </c>
      <c r="B261" s="4">
        <f>銘柄管理!C261</f>
        <v/>
      </c>
      <c r="C261" s="4">
        <f>_xll.RssMarket("6140","現在値")</f>
        <v/>
      </c>
      <c r="E261" s="4" t="n">
        <v>1332</v>
      </c>
      <c r="F261" s="4" t="n">
        <v>1305</v>
      </c>
      <c r="G261" s="4" t="n">
        <v>1323</v>
      </c>
      <c r="H261" s="4" t="n">
        <v>1283</v>
      </c>
      <c r="I261" s="4" t="n">
        <v>1235</v>
      </c>
      <c r="J261" s="4" t="n">
        <v>1214</v>
      </c>
      <c r="K261" s="4" t="n">
        <v>1226</v>
      </c>
      <c r="L261" s="4" t="n">
        <v>1289</v>
      </c>
      <c r="M261" s="4" t="n">
        <v>1339</v>
      </c>
      <c r="N261" s="4" t="n">
        <v>1315</v>
      </c>
      <c r="O261" s="4" t="n">
        <v>1318</v>
      </c>
      <c r="P261" s="4" t="n">
        <v>1323</v>
      </c>
      <c r="Q261" s="4" t="n">
        <v>1369</v>
      </c>
      <c r="R261" s="4" t="n">
        <v>1343</v>
      </c>
      <c r="S261" s="4" t="n">
        <v>1362</v>
      </c>
      <c r="T261" s="4" t="n">
        <v>1350</v>
      </c>
      <c r="U261" s="4" t="n">
        <v>1396</v>
      </c>
      <c r="V261" s="4" t="n">
        <v>1362</v>
      </c>
      <c r="W261" s="4" t="n">
        <v>1275</v>
      </c>
      <c r="X261" s="4" t="n">
        <v>1289</v>
      </c>
      <c r="Y261" s="4" t="n">
        <v>1296</v>
      </c>
      <c r="Z261" s="4" t="n">
        <v>1290</v>
      </c>
      <c r="AA261" s="4" t="n">
        <v>1336</v>
      </c>
      <c r="AB261" s="4" t="n">
        <v>1356</v>
      </c>
      <c r="AC261" s="4" t="n">
        <v>1384</v>
      </c>
      <c r="AD261" s="4" t="n">
        <v>1341</v>
      </c>
      <c r="AE261" s="4" t="n">
        <v>1319</v>
      </c>
      <c r="AF261" s="4" t="n">
        <v>1330</v>
      </c>
      <c r="AG261" s="4" t="n">
        <v>1318</v>
      </c>
      <c r="AH261" s="4" t="n">
        <v>1292</v>
      </c>
      <c r="AI261" s="4" t="n">
        <v>1291</v>
      </c>
      <c r="AJ261" s="4" t="n">
        <v>1314</v>
      </c>
      <c r="AK261" s="4" t="n">
        <v>1286</v>
      </c>
      <c r="AL261" s="4" t="n">
        <v>1310</v>
      </c>
      <c r="AM261" s="4" t="n">
        <v>1272</v>
      </c>
      <c r="AN261" s="4" t="n">
        <v>1297</v>
      </c>
      <c r="AO261" s="4" t="n">
        <v>1311</v>
      </c>
      <c r="AP261" s="4" t="n">
        <v>1312</v>
      </c>
      <c r="AQ261" s="4" t="n">
        <v>1332</v>
      </c>
      <c r="AR261" s="4" t="n">
        <v>1191</v>
      </c>
      <c r="AS261" s="4" t="n">
        <v>1164</v>
      </c>
      <c r="AT261" s="4" t="n">
        <v>1176</v>
      </c>
      <c r="AU261" s="4" t="n">
        <v>1164</v>
      </c>
      <c r="AV261" s="4" t="n">
        <v>1173</v>
      </c>
      <c r="AW261" s="4" t="n">
        <v>1158</v>
      </c>
      <c r="AX261" s="4" t="n">
        <v>1192</v>
      </c>
      <c r="AY261" s="4" t="n">
        <v>1152</v>
      </c>
      <c r="AZ261" s="4" t="n">
        <v>1155</v>
      </c>
      <c r="BA261" s="4" t="n">
        <v>1203</v>
      </c>
      <c r="BB261" s="4" t="n">
        <v>1218</v>
      </c>
      <c r="BC261" s="4" t="n">
        <v>1238</v>
      </c>
      <c r="BD261" s="4" t="n">
        <v>1182</v>
      </c>
      <c r="BE261" s="4" t="n">
        <v>1228</v>
      </c>
      <c r="BF261" s="4" t="n">
        <v>1279</v>
      </c>
      <c r="BG261" s="4" t="n">
        <v>1250</v>
      </c>
      <c r="BH261" s="4" t="n">
        <v>1285</v>
      </c>
      <c r="BI261" s="4" t="n">
        <v>1234</v>
      </c>
      <c r="BJ261" s="4" t="n">
        <v>1225</v>
      </c>
      <c r="BK261" s="4" t="n">
        <v>1342</v>
      </c>
      <c r="BL261" s="4" t="n">
        <v>1392</v>
      </c>
    </row>
    <row r="262">
      <c r="A262" s="65" t="inlineStr">
        <is>
          <t>1514</t>
        </is>
      </c>
      <c r="B262" s="4">
        <f>銘柄管理!C262</f>
        <v/>
      </c>
      <c r="C262" s="4">
        <f>_xll.RssMarket("1514","現在値")</f>
        <v/>
      </c>
      <c r="E262" s="4" t="n">
        <v>550</v>
      </c>
      <c r="F262" s="4" t="n">
        <v>524</v>
      </c>
      <c r="G262" s="4" t="n">
        <v>550</v>
      </c>
      <c r="H262" s="4" t="n">
        <v>545</v>
      </c>
      <c r="I262" s="4" t="n">
        <v>553</v>
      </c>
      <c r="J262" s="4" t="n">
        <v>548</v>
      </c>
      <c r="K262" s="4" t="n">
        <v>555</v>
      </c>
      <c r="L262" s="4" t="n">
        <v>577</v>
      </c>
      <c r="M262" s="4" t="n">
        <v>579</v>
      </c>
      <c r="N262" s="4" t="n">
        <v>550</v>
      </c>
      <c r="O262" s="4" t="n">
        <v>561</v>
      </c>
      <c r="P262" s="4" t="n">
        <v>569</v>
      </c>
      <c r="Q262" s="4" t="n">
        <v>587</v>
      </c>
      <c r="R262" s="4" t="n">
        <v>591</v>
      </c>
      <c r="S262" s="4" t="n">
        <v>606</v>
      </c>
      <c r="T262" s="4" t="n">
        <v>596</v>
      </c>
      <c r="U262" s="4" t="n">
        <v>603</v>
      </c>
      <c r="V262" s="4" t="n">
        <v>597</v>
      </c>
      <c r="W262" s="4" t="n">
        <v>589</v>
      </c>
      <c r="X262" s="4" t="n">
        <v>617</v>
      </c>
      <c r="Y262" s="4" t="n">
        <v>621</v>
      </c>
      <c r="Z262" s="4" t="n">
        <v>704</v>
      </c>
      <c r="AA262" s="4" t="n">
        <v>708</v>
      </c>
      <c r="AB262" s="4" t="n">
        <v>723</v>
      </c>
      <c r="AC262" s="4" t="n">
        <v>730</v>
      </c>
      <c r="AD262" s="4" t="n">
        <v>741</v>
      </c>
      <c r="AE262" s="4" t="n">
        <v>741</v>
      </c>
      <c r="AF262" s="4" t="n">
        <v>753</v>
      </c>
      <c r="AG262" s="4" t="n">
        <v>760</v>
      </c>
      <c r="AH262" s="4" t="n">
        <v>769</v>
      </c>
      <c r="AI262" s="4" t="n">
        <v>783</v>
      </c>
      <c r="AJ262" s="4" t="n">
        <v>783</v>
      </c>
      <c r="AK262" s="4" t="n">
        <v>791</v>
      </c>
      <c r="AL262" s="4" t="n">
        <v>808</v>
      </c>
      <c r="AM262" s="4" t="n">
        <v>827</v>
      </c>
      <c r="AN262" s="4" t="n">
        <v>854</v>
      </c>
      <c r="AO262" s="4" t="n">
        <v>861</v>
      </c>
      <c r="AP262" s="4" t="n">
        <v>841</v>
      </c>
      <c r="AQ262" s="4" t="n">
        <v>873</v>
      </c>
      <c r="AR262" s="4" t="n">
        <v>850</v>
      </c>
      <c r="AS262" s="4" t="n">
        <v>856</v>
      </c>
      <c r="AT262" s="4" t="n">
        <v>879</v>
      </c>
      <c r="AU262" s="4" t="n">
        <v>828</v>
      </c>
      <c r="AV262" s="4" t="n">
        <v>882</v>
      </c>
      <c r="AW262" s="4" t="n">
        <v>891</v>
      </c>
      <c r="AX262" s="4" t="n">
        <v>930</v>
      </c>
      <c r="AY262" s="4" t="n">
        <v>919</v>
      </c>
      <c r="AZ262" s="4" t="n">
        <v>953</v>
      </c>
      <c r="BA262" s="4" t="n">
        <v>945</v>
      </c>
      <c r="BB262" s="4" t="n">
        <v>986</v>
      </c>
      <c r="BC262" s="4" t="n">
        <v>992</v>
      </c>
      <c r="BD262" s="4" t="n">
        <v>1078</v>
      </c>
      <c r="BE262" s="4" t="n">
        <v>1009</v>
      </c>
      <c r="BF262" s="4" t="n">
        <v>859</v>
      </c>
      <c r="BG262" s="4" t="n">
        <v>893</v>
      </c>
      <c r="BH262" s="4" t="n">
        <v>863</v>
      </c>
      <c r="BI262" s="4" t="n">
        <v>872</v>
      </c>
      <c r="BJ262" s="4" t="n">
        <v>939</v>
      </c>
      <c r="BK262" s="4" t="n">
        <v>1010</v>
      </c>
      <c r="BL262" s="4" t="n">
        <v>1036</v>
      </c>
    </row>
    <row r="263">
      <c r="A263" s="65" t="inlineStr">
        <is>
          <t>5631</t>
        </is>
      </c>
      <c r="B263" s="4">
        <f>銘柄管理!C263</f>
        <v/>
      </c>
      <c r="C263" s="4">
        <f>_xll.RssMarket("5631","現在値")</f>
        <v/>
      </c>
      <c r="E263" s="4" t="n">
        <v>8163</v>
      </c>
      <c r="F263" s="4" t="n">
        <v>7903</v>
      </c>
      <c r="G263" s="4" t="n">
        <v>8295</v>
      </c>
      <c r="H263" s="4" t="n">
        <v>7747</v>
      </c>
      <c r="I263" s="4" t="n">
        <v>7549</v>
      </c>
      <c r="J263" s="4" t="n">
        <v>7114</v>
      </c>
      <c r="K263" s="4" t="n">
        <v>7091</v>
      </c>
      <c r="L263" s="4" t="n">
        <v>7470</v>
      </c>
      <c r="M263" s="4" t="n">
        <v>7930</v>
      </c>
      <c r="N263" s="4" t="n">
        <v>7276</v>
      </c>
      <c r="O263" s="4" t="n">
        <v>7328</v>
      </c>
      <c r="P263" s="4" t="n">
        <v>7266</v>
      </c>
      <c r="Q263" s="4" t="n">
        <v>7504</v>
      </c>
      <c r="R263" s="4" t="n">
        <v>7669</v>
      </c>
      <c r="S263" s="4" t="n">
        <v>7847</v>
      </c>
      <c r="T263" s="4" t="n">
        <v>8007</v>
      </c>
      <c r="U263" s="4" t="n">
        <v>7889</v>
      </c>
      <c r="V263" s="4" t="n">
        <v>7924</v>
      </c>
      <c r="W263" s="4" t="n">
        <v>7742</v>
      </c>
      <c r="X263" s="4" t="n">
        <v>8094</v>
      </c>
      <c r="Y263" s="4" t="n">
        <v>7998</v>
      </c>
      <c r="Z263" s="4" t="n">
        <v>7806</v>
      </c>
      <c r="AA263" s="4" t="n">
        <v>7863</v>
      </c>
      <c r="AB263" s="4" t="n">
        <v>8076</v>
      </c>
      <c r="AC263" s="4" t="n">
        <v>8806</v>
      </c>
      <c r="AD263" s="4" t="n">
        <v>8819</v>
      </c>
      <c r="AE263" s="4" t="n">
        <v>9069</v>
      </c>
      <c r="AF263" s="4" t="n">
        <v>9209</v>
      </c>
      <c r="AG263" s="4" t="n">
        <v>9317</v>
      </c>
      <c r="AH263" s="4" t="n">
        <v>9283</v>
      </c>
      <c r="AI263" s="4" t="n">
        <v>9489</v>
      </c>
      <c r="AJ263" s="4" t="n">
        <v>9760</v>
      </c>
      <c r="AK263" s="4" t="n">
        <v>9748</v>
      </c>
      <c r="AL263" s="4" t="n">
        <v>9872</v>
      </c>
      <c r="AM263" s="4" t="n">
        <v>9755</v>
      </c>
      <c r="AN263" s="4" t="n">
        <v>9490</v>
      </c>
      <c r="AO263" s="4" t="n">
        <v>9425</v>
      </c>
      <c r="AP263" s="4" t="n">
        <v>9129</v>
      </c>
      <c r="AQ263" s="4" t="n">
        <v>9061</v>
      </c>
      <c r="AR263" s="4" t="n">
        <v>9300</v>
      </c>
      <c r="AS263" s="4" t="n">
        <v>9047</v>
      </c>
      <c r="AT263" s="4" t="n">
        <v>9726</v>
      </c>
      <c r="AU263" s="4" t="n">
        <v>9738</v>
      </c>
      <c r="AV263" s="4" t="n">
        <v>9836</v>
      </c>
      <c r="AW263" s="4" t="n">
        <v>9894</v>
      </c>
      <c r="AX263" s="4" t="n">
        <v>9618</v>
      </c>
      <c r="AY263" s="4" t="n">
        <v>9469</v>
      </c>
      <c r="AZ263" s="4" t="n">
        <v>9677</v>
      </c>
      <c r="BA263" s="4" t="n">
        <v>9513</v>
      </c>
      <c r="BB263" s="4" t="n">
        <v>9098</v>
      </c>
      <c r="BC263" s="4" t="n">
        <v>9249</v>
      </c>
      <c r="BD263" s="4" t="n">
        <v>8371</v>
      </c>
      <c r="BE263" s="4" t="n">
        <v>8806</v>
      </c>
      <c r="BF263" s="4" t="n">
        <v>9198</v>
      </c>
      <c r="BG263" s="4" t="n">
        <v>9483</v>
      </c>
      <c r="BH263" s="4" t="n">
        <v>9552</v>
      </c>
      <c r="BI263" s="4" t="n">
        <v>9257</v>
      </c>
      <c r="BJ263" s="4" t="n">
        <v>9569</v>
      </c>
      <c r="BK263" s="4" t="n">
        <v>9901</v>
      </c>
      <c r="BL263" s="4" t="n">
        <v>10305</v>
      </c>
    </row>
    <row r="264">
      <c r="A264" s="65" t="inlineStr">
        <is>
          <t>6674</t>
        </is>
      </c>
      <c r="B264" s="4">
        <f>銘柄管理!C264</f>
        <v/>
      </c>
      <c r="C264" s="4">
        <f>_xll.RssMarket("6674","現在値")</f>
        <v/>
      </c>
      <c r="E264" s="4" t="n">
        <v>7517</v>
      </c>
      <c r="F264" s="4" t="n">
        <v>7016</v>
      </c>
      <c r="G264" s="4" t="n">
        <v>6718</v>
      </c>
      <c r="H264" s="4" t="n">
        <v>6568</v>
      </c>
      <c r="I264" s="4" t="n">
        <v>6197</v>
      </c>
      <c r="J264" s="4" t="n">
        <v>6297</v>
      </c>
      <c r="K264" s="4" t="n">
        <v>6412</v>
      </c>
      <c r="L264" s="4" t="n">
        <v>6654</v>
      </c>
      <c r="M264" s="4" t="n">
        <v>7280</v>
      </c>
      <c r="N264" s="4" t="n">
        <v>7185</v>
      </c>
      <c r="O264" s="4" t="n">
        <v>7495</v>
      </c>
      <c r="P264" s="4" t="n">
        <v>6861</v>
      </c>
      <c r="Q264" s="4" t="n">
        <v>6409</v>
      </c>
      <c r="R264" s="4" t="n">
        <v>6560</v>
      </c>
      <c r="S264" s="4" t="n">
        <v>6438</v>
      </c>
      <c r="T264" s="4" t="n">
        <v>6298</v>
      </c>
      <c r="U264" s="4" t="n">
        <v>6320</v>
      </c>
      <c r="V264" s="4" t="n">
        <v>6148</v>
      </c>
      <c r="W264" s="4" t="n">
        <v>6038</v>
      </c>
      <c r="X264" s="4" t="n">
        <v>6118</v>
      </c>
      <c r="Y264" s="4" t="n">
        <v>6336</v>
      </c>
      <c r="Z264" s="4" t="n">
        <v>6285</v>
      </c>
      <c r="AA264" s="4" t="n">
        <v>6450</v>
      </c>
      <c r="AB264" s="4" t="n">
        <v>6286</v>
      </c>
      <c r="AC264" s="4" t="n">
        <v>6339</v>
      </c>
      <c r="AD264" s="4" t="n">
        <v>6710</v>
      </c>
      <c r="AE264" s="4" t="n">
        <v>6565</v>
      </c>
      <c r="AF264" s="4" t="n">
        <v>6620</v>
      </c>
      <c r="AG264" s="4" t="n">
        <v>6495</v>
      </c>
      <c r="AH264" s="4" t="n">
        <v>6278</v>
      </c>
      <c r="AI264" s="4" t="n">
        <v>6317</v>
      </c>
      <c r="AJ264" s="4" t="n">
        <v>6164</v>
      </c>
      <c r="AK264" s="4" t="n">
        <v>6235</v>
      </c>
      <c r="AL264" s="4" t="n">
        <v>6250</v>
      </c>
      <c r="AM264" s="4" t="n">
        <v>6323</v>
      </c>
      <c r="AN264" s="4" t="n">
        <v>6452</v>
      </c>
      <c r="AO264" s="4" t="n">
        <v>6669</v>
      </c>
      <c r="AP264" s="4" t="n">
        <v>6603</v>
      </c>
      <c r="AQ264" s="4" t="n">
        <v>6745</v>
      </c>
      <c r="AR264" s="4" t="n">
        <v>6778</v>
      </c>
      <c r="AS264" s="4" t="n">
        <v>6613</v>
      </c>
      <c r="AT264" s="4" t="n">
        <v>6590</v>
      </c>
      <c r="AU264" s="4" t="n">
        <v>6343</v>
      </c>
      <c r="AV264" s="4" t="n">
        <v>6331</v>
      </c>
      <c r="AW264" s="4" t="n">
        <v>6155</v>
      </c>
      <c r="AX264" s="4" t="n">
        <v>6176</v>
      </c>
      <c r="AY264" s="4" t="n">
        <v>5929</v>
      </c>
      <c r="AZ264" s="4" t="n">
        <v>5977</v>
      </c>
      <c r="BA264" s="4" t="n">
        <v>5859</v>
      </c>
      <c r="BB264" s="4" t="n">
        <v>5663</v>
      </c>
      <c r="BC264" s="4" t="n">
        <v>5687</v>
      </c>
      <c r="BD264" s="4" t="n">
        <v>5277</v>
      </c>
      <c r="BE264" s="4" t="n">
        <v>5391</v>
      </c>
      <c r="BF264" s="4" t="n">
        <v>5411</v>
      </c>
      <c r="BG264" s="4" t="n">
        <v>5181</v>
      </c>
      <c r="BH264" s="4" t="n">
        <v>5211</v>
      </c>
      <c r="BI264" s="4" t="n">
        <v>5015</v>
      </c>
      <c r="BJ264" s="4" t="n">
        <v>4864</v>
      </c>
      <c r="BK264" s="4" t="n">
        <v>5071</v>
      </c>
      <c r="BL264" s="4" t="n">
        <v>5214</v>
      </c>
    </row>
    <row r="265">
      <c r="A265" s="65" t="inlineStr">
        <is>
          <t>6955</t>
        </is>
      </c>
      <c r="B265" s="4">
        <f>銘柄管理!C265</f>
        <v/>
      </c>
      <c r="C265" s="4">
        <f>_xll.RssMarket("6955","現在値")</f>
        <v/>
      </c>
      <c r="E265" s="4" t="n">
        <v>545</v>
      </c>
      <c r="F265" s="4" t="n">
        <v>513</v>
      </c>
      <c r="G265" s="4" t="n">
        <v>502</v>
      </c>
      <c r="H265" s="4" t="n">
        <v>499</v>
      </c>
      <c r="I265" s="4" t="n">
        <v>505</v>
      </c>
      <c r="J265" s="4" t="n">
        <v>525</v>
      </c>
      <c r="K265" s="4" t="n">
        <v>640</v>
      </c>
      <c r="L265" s="4" t="n">
        <v>574</v>
      </c>
      <c r="M265" s="4" t="n">
        <v>494</v>
      </c>
      <c r="N265" s="4" t="n">
        <v>503</v>
      </c>
      <c r="O265" s="4" t="n">
        <v>437</v>
      </c>
      <c r="P265" s="4" t="n">
        <v>423</v>
      </c>
      <c r="Q265" s="4" t="n">
        <v>422</v>
      </c>
      <c r="R265" s="4" t="n">
        <v>449</v>
      </c>
      <c r="S265" s="4" t="n">
        <v>432</v>
      </c>
      <c r="T265" s="4" t="n">
        <v>403</v>
      </c>
      <c r="U265" s="4" t="n">
        <v>414</v>
      </c>
      <c r="V265" s="4" t="n">
        <v>406</v>
      </c>
      <c r="W265" s="4" t="n">
        <v>410</v>
      </c>
      <c r="X265" s="4" t="n">
        <v>416</v>
      </c>
      <c r="Y265" s="4" t="n">
        <v>415</v>
      </c>
      <c r="Z265" s="4" t="n">
        <v>422</v>
      </c>
      <c r="AA265" s="4" t="n">
        <v>429</v>
      </c>
      <c r="AB265" s="4" t="n">
        <v>426</v>
      </c>
      <c r="AC265" s="4" t="n">
        <v>433</v>
      </c>
      <c r="AD265" s="4" t="n">
        <v>432</v>
      </c>
      <c r="AE265" s="4" t="n">
        <v>443</v>
      </c>
      <c r="AF265" s="4" t="n">
        <v>455</v>
      </c>
      <c r="AG265" s="4" t="n">
        <v>428</v>
      </c>
      <c r="AH265" s="4" t="n">
        <v>433</v>
      </c>
      <c r="AI265" s="4" t="n">
        <v>447</v>
      </c>
      <c r="AJ265" s="4" t="n">
        <v>454</v>
      </c>
      <c r="AK265" s="4" t="n">
        <v>450</v>
      </c>
      <c r="AL265" s="4" t="n">
        <v>450</v>
      </c>
      <c r="AM265" s="4" t="n">
        <v>448</v>
      </c>
      <c r="AN265" s="4" t="n">
        <v>452</v>
      </c>
      <c r="AO265" s="4" t="n">
        <v>456</v>
      </c>
      <c r="AP265" s="4" t="n">
        <v>448</v>
      </c>
      <c r="AQ265" s="4" t="n">
        <v>463</v>
      </c>
      <c r="AR265" s="4" t="n">
        <v>446</v>
      </c>
      <c r="AS265" s="4" t="n">
        <v>457</v>
      </c>
      <c r="AT265" s="4" t="n">
        <v>451</v>
      </c>
      <c r="AU265" s="4" t="n">
        <v>448</v>
      </c>
      <c r="AV265" s="4" t="n">
        <v>468</v>
      </c>
      <c r="AW265" s="4" t="n">
        <v>486</v>
      </c>
      <c r="AX265" s="4" t="n">
        <v>468</v>
      </c>
      <c r="AY265" s="4" t="n">
        <v>477</v>
      </c>
      <c r="AZ265" s="4" t="n">
        <v>476</v>
      </c>
      <c r="BA265" s="4" t="n">
        <v>460</v>
      </c>
      <c r="BB265" s="4" t="n">
        <v>478</v>
      </c>
      <c r="BC265" s="4" t="n">
        <v>468</v>
      </c>
      <c r="BD265" s="4" t="n">
        <v>477</v>
      </c>
      <c r="BE265" s="4" t="n">
        <v>483</v>
      </c>
      <c r="BF265" s="4" t="n">
        <v>487</v>
      </c>
      <c r="BG265" s="4" t="n">
        <v>490</v>
      </c>
      <c r="BH265" s="4" t="n">
        <v>476</v>
      </c>
      <c r="BI265" s="4" t="n">
        <v>471</v>
      </c>
      <c r="BJ265" s="4" t="n">
        <v>503</v>
      </c>
      <c r="BK265" s="4" t="n">
        <v>522</v>
      </c>
      <c r="BL265" s="4" t="n">
        <v>529</v>
      </c>
    </row>
    <row r="266">
      <c r="A266" s="65" t="inlineStr">
        <is>
          <t>281A</t>
        </is>
      </c>
      <c r="B266" s="4">
        <f>銘柄管理!C266</f>
        <v/>
      </c>
      <c r="C266" s="4">
        <f>_xll.RssMarket("281A","現在値")</f>
        <v/>
      </c>
      <c r="E266" s="4" t="n">
        <v>601</v>
      </c>
      <c r="F266" s="4" t="n">
        <v>574</v>
      </c>
      <c r="G266" s="4" t="n">
        <v>647</v>
      </c>
      <c r="H266" s="4" t="n">
        <v>615</v>
      </c>
      <c r="I266" s="4" t="n">
        <v>534</v>
      </c>
      <c r="J266" s="4" t="n">
        <v>548</v>
      </c>
      <c r="K266" s="4" t="n">
        <v>543</v>
      </c>
      <c r="L266" s="4" t="n">
        <v>582</v>
      </c>
      <c r="M266" s="4" t="n">
        <v>613</v>
      </c>
      <c r="N266" s="4" t="n">
        <v>652</v>
      </c>
      <c r="O266" s="4" t="n">
        <v>695</v>
      </c>
      <c r="P266" s="4" t="n">
        <v>689</v>
      </c>
      <c r="Q266" s="4" t="n">
        <v>687</v>
      </c>
      <c r="R266" s="4" t="n">
        <v>760</v>
      </c>
      <c r="S266" s="4" t="n">
        <v>829</v>
      </c>
      <c r="T266" s="4" t="n">
        <v>825</v>
      </c>
      <c r="U266" s="4" t="n">
        <v>895</v>
      </c>
      <c r="V266" s="4" t="n">
        <v>805</v>
      </c>
      <c r="W266" s="4" t="n">
        <v>773</v>
      </c>
      <c r="X266" s="4" t="n">
        <v>775</v>
      </c>
      <c r="Y266" s="4" t="n">
        <v>842</v>
      </c>
      <c r="Z266" s="4" t="n">
        <v>823</v>
      </c>
      <c r="AA266" s="4" t="n">
        <v>765</v>
      </c>
      <c r="AB266" s="4" t="n">
        <v>716</v>
      </c>
      <c r="AC266" s="4" t="n">
        <v>746</v>
      </c>
      <c r="AD266" s="4" t="n">
        <v>756</v>
      </c>
      <c r="AE266" s="4" t="n">
        <v>806</v>
      </c>
      <c r="AF266" s="4" t="n">
        <v>819</v>
      </c>
      <c r="AG266" s="4" t="n">
        <v>757</v>
      </c>
      <c r="AH266" s="4" t="n">
        <v>740</v>
      </c>
      <c r="AI266" s="4" t="n">
        <v>693</v>
      </c>
      <c r="AJ266" s="4" t="n">
        <v>712</v>
      </c>
      <c r="AK266" s="4" t="n">
        <v>763</v>
      </c>
      <c r="AL266" s="4" t="n">
        <v>763</v>
      </c>
      <c r="AM266" s="4" t="n">
        <v>811</v>
      </c>
      <c r="AN266" s="4" t="n">
        <v>799</v>
      </c>
      <c r="AO266" s="4" t="n">
        <v>895</v>
      </c>
      <c r="AP266" s="4" t="n">
        <v>958</v>
      </c>
      <c r="AQ266" s="4" t="n">
        <v>808</v>
      </c>
      <c r="AR266" s="4" t="n">
        <v>757</v>
      </c>
      <c r="AS266" s="4" t="n">
        <v>780</v>
      </c>
      <c r="AT266" s="4" t="n">
        <v>680</v>
      </c>
      <c r="AU266" s="4" t="n">
        <v>664</v>
      </c>
      <c r="AV266" s="4" t="n">
        <v>627</v>
      </c>
      <c r="AW266" s="4" t="n">
        <v>643</v>
      </c>
      <c r="AX266" s="4" t="n">
        <v>543</v>
      </c>
      <c r="AY266" s="4" t="n">
        <v>535</v>
      </c>
      <c r="AZ266" s="4" t="n">
        <v>595</v>
      </c>
      <c r="BA266" s="4" t="n">
        <v>517</v>
      </c>
      <c r="BB266" s="4" t="n">
        <v>437</v>
      </c>
      <c r="BC266" s="4" t="n">
        <v>446</v>
      </c>
      <c r="BD266" s="4" t="n">
        <v>457</v>
      </c>
      <c r="BE266" s="4" t="n">
        <v>491</v>
      </c>
      <c r="BF266" s="4" t="n">
        <v>466</v>
      </c>
      <c r="BG266" s="4" t="n">
        <v>479</v>
      </c>
      <c r="BH266" s="4" t="n">
        <v>560</v>
      </c>
      <c r="BI266" s="4" t="n">
        <v>660</v>
      </c>
      <c r="BJ266" s="4" t="n">
        <v>560</v>
      </c>
      <c r="BK266" s="4" t="n">
        <v>596</v>
      </c>
      <c r="BL266" s="4" t="n">
        <v>577</v>
      </c>
    </row>
    <row r="267">
      <c r="A267" s="65" t="inlineStr">
        <is>
          <t>6356</t>
        </is>
      </c>
      <c r="B267" s="4">
        <f>銘柄管理!C267</f>
        <v/>
      </c>
      <c r="C267" s="4">
        <f>_xll.RssMarket("6356","現在値")</f>
        <v/>
      </c>
      <c r="E267" s="4" t="n">
        <v>1585</v>
      </c>
      <c r="F267" s="4" t="n">
        <v>1495</v>
      </c>
      <c r="G267" s="4" t="n">
        <v>1630</v>
      </c>
      <c r="H267" s="4" t="n">
        <v>1378</v>
      </c>
      <c r="I267" s="4" t="n">
        <v>1416</v>
      </c>
      <c r="J267" s="4" t="n">
        <v>1378</v>
      </c>
      <c r="K267" s="4" t="n">
        <v>1425</v>
      </c>
      <c r="L267" s="4" t="n">
        <v>1499</v>
      </c>
      <c r="M267" s="4" t="n">
        <v>1604</v>
      </c>
      <c r="N267" s="4" t="n">
        <v>1455</v>
      </c>
      <c r="O267" s="4" t="n">
        <v>1488</v>
      </c>
      <c r="P267" s="4" t="n">
        <v>1457</v>
      </c>
      <c r="Q267" s="4" t="n">
        <v>1492</v>
      </c>
      <c r="R267" s="4" t="n">
        <v>1660</v>
      </c>
      <c r="S267" s="4" t="n">
        <v>1690</v>
      </c>
      <c r="T267" s="4" t="n">
        <v>1720</v>
      </c>
      <c r="U267" s="4" t="n">
        <v>1560</v>
      </c>
      <c r="V267" s="4" t="n">
        <v>1502</v>
      </c>
      <c r="W267" s="4" t="n">
        <v>1355</v>
      </c>
      <c r="X267" s="4" t="n">
        <v>1373</v>
      </c>
      <c r="Y267" s="4" t="n">
        <v>1415</v>
      </c>
      <c r="Z267" s="4" t="n">
        <v>1449</v>
      </c>
      <c r="AA267" s="4" t="n">
        <v>1410</v>
      </c>
      <c r="AB267" s="4" t="n">
        <v>1438</v>
      </c>
      <c r="AC267" s="4" t="n">
        <v>1403</v>
      </c>
      <c r="AD267" s="4" t="n">
        <v>1523</v>
      </c>
      <c r="AE267" s="4" t="n">
        <v>1517</v>
      </c>
      <c r="AF267" s="4" t="n">
        <v>1489</v>
      </c>
      <c r="AG267" s="4" t="n">
        <v>1481</v>
      </c>
      <c r="AH267" s="4" t="n">
        <v>1501</v>
      </c>
      <c r="AI267" s="4" t="n">
        <v>1586</v>
      </c>
      <c r="AJ267" s="4" t="n">
        <v>1685</v>
      </c>
      <c r="AK267" s="4" t="n">
        <v>1640</v>
      </c>
      <c r="AL267" s="4" t="n">
        <v>1666</v>
      </c>
      <c r="AM267" s="4" t="n">
        <v>1526</v>
      </c>
      <c r="AN267" s="4" t="n">
        <v>1226</v>
      </c>
      <c r="AO267" s="4" t="n">
        <v>1277</v>
      </c>
      <c r="AP267" s="4" t="n">
        <v>1304</v>
      </c>
      <c r="AQ267" s="4" t="n">
        <v>1333</v>
      </c>
      <c r="AR267" s="4" t="n">
        <v>1328</v>
      </c>
      <c r="AS267" s="4" t="n">
        <v>1277</v>
      </c>
      <c r="AT267" s="4" t="n">
        <v>1281</v>
      </c>
      <c r="AU267" s="4" t="n">
        <v>1305</v>
      </c>
      <c r="AV267" s="4" t="n">
        <v>1238</v>
      </c>
      <c r="AW267" s="4" t="n">
        <v>1301</v>
      </c>
      <c r="AX267" s="4" t="n">
        <v>1304</v>
      </c>
      <c r="AY267" s="4" t="n">
        <v>1177</v>
      </c>
      <c r="AZ267" s="4" t="n">
        <v>1191</v>
      </c>
      <c r="BA267" s="4" t="n">
        <v>1183</v>
      </c>
      <c r="BB267" s="4" t="n">
        <v>1201</v>
      </c>
      <c r="BC267" s="4" t="n">
        <v>1305</v>
      </c>
      <c r="BD267" s="4" t="n">
        <v>1313</v>
      </c>
      <c r="BE267" s="4" t="n">
        <v>1401</v>
      </c>
      <c r="BF267" s="4" t="n">
        <v>1455</v>
      </c>
      <c r="BG267" s="4" t="n">
        <v>1470</v>
      </c>
      <c r="BH267" s="4" t="n">
        <v>1584</v>
      </c>
      <c r="BI267" s="4" t="n">
        <v>1522</v>
      </c>
      <c r="BJ267" s="4" t="n">
        <v>1509</v>
      </c>
      <c r="BK267" s="4" t="n">
        <v>1800</v>
      </c>
      <c r="BL267" s="4" t="n">
        <v>1883</v>
      </c>
    </row>
    <row r="268">
      <c r="A268" s="65" t="inlineStr">
        <is>
          <t>7711</t>
        </is>
      </c>
      <c r="B268" s="4">
        <f>銘柄管理!C268</f>
        <v/>
      </c>
      <c r="C268" s="4">
        <f>_xll.RssMarket("7711","現在値")</f>
        <v/>
      </c>
      <c r="E268" s="4" t="n">
        <v>5500</v>
      </c>
      <c r="F268" s="4" t="n">
        <v>5490</v>
      </c>
      <c r="G268" s="4" t="n">
        <v>5650</v>
      </c>
      <c r="H268" s="4" t="n">
        <v>4945</v>
      </c>
      <c r="I268" s="4" t="n">
        <v>4825</v>
      </c>
      <c r="J268" s="4" t="n">
        <v>4635</v>
      </c>
      <c r="K268" s="4" t="n">
        <v>4710</v>
      </c>
      <c r="L268" s="4" t="n">
        <v>5050</v>
      </c>
      <c r="M268" s="4" t="n">
        <v>5490</v>
      </c>
      <c r="N268" s="4" t="n">
        <v>5060</v>
      </c>
      <c r="O268" s="4" t="n">
        <v>5140</v>
      </c>
      <c r="P268" s="4" t="n">
        <v>5200</v>
      </c>
      <c r="Q268" s="4" t="n">
        <v>5280</v>
      </c>
      <c r="R268" s="4" t="n">
        <v>5360</v>
      </c>
      <c r="S268" s="4" t="n">
        <v>5380</v>
      </c>
      <c r="T268" s="4" t="n">
        <v>5480</v>
      </c>
      <c r="U268" s="4" t="n">
        <v>5420</v>
      </c>
      <c r="V268" s="4" t="n">
        <v>5360</v>
      </c>
      <c r="W268" s="4" t="n">
        <v>5080</v>
      </c>
      <c r="X268" s="4" t="n">
        <v>5020</v>
      </c>
      <c r="Y268" s="4" t="n">
        <v>5180</v>
      </c>
      <c r="Z268" s="4" t="n">
        <v>5310</v>
      </c>
      <c r="AA268" s="4" t="n">
        <v>5420</v>
      </c>
      <c r="AB268" s="4" t="n">
        <v>5370</v>
      </c>
      <c r="AC268" s="4" t="n">
        <v>5650</v>
      </c>
      <c r="AD268" s="4" t="n">
        <v>5620</v>
      </c>
      <c r="AE268" s="4" t="n">
        <v>5820</v>
      </c>
      <c r="AF268" s="4" t="n">
        <v>6000</v>
      </c>
      <c r="AG268" s="4" t="n">
        <v>6200</v>
      </c>
      <c r="AH268" s="4" t="n">
        <v>5920</v>
      </c>
      <c r="AI268" s="4" t="n">
        <v>6000</v>
      </c>
      <c r="AJ268" s="4" t="n">
        <v>6130</v>
      </c>
      <c r="AK268" s="4" t="n">
        <v>6170</v>
      </c>
      <c r="AL268" s="4" t="n">
        <v>6350</v>
      </c>
      <c r="AM268" s="4" t="n">
        <v>6600</v>
      </c>
      <c r="AN268" s="4" t="n">
        <v>6280</v>
      </c>
      <c r="AO268" s="4" t="n">
        <v>6320</v>
      </c>
      <c r="AP268" s="4" t="n">
        <v>6350</v>
      </c>
      <c r="AQ268" s="4" t="n">
        <v>6280</v>
      </c>
      <c r="AR268" s="4" t="n">
        <v>6340</v>
      </c>
      <c r="AS268" s="4" t="n">
        <v>6110</v>
      </c>
      <c r="AT268" s="4" t="n">
        <v>6250</v>
      </c>
      <c r="AU268" s="4" t="n">
        <v>6260</v>
      </c>
      <c r="AV268" s="4" t="n">
        <v>6240</v>
      </c>
      <c r="AW268" s="4" t="n">
        <v>6410</v>
      </c>
      <c r="AX268" s="4" t="n">
        <v>6700</v>
      </c>
      <c r="AY268" s="4" t="n">
        <v>6250</v>
      </c>
      <c r="AZ268" s="4" t="n">
        <v>6450</v>
      </c>
      <c r="BA268" s="4" t="n">
        <v>6500</v>
      </c>
      <c r="BB268" s="4" t="n">
        <v>6480</v>
      </c>
      <c r="BC268" s="4" t="n">
        <v>6710</v>
      </c>
      <c r="BD268" s="4" t="n">
        <v>6340</v>
      </c>
      <c r="BE268" s="4" t="n">
        <v>6650</v>
      </c>
      <c r="BF268" s="4" t="n">
        <v>6670</v>
      </c>
      <c r="BG268" s="4" t="n">
        <v>6740</v>
      </c>
      <c r="BH268" s="4" t="n">
        <v>7040</v>
      </c>
      <c r="BI268" s="4" t="n">
        <v>6620</v>
      </c>
      <c r="BJ268" s="4" t="n">
        <v>6630</v>
      </c>
      <c r="BK268" s="4" t="n">
        <v>7110</v>
      </c>
      <c r="BL268" s="4" t="n">
        <v>7500</v>
      </c>
    </row>
    <row r="269">
      <c r="A269" s="65" t="inlineStr">
        <is>
          <t>6376</t>
        </is>
      </c>
      <c r="B269" s="4">
        <f>銘柄管理!C269</f>
        <v/>
      </c>
      <c r="C269" s="4">
        <f>_xll.RssMarket("6376","現在値")</f>
        <v/>
      </c>
      <c r="E269" s="4" t="n">
        <v>4090</v>
      </c>
      <c r="F269" s="4" t="n">
        <v>3880</v>
      </c>
      <c r="G269" s="4" t="n">
        <v>3855</v>
      </c>
      <c r="H269" s="4" t="n">
        <v>3715</v>
      </c>
      <c r="I269" s="4" t="n">
        <v>3600</v>
      </c>
      <c r="J269" s="4" t="n">
        <v>3570</v>
      </c>
      <c r="K269" s="4" t="n">
        <v>3280</v>
      </c>
      <c r="L269" s="4" t="n">
        <v>3330</v>
      </c>
      <c r="M269" s="4" t="n">
        <v>3195</v>
      </c>
      <c r="N269" s="4" t="n">
        <v>3140</v>
      </c>
      <c r="O269" s="4" t="n">
        <v>3125</v>
      </c>
      <c r="P269" s="4" t="n">
        <v>3225</v>
      </c>
      <c r="Q269" s="4" t="n">
        <v>3105</v>
      </c>
      <c r="R269" s="4" t="n">
        <v>3240</v>
      </c>
      <c r="S269" s="4" t="n">
        <v>3280</v>
      </c>
      <c r="T269" s="4" t="n">
        <v>3450</v>
      </c>
      <c r="U269" s="4" t="n">
        <v>3205</v>
      </c>
      <c r="V269" s="4" t="n">
        <v>3000</v>
      </c>
      <c r="W269" s="4" t="n">
        <v>2861</v>
      </c>
      <c r="X269" s="4" t="n">
        <v>2887</v>
      </c>
      <c r="Y269" s="4" t="n">
        <v>2991</v>
      </c>
      <c r="Z269" s="4" t="n">
        <v>2911</v>
      </c>
      <c r="AA269" s="4" t="n">
        <v>2682</v>
      </c>
      <c r="AB269" s="4" t="n">
        <v>2660</v>
      </c>
      <c r="AC269" s="4" t="n">
        <v>2648</v>
      </c>
      <c r="AD269" s="4" t="n">
        <v>2641</v>
      </c>
      <c r="AE269" s="4" t="n">
        <v>2650</v>
      </c>
      <c r="AF269" s="4" t="n">
        <v>2644</v>
      </c>
      <c r="AG269" s="4" t="n">
        <v>2634</v>
      </c>
      <c r="AH269" s="4" t="n">
        <v>2658</v>
      </c>
      <c r="AI269" s="4" t="n">
        <v>2634</v>
      </c>
      <c r="AJ269" s="4" t="n">
        <v>2589</v>
      </c>
      <c r="AK269" s="4" t="n">
        <v>2644</v>
      </c>
      <c r="AL269" s="4" t="n">
        <v>2576</v>
      </c>
      <c r="AM269" s="4" t="n">
        <v>2563</v>
      </c>
      <c r="AN269" s="4" t="n">
        <v>2573</v>
      </c>
      <c r="AO269" s="4" t="n">
        <v>2629</v>
      </c>
      <c r="AP269" s="4" t="n">
        <v>2657</v>
      </c>
      <c r="AQ269" s="4" t="n">
        <v>2719</v>
      </c>
      <c r="AR269" s="4" t="n">
        <v>2773</v>
      </c>
      <c r="AS269" s="4" t="n">
        <v>2816</v>
      </c>
      <c r="AT269" s="4" t="n">
        <v>2840</v>
      </c>
      <c r="AU269" s="4" t="n">
        <v>2820</v>
      </c>
      <c r="AV269" s="4" t="n">
        <v>2726</v>
      </c>
      <c r="AW269" s="4" t="n">
        <v>2728</v>
      </c>
      <c r="AX269" s="4" t="n">
        <v>2664</v>
      </c>
      <c r="AY269" s="4" t="n">
        <v>2660</v>
      </c>
      <c r="AZ269" s="4" t="n">
        <v>2659</v>
      </c>
      <c r="BA269" s="4" t="n">
        <v>2583</v>
      </c>
      <c r="BB269" s="4" t="n">
        <v>2644</v>
      </c>
      <c r="BC269" s="4" t="n">
        <v>2483</v>
      </c>
      <c r="BD269" s="4" t="n">
        <v>2396</v>
      </c>
      <c r="BE269" s="4" t="n">
        <v>2380</v>
      </c>
      <c r="BF269" s="4" t="n">
        <v>2296</v>
      </c>
      <c r="BG269" s="4" t="n">
        <v>2304</v>
      </c>
      <c r="BH269" s="4" t="n">
        <v>2234</v>
      </c>
      <c r="BI269" s="4" t="n">
        <v>2205</v>
      </c>
      <c r="BJ269" s="4" t="n">
        <v>2322</v>
      </c>
      <c r="BK269" s="4" t="n">
        <v>2423</v>
      </c>
      <c r="BL269" s="4" t="n">
        <v>2391</v>
      </c>
    </row>
    <row r="270">
      <c r="A270" s="65" t="inlineStr">
        <is>
          <t>9115</t>
        </is>
      </c>
      <c r="B270" s="4">
        <f>銘柄管理!C270</f>
        <v/>
      </c>
      <c r="C270" s="4">
        <f>_xll.RssMarket("9115","現在値")</f>
        <v/>
      </c>
      <c r="E270" s="4" t="n">
        <v>759</v>
      </c>
      <c r="F270" s="4" t="n">
        <v>768</v>
      </c>
      <c r="G270" s="4" t="n">
        <v>805</v>
      </c>
      <c r="H270" s="4" t="n">
        <v>826</v>
      </c>
      <c r="I270" s="4" t="n">
        <v>848</v>
      </c>
      <c r="J270" s="4" t="n">
        <v>899</v>
      </c>
      <c r="K270" s="4" t="n">
        <v>904</v>
      </c>
      <c r="L270" s="4" t="n">
        <v>973</v>
      </c>
      <c r="M270" s="4" t="n">
        <v>981</v>
      </c>
      <c r="N270" s="4" t="n">
        <v>999</v>
      </c>
      <c r="O270" s="4" t="n">
        <v>1020</v>
      </c>
      <c r="P270" s="4" t="n">
        <v>1036</v>
      </c>
      <c r="Q270" s="4" t="n">
        <v>1047</v>
      </c>
      <c r="R270" s="4" t="n">
        <v>1110</v>
      </c>
      <c r="S270" s="4" t="n">
        <v>1137</v>
      </c>
      <c r="T270" s="4" t="n">
        <v>1143</v>
      </c>
      <c r="U270" s="4" t="n">
        <v>1162</v>
      </c>
      <c r="V270" s="4" t="n">
        <v>1152</v>
      </c>
      <c r="W270" s="4" t="n">
        <v>1130</v>
      </c>
      <c r="X270" s="4" t="n">
        <v>1103</v>
      </c>
      <c r="Y270" s="4" t="n">
        <v>1176</v>
      </c>
      <c r="Z270" s="4" t="n">
        <v>1218</v>
      </c>
      <c r="AA270" s="4" t="n">
        <v>1227</v>
      </c>
      <c r="AB270" s="4" t="n">
        <v>1196</v>
      </c>
      <c r="AC270" s="4" t="n">
        <v>1208</v>
      </c>
      <c r="AD270" s="4" t="n">
        <v>1216</v>
      </c>
      <c r="AE270" s="4" t="n">
        <v>1272</v>
      </c>
      <c r="AF270" s="4" t="n">
        <v>1244</v>
      </c>
      <c r="AG270" s="4" t="n">
        <v>1329</v>
      </c>
      <c r="AH270" s="4" t="n">
        <v>1294</v>
      </c>
      <c r="AI270" s="4" t="n">
        <v>1274</v>
      </c>
      <c r="AJ270" s="4" t="n">
        <v>1249</v>
      </c>
      <c r="AK270" s="4" t="n">
        <v>1180</v>
      </c>
      <c r="AL270" s="4" t="n">
        <v>1175</v>
      </c>
      <c r="AM270" s="4" t="n">
        <v>1178</v>
      </c>
      <c r="AN270" s="4" t="n">
        <v>1214</v>
      </c>
      <c r="AO270" s="4" t="n">
        <v>1267</v>
      </c>
      <c r="AP270" s="4" t="n">
        <v>1282</v>
      </c>
      <c r="AQ270" s="4" t="n">
        <v>1241</v>
      </c>
      <c r="AR270" s="4" t="n">
        <v>1285</v>
      </c>
      <c r="AS270" s="4" t="n">
        <v>1289</v>
      </c>
      <c r="AT270" s="4" t="n">
        <v>1303</v>
      </c>
      <c r="AU270" s="4" t="n">
        <v>1290</v>
      </c>
      <c r="AV270" s="4" t="n">
        <v>1269</v>
      </c>
      <c r="AW270" s="4" t="n">
        <v>1275</v>
      </c>
      <c r="AX270" s="4" t="n">
        <v>1259</v>
      </c>
      <c r="AY270" s="4" t="n">
        <v>1232</v>
      </c>
      <c r="AZ270" s="4" t="n">
        <v>1352</v>
      </c>
      <c r="BA270" s="4" t="n">
        <v>1200</v>
      </c>
      <c r="BB270" s="4" t="n">
        <v>1309</v>
      </c>
      <c r="BC270" s="4" t="n">
        <v>1273</v>
      </c>
      <c r="BD270" s="4" t="n">
        <v>1349</v>
      </c>
      <c r="BE270" s="4" t="n">
        <v>1530</v>
      </c>
      <c r="BF270" s="4" t="n">
        <v>1400</v>
      </c>
      <c r="BG270" s="4" t="n">
        <v>1473</v>
      </c>
      <c r="BH270" s="4" t="n">
        <v>1572</v>
      </c>
      <c r="BI270" s="4" t="n">
        <v>1391</v>
      </c>
      <c r="BJ270" s="4" t="n">
        <v>1480</v>
      </c>
      <c r="BK270" s="4" t="n">
        <v>1267</v>
      </c>
      <c r="BL270" s="4" t="n">
        <v>1113</v>
      </c>
    </row>
    <row r="271">
      <c r="A271" s="65" t="inlineStr">
        <is>
          <t>3864</t>
        </is>
      </c>
      <c r="B271" s="4">
        <f>銘柄管理!C271</f>
        <v/>
      </c>
      <c r="C271" s="4">
        <f>_xll.RssMarket("3864","現在値")</f>
        <v/>
      </c>
      <c r="E271" s="4" t="n">
        <v>1035</v>
      </c>
      <c r="F271" s="4" t="n">
        <v>1032</v>
      </c>
      <c r="G271" s="4" t="n">
        <v>1059</v>
      </c>
      <c r="H271" s="4" t="n">
        <v>1074</v>
      </c>
      <c r="I271" s="4" t="n">
        <v>1061</v>
      </c>
      <c r="J271" s="4" t="n">
        <v>1054</v>
      </c>
      <c r="K271" s="4" t="n">
        <v>1074</v>
      </c>
      <c r="L271" s="4" t="n">
        <v>1052</v>
      </c>
      <c r="M271" s="4" t="n">
        <v>1061</v>
      </c>
      <c r="N271" s="4" t="n">
        <v>1040</v>
      </c>
      <c r="O271" s="4" t="n">
        <v>1060</v>
      </c>
      <c r="P271" s="4" t="n">
        <v>1045</v>
      </c>
      <c r="Q271" s="4" t="n">
        <v>1055</v>
      </c>
      <c r="R271" s="4" t="n">
        <v>1100</v>
      </c>
      <c r="S271" s="4" t="n">
        <v>1131</v>
      </c>
      <c r="T271" s="4" t="n">
        <v>1096</v>
      </c>
      <c r="U271" s="4" t="n">
        <v>1088</v>
      </c>
      <c r="V271" s="4" t="n">
        <v>1095</v>
      </c>
      <c r="W271" s="4" t="n">
        <v>1090</v>
      </c>
      <c r="X271" s="4" t="n">
        <v>1034</v>
      </c>
      <c r="Y271" s="4" t="n">
        <v>1018</v>
      </c>
      <c r="Z271" s="4" t="n">
        <v>1036</v>
      </c>
      <c r="AA271" s="4" t="n">
        <v>1009</v>
      </c>
      <c r="AB271" s="4" t="n">
        <v>928</v>
      </c>
      <c r="AC271" s="4" t="n">
        <v>913</v>
      </c>
      <c r="AD271" s="4" t="n">
        <v>916</v>
      </c>
      <c r="AE271" s="4" t="n">
        <v>935</v>
      </c>
      <c r="AF271" s="4" t="n">
        <v>944</v>
      </c>
      <c r="AG271" s="4" t="n">
        <v>934</v>
      </c>
      <c r="AH271" s="4" t="n">
        <v>928</v>
      </c>
      <c r="AI271" s="4" t="n">
        <v>932</v>
      </c>
      <c r="AJ271" s="4" t="n">
        <v>937</v>
      </c>
      <c r="AK271" s="4" t="n">
        <v>936</v>
      </c>
      <c r="AL271" s="4" t="n">
        <v>959</v>
      </c>
      <c r="AM271" s="4" t="n">
        <v>951</v>
      </c>
      <c r="AN271" s="4" t="n">
        <v>959</v>
      </c>
      <c r="AO271" s="4" t="n">
        <v>978</v>
      </c>
      <c r="AP271" s="4" t="n">
        <v>972</v>
      </c>
      <c r="AQ271" s="4" t="n">
        <v>990</v>
      </c>
      <c r="AR271" s="4" t="n">
        <v>982</v>
      </c>
      <c r="AS271" s="4" t="n">
        <v>951</v>
      </c>
      <c r="AT271" s="4" t="n">
        <v>927</v>
      </c>
      <c r="AU271" s="4" t="n">
        <v>921</v>
      </c>
      <c r="AV271" s="4" t="n">
        <v>895</v>
      </c>
      <c r="AW271" s="4" t="n">
        <v>895</v>
      </c>
      <c r="AX271" s="4" t="n">
        <v>892</v>
      </c>
      <c r="AY271" s="4" t="n">
        <v>876</v>
      </c>
      <c r="AZ271" s="4" t="n">
        <v>856</v>
      </c>
      <c r="BA271" s="4" t="n">
        <v>850</v>
      </c>
      <c r="BB271" s="4" t="n">
        <v>855</v>
      </c>
      <c r="BC271" s="4" t="n">
        <v>841</v>
      </c>
      <c r="BD271" s="4" t="n">
        <v>825</v>
      </c>
      <c r="BE271" s="4" t="n">
        <v>817</v>
      </c>
      <c r="BF271" s="4" t="n">
        <v>820</v>
      </c>
      <c r="BG271" s="4" t="n">
        <v>811</v>
      </c>
      <c r="BH271" s="4" t="n">
        <v>812</v>
      </c>
      <c r="BI271" s="4" t="n">
        <v>797</v>
      </c>
      <c r="BJ271" s="4" t="n">
        <v>780</v>
      </c>
      <c r="BK271" s="4" t="n">
        <v>813</v>
      </c>
      <c r="BL271" s="4" t="n">
        <v>847</v>
      </c>
    </row>
    <row r="272">
      <c r="A272" s="65" t="inlineStr">
        <is>
          <t>6997</t>
        </is>
      </c>
      <c r="B272" s="4">
        <f>銘柄管理!C272</f>
        <v/>
      </c>
      <c r="C272" s="4">
        <f>_xll.RssMarket("6997","現在値")</f>
        <v/>
      </c>
      <c r="E272" s="4" t="n">
        <v>5810</v>
      </c>
      <c r="F272" s="4" t="n">
        <v>5670</v>
      </c>
      <c r="G272" s="4" t="n">
        <v>5240</v>
      </c>
      <c r="H272" s="4" t="n">
        <v>4540</v>
      </c>
      <c r="I272" s="4" t="n">
        <v>4175</v>
      </c>
      <c r="J272" s="4" t="n">
        <v>4110</v>
      </c>
      <c r="K272" s="4" t="n">
        <v>4245</v>
      </c>
      <c r="L272" s="4" t="n">
        <v>4535</v>
      </c>
      <c r="M272" s="4" t="n">
        <v>4980</v>
      </c>
      <c r="N272" s="4" t="n">
        <v>4945</v>
      </c>
      <c r="O272" s="4" t="n">
        <v>4840</v>
      </c>
      <c r="P272" s="4" t="n">
        <v>4785</v>
      </c>
      <c r="Q272" s="4" t="n">
        <v>5620</v>
      </c>
      <c r="R272" s="4" t="n">
        <v>5080</v>
      </c>
      <c r="S272" s="4" t="n">
        <v>4380</v>
      </c>
      <c r="T272" s="4" t="n">
        <v>3865</v>
      </c>
      <c r="U272" s="4" t="n">
        <v>4065</v>
      </c>
      <c r="V272" s="4" t="n">
        <v>3365</v>
      </c>
      <c r="W272" s="4" t="n">
        <v>2923</v>
      </c>
      <c r="X272" s="4" t="n">
        <v>2991</v>
      </c>
      <c r="Y272" s="4" t="n">
        <v>3055</v>
      </c>
      <c r="Z272" s="4" t="n">
        <v>2944</v>
      </c>
      <c r="AA272" s="4" t="n">
        <v>2996</v>
      </c>
      <c r="AB272" s="4" t="n">
        <v>3415</v>
      </c>
      <c r="AC272" s="4" t="n">
        <v>3180</v>
      </c>
      <c r="AD272" s="4" t="n">
        <v>3200</v>
      </c>
      <c r="AE272" s="4" t="n">
        <v>3170</v>
      </c>
      <c r="AF272" s="4" t="n">
        <v>3160</v>
      </c>
      <c r="AG272" s="4" t="n">
        <v>2960</v>
      </c>
      <c r="AH272" s="4" t="n">
        <v>2651</v>
      </c>
      <c r="AI272" s="4" t="n">
        <v>2660</v>
      </c>
      <c r="AJ272" s="4" t="n">
        <v>2462</v>
      </c>
      <c r="AK272" s="4" t="n">
        <v>2321</v>
      </c>
      <c r="AL272" s="4" t="n">
        <v>2295</v>
      </c>
      <c r="AM272" s="4" t="n">
        <v>2243</v>
      </c>
      <c r="AN272" s="4" t="n">
        <v>2450</v>
      </c>
      <c r="AO272" s="4" t="n">
        <v>2354</v>
      </c>
      <c r="AP272" s="4" t="n">
        <v>2384</v>
      </c>
      <c r="AQ272" s="4" t="n">
        <v>2243</v>
      </c>
      <c r="AR272" s="4" t="n">
        <v>2265</v>
      </c>
      <c r="AS272" s="4" t="n">
        <v>2055</v>
      </c>
      <c r="AT272" s="4" t="n">
        <v>1942</v>
      </c>
      <c r="AU272" s="4" t="n">
        <v>1762</v>
      </c>
      <c r="AV272" s="4" t="n">
        <v>1660</v>
      </c>
      <c r="AW272" s="4" t="n">
        <v>1646</v>
      </c>
      <c r="AX272" s="4" t="n">
        <v>1668</v>
      </c>
      <c r="AY272" s="4" t="n">
        <v>1504</v>
      </c>
      <c r="AZ272" s="4" t="n">
        <v>1487</v>
      </c>
      <c r="BA272" s="4" t="n">
        <v>1474</v>
      </c>
      <c r="BB272" s="4" t="n">
        <v>1459</v>
      </c>
      <c r="BC272" s="4" t="n">
        <v>1496</v>
      </c>
      <c r="BD272" s="4" t="n">
        <v>1420</v>
      </c>
      <c r="BE272" s="4" t="n">
        <v>1469</v>
      </c>
      <c r="BF272" s="4" t="n">
        <v>1454</v>
      </c>
      <c r="BG272" s="4" t="n">
        <v>1470</v>
      </c>
      <c r="BH272" s="4" t="n">
        <v>1460</v>
      </c>
      <c r="BI272" s="4" t="n">
        <v>1402</v>
      </c>
      <c r="BJ272" s="4" t="n">
        <v>1376</v>
      </c>
      <c r="BK272" s="4" t="n">
        <v>1503</v>
      </c>
      <c r="BL272" s="4" t="n">
        <v>1609</v>
      </c>
    </row>
    <row r="273">
      <c r="A273" s="65" t="inlineStr">
        <is>
          <t>4544</t>
        </is>
      </c>
      <c r="B273" s="4">
        <f>銘柄管理!C273</f>
        <v/>
      </c>
      <c r="C273" s="4">
        <f>_xll.RssMarket("4544","現在値")</f>
        <v/>
      </c>
      <c r="E273" s="4" t="n">
        <v>3173</v>
      </c>
      <c r="F273" s="4" t="n">
        <v>3136</v>
      </c>
      <c r="G273" s="4" t="n">
        <v>3190</v>
      </c>
      <c r="H273" s="4" t="n">
        <v>3251</v>
      </c>
      <c r="I273" s="4" t="n">
        <v>3392</v>
      </c>
      <c r="J273" s="4" t="n">
        <v>3411</v>
      </c>
      <c r="K273" s="4" t="n">
        <v>3462</v>
      </c>
      <c r="L273" s="4" t="n">
        <v>3343</v>
      </c>
      <c r="M273" s="4" t="n">
        <v>3357</v>
      </c>
      <c r="N273" s="4" t="n">
        <v>3298</v>
      </c>
      <c r="O273" s="4" t="n">
        <v>3302</v>
      </c>
      <c r="P273" s="4" t="n">
        <v>3139</v>
      </c>
      <c r="Q273" s="4" t="n">
        <v>3186</v>
      </c>
      <c r="R273" s="4" t="n">
        <v>3117</v>
      </c>
      <c r="S273" s="4" t="n">
        <v>3146</v>
      </c>
      <c r="T273" s="4" t="n">
        <v>3140</v>
      </c>
      <c r="U273" s="4" t="n">
        <v>3195</v>
      </c>
      <c r="V273" s="4" t="n">
        <v>3193</v>
      </c>
      <c r="W273" s="4" t="n">
        <v>3168</v>
      </c>
      <c r="X273" s="4" t="n">
        <v>3240</v>
      </c>
      <c r="Y273" s="4" t="n">
        <v>3226</v>
      </c>
      <c r="Z273" s="4" t="n">
        <v>3174</v>
      </c>
      <c r="AA273" s="4" t="n">
        <v>3228</v>
      </c>
      <c r="AB273" s="4" t="n">
        <v>3228</v>
      </c>
      <c r="AC273" s="4" t="n">
        <v>3135</v>
      </c>
      <c r="AD273" s="4" t="n">
        <v>3093</v>
      </c>
      <c r="AE273" s="4" t="n">
        <v>3112</v>
      </c>
      <c r="AF273" s="4" t="n">
        <v>3122</v>
      </c>
      <c r="AG273" s="4" t="n">
        <v>3134</v>
      </c>
      <c r="AH273" s="4" t="n">
        <v>3100</v>
      </c>
      <c r="AI273" s="4" t="n">
        <v>3111</v>
      </c>
      <c r="AJ273" s="4" t="n">
        <v>3192</v>
      </c>
      <c r="AK273" s="4" t="n">
        <v>3258</v>
      </c>
      <c r="AL273" s="4" t="n">
        <v>3190</v>
      </c>
      <c r="AM273" s="4" t="n">
        <v>3176</v>
      </c>
      <c r="AN273" s="4" t="n">
        <v>3169</v>
      </c>
      <c r="AO273" s="4" t="n">
        <v>3121</v>
      </c>
      <c r="AP273" s="4" t="n">
        <v>3170</v>
      </c>
      <c r="AQ273" s="4" t="n">
        <v>3147</v>
      </c>
      <c r="AR273" s="4" t="n">
        <v>3183</v>
      </c>
      <c r="AS273" s="4" t="n">
        <v>3166</v>
      </c>
      <c r="AT273" s="4" t="n">
        <v>3133</v>
      </c>
      <c r="AU273" s="4" t="n">
        <v>3126</v>
      </c>
      <c r="AV273" s="4" t="n">
        <v>3122</v>
      </c>
      <c r="AW273" s="4" t="n">
        <v>3209</v>
      </c>
      <c r="AX273" s="4" t="n">
        <v>3243</v>
      </c>
      <c r="AY273" s="4" t="n">
        <v>3225</v>
      </c>
      <c r="AZ273" s="4" t="n">
        <v>3237</v>
      </c>
      <c r="BA273" s="4" t="n">
        <v>3218</v>
      </c>
      <c r="BB273" s="4" t="n">
        <v>3210</v>
      </c>
      <c r="BC273" s="4" t="n">
        <v>3238</v>
      </c>
      <c r="BD273" s="4" t="n">
        <v>3191</v>
      </c>
      <c r="BE273" s="4" t="n">
        <v>3217</v>
      </c>
      <c r="BF273" s="4" t="n">
        <v>3287</v>
      </c>
      <c r="BG273" s="4" t="n">
        <v>3170</v>
      </c>
      <c r="BH273" s="4" t="n">
        <v>3116</v>
      </c>
      <c r="BI273" s="4" t="n">
        <v>3039</v>
      </c>
      <c r="BJ273" s="4" t="n">
        <v>2958.5</v>
      </c>
      <c r="BK273" s="4" t="n">
        <v>3115</v>
      </c>
      <c r="BL273" s="4" t="n">
        <v>3135</v>
      </c>
    </row>
    <row r="274">
      <c r="A274" s="65" t="inlineStr">
        <is>
          <t>6848</t>
        </is>
      </c>
      <c r="B274" s="4">
        <f>銘柄管理!C274</f>
        <v/>
      </c>
      <c r="C274" s="4">
        <f>_xll.RssMarket("6848","現在値")</f>
        <v/>
      </c>
      <c r="E274" s="4" t="n">
        <v>885</v>
      </c>
      <c r="F274" s="4" t="n">
        <v>852</v>
      </c>
      <c r="G274" s="4" t="n">
        <v>864</v>
      </c>
      <c r="H274" s="4" t="n">
        <v>855</v>
      </c>
      <c r="I274" s="4" t="n">
        <v>851</v>
      </c>
      <c r="J274" s="4" t="n">
        <v>878</v>
      </c>
      <c r="K274" s="4" t="n">
        <v>850</v>
      </c>
      <c r="L274" s="4" t="n">
        <v>854</v>
      </c>
      <c r="M274" s="4" t="n">
        <v>871</v>
      </c>
      <c r="N274" s="4" t="n">
        <v>852</v>
      </c>
      <c r="O274" s="4" t="n">
        <v>861</v>
      </c>
      <c r="P274" s="4" t="n">
        <v>869</v>
      </c>
      <c r="Q274" s="4" t="n">
        <v>858</v>
      </c>
      <c r="R274" s="4" t="n">
        <v>855</v>
      </c>
      <c r="S274" s="4" t="n">
        <v>854</v>
      </c>
      <c r="T274" s="4" t="n">
        <v>853</v>
      </c>
      <c r="U274" s="4" t="n">
        <v>864</v>
      </c>
      <c r="V274" s="4" t="n">
        <v>862</v>
      </c>
      <c r="W274" s="4" t="n">
        <v>843</v>
      </c>
      <c r="X274" s="4" t="n">
        <v>869</v>
      </c>
      <c r="Y274" s="4" t="n">
        <v>873</v>
      </c>
      <c r="Z274" s="4" t="n">
        <v>858</v>
      </c>
      <c r="AA274" s="4" t="n">
        <v>870</v>
      </c>
      <c r="AB274" s="4" t="n">
        <v>877</v>
      </c>
      <c r="AC274" s="4" t="n">
        <v>869</v>
      </c>
      <c r="AD274" s="4" t="n">
        <v>869</v>
      </c>
      <c r="AE274" s="4" t="n">
        <v>872</v>
      </c>
      <c r="AF274" s="4" t="n">
        <v>870</v>
      </c>
      <c r="AG274" s="4" t="n">
        <v>862</v>
      </c>
      <c r="AH274" s="4" t="n">
        <v>871</v>
      </c>
      <c r="AI274" s="4" t="n">
        <v>876</v>
      </c>
      <c r="AJ274" s="4" t="n">
        <v>870</v>
      </c>
      <c r="AK274" s="4" t="n">
        <v>881</v>
      </c>
      <c r="AL274" s="4" t="n">
        <v>874</v>
      </c>
      <c r="AM274" s="4" t="n">
        <v>878</v>
      </c>
      <c r="AN274" s="4" t="n">
        <v>879</v>
      </c>
      <c r="AO274" s="4" t="n">
        <v>879</v>
      </c>
      <c r="AP274" s="4" t="n">
        <v>877</v>
      </c>
      <c r="AQ274" s="4" t="n">
        <v>869</v>
      </c>
      <c r="AR274" s="4" t="n">
        <v>870</v>
      </c>
      <c r="AS274" s="4" t="n">
        <v>873</v>
      </c>
      <c r="AT274" s="4" t="n">
        <v>872</v>
      </c>
      <c r="AU274" s="4" t="n">
        <v>871</v>
      </c>
      <c r="AV274" s="4" t="n">
        <v>883</v>
      </c>
      <c r="AW274" s="4" t="n">
        <v>882</v>
      </c>
      <c r="AX274" s="4" t="n">
        <v>878</v>
      </c>
      <c r="AY274" s="4" t="n">
        <v>882</v>
      </c>
      <c r="AZ274" s="4" t="n">
        <v>883</v>
      </c>
      <c r="BA274" s="4" t="n">
        <v>885</v>
      </c>
      <c r="BB274" s="4" t="n">
        <v>882</v>
      </c>
      <c r="BC274" s="4" t="n">
        <v>885</v>
      </c>
      <c r="BD274" s="4" t="n">
        <v>893</v>
      </c>
      <c r="BE274" s="4" t="n">
        <v>909</v>
      </c>
      <c r="BF274" s="4" t="n">
        <v>898</v>
      </c>
      <c r="BG274" s="4" t="n">
        <v>897</v>
      </c>
      <c r="BH274" s="4" t="n">
        <v>878</v>
      </c>
      <c r="BI274" s="4" t="n">
        <v>881</v>
      </c>
      <c r="BJ274" s="4" t="n">
        <v>912</v>
      </c>
      <c r="BK274" s="4" t="n">
        <v>923</v>
      </c>
      <c r="BL274" s="4" t="n">
        <v>916</v>
      </c>
    </row>
    <row r="275">
      <c r="A275" s="65" t="inlineStr">
        <is>
          <t>5702</t>
        </is>
      </c>
      <c r="B275" s="4">
        <f>銘柄管理!C275</f>
        <v/>
      </c>
      <c r="C275" s="4">
        <f>_xll.RssMarket("5702","現在値")</f>
        <v/>
      </c>
      <c r="E275" s="4" t="n">
        <v>1653</v>
      </c>
      <c r="F275" s="4" t="n">
        <v>1660</v>
      </c>
      <c r="G275" s="4" t="n">
        <v>1704</v>
      </c>
      <c r="H275" s="4" t="n">
        <v>1732</v>
      </c>
      <c r="I275" s="4" t="n">
        <v>1825</v>
      </c>
      <c r="J275" s="4" t="n">
        <v>1816</v>
      </c>
      <c r="K275" s="4" t="n">
        <v>1831</v>
      </c>
      <c r="L275" s="4" t="n">
        <v>1858</v>
      </c>
      <c r="M275" s="4" t="n">
        <v>1931</v>
      </c>
      <c r="N275" s="4" t="n">
        <v>1905</v>
      </c>
      <c r="O275" s="4" t="n">
        <v>2007</v>
      </c>
      <c r="P275" s="4" t="n">
        <v>1956</v>
      </c>
      <c r="Q275" s="4" t="n">
        <v>1915</v>
      </c>
      <c r="R275" s="4" t="n">
        <v>1923</v>
      </c>
      <c r="S275" s="4" t="n">
        <v>1966</v>
      </c>
      <c r="T275" s="4" t="n">
        <v>1973</v>
      </c>
      <c r="U275" s="4" t="n">
        <v>1967</v>
      </c>
      <c r="V275" s="4" t="n">
        <v>1906</v>
      </c>
      <c r="W275" s="4" t="n">
        <v>1857</v>
      </c>
      <c r="X275" s="4" t="n">
        <v>1797</v>
      </c>
      <c r="Y275" s="4" t="n">
        <v>1828</v>
      </c>
      <c r="Z275" s="4" t="n">
        <v>1796</v>
      </c>
      <c r="AA275" s="4" t="n">
        <v>1848</v>
      </c>
      <c r="AB275" s="4" t="n">
        <v>1787</v>
      </c>
      <c r="AC275" s="4" t="n">
        <v>1603</v>
      </c>
      <c r="AD275" s="4" t="n">
        <v>1587</v>
      </c>
      <c r="AE275" s="4" t="n">
        <v>1596</v>
      </c>
      <c r="AF275" s="4" t="n">
        <v>1613</v>
      </c>
      <c r="AG275" s="4" t="n">
        <v>1543</v>
      </c>
      <c r="AH275" s="4" t="n">
        <v>1496</v>
      </c>
      <c r="AI275" s="4" t="n">
        <v>1465</v>
      </c>
      <c r="AJ275" s="4" t="n">
        <v>1491</v>
      </c>
      <c r="AK275" s="4" t="n">
        <v>1459</v>
      </c>
      <c r="AL275" s="4" t="n">
        <v>1447</v>
      </c>
      <c r="AM275" s="4" t="n">
        <v>1462</v>
      </c>
      <c r="AN275" s="4" t="n">
        <v>1476</v>
      </c>
      <c r="AO275" s="4" t="n">
        <v>1495</v>
      </c>
      <c r="AP275" s="4" t="n">
        <v>1474</v>
      </c>
      <c r="AQ275" s="4" t="n">
        <v>1521</v>
      </c>
      <c r="AR275" s="4" t="n">
        <v>1556</v>
      </c>
      <c r="AS275" s="4" t="n">
        <v>1559</v>
      </c>
      <c r="AT275" s="4" t="n">
        <v>1595</v>
      </c>
      <c r="AU275" s="4" t="n">
        <v>1565</v>
      </c>
      <c r="AV275" s="4" t="n">
        <v>1543</v>
      </c>
      <c r="AW275" s="4" t="n">
        <v>1552</v>
      </c>
      <c r="AX275" s="4" t="n">
        <v>1557</v>
      </c>
      <c r="AY275" s="4" t="n">
        <v>1489</v>
      </c>
      <c r="AZ275" s="4" t="n">
        <v>1496</v>
      </c>
      <c r="BA275" s="4" t="n">
        <v>1468</v>
      </c>
      <c r="BB275" s="4" t="n">
        <v>1440</v>
      </c>
      <c r="BC275" s="4" t="n">
        <v>1452</v>
      </c>
      <c r="BD275" s="4" t="n">
        <v>1407</v>
      </c>
      <c r="BE275" s="4" t="n">
        <v>1388</v>
      </c>
      <c r="BF275" s="4" t="n">
        <v>1318</v>
      </c>
      <c r="BG275" s="4" t="n">
        <v>1300</v>
      </c>
      <c r="BH275" s="4" t="n">
        <v>1299</v>
      </c>
      <c r="BI275" s="4" t="n">
        <v>1268</v>
      </c>
      <c r="BJ275" s="4" t="n">
        <v>1233</v>
      </c>
      <c r="BK275" s="4" t="n">
        <v>1313</v>
      </c>
      <c r="BL275" s="4" t="n">
        <v>1378</v>
      </c>
    </row>
    <row r="276">
      <c r="A276" s="65" t="inlineStr">
        <is>
          <t>7952</t>
        </is>
      </c>
      <c r="B276" s="4">
        <f>銘柄管理!C276</f>
        <v/>
      </c>
      <c r="C276" s="4">
        <f>_xll.RssMarket("7952","現在値")</f>
        <v/>
      </c>
      <c r="E276" s="4" t="n">
        <v>3340</v>
      </c>
      <c r="F276" s="4" t="n">
        <v>3295</v>
      </c>
      <c r="G276" s="4" t="n">
        <v>3245</v>
      </c>
      <c r="H276" s="4" t="n">
        <v>3250</v>
      </c>
      <c r="I276" s="4" t="n">
        <v>3020</v>
      </c>
      <c r="J276" s="4" t="n">
        <v>3010</v>
      </c>
      <c r="K276" s="4" t="n">
        <v>3095</v>
      </c>
      <c r="L276" s="4" t="n">
        <v>3145</v>
      </c>
      <c r="M276" s="4" t="n">
        <v>3140</v>
      </c>
      <c r="N276" s="4" t="n">
        <v>3195</v>
      </c>
      <c r="O276" s="4" t="n">
        <v>3215</v>
      </c>
      <c r="P276" s="4" t="n">
        <v>3135</v>
      </c>
      <c r="Q276" s="4" t="n">
        <v>3250</v>
      </c>
      <c r="R276" s="4" t="n">
        <v>3300</v>
      </c>
      <c r="S276" s="4" t="n">
        <v>3210</v>
      </c>
      <c r="T276" s="4" t="n">
        <v>3055</v>
      </c>
      <c r="U276" s="4" t="n">
        <v>3035</v>
      </c>
      <c r="V276" s="4" t="n">
        <v>2950</v>
      </c>
      <c r="W276" s="4" t="n">
        <v>2961</v>
      </c>
      <c r="X276" s="4" t="n">
        <v>2930</v>
      </c>
      <c r="Y276" s="4" t="n">
        <v>3100</v>
      </c>
      <c r="Z276" s="4" t="n">
        <v>3080</v>
      </c>
      <c r="AA276" s="4" t="n">
        <v>3120</v>
      </c>
      <c r="AB276" s="4" t="n">
        <v>3005</v>
      </c>
      <c r="AC276" s="4" t="n">
        <v>2981</v>
      </c>
      <c r="AD276" s="4" t="n">
        <v>2937</v>
      </c>
      <c r="AE276" s="4" t="n">
        <v>2812</v>
      </c>
      <c r="AF276" s="4" t="n">
        <v>2740</v>
      </c>
      <c r="AG276" s="4" t="n">
        <v>2825</v>
      </c>
      <c r="AH276" s="4" t="n">
        <v>2769</v>
      </c>
      <c r="AI276" s="4" t="n">
        <v>2745</v>
      </c>
      <c r="AJ276" s="4" t="n">
        <v>2839</v>
      </c>
      <c r="AK276" s="4" t="n">
        <v>2829</v>
      </c>
      <c r="AL276" s="4" t="n">
        <v>2786</v>
      </c>
      <c r="AM276" s="4" t="n">
        <v>2868</v>
      </c>
      <c r="AN276" s="4" t="n">
        <v>3025</v>
      </c>
      <c r="AO276" s="4" t="n">
        <v>3065</v>
      </c>
      <c r="AP276" s="4" t="n">
        <v>3050</v>
      </c>
      <c r="AQ276" s="4" t="n">
        <v>3050</v>
      </c>
      <c r="AR276" s="4" t="n">
        <v>3135</v>
      </c>
      <c r="AS276" s="4" t="n">
        <v>3070</v>
      </c>
      <c r="AT276" s="4" t="n">
        <v>3020</v>
      </c>
      <c r="AU276" s="4" t="n">
        <v>3005</v>
      </c>
      <c r="AV276" s="4" t="n">
        <v>3030</v>
      </c>
      <c r="AW276" s="4" t="n">
        <v>2960</v>
      </c>
      <c r="AX276" s="4" t="n">
        <v>3030</v>
      </c>
      <c r="AY276" s="4" t="n">
        <v>2993</v>
      </c>
      <c r="AZ276" s="4" t="n">
        <v>2976</v>
      </c>
      <c r="BA276" s="4" t="n">
        <v>3005</v>
      </c>
      <c r="BB276" s="4" t="n">
        <v>3010</v>
      </c>
      <c r="BC276" s="4" t="n">
        <v>2978</v>
      </c>
      <c r="BD276" s="4" t="n">
        <v>2824</v>
      </c>
      <c r="BE276" s="4" t="n">
        <v>2759</v>
      </c>
      <c r="BF276" s="4" t="n">
        <v>2864</v>
      </c>
      <c r="BG276" s="4" t="n">
        <v>2798</v>
      </c>
      <c r="BH276" s="4" t="n">
        <v>2763</v>
      </c>
      <c r="BI276" s="4" t="n">
        <v>2744</v>
      </c>
      <c r="BJ276" s="4" t="n">
        <v>2660</v>
      </c>
      <c r="BK276" s="4" t="n">
        <v>2721</v>
      </c>
      <c r="BL276" s="4" t="n">
        <v>2816</v>
      </c>
    </row>
    <row r="277">
      <c r="A277" s="65" t="inlineStr">
        <is>
          <t>3002</t>
        </is>
      </c>
      <c r="B277" s="4">
        <f>銘柄管理!C277</f>
        <v/>
      </c>
      <c r="C277" s="4">
        <f>_xll.RssMarket("3002","現在値")</f>
        <v/>
      </c>
      <c r="E277" s="4" t="n">
        <v>3850</v>
      </c>
      <c r="F277" s="4" t="n">
        <v>3810</v>
      </c>
      <c r="G277" s="4" t="n">
        <v>3820</v>
      </c>
      <c r="H277" s="4" t="n">
        <v>3815</v>
      </c>
      <c r="I277" s="4" t="n">
        <v>3845</v>
      </c>
      <c r="J277" s="4" t="n">
        <v>3725</v>
      </c>
      <c r="K277" s="4" t="n">
        <v>3740</v>
      </c>
      <c r="L277" s="4" t="n">
        <v>3665</v>
      </c>
      <c r="M277" s="4" t="n">
        <v>3715</v>
      </c>
      <c r="N277" s="4" t="n">
        <v>3680</v>
      </c>
      <c r="O277" s="4" t="n">
        <v>3700</v>
      </c>
      <c r="P277" s="4" t="n">
        <v>3660</v>
      </c>
      <c r="Q277" s="4" t="n">
        <v>3715</v>
      </c>
      <c r="R277" s="4" t="n">
        <v>3725</v>
      </c>
      <c r="S277" s="4" t="n">
        <v>3700</v>
      </c>
      <c r="T277" s="4" t="n">
        <v>3725</v>
      </c>
      <c r="U277" s="4" t="n">
        <v>3660</v>
      </c>
      <c r="V277" s="4" t="n">
        <v>3655</v>
      </c>
      <c r="W277" s="4" t="n">
        <v>3695</v>
      </c>
      <c r="X277" s="4" t="n">
        <v>3650</v>
      </c>
      <c r="Y277" s="4" t="n">
        <v>3725</v>
      </c>
      <c r="Z277" s="4" t="n">
        <v>3715</v>
      </c>
      <c r="AA277" s="4" t="n">
        <v>3735</v>
      </c>
      <c r="AB277" s="4" t="n">
        <v>3815</v>
      </c>
      <c r="AC277" s="4" t="n">
        <v>3585</v>
      </c>
      <c r="AD277" s="4" t="n">
        <v>3595</v>
      </c>
      <c r="AE277" s="4" t="n">
        <v>3620</v>
      </c>
      <c r="AF277" s="4" t="n">
        <v>3620</v>
      </c>
      <c r="AG277" s="4" t="n">
        <v>3640</v>
      </c>
      <c r="AH277" s="4" t="n">
        <v>3595</v>
      </c>
      <c r="AI277" s="4" t="n">
        <v>3610</v>
      </c>
      <c r="AJ277" s="4" t="n">
        <v>3710</v>
      </c>
      <c r="AK277" s="4" t="n">
        <v>3660</v>
      </c>
      <c r="AL277" s="4" t="n">
        <v>3670</v>
      </c>
      <c r="AM277" s="4" t="n">
        <v>3700</v>
      </c>
      <c r="AN277" s="4" t="n">
        <v>3750</v>
      </c>
      <c r="AO277" s="4" t="n">
        <v>3840</v>
      </c>
      <c r="AP277" s="4" t="n">
        <v>3945</v>
      </c>
      <c r="AQ277" s="4" t="n">
        <v>3910</v>
      </c>
      <c r="AR277" s="4" t="n">
        <v>3925</v>
      </c>
      <c r="AS277" s="4" t="n">
        <v>3860</v>
      </c>
      <c r="AT277" s="4" t="n">
        <v>3890</v>
      </c>
      <c r="AU277" s="4" t="n">
        <v>3920</v>
      </c>
      <c r="AV277" s="4" t="n">
        <v>3945</v>
      </c>
      <c r="AW277" s="4" t="n">
        <v>3945</v>
      </c>
      <c r="AX277" s="4" t="n">
        <v>3955</v>
      </c>
      <c r="AY277" s="4" t="n">
        <v>3865</v>
      </c>
      <c r="AZ277" s="4" t="n">
        <v>3845</v>
      </c>
      <c r="BA277" s="4" t="n">
        <v>3815</v>
      </c>
      <c r="BB277" s="4" t="n">
        <v>3785</v>
      </c>
      <c r="BC277" s="4" t="n">
        <v>3805</v>
      </c>
      <c r="BD277" s="4" t="n">
        <v>3700</v>
      </c>
      <c r="BE277" s="4" t="n">
        <v>3735</v>
      </c>
      <c r="BF277" s="4" t="n">
        <v>4215</v>
      </c>
      <c r="BG277" s="4" t="n">
        <v>4195</v>
      </c>
      <c r="BH277" s="4" t="n">
        <v>4220</v>
      </c>
      <c r="BI277" s="4" t="n">
        <v>4200</v>
      </c>
      <c r="BJ277" s="4" t="n">
        <v>4100</v>
      </c>
      <c r="BK277" s="4" t="n">
        <v>4255</v>
      </c>
      <c r="BL277" s="4" t="n">
        <v>4380</v>
      </c>
    </row>
    <row r="278">
      <c r="A278" s="65" t="inlineStr">
        <is>
          <t>8871</t>
        </is>
      </c>
      <c r="B278" s="4">
        <f>銘柄管理!C278</f>
        <v/>
      </c>
      <c r="C278" s="4">
        <f>_xll.RssMarket("8871","現在値")</f>
        <v/>
      </c>
      <c r="E278" s="4" t="n">
        <v>3230</v>
      </c>
      <c r="F278" s="4" t="n">
        <v>3290</v>
      </c>
      <c r="G278" s="4" t="n">
        <v>3245</v>
      </c>
      <c r="H278" s="4" t="n">
        <v>3305</v>
      </c>
      <c r="I278" s="4" t="n">
        <v>3355</v>
      </c>
      <c r="J278" s="4" t="n">
        <v>3325</v>
      </c>
      <c r="K278" s="4" t="n">
        <v>3330</v>
      </c>
      <c r="L278" s="4" t="n">
        <v>3265</v>
      </c>
      <c r="M278" s="4" t="n">
        <v>3220</v>
      </c>
      <c r="N278" s="4" t="n">
        <v>3305</v>
      </c>
      <c r="O278" s="4" t="n">
        <v>3415</v>
      </c>
      <c r="P278" s="4" t="n">
        <v>3490</v>
      </c>
      <c r="Q278" s="4" t="n">
        <v>3575</v>
      </c>
      <c r="R278" s="4" t="n">
        <v>3570</v>
      </c>
      <c r="S278" s="4" t="n">
        <v>3540</v>
      </c>
      <c r="T278" s="4" t="n">
        <v>3500</v>
      </c>
      <c r="U278" s="4" t="n">
        <v>3520</v>
      </c>
      <c r="V278" s="4" t="n">
        <v>3585</v>
      </c>
      <c r="W278" s="4" t="n">
        <v>3560</v>
      </c>
      <c r="X278" s="4" t="n">
        <v>3660</v>
      </c>
      <c r="Y278" s="4" t="n">
        <v>3700</v>
      </c>
      <c r="Z278" s="4" t="n">
        <v>3650</v>
      </c>
      <c r="AA278" s="4" t="n">
        <v>3290</v>
      </c>
      <c r="AB278" s="4" t="n">
        <v>3305</v>
      </c>
      <c r="AC278" s="4" t="n">
        <v>3345</v>
      </c>
      <c r="AD278" s="4" t="n">
        <v>3320</v>
      </c>
      <c r="AE278" s="4" t="n">
        <v>3320</v>
      </c>
      <c r="AF278" s="4" t="n">
        <v>3330</v>
      </c>
      <c r="AG278" s="4" t="n">
        <v>3325</v>
      </c>
      <c r="AH278" s="4" t="n">
        <v>3340</v>
      </c>
      <c r="AI278" s="4" t="n">
        <v>3355</v>
      </c>
      <c r="AJ278" s="4" t="n">
        <v>3335</v>
      </c>
      <c r="AK278" s="4" t="n">
        <v>3310</v>
      </c>
      <c r="AL278" s="4" t="n">
        <v>3320</v>
      </c>
      <c r="AM278" s="4" t="n">
        <v>3310</v>
      </c>
      <c r="AN278" s="4" t="n">
        <v>3405</v>
      </c>
      <c r="AO278" s="4" t="n">
        <v>3420</v>
      </c>
      <c r="AP278" s="4" t="n">
        <v>3420</v>
      </c>
      <c r="AQ278" s="4" t="n">
        <v>3465</v>
      </c>
      <c r="AR278" s="4" t="n">
        <v>3480</v>
      </c>
      <c r="AS278" s="4" t="n">
        <v>3465</v>
      </c>
      <c r="AT278" s="4" t="n">
        <v>3460</v>
      </c>
      <c r="AU278" s="4" t="n">
        <v>3510</v>
      </c>
      <c r="AV278" s="4" t="n">
        <v>3485</v>
      </c>
      <c r="AW278" s="4" t="n">
        <v>3505</v>
      </c>
      <c r="AX278" s="4" t="n">
        <v>3515</v>
      </c>
      <c r="AY278" s="4" t="n">
        <v>3455</v>
      </c>
      <c r="AZ278" s="4" t="n">
        <v>3425</v>
      </c>
      <c r="BA278" s="4" t="n">
        <v>3450</v>
      </c>
      <c r="BB278" s="4" t="n">
        <v>3425</v>
      </c>
      <c r="BC278" s="4" t="n">
        <v>3335</v>
      </c>
      <c r="BD278" s="4" t="n">
        <v>3340</v>
      </c>
      <c r="BE278" s="4" t="n">
        <v>3380</v>
      </c>
      <c r="BF278" s="4" t="n">
        <v>3355</v>
      </c>
      <c r="BG278" s="4" t="n">
        <v>3320</v>
      </c>
      <c r="BH278" s="4" t="n">
        <v>3310</v>
      </c>
      <c r="BI278" s="4" t="n">
        <v>3260</v>
      </c>
      <c r="BJ278" s="4" t="n">
        <v>3325</v>
      </c>
      <c r="BK278" s="4" t="n">
        <v>3350</v>
      </c>
      <c r="BL278" s="4" t="n">
        <v>3320</v>
      </c>
    </row>
    <row r="279">
      <c r="A279" s="65" t="inlineStr">
        <is>
          <t>6918</t>
        </is>
      </c>
      <c r="B279" s="4">
        <f>銘柄管理!C279</f>
        <v/>
      </c>
      <c r="C279" s="4">
        <f>_xll.RssMarket("6918","現在値")</f>
        <v/>
      </c>
      <c r="E279" s="4" t="n">
        <v>3540</v>
      </c>
      <c r="F279" s="4" t="n">
        <v>3365</v>
      </c>
      <c r="G279" s="4" t="n">
        <v>3335</v>
      </c>
      <c r="H279" s="4" t="n">
        <v>3270</v>
      </c>
      <c r="I279" s="4" t="n">
        <v>3055</v>
      </c>
      <c r="J279" s="4" t="n">
        <v>2975</v>
      </c>
      <c r="K279" s="4" t="n">
        <v>2900</v>
      </c>
      <c r="L279" s="4" t="n">
        <v>3060</v>
      </c>
      <c r="M279" s="4" t="n">
        <v>3255</v>
      </c>
      <c r="N279" s="4" t="n">
        <v>3285</v>
      </c>
      <c r="O279" s="4" t="n">
        <v>3305</v>
      </c>
      <c r="P279" s="4" t="n">
        <v>3415</v>
      </c>
      <c r="Q279" s="4" t="n">
        <v>3525</v>
      </c>
      <c r="R279" s="4" t="n">
        <v>3490</v>
      </c>
      <c r="S279" s="4" t="n">
        <v>3315</v>
      </c>
      <c r="T279" s="4" t="n">
        <v>3470</v>
      </c>
      <c r="U279" s="4" t="n">
        <v>3400</v>
      </c>
      <c r="V279" s="4" t="n">
        <v>3435</v>
      </c>
      <c r="W279" s="4" t="n">
        <v>3310</v>
      </c>
      <c r="X279" s="4" t="n">
        <v>3570</v>
      </c>
      <c r="Y279" s="4" t="n">
        <v>3760</v>
      </c>
      <c r="Z279" s="4" t="n">
        <v>3520</v>
      </c>
      <c r="AA279" s="4" t="n">
        <v>3535</v>
      </c>
      <c r="AB279" s="4" t="n">
        <v>3645</v>
      </c>
      <c r="AC279" s="4" t="n">
        <v>3670</v>
      </c>
      <c r="AD279" s="4" t="n">
        <v>3685</v>
      </c>
      <c r="AE279" s="4" t="n">
        <v>3325</v>
      </c>
      <c r="AF279" s="4" t="n">
        <v>3295</v>
      </c>
      <c r="AG279" s="4" t="n">
        <v>3105</v>
      </c>
      <c r="AH279" s="4" t="n">
        <v>2933</v>
      </c>
      <c r="AI279" s="4" t="n">
        <v>2899</v>
      </c>
      <c r="AJ279" s="4" t="n">
        <v>2969</v>
      </c>
      <c r="AK279" s="4" t="n">
        <v>3030</v>
      </c>
      <c r="AL279" s="4" t="n">
        <v>3005</v>
      </c>
      <c r="AM279" s="4" t="n">
        <v>3060</v>
      </c>
      <c r="AN279" s="4" t="n">
        <v>3055</v>
      </c>
      <c r="AO279" s="4" t="n">
        <v>2957</v>
      </c>
      <c r="AP279" s="4" t="n">
        <v>2801</v>
      </c>
      <c r="AQ279" s="4" t="n">
        <v>2854</v>
      </c>
      <c r="AR279" s="4" t="n">
        <v>2834</v>
      </c>
      <c r="AS279" s="4" t="n">
        <v>2852</v>
      </c>
      <c r="AT279" s="4" t="n">
        <v>2803</v>
      </c>
      <c r="AU279" s="4" t="n">
        <v>2764</v>
      </c>
      <c r="AV279" s="4" t="n">
        <v>2723</v>
      </c>
      <c r="AW279" s="4" t="n">
        <v>2710</v>
      </c>
      <c r="AX279" s="4" t="n">
        <v>2624</v>
      </c>
      <c r="AY279" s="4" t="n">
        <v>2601</v>
      </c>
      <c r="AZ279" s="4" t="n">
        <v>2597</v>
      </c>
      <c r="BA279" s="4" t="n">
        <v>2596</v>
      </c>
      <c r="BB279" s="4" t="n">
        <v>2628</v>
      </c>
      <c r="BC279" s="4" t="n">
        <v>2577</v>
      </c>
      <c r="BD279" s="4" t="n">
        <v>2611</v>
      </c>
      <c r="BE279" s="4" t="n">
        <v>2779</v>
      </c>
      <c r="BF279" s="4" t="n">
        <v>2779</v>
      </c>
      <c r="BG279" s="4" t="n">
        <v>2791</v>
      </c>
      <c r="BH279" s="4" t="n">
        <v>2699</v>
      </c>
      <c r="BI279" s="4" t="n">
        <v>2650</v>
      </c>
      <c r="BJ279" s="4" t="n">
        <v>2731</v>
      </c>
      <c r="BK279" s="4" t="n">
        <v>2803</v>
      </c>
      <c r="BL279" s="4" t="n">
        <v>2794</v>
      </c>
    </row>
    <row r="280">
      <c r="A280" s="65" t="inlineStr">
        <is>
          <t>6488</t>
        </is>
      </c>
      <c r="B280" s="4">
        <f>銘柄管理!C280</f>
        <v/>
      </c>
      <c r="C280" s="4">
        <f>_xll.RssMarket("6488","現在値")</f>
        <v/>
      </c>
      <c r="E280" s="4" t="n">
        <v>942</v>
      </c>
      <c r="F280" s="4" t="n">
        <v>935</v>
      </c>
      <c r="G280" s="4" t="n">
        <v>924</v>
      </c>
      <c r="H280" s="4" t="n">
        <v>918</v>
      </c>
      <c r="I280" s="4" t="n">
        <v>913</v>
      </c>
      <c r="J280" s="4" t="n">
        <v>915</v>
      </c>
      <c r="K280" s="4" t="n">
        <v>921</v>
      </c>
      <c r="L280" s="4" t="n">
        <v>933</v>
      </c>
      <c r="M280" s="4" t="n">
        <v>936</v>
      </c>
      <c r="N280" s="4" t="n">
        <v>934</v>
      </c>
      <c r="O280" s="4" t="n">
        <v>931</v>
      </c>
      <c r="P280" s="4" t="n">
        <v>927</v>
      </c>
      <c r="Q280" s="4" t="n">
        <v>932</v>
      </c>
      <c r="R280" s="4" t="n">
        <v>926</v>
      </c>
      <c r="S280" s="4" t="n">
        <v>932</v>
      </c>
      <c r="T280" s="4" t="n">
        <v>950</v>
      </c>
      <c r="U280" s="4" t="n">
        <v>951</v>
      </c>
      <c r="V280" s="4" t="n">
        <v>961</v>
      </c>
      <c r="W280" s="4" t="n">
        <v>953</v>
      </c>
      <c r="X280" s="4" t="n">
        <v>972</v>
      </c>
      <c r="Y280" s="4" t="n">
        <v>955</v>
      </c>
      <c r="Z280" s="4" t="n">
        <v>958</v>
      </c>
      <c r="AA280" s="4" t="n">
        <v>980</v>
      </c>
      <c r="AB280" s="4" t="n">
        <v>933</v>
      </c>
      <c r="AC280" s="4" t="n">
        <v>932</v>
      </c>
      <c r="AD280" s="4" t="n">
        <v>937</v>
      </c>
      <c r="AE280" s="4" t="n">
        <v>936</v>
      </c>
      <c r="AF280" s="4" t="n">
        <v>935</v>
      </c>
      <c r="AG280" s="4" t="n">
        <v>935</v>
      </c>
      <c r="AH280" s="4" t="n">
        <v>943</v>
      </c>
      <c r="AI280" s="4" t="n">
        <v>944</v>
      </c>
      <c r="AJ280" s="4" t="n">
        <v>937</v>
      </c>
      <c r="AK280" s="4" t="n">
        <v>934</v>
      </c>
      <c r="AL280" s="4" t="n">
        <v>934</v>
      </c>
      <c r="AM280" s="4" t="n">
        <v>934</v>
      </c>
      <c r="AN280" s="4" t="n">
        <v>940</v>
      </c>
      <c r="AO280" s="4" t="n">
        <v>953</v>
      </c>
      <c r="AP280" s="4" t="n">
        <v>956</v>
      </c>
      <c r="AQ280" s="4" t="n">
        <v>952</v>
      </c>
      <c r="AR280" s="4" t="n">
        <v>940</v>
      </c>
      <c r="AS280" s="4" t="n">
        <v>940</v>
      </c>
      <c r="AT280" s="4" t="n">
        <v>944</v>
      </c>
      <c r="AU280" s="4" t="n">
        <v>945</v>
      </c>
      <c r="AV280" s="4" t="n">
        <v>942</v>
      </c>
      <c r="AW280" s="4" t="n">
        <v>941</v>
      </c>
      <c r="AX280" s="4" t="n">
        <v>936</v>
      </c>
      <c r="AY280" s="4" t="n">
        <v>933</v>
      </c>
      <c r="AZ280" s="4" t="n">
        <v>936</v>
      </c>
      <c r="BA280" s="4" t="n">
        <v>938</v>
      </c>
      <c r="BB280" s="4" t="n">
        <v>926</v>
      </c>
      <c r="BC280" s="4" t="n">
        <v>923</v>
      </c>
      <c r="BD280" s="4" t="n">
        <v>917</v>
      </c>
      <c r="BE280" s="4" t="n">
        <v>966</v>
      </c>
      <c r="BF280" s="4" t="n">
        <v>957</v>
      </c>
      <c r="BG280" s="4" t="n">
        <v>963</v>
      </c>
      <c r="BH280" s="4" t="n">
        <v>944</v>
      </c>
      <c r="BI280" s="4" t="n">
        <v>928</v>
      </c>
      <c r="BJ280" s="4" t="n">
        <v>958</v>
      </c>
      <c r="BK280" s="4" t="n">
        <v>965</v>
      </c>
      <c r="BL280" s="4" t="n">
        <v>965</v>
      </c>
    </row>
    <row r="281">
      <c r="A281" s="65" t="inlineStr">
        <is>
          <t>8007</t>
        </is>
      </c>
      <c r="B281" s="4">
        <f>銘柄管理!C281</f>
        <v/>
      </c>
      <c r="C281" s="4">
        <f>_xll.RssMarket("8007","現在値")</f>
        <v/>
      </c>
      <c r="E281" s="4" t="n">
        <v>748</v>
      </c>
      <c r="F281" s="4" t="n">
        <v>741</v>
      </c>
      <c r="G281" s="4" t="n">
        <v>749</v>
      </c>
      <c r="H281" s="4" t="n">
        <v>746</v>
      </c>
      <c r="I281" s="4" t="n">
        <v>740</v>
      </c>
      <c r="J281" s="4" t="n">
        <v>736</v>
      </c>
      <c r="K281" s="4" t="n">
        <v>741</v>
      </c>
      <c r="L281" s="4" t="n">
        <v>740</v>
      </c>
      <c r="M281" s="4" t="n">
        <v>736</v>
      </c>
      <c r="N281" s="4" t="n">
        <v>729</v>
      </c>
      <c r="O281" s="4" t="n">
        <v>731</v>
      </c>
      <c r="P281" s="4" t="n">
        <v>725</v>
      </c>
      <c r="Q281" s="4" t="n">
        <v>731</v>
      </c>
      <c r="R281" s="4" t="n">
        <v>766</v>
      </c>
      <c r="S281" s="4" t="n">
        <v>763</v>
      </c>
      <c r="T281" s="4" t="n">
        <v>753</v>
      </c>
      <c r="U281" s="4" t="n">
        <v>745</v>
      </c>
      <c r="V281" s="4" t="n">
        <v>736</v>
      </c>
      <c r="W281" s="4" t="n">
        <v>741</v>
      </c>
      <c r="X281" s="4" t="n">
        <v>728</v>
      </c>
      <c r="Y281" s="4" t="n">
        <v>744</v>
      </c>
      <c r="Z281" s="4" t="n">
        <v>754</v>
      </c>
      <c r="AA281" s="4" t="n">
        <v>764</v>
      </c>
      <c r="AB281" s="4" t="n">
        <v>773</v>
      </c>
      <c r="AC281" s="4" t="n">
        <v>689</v>
      </c>
      <c r="AD281" s="4" t="n">
        <v>768</v>
      </c>
      <c r="AE281" s="4" t="n">
        <v>769</v>
      </c>
      <c r="AF281" s="4" t="n">
        <v>782</v>
      </c>
      <c r="AG281" s="4" t="n">
        <v>793</v>
      </c>
      <c r="AH281" s="4" t="n">
        <v>794</v>
      </c>
      <c r="AI281" s="4" t="n">
        <v>784</v>
      </c>
      <c r="AJ281" s="4" t="n">
        <v>798</v>
      </c>
      <c r="AK281" s="4" t="n">
        <v>772</v>
      </c>
      <c r="AL281" s="4" t="n">
        <v>768</v>
      </c>
      <c r="AM281" s="4" t="n">
        <v>775</v>
      </c>
      <c r="AN281" s="4" t="n">
        <v>776</v>
      </c>
      <c r="AO281" s="4" t="n">
        <v>786</v>
      </c>
      <c r="AP281" s="4" t="n">
        <v>794</v>
      </c>
      <c r="AQ281" s="4" t="n">
        <v>806</v>
      </c>
      <c r="AR281" s="4" t="n">
        <v>812</v>
      </c>
      <c r="AS281" s="4" t="n">
        <v>810</v>
      </c>
      <c r="AT281" s="4" t="n">
        <v>810</v>
      </c>
      <c r="AU281" s="4" t="n">
        <v>812</v>
      </c>
      <c r="AV281" s="4" t="n">
        <v>817</v>
      </c>
      <c r="AW281" s="4" t="n">
        <v>824</v>
      </c>
      <c r="AX281" s="4" t="n">
        <v>836</v>
      </c>
      <c r="AY281" s="4" t="n">
        <v>826</v>
      </c>
      <c r="AZ281" s="4" t="n">
        <v>822</v>
      </c>
      <c r="BA281" s="4" t="n">
        <v>816</v>
      </c>
      <c r="BB281" s="4" t="n">
        <v>817</v>
      </c>
      <c r="BC281" s="4" t="n">
        <v>825</v>
      </c>
      <c r="BD281" s="4" t="n">
        <v>811</v>
      </c>
      <c r="BE281" s="4" t="n">
        <v>811</v>
      </c>
      <c r="BF281" s="4" t="n">
        <v>850</v>
      </c>
      <c r="BG281" s="4" t="n">
        <v>844</v>
      </c>
      <c r="BH281" s="4" t="n">
        <v>851</v>
      </c>
      <c r="BI281" s="4" t="n">
        <v>835</v>
      </c>
      <c r="BJ281" s="4" t="n">
        <v>816</v>
      </c>
      <c r="BK281" s="4" t="n">
        <v>835</v>
      </c>
      <c r="BL281" s="4" t="n">
        <v>857</v>
      </c>
    </row>
    <row r="282">
      <c r="A282" s="65" t="inlineStr">
        <is>
          <t>4218</t>
        </is>
      </c>
      <c r="B282" s="4">
        <f>銘柄管理!C282</f>
        <v/>
      </c>
      <c r="C282" s="4">
        <f>_xll.RssMarket("4218","現在値")</f>
        <v/>
      </c>
      <c r="E282" s="4" t="n">
        <v>1828</v>
      </c>
      <c r="F282" s="4" t="n">
        <v>1829</v>
      </c>
      <c r="G282" s="4" t="n">
        <v>1834</v>
      </c>
      <c r="H282" s="4" t="n">
        <v>1835</v>
      </c>
      <c r="I282" s="4" t="n">
        <v>1837</v>
      </c>
      <c r="J282" s="4" t="n">
        <v>1835</v>
      </c>
      <c r="K282" s="4" t="n">
        <v>1826</v>
      </c>
      <c r="L282" s="4" t="n">
        <v>1800</v>
      </c>
      <c r="M282" s="4" t="n">
        <v>1805</v>
      </c>
      <c r="N282" s="4" t="n">
        <v>1792</v>
      </c>
      <c r="O282" s="4" t="n">
        <v>1813</v>
      </c>
      <c r="P282" s="4" t="n">
        <v>1792</v>
      </c>
      <c r="Q282" s="4" t="n">
        <v>1823</v>
      </c>
      <c r="R282" s="4" t="n">
        <v>1825</v>
      </c>
      <c r="S282" s="4" t="n">
        <v>1849</v>
      </c>
      <c r="T282" s="4" t="n">
        <v>1863</v>
      </c>
      <c r="U282" s="4" t="n">
        <v>1866</v>
      </c>
      <c r="V282" s="4" t="n">
        <v>1869</v>
      </c>
      <c r="W282" s="4" t="n">
        <v>1859</v>
      </c>
      <c r="X282" s="4" t="n">
        <v>1863</v>
      </c>
      <c r="Y282" s="4" t="n">
        <v>1880</v>
      </c>
      <c r="Z282" s="4" t="n">
        <v>1866</v>
      </c>
      <c r="AA282" s="4" t="n">
        <v>1902</v>
      </c>
      <c r="AB282" s="4" t="n">
        <v>1897</v>
      </c>
      <c r="AC282" s="4" t="n">
        <v>1849</v>
      </c>
      <c r="AD282" s="4" t="n">
        <v>1830</v>
      </c>
      <c r="AE282" s="4" t="n">
        <v>1821</v>
      </c>
      <c r="AF282" s="4" t="n">
        <v>1836</v>
      </c>
      <c r="AG282" s="4" t="n">
        <v>1849</v>
      </c>
      <c r="AH282" s="4" t="n">
        <v>1833</v>
      </c>
      <c r="AI282" s="4" t="n">
        <v>1817</v>
      </c>
      <c r="AJ282" s="4" t="n">
        <v>1825</v>
      </c>
      <c r="AK282" s="4" t="n">
        <v>1818</v>
      </c>
      <c r="AL282" s="4" t="n">
        <v>1824</v>
      </c>
      <c r="AM282" s="4" t="n">
        <v>1842</v>
      </c>
      <c r="AN282" s="4" t="n">
        <v>1856</v>
      </c>
      <c r="AO282" s="4" t="n">
        <v>1872</v>
      </c>
      <c r="AP282" s="4" t="n">
        <v>1885</v>
      </c>
      <c r="AQ282" s="4" t="n">
        <v>1889</v>
      </c>
      <c r="AR282" s="4" t="n">
        <v>1884</v>
      </c>
      <c r="AS282" s="4" t="n">
        <v>1887</v>
      </c>
      <c r="AT282" s="4" t="n">
        <v>1882</v>
      </c>
      <c r="AU282" s="4" t="n">
        <v>1890</v>
      </c>
      <c r="AV282" s="4" t="n">
        <v>1896</v>
      </c>
      <c r="AW282" s="4" t="n">
        <v>1896</v>
      </c>
      <c r="AX282" s="4" t="n">
        <v>1909</v>
      </c>
      <c r="AY282" s="4" t="n">
        <v>1913</v>
      </c>
      <c r="AZ282" s="4" t="n">
        <v>1903</v>
      </c>
      <c r="BA282" s="4" t="n">
        <v>1893</v>
      </c>
      <c r="BB282" s="4" t="n">
        <v>1896</v>
      </c>
      <c r="BC282" s="4" t="n">
        <v>1897</v>
      </c>
      <c r="BD282" s="4" t="n">
        <v>1876</v>
      </c>
      <c r="BE282" s="4" t="n">
        <v>1871</v>
      </c>
      <c r="BF282" s="4" t="n">
        <v>1926</v>
      </c>
      <c r="BG282" s="4" t="n">
        <v>1922</v>
      </c>
      <c r="BH282" s="4" t="n">
        <v>1911</v>
      </c>
      <c r="BI282" s="4" t="n">
        <v>1897</v>
      </c>
      <c r="BJ282" s="4" t="n">
        <v>1865</v>
      </c>
      <c r="BK282" s="4" t="n">
        <v>1896</v>
      </c>
      <c r="BL282" s="4" t="n">
        <v>1912</v>
      </c>
    </row>
    <row r="283">
      <c r="A283" s="65" t="inlineStr">
        <is>
          <t>7735</t>
        </is>
      </c>
      <c r="B283" s="4">
        <f>銘柄管理!C283</f>
        <v/>
      </c>
      <c r="C283" s="4">
        <f>_xll.RssMarket("7735","現在値")</f>
        <v/>
      </c>
      <c r="E283" s="4" t="n">
        <v>17010</v>
      </c>
      <c r="F283" s="4" t="n">
        <v>16745</v>
      </c>
      <c r="G283" s="4" t="n">
        <v>15320</v>
      </c>
      <c r="H283" s="4" t="n">
        <v>14970</v>
      </c>
      <c r="I283" s="4" t="n">
        <v>13945</v>
      </c>
      <c r="J283" s="4" t="n">
        <v>12990</v>
      </c>
      <c r="K283" s="4" t="n">
        <v>12980</v>
      </c>
      <c r="L283" s="4" t="n">
        <v>11760</v>
      </c>
      <c r="M283" s="4" t="n">
        <v>12630</v>
      </c>
      <c r="N283" s="4" t="n">
        <v>13440</v>
      </c>
      <c r="O283" s="4" t="n">
        <v>13345</v>
      </c>
      <c r="P283" s="4" t="n">
        <v>11315</v>
      </c>
      <c r="Q283" s="4" t="n">
        <v>10875</v>
      </c>
      <c r="R283" s="4" t="n">
        <v>11120</v>
      </c>
      <c r="S283" s="4" t="n">
        <v>11030</v>
      </c>
      <c r="T283" s="4" t="n">
        <v>11220</v>
      </c>
      <c r="U283" s="4" t="n">
        <v>11035</v>
      </c>
      <c r="V283" s="4" t="n">
        <v>10765</v>
      </c>
      <c r="W283" s="4" t="n">
        <v>10730</v>
      </c>
      <c r="X283" s="4" t="n">
        <v>10545</v>
      </c>
      <c r="Y283" s="4" t="n">
        <v>10520</v>
      </c>
      <c r="Z283" s="4" t="n">
        <v>10885</v>
      </c>
      <c r="AA283" s="4" t="n">
        <v>11335</v>
      </c>
      <c r="AB283" s="4" t="n">
        <v>12205</v>
      </c>
      <c r="AC283" s="4" t="n">
        <v>11215</v>
      </c>
      <c r="AD283" s="4" t="n">
        <v>11430</v>
      </c>
      <c r="AE283" s="4" t="n">
        <v>11410</v>
      </c>
      <c r="AF283" s="4" t="n">
        <v>11380</v>
      </c>
      <c r="AG283" s="4" t="n">
        <v>11300</v>
      </c>
      <c r="AH283" s="4" t="n">
        <v>10390</v>
      </c>
      <c r="AI283" s="4" t="n">
        <v>10230</v>
      </c>
      <c r="AJ283" s="4" t="n">
        <v>10445</v>
      </c>
      <c r="AK283" s="4" t="n">
        <v>10805</v>
      </c>
      <c r="AL283" s="4" t="n">
        <v>10610</v>
      </c>
      <c r="AM283" s="4" t="n">
        <v>10335</v>
      </c>
      <c r="AN283" s="4" t="n">
        <v>10435</v>
      </c>
      <c r="AO283" s="4" t="n">
        <v>10700</v>
      </c>
      <c r="AP283" s="4" t="n">
        <v>10575</v>
      </c>
      <c r="AQ283" s="4" t="n">
        <v>10510</v>
      </c>
      <c r="AR283" s="4" t="n">
        <v>11280</v>
      </c>
      <c r="AS283" s="4" t="n">
        <v>10930</v>
      </c>
      <c r="AT283" s="4" t="n">
        <v>11200</v>
      </c>
      <c r="AU283" s="4" t="n">
        <v>10695</v>
      </c>
      <c r="AV283" s="4" t="n">
        <v>10745</v>
      </c>
      <c r="AW283" s="4" t="n">
        <v>10150</v>
      </c>
      <c r="AX283" s="4" t="n">
        <v>10025</v>
      </c>
      <c r="AY283" s="4" t="n">
        <v>9224</v>
      </c>
      <c r="AZ283" s="4" t="n">
        <v>9050</v>
      </c>
      <c r="BA283" s="4" t="n">
        <v>9192</v>
      </c>
      <c r="BB283" s="4" t="n">
        <v>9027</v>
      </c>
      <c r="BC283" s="4" t="n">
        <v>9420</v>
      </c>
      <c r="BD283" s="4" t="n">
        <v>8940</v>
      </c>
      <c r="BE283" s="4" t="n">
        <v>9119</v>
      </c>
      <c r="BF283" s="4" t="n">
        <v>9540</v>
      </c>
      <c r="BG283" s="4" t="n">
        <v>9777.5</v>
      </c>
      <c r="BH283" s="4" t="n">
        <v>9872.5</v>
      </c>
      <c r="BI283" s="4" t="n">
        <v>9602.5</v>
      </c>
      <c r="BJ283" s="4" t="n">
        <v>9420</v>
      </c>
      <c r="BK283" s="4" t="n">
        <v>9947.5</v>
      </c>
      <c r="BL283" s="4" t="n">
        <v>10025</v>
      </c>
    </row>
    <row r="284">
      <c r="A284" s="65" t="inlineStr">
        <is>
          <t>3905</t>
        </is>
      </c>
      <c r="B284" s="4">
        <f>銘柄管理!C284</f>
        <v/>
      </c>
      <c r="C284" s="4">
        <f>_xll.RssMarket("3905","現在値")</f>
        <v/>
      </c>
      <c r="E284" s="4" t="n">
        <v>5030</v>
      </c>
      <c r="F284" s="4" t="n">
        <v>5270</v>
      </c>
      <c r="G284" s="4" t="n">
        <v>4915</v>
      </c>
      <c r="H284" s="4" t="n">
        <v>5200</v>
      </c>
      <c r="I284" s="4" t="n">
        <v>4580</v>
      </c>
      <c r="J284" s="4" t="n">
        <v>4340</v>
      </c>
      <c r="K284" s="4" t="n">
        <v>4315</v>
      </c>
      <c r="L284" s="4" t="n">
        <v>4940</v>
      </c>
      <c r="M284" s="4" t="n">
        <v>4900</v>
      </c>
      <c r="N284" s="4" t="n">
        <v>5690</v>
      </c>
      <c r="O284" s="4" t="n">
        <v>5060</v>
      </c>
      <c r="P284" s="4" t="n">
        <v>4360</v>
      </c>
      <c r="Q284" s="4" t="n">
        <v>5310</v>
      </c>
      <c r="R284" s="4" t="n">
        <v>6140</v>
      </c>
      <c r="S284" s="4" t="n">
        <v>5140</v>
      </c>
      <c r="T284" s="4" t="n">
        <v>4435</v>
      </c>
      <c r="U284" s="4" t="n">
        <v>4490</v>
      </c>
      <c r="V284" s="4" t="n">
        <v>4800</v>
      </c>
      <c r="W284" s="4" t="n">
        <v>4100</v>
      </c>
      <c r="X284" s="4" t="n">
        <v>3400</v>
      </c>
      <c r="Y284" s="4" t="n">
        <v>3345</v>
      </c>
      <c r="Z284" s="4" t="n">
        <v>2843</v>
      </c>
      <c r="AA284" s="4" t="n">
        <v>2343</v>
      </c>
      <c r="AB284" s="4" t="n">
        <v>2149</v>
      </c>
      <c r="AC284" s="4" t="n">
        <v>2279</v>
      </c>
      <c r="AD284" s="4" t="n">
        <v>2250</v>
      </c>
      <c r="AE284" s="4" t="n">
        <v>2360</v>
      </c>
      <c r="AF284" s="4" t="n">
        <v>2089</v>
      </c>
      <c r="AG284" s="4" t="n">
        <v>1689</v>
      </c>
      <c r="AH284" s="4" t="n">
        <v>1474</v>
      </c>
      <c r="AI284" s="4" t="n">
        <v>1487</v>
      </c>
      <c r="AJ284" s="4" t="n">
        <v>1503</v>
      </c>
      <c r="AK284" s="4" t="n">
        <v>1467</v>
      </c>
      <c r="AL284" s="4" t="n">
        <v>1479</v>
      </c>
      <c r="AM284" s="4" t="n">
        <v>1504</v>
      </c>
      <c r="AN284" s="4" t="n">
        <v>1526</v>
      </c>
      <c r="AO284" s="4" t="n">
        <v>1589</v>
      </c>
      <c r="AP284" s="4" t="n">
        <v>1590</v>
      </c>
      <c r="AQ284" s="4" t="n">
        <v>1602</v>
      </c>
      <c r="AR284" s="4" t="n">
        <v>1547</v>
      </c>
      <c r="AS284" s="4" t="n">
        <v>1473</v>
      </c>
      <c r="AT284" s="4" t="n">
        <v>1447</v>
      </c>
      <c r="AU284" s="4" t="n">
        <v>1363</v>
      </c>
      <c r="AV284" s="4" t="n">
        <v>1365</v>
      </c>
      <c r="AW284" s="4" t="n">
        <v>1379</v>
      </c>
      <c r="AX284" s="4" t="n">
        <v>1383</v>
      </c>
      <c r="AY284" s="4" t="n">
        <v>1304</v>
      </c>
      <c r="AZ284" s="4" t="n">
        <v>1318</v>
      </c>
      <c r="BA284" s="4" t="n">
        <v>1337</v>
      </c>
      <c r="BB284" s="4" t="n">
        <v>1355</v>
      </c>
      <c r="BC284" s="4" t="n">
        <v>1373</v>
      </c>
      <c r="BD284" s="4" t="n">
        <v>1270</v>
      </c>
      <c r="BE284" s="4" t="n">
        <v>1334</v>
      </c>
      <c r="BF284" s="4" t="n">
        <v>1390</v>
      </c>
      <c r="BG284" s="4" t="n">
        <v>1395</v>
      </c>
      <c r="BH284" s="4" t="n">
        <v>1430</v>
      </c>
      <c r="BI284" s="4" t="n">
        <v>1322</v>
      </c>
      <c r="BJ284" s="4" t="n">
        <v>1292</v>
      </c>
      <c r="BK284" s="4" t="n">
        <v>1485</v>
      </c>
      <c r="BL284" s="4" t="n">
        <v>1543</v>
      </c>
    </row>
    <row r="285">
      <c r="A285" s="65" t="inlineStr">
        <is>
          <t>3397</t>
        </is>
      </c>
      <c r="B285" s="4">
        <f>銘柄管理!C285</f>
        <v/>
      </c>
      <c r="C285" s="4">
        <f>_xll.RssMarket("3397","現在値")</f>
        <v/>
      </c>
      <c r="E285" s="4" t="n">
        <v>3598</v>
      </c>
      <c r="F285" s="4" t="n">
        <v>3569</v>
      </c>
      <c r="G285" s="4" t="n">
        <v>3653</v>
      </c>
      <c r="H285" s="4" t="n">
        <v>3733</v>
      </c>
      <c r="I285" s="4" t="n">
        <v>3821</v>
      </c>
      <c r="J285" s="4" t="n">
        <v>3905</v>
      </c>
      <c r="K285" s="4" t="n">
        <v>3856</v>
      </c>
      <c r="L285" s="4" t="n">
        <v>3775</v>
      </c>
      <c r="M285" s="4" t="n">
        <v>3676</v>
      </c>
      <c r="N285" s="4" t="n">
        <v>3731</v>
      </c>
      <c r="O285" s="4" t="n">
        <v>3824</v>
      </c>
      <c r="P285" s="4" t="n">
        <v>3831</v>
      </c>
      <c r="Q285" s="4" t="n">
        <v>3766</v>
      </c>
      <c r="R285" s="4" t="n">
        <v>3783</v>
      </c>
      <c r="S285" s="4" t="n">
        <v>3789</v>
      </c>
      <c r="T285" s="4" t="n">
        <v>3739</v>
      </c>
      <c r="U285" s="4" t="n">
        <v>3895</v>
      </c>
      <c r="V285" s="4" t="n">
        <v>3855</v>
      </c>
      <c r="W285" s="4" t="n">
        <v>3800</v>
      </c>
      <c r="X285" s="4" t="n">
        <v>3895</v>
      </c>
      <c r="Y285" s="4" t="n">
        <v>3856</v>
      </c>
      <c r="Z285" s="4" t="n">
        <v>3750</v>
      </c>
      <c r="AA285" s="4" t="n">
        <v>3758</v>
      </c>
      <c r="AB285" s="4" t="n">
        <v>3886</v>
      </c>
      <c r="AC285" s="4" t="n">
        <v>3995</v>
      </c>
      <c r="AD285" s="4" t="n">
        <v>3930</v>
      </c>
      <c r="AE285" s="4" t="n">
        <v>3960</v>
      </c>
      <c r="AF285" s="4" t="n">
        <v>3965</v>
      </c>
      <c r="AG285" s="4" t="n">
        <v>3995</v>
      </c>
      <c r="AH285" s="4" t="n">
        <v>4008</v>
      </c>
      <c r="AI285" s="4" t="n">
        <v>4045</v>
      </c>
      <c r="AJ285" s="4" t="n">
        <v>4108</v>
      </c>
      <c r="AK285" s="4" t="n">
        <v>4055</v>
      </c>
      <c r="AL285" s="4" t="n">
        <v>4072</v>
      </c>
      <c r="AM285" s="4" t="n">
        <v>4111</v>
      </c>
      <c r="AN285" s="4" t="n">
        <v>4155</v>
      </c>
      <c r="AO285" s="4" t="n">
        <v>4157</v>
      </c>
      <c r="AP285" s="4" t="n">
        <v>4215</v>
      </c>
      <c r="AQ285" s="4" t="n">
        <v>4180</v>
      </c>
      <c r="AR285" s="4" t="n">
        <v>4215</v>
      </c>
      <c r="AS285" s="4" t="n">
        <v>4272</v>
      </c>
      <c r="AT285" s="4" t="n">
        <v>4225</v>
      </c>
      <c r="AU285" s="4" t="n">
        <v>4258</v>
      </c>
      <c r="AV285" s="4" t="n">
        <v>4293</v>
      </c>
      <c r="AW285" s="4" t="n">
        <v>4366</v>
      </c>
      <c r="AX285" s="4" t="n">
        <v>4500</v>
      </c>
      <c r="AY285" s="4" t="n">
        <v>4503</v>
      </c>
      <c r="AZ285" s="4" t="n">
        <v>4490</v>
      </c>
      <c r="BA285" s="4" t="n">
        <v>4515</v>
      </c>
      <c r="BB285" s="4" t="n">
        <v>4483</v>
      </c>
      <c r="BC285" s="4" t="n">
        <v>4500</v>
      </c>
      <c r="BD285" s="4" t="n">
        <v>4357</v>
      </c>
      <c r="BE285" s="4" t="n">
        <v>4305</v>
      </c>
      <c r="BF285" s="4" t="n">
        <v>4363</v>
      </c>
      <c r="BG285" s="4" t="n">
        <v>4354</v>
      </c>
      <c r="BH285" s="4" t="n">
        <v>4359</v>
      </c>
      <c r="BI285" s="4" t="n">
        <v>4382</v>
      </c>
      <c r="BJ285" s="4" t="n">
        <v>4315</v>
      </c>
      <c r="BK285" s="4" t="n">
        <v>4326</v>
      </c>
      <c r="BL285" s="4" t="n">
        <v>4345</v>
      </c>
    </row>
    <row r="286">
      <c r="A286" s="65" t="inlineStr">
        <is>
          <t>7270</t>
        </is>
      </c>
      <c r="B286" s="4">
        <f>銘柄管理!C286</f>
        <v/>
      </c>
      <c r="C286" s="4">
        <f>_xll.RssMarket("7270","現在値")</f>
        <v/>
      </c>
      <c r="E286" s="4" t="n">
        <v>2427.5</v>
      </c>
      <c r="F286" s="4" t="n">
        <v>2440.5</v>
      </c>
      <c r="G286" s="4" t="n">
        <v>2582.5</v>
      </c>
      <c r="H286" s="4" t="n">
        <v>2564.5</v>
      </c>
      <c r="I286" s="4" t="n">
        <v>2474</v>
      </c>
      <c r="J286" s="4" t="n">
        <v>2480</v>
      </c>
      <c r="K286" s="4" t="n">
        <v>2535.5</v>
      </c>
      <c r="L286" s="4" t="n">
        <v>2493</v>
      </c>
      <c r="M286" s="4" t="n">
        <v>2454.5</v>
      </c>
      <c r="N286" s="4" t="n">
        <v>2474.5</v>
      </c>
      <c r="O286" s="4" t="n">
        <v>2471</v>
      </c>
      <c r="P286" s="4" t="n">
        <v>2438.5</v>
      </c>
      <c r="Q286" s="4" t="n">
        <v>2422</v>
      </c>
      <c r="R286" s="4" t="n">
        <v>2442</v>
      </c>
      <c r="S286" s="4" t="n">
        <v>2465.5</v>
      </c>
      <c r="T286" s="4" t="n">
        <v>2437</v>
      </c>
      <c r="U286" s="4" t="n">
        <v>2464.5</v>
      </c>
      <c r="V286" s="4" t="n">
        <v>2441</v>
      </c>
      <c r="W286" s="4" t="n">
        <v>2493</v>
      </c>
      <c r="X286" s="4" t="n">
        <v>2437</v>
      </c>
      <c r="Y286" s="4" t="n">
        <v>2450</v>
      </c>
      <c r="Z286" s="4" t="n">
        <v>2385</v>
      </c>
      <c r="AA286" s="4" t="n">
        <v>2567.5</v>
      </c>
      <c r="AB286" s="4" t="n">
        <v>2402</v>
      </c>
      <c r="AC286" s="4" t="n">
        <v>2346</v>
      </c>
      <c r="AD286" s="4" t="n">
        <v>2288</v>
      </c>
      <c r="AE286" s="4" t="n">
        <v>2319.5</v>
      </c>
      <c r="AF286" s="4" t="n">
        <v>2358</v>
      </c>
      <c r="AG286" s="4" t="n">
        <v>2343</v>
      </c>
      <c r="AH286" s="4" t="n">
        <v>2369.5</v>
      </c>
      <c r="AI286" s="4" t="n">
        <v>2349.5</v>
      </c>
      <c r="AJ286" s="4" t="n">
        <v>2438.5</v>
      </c>
      <c r="AK286" s="4" t="n">
        <v>2440</v>
      </c>
      <c r="AL286" s="4" t="n">
        <v>2447.5</v>
      </c>
      <c r="AM286" s="4" t="n">
        <v>2501</v>
      </c>
      <c r="AN286" s="4" t="n">
        <v>2500.5</v>
      </c>
      <c r="AO286" s="4" t="n">
        <v>2570.5</v>
      </c>
      <c r="AP286" s="4" t="n">
        <v>2569</v>
      </c>
      <c r="AQ286" s="4" t="n">
        <v>2537.5</v>
      </c>
      <c r="AR286" s="4" t="n">
        <v>2548</v>
      </c>
      <c r="AS286" s="4" t="n">
        <v>2506</v>
      </c>
      <c r="AT286" s="4" t="n">
        <v>2539</v>
      </c>
      <c r="AU286" s="4" t="n">
        <v>2506</v>
      </c>
      <c r="AV286" s="4" t="n">
        <v>2544.5</v>
      </c>
      <c r="AW286" s="4" t="n">
        <v>2540</v>
      </c>
      <c r="AX286" s="4" t="n">
        <v>2593.5</v>
      </c>
      <c r="AY286" s="4" t="n">
        <v>2522</v>
      </c>
      <c r="AZ286" s="4" t="n">
        <v>2523</v>
      </c>
      <c r="BA286" s="4" t="n">
        <v>2538.5</v>
      </c>
      <c r="BB286" s="4" t="n">
        <v>2510.5</v>
      </c>
      <c r="BC286" s="4" t="n">
        <v>2553</v>
      </c>
      <c r="BD286" s="4" t="n">
        <v>2483.5</v>
      </c>
      <c r="BE286" s="4" t="n">
        <v>2473</v>
      </c>
      <c r="BF286" s="4" t="n">
        <v>2601</v>
      </c>
      <c r="BG286" s="4" t="n">
        <v>2592</v>
      </c>
      <c r="BH286" s="4" t="n">
        <v>2585</v>
      </c>
      <c r="BI286" s="4" t="n">
        <v>2560</v>
      </c>
      <c r="BJ286" s="4" t="n">
        <v>2496.5</v>
      </c>
      <c r="BK286" s="4" t="n">
        <v>2559</v>
      </c>
      <c r="BL286" s="4" t="n">
        <v>2608.5</v>
      </c>
    </row>
    <row r="287">
      <c r="A287" s="65" t="inlineStr">
        <is>
          <t>6736</t>
        </is>
      </c>
      <c r="B287" s="4">
        <f>銘柄管理!C287</f>
        <v/>
      </c>
      <c r="C287" s="4">
        <f>_xll.RssMarket("6736","現在値")</f>
        <v/>
      </c>
      <c r="E287" s="4" t="n">
        <v>9060</v>
      </c>
      <c r="F287" s="4" t="n">
        <v>9010</v>
      </c>
      <c r="G287" s="4" t="n">
        <v>9100</v>
      </c>
      <c r="H287" s="4" t="n">
        <v>8780</v>
      </c>
      <c r="I287" s="4" t="n">
        <v>8690</v>
      </c>
      <c r="J287" s="4" t="n">
        <v>9030</v>
      </c>
      <c r="K287" s="4" t="n">
        <v>8690</v>
      </c>
      <c r="L287" s="4" t="n">
        <v>8610</v>
      </c>
      <c r="M287" s="4" t="n">
        <v>8670</v>
      </c>
      <c r="N287" s="4" t="n">
        <v>8940</v>
      </c>
      <c r="O287" s="4" t="n">
        <v>9100</v>
      </c>
      <c r="P287" s="4" t="n">
        <v>9460</v>
      </c>
      <c r="Q287" s="4" t="n">
        <v>9230</v>
      </c>
      <c r="R287" s="4" t="n">
        <v>9060</v>
      </c>
      <c r="S287" s="4" t="n">
        <v>9150</v>
      </c>
      <c r="T287" s="4" t="n">
        <v>9180</v>
      </c>
      <c r="U287" s="4" t="n">
        <v>9430</v>
      </c>
      <c r="V287" s="4" t="n">
        <v>8900</v>
      </c>
      <c r="W287" s="4" t="n">
        <v>8640</v>
      </c>
      <c r="X287" s="4" t="n">
        <v>9680</v>
      </c>
      <c r="Y287" s="4" t="n">
        <v>9120</v>
      </c>
      <c r="Z287" s="4" t="n">
        <v>8760</v>
      </c>
      <c r="AA287" s="4" t="n">
        <v>8500</v>
      </c>
      <c r="AB287" s="4" t="n">
        <v>8480</v>
      </c>
      <c r="AC287" s="4" t="n">
        <v>9070</v>
      </c>
      <c r="AD287" s="4" t="n">
        <v>8660</v>
      </c>
      <c r="AE287" s="4" t="n">
        <v>8590</v>
      </c>
      <c r="AF287" s="4" t="n">
        <v>8610</v>
      </c>
      <c r="AG287" s="4" t="n">
        <v>8670</v>
      </c>
      <c r="AH287" s="4" t="n">
        <v>8300</v>
      </c>
      <c r="AI287" s="4" t="n">
        <v>8190</v>
      </c>
      <c r="AJ287" s="4" t="n">
        <v>7980</v>
      </c>
      <c r="AK287" s="4" t="n">
        <v>8100</v>
      </c>
      <c r="AL287" s="4" t="n">
        <v>8290</v>
      </c>
      <c r="AM287" s="4" t="n">
        <v>7990</v>
      </c>
      <c r="AN287" s="4" t="n">
        <v>7980</v>
      </c>
      <c r="AO287" s="4" t="n">
        <v>7970</v>
      </c>
      <c r="AP287" s="4" t="n">
        <v>7860</v>
      </c>
      <c r="AQ287" s="4" t="n">
        <v>7840</v>
      </c>
      <c r="AR287" s="4" t="n">
        <v>7260</v>
      </c>
      <c r="AS287" s="4" t="n">
        <v>7640</v>
      </c>
      <c r="AT287" s="4" t="n">
        <v>8550</v>
      </c>
      <c r="AU287" s="4" t="n">
        <v>9060</v>
      </c>
      <c r="AV287" s="4" t="n">
        <v>9320</v>
      </c>
      <c r="AW287" s="4" t="n">
        <v>8370</v>
      </c>
      <c r="AX287" s="4" t="n">
        <v>8330</v>
      </c>
      <c r="AY287" s="4" t="n">
        <v>8510</v>
      </c>
      <c r="AZ287" s="4" t="n">
        <v>8490</v>
      </c>
      <c r="BA287" s="4" t="n">
        <v>8530</v>
      </c>
      <c r="BB287" s="4" t="n">
        <v>8070</v>
      </c>
      <c r="BC287" s="4" t="n">
        <v>8250</v>
      </c>
      <c r="BD287" s="4" t="n">
        <v>8640</v>
      </c>
      <c r="BE287" s="4" t="n">
        <v>8570</v>
      </c>
      <c r="BF287" s="4" t="n">
        <v>8160</v>
      </c>
      <c r="BG287" s="4" t="n">
        <v>7780</v>
      </c>
      <c r="BH287" s="4" t="n">
        <v>7640</v>
      </c>
      <c r="BI287" s="4" t="n">
        <v>7610</v>
      </c>
      <c r="BJ287" s="4" t="n">
        <v>7820</v>
      </c>
      <c r="BK287" s="4" t="n">
        <v>7760</v>
      </c>
      <c r="BL287" s="4" t="n">
        <v>7750</v>
      </c>
    </row>
    <row r="288">
      <c r="A288" s="65" t="inlineStr">
        <is>
          <t>2933</t>
        </is>
      </c>
      <c r="B288" s="4">
        <f>銘柄管理!C288</f>
        <v/>
      </c>
      <c r="C288" s="4">
        <f>_xll.RssMarket("2933","現在値")</f>
        <v/>
      </c>
      <c r="E288" s="4" t="n">
        <v>1058</v>
      </c>
      <c r="F288" s="4" t="n">
        <v>1065</v>
      </c>
      <c r="G288" s="4" t="n">
        <v>1050</v>
      </c>
      <c r="H288" s="4" t="n">
        <v>1044</v>
      </c>
      <c r="I288" s="4" t="n">
        <v>1050</v>
      </c>
      <c r="J288" s="4" t="n">
        <v>1048</v>
      </c>
      <c r="K288" s="4" t="n">
        <v>1035</v>
      </c>
      <c r="L288" s="4" t="n">
        <v>1030</v>
      </c>
      <c r="M288" s="4" t="n">
        <v>1022</v>
      </c>
      <c r="N288" s="4" t="n">
        <v>1028</v>
      </c>
      <c r="O288" s="4" t="n">
        <v>1018</v>
      </c>
      <c r="P288" s="4" t="n">
        <v>1027</v>
      </c>
      <c r="Q288" s="4" t="n">
        <v>1036</v>
      </c>
      <c r="R288" s="4" t="n">
        <v>1044</v>
      </c>
      <c r="S288" s="4" t="n">
        <v>1036</v>
      </c>
      <c r="T288" s="4" t="n">
        <v>1038</v>
      </c>
      <c r="U288" s="4" t="n">
        <v>1040</v>
      </c>
      <c r="V288" s="4" t="n">
        <v>1043</v>
      </c>
      <c r="W288" s="4" t="n">
        <v>1042</v>
      </c>
      <c r="X288" s="4" t="n">
        <v>1035</v>
      </c>
      <c r="Y288" s="4" t="n">
        <v>1040</v>
      </c>
      <c r="Z288" s="4" t="n">
        <v>1030</v>
      </c>
      <c r="AA288" s="4" t="n">
        <v>1030</v>
      </c>
      <c r="AB288" s="4" t="n">
        <v>1031</v>
      </c>
      <c r="AC288" s="4" t="n">
        <v>1025</v>
      </c>
      <c r="AD288" s="4" t="n">
        <v>1024</v>
      </c>
      <c r="AE288" s="4" t="n">
        <v>1032</v>
      </c>
      <c r="AF288" s="4" t="n">
        <v>1031</v>
      </c>
      <c r="AG288" s="4" t="n">
        <v>1032</v>
      </c>
      <c r="AH288" s="4" t="n">
        <v>1028</v>
      </c>
      <c r="AI288" s="4" t="n">
        <v>1026</v>
      </c>
      <c r="AJ288" s="4" t="n">
        <v>1030</v>
      </c>
      <c r="AK288" s="4" t="n">
        <v>1034</v>
      </c>
      <c r="AL288" s="4" t="n">
        <v>1040</v>
      </c>
      <c r="AM288" s="4" t="n">
        <v>1052</v>
      </c>
      <c r="AN288" s="4" t="n">
        <v>1061</v>
      </c>
      <c r="AO288" s="4" t="n">
        <v>1062</v>
      </c>
      <c r="AP288" s="4" t="n">
        <v>1058</v>
      </c>
      <c r="AQ288" s="4" t="n">
        <v>1058</v>
      </c>
      <c r="AR288" s="4" t="n">
        <v>1051</v>
      </c>
      <c r="AS288" s="4" t="n">
        <v>1059</v>
      </c>
      <c r="AT288" s="4" t="n">
        <v>1057</v>
      </c>
      <c r="AU288" s="4" t="n">
        <v>1058</v>
      </c>
      <c r="AV288" s="4" t="n">
        <v>1064</v>
      </c>
      <c r="AW288" s="4" t="n">
        <v>1065</v>
      </c>
      <c r="AX288" s="4" t="n">
        <v>1062</v>
      </c>
      <c r="AY288" s="4" t="n">
        <v>1056</v>
      </c>
      <c r="AZ288" s="4" t="n">
        <v>1050</v>
      </c>
      <c r="BA288" s="4" t="n">
        <v>1056</v>
      </c>
      <c r="BB288" s="4" t="n">
        <v>1040</v>
      </c>
      <c r="BC288" s="4" t="n">
        <v>1040</v>
      </c>
      <c r="BD288" s="4" t="n">
        <v>1063</v>
      </c>
      <c r="BE288" s="4" t="n">
        <v>1050</v>
      </c>
      <c r="BF288" s="4" t="n">
        <v>1050</v>
      </c>
      <c r="BG288" s="4" t="n">
        <v>1044</v>
      </c>
      <c r="BH288" s="4" t="n">
        <v>1027</v>
      </c>
      <c r="BI288" s="4" t="n">
        <v>1039</v>
      </c>
      <c r="BJ288" s="4" t="n">
        <v>1053</v>
      </c>
      <c r="BK288" s="4" t="n">
        <v>1038</v>
      </c>
      <c r="BL288" s="4" t="n">
        <v>1036</v>
      </c>
    </row>
    <row r="289">
      <c r="A289" s="65" t="inlineStr">
        <is>
          <t>4047</t>
        </is>
      </c>
      <c r="B289" s="4">
        <f>銘柄管理!C289</f>
        <v/>
      </c>
      <c r="C289" s="4">
        <f>_xll.RssMarket("4047","現在値")</f>
        <v/>
      </c>
      <c r="E289" s="4" t="n">
        <v>3895</v>
      </c>
      <c r="F289" s="4" t="n">
        <v>4015</v>
      </c>
      <c r="G289" s="4" t="n">
        <v>3895</v>
      </c>
      <c r="H289" s="4" t="n">
        <v>3760</v>
      </c>
      <c r="I289" s="4" t="n">
        <v>3750</v>
      </c>
      <c r="J289" s="4" t="n">
        <v>4020</v>
      </c>
      <c r="K289" s="4" t="n">
        <v>3860</v>
      </c>
      <c r="L289" s="4" t="n">
        <v>3905</v>
      </c>
      <c r="M289" s="4" t="n">
        <v>4095</v>
      </c>
      <c r="N289" s="4" t="n">
        <v>4405</v>
      </c>
      <c r="O289" s="4" t="n">
        <v>3705</v>
      </c>
      <c r="P289" s="4" t="n">
        <v>3530</v>
      </c>
      <c r="Q289" s="4" t="n">
        <v>3540</v>
      </c>
      <c r="R289" s="4" t="n">
        <v>3625</v>
      </c>
      <c r="S289" s="4" t="n">
        <v>3455</v>
      </c>
      <c r="T289" s="4" t="n">
        <v>3330</v>
      </c>
      <c r="U289" s="4" t="n">
        <v>3305</v>
      </c>
      <c r="V289" s="4" t="n">
        <v>3040</v>
      </c>
      <c r="W289" s="4" t="n">
        <v>2870</v>
      </c>
      <c r="X289" s="4" t="n">
        <v>2666</v>
      </c>
      <c r="Y289" s="4" t="n">
        <v>2770</v>
      </c>
      <c r="Z289" s="4" t="n">
        <v>2550</v>
      </c>
      <c r="AA289" s="4" t="n">
        <v>2050</v>
      </c>
      <c r="AB289" s="4" t="n">
        <v>2175</v>
      </c>
      <c r="AC289" s="4" t="n">
        <v>2112</v>
      </c>
      <c r="AD289" s="4" t="n">
        <v>1971</v>
      </c>
      <c r="AE289" s="4" t="n">
        <v>1909</v>
      </c>
      <c r="AF289" s="4" t="n">
        <v>1856</v>
      </c>
      <c r="AG289" s="4" t="n">
        <v>1813</v>
      </c>
      <c r="AH289" s="4" t="n">
        <v>1706</v>
      </c>
      <c r="AI289" s="4" t="n">
        <v>1671</v>
      </c>
      <c r="AJ289" s="4" t="n">
        <v>1700</v>
      </c>
      <c r="AK289" s="4" t="n">
        <v>1649</v>
      </c>
      <c r="AL289" s="4" t="n">
        <v>1646</v>
      </c>
      <c r="AM289" s="4" t="n">
        <v>1632</v>
      </c>
      <c r="AN289" s="4" t="n">
        <v>1657</v>
      </c>
      <c r="AO289" s="4" t="n">
        <v>1671</v>
      </c>
      <c r="AP289" s="4" t="n">
        <v>1632</v>
      </c>
      <c r="AQ289" s="4" t="n">
        <v>1632</v>
      </c>
      <c r="AR289" s="4" t="n">
        <v>1671</v>
      </c>
      <c r="AS289" s="4" t="n">
        <v>1659</v>
      </c>
      <c r="AT289" s="4" t="n">
        <v>1700</v>
      </c>
      <c r="AU289" s="4" t="n">
        <v>1635</v>
      </c>
      <c r="AV289" s="4" t="n">
        <v>1625</v>
      </c>
      <c r="AW289" s="4" t="n">
        <v>1578</v>
      </c>
      <c r="AX289" s="4" t="n">
        <v>1606</v>
      </c>
      <c r="AY289" s="4" t="n">
        <v>1442</v>
      </c>
      <c r="AZ289" s="4" t="n">
        <v>1389</v>
      </c>
      <c r="BA289" s="4" t="n">
        <v>1373</v>
      </c>
      <c r="BB289" s="4" t="n">
        <v>1372</v>
      </c>
      <c r="BC289" s="4" t="n">
        <v>1420</v>
      </c>
      <c r="BD289" s="4" t="n">
        <v>1347</v>
      </c>
      <c r="BE289" s="4" t="n">
        <v>1411</v>
      </c>
      <c r="BF289" s="4" t="n">
        <v>1506</v>
      </c>
      <c r="BG289" s="4" t="n">
        <v>1510</v>
      </c>
      <c r="BH289" s="4" t="n">
        <v>1488</v>
      </c>
      <c r="BI289" s="4" t="n">
        <v>1405</v>
      </c>
      <c r="BJ289" s="4" t="n">
        <v>1353</v>
      </c>
      <c r="BK289" s="4" t="n">
        <v>1457</v>
      </c>
      <c r="BL289" s="4" t="n">
        <v>1562</v>
      </c>
    </row>
    <row r="290">
      <c r="A290" s="65" t="inlineStr">
        <is>
          <t>6482</t>
        </is>
      </c>
      <c r="B290" s="4">
        <f>銘柄管理!C290</f>
        <v/>
      </c>
      <c r="C290" s="4">
        <f>_xll.RssMarket("6482","現在値")</f>
        <v/>
      </c>
      <c r="E290" s="4" t="n">
        <v>740</v>
      </c>
      <c r="F290" s="4" t="n">
        <v>734</v>
      </c>
      <c r="G290" s="4" t="n">
        <v>770</v>
      </c>
      <c r="H290" s="4" t="n">
        <v>713</v>
      </c>
      <c r="I290" s="4" t="n">
        <v>677</v>
      </c>
      <c r="J290" s="4" t="n">
        <v>672</v>
      </c>
      <c r="K290" s="4" t="n">
        <v>668</v>
      </c>
      <c r="L290" s="4" t="n">
        <v>659</v>
      </c>
      <c r="M290" s="4" t="n">
        <v>672</v>
      </c>
      <c r="N290" s="4" t="n">
        <v>665</v>
      </c>
      <c r="O290" s="4" t="n">
        <v>658</v>
      </c>
      <c r="P290" s="4" t="n">
        <v>646</v>
      </c>
      <c r="Q290" s="4" t="n">
        <v>661</v>
      </c>
      <c r="R290" s="4" t="n">
        <v>667</v>
      </c>
      <c r="S290" s="4" t="n">
        <v>677</v>
      </c>
      <c r="T290" s="4" t="n">
        <v>670</v>
      </c>
      <c r="U290" s="4" t="n">
        <v>710</v>
      </c>
      <c r="V290" s="4" t="n">
        <v>721</v>
      </c>
      <c r="W290" s="4" t="n">
        <v>707</v>
      </c>
      <c r="X290" s="4" t="n">
        <v>708</v>
      </c>
      <c r="Y290" s="4" t="n">
        <v>712</v>
      </c>
      <c r="Z290" s="4" t="n">
        <v>720</v>
      </c>
      <c r="AA290" s="4" t="n">
        <v>734</v>
      </c>
      <c r="AB290" s="4" t="n">
        <v>754</v>
      </c>
      <c r="AC290" s="4" t="n">
        <v>731</v>
      </c>
      <c r="AD290" s="4" t="n">
        <v>724</v>
      </c>
      <c r="AE290" s="4" t="n">
        <v>701</v>
      </c>
      <c r="AF290" s="4" t="n">
        <v>683</v>
      </c>
      <c r="AG290" s="4" t="n">
        <v>690</v>
      </c>
      <c r="AH290" s="4" t="n">
        <v>681</v>
      </c>
      <c r="AI290" s="4" t="n">
        <v>667</v>
      </c>
      <c r="AJ290" s="4" t="n">
        <v>669</v>
      </c>
      <c r="AK290" s="4" t="n">
        <v>658</v>
      </c>
      <c r="AL290" s="4" t="n">
        <v>659</v>
      </c>
      <c r="AM290" s="4" t="n">
        <v>659</v>
      </c>
      <c r="AN290" s="4" t="n">
        <v>671</v>
      </c>
      <c r="AO290" s="4" t="n">
        <v>678</v>
      </c>
      <c r="AP290" s="4" t="n">
        <v>676</v>
      </c>
      <c r="AQ290" s="4" t="n">
        <v>671</v>
      </c>
      <c r="AR290" s="4" t="n">
        <v>678</v>
      </c>
      <c r="AS290" s="4" t="n">
        <v>680</v>
      </c>
      <c r="AT290" s="4" t="n">
        <v>679</v>
      </c>
      <c r="AU290" s="4" t="n">
        <v>676</v>
      </c>
      <c r="AV290" s="4" t="n">
        <v>679</v>
      </c>
      <c r="AW290" s="4" t="n">
        <v>680</v>
      </c>
      <c r="AX290" s="4" t="n">
        <v>695</v>
      </c>
      <c r="AY290" s="4" t="n">
        <v>689</v>
      </c>
      <c r="AZ290" s="4" t="n">
        <v>680</v>
      </c>
      <c r="BA290" s="4" t="n">
        <v>669</v>
      </c>
      <c r="BB290" s="4" t="n">
        <v>672</v>
      </c>
      <c r="BC290" s="4" t="n">
        <v>673</v>
      </c>
      <c r="BD290" s="4" t="n">
        <v>661</v>
      </c>
      <c r="BE290" s="4" t="n">
        <v>657</v>
      </c>
      <c r="BF290" s="4" t="n">
        <v>689</v>
      </c>
      <c r="BG290" s="4" t="n">
        <v>693</v>
      </c>
      <c r="BH290" s="4" t="n">
        <v>696</v>
      </c>
      <c r="BI290" s="4" t="n">
        <v>679</v>
      </c>
      <c r="BJ290" s="4" t="n">
        <v>670</v>
      </c>
      <c r="BK290" s="4" t="n">
        <v>672</v>
      </c>
      <c r="BL290" s="4" t="n">
        <v>719</v>
      </c>
    </row>
    <row r="291">
      <c r="A291" s="65" t="inlineStr">
        <is>
          <t>6706</t>
        </is>
      </c>
      <c r="B291" s="4">
        <f>銘柄管理!C291</f>
        <v/>
      </c>
      <c r="C291" s="4">
        <f>_xll.RssMarket("6706","現在値")</f>
        <v/>
      </c>
      <c r="E291" s="4" t="n">
        <v>3135</v>
      </c>
      <c r="F291" s="4" t="n">
        <v>3175</v>
      </c>
      <c r="G291" s="4" t="n">
        <v>3155</v>
      </c>
      <c r="H291" s="4" t="n">
        <v>3180</v>
      </c>
      <c r="I291" s="4" t="n">
        <v>3175</v>
      </c>
      <c r="J291" s="4" t="n">
        <v>3290</v>
      </c>
      <c r="K291" s="4" t="n">
        <v>3390</v>
      </c>
      <c r="L291" s="4" t="n">
        <v>3465</v>
      </c>
      <c r="M291" s="4" t="n">
        <v>3475</v>
      </c>
      <c r="N291" s="4" t="n">
        <v>3510</v>
      </c>
      <c r="O291" s="4" t="n">
        <v>3475</v>
      </c>
      <c r="P291" s="4" t="n">
        <v>3525</v>
      </c>
      <c r="Q291" s="4" t="n">
        <v>3510</v>
      </c>
      <c r="R291" s="4" t="n">
        <v>3520</v>
      </c>
      <c r="S291" s="4" t="n">
        <v>3480</v>
      </c>
      <c r="T291" s="4" t="n">
        <v>3470</v>
      </c>
      <c r="U291" s="4" t="n">
        <v>3405</v>
      </c>
      <c r="V291" s="4" t="n">
        <v>3415</v>
      </c>
      <c r="W291" s="4" t="n">
        <v>3415</v>
      </c>
      <c r="X291" s="4" t="n">
        <v>3415</v>
      </c>
      <c r="Y291" s="4" t="n">
        <v>3445</v>
      </c>
      <c r="Z291" s="4" t="n">
        <v>3460</v>
      </c>
      <c r="AA291" s="4" t="n">
        <v>3470</v>
      </c>
      <c r="AB291" s="4" t="n">
        <v>3485</v>
      </c>
      <c r="AC291" s="4" t="n">
        <v>3465</v>
      </c>
      <c r="AD291" s="4" t="n">
        <v>3425</v>
      </c>
      <c r="AE291" s="4" t="n">
        <v>3410</v>
      </c>
      <c r="AF291" s="4" t="n">
        <v>3415</v>
      </c>
      <c r="AG291" s="4" t="n">
        <v>3335</v>
      </c>
      <c r="AH291" s="4" t="n">
        <v>3315</v>
      </c>
      <c r="AI291" s="4" t="n">
        <v>3345</v>
      </c>
      <c r="AJ291" s="4" t="n">
        <v>3295</v>
      </c>
      <c r="AK291" s="4" t="n">
        <v>3325</v>
      </c>
      <c r="AL291" s="4" t="n">
        <v>3330</v>
      </c>
      <c r="AM291" s="4" t="n">
        <v>3280</v>
      </c>
      <c r="AN291" s="4" t="n">
        <v>3300</v>
      </c>
      <c r="AO291" s="4" t="n">
        <v>3310</v>
      </c>
      <c r="AP291" s="4" t="n">
        <v>3275</v>
      </c>
      <c r="AQ291" s="4" t="n">
        <v>3295</v>
      </c>
      <c r="AR291" s="4" t="n">
        <v>3255</v>
      </c>
      <c r="AS291" s="4" t="n">
        <v>3220</v>
      </c>
      <c r="AT291" s="4" t="n">
        <v>3165</v>
      </c>
      <c r="AU291" s="4" t="n">
        <v>3080</v>
      </c>
      <c r="AV291" s="4" t="n">
        <v>3095</v>
      </c>
      <c r="AW291" s="4" t="n">
        <v>3170</v>
      </c>
      <c r="AX291" s="4" t="n">
        <v>3090</v>
      </c>
      <c r="AY291" s="4" t="n">
        <v>3075</v>
      </c>
      <c r="AZ291" s="4" t="n">
        <v>3075</v>
      </c>
      <c r="BA291" s="4" t="n">
        <v>3055</v>
      </c>
      <c r="BB291" s="4" t="n">
        <v>3085</v>
      </c>
      <c r="BC291" s="4" t="n">
        <v>3000</v>
      </c>
      <c r="BD291" s="4" t="n">
        <v>3020</v>
      </c>
      <c r="BE291" s="4" t="n">
        <v>3100</v>
      </c>
      <c r="BF291" s="4" t="n">
        <v>3085</v>
      </c>
      <c r="BG291" s="4" t="n">
        <v>3120</v>
      </c>
      <c r="BH291" s="4" t="n">
        <v>3090</v>
      </c>
      <c r="BI291" s="4" t="n">
        <v>3000</v>
      </c>
      <c r="BJ291" s="4" t="n">
        <v>3125</v>
      </c>
      <c r="BK291" s="4" t="n">
        <v>3220</v>
      </c>
      <c r="BL291" s="4" t="n">
        <v>3105</v>
      </c>
    </row>
    <row r="292">
      <c r="A292" s="65" t="inlineStr">
        <is>
          <t>8141</t>
        </is>
      </c>
      <c r="B292" s="4">
        <f>銘柄管理!C292</f>
        <v/>
      </c>
      <c r="C292" s="4">
        <f>_xll.RssMarket("8141","現在値")</f>
        <v/>
      </c>
      <c r="E292" s="4" t="n">
        <v>1599</v>
      </c>
      <c r="F292" s="4" t="n">
        <v>1580</v>
      </c>
      <c r="G292" s="4" t="n">
        <v>1581</v>
      </c>
      <c r="H292" s="4" t="n">
        <v>1580</v>
      </c>
      <c r="I292" s="4" t="n">
        <v>1579</v>
      </c>
      <c r="J292" s="4" t="n">
        <v>1578</v>
      </c>
      <c r="K292" s="4" t="n">
        <v>1583</v>
      </c>
      <c r="L292" s="4" t="n">
        <v>1585</v>
      </c>
      <c r="M292" s="4" t="n">
        <v>1584</v>
      </c>
      <c r="N292" s="4" t="n">
        <v>1579</v>
      </c>
      <c r="O292" s="4" t="n">
        <v>1580</v>
      </c>
      <c r="P292" s="4" t="n">
        <v>1575</v>
      </c>
      <c r="Q292" s="4" t="n">
        <v>1579</v>
      </c>
      <c r="R292" s="4" t="n">
        <v>1595</v>
      </c>
      <c r="S292" s="4" t="n">
        <v>1600</v>
      </c>
      <c r="T292" s="4" t="n">
        <v>1603</v>
      </c>
      <c r="U292" s="4" t="n">
        <v>1613</v>
      </c>
      <c r="V292" s="4" t="n">
        <v>1606</v>
      </c>
      <c r="W292" s="4" t="n">
        <v>1613</v>
      </c>
      <c r="X292" s="4" t="n">
        <v>1595</v>
      </c>
      <c r="Y292" s="4" t="n">
        <v>1525</v>
      </c>
      <c r="Z292" s="4" t="n">
        <v>1485</v>
      </c>
      <c r="AA292" s="4" t="n">
        <v>1575</v>
      </c>
      <c r="AB292" s="4" t="n">
        <v>1665</v>
      </c>
      <c r="AC292" s="4" t="n">
        <v>1662</v>
      </c>
      <c r="AD292" s="4" t="n">
        <v>1714</v>
      </c>
      <c r="AE292" s="4" t="n">
        <v>1740</v>
      </c>
      <c r="AF292" s="4" t="n">
        <v>1668</v>
      </c>
      <c r="AG292" s="4" t="n">
        <v>1631</v>
      </c>
      <c r="AH292" s="4" t="n">
        <v>1601</v>
      </c>
      <c r="AI292" s="4" t="n">
        <v>1540</v>
      </c>
      <c r="AJ292" s="4" t="n">
        <v>1517</v>
      </c>
      <c r="AK292" s="4" t="n">
        <v>1539</v>
      </c>
      <c r="AL292" s="4" t="n">
        <v>1577</v>
      </c>
      <c r="AM292" s="4" t="n">
        <v>1550</v>
      </c>
      <c r="AN292" s="4" t="n">
        <v>1539</v>
      </c>
      <c r="AO292" s="4" t="n">
        <v>1490</v>
      </c>
      <c r="AP292" s="4" t="n">
        <v>1450</v>
      </c>
      <c r="AQ292" s="4" t="n">
        <v>1419</v>
      </c>
      <c r="AR292" s="4" t="n">
        <v>1371</v>
      </c>
      <c r="AS292" s="4" t="n">
        <v>1447</v>
      </c>
      <c r="AT292" s="4" t="n">
        <v>1405</v>
      </c>
      <c r="AU292" s="4" t="n">
        <v>1403</v>
      </c>
      <c r="AV292" s="4" t="n">
        <v>1388</v>
      </c>
      <c r="AW292" s="4" t="n">
        <v>1350</v>
      </c>
      <c r="AX292" s="4" t="n">
        <v>1302</v>
      </c>
      <c r="AY292" s="4" t="n">
        <v>1311</v>
      </c>
      <c r="AZ292" s="4" t="n">
        <v>1269</v>
      </c>
      <c r="BA292" s="4" t="n">
        <v>1266</v>
      </c>
      <c r="BB292" s="4" t="n">
        <v>1254</v>
      </c>
      <c r="BC292" s="4" t="n">
        <v>1250</v>
      </c>
      <c r="BD292" s="4" t="n">
        <v>1225</v>
      </c>
      <c r="BE292" s="4" t="n">
        <v>1185</v>
      </c>
      <c r="BF292" s="4" t="n">
        <v>1231</v>
      </c>
      <c r="BG292" s="4" t="n">
        <v>1103</v>
      </c>
      <c r="BH292" s="4" t="n">
        <v>1080</v>
      </c>
      <c r="BI292" s="4" t="n">
        <v>1100</v>
      </c>
      <c r="BJ292" s="4" t="n">
        <v>1101</v>
      </c>
      <c r="BK292" s="4" t="n">
        <v>1099</v>
      </c>
      <c r="BL292" s="4" t="n">
        <v>1098</v>
      </c>
    </row>
    <row r="293">
      <c r="A293" s="65" t="inlineStr">
        <is>
          <t>8344</t>
        </is>
      </c>
      <c r="B293" s="4">
        <f>銘柄管理!C293</f>
        <v/>
      </c>
      <c r="C293" s="4">
        <f>_xll.RssMarket("8344","現在値")</f>
        <v/>
      </c>
      <c r="E293" s="4" t="n">
        <v>3355</v>
      </c>
      <c r="F293" s="4" t="n">
        <v>3370</v>
      </c>
      <c r="G293" s="4" t="n">
        <v>3465</v>
      </c>
      <c r="H293" s="4" t="n">
        <v>3560</v>
      </c>
      <c r="I293" s="4" t="n">
        <v>3495</v>
      </c>
      <c r="J293" s="4" t="n">
        <v>3370</v>
      </c>
      <c r="K293" s="4" t="n">
        <v>3350</v>
      </c>
      <c r="L293" s="4" t="n">
        <v>3075</v>
      </c>
      <c r="M293" s="4" t="n">
        <v>3035</v>
      </c>
      <c r="N293" s="4" t="n">
        <v>2975</v>
      </c>
      <c r="O293" s="4" t="n">
        <v>3055</v>
      </c>
      <c r="P293" s="4" t="n">
        <v>3070</v>
      </c>
      <c r="Q293" s="4" t="n">
        <v>3095</v>
      </c>
      <c r="R293" s="4" t="n">
        <v>3080</v>
      </c>
      <c r="S293" s="4" t="n">
        <v>2991</v>
      </c>
      <c r="T293" s="4" t="n">
        <v>3055</v>
      </c>
      <c r="U293" s="4" t="n">
        <v>3035</v>
      </c>
      <c r="V293" s="4" t="n">
        <v>2994</v>
      </c>
      <c r="W293" s="4" t="n">
        <v>2940</v>
      </c>
      <c r="X293" s="4" t="n">
        <v>2876</v>
      </c>
      <c r="Y293" s="4" t="n">
        <v>2655</v>
      </c>
      <c r="Z293" s="4" t="n">
        <v>2636</v>
      </c>
      <c r="AA293" s="4" t="n">
        <v>2616</v>
      </c>
      <c r="AB293" s="4" t="n">
        <v>2548</v>
      </c>
      <c r="AC293" s="4" t="n">
        <v>2535</v>
      </c>
      <c r="AD293" s="4" t="n">
        <v>2515</v>
      </c>
      <c r="AE293" s="4" t="n">
        <v>2595</v>
      </c>
      <c r="AF293" s="4" t="n">
        <v>2503</v>
      </c>
      <c r="AG293" s="4" t="n">
        <v>2537</v>
      </c>
      <c r="AH293" s="4" t="n">
        <v>2563</v>
      </c>
      <c r="AI293" s="4" t="n">
        <v>2396</v>
      </c>
      <c r="AJ293" s="4" t="n">
        <v>2415</v>
      </c>
      <c r="AK293" s="4" t="n">
        <v>2477</v>
      </c>
      <c r="AL293" s="4" t="n">
        <v>2538</v>
      </c>
      <c r="AM293" s="4" t="n">
        <v>2638</v>
      </c>
      <c r="AN293" s="4" t="n">
        <v>2726</v>
      </c>
      <c r="AO293" s="4" t="n">
        <v>2786</v>
      </c>
      <c r="AP293" s="4" t="n">
        <v>2780</v>
      </c>
      <c r="AQ293" s="4" t="n">
        <v>2740</v>
      </c>
      <c r="AR293" s="4" t="n">
        <v>2688</v>
      </c>
      <c r="AS293" s="4" t="n">
        <v>2683</v>
      </c>
      <c r="AT293" s="4" t="n">
        <v>2678</v>
      </c>
      <c r="AU293" s="4" t="n">
        <v>2656</v>
      </c>
      <c r="AV293" s="4" t="n">
        <v>2657</v>
      </c>
      <c r="AW293" s="4" t="n">
        <v>2579</v>
      </c>
      <c r="AX293" s="4" t="n">
        <v>2550</v>
      </c>
      <c r="AY293" s="4" t="n">
        <v>2510</v>
      </c>
      <c r="AZ293" s="4" t="n">
        <v>2497</v>
      </c>
      <c r="BA293" s="4" t="n">
        <v>2525</v>
      </c>
      <c r="BB293" s="4" t="n">
        <v>2363</v>
      </c>
      <c r="BC293" s="4" t="n">
        <v>2411</v>
      </c>
      <c r="BD293" s="4" t="n">
        <v>2498</v>
      </c>
      <c r="BE293" s="4" t="n">
        <v>2479</v>
      </c>
      <c r="BF293" s="4" t="n">
        <v>2518</v>
      </c>
      <c r="BG293" s="4" t="n">
        <v>2384</v>
      </c>
      <c r="BH293" s="4" t="n">
        <v>2294</v>
      </c>
      <c r="BI293" s="4" t="n">
        <v>2386</v>
      </c>
      <c r="BJ293" s="4" t="n">
        <v>2471</v>
      </c>
      <c r="BK293" s="4" t="n">
        <v>2401</v>
      </c>
      <c r="BL293" s="4" t="n">
        <v>2396</v>
      </c>
    </row>
    <row r="294">
      <c r="A294" s="65" t="inlineStr">
        <is>
          <t>7414</t>
        </is>
      </c>
      <c r="B294" s="4">
        <f>銘柄管理!C294</f>
        <v/>
      </c>
      <c r="C294" s="4">
        <f>_xll.RssMarket("7414","現在値")</f>
        <v/>
      </c>
      <c r="E294" s="4" t="n">
        <v>1331</v>
      </c>
      <c r="F294" s="4" t="n">
        <v>1319</v>
      </c>
      <c r="G294" s="4" t="n">
        <v>1330</v>
      </c>
      <c r="H294" s="4" t="n">
        <v>1324</v>
      </c>
      <c r="I294" s="4" t="n">
        <v>1318</v>
      </c>
      <c r="J294" s="4" t="n">
        <v>1309</v>
      </c>
      <c r="K294" s="4" t="n">
        <v>1311</v>
      </c>
      <c r="L294" s="4" t="n">
        <v>1310</v>
      </c>
      <c r="M294" s="4" t="n">
        <v>1330</v>
      </c>
      <c r="N294" s="4" t="n">
        <v>1308</v>
      </c>
      <c r="O294" s="4" t="n">
        <v>1313</v>
      </c>
      <c r="P294" s="4" t="n">
        <v>1301</v>
      </c>
      <c r="Q294" s="4" t="n">
        <v>1318</v>
      </c>
      <c r="R294" s="4" t="n">
        <v>1347</v>
      </c>
      <c r="S294" s="4" t="n">
        <v>1344</v>
      </c>
      <c r="T294" s="4" t="n">
        <v>1338</v>
      </c>
      <c r="U294" s="4" t="n">
        <v>1318</v>
      </c>
      <c r="V294" s="4" t="n">
        <v>1326</v>
      </c>
      <c r="W294" s="4" t="n">
        <v>1329</v>
      </c>
      <c r="X294" s="4" t="n">
        <v>1322</v>
      </c>
      <c r="Y294" s="4" t="n">
        <v>1344</v>
      </c>
      <c r="Z294" s="4" t="n">
        <v>1339</v>
      </c>
      <c r="AA294" s="4" t="n">
        <v>1366</v>
      </c>
      <c r="AB294" s="4" t="n">
        <v>1440</v>
      </c>
      <c r="AC294" s="4" t="n">
        <v>1428</v>
      </c>
      <c r="AD294" s="4" t="n">
        <v>1440</v>
      </c>
      <c r="AE294" s="4" t="n">
        <v>1435</v>
      </c>
      <c r="AF294" s="4" t="n">
        <v>1424</v>
      </c>
      <c r="AG294" s="4" t="n">
        <v>1447</v>
      </c>
      <c r="AH294" s="4" t="n">
        <v>1413</v>
      </c>
      <c r="AI294" s="4" t="n">
        <v>1394</v>
      </c>
      <c r="AJ294" s="4" t="n">
        <v>1402</v>
      </c>
      <c r="AK294" s="4" t="n">
        <v>1375</v>
      </c>
      <c r="AL294" s="4" t="n">
        <v>1382</v>
      </c>
      <c r="AM294" s="4" t="n">
        <v>1376</v>
      </c>
      <c r="AN294" s="4" t="n">
        <v>1380</v>
      </c>
      <c r="AO294" s="4" t="n">
        <v>1394</v>
      </c>
      <c r="AP294" s="4" t="n">
        <v>1406</v>
      </c>
      <c r="AQ294" s="4" t="n">
        <v>1396</v>
      </c>
      <c r="AR294" s="4" t="n">
        <v>1400</v>
      </c>
      <c r="AS294" s="4" t="n">
        <v>1407</v>
      </c>
      <c r="AT294" s="4" t="n">
        <v>1406</v>
      </c>
      <c r="AU294" s="4" t="n">
        <v>1404</v>
      </c>
      <c r="AV294" s="4" t="n">
        <v>1410</v>
      </c>
      <c r="AW294" s="4" t="n">
        <v>1419</v>
      </c>
      <c r="AX294" s="4" t="n">
        <v>1420</v>
      </c>
      <c r="AY294" s="4" t="n">
        <v>1420</v>
      </c>
      <c r="AZ294" s="4" t="n">
        <v>1393</v>
      </c>
      <c r="BA294" s="4" t="n">
        <v>1391</v>
      </c>
      <c r="BB294" s="4" t="n">
        <v>1391</v>
      </c>
      <c r="BC294" s="4" t="n">
        <v>1406</v>
      </c>
      <c r="BD294" s="4" t="n">
        <v>1388</v>
      </c>
      <c r="BE294" s="4" t="n">
        <v>1389</v>
      </c>
      <c r="BF294" s="4" t="n">
        <v>1437</v>
      </c>
      <c r="BG294" s="4" t="n">
        <v>1435</v>
      </c>
      <c r="BH294" s="4" t="n">
        <v>1434</v>
      </c>
      <c r="BI294" s="4" t="n">
        <v>1422</v>
      </c>
      <c r="BJ294" s="4" t="n">
        <v>1388</v>
      </c>
      <c r="BK294" s="4" t="n">
        <v>1413</v>
      </c>
      <c r="BL294" s="4" t="n">
        <v>1446</v>
      </c>
    </row>
    <row r="295">
      <c r="A295" s="65" t="inlineStr">
        <is>
          <t>6407</t>
        </is>
      </c>
      <c r="B295" s="4">
        <f>銘柄管理!C295</f>
        <v/>
      </c>
      <c r="C295" s="4">
        <f>_xll.RssMarket("6407","現在値")</f>
        <v/>
      </c>
      <c r="E295" s="4" t="n">
        <v>8180</v>
      </c>
      <c r="F295" s="4" t="n">
        <v>7760</v>
      </c>
      <c r="G295" s="4" t="n">
        <v>7450</v>
      </c>
      <c r="H295" s="4" t="n">
        <v>7470</v>
      </c>
      <c r="I295" s="4" t="n">
        <v>6640</v>
      </c>
      <c r="J295" s="4" t="n">
        <v>6150</v>
      </c>
      <c r="K295" s="4" t="n">
        <v>6190</v>
      </c>
      <c r="L295" s="4" t="n">
        <v>5830</v>
      </c>
      <c r="M295" s="4" t="n">
        <v>6260</v>
      </c>
      <c r="N295" s="4" t="n">
        <v>6300</v>
      </c>
      <c r="O295" s="4" t="n">
        <v>6480</v>
      </c>
      <c r="P295" s="4" t="n">
        <v>6330</v>
      </c>
      <c r="Q295" s="4" t="n">
        <v>6720</v>
      </c>
      <c r="R295" s="4" t="n">
        <v>6560</v>
      </c>
      <c r="S295" s="4" t="n">
        <v>6800</v>
      </c>
      <c r="T295" s="4" t="n">
        <v>6730</v>
      </c>
      <c r="U295" s="4" t="n">
        <v>6890</v>
      </c>
      <c r="V295" s="4" t="n">
        <v>6740</v>
      </c>
      <c r="W295" s="4" t="n">
        <v>6360</v>
      </c>
      <c r="X295" s="4" t="n">
        <v>5920</v>
      </c>
      <c r="Y295" s="4" t="n">
        <v>5970</v>
      </c>
      <c r="Z295" s="4" t="n">
        <v>6230</v>
      </c>
      <c r="AA295" s="4" t="n">
        <v>6790</v>
      </c>
      <c r="AB295" s="4" t="n">
        <v>7000</v>
      </c>
      <c r="AC295" s="4" t="n">
        <v>6870</v>
      </c>
      <c r="AD295" s="4" t="n">
        <v>6810</v>
      </c>
      <c r="AE295" s="4" t="n">
        <v>6680</v>
      </c>
      <c r="AF295" s="4" t="n">
        <v>6650</v>
      </c>
      <c r="AG295" s="4" t="n">
        <v>6470</v>
      </c>
      <c r="AH295" s="4" t="n">
        <v>6030</v>
      </c>
      <c r="AI295" s="4" t="n">
        <v>6040</v>
      </c>
      <c r="AJ295" s="4" t="n">
        <v>5870</v>
      </c>
      <c r="AK295" s="4" t="n">
        <v>5830</v>
      </c>
      <c r="AL295" s="4" t="n">
        <v>5520</v>
      </c>
      <c r="AM295" s="4" t="n">
        <v>5490</v>
      </c>
      <c r="AN295" s="4" t="n">
        <v>5780</v>
      </c>
      <c r="AO295" s="4" t="n">
        <v>5630</v>
      </c>
      <c r="AP295" s="4" t="n">
        <v>5670</v>
      </c>
      <c r="AQ295" s="4" t="n">
        <v>5540</v>
      </c>
      <c r="AR295" s="4" t="n">
        <v>5760</v>
      </c>
      <c r="AS295" s="4" t="n">
        <v>5600</v>
      </c>
      <c r="AT295" s="4" t="n">
        <v>5740</v>
      </c>
      <c r="AU295" s="4" t="n">
        <v>5650</v>
      </c>
      <c r="AV295" s="4" t="n">
        <v>5570</v>
      </c>
      <c r="AW295" s="4" t="n">
        <v>5120</v>
      </c>
      <c r="AX295" s="4" t="n">
        <v>5080</v>
      </c>
      <c r="AY295" s="4" t="n">
        <v>4900</v>
      </c>
      <c r="AZ295" s="4" t="n">
        <v>4850</v>
      </c>
      <c r="BA295" s="4" t="n">
        <v>4875</v>
      </c>
      <c r="BB295" s="4" t="n">
        <v>4620</v>
      </c>
      <c r="BC295" s="4" t="n">
        <v>4720</v>
      </c>
      <c r="BD295" s="4" t="n">
        <v>4270</v>
      </c>
      <c r="BE295" s="4" t="n">
        <v>4265</v>
      </c>
      <c r="BF295" s="4" t="n">
        <v>4330</v>
      </c>
      <c r="BG295" s="4" t="n">
        <v>4505</v>
      </c>
      <c r="BH295" s="4" t="n">
        <v>4685</v>
      </c>
      <c r="BI295" s="4" t="n">
        <v>4330</v>
      </c>
      <c r="BJ295" s="4" t="n">
        <v>4140</v>
      </c>
      <c r="BK295" s="4" t="n">
        <v>4505</v>
      </c>
      <c r="BL295" s="4" t="n">
        <v>4780</v>
      </c>
    </row>
    <row r="296">
      <c r="A296" s="65" t="inlineStr">
        <is>
          <t>7048</t>
        </is>
      </c>
      <c r="B296" s="4">
        <f>銘柄管理!C296</f>
        <v/>
      </c>
      <c r="C296" s="4">
        <f>_xll.RssMarket("7048","現在値")</f>
        <v/>
      </c>
      <c r="E296" s="4" t="n">
        <v>171</v>
      </c>
      <c r="F296" s="4" t="n">
        <v>152</v>
      </c>
      <c r="G296" s="4" t="n">
        <v>133</v>
      </c>
      <c r="H296" s="4" t="n">
        <v>126</v>
      </c>
      <c r="I296" s="4" t="n">
        <v>119</v>
      </c>
      <c r="J296" s="4" t="n">
        <v>116</v>
      </c>
      <c r="K296" s="4" t="n">
        <v>124</v>
      </c>
      <c r="L296" s="4" t="n">
        <v>126</v>
      </c>
      <c r="M296" s="4" t="n">
        <v>130</v>
      </c>
      <c r="N296" s="4" t="n">
        <v>128</v>
      </c>
      <c r="O296" s="4" t="n">
        <v>129</v>
      </c>
      <c r="P296" s="4" t="n">
        <v>130</v>
      </c>
      <c r="Q296" s="4" t="n">
        <v>133</v>
      </c>
      <c r="R296" s="4" t="n">
        <v>131</v>
      </c>
      <c r="S296" s="4" t="n">
        <v>133</v>
      </c>
      <c r="T296" s="4" t="n">
        <v>137</v>
      </c>
      <c r="U296" s="4" t="n">
        <v>143</v>
      </c>
      <c r="V296" s="4" t="n">
        <v>144</v>
      </c>
      <c r="W296" s="4" t="n">
        <v>147</v>
      </c>
      <c r="X296" s="4" t="n">
        <v>145</v>
      </c>
      <c r="Y296" s="4" t="n">
        <v>148</v>
      </c>
      <c r="Z296" s="4" t="n">
        <v>159</v>
      </c>
      <c r="AA296" s="4" t="n">
        <v>165</v>
      </c>
      <c r="AB296" s="4" t="n">
        <v>163</v>
      </c>
      <c r="AC296" s="4" t="n">
        <v>164</v>
      </c>
      <c r="AD296" s="4" t="n">
        <v>164</v>
      </c>
      <c r="AE296" s="4" t="n">
        <v>163</v>
      </c>
      <c r="AF296" s="4" t="n">
        <v>162</v>
      </c>
      <c r="AG296" s="4" t="n">
        <v>160</v>
      </c>
      <c r="AH296" s="4" t="n">
        <v>164</v>
      </c>
      <c r="AI296" s="4" t="n">
        <v>161</v>
      </c>
      <c r="AJ296" s="4" t="n">
        <v>163</v>
      </c>
      <c r="AK296" s="4" t="n">
        <v>169</v>
      </c>
      <c r="AL296" s="4" t="n">
        <v>173</v>
      </c>
      <c r="AM296" s="4" t="n">
        <v>179</v>
      </c>
      <c r="AN296" s="4" t="n">
        <v>184</v>
      </c>
      <c r="AO296" s="4" t="n">
        <v>189</v>
      </c>
      <c r="AP296" s="4" t="n">
        <v>179</v>
      </c>
      <c r="AQ296" s="4" t="n">
        <v>178</v>
      </c>
      <c r="AR296" s="4" t="n">
        <v>175</v>
      </c>
      <c r="AS296" s="4" t="n">
        <v>174</v>
      </c>
      <c r="AT296" s="4" t="n">
        <v>174</v>
      </c>
      <c r="AU296" s="4" t="n">
        <v>179</v>
      </c>
      <c r="AV296" s="4" t="n">
        <v>189</v>
      </c>
      <c r="AW296" s="4" t="n">
        <v>179</v>
      </c>
      <c r="AX296" s="4" t="n">
        <v>180</v>
      </c>
      <c r="AY296" s="4" t="n">
        <v>178</v>
      </c>
      <c r="AZ296" s="4" t="n">
        <v>175</v>
      </c>
      <c r="BA296" s="4" t="n">
        <v>183</v>
      </c>
      <c r="BB296" s="4" t="n">
        <v>174</v>
      </c>
      <c r="BC296" s="4" t="n">
        <v>173</v>
      </c>
      <c r="BD296" s="4" t="n">
        <v>182</v>
      </c>
      <c r="BE296" s="4" t="n">
        <v>175</v>
      </c>
      <c r="BF296" s="4" t="n">
        <v>185</v>
      </c>
      <c r="BG296" s="4" t="n">
        <v>179</v>
      </c>
      <c r="BH296" s="4" t="n">
        <v>175</v>
      </c>
      <c r="BI296" s="4" t="n">
        <v>180</v>
      </c>
      <c r="BJ296" s="4" t="n">
        <v>192</v>
      </c>
      <c r="BK296" s="4" t="n">
        <v>188</v>
      </c>
      <c r="BL296" s="4" t="n">
        <v>186</v>
      </c>
    </row>
    <row r="297">
      <c r="A297" s="65" t="inlineStr">
        <is>
          <t>1808</t>
        </is>
      </c>
      <c r="B297" s="4">
        <f>銘柄管理!C297</f>
        <v/>
      </c>
      <c r="C297" s="4">
        <f>_xll.RssMarket("1808","現在値")</f>
        <v/>
      </c>
      <c r="E297" s="4" t="n">
        <v>2718</v>
      </c>
      <c r="F297" s="4" t="n">
        <v>2730</v>
      </c>
      <c r="G297" s="4" t="n">
        <v>2706.5</v>
      </c>
      <c r="H297" s="4" t="n">
        <v>2690</v>
      </c>
      <c r="I297" s="4" t="n">
        <v>2691</v>
      </c>
      <c r="J297" s="4" t="n">
        <v>2731</v>
      </c>
      <c r="K297" s="4" t="n">
        <v>2727.5</v>
      </c>
      <c r="L297" s="4" t="n">
        <v>2647</v>
      </c>
      <c r="M297" s="4" t="n">
        <v>2654</v>
      </c>
      <c r="N297" s="4" t="n">
        <v>2626.5</v>
      </c>
      <c r="O297" s="4" t="n">
        <v>2630</v>
      </c>
      <c r="P297" s="4" t="n">
        <v>2617.5</v>
      </c>
      <c r="Q297" s="4" t="n">
        <v>2660.5</v>
      </c>
      <c r="R297" s="4" t="n">
        <v>2712.5</v>
      </c>
      <c r="S297" s="4" t="n">
        <v>2695.5</v>
      </c>
      <c r="T297" s="4" t="n">
        <v>2696.5</v>
      </c>
      <c r="U297" s="4" t="n">
        <v>2676.5</v>
      </c>
      <c r="V297" s="4" t="n">
        <v>2695</v>
      </c>
      <c r="W297" s="4" t="n">
        <v>2719</v>
      </c>
      <c r="X297" s="4" t="n">
        <v>2714.5</v>
      </c>
      <c r="Y297" s="4" t="n">
        <v>2790.5</v>
      </c>
      <c r="Z297" s="4" t="n">
        <v>2844</v>
      </c>
      <c r="AA297" s="4" t="n">
        <v>2684</v>
      </c>
      <c r="AB297" s="4" t="n">
        <v>2689</v>
      </c>
      <c r="AC297" s="4" t="n">
        <v>2790.5</v>
      </c>
      <c r="AD297" s="4" t="n">
        <v>2803.5</v>
      </c>
      <c r="AE297" s="4" t="n">
        <v>2767</v>
      </c>
      <c r="AF297" s="4" t="n">
        <v>2758</v>
      </c>
      <c r="AG297" s="4" t="n">
        <v>2755</v>
      </c>
      <c r="AH297" s="4" t="n">
        <v>2744</v>
      </c>
      <c r="AI297" s="4" t="n">
        <v>2709</v>
      </c>
      <c r="AJ297" s="4" t="n">
        <v>2818</v>
      </c>
      <c r="AK297" s="4" t="n">
        <v>2723.5</v>
      </c>
      <c r="AL297" s="4" t="n">
        <v>2684</v>
      </c>
      <c r="AM297" s="4" t="n">
        <v>2724.5</v>
      </c>
      <c r="AN297" s="4" t="n">
        <v>2762.5</v>
      </c>
      <c r="AO297" s="4" t="n">
        <v>2764</v>
      </c>
      <c r="AP297" s="4" t="n">
        <v>2821</v>
      </c>
      <c r="AQ297" s="4" t="n">
        <v>2766.5</v>
      </c>
      <c r="AR297" s="4" t="n">
        <v>2770.5</v>
      </c>
      <c r="AS297" s="4" t="n">
        <v>2757</v>
      </c>
      <c r="AT297" s="4" t="n">
        <v>2722</v>
      </c>
      <c r="AU297" s="4" t="n">
        <v>2885</v>
      </c>
      <c r="AV297" s="4" t="n">
        <v>2912</v>
      </c>
      <c r="AW297" s="4" t="n">
        <v>2931.5</v>
      </c>
      <c r="AX297" s="4" t="n">
        <v>2986.5</v>
      </c>
      <c r="AY297" s="4" t="n">
        <v>2920</v>
      </c>
      <c r="AZ297" s="4" t="n">
        <v>2897.5</v>
      </c>
      <c r="BA297" s="4" t="n">
        <v>2901.5</v>
      </c>
      <c r="BB297" s="4" t="n">
        <v>2933</v>
      </c>
      <c r="BC297" s="4" t="n">
        <v>2966</v>
      </c>
      <c r="BD297" s="4" t="n">
        <v>2885.5</v>
      </c>
      <c r="BE297" s="4" t="n">
        <v>2869</v>
      </c>
      <c r="BF297" s="4" t="n">
        <v>2992</v>
      </c>
      <c r="BG297" s="4" t="n">
        <v>3003</v>
      </c>
      <c r="BH297" s="4" t="n">
        <v>2979.5</v>
      </c>
      <c r="BI297" s="4" t="n">
        <v>2928</v>
      </c>
      <c r="BJ297" s="4" t="n">
        <v>2860</v>
      </c>
      <c r="BK297" s="4" t="n">
        <v>2940</v>
      </c>
      <c r="BL297" s="4" t="n">
        <v>3074</v>
      </c>
    </row>
    <row r="298">
      <c r="A298" s="65" t="inlineStr">
        <is>
          <t>4208</t>
        </is>
      </c>
      <c r="B298" s="4">
        <f>銘柄管理!C298</f>
        <v/>
      </c>
      <c r="C298" s="4">
        <f>_xll.RssMarket("4208","現在値")</f>
        <v/>
      </c>
      <c r="E298" s="4" t="n">
        <v>3222</v>
      </c>
      <c r="F298" s="4" t="n">
        <v>3205</v>
      </c>
      <c r="G298" s="4" t="n">
        <v>3163</v>
      </c>
      <c r="H298" s="4" t="n">
        <v>3196</v>
      </c>
      <c r="I298" s="4" t="n">
        <v>3068</v>
      </c>
      <c r="J298" s="4" t="n">
        <v>2999.5</v>
      </c>
      <c r="K298" s="4" t="n">
        <v>3018</v>
      </c>
      <c r="L298" s="4" t="n">
        <v>2921</v>
      </c>
      <c r="M298" s="4" t="n">
        <v>2955</v>
      </c>
      <c r="N298" s="4" t="n">
        <v>2941</v>
      </c>
      <c r="O298" s="4" t="n">
        <v>2992</v>
      </c>
      <c r="P298" s="4" t="n">
        <v>2941</v>
      </c>
      <c r="Q298" s="4" t="n">
        <v>2918</v>
      </c>
      <c r="R298" s="4" t="n">
        <v>2952.5</v>
      </c>
      <c r="S298" s="4" t="n">
        <v>2930.5</v>
      </c>
      <c r="T298" s="4" t="n">
        <v>2975.5</v>
      </c>
      <c r="U298" s="4" t="n">
        <v>2970</v>
      </c>
      <c r="V298" s="4" t="n">
        <v>2992</v>
      </c>
      <c r="W298" s="4" t="n">
        <v>3046</v>
      </c>
      <c r="X298" s="4" t="n">
        <v>2890.5</v>
      </c>
      <c r="Y298" s="4" t="n">
        <v>2390.5</v>
      </c>
      <c r="Z298" s="4" t="n">
        <v>2400.5</v>
      </c>
      <c r="AA298" s="4" t="n">
        <v>2384</v>
      </c>
      <c r="AB298" s="4" t="n">
        <v>2459</v>
      </c>
      <c r="AC298" s="4" t="n">
        <v>2350.5</v>
      </c>
      <c r="AD298" s="4" t="n">
        <v>2321.5</v>
      </c>
      <c r="AE298" s="4" t="n">
        <v>2387</v>
      </c>
      <c r="AF298" s="4" t="n">
        <v>2388</v>
      </c>
      <c r="AG298" s="4" t="n">
        <v>2398</v>
      </c>
      <c r="AH298" s="4" t="n">
        <v>2378.5</v>
      </c>
      <c r="AI298" s="4" t="n">
        <v>2366.5</v>
      </c>
      <c r="AJ298" s="4" t="n">
        <v>2391</v>
      </c>
      <c r="AK298" s="4" t="n">
        <v>2360.5</v>
      </c>
      <c r="AL298" s="4" t="n">
        <v>2351</v>
      </c>
      <c r="AM298" s="4" t="n">
        <v>2349</v>
      </c>
      <c r="AN298" s="4" t="n">
        <v>2375.5</v>
      </c>
      <c r="AO298" s="4" t="n">
        <v>2413</v>
      </c>
      <c r="AP298" s="4" t="n">
        <v>2412.5</v>
      </c>
      <c r="AQ298" s="4" t="n">
        <v>2447.5</v>
      </c>
      <c r="AR298" s="4" t="n">
        <v>2432</v>
      </c>
      <c r="AS298" s="4" t="n">
        <v>2425.5</v>
      </c>
      <c r="AT298" s="4" t="n">
        <v>2408.5</v>
      </c>
      <c r="AU298" s="4" t="n">
        <v>2418.5</v>
      </c>
      <c r="AV298" s="4" t="n">
        <v>2447</v>
      </c>
      <c r="AW298" s="4" t="n">
        <v>2467</v>
      </c>
      <c r="AX298" s="4" t="n">
        <v>2518</v>
      </c>
      <c r="AY298" s="4" t="n">
        <v>2447</v>
      </c>
      <c r="AZ298" s="4" t="n">
        <v>2445</v>
      </c>
      <c r="BA298" s="4" t="n">
        <v>2459.5</v>
      </c>
      <c r="BB298" s="4" t="n">
        <v>2448.5</v>
      </c>
      <c r="BC298" s="4" t="n">
        <v>2500</v>
      </c>
      <c r="BD298" s="4" t="n">
        <v>2431</v>
      </c>
      <c r="BE298" s="4" t="n">
        <v>2431.5</v>
      </c>
      <c r="BF298" s="4" t="n">
        <v>2529</v>
      </c>
      <c r="BG298" s="4" t="n">
        <v>2518</v>
      </c>
      <c r="BH298" s="4" t="n">
        <v>2514</v>
      </c>
      <c r="BI298" s="4" t="n">
        <v>2475</v>
      </c>
      <c r="BJ298" s="4" t="n">
        <v>2425</v>
      </c>
      <c r="BK298" s="4" t="n">
        <v>2485.5</v>
      </c>
      <c r="BL298" s="4" t="n">
        <v>2600</v>
      </c>
    </row>
    <row r="299">
      <c r="A299" s="65" t="inlineStr">
        <is>
          <t>186A</t>
        </is>
      </c>
      <c r="B299" s="4">
        <f>銘柄管理!C299</f>
        <v/>
      </c>
      <c r="C299" s="4">
        <f>_xll.RssMarket("186A","現在値")</f>
        <v/>
      </c>
      <c r="E299" s="4" t="n">
        <v>1320</v>
      </c>
      <c r="F299" s="4" t="n">
        <v>1198</v>
      </c>
      <c r="G299" s="4" t="n">
        <v>1348</v>
      </c>
      <c r="H299" s="4" t="n">
        <v>1375</v>
      </c>
      <c r="I299" s="4" t="n">
        <v>1905</v>
      </c>
      <c r="J299" s="4" t="n">
        <v>1810</v>
      </c>
      <c r="K299" s="4" t="n">
        <v>1749</v>
      </c>
      <c r="L299" s="4" t="n">
        <v>2089</v>
      </c>
      <c r="M299" s="4" t="n">
        <v>2090</v>
      </c>
      <c r="N299" s="4" t="n">
        <v>1955</v>
      </c>
      <c r="O299" s="4" t="n">
        <v>2065</v>
      </c>
      <c r="P299" s="4" t="n">
        <v>2145</v>
      </c>
      <c r="Q299" s="4" t="n">
        <v>2349</v>
      </c>
      <c r="R299" s="4" t="n">
        <v>2739</v>
      </c>
      <c r="S299" s="4" t="n">
        <v>2868</v>
      </c>
      <c r="T299" s="4" t="n">
        <v>2694</v>
      </c>
      <c r="U299" s="4" t="n">
        <v>2696</v>
      </c>
      <c r="V299" s="4" t="n">
        <v>2352</v>
      </c>
      <c r="W299" s="4" t="n">
        <v>1952</v>
      </c>
      <c r="X299" s="4" t="n">
        <v>1920</v>
      </c>
      <c r="Y299" s="4" t="n">
        <v>2115</v>
      </c>
      <c r="Z299" s="4" t="n">
        <v>1892</v>
      </c>
      <c r="AA299" s="4" t="n">
        <v>1932</v>
      </c>
      <c r="AB299" s="4" t="n">
        <v>1860</v>
      </c>
      <c r="AC299" s="4" t="n">
        <v>1824</v>
      </c>
      <c r="AD299" s="4" t="n">
        <v>1838</v>
      </c>
      <c r="AE299" s="4" t="n">
        <v>1779</v>
      </c>
      <c r="AF299" s="4" t="n">
        <v>1570</v>
      </c>
      <c r="AG299" s="4" t="n">
        <v>1413</v>
      </c>
      <c r="AH299" s="4" t="n">
        <v>1310</v>
      </c>
      <c r="AI299" s="4" t="n">
        <v>1286</v>
      </c>
      <c r="AJ299" s="4" t="n">
        <v>1312</v>
      </c>
      <c r="AK299" s="4" t="n">
        <v>1240</v>
      </c>
      <c r="AL299" s="4" t="n">
        <v>1323</v>
      </c>
      <c r="AM299" s="4" t="n">
        <v>1409</v>
      </c>
      <c r="AN299" s="4" t="n">
        <v>1450</v>
      </c>
      <c r="AO299" s="4" t="n">
        <v>1452</v>
      </c>
      <c r="AP299" s="4" t="n">
        <v>1454</v>
      </c>
      <c r="AQ299" s="4" t="n">
        <v>1345</v>
      </c>
      <c r="AR299" s="4" t="n">
        <v>1384</v>
      </c>
      <c r="AS299" s="4" t="n">
        <v>1367</v>
      </c>
      <c r="AT299" s="4" t="n">
        <v>1389</v>
      </c>
      <c r="AU299" s="4" t="n">
        <v>1332</v>
      </c>
      <c r="AV299" s="4" t="n">
        <v>1342</v>
      </c>
      <c r="AW299" s="4" t="n">
        <v>1239</v>
      </c>
      <c r="AX299" s="4" t="n">
        <v>1185</v>
      </c>
      <c r="AY299" s="4" t="n">
        <v>1088</v>
      </c>
      <c r="AZ299" s="4" t="n">
        <v>1077</v>
      </c>
      <c r="BA299" s="4" t="n">
        <v>1030</v>
      </c>
      <c r="BB299" s="4" t="n">
        <v>1006</v>
      </c>
      <c r="BC299" s="4" t="n">
        <v>923</v>
      </c>
      <c r="BD299" s="4" t="n">
        <v>874</v>
      </c>
      <c r="BE299" s="4" t="n">
        <v>913</v>
      </c>
      <c r="BF299" s="4" t="n">
        <v>989</v>
      </c>
      <c r="BG299" s="4" t="n">
        <v>992</v>
      </c>
      <c r="BH299" s="4" t="n">
        <v>1038</v>
      </c>
      <c r="BI299" s="4" t="n">
        <v>1003</v>
      </c>
      <c r="BJ299" s="4" t="n">
        <v>985</v>
      </c>
      <c r="BK299" s="4" t="n">
        <v>1104</v>
      </c>
      <c r="BL299" s="4" t="n">
        <v>1232</v>
      </c>
    </row>
    <row r="300">
      <c r="A300" s="65" t="inlineStr">
        <is>
          <t>6965</t>
        </is>
      </c>
      <c r="B300" s="4">
        <f>銘柄管理!C300</f>
        <v/>
      </c>
      <c r="C300" s="4">
        <f>_xll.RssMarket("6965","現在値")</f>
        <v/>
      </c>
      <c r="E300" s="4" t="n">
        <v>2825.5</v>
      </c>
      <c r="F300" s="4" t="n">
        <v>2797.5</v>
      </c>
      <c r="G300" s="4" t="n">
        <v>2777.5</v>
      </c>
      <c r="H300" s="4" t="n">
        <v>2648</v>
      </c>
      <c r="I300" s="4" t="n">
        <v>2495.5</v>
      </c>
      <c r="J300" s="4" t="n">
        <v>2427.5</v>
      </c>
      <c r="K300" s="4" t="n">
        <v>2368.5</v>
      </c>
      <c r="L300" s="4" t="n">
        <v>2630</v>
      </c>
      <c r="M300" s="4" t="n">
        <v>2864</v>
      </c>
      <c r="N300" s="4" t="n">
        <v>2920.5</v>
      </c>
      <c r="O300" s="4" t="n">
        <v>2877.5</v>
      </c>
      <c r="P300" s="4" t="n">
        <v>2732</v>
      </c>
      <c r="Q300" s="4" t="n">
        <v>2910</v>
      </c>
      <c r="R300" s="4" t="n">
        <v>2863</v>
      </c>
      <c r="S300" s="4" t="n">
        <v>2823</v>
      </c>
      <c r="T300" s="4" t="n">
        <v>2700</v>
      </c>
      <c r="U300" s="4" t="n">
        <v>2973.5</v>
      </c>
      <c r="V300" s="4" t="n">
        <v>2910.5</v>
      </c>
      <c r="W300" s="4" t="n">
        <v>2673.5</v>
      </c>
      <c r="X300" s="4" t="n">
        <v>2633.5</v>
      </c>
      <c r="Y300" s="4" t="n">
        <v>2685.5</v>
      </c>
      <c r="Z300" s="4" t="n">
        <v>2867</v>
      </c>
      <c r="AA300" s="4" t="n">
        <v>2657</v>
      </c>
      <c r="AB300" s="4" t="n">
        <v>2157</v>
      </c>
      <c r="AC300" s="4" t="n">
        <v>2162.5</v>
      </c>
      <c r="AD300" s="4" t="n">
        <v>2177</v>
      </c>
      <c r="AE300" s="4" t="n">
        <v>2162</v>
      </c>
      <c r="AF300" s="4" t="n">
        <v>2193.5</v>
      </c>
      <c r="AG300" s="4" t="n">
        <v>2140</v>
      </c>
      <c r="AH300" s="4" t="n">
        <v>2006</v>
      </c>
      <c r="AI300" s="4" t="n">
        <v>2023</v>
      </c>
      <c r="AJ300" s="4" t="n">
        <v>2002.5</v>
      </c>
      <c r="AK300" s="4" t="n">
        <v>2053.5</v>
      </c>
      <c r="AL300" s="4" t="n">
        <v>1921.5</v>
      </c>
      <c r="AM300" s="4" t="n">
        <v>1913.5</v>
      </c>
      <c r="AN300" s="4" t="n">
        <v>1944.5</v>
      </c>
      <c r="AO300" s="4" t="n">
        <v>1945.5</v>
      </c>
      <c r="AP300" s="4" t="n">
        <v>1952</v>
      </c>
      <c r="AQ300" s="4" t="n">
        <v>1937</v>
      </c>
      <c r="AR300" s="4" t="n">
        <v>1960</v>
      </c>
      <c r="AS300" s="4" t="n">
        <v>1902</v>
      </c>
      <c r="AT300" s="4" t="n">
        <v>1936</v>
      </c>
      <c r="AU300" s="4" t="n">
        <v>1949.5</v>
      </c>
      <c r="AV300" s="4" t="n">
        <v>1942.5</v>
      </c>
      <c r="AW300" s="4" t="n">
        <v>1950</v>
      </c>
      <c r="AX300" s="4" t="n">
        <v>1966.5</v>
      </c>
      <c r="AY300" s="4" t="n">
        <v>1839</v>
      </c>
      <c r="AZ300" s="4" t="n">
        <v>1862</v>
      </c>
      <c r="BA300" s="4" t="n">
        <v>1848.5</v>
      </c>
      <c r="BB300" s="4" t="n">
        <v>1818.5</v>
      </c>
      <c r="BC300" s="4" t="n">
        <v>1860</v>
      </c>
      <c r="BD300" s="4" t="n">
        <v>1766.5</v>
      </c>
      <c r="BE300" s="4" t="n">
        <v>1835</v>
      </c>
      <c r="BF300" s="4" t="n">
        <v>1940.5</v>
      </c>
      <c r="BG300" s="4" t="n">
        <v>2000</v>
      </c>
      <c r="BH300" s="4" t="n">
        <v>1966</v>
      </c>
      <c r="BI300" s="4" t="n">
        <v>1851.5</v>
      </c>
      <c r="BJ300" s="4" t="n">
        <v>1778</v>
      </c>
      <c r="BK300" s="4" t="n">
        <v>1907</v>
      </c>
      <c r="BL300" s="4" t="n">
        <v>2007.5</v>
      </c>
    </row>
    <row r="301">
      <c r="A301" s="65" t="inlineStr">
        <is>
          <t>6331</t>
        </is>
      </c>
      <c r="B301" s="4">
        <f>銘柄管理!C301</f>
        <v/>
      </c>
      <c r="C301" s="4">
        <f>_xll.RssMarket("6331","現在値")</f>
        <v/>
      </c>
      <c r="E301" s="4" t="n">
        <v>4145</v>
      </c>
      <c r="F301" s="4" t="n">
        <v>3995</v>
      </c>
      <c r="G301" s="4" t="n">
        <v>4100</v>
      </c>
      <c r="H301" s="4" t="n">
        <v>3910</v>
      </c>
      <c r="I301" s="4" t="n">
        <v>3660</v>
      </c>
      <c r="J301" s="4" t="n">
        <v>3615</v>
      </c>
      <c r="K301" s="4" t="n">
        <v>3500</v>
      </c>
      <c r="L301" s="4" t="n">
        <v>3610</v>
      </c>
      <c r="M301" s="4" t="n">
        <v>3460</v>
      </c>
      <c r="N301" s="4" t="n">
        <v>3640</v>
      </c>
      <c r="O301" s="4" t="n">
        <v>3425</v>
      </c>
      <c r="P301" s="4" t="n">
        <v>3485</v>
      </c>
      <c r="Q301" s="4" t="n">
        <v>3590</v>
      </c>
      <c r="R301" s="4" t="n">
        <v>3660</v>
      </c>
      <c r="S301" s="4" t="n">
        <v>3665</v>
      </c>
      <c r="T301" s="4" t="n">
        <v>3490</v>
      </c>
      <c r="U301" s="4" t="n">
        <v>3400</v>
      </c>
      <c r="V301" s="4" t="n">
        <v>3495</v>
      </c>
      <c r="W301" s="4" t="n">
        <v>3440</v>
      </c>
      <c r="X301" s="4" t="n">
        <v>3625</v>
      </c>
      <c r="Y301" s="4" t="n">
        <v>3845</v>
      </c>
      <c r="Z301" s="4" t="n">
        <v>3660</v>
      </c>
      <c r="AA301" s="4" t="n">
        <v>3305</v>
      </c>
      <c r="AB301" s="4" t="n">
        <v>3320</v>
      </c>
      <c r="AC301" s="4" t="n">
        <v>3310</v>
      </c>
      <c r="AD301" s="4" t="n">
        <v>3285</v>
      </c>
      <c r="AE301" s="4" t="n">
        <v>3275</v>
      </c>
      <c r="AF301" s="4" t="n">
        <v>3285</v>
      </c>
      <c r="AG301" s="4" t="n">
        <v>3260</v>
      </c>
      <c r="AH301" s="4" t="n">
        <v>3180</v>
      </c>
      <c r="AI301" s="4" t="n">
        <v>3205</v>
      </c>
      <c r="AJ301" s="4" t="n">
        <v>3285</v>
      </c>
      <c r="AK301" s="4" t="n">
        <v>3210</v>
      </c>
      <c r="AL301" s="4" t="n">
        <v>3180</v>
      </c>
      <c r="AM301" s="4" t="n">
        <v>3055</v>
      </c>
      <c r="AN301" s="4" t="n">
        <v>3035</v>
      </c>
      <c r="AO301" s="4" t="n">
        <v>3045</v>
      </c>
      <c r="AP301" s="4" t="n">
        <v>3030</v>
      </c>
      <c r="AQ301" s="4" t="n">
        <v>3075</v>
      </c>
      <c r="AR301" s="4" t="n">
        <v>3045</v>
      </c>
      <c r="AS301" s="4" t="n">
        <v>3090</v>
      </c>
      <c r="AT301" s="4" t="n">
        <v>3120</v>
      </c>
      <c r="AU301" s="4" t="n">
        <v>3185</v>
      </c>
      <c r="AV301" s="4" t="n">
        <v>3170</v>
      </c>
      <c r="AW301" s="4" t="n">
        <v>3235</v>
      </c>
      <c r="AX301" s="4" t="n">
        <v>3080</v>
      </c>
      <c r="AY301" s="4" t="n">
        <v>3075</v>
      </c>
      <c r="AZ301" s="4" t="n">
        <v>3035</v>
      </c>
      <c r="BA301" s="4" t="n">
        <v>3020</v>
      </c>
      <c r="BB301" s="4" t="n">
        <v>3120</v>
      </c>
      <c r="BC301" s="4" t="n">
        <v>2914</v>
      </c>
      <c r="BD301" s="4" t="n">
        <v>3005</v>
      </c>
      <c r="BE301" s="4" t="n">
        <v>3120</v>
      </c>
      <c r="BF301" s="4" t="n">
        <v>3165</v>
      </c>
      <c r="BG301" s="4" t="n">
        <v>3210</v>
      </c>
      <c r="BH301" s="4" t="n">
        <v>3100</v>
      </c>
      <c r="BI301" s="4" t="n">
        <v>3040</v>
      </c>
      <c r="BJ301" s="4" t="n">
        <v>3265</v>
      </c>
      <c r="BK301" s="4" t="n">
        <v>3465</v>
      </c>
      <c r="BL301" s="4" t="n">
        <v>3245</v>
      </c>
    </row>
    <row r="302">
      <c r="A302" s="65" t="inlineStr">
        <is>
          <t>7741</t>
        </is>
      </c>
      <c r="B302" s="4">
        <f>銘柄管理!C302</f>
        <v/>
      </c>
      <c r="C302" s="4">
        <f>_xll.RssMarket("7741","現在値")</f>
        <v/>
      </c>
      <c r="E302" s="4" t="n">
        <v>26975</v>
      </c>
      <c r="F302" s="4" t="n">
        <v>27245</v>
      </c>
      <c r="G302" s="4" t="n">
        <v>27620</v>
      </c>
      <c r="H302" s="4" t="n">
        <v>27065</v>
      </c>
      <c r="I302" s="4" t="n">
        <v>26420</v>
      </c>
      <c r="J302" s="4" t="n">
        <v>25650</v>
      </c>
      <c r="K302" s="4" t="n">
        <v>25710</v>
      </c>
      <c r="L302" s="4" t="n">
        <v>25280</v>
      </c>
      <c r="M302" s="4" t="n">
        <v>26340</v>
      </c>
      <c r="N302" s="4" t="n">
        <v>26430</v>
      </c>
      <c r="O302" s="4" t="n">
        <v>27495</v>
      </c>
      <c r="P302" s="4" t="n">
        <v>26305</v>
      </c>
      <c r="Q302" s="4" t="n">
        <v>27080</v>
      </c>
      <c r="R302" s="4" t="n">
        <v>26970</v>
      </c>
      <c r="S302" s="4" t="n">
        <v>27195</v>
      </c>
      <c r="T302" s="4" t="n">
        <v>26300</v>
      </c>
      <c r="U302" s="4" t="n">
        <v>26225</v>
      </c>
      <c r="V302" s="4" t="n">
        <v>26580</v>
      </c>
      <c r="W302" s="4" t="n">
        <v>26500</v>
      </c>
      <c r="X302" s="4" t="n">
        <v>26895</v>
      </c>
      <c r="Y302" s="4" t="n">
        <v>27725</v>
      </c>
      <c r="Z302" s="4" t="n">
        <v>28005</v>
      </c>
      <c r="AA302" s="4" t="n">
        <v>27670</v>
      </c>
      <c r="AB302" s="4" t="n">
        <v>27680</v>
      </c>
      <c r="AC302" s="4" t="n">
        <v>27285</v>
      </c>
      <c r="AD302" s="4" t="n">
        <v>27235</v>
      </c>
      <c r="AE302" s="4" t="n">
        <v>27470</v>
      </c>
      <c r="AF302" s="4" t="n">
        <v>27510</v>
      </c>
      <c r="AG302" s="4" t="n">
        <v>27830</v>
      </c>
      <c r="AH302" s="4" t="n">
        <v>29100</v>
      </c>
      <c r="AI302" s="4" t="n">
        <v>29305</v>
      </c>
      <c r="AJ302" s="4" t="n">
        <v>28940</v>
      </c>
      <c r="AK302" s="4" t="n">
        <v>28590</v>
      </c>
      <c r="AL302" s="4" t="n">
        <v>28495</v>
      </c>
      <c r="AM302" s="4" t="n">
        <v>28675</v>
      </c>
      <c r="AN302" s="4" t="n">
        <v>28970</v>
      </c>
      <c r="AO302" s="4" t="n">
        <v>29645</v>
      </c>
      <c r="AP302" s="4" t="n">
        <v>28995</v>
      </c>
      <c r="AQ302" s="4" t="n">
        <v>30000</v>
      </c>
      <c r="AR302" s="4" t="n">
        <v>30030</v>
      </c>
      <c r="AS302" s="4" t="n">
        <v>29400</v>
      </c>
      <c r="AT302" s="4" t="n">
        <v>29170</v>
      </c>
      <c r="AU302" s="4" t="n">
        <v>29490</v>
      </c>
      <c r="AV302" s="4" t="n">
        <v>28985</v>
      </c>
      <c r="AW302" s="4" t="n">
        <v>28755</v>
      </c>
      <c r="AX302" s="4" t="n">
        <v>28005</v>
      </c>
      <c r="AY302" s="4" t="n">
        <v>27960</v>
      </c>
      <c r="AZ302" s="4" t="n">
        <v>27575</v>
      </c>
      <c r="BA302" s="4" t="n">
        <v>27320</v>
      </c>
      <c r="BB302" s="4" t="n">
        <v>27600</v>
      </c>
      <c r="BC302" s="4" t="n">
        <v>26550</v>
      </c>
      <c r="BD302" s="4" t="n">
        <v>27025</v>
      </c>
      <c r="BE302" s="4" t="n">
        <v>27280</v>
      </c>
      <c r="BF302" s="4" t="n">
        <v>28090</v>
      </c>
      <c r="BG302" s="4" t="n">
        <v>28420</v>
      </c>
      <c r="BH302" s="4" t="n">
        <v>28235</v>
      </c>
      <c r="BI302" s="4" t="n">
        <v>27265</v>
      </c>
      <c r="BJ302" s="4" t="n">
        <v>27800</v>
      </c>
      <c r="BK302" s="4" t="n">
        <v>28150</v>
      </c>
      <c r="BL302" s="4" t="n">
        <v>27680</v>
      </c>
    </row>
    <row r="303">
      <c r="A303" s="66" t="n"/>
    </row>
    <row r="304">
      <c r="A304" s="66" t="n"/>
    </row>
    <row r="305">
      <c r="A305" s="66" t="n"/>
    </row>
    <row r="306">
      <c r="A306" s="66" t="n"/>
    </row>
    <row r="307">
      <c r="A307" s="66" t="n"/>
    </row>
    <row r="308">
      <c r="A308" s="66" t="n"/>
    </row>
    <row r="309">
      <c r="A309" s="66" t="n"/>
    </row>
    <row r="310">
      <c r="A310" s="66" t="n"/>
    </row>
    <row r="311">
      <c r="A311" s="66" t="n"/>
    </row>
    <row r="312">
      <c r="A312" s="66" t="n"/>
    </row>
    <row r="313">
      <c r="A313" s="66" t="n"/>
    </row>
    <row r="314">
      <c r="A314" s="66" t="n"/>
    </row>
    <row r="315">
      <c r="A315" s="66" t="n"/>
    </row>
    <row r="316">
      <c r="A316" s="66" t="n"/>
    </row>
    <row r="317">
      <c r="A317" s="66" t="n"/>
    </row>
    <row r="318">
      <c r="A318" s="66" t="n"/>
    </row>
    <row r="319">
      <c r="A319" s="66" t="n"/>
    </row>
    <row r="320">
      <c r="A320" s="66" t="n"/>
    </row>
    <row r="321">
      <c r="A321" s="66" t="n"/>
    </row>
    <row r="322">
      <c r="A322" s="66" t="n"/>
    </row>
    <row r="323">
      <c r="A323" s="66" t="n"/>
    </row>
    <row r="324">
      <c r="A324" s="66" t="n"/>
    </row>
    <row r="325">
      <c r="A325" s="66" t="n"/>
    </row>
    <row r="326">
      <c r="A326" s="66" t="n"/>
    </row>
    <row r="327">
      <c r="A327" s="66" t="n"/>
    </row>
    <row r="328">
      <c r="A328" s="66" t="n"/>
    </row>
    <row r="329">
      <c r="A329" s="66" t="n"/>
    </row>
    <row r="330">
      <c r="A330" s="66" t="n"/>
    </row>
    <row r="331">
      <c r="A331" s="66" t="n"/>
    </row>
    <row r="332">
      <c r="A332" s="66" t="n"/>
    </row>
    <row r="333">
      <c r="A333" s="66" t="n"/>
    </row>
    <row r="334">
      <c r="A334" s="66" t="n"/>
    </row>
    <row r="335">
      <c r="A335" s="66" t="n"/>
    </row>
    <row r="336">
      <c r="A336" s="66" t="n"/>
    </row>
    <row r="337">
      <c r="A337" s="66" t="n"/>
    </row>
    <row r="338">
      <c r="A338" s="66" t="n"/>
    </row>
    <row r="339">
      <c r="A339" s="66" t="n"/>
    </row>
    <row r="340">
      <c r="A340" s="66" t="n"/>
    </row>
    <row r="341">
      <c r="A341" s="66" t="n"/>
    </row>
    <row r="342">
      <c r="A342" s="66" t="n"/>
    </row>
    <row r="343">
      <c r="A343" s="66" t="n"/>
    </row>
    <row r="344">
      <c r="A344" s="66" t="n"/>
    </row>
    <row r="345">
      <c r="A345" s="66" t="n"/>
    </row>
    <row r="346">
      <c r="A346" s="66" t="n"/>
    </row>
    <row r="347">
      <c r="A347" s="66" t="n"/>
    </row>
    <row r="348">
      <c r="A348" s="66" t="n"/>
    </row>
    <row r="349">
      <c r="A349" s="66" t="n"/>
    </row>
    <row r="350">
      <c r="A350" s="66" t="n"/>
    </row>
    <row r="351">
      <c r="A351" s="66" t="n"/>
    </row>
    <row r="352">
      <c r="A352" s="66" t="n"/>
    </row>
    <row r="353">
      <c r="A353" s="66" t="n"/>
    </row>
    <row r="354">
      <c r="A354" s="66" t="n"/>
    </row>
    <row r="355">
      <c r="A355" s="66" t="n"/>
    </row>
    <row r="356">
      <c r="A356" s="66" t="n"/>
    </row>
    <row r="357">
      <c r="A357" s="66" t="n"/>
    </row>
    <row r="358">
      <c r="A358" s="66" t="n"/>
    </row>
    <row r="359">
      <c r="A359" s="66" t="n"/>
    </row>
    <row r="360">
      <c r="A360" s="66" t="n"/>
    </row>
    <row r="361">
      <c r="A361" s="66" t="n"/>
    </row>
    <row r="362">
      <c r="A362" s="66" t="n"/>
    </row>
    <row r="363">
      <c r="A363" s="66" t="n"/>
    </row>
    <row r="364">
      <c r="A364" s="66" t="n"/>
    </row>
    <row r="365">
      <c r="A365" s="66" t="n"/>
    </row>
    <row r="366">
      <c r="A366" s="66" t="n"/>
    </row>
    <row r="367">
      <c r="A367" s="66" t="n"/>
    </row>
    <row r="368">
      <c r="A368" s="66" t="n"/>
    </row>
    <row r="369">
      <c r="A369" s="66" t="n"/>
    </row>
    <row r="370">
      <c r="A370" s="66" t="n"/>
    </row>
    <row r="371">
      <c r="A371" s="66" t="n"/>
    </row>
    <row r="372">
      <c r="A372" s="66" t="n"/>
    </row>
    <row r="373">
      <c r="A373" s="66" t="n"/>
    </row>
    <row r="374">
      <c r="A374" s="66" t="n"/>
    </row>
    <row r="375">
      <c r="A375" s="66" t="n"/>
    </row>
    <row r="376">
      <c r="A376" s="66" t="n"/>
    </row>
    <row r="377">
      <c r="A377" s="66" t="n"/>
    </row>
    <row r="378">
      <c r="A378" s="66" t="n"/>
    </row>
    <row r="379">
      <c r="A379" s="66" t="n"/>
    </row>
    <row r="380">
      <c r="A380" s="66" t="n"/>
    </row>
    <row r="381">
      <c r="A381" s="66" t="n"/>
    </row>
    <row r="382">
      <c r="A382" s="66" t="n"/>
    </row>
    <row r="383">
      <c r="A383" s="66" t="n"/>
    </row>
    <row r="384">
      <c r="A384" s="66" t="n"/>
    </row>
    <row r="385">
      <c r="A385" s="66" t="n"/>
    </row>
    <row r="386">
      <c r="A386" s="66" t="n"/>
    </row>
    <row r="387">
      <c r="A387" s="66" t="n"/>
    </row>
    <row r="388">
      <c r="A388" s="66" t="n"/>
    </row>
    <row r="389">
      <c r="A389" s="66" t="n"/>
    </row>
    <row r="390">
      <c r="A390" s="66" t="n"/>
    </row>
    <row r="391">
      <c r="A391" s="66" t="n"/>
    </row>
    <row r="392">
      <c r="A392" s="66" t="n"/>
    </row>
    <row r="393">
      <c r="A393" s="66" t="n"/>
    </row>
    <row r="394">
      <c r="A394" s="66" t="n"/>
    </row>
    <row r="395">
      <c r="A395" s="66" t="n"/>
    </row>
    <row r="396">
      <c r="A396" s="66" t="n"/>
    </row>
    <row r="397">
      <c r="A397" s="66" t="n"/>
    </row>
    <row r="398">
      <c r="A398" s="66" t="n"/>
    </row>
    <row r="399">
      <c r="A399" s="66" t="n"/>
    </row>
    <row r="400">
      <c r="A400" s="66" t="n"/>
    </row>
    <row r="401">
      <c r="A401" s="66" t="n"/>
    </row>
    <row r="402">
      <c r="A402" s="66" t="n"/>
    </row>
    <row r="403">
      <c r="A403" s="66" t="n"/>
    </row>
    <row r="404">
      <c r="A404" s="66" t="n"/>
    </row>
    <row r="405">
      <c r="A405" s="66" t="n"/>
    </row>
    <row r="406">
      <c r="A406" s="66" t="n"/>
    </row>
    <row r="407">
      <c r="A407" s="66" t="n"/>
    </row>
    <row r="408">
      <c r="A408" s="66" t="n"/>
    </row>
    <row r="409">
      <c r="A409" s="66" t="n"/>
    </row>
    <row r="410">
      <c r="A410" s="66" t="n"/>
    </row>
    <row r="411">
      <c r="A411" s="66" t="n"/>
    </row>
    <row r="412">
      <c r="A412" s="66" t="n"/>
    </row>
    <row r="413">
      <c r="A413" s="66" t="n"/>
    </row>
    <row r="414">
      <c r="A414" s="66" t="n"/>
    </row>
    <row r="415">
      <c r="A415" s="66" t="n"/>
    </row>
    <row r="416">
      <c r="A416" s="66" t="n"/>
    </row>
    <row r="417">
      <c r="A417" s="66" t="n"/>
    </row>
    <row r="418">
      <c r="A418" s="66" t="n"/>
    </row>
    <row r="419">
      <c r="A419" s="66" t="n"/>
    </row>
    <row r="420">
      <c r="A420" s="66" t="n"/>
    </row>
    <row r="421">
      <c r="A421" s="66" t="n"/>
    </row>
    <row r="422">
      <c r="A422" s="66" t="n"/>
    </row>
    <row r="423">
      <c r="A423" s="66" t="n"/>
    </row>
    <row r="424">
      <c r="A424" s="66" t="n"/>
    </row>
    <row r="425">
      <c r="A425" s="66" t="n"/>
    </row>
    <row r="426">
      <c r="A426" s="66" t="n"/>
    </row>
    <row r="427">
      <c r="A427" s="66" t="n"/>
    </row>
    <row r="428">
      <c r="A428" s="66" t="n"/>
    </row>
    <row r="429">
      <c r="A429" s="66" t="n"/>
    </row>
    <row r="430">
      <c r="A430" s="66" t="n"/>
    </row>
    <row r="431">
      <c r="A431" s="66" t="n"/>
    </row>
    <row r="432">
      <c r="A432" s="66" t="n"/>
    </row>
    <row r="433">
      <c r="A433" s="66" t="n"/>
    </row>
    <row r="434">
      <c r="A434" s="66" t="n"/>
    </row>
    <row r="435">
      <c r="A435" s="66" t="n"/>
    </row>
    <row r="436">
      <c r="A436" s="66" t="n"/>
    </row>
    <row r="437">
      <c r="A437" s="66" t="n"/>
    </row>
    <row r="438">
      <c r="A438" s="66" t="n"/>
    </row>
    <row r="439">
      <c r="A439" s="66" t="n"/>
    </row>
    <row r="440">
      <c r="A440" s="66" t="n"/>
    </row>
    <row r="441">
      <c r="A441" s="66" t="n"/>
    </row>
    <row r="442">
      <c r="A442" s="66" t="n"/>
    </row>
    <row r="443">
      <c r="A443" s="66" t="n"/>
    </row>
    <row r="444">
      <c r="A444" s="66" t="n"/>
    </row>
    <row r="445">
      <c r="A445" s="66" t="n"/>
    </row>
    <row r="446">
      <c r="A446" s="66" t="n"/>
    </row>
    <row r="447">
      <c r="A447" s="66" t="n"/>
    </row>
    <row r="448">
      <c r="A448" s="66" t="n"/>
    </row>
    <row r="449">
      <c r="A449" s="66" t="n"/>
    </row>
    <row r="450">
      <c r="A450" s="66" t="n"/>
    </row>
    <row r="451">
      <c r="A451" s="66" t="n"/>
    </row>
    <row r="452">
      <c r="A452" s="66" t="n"/>
    </row>
    <row r="453">
      <c r="A453" s="66" t="n"/>
    </row>
    <row r="454">
      <c r="A454" s="66" t="n"/>
    </row>
    <row r="455">
      <c r="A455" s="66" t="n"/>
    </row>
    <row r="456">
      <c r="A456" s="66" t="n"/>
    </row>
    <row r="457">
      <c r="A457" s="66" t="n"/>
    </row>
    <row r="458">
      <c r="A458" s="66" t="n"/>
    </row>
    <row r="459">
      <c r="A459" s="66" t="n"/>
    </row>
    <row r="460">
      <c r="A460" s="66" t="n"/>
    </row>
    <row r="461">
      <c r="A461" s="66" t="n"/>
    </row>
    <row r="462">
      <c r="A462" s="66" t="n"/>
    </row>
    <row r="463">
      <c r="A463" s="66" t="n"/>
    </row>
    <row r="464">
      <c r="A464" s="66" t="n"/>
    </row>
    <row r="465">
      <c r="A465" s="66" t="n"/>
    </row>
    <row r="466">
      <c r="A466" s="66" t="n"/>
    </row>
    <row r="467">
      <c r="A467" s="66" t="n"/>
    </row>
    <row r="468">
      <c r="A468" s="66" t="n"/>
    </row>
    <row r="469">
      <c r="A469" s="66" t="n"/>
    </row>
    <row r="470">
      <c r="A470" s="66" t="n"/>
    </row>
    <row r="471">
      <c r="A471" s="66" t="n"/>
    </row>
    <row r="472">
      <c r="A472" s="66" t="n"/>
    </row>
    <row r="473">
      <c r="A473" s="66" t="n"/>
    </row>
    <row r="474">
      <c r="A474" s="66" t="n"/>
    </row>
    <row r="475">
      <c r="A475" s="66" t="n"/>
    </row>
    <row r="476">
      <c r="A476" s="66" t="n"/>
    </row>
    <row r="477">
      <c r="A477" s="66" t="n"/>
    </row>
    <row r="478">
      <c r="A478" s="66" t="n"/>
    </row>
    <row r="479">
      <c r="A479" s="66" t="n"/>
    </row>
    <row r="480">
      <c r="A480" s="66" t="n"/>
    </row>
    <row r="481">
      <c r="A481" s="66" t="n"/>
    </row>
    <row r="482">
      <c r="A482" s="66" t="n"/>
    </row>
    <row r="483">
      <c r="A483" s="66" t="n"/>
    </row>
    <row r="484">
      <c r="A484" s="66" t="n"/>
    </row>
    <row r="485">
      <c r="A485" s="66" t="n"/>
    </row>
    <row r="486">
      <c r="A486" s="66" t="n"/>
    </row>
    <row r="487">
      <c r="A487" s="66" t="n"/>
    </row>
    <row r="488">
      <c r="A488" s="66" t="n"/>
    </row>
    <row r="489">
      <c r="A489" s="66" t="n"/>
    </row>
    <row r="490">
      <c r="A490" s="66" t="n"/>
    </row>
    <row r="491">
      <c r="A491" s="66" t="n"/>
    </row>
    <row r="492">
      <c r="A492" s="66" t="n"/>
    </row>
    <row r="493">
      <c r="A493" s="66" t="n"/>
    </row>
    <row r="494">
      <c r="A494" s="66" t="n"/>
    </row>
    <row r="495">
      <c r="A495" s="66" t="n"/>
    </row>
    <row r="496">
      <c r="A496" s="66" t="n"/>
    </row>
    <row r="497">
      <c r="A497" s="66" t="n"/>
    </row>
    <row r="498">
      <c r="A498" s="66" t="n"/>
    </row>
    <row r="499">
      <c r="A499" s="66" t="n"/>
    </row>
    <row r="500">
      <c r="A500" s="66" t="n"/>
    </row>
    <row r="501">
      <c r="A501" s="66" t="n"/>
    </row>
    <row r="502">
      <c r="A502" s="66" t="n"/>
    </row>
    <row r="503">
      <c r="A503" s="66" t="n"/>
    </row>
    <row r="504">
      <c r="A504" s="66" t="n"/>
    </row>
    <row r="505">
      <c r="A505" s="66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zgSakf1/UNCwURs5FlhCRA==" formatRows="1" sort="1" spinCount="100000" hashValue="MV9LMpNK99M7SwRO8gXC9grT0bYbihRwrlwi3DEneJd+AoIqjd3e31LTmKj947Oxxvxo0iwM08ZfKD7hCFNfQg=="/>
  <mergeCells count="1">
    <mergeCell ref="A1:BL1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6">
    <tabColor theme="6" tint="-0.499984740745262"/>
    <outlinePr summaryBelow="1" summaryRight="1"/>
    <pageSetUpPr/>
  </sheetPr>
  <dimension ref="A1:BL506"/>
  <sheetViews>
    <sheetView showGridLines="0" zoomScale="123" zoomScaleNormal="123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B66" sqref="B66"/>
    </sheetView>
  </sheetViews>
  <sheetFormatPr baseColWidth="8" defaultRowHeight="14.25"/>
  <cols>
    <col width="7.75" bestFit="1" customWidth="1" style="420" min="1" max="1"/>
    <col width="30.625" bestFit="1" customWidth="1" style="570" min="2" max="2"/>
    <col width="13.375" bestFit="1" customWidth="1" style="570" min="3" max="3"/>
    <col width="11.375" bestFit="1" customWidth="1" style="570" min="4" max="4"/>
    <col width="10.375" bestFit="1" customWidth="1" style="570" min="5" max="6"/>
    <col width="10.25" bestFit="1" customWidth="1" style="570" min="7" max="9"/>
    <col width="10.375" bestFit="1" customWidth="1" style="570" min="10" max="11"/>
    <col width="10.25" bestFit="1" customWidth="1" style="570" min="12" max="49"/>
    <col width="10.375" bestFit="1" customWidth="1" style="570" min="50" max="50"/>
    <col width="10.25" bestFit="1" customWidth="1" style="570" min="51" max="64"/>
    <col width="9" customWidth="1" style="570" min="65" max="16384"/>
  </cols>
  <sheetData>
    <row r="1" ht="30" customHeight="1" s="574">
      <c r="A1" s="592" t="inlineStr">
        <is>
          <t xml:space="preserve">  📈  出来高シート｜60日履歴</t>
        </is>
      </c>
      <c r="B1" s="570" t="n"/>
      <c r="C1" s="570" t="n"/>
      <c r="D1" s="570" t="n"/>
      <c r="E1" s="570" t="n"/>
      <c r="F1" s="570" t="n"/>
      <c r="G1" s="570" t="n"/>
      <c r="H1" s="570" t="n"/>
      <c r="I1" s="570" t="n"/>
      <c r="J1" s="570" t="n"/>
      <c r="K1" s="570" t="n"/>
      <c r="L1" s="570" t="n"/>
      <c r="M1" s="570" t="n"/>
      <c r="N1" s="570" t="n"/>
      <c r="O1" s="570" t="n"/>
      <c r="P1" s="570" t="n"/>
      <c r="Q1" s="570" t="n"/>
      <c r="R1" s="570" t="n"/>
      <c r="S1" s="570" t="n"/>
      <c r="T1" s="570" t="n"/>
      <c r="U1" s="570" t="n"/>
      <c r="V1" s="570" t="n"/>
      <c r="W1" s="570" t="n"/>
      <c r="X1" s="570" t="n"/>
      <c r="Y1" s="570" t="n"/>
      <c r="Z1" s="570" t="n"/>
      <c r="AA1" s="570" t="n"/>
      <c r="AB1" s="570" t="n"/>
      <c r="AC1" s="570" t="n"/>
      <c r="AD1" s="570" t="n"/>
      <c r="AE1" s="570" t="n"/>
      <c r="AF1" s="570" t="n"/>
      <c r="AG1" s="570" t="n"/>
      <c r="AH1" s="570" t="n"/>
      <c r="AI1" s="570" t="n"/>
      <c r="AJ1" s="570" t="n"/>
      <c r="AK1" s="570" t="n"/>
      <c r="AL1" s="570" t="n"/>
      <c r="AM1" s="570" t="n"/>
      <c r="AN1" s="570" t="n"/>
      <c r="AO1" s="570" t="n"/>
      <c r="AP1" s="570" t="n"/>
      <c r="AQ1" s="570" t="n"/>
      <c r="AR1" s="570" t="n"/>
      <c r="AS1" s="570" t="n"/>
      <c r="AT1" s="570" t="n"/>
      <c r="AU1" s="570" t="n"/>
      <c r="AV1" s="570" t="n"/>
      <c r="AW1" s="570" t="n"/>
      <c r="AX1" s="570" t="n"/>
      <c r="AY1" s="570" t="n"/>
      <c r="AZ1" s="570" t="n"/>
      <c r="BA1" s="570" t="n"/>
      <c r="BB1" s="570" t="n"/>
      <c r="BC1" s="570" t="n"/>
      <c r="BD1" s="570" t="n"/>
      <c r="BE1" s="570" t="n"/>
      <c r="BF1" s="570" t="n"/>
      <c r="BG1" s="570" t="n"/>
      <c r="BH1" s="570" t="n"/>
      <c r="BI1" s="570" t="n"/>
      <c r="BJ1" s="570" t="n"/>
      <c r="BK1" s="570" t="n"/>
      <c r="BL1" s="570" t="n"/>
    </row>
    <row r="2" ht="18" customHeight="1" s="574">
      <c r="A2" s="413" t="inlineStr">
        <is>
          <t>コード</t>
        </is>
      </c>
      <c r="B2" s="205" t="inlineStr">
        <is>
          <t>銘 柄 名</t>
        </is>
      </c>
      <c r="C2" s="205" t="inlineStr">
        <is>
          <t>RSS 出来高</t>
        </is>
      </c>
      <c r="D2" s="208" t="inlineStr">
        <is>
          <t>差  分</t>
        </is>
      </c>
      <c r="E2" s="217" t="n"/>
      <c r="F2" s="206" t="n"/>
      <c r="G2" s="206" t="n"/>
      <c r="H2" s="206" t="n"/>
      <c r="I2" s="206" t="n"/>
      <c r="J2" s="206" t="n"/>
      <c r="K2" s="206" t="n"/>
      <c r="L2" s="206" t="n"/>
      <c r="M2" s="206" t="n"/>
      <c r="N2" s="206" t="n"/>
      <c r="O2" s="206" t="n"/>
      <c r="P2" s="206" t="n"/>
      <c r="Q2" s="206" t="n"/>
      <c r="R2" s="206" t="n"/>
      <c r="S2" s="206" t="n"/>
      <c r="T2" s="206" t="n"/>
      <c r="U2" s="206" t="n"/>
      <c r="V2" s="206" t="n"/>
      <c r="W2" s="206" t="n"/>
      <c r="X2" s="206" t="n"/>
      <c r="Y2" s="206" t="n"/>
      <c r="Z2" s="206" t="n"/>
      <c r="AA2" s="206" t="n"/>
      <c r="AB2" s="206" t="n"/>
      <c r="AC2" s="206" t="n"/>
      <c r="AD2" s="206" t="n"/>
      <c r="AE2" s="206" t="n"/>
      <c r="AF2" s="206" t="n"/>
      <c r="AG2" s="206" t="n"/>
      <c r="AH2" s="206" t="n"/>
      <c r="AI2" s="206" t="n"/>
      <c r="AJ2" s="206" t="n"/>
      <c r="AK2" s="206" t="n"/>
      <c r="AL2" s="206" t="n"/>
      <c r="AM2" s="206" t="n"/>
      <c r="AN2" s="206" t="n"/>
      <c r="AO2" s="206" t="n"/>
      <c r="AP2" s="206" t="n"/>
      <c r="AQ2" s="206" t="n"/>
      <c r="AR2" s="206" t="n"/>
      <c r="AS2" s="206" t="n"/>
      <c r="AT2" s="206" t="n"/>
      <c r="AU2" s="206" t="n"/>
      <c r="AV2" s="206" t="n"/>
      <c r="AW2" s="206" t="n"/>
      <c r="AX2" s="206" t="n"/>
      <c r="AY2" s="206" t="n"/>
      <c r="AZ2" s="206" t="n"/>
      <c r="BA2" s="206" t="n"/>
      <c r="BB2" s="206" t="n"/>
      <c r="BC2" s="206" t="n"/>
      <c r="BD2" s="206" t="n"/>
      <c r="BE2" s="206" t="n"/>
      <c r="BF2" s="206" t="n"/>
      <c r="BG2" s="206" t="n"/>
      <c r="BH2" s="206" t="n"/>
      <c r="BI2" s="206" t="n"/>
      <c r="BJ2" s="206" t="n"/>
      <c r="BK2" s="206" t="n"/>
      <c r="BL2" s="206" t="n"/>
    </row>
    <row r="3" ht="14.1" customHeight="1" s="574">
      <c r="A3" s="414" t="inlineStr">
        <is>
          <t>日  付</t>
        </is>
      </c>
      <c r="B3" s="207" t="n"/>
      <c r="C3" s="207" t="inlineStr">
        <is>
          <t>本日</t>
        </is>
      </c>
      <c r="D3" s="209" t="n"/>
      <c r="E3" s="679" t="n">
        <v>46195</v>
      </c>
      <c r="F3" s="652" t="n">
        <v>46192</v>
      </c>
      <c r="G3" s="652" t="n">
        <v>46191</v>
      </c>
      <c r="H3" s="652" t="n">
        <v>46190</v>
      </c>
      <c r="I3" s="652" t="n">
        <v>46189</v>
      </c>
      <c r="J3" s="652" t="n">
        <v>46188</v>
      </c>
      <c r="K3" s="652" t="n">
        <v>46185</v>
      </c>
      <c r="L3" s="652" t="n">
        <v>46184</v>
      </c>
      <c r="M3" s="652" t="n">
        <v>46183</v>
      </c>
      <c r="N3" s="652" t="n">
        <v>46181</v>
      </c>
      <c r="O3" s="652" t="n">
        <v>46178</v>
      </c>
      <c r="P3" s="652" t="n">
        <v>46177</v>
      </c>
      <c r="Q3" s="652" t="n">
        <v>46176</v>
      </c>
      <c r="R3" s="652" t="n">
        <v>46175</v>
      </c>
      <c r="S3" s="652" t="n">
        <v>46171</v>
      </c>
      <c r="T3" s="652" t="n">
        <v>46170</v>
      </c>
      <c r="U3" s="652" t="n">
        <v>46169</v>
      </c>
      <c r="V3" s="652" t="n">
        <v>46167</v>
      </c>
      <c r="W3" s="652" t="n">
        <v>46164</v>
      </c>
      <c r="X3" s="652" t="n">
        <v>46163</v>
      </c>
      <c r="Y3" s="652" t="n">
        <v>46162</v>
      </c>
      <c r="Z3" s="652" t="n">
        <v>46161</v>
      </c>
      <c r="AA3" s="652" t="n">
        <v>46160</v>
      </c>
      <c r="AB3" s="652" t="n">
        <v>46157</v>
      </c>
      <c r="AC3" s="652" t="n">
        <v>46156</v>
      </c>
      <c r="AD3" s="652" t="n">
        <v>46155</v>
      </c>
      <c r="AE3" s="652" t="n">
        <v>46154</v>
      </c>
      <c r="AF3" s="652" t="n">
        <v>46153</v>
      </c>
      <c r="AG3" s="652" t="n">
        <v>46150</v>
      </c>
      <c r="AH3" s="652" t="n">
        <v>46149</v>
      </c>
      <c r="AI3" s="652" t="n">
        <v>46143</v>
      </c>
      <c r="AJ3" s="652" t="n">
        <v>46142</v>
      </c>
      <c r="AK3" s="652" t="n">
        <v>46140</v>
      </c>
      <c r="AL3" s="652" t="n">
        <v>46139</v>
      </c>
      <c r="AM3" s="652" t="n">
        <v>46136</v>
      </c>
      <c r="AN3" s="652" t="n">
        <v>46135</v>
      </c>
      <c r="AO3" s="652" t="n">
        <v>46134</v>
      </c>
      <c r="AP3" s="652" t="n">
        <v>46133</v>
      </c>
      <c r="AQ3" s="652" t="n">
        <v>46132</v>
      </c>
      <c r="AR3" s="652" t="n">
        <v>46129</v>
      </c>
      <c r="AS3" s="652" t="n">
        <v>46128</v>
      </c>
      <c r="AT3" s="652" t="n">
        <v>46127</v>
      </c>
      <c r="AU3" s="652" t="n">
        <v>46126</v>
      </c>
      <c r="AV3" s="652" t="n">
        <v>46125</v>
      </c>
      <c r="AW3" s="652" t="n">
        <v>46122</v>
      </c>
      <c r="AX3" s="652" t="n">
        <v>46121</v>
      </c>
      <c r="AY3" s="652" t="n">
        <v>46120</v>
      </c>
      <c r="AZ3" s="652" t="n">
        <v>46119</v>
      </c>
      <c r="BA3" s="652" t="n">
        <v>46118</v>
      </c>
      <c r="BB3" s="652" t="n">
        <v>46115</v>
      </c>
      <c r="BC3" s="652" t="n">
        <v>46114</v>
      </c>
      <c r="BD3" s="652" t="n">
        <v>46113</v>
      </c>
      <c r="BE3" s="652" t="n">
        <v>46112</v>
      </c>
      <c r="BF3" s="652" t="n">
        <v>46111</v>
      </c>
      <c r="BG3" s="652" t="n">
        <v>46108</v>
      </c>
      <c r="BH3" s="652" t="n">
        <v>46107</v>
      </c>
      <c r="BI3" s="652" t="n">
        <v>46106</v>
      </c>
      <c r="BJ3" s="652" t="n">
        <v>46105</v>
      </c>
      <c r="BK3" s="652" t="n">
        <v>46104</v>
      </c>
      <c r="BL3" s="652" t="n">
        <v>46100</v>
      </c>
    </row>
    <row r="4" ht="22.5" customHeight="1" s="574">
      <c r="A4" s="680" t="n"/>
      <c r="B4" s="88" t="n"/>
      <c r="C4" s="88" t="n"/>
      <c r="D4" s="214" t="n"/>
      <c r="E4" s="214" t="n"/>
      <c r="F4" s="88" t="n"/>
      <c r="G4" s="88" t="n"/>
      <c r="H4" s="88" t="n"/>
      <c r="I4" s="88" t="n"/>
      <c r="J4" s="88" t="n"/>
      <c r="K4" s="88" t="n"/>
      <c r="L4" s="88" t="n"/>
      <c r="M4" s="88" t="n"/>
      <c r="N4" s="88" t="n"/>
      <c r="O4" s="88" t="n"/>
      <c r="P4" s="88" t="n"/>
      <c r="Q4" s="88" t="n"/>
      <c r="R4" s="88" t="n"/>
      <c r="S4" s="88" t="n"/>
      <c r="T4" s="88" t="n"/>
      <c r="U4" s="88" t="n"/>
      <c r="V4" s="88" t="n"/>
      <c r="W4" s="88" t="n"/>
      <c r="X4" s="88" t="n"/>
      <c r="Y4" s="88" t="n"/>
      <c r="Z4" s="88" t="n"/>
      <c r="AA4" s="88" t="n"/>
      <c r="AB4" s="88" t="n"/>
      <c r="AC4" s="88" t="n"/>
      <c r="AD4" s="88" t="n"/>
      <c r="AE4" s="88" t="n"/>
      <c r="AF4" s="88" t="n"/>
      <c r="AG4" s="88" t="n"/>
      <c r="AH4" s="88" t="n"/>
      <c r="AI4" s="88" t="n"/>
      <c r="AJ4" s="88" t="n"/>
      <c r="AK4" s="88" t="n"/>
      <c r="AL4" s="88" t="n"/>
      <c r="AM4" s="88" t="n"/>
      <c r="AN4" s="88" t="n"/>
      <c r="AO4" s="88" t="n"/>
      <c r="AP4" s="88" t="n"/>
      <c r="AQ4" s="88" t="n"/>
      <c r="AR4" s="88" t="n"/>
      <c r="AS4" s="88" t="n"/>
      <c r="AT4" s="88" t="n"/>
      <c r="AU4" s="88" t="n"/>
      <c r="AV4" s="88" t="n"/>
      <c r="AW4" s="88" t="n"/>
      <c r="AX4" s="88" t="n"/>
      <c r="AY4" s="88" t="n"/>
      <c r="AZ4" s="88" t="n"/>
      <c r="BA4" s="88" t="n"/>
      <c r="BB4" s="88" t="n"/>
      <c r="BC4" s="88" t="n"/>
      <c r="BD4" s="88" t="n"/>
      <c r="BE4" s="88" t="n"/>
      <c r="BF4" s="88" t="n"/>
      <c r="BG4" s="88" t="n"/>
      <c r="BH4" s="88" t="n"/>
      <c r="BI4" s="88" t="n"/>
      <c r="BJ4" s="88" t="n"/>
      <c r="BK4" s="88" t="n"/>
      <c r="BL4" s="88" t="n"/>
    </row>
    <row r="5" ht="22.5" customHeight="1" s="574">
      <c r="A5" s="681">
        <f>IF(銘柄管理!B5="","",銘柄管理!B5)</f>
        <v/>
      </c>
      <c r="B5" s="49">
        <f>IF(銘柄管理!C5="","",銘柄管理!C5)</f>
        <v/>
      </c>
      <c r="C5" s="50">
        <f t="array" ref="C5">_xll.RssIndexMarket("TOPX", "出来高")</f>
        <v/>
      </c>
      <c r="D5" s="682" t="n"/>
      <c r="E5" s="212" t="n">
        <v>237206</v>
      </c>
      <c r="F5" s="51" t="n">
        <v>339753</v>
      </c>
      <c r="G5" s="51" t="n">
        <v>255563</v>
      </c>
      <c r="H5" s="51" t="n">
        <v>234920</v>
      </c>
      <c r="I5" s="51" t="n">
        <v>248987</v>
      </c>
      <c r="J5" s="51" t="n">
        <v>298924</v>
      </c>
      <c r="K5" s="51" t="n">
        <v>262899</v>
      </c>
      <c r="L5" s="51" t="n">
        <v>275419</v>
      </c>
      <c r="M5" s="52" t="n">
        <v>286208</v>
      </c>
      <c r="N5" s="52" t="n">
        <v>242344</v>
      </c>
      <c r="O5" s="52" t="n">
        <v>254015</v>
      </c>
      <c r="P5" s="52" t="n">
        <v>280706</v>
      </c>
      <c r="Q5" s="52" t="n">
        <v>297219</v>
      </c>
      <c r="R5" s="52" t="n">
        <v>483567</v>
      </c>
      <c r="S5" s="52" t="n">
        <v>281296</v>
      </c>
      <c r="T5" s="52" t="n">
        <v>267824</v>
      </c>
      <c r="U5" s="52" t="n">
        <v>268512</v>
      </c>
      <c r="V5" s="52" t="n">
        <v>260652</v>
      </c>
      <c r="W5" s="52" t="n">
        <v>270037</v>
      </c>
      <c r="X5" s="52" t="n">
        <v>295563</v>
      </c>
      <c r="Y5" s="52" t="n">
        <v>292537</v>
      </c>
      <c r="Z5" s="52" t="n">
        <v>293326</v>
      </c>
      <c r="AA5" s="52" t="n">
        <v>341267</v>
      </c>
      <c r="AB5" s="52" t="n">
        <v>335971</v>
      </c>
      <c r="AC5" s="52" t="n"/>
      <c r="AD5" s="52" t="n"/>
      <c r="AE5" s="52" t="n"/>
      <c r="AF5" s="52" t="n"/>
      <c r="AG5" s="52" t="n"/>
      <c r="AH5" s="52" t="n"/>
      <c r="AI5" s="52" t="n"/>
      <c r="AJ5" s="52" t="n"/>
      <c r="AK5" s="52" t="n"/>
      <c r="AL5" s="52" t="n"/>
      <c r="AM5" s="52" t="n"/>
      <c r="AN5" s="52" t="n"/>
      <c r="AO5" s="52" t="n"/>
      <c r="AQ5" s="51" t="n"/>
      <c r="AR5" s="51" t="n"/>
      <c r="AS5" s="51" t="n"/>
      <c r="AT5" s="51" t="n"/>
      <c r="AU5" s="51" t="n"/>
      <c r="AV5" s="51" t="n"/>
      <c r="AW5" s="51" t="n"/>
      <c r="AX5" s="51" t="n"/>
      <c r="AY5" s="51" t="n"/>
      <c r="AZ5" s="51" t="n"/>
      <c r="BA5" s="51" t="n"/>
      <c r="BB5" s="51" t="n"/>
      <c r="BC5" s="51" t="n"/>
      <c r="BD5" s="51" t="n"/>
      <c r="BE5" s="51" t="n"/>
      <c r="BF5" s="51" t="n"/>
      <c r="BG5" s="51" t="n"/>
      <c r="BH5" s="51" t="n"/>
      <c r="BI5" s="51" t="n"/>
      <c r="BJ5" s="51" t="n"/>
      <c r="BK5" s="51" t="n"/>
      <c r="BL5" s="51" t="n"/>
    </row>
    <row r="6" ht="22.5" customHeight="1" s="574">
      <c r="A6" s="416" t="inlineStr">
        <is>
          <t>5706</t>
        </is>
      </c>
      <c r="B6" s="49" t="inlineStr">
        <is>
          <t>三井金属</t>
        </is>
      </c>
      <c r="C6" s="53">
        <f>_xll.RssMarket("5706","出来高")</f>
        <v/>
      </c>
      <c r="D6" s="683">
        <f>C6-E6</f>
        <v/>
      </c>
      <c r="E6" s="216" t="n">
        <v>1789600</v>
      </c>
      <c r="F6" s="54" t="n">
        <v>2142500</v>
      </c>
      <c r="G6" s="54" t="n">
        <v>1972400</v>
      </c>
      <c r="H6" s="54" t="n">
        <v>1716800</v>
      </c>
      <c r="I6" s="54" t="n">
        <v>2735900</v>
      </c>
      <c r="J6" s="54" t="n">
        <v>2434000</v>
      </c>
      <c r="K6" s="54" t="n">
        <v>3868100</v>
      </c>
      <c r="L6" s="54" t="n">
        <v>1698900</v>
      </c>
      <c r="M6" s="54" t="n">
        <v>1978700</v>
      </c>
      <c r="N6" s="54" t="n">
        <v>1514600</v>
      </c>
      <c r="O6" s="54" t="n">
        <v>1702400</v>
      </c>
      <c r="P6" s="54" t="n">
        <v>1783000</v>
      </c>
      <c r="Q6" s="54" t="n">
        <v>2308800</v>
      </c>
      <c r="R6" s="55" t="n">
        <v>2287800</v>
      </c>
      <c r="S6" s="55" t="n">
        <v>5244100</v>
      </c>
      <c r="T6" s="55" t="n">
        <v>2149400</v>
      </c>
      <c r="U6" s="55" t="n">
        <v>1891300</v>
      </c>
      <c r="V6" s="55" t="n">
        <v>1847400</v>
      </c>
      <c r="W6" s="55" t="n">
        <v>1964800</v>
      </c>
      <c r="X6" s="55" t="n">
        <v>1979200</v>
      </c>
      <c r="Y6" s="55" t="n">
        <v>1759900</v>
      </c>
      <c r="Z6" s="55" t="n">
        <v>2104800</v>
      </c>
      <c r="AA6" s="55" t="n">
        <v>2872900</v>
      </c>
      <c r="AB6" s="55" t="n">
        <v>2997400</v>
      </c>
      <c r="AC6" s="55" t="n">
        <v>6185500</v>
      </c>
      <c r="AD6" s="55" t="n">
        <v>3317800</v>
      </c>
      <c r="AE6" s="55" t="n">
        <v>2098100</v>
      </c>
      <c r="AF6" s="55" t="n">
        <v>2551400</v>
      </c>
      <c r="AG6" s="55" t="n">
        <v>2551400</v>
      </c>
      <c r="AH6" s="55" t="n">
        <v>2582600</v>
      </c>
      <c r="AI6" s="55" t="n">
        <v>2151900</v>
      </c>
      <c r="AJ6" s="55" t="n">
        <v>1669300</v>
      </c>
      <c r="AK6" s="55" t="n">
        <v>2464100</v>
      </c>
      <c r="AL6" s="55" t="n">
        <v>2386800</v>
      </c>
      <c r="AM6" s="55" t="n">
        <v>2156100</v>
      </c>
      <c r="AN6" s="21" t="n">
        <v>1570700</v>
      </c>
      <c r="AO6" s="21" t="n">
        <v>1560100</v>
      </c>
      <c r="AP6" s="22" t="n">
        <v>1696700</v>
      </c>
      <c r="AQ6" s="22" t="n">
        <v>1472900</v>
      </c>
      <c r="AR6" s="22" t="n">
        <v>1023500</v>
      </c>
      <c r="AS6" s="22" t="n">
        <v>1262900</v>
      </c>
      <c r="AT6" s="22" t="n">
        <v>2234300</v>
      </c>
      <c r="AU6" s="22" t="n">
        <v>2707000</v>
      </c>
      <c r="AV6" s="22" t="n">
        <v>1787000</v>
      </c>
      <c r="AW6" s="22" t="n">
        <v>2012700</v>
      </c>
      <c r="AX6" s="22" t="n">
        <v>2418600</v>
      </c>
      <c r="AY6" s="22" t="n">
        <v>1877000</v>
      </c>
      <c r="AZ6" s="22" t="n">
        <v>2442800</v>
      </c>
      <c r="BA6" s="22" t="n">
        <v>1386500</v>
      </c>
      <c r="BB6" s="22" t="n">
        <v>1689000</v>
      </c>
      <c r="BC6" s="22" t="n">
        <v>1404200</v>
      </c>
      <c r="BD6" s="22" t="n">
        <v>1997600</v>
      </c>
      <c r="BE6" s="22" t="n">
        <v>1500200</v>
      </c>
      <c r="BF6" s="22" t="n">
        <v>2133100</v>
      </c>
      <c r="BG6" s="22" t="n">
        <v>1946800</v>
      </c>
      <c r="BH6" s="22" t="n">
        <v>1518300</v>
      </c>
      <c r="BI6" s="22" t="n">
        <v>1966200</v>
      </c>
      <c r="BJ6" s="22" t="n">
        <v>2128100</v>
      </c>
      <c r="BK6" s="22" t="n">
        <v>2799900</v>
      </c>
      <c r="BL6" s="22" t="n">
        <v>2211800</v>
      </c>
    </row>
    <row r="7" ht="15.95" customHeight="1" s="574">
      <c r="A7" s="416" t="inlineStr">
        <is>
          <t>5423</t>
        </is>
      </c>
      <c r="B7" s="49" t="inlineStr">
        <is>
          <t>東京製鐵</t>
        </is>
      </c>
      <c r="C7" s="53">
        <f>_xll.RssMarket("5423","出来高")</f>
        <v/>
      </c>
      <c r="D7" s="683">
        <f>C7-E7</f>
        <v/>
      </c>
      <c r="E7" s="216" t="n">
        <v>238800</v>
      </c>
      <c r="F7" s="55" t="n">
        <v>394300</v>
      </c>
      <c r="G7" s="55" t="n">
        <v>229800</v>
      </c>
      <c r="H7" s="55" t="n">
        <v>385700</v>
      </c>
      <c r="I7" s="55" t="n">
        <v>266000</v>
      </c>
      <c r="J7" s="55" t="n">
        <v>538200</v>
      </c>
      <c r="K7" s="55" t="n">
        <v>289100</v>
      </c>
      <c r="L7" s="55" t="n">
        <v>225000</v>
      </c>
      <c r="M7" s="55" t="n">
        <v>430800</v>
      </c>
      <c r="N7" s="55" t="n">
        <v>190600</v>
      </c>
      <c r="O7" s="55" t="n">
        <v>271900</v>
      </c>
      <c r="P7" s="55" t="n">
        <v>340800</v>
      </c>
      <c r="Q7" s="55" t="n">
        <v>323000</v>
      </c>
      <c r="R7" s="55" t="n">
        <v>496800</v>
      </c>
      <c r="S7" s="55" t="n">
        <v>290400</v>
      </c>
      <c r="T7" s="55" t="n">
        <v>390000</v>
      </c>
      <c r="U7" s="55" t="n">
        <v>325400</v>
      </c>
      <c r="V7" s="55" t="n">
        <v>269500</v>
      </c>
      <c r="W7" s="55" t="n">
        <v>349400</v>
      </c>
      <c r="X7" s="55" t="n">
        <v>311700</v>
      </c>
      <c r="Y7" s="55" t="n">
        <v>394200</v>
      </c>
      <c r="Z7" s="55" t="n">
        <v>489200</v>
      </c>
      <c r="AA7" s="55" t="n">
        <v>729700</v>
      </c>
      <c r="AB7" s="55" t="n">
        <v>1307500</v>
      </c>
      <c r="AC7" s="55" t="n">
        <v>510200</v>
      </c>
      <c r="AD7" s="55" t="n">
        <v>393600</v>
      </c>
      <c r="AE7" s="55" t="n">
        <v>502600</v>
      </c>
      <c r="AF7" s="55" t="n">
        <v>502600</v>
      </c>
      <c r="AG7" s="55" t="n">
        <v>670800</v>
      </c>
      <c r="AH7" s="55" t="n">
        <v>503300</v>
      </c>
      <c r="AI7" s="55" t="n">
        <v>442900</v>
      </c>
      <c r="AJ7" s="55" t="n">
        <v>509400</v>
      </c>
      <c r="AK7" s="55" t="n">
        <v>573900</v>
      </c>
      <c r="AL7" s="55" t="n">
        <v>1287300</v>
      </c>
      <c r="AM7" s="55" t="n">
        <v>1953600</v>
      </c>
      <c r="AN7" s="55" t="n">
        <v>576200</v>
      </c>
      <c r="AO7" s="55" t="n">
        <v>561600</v>
      </c>
      <c r="AP7" s="55" t="n">
        <v>568300</v>
      </c>
      <c r="AQ7" s="22" t="n">
        <v>557900</v>
      </c>
      <c r="AR7" s="22" t="n">
        <v>489200</v>
      </c>
      <c r="AS7" s="22" t="n">
        <v>572900</v>
      </c>
      <c r="AT7" s="22" t="n">
        <v>368500</v>
      </c>
      <c r="AU7" s="22" t="n">
        <v>333100</v>
      </c>
      <c r="AV7" s="22" t="n">
        <v>596600</v>
      </c>
      <c r="AW7" s="22" t="n">
        <v>456100</v>
      </c>
      <c r="AX7" s="22" t="n">
        <v>571300</v>
      </c>
      <c r="AY7" s="22" t="n">
        <v>433200</v>
      </c>
      <c r="AZ7" s="22" t="n">
        <v>977800</v>
      </c>
      <c r="BA7" s="22" t="n">
        <v>1231500</v>
      </c>
      <c r="BB7" s="22" t="n">
        <v>3075000</v>
      </c>
      <c r="BC7" s="22" t="n">
        <v>472400</v>
      </c>
      <c r="BD7" s="22" t="n">
        <v>345500</v>
      </c>
      <c r="BE7" s="22" t="n">
        <v>445300</v>
      </c>
      <c r="BF7" s="22" t="n">
        <v>388800</v>
      </c>
      <c r="BG7" s="22" t="n">
        <v>471200</v>
      </c>
      <c r="BH7" s="22" t="n">
        <v>322500</v>
      </c>
      <c r="BI7" s="22" t="n">
        <v>463700</v>
      </c>
      <c r="BJ7" s="22" t="n">
        <v>526700</v>
      </c>
      <c r="BK7" s="22" t="n">
        <v>429700</v>
      </c>
      <c r="BL7" s="22" t="n">
        <v>360700</v>
      </c>
    </row>
    <row r="8" ht="15.95" customHeight="1" s="574">
      <c r="A8" s="416" t="inlineStr">
        <is>
          <t>5713</t>
        </is>
      </c>
      <c r="B8" s="49" t="inlineStr">
        <is>
          <t>住友鉱山</t>
        </is>
      </c>
      <c r="C8" s="53">
        <f>_xll.RssMarket("5713","出来高")</f>
        <v/>
      </c>
      <c r="D8" s="683">
        <f>C8-E8</f>
        <v/>
      </c>
      <c r="E8" s="216" t="n">
        <v>2386800</v>
      </c>
      <c r="F8" s="56" t="n">
        <v>3982200</v>
      </c>
      <c r="G8" s="56" t="n">
        <v>2589500</v>
      </c>
      <c r="H8" s="56" t="n">
        <v>2551700</v>
      </c>
      <c r="I8" s="56" t="n">
        <v>2641400</v>
      </c>
      <c r="J8" s="56" t="n">
        <v>4556800</v>
      </c>
      <c r="K8" s="56" t="n">
        <v>3142400</v>
      </c>
      <c r="L8" s="56" t="n">
        <v>3560800</v>
      </c>
      <c r="M8" s="56" t="n">
        <v>3843300</v>
      </c>
      <c r="N8" s="56" t="n">
        <v>2594500</v>
      </c>
      <c r="O8" s="56" t="n">
        <v>2081000</v>
      </c>
      <c r="P8" s="56" t="n">
        <v>2542500</v>
      </c>
      <c r="Q8" s="56" t="n">
        <v>2932000</v>
      </c>
      <c r="R8" s="56" t="n">
        <v>4027100</v>
      </c>
      <c r="S8" s="56" t="n">
        <v>4084200</v>
      </c>
      <c r="T8" s="56" t="n">
        <v>2595000</v>
      </c>
      <c r="U8" s="56" t="n">
        <v>2050500</v>
      </c>
      <c r="V8" s="56" t="n">
        <v>2228600</v>
      </c>
      <c r="W8" s="56" t="n">
        <v>2640900</v>
      </c>
      <c r="X8" s="56" t="n">
        <v>3138100</v>
      </c>
      <c r="Y8" s="56" t="n">
        <v>2982700</v>
      </c>
      <c r="Z8" s="56" t="n">
        <v>3759600</v>
      </c>
      <c r="AA8" s="56" t="n">
        <v>4067900</v>
      </c>
      <c r="AB8" s="56" t="n">
        <v>3379600</v>
      </c>
      <c r="AC8" s="56" t="n">
        <v>3612200</v>
      </c>
      <c r="AD8" s="56" t="n">
        <v>4429700</v>
      </c>
      <c r="AE8" s="56" t="n">
        <v>8245000</v>
      </c>
      <c r="AF8" s="56" t="n">
        <v>8245000</v>
      </c>
      <c r="AG8" s="56" t="n">
        <v>3684000</v>
      </c>
      <c r="AH8" s="56" t="n">
        <v>3693100</v>
      </c>
      <c r="AI8" s="56" t="n">
        <v>1976400</v>
      </c>
      <c r="AJ8" s="56" t="n">
        <v>3637600</v>
      </c>
      <c r="AK8" s="56" t="n">
        <v>3034900</v>
      </c>
      <c r="AL8" s="56" t="n">
        <v>2050300</v>
      </c>
      <c r="AM8" s="56" t="n">
        <v>2954900</v>
      </c>
      <c r="AN8" s="23" t="n">
        <v>2835900</v>
      </c>
      <c r="AO8" s="23" t="n">
        <v>1576200</v>
      </c>
      <c r="AP8" s="22" t="n">
        <v>1726400</v>
      </c>
      <c r="AQ8" s="22" t="n">
        <v>3352800</v>
      </c>
      <c r="AR8" s="22" t="n">
        <v>2892200</v>
      </c>
      <c r="AS8" s="22" t="n">
        <v>5526000</v>
      </c>
      <c r="AT8" s="22" t="n">
        <v>2866300</v>
      </c>
      <c r="AU8" s="22" t="n">
        <v>3247400</v>
      </c>
      <c r="AV8" s="22" t="n">
        <v>3333200</v>
      </c>
      <c r="AW8" s="22" t="n">
        <v>3853300</v>
      </c>
      <c r="AX8" s="22" t="n">
        <v>3918100</v>
      </c>
      <c r="AY8" s="22" t="n">
        <v>2314600</v>
      </c>
      <c r="AZ8" s="22" t="n">
        <v>2369000</v>
      </c>
      <c r="BA8" s="22" t="n">
        <v>2396300</v>
      </c>
      <c r="BB8" s="22" t="n">
        <v>5304000</v>
      </c>
      <c r="BC8" s="22" t="n">
        <v>3762200</v>
      </c>
      <c r="BD8" s="22" t="n">
        <v>5535500</v>
      </c>
      <c r="BE8" s="22" t="n">
        <v>4307300</v>
      </c>
      <c r="BF8" s="22" t="n">
        <v>3207800</v>
      </c>
      <c r="BG8" s="22" t="n">
        <v>4209600</v>
      </c>
      <c r="BH8" s="22" t="n">
        <v>4789300</v>
      </c>
      <c r="BI8" s="22" t="n">
        <v>6980800</v>
      </c>
      <c r="BJ8" s="22" t="n">
        <v>6650400</v>
      </c>
      <c r="BK8" s="22" t="n">
        <v>3566700</v>
      </c>
      <c r="BL8" s="22" t="n">
        <v>3094100</v>
      </c>
    </row>
    <row r="9" ht="15.95" customHeight="1" s="574">
      <c r="A9" s="416" t="inlineStr">
        <is>
          <t>5711</t>
        </is>
      </c>
      <c r="B9" s="49" t="inlineStr">
        <is>
          <t>三菱マテリアル</t>
        </is>
      </c>
      <c r="C9" s="53">
        <f>_xll.RssMarket("5711","出来高")</f>
        <v/>
      </c>
      <c r="D9" s="683">
        <f>C9-E9</f>
        <v/>
      </c>
      <c r="E9" s="213" t="n">
        <v>1290700</v>
      </c>
      <c r="F9" s="22" t="n">
        <v>956200</v>
      </c>
      <c r="G9" s="22" t="n">
        <v>675400</v>
      </c>
      <c r="H9" s="22" t="n">
        <v>659400</v>
      </c>
      <c r="I9" s="22" t="n">
        <v>906800</v>
      </c>
      <c r="J9" s="22" t="n">
        <v>1201900</v>
      </c>
      <c r="K9" s="22" t="n">
        <v>885100</v>
      </c>
      <c r="L9" s="22" t="n">
        <v>951900</v>
      </c>
      <c r="M9" s="22" t="n">
        <v>1382600</v>
      </c>
      <c r="N9" s="22" t="n">
        <v>745200</v>
      </c>
      <c r="O9" s="22" t="n">
        <v>871200</v>
      </c>
      <c r="P9" s="22" t="n">
        <v>1127900</v>
      </c>
      <c r="Q9" s="22" t="n">
        <v>968200</v>
      </c>
      <c r="R9" s="22" t="n">
        <v>1620700</v>
      </c>
      <c r="S9" s="22" t="n">
        <v>1032600</v>
      </c>
      <c r="T9" s="22" t="n">
        <v>1015000</v>
      </c>
      <c r="U9" s="22" t="n">
        <v>858000</v>
      </c>
      <c r="V9" s="22" t="n">
        <v>1242700</v>
      </c>
      <c r="W9" s="22" t="n">
        <v>1055000</v>
      </c>
      <c r="X9" s="22" t="n">
        <v>1708500</v>
      </c>
      <c r="Y9" s="22" t="n">
        <v>1473300</v>
      </c>
      <c r="Z9" s="22" t="n">
        <v>1722400</v>
      </c>
      <c r="AA9" s="22" t="n">
        <v>1744000</v>
      </c>
      <c r="AB9" s="22" t="n">
        <v>3907200</v>
      </c>
      <c r="AC9" s="22" t="n">
        <v>2487800</v>
      </c>
      <c r="AD9" s="22" t="n">
        <v>1799900</v>
      </c>
      <c r="AE9" s="22" t="n">
        <v>1709900</v>
      </c>
      <c r="AF9" s="22" t="n">
        <v>1709900</v>
      </c>
      <c r="AG9" s="22" t="n">
        <v>1250200</v>
      </c>
      <c r="AH9" s="22" t="n">
        <v>1200800</v>
      </c>
      <c r="AI9" s="22" t="n">
        <v>701600</v>
      </c>
      <c r="AJ9" s="22" t="n">
        <v>1003800</v>
      </c>
      <c r="AK9" s="22" t="n">
        <v>958100</v>
      </c>
      <c r="AL9" s="22" t="n">
        <v>642800</v>
      </c>
      <c r="AM9" s="22" t="n">
        <v>935400</v>
      </c>
      <c r="AN9" s="22" t="n">
        <v>879300</v>
      </c>
      <c r="AO9" s="22" t="n">
        <v>602500</v>
      </c>
      <c r="AP9" s="22" t="n">
        <v>649000</v>
      </c>
      <c r="AQ9" s="22" t="n">
        <v>1068700</v>
      </c>
      <c r="AR9" s="22" t="n">
        <v>943200</v>
      </c>
      <c r="AS9" s="22" t="n">
        <v>1522000</v>
      </c>
      <c r="AT9" s="22" t="n">
        <v>1418200</v>
      </c>
      <c r="AU9" s="22" t="n">
        <v>959100</v>
      </c>
      <c r="AV9" s="22" t="n">
        <v>1051000</v>
      </c>
      <c r="AW9" s="22" t="n">
        <v>1178900</v>
      </c>
      <c r="AX9" s="22" t="n">
        <v>2869000</v>
      </c>
      <c r="AY9" s="22" t="n">
        <v>715900</v>
      </c>
      <c r="AZ9" s="22" t="n">
        <v>951000</v>
      </c>
      <c r="BA9" s="22" t="n">
        <v>1165400</v>
      </c>
      <c r="BB9" s="22" t="n">
        <v>1455200</v>
      </c>
      <c r="BC9" s="22" t="n">
        <v>1590700</v>
      </c>
      <c r="BD9" s="22" t="n">
        <v>1904700</v>
      </c>
      <c r="BE9" s="22" t="n">
        <v>1780800</v>
      </c>
      <c r="BF9" s="22" t="n">
        <v>1386800</v>
      </c>
      <c r="BG9" s="22" t="n">
        <v>1845400</v>
      </c>
      <c r="BH9" s="22" t="n">
        <v>2392100</v>
      </c>
      <c r="BI9" s="22" t="n">
        <v>3557100</v>
      </c>
      <c r="BJ9" s="22" t="n">
        <v>6014300</v>
      </c>
      <c r="BK9" s="22" t="n">
        <v>3875900</v>
      </c>
      <c r="BL9" s="22" t="n">
        <v>815100</v>
      </c>
    </row>
    <row r="10" ht="15.95" customHeight="1" s="574">
      <c r="A10" s="416" t="inlineStr">
        <is>
          <t>5714</t>
        </is>
      </c>
      <c r="B10" s="49" t="inlineStr">
        <is>
          <t>ＤＯＷＡホールディングス</t>
        </is>
      </c>
      <c r="C10" s="53">
        <f>_xll.RssMarket("5714","出来高")</f>
        <v/>
      </c>
      <c r="D10" s="683">
        <f>C10-E10</f>
        <v/>
      </c>
      <c r="E10" s="213" t="n">
        <v>275000</v>
      </c>
      <c r="F10" s="22" t="n">
        <v>388500</v>
      </c>
      <c r="G10" s="22" t="n">
        <v>297300</v>
      </c>
      <c r="H10" s="22" t="n">
        <v>365500</v>
      </c>
      <c r="I10" s="22" t="n">
        <v>371200</v>
      </c>
      <c r="J10" s="22" t="n">
        <v>515700</v>
      </c>
      <c r="K10" s="22" t="n">
        <v>552800</v>
      </c>
      <c r="L10" s="22" t="n">
        <v>420500</v>
      </c>
      <c r="M10" s="22" t="n">
        <v>757100</v>
      </c>
      <c r="N10" s="22" t="n">
        <v>451500</v>
      </c>
      <c r="O10" s="22" t="n">
        <v>511300</v>
      </c>
      <c r="P10" s="22" t="n">
        <v>333400</v>
      </c>
      <c r="Q10" s="22" t="n">
        <v>453000</v>
      </c>
      <c r="R10" s="22" t="n">
        <v>585200</v>
      </c>
      <c r="S10" s="22" t="n">
        <v>568800</v>
      </c>
      <c r="T10" s="22" t="n">
        <v>517800</v>
      </c>
      <c r="U10" s="22" t="n">
        <v>456800</v>
      </c>
      <c r="V10" s="22" t="n">
        <v>462700</v>
      </c>
      <c r="W10" s="22" t="n">
        <v>394900</v>
      </c>
      <c r="X10" s="22" t="n">
        <v>477900</v>
      </c>
      <c r="Y10" s="22" t="n">
        <v>542400</v>
      </c>
      <c r="Z10" s="22" t="n">
        <v>550400</v>
      </c>
      <c r="AA10" s="22" t="n">
        <v>1539600</v>
      </c>
      <c r="AB10" s="22" t="n">
        <v>618700</v>
      </c>
      <c r="AC10" s="22" t="n">
        <v>411000</v>
      </c>
      <c r="AD10" s="22" t="n">
        <v>453500</v>
      </c>
      <c r="AE10" s="22" t="n">
        <v>672000</v>
      </c>
      <c r="AF10" s="22" t="n">
        <v>672000</v>
      </c>
      <c r="AG10" s="22" t="n">
        <v>592300</v>
      </c>
      <c r="AH10" s="22" t="n">
        <v>522000</v>
      </c>
      <c r="AI10" s="22" t="n">
        <v>234200</v>
      </c>
      <c r="AJ10" s="22" t="n">
        <v>356500</v>
      </c>
      <c r="AK10" s="22" t="n">
        <v>434400</v>
      </c>
      <c r="AL10" s="22" t="n">
        <v>292000</v>
      </c>
      <c r="AM10" s="22" t="n">
        <v>331300</v>
      </c>
      <c r="AN10" s="22" t="n">
        <v>279900</v>
      </c>
      <c r="AO10" s="22" t="n">
        <v>294700</v>
      </c>
      <c r="AP10" s="22" t="n">
        <v>348200</v>
      </c>
      <c r="AQ10" s="22" t="n">
        <v>339600</v>
      </c>
      <c r="AR10" s="22" t="n">
        <v>348900</v>
      </c>
      <c r="AS10" s="22" t="n">
        <v>349700</v>
      </c>
      <c r="AT10" s="22" t="n">
        <v>407600</v>
      </c>
      <c r="AU10" s="22" t="n">
        <v>386100</v>
      </c>
      <c r="AV10" s="22" t="n">
        <v>296200</v>
      </c>
      <c r="AW10" s="22" t="n">
        <v>295900</v>
      </c>
      <c r="AX10" s="22" t="n">
        <v>358400</v>
      </c>
      <c r="AY10" s="22" t="n">
        <v>548900</v>
      </c>
      <c r="AZ10" s="22" t="n">
        <v>383400</v>
      </c>
      <c r="BA10" s="22" t="n">
        <v>266700</v>
      </c>
      <c r="BB10" s="22" t="n">
        <v>349000</v>
      </c>
      <c r="BC10" s="22" t="n">
        <v>608400</v>
      </c>
      <c r="BD10" s="22" t="n">
        <v>571300</v>
      </c>
      <c r="BE10" s="22" t="n">
        <v>634700</v>
      </c>
      <c r="BF10" s="22" t="n">
        <v>554500</v>
      </c>
      <c r="BG10" s="22" t="n">
        <v>505900</v>
      </c>
      <c r="BH10" s="22" t="n">
        <v>464300</v>
      </c>
      <c r="BI10" s="22" t="n">
        <v>623000</v>
      </c>
      <c r="BJ10" s="22" t="n">
        <v>1443200</v>
      </c>
      <c r="BK10" s="22" t="n">
        <v>862800</v>
      </c>
      <c r="BL10" s="22" t="n">
        <v>452300</v>
      </c>
    </row>
    <row r="11" ht="15.95" customHeight="1" s="574">
      <c r="A11" s="416" t="inlineStr">
        <is>
          <t>6701</t>
        </is>
      </c>
      <c r="B11" s="49" t="inlineStr">
        <is>
          <t>日本電気</t>
        </is>
      </c>
      <c r="C11" s="53">
        <f>_xll.RssMarket("6701","出来高")</f>
        <v/>
      </c>
      <c r="D11" s="683">
        <f>C11-E11</f>
        <v/>
      </c>
      <c r="E11" s="213" t="n">
        <v>6333600</v>
      </c>
      <c r="F11" s="22" t="n">
        <v>13183200</v>
      </c>
      <c r="G11" s="22" t="n">
        <v>7205000</v>
      </c>
      <c r="H11" s="22" t="n">
        <v>5022300</v>
      </c>
      <c r="I11" s="22" t="n">
        <v>6248800</v>
      </c>
      <c r="J11" s="22" t="n">
        <v>9142000</v>
      </c>
      <c r="K11" s="22" t="n">
        <v>5710100</v>
      </c>
      <c r="L11" s="22" t="n">
        <v>6012200</v>
      </c>
      <c r="M11" s="22" t="n">
        <v>6718600</v>
      </c>
      <c r="N11" s="22" t="n">
        <v>5135700</v>
      </c>
      <c r="O11" s="22" t="n">
        <v>6944800</v>
      </c>
      <c r="P11" s="22" t="n">
        <v>7730700</v>
      </c>
      <c r="Q11" s="22" t="n">
        <v>9485400</v>
      </c>
      <c r="R11" s="22" t="n">
        <v>16563200</v>
      </c>
      <c r="S11" s="22" t="n">
        <v>5581400</v>
      </c>
      <c r="T11" s="22" t="n">
        <v>8303000</v>
      </c>
      <c r="U11" s="22" t="n">
        <v>6498500</v>
      </c>
      <c r="V11" s="22" t="n">
        <v>4948800</v>
      </c>
      <c r="W11" s="22" t="n">
        <v>5967600</v>
      </c>
      <c r="X11" s="22" t="n">
        <v>7263800</v>
      </c>
      <c r="Y11" s="22" t="n">
        <v>9282600</v>
      </c>
      <c r="Z11" s="22" t="n">
        <v>6347700</v>
      </c>
      <c r="AA11" s="22" t="n">
        <v>8545500</v>
      </c>
      <c r="AB11" s="22" t="n">
        <v>7773700</v>
      </c>
      <c r="AC11" s="22" t="n">
        <v>7433400</v>
      </c>
      <c r="AD11" s="22" t="n">
        <v>4828200</v>
      </c>
      <c r="AE11" s="22" t="n">
        <v>8014100</v>
      </c>
      <c r="AF11" s="22" t="n">
        <v>8014100</v>
      </c>
      <c r="AG11" s="22" t="n">
        <v>10515600</v>
      </c>
      <c r="AH11" s="22" t="n">
        <v>10880800</v>
      </c>
      <c r="AI11" s="22" t="n">
        <v>11361500</v>
      </c>
      <c r="AJ11" s="22" t="n">
        <v>21434400</v>
      </c>
      <c r="AK11" s="22" t="n">
        <v>13579200</v>
      </c>
      <c r="AL11" s="22" t="n">
        <v>20656900</v>
      </c>
      <c r="AM11" s="22" t="n">
        <v>8635400</v>
      </c>
      <c r="AN11" s="22" t="n">
        <v>7058500</v>
      </c>
      <c r="AO11" s="22" t="n">
        <v>8708100</v>
      </c>
      <c r="AP11" s="22" t="n">
        <v>4965000</v>
      </c>
      <c r="AQ11" s="22" t="n">
        <v>7056900</v>
      </c>
      <c r="AR11" s="22" t="n">
        <v>9060800</v>
      </c>
      <c r="AS11" s="22" t="n">
        <v>12938300</v>
      </c>
      <c r="AT11" s="22" t="n">
        <v>10135100</v>
      </c>
      <c r="AU11" s="22" t="n">
        <v>7574000</v>
      </c>
      <c r="AV11" s="22" t="n">
        <v>10911300</v>
      </c>
      <c r="AW11" s="22" t="n">
        <v>5929100</v>
      </c>
      <c r="AX11" s="22" t="n">
        <v>6590700</v>
      </c>
      <c r="AY11" s="22" t="n">
        <v>3732700</v>
      </c>
      <c r="AZ11" s="22" t="n">
        <v>4581600</v>
      </c>
      <c r="BA11" s="22" t="n">
        <v>2372700</v>
      </c>
      <c r="BB11" s="22" t="n">
        <v>2372700</v>
      </c>
      <c r="BC11" s="22" t="n">
        <v>6125500</v>
      </c>
      <c r="BD11" s="22" t="n">
        <v>6125500</v>
      </c>
      <c r="BE11" s="22" t="n">
        <v>5067400</v>
      </c>
      <c r="BF11" s="22" t="n">
        <v>5067400</v>
      </c>
      <c r="BG11" s="22" t="n">
        <v>7176700</v>
      </c>
      <c r="BH11" s="22" t="n">
        <v>7176700</v>
      </c>
      <c r="BI11" s="22" t="n">
        <v>7176700</v>
      </c>
      <c r="BJ11" s="22" t="n">
        <v>7789900</v>
      </c>
      <c r="BK11" s="22" t="n">
        <v>7789900</v>
      </c>
      <c r="BL11" s="22" t="n">
        <v>7789900</v>
      </c>
    </row>
    <row r="12" ht="15.95" customHeight="1" s="574">
      <c r="A12" s="416" t="inlineStr">
        <is>
          <t>1605</t>
        </is>
      </c>
      <c r="B12" s="49" t="inlineStr">
        <is>
          <t>ＩＮＰＥＸ</t>
        </is>
      </c>
      <c r="C12" s="53">
        <f>_xll.RssMarket("1605","出来高")</f>
        <v/>
      </c>
      <c r="D12" s="683">
        <f>C12-E12</f>
        <v/>
      </c>
      <c r="E12" s="213" t="n">
        <v>3710300</v>
      </c>
      <c r="F12" s="22" t="n">
        <v>6833200</v>
      </c>
      <c r="G12" s="22" t="n">
        <v>5375100</v>
      </c>
      <c r="H12" s="22" t="n">
        <v>7587200</v>
      </c>
      <c r="I12" s="22" t="n">
        <v>6864700</v>
      </c>
      <c r="J12" s="22" t="n">
        <v>5425200</v>
      </c>
      <c r="K12" s="22" t="n">
        <v>5556700</v>
      </c>
      <c r="L12" s="22" t="n">
        <v>4697200</v>
      </c>
      <c r="M12" s="22" t="n">
        <v>4637600</v>
      </c>
      <c r="N12" s="22" t="n">
        <v>3111500</v>
      </c>
      <c r="O12" s="22" t="n">
        <v>3446600</v>
      </c>
      <c r="P12" s="22" t="n">
        <v>4739100</v>
      </c>
      <c r="Q12" s="22" t="n">
        <v>7383900</v>
      </c>
      <c r="R12" s="22" t="n">
        <v>12569800</v>
      </c>
      <c r="S12" s="22" t="n">
        <v>6084900</v>
      </c>
      <c r="T12" s="22" t="n">
        <v>4290700</v>
      </c>
      <c r="U12" s="22" t="n">
        <v>6971200</v>
      </c>
      <c r="V12" s="22" t="n">
        <v>4170500</v>
      </c>
      <c r="W12" s="22" t="n">
        <v>5198800</v>
      </c>
      <c r="X12" s="22" t="n">
        <v>6209900</v>
      </c>
      <c r="Y12" s="22" t="n">
        <v>5379500</v>
      </c>
      <c r="Z12" s="22" t="n">
        <v>5790500</v>
      </c>
      <c r="AA12" s="22" t="n">
        <v>6169800</v>
      </c>
      <c r="AB12" s="22" t="n">
        <v>7215000</v>
      </c>
      <c r="AC12" s="22" t="n">
        <v>6330200</v>
      </c>
      <c r="AD12" s="22" t="n">
        <v>4919900</v>
      </c>
      <c r="AE12" s="22" t="n">
        <v>5603100</v>
      </c>
      <c r="AF12" s="22" t="n">
        <v>5603100</v>
      </c>
      <c r="AG12" s="22" t="n">
        <v>7428100</v>
      </c>
      <c r="AH12" s="22" t="n">
        <v>12599300</v>
      </c>
      <c r="AI12" s="22" t="n">
        <v>4706100</v>
      </c>
      <c r="AJ12" s="22" t="n">
        <v>9521700</v>
      </c>
      <c r="AK12" s="22" t="n">
        <v>5972600</v>
      </c>
      <c r="AL12" s="22" t="n">
        <v>7017200</v>
      </c>
      <c r="AM12" s="22" t="n">
        <v>9212900</v>
      </c>
      <c r="AN12" s="22" t="n">
        <v>11234600</v>
      </c>
      <c r="AO12" s="22" t="n">
        <v>7335600</v>
      </c>
      <c r="AP12" s="22" t="n">
        <v>7801500</v>
      </c>
      <c r="AQ12" s="22" t="n">
        <v>9948100</v>
      </c>
      <c r="AR12" s="22" t="n">
        <v>8819000</v>
      </c>
      <c r="AS12" s="22" t="n">
        <v>8358100</v>
      </c>
      <c r="AT12" s="22" t="n">
        <v>11571700</v>
      </c>
      <c r="AU12" s="22" t="n">
        <v>8566200</v>
      </c>
      <c r="AV12" s="22" t="n">
        <v>9931200</v>
      </c>
      <c r="AW12" s="22" t="n">
        <v>8140300</v>
      </c>
      <c r="AX12" s="22" t="n">
        <v>10197400</v>
      </c>
      <c r="AY12" s="22" t="n">
        <v>21684100</v>
      </c>
      <c r="AZ12" s="22" t="n">
        <v>9903500</v>
      </c>
      <c r="BA12" s="22" t="n">
        <v>11644300</v>
      </c>
      <c r="BB12" s="22" t="n">
        <v>12217700</v>
      </c>
      <c r="BC12" s="22" t="n">
        <v>32548200</v>
      </c>
      <c r="BD12" s="22" t="n">
        <v>14486800</v>
      </c>
      <c r="BE12" s="22" t="n">
        <v>20046600</v>
      </c>
      <c r="BF12" s="22" t="n">
        <v>15318800</v>
      </c>
      <c r="BG12" s="22" t="n">
        <v>9407200</v>
      </c>
      <c r="BH12" s="22" t="n">
        <v>12701000</v>
      </c>
      <c r="BI12" s="22" t="n">
        <v>14245400</v>
      </c>
      <c r="BJ12" s="22" t="n">
        <v>16560400</v>
      </c>
      <c r="BK12" s="22" t="n">
        <v>15309600</v>
      </c>
      <c r="BL12" s="22" t="n">
        <v>11280100</v>
      </c>
    </row>
    <row r="13" ht="15.95" customHeight="1" s="574">
      <c r="A13" s="416" t="inlineStr">
        <is>
          <t>5703</t>
        </is>
      </c>
      <c r="B13" s="49" t="inlineStr">
        <is>
          <t>日本軽金属ＨＤ</t>
        </is>
      </c>
      <c r="C13" s="53">
        <f>_xll.RssMarket("5703","出来高")</f>
        <v/>
      </c>
      <c r="D13" s="683">
        <f>C13-E13</f>
        <v/>
      </c>
      <c r="E13" s="213" t="n">
        <v>189600</v>
      </c>
      <c r="F13" s="22" t="n">
        <v>297500</v>
      </c>
      <c r="G13" s="22" t="n">
        <v>386400</v>
      </c>
      <c r="H13" s="22" t="n">
        <v>315700</v>
      </c>
      <c r="I13" s="22" t="n">
        <v>263200</v>
      </c>
      <c r="J13" s="22" t="n">
        <v>286000</v>
      </c>
      <c r="K13" s="22" t="n">
        <v>406300</v>
      </c>
      <c r="L13" s="22" t="n">
        <v>273400</v>
      </c>
      <c r="M13" s="22" t="n">
        <v>309300</v>
      </c>
      <c r="N13" s="22" t="n">
        <v>319100</v>
      </c>
      <c r="O13" s="22" t="n">
        <v>226700</v>
      </c>
      <c r="P13" s="22" t="n">
        <v>269500</v>
      </c>
      <c r="Q13" s="22" t="n">
        <v>278200</v>
      </c>
      <c r="R13" s="22" t="n">
        <v>372100</v>
      </c>
      <c r="S13" s="22" t="n">
        <v>352000</v>
      </c>
      <c r="T13" s="22" t="n">
        <v>279800</v>
      </c>
      <c r="U13" s="22" t="n">
        <v>388000</v>
      </c>
      <c r="V13" s="22" t="n">
        <v>243300</v>
      </c>
      <c r="W13" s="22" t="n">
        <v>342400</v>
      </c>
      <c r="X13" s="22" t="n">
        <v>301100</v>
      </c>
      <c r="Y13" s="22" t="n">
        <v>366100</v>
      </c>
      <c r="Z13" s="22" t="n">
        <v>476200</v>
      </c>
      <c r="AA13" s="22" t="n">
        <v>824000</v>
      </c>
      <c r="AB13" s="22" t="n">
        <v>551900</v>
      </c>
      <c r="AC13" s="22" t="n">
        <v>310800</v>
      </c>
      <c r="AD13" s="22" t="n">
        <v>235900</v>
      </c>
      <c r="AE13" s="22" t="n">
        <v>269300</v>
      </c>
      <c r="AF13" s="22" t="n">
        <v>269300</v>
      </c>
      <c r="AG13" s="22" t="n">
        <v>327600</v>
      </c>
      <c r="AH13" s="22" t="n">
        <v>352700</v>
      </c>
      <c r="AI13" s="22" t="n">
        <v>279100</v>
      </c>
      <c r="AJ13" s="22" t="n">
        <v>210900</v>
      </c>
      <c r="AK13" s="22" t="n">
        <v>167000</v>
      </c>
      <c r="AL13" s="22" t="n">
        <v>197500</v>
      </c>
      <c r="AM13" s="22" t="n">
        <v>162700</v>
      </c>
      <c r="AN13" s="22" t="n">
        <v>232800</v>
      </c>
      <c r="AO13" s="22" t="n">
        <v>151800</v>
      </c>
      <c r="AP13" s="22" t="n">
        <v>178300</v>
      </c>
      <c r="AQ13" s="22" t="n">
        <v>158200</v>
      </c>
      <c r="AR13" s="22" t="n">
        <v>180700</v>
      </c>
      <c r="AS13" s="22" t="n">
        <v>144800</v>
      </c>
      <c r="AT13" s="22" t="n">
        <v>194200</v>
      </c>
      <c r="AU13" s="22" t="n">
        <v>190900</v>
      </c>
      <c r="AV13" s="22" t="n">
        <v>172700</v>
      </c>
      <c r="AW13" s="22" t="n">
        <v>229600</v>
      </c>
      <c r="AX13" s="22" t="n">
        <v>252400</v>
      </c>
      <c r="AY13" s="22" t="n">
        <v>407100</v>
      </c>
      <c r="AZ13" s="22" t="n">
        <v>133100</v>
      </c>
      <c r="BA13" s="22" t="n">
        <v>144600</v>
      </c>
      <c r="BB13" s="22" t="n">
        <v>247300</v>
      </c>
      <c r="BC13" s="22" t="n">
        <v>284000</v>
      </c>
      <c r="BD13" s="22" t="n">
        <v>360700</v>
      </c>
      <c r="BE13" s="22" t="n">
        <v>259700</v>
      </c>
      <c r="BF13" s="22" t="n">
        <v>351300</v>
      </c>
      <c r="BG13" s="22" t="n">
        <v>186500</v>
      </c>
      <c r="BH13" s="22" t="n">
        <v>255500</v>
      </c>
      <c r="BI13" s="22" t="n">
        <v>255600</v>
      </c>
      <c r="BJ13" s="22" t="n">
        <v>462200</v>
      </c>
      <c r="BK13" s="22" t="n">
        <v>523200</v>
      </c>
      <c r="BL13" s="22" t="n">
        <v>220200</v>
      </c>
    </row>
    <row r="14" ht="15.95" customHeight="1" s="574">
      <c r="A14" s="416" t="inlineStr">
        <is>
          <t>8002</t>
        </is>
      </c>
      <c r="B14" s="49" t="inlineStr">
        <is>
          <t>丸紅</t>
        </is>
      </c>
      <c r="C14" s="53">
        <f>_xll.RssMarket("8002","出来高")</f>
        <v/>
      </c>
      <c r="D14" s="683">
        <f>C14-E14</f>
        <v/>
      </c>
      <c r="E14" s="213" t="n">
        <v>2346800</v>
      </c>
      <c r="F14" s="22" t="n">
        <v>4858000</v>
      </c>
      <c r="G14" s="22" t="n">
        <v>3362100</v>
      </c>
      <c r="H14" s="22" t="n">
        <v>3994600</v>
      </c>
      <c r="I14" s="22" t="n">
        <v>3653000</v>
      </c>
      <c r="J14" s="22" t="n">
        <v>5513700</v>
      </c>
      <c r="K14" s="22" t="n">
        <v>3907200</v>
      </c>
      <c r="L14" s="22" t="n">
        <v>4912100</v>
      </c>
      <c r="M14" s="22" t="n">
        <v>4973100</v>
      </c>
      <c r="N14" s="22" t="n">
        <v>3343800</v>
      </c>
      <c r="O14" s="22" t="n">
        <v>3271700</v>
      </c>
      <c r="P14" s="22" t="n">
        <v>4772000</v>
      </c>
      <c r="Q14" s="22" t="n">
        <v>5020200</v>
      </c>
      <c r="R14" s="22" t="n">
        <v>10715100</v>
      </c>
      <c r="S14" s="22" t="n">
        <v>4813500</v>
      </c>
      <c r="T14" s="22" t="n">
        <v>4638300</v>
      </c>
      <c r="U14" s="22" t="n">
        <v>3987700</v>
      </c>
      <c r="V14" s="22" t="n">
        <v>4239600</v>
      </c>
      <c r="W14" s="22" t="n">
        <v>4102500</v>
      </c>
      <c r="X14" s="22" t="n">
        <v>5603600</v>
      </c>
      <c r="Y14" s="22" t="n">
        <v>4049800</v>
      </c>
      <c r="Z14" s="22" t="n">
        <v>3827200</v>
      </c>
      <c r="AA14" s="22" t="n">
        <v>5929200</v>
      </c>
      <c r="AB14" s="22" t="n">
        <v>5671100</v>
      </c>
      <c r="AC14" s="22" t="n">
        <v>4925800</v>
      </c>
      <c r="AD14" s="22" t="n">
        <v>5564100</v>
      </c>
      <c r="AE14" s="22" t="n">
        <v>5517900</v>
      </c>
      <c r="AF14" s="22" t="n">
        <v>5517900</v>
      </c>
      <c r="AG14" s="22" t="n">
        <v>8414100</v>
      </c>
      <c r="AH14" s="22" t="n">
        <v>19526800</v>
      </c>
      <c r="AI14" s="22" t="n">
        <v>15975800</v>
      </c>
      <c r="AJ14" s="22" t="n">
        <v>4607700</v>
      </c>
      <c r="AK14" s="22" t="n">
        <v>3970900</v>
      </c>
      <c r="AL14" s="22" t="n">
        <v>3064200</v>
      </c>
      <c r="AM14" s="22" t="n">
        <v>2982300</v>
      </c>
      <c r="AN14" s="22" t="n">
        <v>3732700</v>
      </c>
      <c r="AO14" s="22" t="n">
        <v>3702700</v>
      </c>
      <c r="AP14" s="22" t="n">
        <v>2998900</v>
      </c>
      <c r="AQ14" s="22" t="n">
        <v>2787800</v>
      </c>
      <c r="AR14" s="22" t="n">
        <v>4098700</v>
      </c>
      <c r="AS14" s="22" t="n">
        <v>4164500</v>
      </c>
      <c r="AT14" s="22" t="n">
        <v>4862900</v>
      </c>
      <c r="AU14" s="22" t="n">
        <v>3869300</v>
      </c>
      <c r="AV14" s="22" t="n">
        <v>3193900</v>
      </c>
      <c r="AW14" s="22" t="n">
        <v>4566600</v>
      </c>
      <c r="AX14" s="22" t="n">
        <v>4044000</v>
      </c>
      <c r="AY14" s="22" t="n">
        <v>5573700</v>
      </c>
      <c r="AZ14" s="22" t="n">
        <v>2706800</v>
      </c>
      <c r="BA14" s="22" t="n">
        <v>2784700</v>
      </c>
      <c r="BB14" s="22" t="n">
        <v>2567900</v>
      </c>
      <c r="BC14" s="22" t="n">
        <v>4371700</v>
      </c>
      <c r="BD14" s="22" t="n">
        <v>5167500</v>
      </c>
      <c r="BE14" s="22" t="n">
        <v>6126300</v>
      </c>
      <c r="BF14" s="22" t="n">
        <v>5728600</v>
      </c>
      <c r="BG14" s="22" t="n">
        <v>3373800</v>
      </c>
      <c r="BH14" s="22" t="n">
        <v>5783700</v>
      </c>
      <c r="BI14" s="22" t="n">
        <v>3374100</v>
      </c>
      <c r="BJ14" s="22" t="n">
        <v>6635000</v>
      </c>
      <c r="BK14" s="22" t="n">
        <v>8699000</v>
      </c>
      <c r="BL14" s="22" t="n">
        <v>4928400</v>
      </c>
    </row>
    <row r="15" ht="15.95" customHeight="1" s="574">
      <c r="A15" s="416" t="inlineStr">
        <is>
          <t>5021</t>
        </is>
      </c>
      <c r="B15" s="49" t="inlineStr">
        <is>
          <t>コスモエネルギーＨＬＤＧＳ</t>
        </is>
      </c>
      <c r="C15" s="53">
        <f>_xll.RssMarket("5021","出来高")</f>
        <v/>
      </c>
      <c r="D15" s="683">
        <f>C15-E15</f>
        <v/>
      </c>
      <c r="E15" s="213" t="n">
        <v>611700</v>
      </c>
      <c r="F15" s="22" t="n">
        <v>1282800</v>
      </c>
      <c r="G15" s="22" t="n">
        <v>809800</v>
      </c>
      <c r="H15" s="22" t="n">
        <v>524700</v>
      </c>
      <c r="I15" s="22" t="n">
        <v>752800</v>
      </c>
      <c r="J15" s="22" t="n">
        <v>1040300</v>
      </c>
      <c r="K15" s="22" t="n">
        <v>537500</v>
      </c>
      <c r="L15" s="22" t="n">
        <v>684000</v>
      </c>
      <c r="M15" s="22" t="n">
        <v>523400</v>
      </c>
      <c r="N15" s="22" t="n">
        <v>486500</v>
      </c>
      <c r="O15" s="22" t="n">
        <v>728600</v>
      </c>
      <c r="P15" s="22" t="n">
        <v>727800</v>
      </c>
      <c r="Q15" s="22" t="n">
        <v>666600</v>
      </c>
      <c r="R15" s="22" t="n">
        <v>1097100</v>
      </c>
      <c r="S15" s="22" t="n">
        <v>555800</v>
      </c>
      <c r="T15" s="22" t="n">
        <v>490100</v>
      </c>
      <c r="U15" s="22" t="n">
        <v>522000</v>
      </c>
      <c r="V15" s="22" t="n">
        <v>473200</v>
      </c>
      <c r="W15" s="22" t="n">
        <v>412100</v>
      </c>
      <c r="X15" s="22" t="n">
        <v>543000</v>
      </c>
      <c r="Y15" s="22" t="n">
        <v>547900</v>
      </c>
      <c r="Z15" s="22" t="n">
        <v>757400</v>
      </c>
      <c r="AA15" s="22" t="n">
        <v>655100</v>
      </c>
      <c r="AB15" s="22" t="n">
        <v>939500</v>
      </c>
      <c r="AC15" s="22" t="n">
        <v>1405500</v>
      </c>
      <c r="AD15" s="22" t="n">
        <v>682300</v>
      </c>
      <c r="AE15" s="22" t="n">
        <v>751700</v>
      </c>
      <c r="AF15" s="22" t="n">
        <v>751700</v>
      </c>
      <c r="AG15" s="22" t="n">
        <v>813100</v>
      </c>
      <c r="AH15" s="22" t="n">
        <v>1077300</v>
      </c>
      <c r="AI15" s="22" t="n">
        <v>445500</v>
      </c>
      <c r="AJ15" s="22" t="n">
        <v>841200</v>
      </c>
      <c r="AK15" s="22" t="n">
        <v>720800</v>
      </c>
      <c r="AL15" s="22" t="n">
        <v>646500</v>
      </c>
      <c r="AM15" s="22" t="n">
        <v>693900</v>
      </c>
      <c r="AN15" s="22" t="n">
        <v>1073800</v>
      </c>
      <c r="AO15" s="22" t="n">
        <v>691100</v>
      </c>
      <c r="AP15" s="22" t="n">
        <v>462300</v>
      </c>
      <c r="AQ15" s="22" t="n">
        <v>489800</v>
      </c>
      <c r="AR15" s="22" t="n">
        <v>446400</v>
      </c>
      <c r="AS15" s="22" t="n">
        <v>457900</v>
      </c>
      <c r="AT15" s="22" t="n">
        <v>427700</v>
      </c>
      <c r="AU15" s="22" t="n">
        <v>488500</v>
      </c>
      <c r="AV15" s="22" t="n">
        <v>445500</v>
      </c>
      <c r="AW15" s="22" t="n">
        <v>548300</v>
      </c>
      <c r="AX15" s="22" t="n">
        <v>600100</v>
      </c>
      <c r="AY15" s="22" t="n">
        <v>730300</v>
      </c>
      <c r="AZ15" s="22" t="n">
        <v>575700</v>
      </c>
      <c r="BA15" s="22" t="n">
        <v>305700</v>
      </c>
      <c r="BB15" s="22" t="n">
        <v>318900</v>
      </c>
      <c r="BC15" s="22" t="n">
        <v>575000</v>
      </c>
      <c r="BD15" s="22" t="n">
        <v>574700</v>
      </c>
      <c r="BE15" s="22" t="n">
        <v>912100</v>
      </c>
      <c r="BF15" s="22" t="n">
        <v>775900</v>
      </c>
      <c r="BG15" s="22" t="n">
        <v>476100</v>
      </c>
      <c r="BH15" s="22" t="n">
        <v>620200</v>
      </c>
      <c r="BI15" s="22" t="n">
        <v>894800</v>
      </c>
      <c r="BJ15" s="22" t="n">
        <v>954200</v>
      </c>
      <c r="BK15" s="22" t="n">
        <v>3270300</v>
      </c>
      <c r="BL15" s="22" t="n">
        <v>763800</v>
      </c>
    </row>
    <row r="16" ht="15.95" customHeight="1" s="574">
      <c r="A16" s="416" t="inlineStr">
        <is>
          <t>8058</t>
        </is>
      </c>
      <c r="B16" s="49" t="inlineStr">
        <is>
          <t>三菱商事</t>
        </is>
      </c>
      <c r="C16" s="53">
        <f>_xll.RssMarket("8058","出来高")</f>
        <v/>
      </c>
      <c r="D16" s="683">
        <f>C16-E16</f>
        <v/>
      </c>
      <c r="E16" s="213" t="n">
        <v>6645200</v>
      </c>
      <c r="F16" s="22" t="n">
        <v>18848500</v>
      </c>
      <c r="G16" s="22" t="n">
        <v>7457000</v>
      </c>
      <c r="H16" s="22" t="n">
        <v>7426100</v>
      </c>
      <c r="I16" s="22" t="n">
        <v>7796200</v>
      </c>
      <c r="J16" s="22" t="n">
        <v>11085600</v>
      </c>
      <c r="K16" s="22" t="n">
        <v>6907100</v>
      </c>
      <c r="L16" s="22" t="n">
        <v>10613300</v>
      </c>
      <c r="M16" s="22" t="n">
        <v>9103700</v>
      </c>
      <c r="N16" s="22" t="n">
        <v>6647000</v>
      </c>
      <c r="O16" s="22" t="n">
        <v>6381700</v>
      </c>
      <c r="P16" s="22" t="n">
        <v>6640600</v>
      </c>
      <c r="Q16" s="22" t="n">
        <v>10546100</v>
      </c>
      <c r="R16" s="22" t="n">
        <v>23956500</v>
      </c>
      <c r="S16" s="22" t="n">
        <v>40475700</v>
      </c>
      <c r="T16" s="22" t="n">
        <v>10092200</v>
      </c>
      <c r="U16" s="22" t="n">
        <v>8281500</v>
      </c>
      <c r="V16" s="22" t="n">
        <v>7695500</v>
      </c>
      <c r="W16" s="22" t="n">
        <v>7353700</v>
      </c>
      <c r="X16" s="22" t="n">
        <v>7464700</v>
      </c>
      <c r="Y16" s="22" t="n">
        <v>7798600</v>
      </c>
      <c r="Z16" s="22" t="n">
        <v>8787900</v>
      </c>
      <c r="AA16" s="22" t="n">
        <v>9795100</v>
      </c>
      <c r="AB16" s="22" t="n">
        <v>9361000</v>
      </c>
      <c r="AC16" s="22" t="n">
        <v>16943100</v>
      </c>
      <c r="AD16" s="22" t="n">
        <v>12392700</v>
      </c>
      <c r="AE16" s="22" t="n">
        <v>9987800</v>
      </c>
      <c r="AF16" s="22" t="n">
        <v>9987800</v>
      </c>
      <c r="AG16" s="22" t="n">
        <v>13304600</v>
      </c>
      <c r="AH16" s="22" t="n">
        <v>22555700</v>
      </c>
      <c r="AI16" s="22" t="n">
        <v>46978900</v>
      </c>
      <c r="AJ16" s="22" t="n">
        <v>16646400</v>
      </c>
      <c r="AK16" s="22" t="n">
        <v>8775500</v>
      </c>
      <c r="AL16" s="22" t="n">
        <v>10204500</v>
      </c>
      <c r="AM16" s="22" t="n">
        <v>10913900</v>
      </c>
      <c r="AN16" s="22" t="n">
        <v>10952800</v>
      </c>
      <c r="AO16" s="22" t="n">
        <v>9339900</v>
      </c>
      <c r="AP16" s="22" t="n">
        <v>7277300</v>
      </c>
      <c r="AQ16" s="22" t="n">
        <v>8032000</v>
      </c>
      <c r="AR16" s="22" t="n">
        <v>8716300</v>
      </c>
      <c r="AS16" s="22" t="n">
        <v>9443600</v>
      </c>
      <c r="AT16" s="22" t="n">
        <v>13794100</v>
      </c>
      <c r="AU16" s="22" t="n">
        <v>8428000</v>
      </c>
      <c r="AV16" s="22" t="n">
        <v>9023000</v>
      </c>
      <c r="AW16" s="22" t="n">
        <v>9609500</v>
      </c>
      <c r="AX16" s="22" t="n">
        <v>11738000</v>
      </c>
      <c r="AY16" s="22" t="n">
        <v>13753500</v>
      </c>
      <c r="AZ16" s="22" t="n">
        <v>6565800</v>
      </c>
      <c r="BA16" s="22" t="n">
        <v>7612300</v>
      </c>
      <c r="BB16" s="22" t="n">
        <v>6060700</v>
      </c>
      <c r="BC16" s="22" t="n">
        <v>10726400</v>
      </c>
      <c r="BD16" s="22" t="n">
        <v>11116700</v>
      </c>
      <c r="BE16" s="22" t="n">
        <v>17194400</v>
      </c>
      <c r="BF16" s="22" t="n">
        <v>15552800</v>
      </c>
      <c r="BG16" s="22" t="n">
        <v>8646300</v>
      </c>
      <c r="BH16" s="22" t="n">
        <v>9763900</v>
      </c>
      <c r="BI16" s="22" t="n">
        <v>10786800</v>
      </c>
      <c r="BJ16" s="22" t="n">
        <v>14219400</v>
      </c>
      <c r="BK16" s="22" t="n">
        <v>22540600</v>
      </c>
      <c r="BL16" s="22" t="n">
        <v>16209400</v>
      </c>
    </row>
    <row r="17" ht="15.95" customHeight="1" s="574">
      <c r="A17" s="416" t="inlineStr">
        <is>
          <t>5333</t>
        </is>
      </c>
      <c r="B17" s="49" t="inlineStr">
        <is>
          <t>ＮＧＫ</t>
        </is>
      </c>
      <c r="C17" s="53">
        <f>_xll.RssMarket("5333","出来高")</f>
        <v/>
      </c>
      <c r="D17" s="683">
        <f>C17-E17</f>
        <v/>
      </c>
      <c r="E17" s="213" t="n">
        <v>1737600</v>
      </c>
      <c r="F17" s="22" t="n">
        <v>3532200</v>
      </c>
      <c r="G17" s="22" t="n">
        <v>2138400</v>
      </c>
      <c r="H17" s="22" t="n">
        <v>1474400</v>
      </c>
      <c r="I17" s="22" t="n">
        <v>1678900</v>
      </c>
      <c r="J17" s="22" t="n">
        <v>1789800</v>
      </c>
      <c r="K17" s="22" t="n">
        <v>1795000</v>
      </c>
      <c r="L17" s="22" t="n">
        <v>1838700</v>
      </c>
      <c r="M17" s="22" t="n">
        <v>2589900</v>
      </c>
      <c r="N17" s="22" t="n">
        <v>2408700</v>
      </c>
      <c r="O17" s="22" t="n">
        <v>1489200</v>
      </c>
      <c r="P17" s="22" t="n">
        <v>1646400</v>
      </c>
      <c r="Q17" s="22" t="n">
        <v>2521200</v>
      </c>
      <c r="R17" s="22" t="n">
        <v>2446600</v>
      </c>
      <c r="S17" s="22" t="n">
        <v>1858200</v>
      </c>
      <c r="T17" s="22" t="n">
        <v>1770600</v>
      </c>
      <c r="U17" s="22" t="n">
        <v>1356400</v>
      </c>
      <c r="V17" s="22" t="n">
        <v>1421600</v>
      </c>
      <c r="W17" s="22" t="n">
        <v>1334400</v>
      </c>
      <c r="X17" s="22" t="n">
        <v>1787300</v>
      </c>
      <c r="Y17" s="22" t="n">
        <v>1654500</v>
      </c>
      <c r="Z17" s="22" t="n">
        <v>1248600</v>
      </c>
      <c r="AA17" s="22" t="n">
        <v>2140600</v>
      </c>
      <c r="AB17" s="22" t="n">
        <v>1649100</v>
      </c>
      <c r="AC17" s="22" t="n">
        <v>1776800</v>
      </c>
      <c r="AD17" s="22" t="n">
        <v>1621100</v>
      </c>
      <c r="AE17" s="22" t="n">
        <v>1998100</v>
      </c>
      <c r="AF17" s="22" t="n">
        <v>1998100</v>
      </c>
      <c r="AG17" s="22" t="n">
        <v>2118200</v>
      </c>
      <c r="AH17" s="22" t="n">
        <v>2855100</v>
      </c>
      <c r="AI17" s="22" t="n">
        <v>2150700</v>
      </c>
      <c r="AJ17" s="22" t="n">
        <v>4866100</v>
      </c>
      <c r="AK17" s="22" t="n">
        <v>1203200</v>
      </c>
      <c r="AL17" s="22" t="n">
        <v>1435800</v>
      </c>
      <c r="AM17" s="22" t="n">
        <v>885800</v>
      </c>
      <c r="AN17" s="22" t="n">
        <v>1318400</v>
      </c>
      <c r="AO17" s="22" t="n">
        <v>714900</v>
      </c>
      <c r="AP17" s="22" t="n">
        <v>723700</v>
      </c>
      <c r="AQ17" s="22" t="n">
        <v>716500</v>
      </c>
      <c r="AR17" s="22" t="n">
        <v>739000</v>
      </c>
      <c r="AS17" s="22" t="n">
        <v>1166900</v>
      </c>
      <c r="AT17" s="22" t="n">
        <v>1087600</v>
      </c>
      <c r="AU17" s="22" t="n">
        <v>652200</v>
      </c>
      <c r="AV17" s="22" t="n">
        <v>815200</v>
      </c>
      <c r="AW17" s="22" t="n">
        <v>1151700</v>
      </c>
      <c r="AX17" s="22" t="n">
        <v>1154600</v>
      </c>
      <c r="AY17" s="22" t="n">
        <v>1409100</v>
      </c>
      <c r="AZ17" s="22" t="n">
        <v>555300</v>
      </c>
      <c r="BA17" s="22" t="n">
        <v>793000</v>
      </c>
      <c r="BB17" s="22" t="n">
        <v>631600</v>
      </c>
      <c r="BC17" s="22" t="n">
        <v>1139700</v>
      </c>
      <c r="BD17" s="22" t="n">
        <v>925000</v>
      </c>
      <c r="BE17" s="22" t="n">
        <v>1225300</v>
      </c>
      <c r="BF17" s="22" t="n">
        <v>1258100</v>
      </c>
      <c r="BG17" s="22" t="n">
        <v>1035500</v>
      </c>
      <c r="BH17" s="22" t="n">
        <v>1154300</v>
      </c>
      <c r="BI17" s="22" t="n">
        <v>747100</v>
      </c>
      <c r="BJ17" s="22" t="n">
        <v>1122300</v>
      </c>
      <c r="BK17" s="22" t="n">
        <v>2004000</v>
      </c>
      <c r="BL17" s="22" t="n">
        <v>706300</v>
      </c>
    </row>
    <row r="18" ht="15.95" customHeight="1" s="574">
      <c r="A18" s="416" t="inlineStr">
        <is>
          <t>1662</t>
        </is>
      </c>
      <c r="B18" s="49" t="inlineStr">
        <is>
          <t>石油資源開発</t>
        </is>
      </c>
      <c r="C18" s="53">
        <f>_xll.RssMarket("1662","出来高")</f>
        <v/>
      </c>
      <c r="D18" s="683">
        <f>C18-E18</f>
        <v/>
      </c>
      <c r="E18" s="213" t="n">
        <v>905000</v>
      </c>
      <c r="F18" s="22" t="n">
        <v>1705400</v>
      </c>
      <c r="G18" s="22" t="n">
        <v>1400300</v>
      </c>
      <c r="H18" s="22" t="n">
        <v>1154600</v>
      </c>
      <c r="I18" s="22" t="n">
        <v>1305200</v>
      </c>
      <c r="J18" s="22" t="n">
        <v>1517300</v>
      </c>
      <c r="K18" s="22" t="n">
        <v>1719700</v>
      </c>
      <c r="L18" s="22" t="n">
        <v>1743500</v>
      </c>
      <c r="M18" s="22" t="n">
        <v>1707000</v>
      </c>
      <c r="N18" s="22" t="n">
        <v>1577700</v>
      </c>
      <c r="O18" s="22" t="n">
        <v>1874500</v>
      </c>
      <c r="P18" s="22" t="n">
        <v>2445000</v>
      </c>
      <c r="Q18" s="22" t="n">
        <v>1812600</v>
      </c>
      <c r="R18" s="22" t="n">
        <v>1828000</v>
      </c>
      <c r="S18" s="22" t="n">
        <v>2101700</v>
      </c>
      <c r="T18" s="22" t="n">
        <v>1838300</v>
      </c>
      <c r="U18" s="22" t="n">
        <v>1692100</v>
      </c>
      <c r="V18" s="22" t="n">
        <v>1483500</v>
      </c>
      <c r="W18" s="22" t="n">
        <v>2359600</v>
      </c>
      <c r="X18" s="22" t="n">
        <v>2506600</v>
      </c>
      <c r="Y18" s="22" t="n">
        <v>1282700</v>
      </c>
      <c r="Z18" s="22" t="n">
        <v>1948000</v>
      </c>
      <c r="AA18" s="22" t="n">
        <v>2191500</v>
      </c>
      <c r="AB18" s="22" t="n">
        <v>2657500</v>
      </c>
      <c r="AC18" s="22" t="n">
        <v>5240000</v>
      </c>
      <c r="AD18" s="22" t="n">
        <v>1668200</v>
      </c>
      <c r="AE18" s="22" t="n">
        <v>2013700</v>
      </c>
      <c r="AF18" s="22" t="n">
        <v>2013700</v>
      </c>
      <c r="AG18" s="22" t="n">
        <v>1993000</v>
      </c>
      <c r="AH18" s="22" t="n">
        <v>3022900</v>
      </c>
      <c r="AI18" s="22" t="n">
        <v>1114100</v>
      </c>
      <c r="AJ18" s="22" t="n">
        <v>1939100</v>
      </c>
      <c r="AK18" s="22" t="n">
        <v>1682900</v>
      </c>
      <c r="AL18" s="22" t="n">
        <v>1397500</v>
      </c>
      <c r="AM18" s="22" t="n">
        <v>2479600</v>
      </c>
      <c r="AN18" s="22" t="n">
        <v>4870100</v>
      </c>
      <c r="AO18" s="22" t="n">
        <v>3549200</v>
      </c>
      <c r="AP18" s="22" t="n">
        <v>3568200</v>
      </c>
      <c r="AQ18" s="22" t="n">
        <v>5294900</v>
      </c>
      <c r="AR18" s="22" t="n">
        <v>2743800</v>
      </c>
      <c r="AS18" s="22" t="n">
        <v>1638200</v>
      </c>
      <c r="AT18" s="22" t="n">
        <v>1919600</v>
      </c>
      <c r="AU18" s="22" t="n">
        <v>2468500</v>
      </c>
      <c r="AV18" s="22" t="n">
        <v>3066100</v>
      </c>
      <c r="AW18" s="22" t="n">
        <v>2021600</v>
      </c>
      <c r="AX18" s="22" t="n">
        <v>3113500</v>
      </c>
      <c r="AY18" s="22" t="n">
        <v>4181500</v>
      </c>
      <c r="AZ18" s="22" t="n">
        <v>2288600</v>
      </c>
      <c r="BA18" s="22" t="n">
        <v>2679100</v>
      </c>
      <c r="BB18" s="22" t="n">
        <v>2708300</v>
      </c>
      <c r="BC18" s="22" t="n">
        <v>7635900</v>
      </c>
      <c r="BD18" s="22" t="n">
        <v>3890000</v>
      </c>
      <c r="BE18" s="22" t="n">
        <v>4625100</v>
      </c>
      <c r="BF18" s="22" t="n">
        <v>3863000</v>
      </c>
      <c r="BG18" s="22" t="n">
        <v>4237100</v>
      </c>
      <c r="BH18" s="22" t="n">
        <v>3183200</v>
      </c>
      <c r="BI18" s="22" t="n">
        <v>3993700</v>
      </c>
      <c r="BJ18" s="22" t="n">
        <v>5263600</v>
      </c>
      <c r="BK18" s="22" t="n">
        <v>6554300</v>
      </c>
      <c r="BL18" s="22" t="n">
        <v>6067000</v>
      </c>
    </row>
    <row r="19" ht="15.95" customHeight="1" s="574">
      <c r="A19" s="416" t="inlineStr">
        <is>
          <t>8411</t>
        </is>
      </c>
      <c r="B19" s="49" t="inlineStr">
        <is>
          <t>みずほフィナンシャルＧ</t>
        </is>
      </c>
      <c r="C19" s="53">
        <f>_xll.RssMarket("8411","出来高")</f>
        <v/>
      </c>
      <c r="D19" s="683">
        <f>C19-E19</f>
        <v/>
      </c>
      <c r="E19" s="213" t="n">
        <v>6803400</v>
      </c>
      <c r="F19" s="22" t="n">
        <v>14725900</v>
      </c>
      <c r="G19" s="22" t="n">
        <v>11516700</v>
      </c>
      <c r="H19" s="22" t="n">
        <v>12922600</v>
      </c>
      <c r="I19" s="22" t="n">
        <v>9797300</v>
      </c>
      <c r="J19" s="22" t="n">
        <v>13140500</v>
      </c>
      <c r="K19" s="22" t="n">
        <v>11181800</v>
      </c>
      <c r="L19" s="22" t="n">
        <v>12418200</v>
      </c>
      <c r="M19" s="22" t="n">
        <v>9646600</v>
      </c>
      <c r="N19" s="22" t="n">
        <v>10044100</v>
      </c>
      <c r="O19" s="22" t="n">
        <v>11569200</v>
      </c>
      <c r="P19" s="22" t="n">
        <v>12383200</v>
      </c>
      <c r="Q19" s="22" t="n">
        <v>10005100</v>
      </c>
      <c r="R19" s="22" t="n">
        <v>16581900</v>
      </c>
      <c r="S19" s="22" t="n">
        <v>14467400</v>
      </c>
      <c r="T19" s="22" t="n">
        <v>10262300</v>
      </c>
      <c r="U19" s="22" t="n">
        <v>11943500</v>
      </c>
      <c r="V19" s="22" t="n">
        <v>12090500</v>
      </c>
      <c r="W19" s="22" t="n">
        <v>16998300</v>
      </c>
      <c r="X19" s="22" t="n">
        <v>15514300</v>
      </c>
      <c r="Y19" s="22" t="n">
        <v>13730800</v>
      </c>
      <c r="Z19" s="22" t="n">
        <v>21432700</v>
      </c>
      <c r="AA19" s="22" t="n">
        <v>10413100</v>
      </c>
      <c r="AB19" s="22" t="n">
        <v>8531800</v>
      </c>
      <c r="AC19" s="22" t="n">
        <v>7008000</v>
      </c>
      <c r="AD19" s="22" t="n">
        <v>8952100</v>
      </c>
      <c r="AE19" s="22" t="n">
        <v>9143400</v>
      </c>
      <c r="AF19" s="22" t="n">
        <v>9143400</v>
      </c>
      <c r="AG19" s="22" t="n">
        <v>10189400</v>
      </c>
      <c r="AH19" s="22" t="n">
        <v>11688900</v>
      </c>
      <c r="AI19" s="22" t="n">
        <v>7112700</v>
      </c>
      <c r="AJ19" s="22" t="n">
        <v>10641200</v>
      </c>
      <c r="AK19" s="22" t="n">
        <v>13923800</v>
      </c>
      <c r="AL19" s="22" t="n">
        <v>9071000</v>
      </c>
      <c r="AM19" s="22" t="n">
        <v>6579700</v>
      </c>
      <c r="AN19" s="22" t="n">
        <v>7429300</v>
      </c>
      <c r="AO19" s="22" t="n">
        <v>7751100</v>
      </c>
      <c r="AP19" s="22" t="n">
        <v>7503700</v>
      </c>
      <c r="AQ19" s="22" t="n">
        <v>6356700</v>
      </c>
      <c r="AR19" s="22" t="n">
        <v>9186000</v>
      </c>
      <c r="AS19" s="22" t="n">
        <v>9620500</v>
      </c>
      <c r="AT19" s="22" t="n">
        <v>10748300</v>
      </c>
      <c r="AU19" s="22" t="n">
        <v>7541600</v>
      </c>
      <c r="AV19" s="22" t="n">
        <v>6715800</v>
      </c>
      <c r="AW19" s="22" t="n">
        <v>6848600</v>
      </c>
      <c r="AX19" s="22" t="n">
        <v>9676300</v>
      </c>
      <c r="AY19" s="22" t="n">
        <v>14670500</v>
      </c>
      <c r="AZ19" s="22" t="n">
        <v>5294000</v>
      </c>
      <c r="BA19" s="22" t="n">
        <v>5167300</v>
      </c>
      <c r="BB19" s="22" t="n">
        <v>4409300</v>
      </c>
      <c r="BC19" s="22" t="n">
        <v>9146400</v>
      </c>
      <c r="BD19" s="22" t="n">
        <v>12619800</v>
      </c>
      <c r="BE19" s="22" t="n">
        <v>9532400</v>
      </c>
      <c r="BF19" s="22" t="n">
        <v>9881900</v>
      </c>
      <c r="BG19" s="22" t="n">
        <v>6873400</v>
      </c>
      <c r="BH19" s="22" t="n">
        <v>10547400</v>
      </c>
      <c r="BI19" s="22" t="n">
        <v>7093000</v>
      </c>
      <c r="BJ19" s="22" t="n">
        <v>9534100</v>
      </c>
      <c r="BK19" s="22" t="n">
        <v>10440600</v>
      </c>
      <c r="BL19" s="22" t="n">
        <v>7695600</v>
      </c>
    </row>
    <row r="20" ht="15.95" customHeight="1" s="574">
      <c r="A20" s="416" t="inlineStr">
        <is>
          <t>5541</t>
        </is>
      </c>
      <c r="B20" s="49" t="inlineStr">
        <is>
          <t>大平洋金属</t>
        </is>
      </c>
      <c r="C20" s="53">
        <f>_xll.RssMarket("5541","出来高")</f>
        <v/>
      </c>
      <c r="D20" s="683">
        <f>C20-E20</f>
        <v/>
      </c>
      <c r="E20" s="213" t="n">
        <v>149000</v>
      </c>
      <c r="F20" s="22" t="n">
        <v>141800</v>
      </c>
      <c r="G20" s="22" t="n">
        <v>186000</v>
      </c>
      <c r="H20" s="22" t="n">
        <v>138100</v>
      </c>
      <c r="I20" s="22" t="n">
        <v>248700</v>
      </c>
      <c r="J20" s="22" t="n">
        <v>308200</v>
      </c>
      <c r="K20" s="22" t="n">
        <v>285100</v>
      </c>
      <c r="L20" s="22" t="n">
        <v>280500</v>
      </c>
      <c r="M20" s="22" t="n">
        <v>427600</v>
      </c>
      <c r="N20" s="22" t="n">
        <v>326000</v>
      </c>
      <c r="O20" s="22" t="n">
        <v>194800</v>
      </c>
      <c r="P20" s="22" t="n">
        <v>323900</v>
      </c>
      <c r="Q20" s="22" t="n">
        <v>245700</v>
      </c>
      <c r="R20" s="22" t="n">
        <v>241600</v>
      </c>
      <c r="S20" s="22" t="n">
        <v>296900</v>
      </c>
      <c r="T20" s="22" t="n">
        <v>298400</v>
      </c>
      <c r="U20" s="22" t="n">
        <v>406700</v>
      </c>
      <c r="V20" s="22" t="n">
        <v>463600</v>
      </c>
      <c r="W20" s="22" t="n">
        <v>367100</v>
      </c>
      <c r="X20" s="22" t="n">
        <v>453400</v>
      </c>
      <c r="Y20" s="22" t="n">
        <v>551500</v>
      </c>
      <c r="Z20" s="22" t="n">
        <v>485100</v>
      </c>
      <c r="AA20" s="22" t="n">
        <v>369300</v>
      </c>
      <c r="AB20" s="22" t="n">
        <v>485300</v>
      </c>
      <c r="AC20" s="22" t="n">
        <v>677400</v>
      </c>
      <c r="AD20" s="22" t="n">
        <v>719600</v>
      </c>
      <c r="AE20" s="22" t="n">
        <v>292300</v>
      </c>
      <c r="AF20" s="22" t="n">
        <v>292300</v>
      </c>
      <c r="AG20" s="22" t="n">
        <v>252100</v>
      </c>
      <c r="AH20" s="22" t="n">
        <v>427200</v>
      </c>
      <c r="AI20" s="22" t="n">
        <v>451300</v>
      </c>
      <c r="AJ20" s="22" t="n">
        <v>603100</v>
      </c>
      <c r="AK20" s="22" t="n">
        <v>692900</v>
      </c>
      <c r="AL20" s="22" t="n">
        <v>424300</v>
      </c>
      <c r="AM20" s="22" t="n">
        <v>242800</v>
      </c>
      <c r="AN20" s="22" t="n">
        <v>364900</v>
      </c>
      <c r="AO20" s="22" t="n">
        <v>281400</v>
      </c>
      <c r="AP20" s="22" t="n">
        <v>266800</v>
      </c>
      <c r="AQ20" s="22" t="n">
        <v>431200</v>
      </c>
      <c r="AR20" s="22" t="n">
        <v>538200</v>
      </c>
      <c r="AS20" s="22" t="n">
        <v>331600</v>
      </c>
      <c r="AT20" s="22" t="n">
        <v>383000</v>
      </c>
      <c r="AU20" s="22" t="n">
        <v>402700</v>
      </c>
      <c r="AV20" s="22" t="n">
        <v>341500</v>
      </c>
      <c r="AW20" s="22" t="n">
        <v>427400</v>
      </c>
      <c r="AX20" s="22" t="n">
        <v>313200</v>
      </c>
      <c r="AY20" s="22" t="n">
        <v>418100</v>
      </c>
      <c r="AZ20" s="22" t="n">
        <v>223400</v>
      </c>
      <c r="BA20" s="22" t="n">
        <v>380100</v>
      </c>
      <c r="BB20" s="22" t="n">
        <v>274000</v>
      </c>
      <c r="BC20" s="22" t="n">
        <v>445500</v>
      </c>
      <c r="BD20" s="22" t="n">
        <v>269900</v>
      </c>
      <c r="BE20" s="22" t="n">
        <v>424600</v>
      </c>
      <c r="BF20" s="22" t="n">
        <v>571300</v>
      </c>
      <c r="BG20" s="22" t="n">
        <v>353600</v>
      </c>
      <c r="BH20" s="22" t="n">
        <v>555600</v>
      </c>
      <c r="BI20" s="22" t="n">
        <v>481100</v>
      </c>
      <c r="BJ20" s="22" t="n">
        <v>7951</v>
      </c>
      <c r="BK20" s="22" t="n">
        <v>198600</v>
      </c>
      <c r="BL20" s="22" t="n">
        <v>228900</v>
      </c>
    </row>
    <row r="21" ht="15.95" customHeight="1" s="574">
      <c r="A21" s="416" t="inlineStr">
        <is>
          <t>5332</t>
        </is>
      </c>
      <c r="B21" s="49" t="inlineStr">
        <is>
          <t>ＴＯＴＯ</t>
        </is>
      </c>
      <c r="C21" s="53">
        <f>_xll.RssMarket("5332","出来高")</f>
        <v/>
      </c>
      <c r="D21" s="683">
        <f>C21-E21</f>
        <v/>
      </c>
      <c r="E21" s="213" t="n">
        <v>3085400</v>
      </c>
      <c r="F21" s="22" t="n">
        <v>1028200</v>
      </c>
      <c r="G21" s="22" t="n">
        <v>1079700</v>
      </c>
      <c r="H21" s="22" t="n">
        <v>1293200</v>
      </c>
      <c r="I21" s="22" t="n">
        <v>1278600</v>
      </c>
      <c r="J21" s="22" t="n">
        <v>1679300</v>
      </c>
      <c r="K21" s="22" t="n">
        <v>1658800</v>
      </c>
      <c r="L21" s="22" t="n">
        <v>1143000</v>
      </c>
      <c r="M21" s="22" t="n">
        <v>2109800</v>
      </c>
      <c r="N21" s="22" t="n">
        <v>1685500</v>
      </c>
      <c r="O21" s="22" t="n">
        <v>3165600</v>
      </c>
      <c r="P21" s="22" t="n">
        <v>2695800</v>
      </c>
      <c r="Q21" s="22" t="n">
        <v>1561900</v>
      </c>
      <c r="R21" s="22" t="n">
        <v>1879700</v>
      </c>
      <c r="S21" s="22" t="n">
        <v>1239600</v>
      </c>
      <c r="T21" s="22" t="n">
        <v>1821000</v>
      </c>
      <c r="U21" s="22" t="n">
        <v>986300</v>
      </c>
      <c r="V21" s="22" t="n">
        <v>1151600</v>
      </c>
      <c r="W21" s="22" t="n">
        <v>918300</v>
      </c>
      <c r="X21" s="22" t="n">
        <v>1278500</v>
      </c>
      <c r="Y21" s="22" t="n">
        <v>1038100</v>
      </c>
      <c r="Z21" s="22" t="n">
        <v>921200</v>
      </c>
      <c r="AA21" s="22" t="n">
        <v>1517200</v>
      </c>
      <c r="AB21" s="22" t="n">
        <v>1886400</v>
      </c>
      <c r="AC21" s="22" t="n">
        <v>795100</v>
      </c>
      <c r="AD21" s="22" t="n">
        <v>1763500</v>
      </c>
      <c r="AE21" s="22" t="n">
        <v>1926500</v>
      </c>
      <c r="AF21" s="22" t="n">
        <v>1926500</v>
      </c>
      <c r="AG21" s="22" t="n">
        <v>2574300</v>
      </c>
      <c r="AH21" s="22" t="n">
        <v>4349000</v>
      </c>
      <c r="AI21" s="22" t="n">
        <v>3169300</v>
      </c>
      <c r="AJ21" s="22" t="n">
        <v>1425200</v>
      </c>
      <c r="AK21" s="22" t="n">
        <v>683400</v>
      </c>
      <c r="AL21" s="22" t="n">
        <v>914800</v>
      </c>
      <c r="AM21" s="22" t="n">
        <v>1000500</v>
      </c>
      <c r="AN21" s="22" t="n">
        <v>1002600</v>
      </c>
      <c r="AO21" s="22" t="n">
        <v>990300</v>
      </c>
      <c r="AP21" s="22" t="n">
        <v>818600</v>
      </c>
      <c r="AQ21" s="22" t="n">
        <v>418700</v>
      </c>
      <c r="AR21" s="22" t="n">
        <v>807100</v>
      </c>
      <c r="AS21" s="22" t="n">
        <v>2224500</v>
      </c>
      <c r="AT21" s="22" t="n">
        <v>1232200</v>
      </c>
      <c r="AU21" s="22" t="n">
        <v>2693100</v>
      </c>
      <c r="AV21" s="22" t="n">
        <v>6886600</v>
      </c>
      <c r="AW21" s="22" t="n">
        <v>918400</v>
      </c>
      <c r="AX21" s="22" t="n">
        <v>1167500</v>
      </c>
      <c r="AY21" s="22" t="n">
        <v>1296700</v>
      </c>
      <c r="AZ21" s="22" t="n">
        <v>871800</v>
      </c>
      <c r="BA21" s="22" t="n">
        <v>599600</v>
      </c>
      <c r="BB21" s="22" t="n">
        <v>635100</v>
      </c>
      <c r="BC21" s="22" t="n">
        <v>808400</v>
      </c>
      <c r="BD21" s="22" t="n">
        <v>845800</v>
      </c>
      <c r="BE21" s="22" t="n">
        <v>960400</v>
      </c>
      <c r="BF21" s="22" t="n">
        <v>1304300</v>
      </c>
      <c r="BG21" s="22" t="n">
        <v>1286300</v>
      </c>
      <c r="BH21" s="22" t="n">
        <v>1302400</v>
      </c>
      <c r="BI21" s="22" t="n">
        <v>938400</v>
      </c>
      <c r="BJ21" s="22" t="n">
        <v>1233800</v>
      </c>
      <c r="BK21" s="22" t="n">
        <v>1292100</v>
      </c>
      <c r="BL21" s="22" t="n">
        <v>953500</v>
      </c>
    </row>
    <row r="22" ht="15.95" customHeight="1" s="574">
      <c r="A22" s="416" t="inlineStr">
        <is>
          <t>8725</t>
        </is>
      </c>
      <c r="B22" s="49" t="inlineStr">
        <is>
          <t>ＭＳ＆ＡＤ</t>
        </is>
      </c>
      <c r="C22" s="53">
        <f>_xll.RssMarket("8725","出来高")</f>
        <v/>
      </c>
      <c r="D22" s="683">
        <f>C22-E22</f>
        <v/>
      </c>
      <c r="E22" s="213" t="n">
        <v>2452700</v>
      </c>
      <c r="F22" s="22" t="n">
        <v>5609000</v>
      </c>
      <c r="G22" s="22" t="n">
        <v>4416600</v>
      </c>
      <c r="H22" s="22" t="n">
        <v>3959300</v>
      </c>
      <c r="I22" s="22" t="n">
        <v>3133600</v>
      </c>
      <c r="J22" s="22" t="n">
        <v>5475200</v>
      </c>
      <c r="K22" s="22" t="n">
        <v>3444800</v>
      </c>
      <c r="L22" s="22" t="n">
        <v>4882400</v>
      </c>
      <c r="M22" s="22" t="n">
        <v>4078900</v>
      </c>
      <c r="N22" s="22" t="n">
        <v>2749500</v>
      </c>
      <c r="O22" s="22" t="n">
        <v>3729600</v>
      </c>
      <c r="P22" s="22" t="n">
        <v>4192300</v>
      </c>
      <c r="Q22" s="22" t="n">
        <v>4316300</v>
      </c>
      <c r="R22" s="22" t="n">
        <v>21947600</v>
      </c>
      <c r="S22" s="22" t="n">
        <v>4163600</v>
      </c>
      <c r="T22" s="22" t="n">
        <v>4362800</v>
      </c>
      <c r="U22" s="22" t="n">
        <v>3443400</v>
      </c>
      <c r="V22" s="22" t="n">
        <v>4505700</v>
      </c>
      <c r="W22" s="22" t="n">
        <v>6554700</v>
      </c>
      <c r="X22" s="22" t="n">
        <v>5183200</v>
      </c>
      <c r="Y22" s="22" t="n">
        <v>5100200</v>
      </c>
      <c r="Z22" s="22" t="n">
        <v>3963700</v>
      </c>
      <c r="AA22" s="22" t="n">
        <v>3998500</v>
      </c>
      <c r="AB22" s="22" t="n">
        <v>3569100</v>
      </c>
      <c r="AC22" s="22" t="n">
        <v>4277700</v>
      </c>
      <c r="AD22" s="22" t="n">
        <v>6882200</v>
      </c>
      <c r="AE22" s="22" t="n">
        <v>3290300</v>
      </c>
      <c r="AF22" s="22" t="n">
        <v>3290300</v>
      </c>
      <c r="AG22" s="22" t="n">
        <v>4823000</v>
      </c>
      <c r="AH22" s="22" t="n">
        <v>4535200</v>
      </c>
      <c r="AI22" s="22" t="n">
        <v>2605900</v>
      </c>
      <c r="AJ22" s="22" t="n">
        <v>4050400</v>
      </c>
      <c r="AK22" s="22" t="n">
        <v>2895400</v>
      </c>
      <c r="AL22" s="22" t="n">
        <v>2940800</v>
      </c>
      <c r="AM22" s="22" t="n">
        <v>2257500</v>
      </c>
      <c r="AN22" s="22" t="n">
        <v>3230500</v>
      </c>
      <c r="AO22" s="22" t="n">
        <v>2525600</v>
      </c>
      <c r="AP22" s="22" t="n">
        <v>2710200</v>
      </c>
      <c r="AQ22" s="22" t="n">
        <v>2132400</v>
      </c>
      <c r="AR22" s="22" t="n">
        <v>2839800</v>
      </c>
      <c r="AS22" s="22" t="n">
        <v>2705400</v>
      </c>
      <c r="AT22" s="22" t="n">
        <v>3169100</v>
      </c>
      <c r="AU22" s="22" t="n">
        <v>2703800</v>
      </c>
      <c r="AV22" s="22" t="n">
        <v>2951100</v>
      </c>
      <c r="AW22" s="22" t="n">
        <v>2916700</v>
      </c>
      <c r="AX22" s="22" t="n">
        <v>3839400</v>
      </c>
      <c r="AY22" s="22" t="n">
        <v>4235300</v>
      </c>
      <c r="AZ22" s="22" t="n">
        <v>2740000</v>
      </c>
      <c r="BA22" s="22" t="n">
        <v>2097800</v>
      </c>
      <c r="BB22" s="22" t="n">
        <v>1673500</v>
      </c>
      <c r="BC22" s="22" t="n">
        <v>3031500</v>
      </c>
      <c r="BD22" s="22" t="n">
        <v>3872600</v>
      </c>
      <c r="BE22" s="22" t="n">
        <v>4884300</v>
      </c>
      <c r="BF22" s="22" t="n">
        <v>5537700</v>
      </c>
      <c r="BG22" s="22" t="n">
        <v>4191800</v>
      </c>
      <c r="BH22" s="22" t="n">
        <v>5662000</v>
      </c>
      <c r="BI22" s="22" t="n">
        <v>4892200</v>
      </c>
      <c r="BJ22" s="22" t="n">
        <v>4026000</v>
      </c>
      <c r="BK22" s="22" t="n">
        <v>5474100</v>
      </c>
      <c r="BL22" s="22" t="n">
        <v>3456300</v>
      </c>
    </row>
    <row r="23" ht="15.95" customHeight="1" s="574">
      <c r="A23" s="416" t="inlineStr">
        <is>
          <t>8795</t>
        </is>
      </c>
      <c r="B23" s="49" t="inlineStr">
        <is>
          <t>Ｔ＆Ｄホールディングス</t>
        </is>
      </c>
      <c r="C23" s="53">
        <f>_xll.RssMarket("8795","出来高")</f>
        <v/>
      </c>
      <c r="D23" s="683">
        <f>C23-E23</f>
        <v/>
      </c>
      <c r="E23" s="213" t="n">
        <v>1584300</v>
      </c>
      <c r="F23" s="22" t="n">
        <v>2101900</v>
      </c>
      <c r="G23" s="22" t="n">
        <v>1752800</v>
      </c>
      <c r="H23" s="22" t="n">
        <v>2140500</v>
      </c>
      <c r="I23" s="22" t="n">
        <v>2237600</v>
      </c>
      <c r="J23" s="22" t="n">
        <v>2429300</v>
      </c>
      <c r="K23" s="22" t="n">
        <v>1909300</v>
      </c>
      <c r="L23" s="22" t="n">
        <v>3640400</v>
      </c>
      <c r="M23" s="22" t="n">
        <v>2067100</v>
      </c>
      <c r="N23" s="22" t="n">
        <v>3356300</v>
      </c>
      <c r="O23" s="22" t="n">
        <v>2187000</v>
      </c>
      <c r="P23" s="22" t="n">
        <v>2422000</v>
      </c>
      <c r="Q23" s="22" t="n">
        <v>2299000</v>
      </c>
      <c r="R23" s="22" t="n">
        <v>6363200</v>
      </c>
      <c r="S23" s="22" t="n">
        <v>1641500</v>
      </c>
      <c r="T23" s="22" t="n">
        <v>1694500</v>
      </c>
      <c r="U23" s="22" t="n">
        <v>1880900</v>
      </c>
      <c r="V23" s="22" t="n">
        <v>2480400</v>
      </c>
      <c r="W23" s="22" t="n">
        <v>2184200</v>
      </c>
      <c r="X23" s="22" t="n">
        <v>1907700</v>
      </c>
      <c r="Y23" s="22" t="n">
        <v>2646700</v>
      </c>
      <c r="Z23" s="22" t="n">
        <v>1908800</v>
      </c>
      <c r="AA23" s="22" t="n">
        <v>2306000</v>
      </c>
      <c r="AB23" s="22" t="n">
        <v>1399500</v>
      </c>
      <c r="AC23" s="22" t="n">
        <v>1303000</v>
      </c>
      <c r="AD23" s="22" t="n">
        <v>1675300</v>
      </c>
      <c r="AE23" s="22" t="n">
        <v>1454700</v>
      </c>
      <c r="AF23" s="22" t="n">
        <v>1454700</v>
      </c>
      <c r="AG23" s="22" t="n">
        <v>1796600</v>
      </c>
      <c r="AH23" s="22" t="n">
        <v>2571300</v>
      </c>
      <c r="AI23" s="22" t="n">
        <v>1250400</v>
      </c>
      <c r="AJ23" s="22" t="n">
        <v>2027600</v>
      </c>
      <c r="AK23" s="22" t="n">
        <v>2276000</v>
      </c>
      <c r="AL23" s="22" t="n">
        <v>1688900</v>
      </c>
      <c r="AM23" s="22" t="n">
        <v>1701400</v>
      </c>
      <c r="AN23" s="22" t="n">
        <v>2772300</v>
      </c>
      <c r="AO23" s="22" t="n">
        <v>2000800</v>
      </c>
      <c r="AP23" s="22" t="n">
        <v>1822300</v>
      </c>
      <c r="AQ23" s="22" t="n">
        <v>1642300</v>
      </c>
      <c r="AR23" s="22" t="n">
        <v>1879600</v>
      </c>
      <c r="AS23" s="22" t="n">
        <v>1551000</v>
      </c>
      <c r="AT23" s="22" t="n">
        <v>1532900</v>
      </c>
      <c r="AU23" s="22" t="n">
        <v>1758700</v>
      </c>
      <c r="AV23" s="22" t="n">
        <v>1271400</v>
      </c>
      <c r="AW23" s="22" t="n">
        <v>1293000</v>
      </c>
      <c r="AX23" s="22" t="n">
        <v>1887700</v>
      </c>
      <c r="AY23" s="22" t="n">
        <v>2199100</v>
      </c>
      <c r="AZ23" s="22" t="n">
        <v>1979400</v>
      </c>
      <c r="BA23" s="22" t="n">
        <v>3917000</v>
      </c>
      <c r="BB23" s="22" t="n">
        <v>1216700</v>
      </c>
      <c r="BC23" s="22" t="n">
        <v>2509100</v>
      </c>
      <c r="BD23" s="22" t="n">
        <v>2951500</v>
      </c>
      <c r="BE23" s="22" t="n">
        <v>7553000</v>
      </c>
      <c r="BF23" s="22" t="n">
        <v>3039300</v>
      </c>
      <c r="BG23" s="22" t="n">
        <v>2441300</v>
      </c>
      <c r="BH23" s="22" t="n">
        <v>2812800</v>
      </c>
      <c r="BI23" s="22" t="n">
        <v>2517600</v>
      </c>
      <c r="BJ23" s="22" t="n">
        <v>2122100</v>
      </c>
      <c r="BK23" s="22" t="n">
        <v>2412800</v>
      </c>
      <c r="BL23" s="22" t="n">
        <v>1556600</v>
      </c>
    </row>
    <row r="24" ht="15.95" customHeight="1" s="574">
      <c r="A24" s="416" t="inlineStr">
        <is>
          <t>5019</t>
        </is>
      </c>
      <c r="B24" s="49" t="inlineStr">
        <is>
          <t>出光興産</t>
        </is>
      </c>
      <c r="C24" s="53">
        <f>_xll.RssMarket("5019","出来高")</f>
        <v/>
      </c>
      <c r="D24" s="683">
        <f>C24-E24</f>
        <v/>
      </c>
      <c r="E24" s="213" t="n">
        <v>3371900</v>
      </c>
      <c r="F24" s="22" t="n">
        <v>10404900</v>
      </c>
      <c r="G24" s="22" t="n">
        <v>4125300</v>
      </c>
      <c r="H24" s="22" t="n">
        <v>4040400</v>
      </c>
      <c r="I24" s="22" t="n">
        <v>3618200</v>
      </c>
      <c r="J24" s="22" t="n">
        <v>5523600</v>
      </c>
      <c r="K24" s="22" t="n">
        <v>3531900</v>
      </c>
      <c r="L24" s="22" t="n">
        <v>3746500</v>
      </c>
      <c r="M24" s="22" t="n">
        <v>4287600</v>
      </c>
      <c r="N24" s="22" t="n">
        <v>3641300</v>
      </c>
      <c r="O24" s="22" t="n">
        <v>3359600</v>
      </c>
      <c r="P24" s="22" t="n">
        <v>5315700</v>
      </c>
      <c r="Q24" s="22" t="n">
        <v>5527800</v>
      </c>
      <c r="R24" s="22" t="n">
        <v>11955600</v>
      </c>
      <c r="S24" s="22" t="n">
        <v>8683900</v>
      </c>
      <c r="T24" s="22" t="n">
        <v>4124300</v>
      </c>
      <c r="U24" s="22" t="n">
        <v>3597500</v>
      </c>
      <c r="V24" s="22" t="n">
        <v>4180400</v>
      </c>
      <c r="W24" s="22" t="n">
        <v>3702000</v>
      </c>
      <c r="X24" s="22" t="n">
        <v>4665700</v>
      </c>
      <c r="Y24" s="22" t="n">
        <v>4699300</v>
      </c>
      <c r="Z24" s="22" t="n">
        <v>5863400</v>
      </c>
      <c r="AA24" s="22" t="n">
        <v>6853600</v>
      </c>
      <c r="AB24" s="22" t="n">
        <v>6963600</v>
      </c>
      <c r="AC24" s="22" t="n">
        <v>8769600</v>
      </c>
      <c r="AD24" s="22" t="n">
        <v>4718800</v>
      </c>
      <c r="AE24" s="22" t="n">
        <v>3701300</v>
      </c>
      <c r="AF24" s="22" t="n">
        <v>3701300</v>
      </c>
      <c r="AG24" s="22" t="n">
        <v>5627400</v>
      </c>
      <c r="AH24" s="22" t="n">
        <v>6407600</v>
      </c>
      <c r="AI24" s="22" t="n">
        <v>4688500</v>
      </c>
      <c r="AJ24" s="22" t="n">
        <v>8432600</v>
      </c>
      <c r="AK24" s="22" t="n">
        <v>3745900</v>
      </c>
      <c r="AL24" s="22" t="n">
        <v>3600600</v>
      </c>
      <c r="AM24" s="22" t="n">
        <v>4462900</v>
      </c>
      <c r="AN24" s="22" t="n">
        <v>5735900</v>
      </c>
      <c r="AO24" s="22" t="n">
        <v>4936300</v>
      </c>
      <c r="AP24" s="22" t="n">
        <v>4973500</v>
      </c>
      <c r="AQ24" s="22" t="n">
        <v>4176900</v>
      </c>
      <c r="AR24" s="22" t="n">
        <v>3527000</v>
      </c>
      <c r="AS24" s="22" t="n">
        <v>3094200</v>
      </c>
      <c r="AT24" s="22" t="n">
        <v>4061100</v>
      </c>
      <c r="AU24" s="22" t="n">
        <v>3772800</v>
      </c>
      <c r="AV24" s="22" t="n">
        <v>2946500</v>
      </c>
      <c r="AW24" s="22" t="n">
        <v>4074200</v>
      </c>
      <c r="AX24" s="22" t="n">
        <v>7882100</v>
      </c>
      <c r="AY24" s="22" t="n">
        <v>9112900</v>
      </c>
      <c r="AZ24" s="22" t="n">
        <v>5616800</v>
      </c>
      <c r="BA24" s="22" t="n">
        <v>3685600</v>
      </c>
      <c r="BB24" s="22" t="n">
        <v>2624000</v>
      </c>
      <c r="BC24" s="22" t="n">
        <v>4702500</v>
      </c>
      <c r="BD24" s="22" t="n">
        <v>5162700</v>
      </c>
      <c r="BE24" s="22" t="n">
        <v>5656900</v>
      </c>
      <c r="BF24" s="22" t="n">
        <v>4338200</v>
      </c>
      <c r="BG24" s="22" t="n">
        <v>3660300</v>
      </c>
      <c r="BH24" s="22" t="n">
        <v>4293500</v>
      </c>
      <c r="BI24" s="22" t="n">
        <v>3748100</v>
      </c>
      <c r="BJ24" s="22" t="n">
        <v>5509100</v>
      </c>
      <c r="BK24" s="22" t="n">
        <v>5338900</v>
      </c>
      <c r="BL24" s="22" t="n">
        <v>3582400</v>
      </c>
    </row>
    <row r="25" ht="15.95" customHeight="1" s="574">
      <c r="A25" s="416" t="inlineStr">
        <is>
          <t>8053</t>
        </is>
      </c>
      <c r="B25" s="49" t="inlineStr">
        <is>
          <t>住友商事</t>
        </is>
      </c>
      <c r="C25" s="53">
        <f>_xll.RssMarket("8053","出来高")</f>
        <v/>
      </c>
      <c r="D25" s="683">
        <f>C25-E25</f>
        <v/>
      </c>
      <c r="E25" s="213" t="n">
        <v>1697700</v>
      </c>
      <c r="F25" s="22" t="n">
        <v>5625200</v>
      </c>
      <c r="G25" s="22" t="n">
        <v>2054200</v>
      </c>
      <c r="H25" s="22" t="n">
        <v>2278500</v>
      </c>
      <c r="I25" s="22" t="n">
        <v>2412200</v>
      </c>
      <c r="J25" s="22" t="n">
        <v>4570300</v>
      </c>
      <c r="K25" s="22" t="n">
        <v>4708300</v>
      </c>
      <c r="L25" s="22" t="n">
        <v>4365900</v>
      </c>
      <c r="M25" s="22" t="n">
        <v>3290600</v>
      </c>
      <c r="N25" s="22" t="n">
        <v>1919700</v>
      </c>
      <c r="O25" s="22" t="n">
        <v>2552300</v>
      </c>
      <c r="P25" s="22" t="n">
        <v>2636000</v>
      </c>
      <c r="Q25" s="22" t="n">
        <v>3123400</v>
      </c>
      <c r="R25" s="22" t="n">
        <v>10796100</v>
      </c>
      <c r="S25" s="22" t="n">
        <v>4614600</v>
      </c>
      <c r="T25" s="22" t="n">
        <v>3034800</v>
      </c>
      <c r="U25" s="22" t="n">
        <v>2557700</v>
      </c>
      <c r="V25" s="22" t="n">
        <v>2040400</v>
      </c>
      <c r="W25" s="22" t="n">
        <v>1953600</v>
      </c>
      <c r="X25" s="22" t="n">
        <v>4191600</v>
      </c>
      <c r="Y25" s="22" t="n">
        <v>2331200</v>
      </c>
      <c r="Z25" s="22" t="n">
        <v>2584500</v>
      </c>
      <c r="AA25" s="22" t="n">
        <v>2812200</v>
      </c>
      <c r="AB25" s="22" t="n">
        <v>3789200</v>
      </c>
      <c r="AC25" s="22" t="n">
        <v>4103900</v>
      </c>
      <c r="AD25" s="22" t="n">
        <v>3488200</v>
      </c>
      <c r="AE25" s="22" t="n">
        <v>4338400</v>
      </c>
      <c r="AF25" s="22" t="n">
        <v>4338400</v>
      </c>
      <c r="AG25" s="22" t="n">
        <v>7294300</v>
      </c>
      <c r="AH25" s="22" t="n">
        <v>19773700</v>
      </c>
      <c r="AI25" s="22" t="n">
        <v>17136600</v>
      </c>
      <c r="AJ25" s="22" t="n">
        <v>4493700</v>
      </c>
      <c r="AK25" s="22" t="n">
        <v>3535200</v>
      </c>
      <c r="AL25" s="22" t="n">
        <v>2792800</v>
      </c>
      <c r="AM25" s="22" t="n">
        <v>2194800</v>
      </c>
      <c r="AN25" s="22" t="n">
        <v>3219600</v>
      </c>
      <c r="AO25" s="22" t="n">
        <v>2920900</v>
      </c>
      <c r="AP25" s="22" t="n">
        <v>1970200</v>
      </c>
      <c r="AQ25" s="22" t="n">
        <v>2184800</v>
      </c>
      <c r="AR25" s="22" t="n">
        <v>2693300</v>
      </c>
      <c r="AS25" s="22" t="n">
        <v>2867200</v>
      </c>
      <c r="AT25" s="22" t="n">
        <v>2476800</v>
      </c>
      <c r="AU25" s="22" t="n">
        <v>2083700</v>
      </c>
      <c r="AV25" s="22" t="n">
        <v>2119300</v>
      </c>
      <c r="AW25" s="22" t="n">
        <v>3246700</v>
      </c>
      <c r="AX25" s="22" t="n">
        <v>3000700</v>
      </c>
      <c r="AY25" s="22" t="n">
        <v>3901000</v>
      </c>
      <c r="AZ25" s="22" t="n">
        <v>2116600</v>
      </c>
      <c r="BA25" s="22" t="n">
        <v>1864200</v>
      </c>
      <c r="BB25" s="22" t="n">
        <v>1956400</v>
      </c>
      <c r="BC25" s="22" t="n">
        <v>3076600</v>
      </c>
      <c r="BD25" s="22" t="n">
        <v>4609300</v>
      </c>
      <c r="BE25" s="22" t="n">
        <v>4265600</v>
      </c>
      <c r="BF25" s="22" t="n">
        <v>4219000</v>
      </c>
      <c r="BG25" s="22" t="n">
        <v>2263600</v>
      </c>
      <c r="BH25" s="22" t="n">
        <v>2930800</v>
      </c>
      <c r="BI25" s="22" t="n">
        <v>3093600</v>
      </c>
      <c r="BJ25" s="22" t="n">
        <v>4238200</v>
      </c>
      <c r="BK25" s="22" t="n">
        <v>5384000</v>
      </c>
      <c r="BL25" s="22" t="n">
        <v>4120000</v>
      </c>
    </row>
    <row r="26" ht="15.95" customHeight="1" s="574">
      <c r="A26" s="416" t="inlineStr">
        <is>
          <t>8591</t>
        </is>
      </c>
      <c r="B26" s="49" t="inlineStr">
        <is>
          <t>オリックス</t>
        </is>
      </c>
      <c r="C26" s="53">
        <f>_xll.RssMarket("8591","出来高")</f>
        <v/>
      </c>
      <c r="D26" s="683">
        <f>C26-E26</f>
        <v/>
      </c>
      <c r="E26" s="213" t="n">
        <v>3306600</v>
      </c>
      <c r="F26" s="22" t="n">
        <v>6392700</v>
      </c>
      <c r="G26" s="22" t="n">
        <v>4239900</v>
      </c>
      <c r="H26" s="22" t="n">
        <v>3297700</v>
      </c>
      <c r="I26" s="22" t="n">
        <v>3277700</v>
      </c>
      <c r="J26" s="22" t="n">
        <v>4689200</v>
      </c>
      <c r="K26" s="22" t="n">
        <v>3440000</v>
      </c>
      <c r="L26" s="22" t="n">
        <v>3177200</v>
      </c>
      <c r="M26" s="22" t="n">
        <v>4282200</v>
      </c>
      <c r="N26" s="22" t="n">
        <v>4106200</v>
      </c>
      <c r="O26" s="22" t="n">
        <v>3631000</v>
      </c>
      <c r="P26" s="22" t="n">
        <v>4230200</v>
      </c>
      <c r="Q26" s="22" t="n">
        <v>3439000</v>
      </c>
      <c r="R26" s="22" t="n">
        <v>11231300</v>
      </c>
      <c r="S26" s="22" t="n">
        <v>4034600</v>
      </c>
      <c r="T26" s="22" t="n">
        <v>4177600</v>
      </c>
      <c r="U26" s="22" t="n">
        <v>2862600</v>
      </c>
      <c r="V26" s="22" t="n">
        <v>2962300</v>
      </c>
      <c r="W26" s="22" t="n">
        <v>5566600</v>
      </c>
      <c r="X26" s="22" t="n">
        <v>5382800</v>
      </c>
      <c r="Y26" s="22" t="n">
        <v>3428300</v>
      </c>
      <c r="Z26" s="22" t="n">
        <v>3498200</v>
      </c>
      <c r="AA26" s="22" t="n">
        <v>3566600</v>
      </c>
      <c r="AB26" s="22" t="n">
        <v>3688600</v>
      </c>
      <c r="AC26" s="22" t="n">
        <v>4551800</v>
      </c>
      <c r="AD26" s="22" t="n">
        <v>9097900</v>
      </c>
      <c r="AE26" s="22" t="n">
        <v>5492700</v>
      </c>
      <c r="AF26" s="22" t="n">
        <v>5492700</v>
      </c>
      <c r="AG26" s="22" t="n">
        <v>3962300</v>
      </c>
      <c r="AH26" s="22" t="n">
        <v>5074900</v>
      </c>
      <c r="AI26" s="22" t="n">
        <v>2638400</v>
      </c>
      <c r="AJ26" s="22" t="n">
        <v>5308400</v>
      </c>
      <c r="AK26" s="22" t="n">
        <v>10949800</v>
      </c>
      <c r="AL26" s="22" t="n">
        <v>2361900</v>
      </c>
      <c r="AM26" s="22" t="n">
        <v>2283400</v>
      </c>
      <c r="AN26" s="22" t="n">
        <v>2706600</v>
      </c>
      <c r="AO26" s="22" t="n">
        <v>2370200</v>
      </c>
      <c r="AP26" s="22" t="n">
        <v>2138000</v>
      </c>
      <c r="AQ26" s="22" t="n">
        <v>2533100</v>
      </c>
      <c r="AR26" s="22" t="n">
        <v>3148300</v>
      </c>
      <c r="AS26" s="22" t="n">
        <v>2494000</v>
      </c>
      <c r="AT26" s="22" t="n">
        <v>3474800</v>
      </c>
      <c r="AU26" s="22" t="n">
        <v>4153800</v>
      </c>
      <c r="AV26" s="22" t="n">
        <v>2604900</v>
      </c>
      <c r="AW26" s="22" t="n">
        <v>3085700</v>
      </c>
      <c r="AX26" s="22" t="n">
        <v>3255600</v>
      </c>
      <c r="AY26" s="22" t="n">
        <v>3998300</v>
      </c>
      <c r="AZ26" s="22" t="n">
        <v>2323300</v>
      </c>
      <c r="BA26" s="22" t="n">
        <v>1525500</v>
      </c>
      <c r="BB26" s="22" t="n">
        <v>1643300</v>
      </c>
      <c r="BC26" s="22" t="n">
        <v>2920200</v>
      </c>
      <c r="BD26" s="22" t="n">
        <v>2881800</v>
      </c>
      <c r="BE26" s="22" t="n">
        <v>3650200</v>
      </c>
      <c r="BF26" s="22" t="n">
        <v>4113500</v>
      </c>
      <c r="BG26" s="22" t="n">
        <v>2412600</v>
      </c>
      <c r="BH26" s="22" t="n">
        <v>2837600</v>
      </c>
      <c r="BI26" s="22" t="n">
        <v>3136800</v>
      </c>
      <c r="BJ26" s="22" t="n">
        <v>4153700</v>
      </c>
      <c r="BK26" s="22" t="n">
        <v>5732600</v>
      </c>
      <c r="BL26" s="22" t="n">
        <v>2377700</v>
      </c>
    </row>
    <row r="27" ht="15.95" customHeight="1" s="574">
      <c r="A27" s="416" t="inlineStr">
        <is>
          <t>3401</t>
        </is>
      </c>
      <c r="B27" s="49" t="inlineStr">
        <is>
          <t>帝人</t>
        </is>
      </c>
      <c r="C27" s="53">
        <f>_xll.RssMarket("3401","出来高")</f>
        <v/>
      </c>
      <c r="D27" s="683">
        <f>C27-E27</f>
        <v/>
      </c>
      <c r="E27" s="213" t="n">
        <v>596800</v>
      </c>
      <c r="F27" s="22" t="n">
        <v>1097600</v>
      </c>
      <c r="G27" s="22" t="n">
        <v>781600</v>
      </c>
      <c r="H27" s="22" t="n">
        <v>982500</v>
      </c>
      <c r="I27" s="22" t="n">
        <v>558900</v>
      </c>
      <c r="J27" s="22" t="n">
        <v>881200</v>
      </c>
      <c r="K27" s="22" t="n">
        <v>791900</v>
      </c>
      <c r="L27" s="22" t="n">
        <v>808300</v>
      </c>
      <c r="M27" s="22" t="n">
        <v>964800</v>
      </c>
      <c r="N27" s="22" t="n">
        <v>696700</v>
      </c>
      <c r="O27" s="22" t="n">
        <v>655000</v>
      </c>
      <c r="P27" s="22" t="n">
        <v>623900</v>
      </c>
      <c r="Q27" s="22" t="n">
        <v>684600</v>
      </c>
      <c r="R27" s="22" t="n">
        <v>1120200</v>
      </c>
      <c r="S27" s="22" t="n">
        <v>600300</v>
      </c>
      <c r="T27" s="22" t="n">
        <v>874400</v>
      </c>
      <c r="U27" s="22" t="n">
        <v>1037200</v>
      </c>
      <c r="V27" s="22" t="n">
        <v>863900</v>
      </c>
      <c r="W27" s="22" t="n">
        <v>563600</v>
      </c>
      <c r="X27" s="22" t="n">
        <v>747600</v>
      </c>
      <c r="Y27" s="22" t="n">
        <v>1256700</v>
      </c>
      <c r="Z27" s="22" t="n">
        <v>981000</v>
      </c>
      <c r="AA27" s="22" t="n">
        <v>1284600</v>
      </c>
      <c r="AB27" s="22" t="n">
        <v>1066700</v>
      </c>
      <c r="AC27" s="22" t="n">
        <v>1800800</v>
      </c>
      <c r="AD27" s="22" t="n">
        <v>2496400</v>
      </c>
      <c r="AE27" s="22" t="n">
        <v>3170200</v>
      </c>
      <c r="AF27" s="22" t="n">
        <v>3170200</v>
      </c>
      <c r="AG27" s="22" t="n">
        <v>1291100</v>
      </c>
      <c r="AH27" s="22" t="n">
        <v>1258400</v>
      </c>
      <c r="AI27" s="22" t="n">
        <v>585200</v>
      </c>
      <c r="AJ27" s="22" t="n">
        <v>2377700</v>
      </c>
      <c r="AK27" s="22" t="n">
        <v>591500</v>
      </c>
      <c r="AL27" s="22" t="n">
        <v>2206600</v>
      </c>
      <c r="AM27" s="22" t="n">
        <v>904700</v>
      </c>
      <c r="AN27" s="22" t="n">
        <v>2675900</v>
      </c>
      <c r="AO27" s="22" t="n">
        <v>896400</v>
      </c>
      <c r="AP27" s="22" t="n">
        <v>4916600</v>
      </c>
      <c r="AQ27" s="22" t="n">
        <v>1146500</v>
      </c>
      <c r="AR27" s="22" t="n">
        <v>3500400</v>
      </c>
      <c r="AS27" s="22" t="n">
        <v>1057500</v>
      </c>
      <c r="AT27" s="22" t="n">
        <v>3790600</v>
      </c>
      <c r="AU27" s="22" t="n">
        <v>787100</v>
      </c>
      <c r="AV27" s="22" t="n">
        <v>4256300</v>
      </c>
      <c r="AW27" s="22" t="n">
        <v>920900</v>
      </c>
      <c r="AX27" s="22" t="n">
        <v>4981600</v>
      </c>
      <c r="AY27" s="22" t="n">
        <v>1522300</v>
      </c>
      <c r="AZ27" s="22" t="n">
        <v>5034600</v>
      </c>
      <c r="BA27" s="22" t="n">
        <v>788500</v>
      </c>
      <c r="BB27" s="22" t="n">
        <v>5711200</v>
      </c>
      <c r="BC27" s="22" t="n">
        <v>1029200</v>
      </c>
      <c r="BD27" s="22" t="n">
        <v>5613800</v>
      </c>
      <c r="BE27" s="22" t="n">
        <v>4238500</v>
      </c>
      <c r="BF27" s="22" t="n">
        <v>1121200</v>
      </c>
      <c r="BG27" s="22" t="n">
        <v>4563200</v>
      </c>
      <c r="BH27" s="22" t="n">
        <v>801100</v>
      </c>
      <c r="BI27" s="22" t="n">
        <v>5396400</v>
      </c>
      <c r="BJ27" s="22" t="n">
        <v>889300</v>
      </c>
      <c r="BK27" s="22" t="n">
        <v>2960200</v>
      </c>
      <c r="BL27" s="22" t="n">
        <v>897700</v>
      </c>
    </row>
    <row r="28" ht="15.95" customHeight="1" s="574">
      <c r="A28" s="416" t="inlineStr">
        <is>
          <t>3436</t>
        </is>
      </c>
      <c r="B28" s="49" t="inlineStr">
        <is>
          <t>ＳＵＭＣＯ</t>
        </is>
      </c>
      <c r="C28" s="53">
        <f>_xll.RssMarket("3436","出来高")</f>
        <v/>
      </c>
      <c r="D28" s="683">
        <f>C28-E28</f>
        <v/>
      </c>
      <c r="E28" s="213" t="n">
        <v>7332600</v>
      </c>
      <c r="F28" s="22" t="n">
        <v>10304700</v>
      </c>
      <c r="G28" s="22" t="n">
        <v>12099000</v>
      </c>
      <c r="H28" s="22" t="n">
        <v>8223600</v>
      </c>
      <c r="I28" s="22" t="n">
        <v>14625000</v>
      </c>
      <c r="J28" s="22" t="n">
        <v>17419200</v>
      </c>
      <c r="K28" s="22" t="n">
        <v>18147200</v>
      </c>
      <c r="L28" s="22" t="n">
        <v>17073800</v>
      </c>
      <c r="M28" s="22" t="n">
        <v>15237800</v>
      </c>
      <c r="N28" s="22" t="n">
        <v>12250300</v>
      </c>
      <c r="O28" s="22" t="n">
        <v>10044000</v>
      </c>
      <c r="P28" s="22" t="n">
        <v>15719900</v>
      </c>
      <c r="Q28" s="22" t="n">
        <v>15095700</v>
      </c>
      <c r="R28" s="22" t="n">
        <v>21624300</v>
      </c>
      <c r="S28" s="22" t="n">
        <v>10954100</v>
      </c>
      <c r="T28" s="22" t="n">
        <v>6792700</v>
      </c>
      <c r="U28" s="22" t="n">
        <v>9962100</v>
      </c>
      <c r="V28" s="22" t="n">
        <v>8445700</v>
      </c>
      <c r="W28" s="22" t="n">
        <v>11094300</v>
      </c>
      <c r="X28" s="22" t="n">
        <v>12795000</v>
      </c>
      <c r="Y28" s="22" t="n">
        <v>8950000</v>
      </c>
      <c r="Z28" s="22" t="n">
        <v>17205300</v>
      </c>
      <c r="AA28" s="22" t="n">
        <v>17626900</v>
      </c>
      <c r="AB28" s="22" t="n">
        <v>17349500</v>
      </c>
      <c r="AC28" s="22" t="n">
        <v>26238200</v>
      </c>
      <c r="AD28" s="22" t="n">
        <v>18620400</v>
      </c>
      <c r="AE28" s="22" t="n">
        <v>24780600</v>
      </c>
      <c r="AF28" s="22" t="n">
        <v>24780600</v>
      </c>
      <c r="AG28" s="22" t="n">
        <v>40373500</v>
      </c>
      <c r="AH28" s="22" t="n">
        <v>3176400</v>
      </c>
      <c r="AI28" s="22" t="n">
        <v>12210700</v>
      </c>
      <c r="AJ28" s="22" t="n">
        <v>29488100</v>
      </c>
      <c r="AK28" s="22" t="n">
        <v>14336500</v>
      </c>
      <c r="AL28" s="22" t="n">
        <v>12283700</v>
      </c>
      <c r="AM28" s="22" t="n">
        <v>8450400</v>
      </c>
      <c r="AN28" s="22" t="n">
        <v>12088600</v>
      </c>
      <c r="AO28" s="22" t="n">
        <v>13293900</v>
      </c>
      <c r="AP28" s="22" t="n">
        <v>11271900</v>
      </c>
      <c r="AQ28" s="22" t="n">
        <v>9888300</v>
      </c>
      <c r="AR28" s="22" t="n">
        <v>16407700</v>
      </c>
      <c r="AS28" s="22" t="n">
        <v>18756100</v>
      </c>
      <c r="AT28" s="22" t="n">
        <v>13883200</v>
      </c>
      <c r="AU28" s="22" t="n">
        <v>12194800</v>
      </c>
      <c r="AV28" s="22" t="n">
        <v>16413400</v>
      </c>
      <c r="AW28" s="22" t="n">
        <v>9985700</v>
      </c>
      <c r="AX28" s="22" t="n">
        <v>9341600</v>
      </c>
      <c r="AY28" s="22" t="n">
        <v>7807900</v>
      </c>
      <c r="AZ28" s="22" t="n">
        <v>4761100</v>
      </c>
      <c r="BA28" s="22" t="n">
        <v>5285600</v>
      </c>
      <c r="BB28" s="22" t="n">
        <v>5581300</v>
      </c>
      <c r="BC28" s="22" t="n">
        <v>6969100</v>
      </c>
      <c r="BD28" s="22" t="n">
        <v>10842200</v>
      </c>
      <c r="BE28" s="22" t="n">
        <v>8973200</v>
      </c>
      <c r="BF28" s="22" t="n">
        <v>9878200</v>
      </c>
      <c r="BG28" s="22" t="n">
        <v>11258100</v>
      </c>
      <c r="BH28" s="22" t="n">
        <v>8803300</v>
      </c>
      <c r="BI28" s="22" t="n">
        <v>7474900</v>
      </c>
      <c r="BJ28" s="22" t="n">
        <v>9672900</v>
      </c>
      <c r="BK28" s="22" t="n">
        <v>8137200</v>
      </c>
      <c r="BL28" s="22" t="n">
        <v>11314900</v>
      </c>
    </row>
    <row r="29" ht="15.95" customHeight="1" s="574">
      <c r="A29" s="416" t="inlineStr">
        <is>
          <t>5020</t>
        </is>
      </c>
      <c r="B29" s="49" t="inlineStr">
        <is>
          <t>ＥＮＥＯＳホールディングス</t>
        </is>
      </c>
      <c r="C29" s="53">
        <f>_xll.RssMarket("5020","出来高")</f>
        <v/>
      </c>
      <c r="D29" s="683">
        <f>C29-E29</f>
        <v/>
      </c>
      <c r="E29" s="213" t="n">
        <v>5697400</v>
      </c>
      <c r="F29" s="22" t="n">
        <v>20621100</v>
      </c>
      <c r="G29" s="22" t="n">
        <v>10530000</v>
      </c>
      <c r="H29" s="22" t="n">
        <v>6788300</v>
      </c>
      <c r="I29" s="22" t="n">
        <v>8109600</v>
      </c>
      <c r="J29" s="22" t="n">
        <v>10122700</v>
      </c>
      <c r="K29" s="22" t="n">
        <v>7540000</v>
      </c>
      <c r="L29" s="22" t="n">
        <v>10371000</v>
      </c>
      <c r="M29" s="22" t="n">
        <v>9352700</v>
      </c>
      <c r="N29" s="22" t="n">
        <v>7151700</v>
      </c>
      <c r="O29" s="22" t="n">
        <v>6795500</v>
      </c>
      <c r="P29" s="22" t="n">
        <v>9637100</v>
      </c>
      <c r="Q29" s="22" t="n">
        <v>8600200</v>
      </c>
      <c r="R29" s="22" t="n">
        <v>16776800</v>
      </c>
      <c r="S29" s="22" t="n">
        <v>7804300</v>
      </c>
      <c r="T29" s="22" t="n">
        <v>5327700</v>
      </c>
      <c r="U29" s="22" t="n">
        <v>7709800</v>
      </c>
      <c r="V29" s="22" t="n">
        <v>7813700</v>
      </c>
      <c r="W29" s="22" t="n">
        <v>7634400</v>
      </c>
      <c r="X29" s="22" t="n">
        <v>8484900</v>
      </c>
      <c r="Y29" s="22" t="n">
        <v>9436800</v>
      </c>
      <c r="Z29" s="22" t="n">
        <v>9521800</v>
      </c>
      <c r="AA29" s="22" t="n">
        <v>12202500</v>
      </c>
      <c r="AB29" s="22" t="n">
        <v>20291300</v>
      </c>
      <c r="AC29" s="22" t="n">
        <v>8703600</v>
      </c>
      <c r="AD29" s="22" t="n">
        <v>11062800</v>
      </c>
      <c r="AE29" s="22" t="n">
        <v>6914000</v>
      </c>
      <c r="AF29" s="22" t="n">
        <v>6914000</v>
      </c>
      <c r="AG29" s="22" t="n">
        <v>9943600</v>
      </c>
      <c r="AH29" s="22" t="n">
        <v>11850400</v>
      </c>
      <c r="AI29" s="22" t="n">
        <v>7852500</v>
      </c>
      <c r="AJ29" s="22" t="n">
        <v>13650300</v>
      </c>
      <c r="AK29" s="22" t="n">
        <v>7276900</v>
      </c>
      <c r="AL29" s="22" t="n">
        <v>5581800</v>
      </c>
      <c r="AM29" s="22" t="n">
        <v>5771200</v>
      </c>
      <c r="AN29" s="22" t="n">
        <v>7812700</v>
      </c>
      <c r="AO29" s="22" t="n">
        <v>6805400</v>
      </c>
      <c r="AP29" s="22" t="n">
        <v>7127700</v>
      </c>
      <c r="AQ29" s="22" t="n">
        <v>7077200</v>
      </c>
      <c r="AR29" s="22" t="n">
        <v>9142200</v>
      </c>
      <c r="AS29" s="22" t="n">
        <v>8629400</v>
      </c>
      <c r="AT29" s="22" t="n">
        <v>8113700</v>
      </c>
      <c r="AU29" s="22" t="n">
        <v>7867700</v>
      </c>
      <c r="AV29" s="22" t="n">
        <v>6821700</v>
      </c>
      <c r="AW29" s="22" t="n">
        <v>10342900</v>
      </c>
      <c r="AX29" s="22" t="n">
        <v>11136900</v>
      </c>
      <c r="AY29" s="22" t="n">
        <v>15201100</v>
      </c>
      <c r="AZ29" s="22" t="n">
        <v>7753800</v>
      </c>
      <c r="BA29" s="22" t="n">
        <v>5381800</v>
      </c>
      <c r="BB29" s="22" t="n">
        <v>4340900</v>
      </c>
      <c r="BC29" s="22" t="n">
        <v>12223400</v>
      </c>
      <c r="BD29" s="22" t="n">
        <v>12000600</v>
      </c>
      <c r="BE29" s="22" t="n">
        <v>14625700</v>
      </c>
      <c r="BF29" s="22" t="n">
        <v>11470900</v>
      </c>
      <c r="BG29" s="22" t="n">
        <v>7465600</v>
      </c>
      <c r="BH29" s="22" t="n">
        <v>8116700</v>
      </c>
      <c r="BI29" s="22" t="n">
        <v>8309900</v>
      </c>
      <c r="BJ29" s="22" t="n">
        <v>12392200</v>
      </c>
      <c r="BK29" s="22" t="n">
        <v>16930200</v>
      </c>
      <c r="BL29" s="22" t="n">
        <v>11191400</v>
      </c>
    </row>
    <row r="30" ht="15.95" customHeight="1" s="574">
      <c r="A30" s="416" t="inlineStr">
        <is>
          <t>6254</t>
        </is>
      </c>
      <c r="B30" s="49" t="inlineStr">
        <is>
          <t>野村マイクロ・サイエンス</t>
        </is>
      </c>
      <c r="C30" s="53">
        <f>_xll.RssMarket("6254","出来高")</f>
        <v/>
      </c>
      <c r="D30" s="683">
        <f>C30-E30</f>
        <v/>
      </c>
      <c r="E30" s="213" t="n">
        <v>1401700</v>
      </c>
      <c r="F30" s="22" t="n">
        <v>946400</v>
      </c>
      <c r="G30" s="22" t="n">
        <v>1177000</v>
      </c>
      <c r="H30" s="22" t="n">
        <v>1015700</v>
      </c>
      <c r="I30" s="22" t="n">
        <v>649800</v>
      </c>
      <c r="J30" s="22" t="n">
        <v>981300</v>
      </c>
      <c r="K30" s="22" t="n">
        <v>694400</v>
      </c>
      <c r="L30" s="22" t="n">
        <v>597700</v>
      </c>
      <c r="M30" s="22" t="n">
        <v>895700</v>
      </c>
      <c r="N30" s="22" t="n">
        <v>520600</v>
      </c>
      <c r="O30" s="22" t="n">
        <v>672900</v>
      </c>
      <c r="P30" s="22" t="n">
        <v>1053800</v>
      </c>
      <c r="Q30" s="22" t="n">
        <v>867000</v>
      </c>
      <c r="R30" s="22" t="n">
        <v>680800</v>
      </c>
      <c r="S30" s="22" t="n">
        <v>763400</v>
      </c>
      <c r="T30" s="22" t="n">
        <v>1079800</v>
      </c>
      <c r="U30" s="22" t="n">
        <v>819500</v>
      </c>
      <c r="V30" s="22" t="n">
        <v>1324800</v>
      </c>
      <c r="W30" s="22" t="n">
        <v>753700</v>
      </c>
      <c r="X30" s="22" t="n">
        <v>743700</v>
      </c>
      <c r="Y30" s="22" t="n">
        <v>919900</v>
      </c>
      <c r="Z30" s="22" t="n">
        <v>1628000</v>
      </c>
      <c r="AA30" s="22" t="n">
        <v>3298800</v>
      </c>
      <c r="AB30" s="22" t="n">
        <v>853200</v>
      </c>
      <c r="AC30" s="22" t="n">
        <v>1135600</v>
      </c>
      <c r="AD30" s="22" t="n">
        <v>963800</v>
      </c>
      <c r="AE30" s="22" t="n">
        <v>1073500</v>
      </c>
      <c r="AF30" s="22" t="n">
        <v>1073500</v>
      </c>
      <c r="AG30" s="22" t="n">
        <v>1346700</v>
      </c>
      <c r="AH30" s="22" t="n">
        <v>1466100</v>
      </c>
      <c r="AI30" s="22" t="n">
        <v>364000</v>
      </c>
      <c r="AJ30" s="22" t="n">
        <v>385300</v>
      </c>
      <c r="AK30" s="22" t="n">
        <v>417000</v>
      </c>
      <c r="AL30" s="22" t="n">
        <v>564800</v>
      </c>
      <c r="AM30" s="22" t="n">
        <v>447300</v>
      </c>
      <c r="AN30" s="22" t="n">
        <v>686500</v>
      </c>
      <c r="AO30" s="22" t="n">
        <v>732600</v>
      </c>
      <c r="AP30" s="22" t="n">
        <v>939200</v>
      </c>
      <c r="AQ30" s="22" t="n">
        <v>831300</v>
      </c>
      <c r="AR30" s="22" t="n">
        <v>540100</v>
      </c>
      <c r="AS30" s="22" t="n">
        <v>735200</v>
      </c>
      <c r="AT30" s="22" t="n">
        <v>671800</v>
      </c>
      <c r="AU30" s="22" t="n">
        <v>1029900</v>
      </c>
      <c r="AV30" s="22" t="n">
        <v>606200</v>
      </c>
      <c r="AW30" s="22" t="n">
        <v>975200</v>
      </c>
      <c r="AX30" s="22" t="n">
        <v>685900</v>
      </c>
      <c r="AY30" s="22" t="n">
        <v>783100</v>
      </c>
      <c r="AZ30" s="22" t="n">
        <v>342300</v>
      </c>
      <c r="BA30" s="22" t="n">
        <v>389600</v>
      </c>
      <c r="BB30" s="22" t="n">
        <v>720400</v>
      </c>
      <c r="BC30" s="22" t="n">
        <v>671900</v>
      </c>
      <c r="BD30" s="22" t="n">
        <v>672200</v>
      </c>
      <c r="BE30" s="22" t="n">
        <v>709400</v>
      </c>
      <c r="BF30" s="22" t="n">
        <v>714600</v>
      </c>
      <c r="BG30" s="22" t="n">
        <v>1846800</v>
      </c>
      <c r="BH30" s="22" t="n">
        <v>691300</v>
      </c>
      <c r="BI30" s="22" t="n">
        <v>491600</v>
      </c>
      <c r="BJ30" s="22" t="n">
        <v>942400</v>
      </c>
      <c r="BK30" s="22" t="n">
        <v>9130</v>
      </c>
      <c r="BL30" s="22" t="n">
        <v>550700</v>
      </c>
    </row>
    <row r="31" ht="15.95" customHeight="1" s="574">
      <c r="A31" s="416" t="inlineStr">
        <is>
          <t>8309</t>
        </is>
      </c>
      <c r="B31" s="49" t="inlineStr">
        <is>
          <t>三井住友トラストグルー</t>
        </is>
      </c>
      <c r="C31" s="53">
        <f>_xll.RssMarket("8309","出来高")</f>
        <v/>
      </c>
      <c r="D31" s="683">
        <f>C31-E31</f>
        <v/>
      </c>
      <c r="E31" s="213" t="n">
        <v>2043100</v>
      </c>
      <c r="F31" s="22" t="n">
        <v>3950000</v>
      </c>
      <c r="G31" s="22" t="n">
        <v>2857100</v>
      </c>
      <c r="H31" s="22" t="n">
        <v>2691100</v>
      </c>
      <c r="I31" s="22" t="n">
        <v>3081000</v>
      </c>
      <c r="J31" s="22" t="n">
        <v>4252000</v>
      </c>
      <c r="K31" s="22" t="n">
        <v>5125900</v>
      </c>
      <c r="L31" s="22" t="n">
        <v>3968400</v>
      </c>
      <c r="M31" s="22" t="n">
        <v>4151000</v>
      </c>
      <c r="N31" s="22" t="n">
        <v>2500700</v>
      </c>
      <c r="O31" s="22" t="n">
        <v>2703700</v>
      </c>
      <c r="P31" s="22" t="n">
        <v>2874700</v>
      </c>
      <c r="Q31" s="22" t="n">
        <v>2296200</v>
      </c>
      <c r="R31" s="22" t="n">
        <v>5401000</v>
      </c>
      <c r="S31" s="22" t="n">
        <v>2347600</v>
      </c>
      <c r="T31" s="22" t="n">
        <v>2045500</v>
      </c>
      <c r="U31" s="22" t="n">
        <v>2226400</v>
      </c>
      <c r="V31" s="22" t="n">
        <v>3554400</v>
      </c>
      <c r="W31" s="22" t="n">
        <v>2594000</v>
      </c>
      <c r="X31" s="22" t="n">
        <v>3805700</v>
      </c>
      <c r="Y31" s="22" t="n">
        <v>3417200</v>
      </c>
      <c r="Z31" s="22" t="n">
        <v>4260800</v>
      </c>
      <c r="AA31" s="22" t="n">
        <v>3861900</v>
      </c>
      <c r="AB31" s="22" t="n">
        <v>2454000</v>
      </c>
      <c r="AC31" s="22" t="n">
        <v>1593600</v>
      </c>
      <c r="AD31" s="22" t="n">
        <v>2087700</v>
      </c>
      <c r="AE31" s="22" t="n">
        <v>1912900</v>
      </c>
      <c r="AF31" s="22" t="n">
        <v>1912900</v>
      </c>
      <c r="AG31" s="22" t="n">
        <v>2738200</v>
      </c>
      <c r="AH31" s="22" t="n">
        <v>4461200</v>
      </c>
      <c r="AI31" s="22" t="n">
        <v>2035000</v>
      </c>
      <c r="AJ31" s="22" t="n">
        <v>2965200</v>
      </c>
      <c r="AK31" s="22" t="n">
        <v>3150000</v>
      </c>
      <c r="AL31" s="22" t="n">
        <v>2045200</v>
      </c>
      <c r="AM31" s="22" t="n">
        <v>1093700</v>
      </c>
      <c r="AN31" s="22" t="n">
        <v>1516200</v>
      </c>
      <c r="AO31" s="22" t="n">
        <v>1622100</v>
      </c>
      <c r="AP31" s="22" t="n">
        <v>1950000</v>
      </c>
      <c r="AQ31" s="22" t="n">
        <v>1562900</v>
      </c>
      <c r="AR31" s="22" t="n">
        <v>2059300</v>
      </c>
      <c r="AS31" s="22" t="n">
        <v>1995400</v>
      </c>
      <c r="AT31" s="22" t="n">
        <v>2074300</v>
      </c>
      <c r="AU31" s="22" t="n">
        <v>1917300</v>
      </c>
      <c r="AV31" s="22" t="n">
        <v>1404200</v>
      </c>
      <c r="AW31" s="22" t="n">
        <v>1969700</v>
      </c>
      <c r="AX31" s="22" t="n">
        <v>1987500</v>
      </c>
      <c r="AY31" s="22" t="n">
        <v>3258200</v>
      </c>
      <c r="AZ31" s="22" t="n">
        <v>974700</v>
      </c>
      <c r="BA31" s="22" t="n">
        <v>994100</v>
      </c>
      <c r="BB31" s="22" t="n">
        <v>1314000</v>
      </c>
      <c r="BC31" s="22" t="n">
        <v>1706700</v>
      </c>
      <c r="BD31" s="22" t="n">
        <v>2084900</v>
      </c>
      <c r="BE31" s="22" t="n">
        <v>2511500</v>
      </c>
      <c r="BF31" s="22" t="n">
        <v>2553900</v>
      </c>
      <c r="BG31" s="22" t="n">
        <v>1766700</v>
      </c>
      <c r="BH31" s="22" t="n">
        <v>2067000</v>
      </c>
      <c r="BI31" s="22" t="n">
        <v>1461400</v>
      </c>
      <c r="BJ31" s="22" t="n">
        <v>2453400</v>
      </c>
      <c r="BK31" s="22" t="n">
        <v>2920800</v>
      </c>
      <c r="BL31" s="22" t="n">
        <v>2667000</v>
      </c>
    </row>
    <row r="32" ht="15.95" customHeight="1" s="574">
      <c r="A32" s="416" t="inlineStr">
        <is>
          <t>3863</t>
        </is>
      </c>
      <c r="B32" s="49" t="inlineStr">
        <is>
          <t>日本製紙</t>
        </is>
      </c>
      <c r="C32" s="53">
        <f>_xll.RssMarket("3863","出来高")</f>
        <v/>
      </c>
      <c r="D32" s="683">
        <f>C32-E32</f>
        <v/>
      </c>
      <c r="E32" s="213" t="n">
        <v>702800</v>
      </c>
      <c r="F32" s="22" t="n">
        <v>1421200</v>
      </c>
      <c r="G32" s="22" t="n">
        <v>1064600</v>
      </c>
      <c r="H32" s="22" t="n">
        <v>606200</v>
      </c>
      <c r="I32" s="22" t="n">
        <v>732100</v>
      </c>
      <c r="J32" s="22" t="n">
        <v>872700</v>
      </c>
      <c r="K32" s="22" t="n">
        <v>652800</v>
      </c>
      <c r="L32" s="22" t="n">
        <v>980600</v>
      </c>
      <c r="M32" s="22" t="n">
        <v>1824900</v>
      </c>
      <c r="N32" s="22" t="n">
        <v>1528600</v>
      </c>
      <c r="O32" s="22" t="n">
        <v>1617800</v>
      </c>
      <c r="P32" s="22" t="n">
        <v>2471900</v>
      </c>
      <c r="Q32" s="22" t="n">
        <v>1396200</v>
      </c>
      <c r="R32" s="22" t="n">
        <v>2523400</v>
      </c>
      <c r="S32" s="22" t="n">
        <v>1788300</v>
      </c>
      <c r="T32" s="22" t="n">
        <v>2122300</v>
      </c>
      <c r="U32" s="22" t="n">
        <v>582000</v>
      </c>
      <c r="V32" s="22" t="n">
        <v>676300</v>
      </c>
      <c r="W32" s="22" t="n">
        <v>799900</v>
      </c>
      <c r="X32" s="22" t="n">
        <v>1236600</v>
      </c>
      <c r="Y32" s="22" t="n">
        <v>1086600</v>
      </c>
      <c r="Z32" s="22" t="n">
        <v>1487600</v>
      </c>
      <c r="AA32" s="22" t="n">
        <v>1738300</v>
      </c>
      <c r="AB32" s="22" t="n">
        <v>912500</v>
      </c>
      <c r="AC32" s="22" t="n">
        <v>2236200</v>
      </c>
      <c r="AD32" s="22" t="n">
        <v>1048000</v>
      </c>
      <c r="AE32" s="22" t="n">
        <v>1359100</v>
      </c>
      <c r="AF32" s="22" t="n">
        <v>1359100</v>
      </c>
      <c r="AG32" s="22" t="n">
        <v>1211900</v>
      </c>
      <c r="AH32" s="22" t="n">
        <v>1761900</v>
      </c>
      <c r="AI32" s="22" t="n">
        <v>1512800</v>
      </c>
      <c r="AJ32" s="22" t="n">
        <v>1657300</v>
      </c>
      <c r="AK32" s="22" t="n">
        <v>1133000</v>
      </c>
      <c r="AL32" s="22" t="n">
        <v>1885400</v>
      </c>
      <c r="AM32" s="22" t="n">
        <v>979200</v>
      </c>
      <c r="AN32" s="22" t="n">
        <v>2324300</v>
      </c>
      <c r="AO32" s="22" t="n">
        <v>1412000</v>
      </c>
      <c r="AP32" s="22" t="n">
        <v>1410400</v>
      </c>
      <c r="AQ32" s="22" t="n">
        <v>1414000</v>
      </c>
      <c r="AR32" s="22" t="n">
        <v>1241200</v>
      </c>
      <c r="AS32" s="22" t="n">
        <v>1287200</v>
      </c>
      <c r="AT32" s="22" t="n">
        <v>2021400</v>
      </c>
      <c r="AU32" s="22" t="n">
        <v>695300</v>
      </c>
      <c r="AV32" s="22" t="n">
        <v>603700</v>
      </c>
      <c r="AW32" s="22" t="n">
        <v>760300</v>
      </c>
      <c r="AX32" s="22" t="n">
        <v>596700</v>
      </c>
      <c r="AY32" s="22" t="n">
        <v>703400</v>
      </c>
      <c r="AZ32" s="22" t="n">
        <v>625900</v>
      </c>
      <c r="BA32" s="22" t="n">
        <v>458000</v>
      </c>
      <c r="BB32" s="22" t="n">
        <v>591000</v>
      </c>
      <c r="BC32" s="22" t="n">
        <v>676800</v>
      </c>
      <c r="BD32" s="22" t="n">
        <v>901700</v>
      </c>
      <c r="BE32" s="22" t="n">
        <v>1667500</v>
      </c>
      <c r="BF32" s="22" t="n">
        <v>1561800</v>
      </c>
      <c r="BG32" s="22" t="n">
        <v>1271900</v>
      </c>
      <c r="BH32" s="22" t="n">
        <v>752100</v>
      </c>
      <c r="BI32" s="22" t="n">
        <v>897000</v>
      </c>
      <c r="BJ32" s="22" t="n">
        <v>1697200</v>
      </c>
      <c r="BK32" s="22" t="n">
        <v>2112200</v>
      </c>
      <c r="BL32" s="22" t="n">
        <v>602100</v>
      </c>
    </row>
    <row r="33" ht="15.95" customHeight="1" s="574">
      <c r="A33" s="416" t="inlineStr">
        <is>
          <t>8601</t>
        </is>
      </c>
      <c r="B33" s="49" t="inlineStr">
        <is>
          <t>大和証券Ｇ本社</t>
        </is>
      </c>
      <c r="C33" s="53">
        <f>_xll.RssMarket("8601","出来高")</f>
        <v/>
      </c>
      <c r="D33" s="683">
        <f>C33-E33</f>
        <v/>
      </c>
      <c r="E33" s="213" t="n">
        <v>3805800</v>
      </c>
      <c r="F33" s="22" t="n">
        <v>6389300</v>
      </c>
      <c r="G33" s="22" t="n">
        <v>4353300</v>
      </c>
      <c r="H33" s="22" t="n">
        <v>4357200</v>
      </c>
      <c r="I33" s="22" t="n">
        <v>4022300</v>
      </c>
      <c r="J33" s="22" t="n">
        <v>5437300</v>
      </c>
      <c r="K33" s="22" t="n">
        <v>3030000</v>
      </c>
      <c r="L33" s="22" t="n">
        <v>4167700</v>
      </c>
      <c r="M33" s="22" t="n">
        <v>4322400</v>
      </c>
      <c r="N33" s="22" t="n">
        <v>4149000</v>
      </c>
      <c r="O33" s="22" t="n">
        <v>3463400</v>
      </c>
      <c r="P33" s="22" t="n">
        <v>3870400</v>
      </c>
      <c r="Q33" s="22" t="n">
        <v>3797700</v>
      </c>
      <c r="R33" s="22" t="n">
        <v>8997000</v>
      </c>
      <c r="S33" s="22" t="n">
        <v>4196500</v>
      </c>
      <c r="T33" s="22" t="n">
        <v>5081300</v>
      </c>
      <c r="U33" s="22" t="n">
        <v>3631600</v>
      </c>
      <c r="V33" s="22" t="n">
        <v>4164800</v>
      </c>
      <c r="W33" s="22" t="n">
        <v>3890200</v>
      </c>
      <c r="X33" s="22" t="n">
        <v>4533600</v>
      </c>
      <c r="Y33" s="22" t="n">
        <v>3479900</v>
      </c>
      <c r="Z33" s="22" t="n">
        <v>3496800</v>
      </c>
      <c r="AA33" s="22" t="n">
        <v>4189800</v>
      </c>
      <c r="AB33" s="22" t="n">
        <v>4109400</v>
      </c>
      <c r="AC33" s="22" t="n">
        <v>3881500</v>
      </c>
      <c r="AD33" s="22" t="n">
        <v>4032100</v>
      </c>
      <c r="AE33" s="22" t="n">
        <v>4199000</v>
      </c>
      <c r="AF33" s="22" t="n">
        <v>4199000</v>
      </c>
      <c r="AG33" s="22" t="n">
        <v>7216100</v>
      </c>
      <c r="AH33" s="22" t="n">
        <v>9013600</v>
      </c>
      <c r="AI33" s="22" t="n">
        <v>5777300</v>
      </c>
      <c r="AJ33" s="22" t="n">
        <v>8593100</v>
      </c>
      <c r="AK33" s="22" t="n">
        <v>12085100</v>
      </c>
      <c r="AL33" s="22" t="n">
        <v>6612300</v>
      </c>
      <c r="AM33" s="22" t="n">
        <v>4046500</v>
      </c>
      <c r="AN33" s="22" t="n">
        <v>4241200</v>
      </c>
      <c r="AO33" s="22" t="n">
        <v>3293200</v>
      </c>
      <c r="AP33" s="22" t="n">
        <v>3396500</v>
      </c>
      <c r="AQ33" s="22" t="n">
        <v>3208200</v>
      </c>
      <c r="AR33" s="22" t="n">
        <v>3596600</v>
      </c>
      <c r="AS33" s="22" t="n">
        <v>4904000</v>
      </c>
      <c r="AT33" s="22" t="n">
        <v>3977300</v>
      </c>
      <c r="AU33" s="22" t="n">
        <v>3826600</v>
      </c>
      <c r="AV33" s="22" t="n">
        <v>2354100</v>
      </c>
      <c r="AW33" s="22" t="n">
        <v>3499500</v>
      </c>
      <c r="AX33" s="22" t="n">
        <v>4445700</v>
      </c>
      <c r="AY33" s="22" t="n">
        <v>4806500</v>
      </c>
      <c r="AZ33" s="22" t="n">
        <v>3047400</v>
      </c>
      <c r="BA33" s="22" t="n">
        <v>2499700</v>
      </c>
      <c r="BB33" s="22" t="n">
        <v>2567200</v>
      </c>
      <c r="BC33" s="22" t="n">
        <v>4275500</v>
      </c>
      <c r="BD33" s="22" t="n">
        <v>5103600</v>
      </c>
      <c r="BE33" s="22" t="n">
        <v>8031200</v>
      </c>
      <c r="BF33" s="22" t="n">
        <v>7478100</v>
      </c>
      <c r="BG33" s="22" t="n">
        <v>5219900</v>
      </c>
      <c r="BH33" s="22" t="n">
        <v>5854600</v>
      </c>
      <c r="BI33" s="22" t="n">
        <v>3845100</v>
      </c>
      <c r="BJ33" s="22" t="n">
        <v>6369800</v>
      </c>
      <c r="BK33" s="22" t="n">
        <v>7537900</v>
      </c>
      <c r="BL33" s="22" t="n">
        <v>3765400</v>
      </c>
    </row>
    <row r="34" ht="15.95" customHeight="1" s="574">
      <c r="A34" s="416" t="inlineStr">
        <is>
          <t>5233</t>
        </is>
      </c>
      <c r="B34" s="49" t="inlineStr">
        <is>
          <t>太平洋セメント</t>
        </is>
      </c>
      <c r="C34" s="53">
        <f>_xll.RssMarket("5233","出来高")</f>
        <v/>
      </c>
      <c r="D34" s="683">
        <f>C34-E34</f>
        <v/>
      </c>
      <c r="E34" s="213" t="n">
        <v>735500</v>
      </c>
      <c r="F34" s="22" t="n">
        <v>700900</v>
      </c>
      <c r="G34" s="22" t="n">
        <v>705900</v>
      </c>
      <c r="H34" s="22" t="n">
        <v>606300</v>
      </c>
      <c r="I34" s="22" t="n">
        <v>503700</v>
      </c>
      <c r="J34" s="22" t="n">
        <v>909000</v>
      </c>
      <c r="K34" s="22" t="n">
        <v>728500</v>
      </c>
      <c r="L34" s="22" t="n">
        <v>779900</v>
      </c>
      <c r="M34" s="22" t="n">
        <v>610100</v>
      </c>
      <c r="N34" s="22" t="n">
        <v>456500</v>
      </c>
      <c r="O34" s="22" t="n">
        <v>408700</v>
      </c>
      <c r="P34" s="22" t="n">
        <v>453900</v>
      </c>
      <c r="Q34" s="22" t="n">
        <v>583600</v>
      </c>
      <c r="R34" s="22" t="n">
        <v>1436900</v>
      </c>
      <c r="S34" s="22" t="n">
        <v>865000</v>
      </c>
      <c r="T34" s="22" t="n">
        <v>563600</v>
      </c>
      <c r="U34" s="22" t="n">
        <v>533400</v>
      </c>
      <c r="V34" s="22" t="n">
        <v>585000</v>
      </c>
      <c r="W34" s="22" t="n">
        <v>574900</v>
      </c>
      <c r="X34" s="22" t="n">
        <v>660200</v>
      </c>
      <c r="Y34" s="22" t="n">
        <v>623400</v>
      </c>
      <c r="Z34" s="22" t="n">
        <v>914900</v>
      </c>
      <c r="AA34" s="22" t="n">
        <v>1020100</v>
      </c>
      <c r="AB34" s="22" t="n">
        <v>1157600</v>
      </c>
      <c r="AC34" s="22" t="n">
        <v>2078500</v>
      </c>
      <c r="AD34" s="22" t="n">
        <v>2207100</v>
      </c>
      <c r="AE34" s="22" t="n">
        <v>766600</v>
      </c>
      <c r="AF34" s="22" t="n">
        <v>766600</v>
      </c>
      <c r="AG34" s="22" t="n">
        <v>588200</v>
      </c>
      <c r="AH34" s="22" t="n">
        <v>764800</v>
      </c>
      <c r="AI34" s="22" t="n">
        <v>404700</v>
      </c>
      <c r="AJ34" s="22" t="n">
        <v>633900</v>
      </c>
      <c r="AK34" s="22" t="n">
        <v>500100</v>
      </c>
      <c r="AL34" s="22" t="n">
        <v>639300</v>
      </c>
      <c r="AM34" s="22" t="n">
        <v>455200</v>
      </c>
      <c r="AN34" s="22" t="n">
        <v>627400</v>
      </c>
      <c r="AO34" s="22" t="n">
        <v>336900</v>
      </c>
      <c r="AP34" s="22" t="n">
        <v>343900</v>
      </c>
      <c r="AQ34" s="22" t="n">
        <v>548800</v>
      </c>
      <c r="AR34" s="22" t="n">
        <v>410400</v>
      </c>
      <c r="AS34" s="22" t="n">
        <v>502700</v>
      </c>
      <c r="AT34" s="22" t="n">
        <v>569200</v>
      </c>
      <c r="AU34" s="22" t="n">
        <v>401800</v>
      </c>
      <c r="AV34" s="22" t="n">
        <v>431900</v>
      </c>
      <c r="AW34" s="22" t="n">
        <v>671000</v>
      </c>
      <c r="AX34" s="22" t="n">
        <v>796100</v>
      </c>
      <c r="AY34" s="22" t="n">
        <v>1125700</v>
      </c>
      <c r="AZ34" s="22" t="n">
        <v>498000</v>
      </c>
      <c r="BA34" s="22" t="n">
        <v>493000</v>
      </c>
      <c r="BB34" s="22" t="n">
        <v>288500</v>
      </c>
      <c r="BC34" s="22" t="n">
        <v>653500</v>
      </c>
      <c r="BD34" s="22" t="n">
        <v>648100</v>
      </c>
      <c r="BE34" s="22" t="n">
        <v>863000</v>
      </c>
      <c r="BF34" s="22" t="n">
        <v>600900</v>
      </c>
      <c r="BG34" s="22" t="n">
        <v>776800</v>
      </c>
      <c r="BH34" s="22" t="n">
        <v>782800</v>
      </c>
      <c r="BI34" s="22" t="n">
        <v>679500</v>
      </c>
      <c r="BJ34" s="22" t="n">
        <v>1087500</v>
      </c>
      <c r="BK34" s="22" t="n">
        <v>1614200</v>
      </c>
      <c r="BL34" s="22" t="n">
        <v>353900</v>
      </c>
    </row>
    <row r="35" ht="15.95" customHeight="1" s="574">
      <c r="A35" s="416" t="inlineStr">
        <is>
          <t>8308</t>
        </is>
      </c>
      <c r="B35" s="49" t="inlineStr">
        <is>
          <t>りそなホールディングス</t>
        </is>
      </c>
      <c r="C35" s="53">
        <f>_xll.RssMarket("8308","出来高")</f>
        <v/>
      </c>
      <c r="D35" s="683">
        <f>C35-E35</f>
        <v/>
      </c>
      <c r="E35" s="213" t="n">
        <v>7169400</v>
      </c>
      <c r="F35" s="22" t="n">
        <v>14315100</v>
      </c>
      <c r="G35" s="22" t="n">
        <v>12098800</v>
      </c>
      <c r="H35" s="22" t="n">
        <v>10336500</v>
      </c>
      <c r="I35" s="22" t="n">
        <v>11756200</v>
      </c>
      <c r="J35" s="22" t="n">
        <v>11972000</v>
      </c>
      <c r="K35" s="22" t="n">
        <v>14673600</v>
      </c>
      <c r="L35" s="22" t="n">
        <v>11797200</v>
      </c>
      <c r="M35" s="22" t="n">
        <v>9733400</v>
      </c>
      <c r="N35" s="22" t="n">
        <v>8793900</v>
      </c>
      <c r="O35" s="22" t="n">
        <v>10316900</v>
      </c>
      <c r="P35" s="22" t="n">
        <v>7162100</v>
      </c>
      <c r="Q35" s="22" t="n">
        <v>8197400</v>
      </c>
      <c r="R35" s="22" t="n">
        <v>9765600</v>
      </c>
      <c r="S35" s="22" t="n">
        <v>8129700</v>
      </c>
      <c r="T35" s="22" t="n">
        <v>9183700</v>
      </c>
      <c r="U35" s="22" t="n">
        <v>6534900</v>
      </c>
      <c r="V35" s="22" t="n">
        <v>7337300</v>
      </c>
      <c r="W35" s="22" t="n">
        <v>11942000</v>
      </c>
      <c r="X35" s="22" t="n">
        <v>12149200</v>
      </c>
      <c r="Y35" s="22" t="n">
        <v>8930900</v>
      </c>
      <c r="Z35" s="22" t="n">
        <v>8484200</v>
      </c>
      <c r="AA35" s="22" t="n">
        <v>10223500</v>
      </c>
      <c r="AB35" s="22" t="n">
        <v>8320400</v>
      </c>
      <c r="AC35" s="22" t="n">
        <v>10331200</v>
      </c>
      <c r="AD35" s="22" t="n">
        <v>9667900</v>
      </c>
      <c r="AE35" s="22" t="n">
        <v>9074400</v>
      </c>
      <c r="AF35" s="22" t="n">
        <v>9074400</v>
      </c>
      <c r="AG35" s="22" t="n">
        <v>9329900</v>
      </c>
      <c r="AH35" s="22" t="n">
        <v>12362900</v>
      </c>
      <c r="AI35" s="22" t="n">
        <v>5900900</v>
      </c>
      <c r="AJ35" s="22" t="n">
        <v>12810700</v>
      </c>
      <c r="AK35" s="22" t="n">
        <v>16843800</v>
      </c>
      <c r="AL35" s="22" t="n">
        <v>5059300</v>
      </c>
      <c r="AM35" s="22" t="n">
        <v>7046400</v>
      </c>
      <c r="AN35" s="22" t="n">
        <v>18447300</v>
      </c>
      <c r="AO35" s="22" t="n">
        <v>8762100</v>
      </c>
      <c r="AP35" s="22" t="n">
        <v>6738400</v>
      </c>
      <c r="AQ35" s="22" t="n">
        <v>10064200</v>
      </c>
      <c r="AR35" s="22" t="n">
        <v>15280900</v>
      </c>
      <c r="AS35" s="22" t="n">
        <v>8546700</v>
      </c>
      <c r="AT35" s="22" t="n">
        <v>10257900</v>
      </c>
      <c r="AU35" s="22" t="n">
        <v>6005200</v>
      </c>
      <c r="AV35" s="22" t="n">
        <v>4377100</v>
      </c>
      <c r="AW35" s="22" t="n">
        <v>7105700</v>
      </c>
      <c r="AX35" s="22" t="n">
        <v>7250800</v>
      </c>
      <c r="AY35" s="22" t="n">
        <v>8590300</v>
      </c>
      <c r="AZ35" s="22" t="n">
        <v>5668400</v>
      </c>
      <c r="BA35" s="22" t="n">
        <v>4540300</v>
      </c>
      <c r="BB35" s="22" t="n">
        <v>3322000</v>
      </c>
      <c r="BC35" s="22" t="n">
        <v>8626900</v>
      </c>
      <c r="BD35" s="22" t="n">
        <v>10820600</v>
      </c>
      <c r="BE35" s="22" t="n">
        <v>9333400</v>
      </c>
      <c r="BF35" s="22" t="n">
        <v>8805700</v>
      </c>
      <c r="BG35" s="22" t="n">
        <v>5436900</v>
      </c>
      <c r="BH35" s="22" t="n">
        <v>9652500</v>
      </c>
      <c r="BI35" s="22" t="n">
        <v>8429500</v>
      </c>
      <c r="BJ35" s="22" t="n">
        <v>8531700</v>
      </c>
      <c r="BK35" s="22" t="n">
        <v>7351300</v>
      </c>
      <c r="BL35" s="22" t="n">
        <v>7333300</v>
      </c>
    </row>
    <row r="36" ht="15.95" customHeight="1" s="574">
      <c r="A36" s="416" t="inlineStr">
        <is>
          <t>5938</t>
        </is>
      </c>
      <c r="B36" s="49" t="inlineStr">
        <is>
          <t>ＬＩＸＩＬ</t>
        </is>
      </c>
      <c r="C36" s="53">
        <f>_xll.RssMarket("5938","出来高")</f>
        <v/>
      </c>
      <c r="D36" s="683">
        <f>C36-E36</f>
        <v/>
      </c>
      <c r="E36" s="213" t="n">
        <v>1520600</v>
      </c>
      <c r="F36" s="22" t="n">
        <v>2075500</v>
      </c>
      <c r="G36" s="22" t="n">
        <v>1652000</v>
      </c>
      <c r="H36" s="22" t="n">
        <v>1721200</v>
      </c>
      <c r="I36" s="22" t="n">
        <v>1328400</v>
      </c>
      <c r="J36" s="22" t="n">
        <v>2242600</v>
      </c>
      <c r="K36" s="22" t="n">
        <v>1681600</v>
      </c>
      <c r="L36" s="22" t="n">
        <v>2358400</v>
      </c>
      <c r="M36" s="22" t="n">
        <v>2417400</v>
      </c>
      <c r="N36" s="22" t="n">
        <v>1383200</v>
      </c>
      <c r="O36" s="22" t="n">
        <v>1465300</v>
      </c>
      <c r="P36" s="22" t="n">
        <v>1888000</v>
      </c>
      <c r="Q36" s="22" t="n">
        <v>2042200</v>
      </c>
      <c r="R36" s="22" t="n">
        <v>2790900</v>
      </c>
      <c r="S36" s="22" t="n">
        <v>1810900</v>
      </c>
      <c r="T36" s="22" t="n">
        <v>1659800</v>
      </c>
      <c r="U36" s="22" t="n">
        <v>1394200</v>
      </c>
      <c r="V36" s="22" t="n">
        <v>1022700</v>
      </c>
      <c r="W36" s="22" t="n">
        <v>1297000</v>
      </c>
      <c r="X36" s="22" t="n">
        <v>2376800</v>
      </c>
      <c r="Y36" s="22" t="n">
        <v>1383200</v>
      </c>
      <c r="Z36" s="22" t="n">
        <v>1636800</v>
      </c>
      <c r="AA36" s="22" t="n">
        <v>1694000</v>
      </c>
      <c r="AB36" s="22" t="n">
        <v>1620100</v>
      </c>
      <c r="AC36" s="22" t="n">
        <v>1285300</v>
      </c>
      <c r="AD36" s="22" t="n">
        <v>1666400</v>
      </c>
      <c r="AE36" s="22" t="n">
        <v>2120800</v>
      </c>
      <c r="AF36" s="22" t="n">
        <v>2120800</v>
      </c>
      <c r="AG36" s="22" t="n">
        <v>2687500</v>
      </c>
      <c r="AH36" s="22" t="n">
        <v>3711700</v>
      </c>
      <c r="AI36" s="22" t="n">
        <v>3850200</v>
      </c>
      <c r="AJ36" s="22" t="n">
        <v>5742500</v>
      </c>
      <c r="AK36" s="22" t="n">
        <v>1792400</v>
      </c>
      <c r="AL36" s="22" t="n">
        <v>1477000</v>
      </c>
      <c r="AM36" s="22" t="n">
        <v>1173700</v>
      </c>
      <c r="AN36" s="22" t="n">
        <v>4119200</v>
      </c>
      <c r="AO36" s="22" t="n">
        <v>1646600</v>
      </c>
      <c r="AP36" s="22" t="n">
        <v>1471100</v>
      </c>
      <c r="AQ36" s="22" t="n">
        <v>1838100</v>
      </c>
      <c r="AR36" s="22" t="n">
        <v>2059200</v>
      </c>
      <c r="AS36" s="22" t="n">
        <v>2624400</v>
      </c>
      <c r="AT36" s="22" t="n">
        <v>1958200</v>
      </c>
      <c r="AU36" s="22" t="n">
        <v>3155000</v>
      </c>
      <c r="AV36" s="22" t="n">
        <v>4855500</v>
      </c>
      <c r="AW36" s="22" t="n">
        <v>1458300</v>
      </c>
      <c r="AX36" s="22" t="n">
        <v>1413500</v>
      </c>
      <c r="AY36" s="22" t="n">
        <v>2104100</v>
      </c>
      <c r="AZ36" s="22" t="n">
        <v>1414600</v>
      </c>
      <c r="BA36" s="22" t="n">
        <v>1348000</v>
      </c>
      <c r="BB36" s="22" t="n">
        <v>1436100</v>
      </c>
      <c r="BC36" s="22" t="n">
        <v>2903700</v>
      </c>
      <c r="BD36" s="22" t="n">
        <v>1723400</v>
      </c>
      <c r="BE36" s="22" t="n">
        <v>3442800</v>
      </c>
      <c r="BF36" s="22" t="n">
        <v>3662800</v>
      </c>
      <c r="BG36" s="22" t="n">
        <v>2811400</v>
      </c>
      <c r="BH36" s="22" t="n">
        <v>3055900</v>
      </c>
      <c r="BI36" s="22" t="n">
        <v>3100600</v>
      </c>
      <c r="BJ36" s="22" t="n">
        <v>4835300</v>
      </c>
      <c r="BK36" s="22" t="n">
        <v>6390200</v>
      </c>
      <c r="BL36" s="22" t="n">
        <v>1887000</v>
      </c>
    </row>
    <row r="37" ht="15.95" customHeight="1" s="574">
      <c r="A37" s="416" t="inlineStr">
        <is>
          <t>8570</t>
        </is>
      </c>
      <c r="B37" s="49" t="inlineStr">
        <is>
          <t>イオンフィナンシャルサービス</t>
        </is>
      </c>
      <c r="C37" s="53">
        <f>_xll.RssMarket("8570","出来高")</f>
        <v/>
      </c>
      <c r="D37" s="683">
        <f>C37-E37</f>
        <v/>
      </c>
      <c r="E37" s="213" t="n">
        <v>578900</v>
      </c>
      <c r="F37" s="22" t="n">
        <v>947400</v>
      </c>
      <c r="G37" s="22" t="n">
        <v>524100</v>
      </c>
      <c r="H37" s="22" t="n">
        <v>338900</v>
      </c>
      <c r="I37" s="22" t="n">
        <v>326000</v>
      </c>
      <c r="J37" s="22" t="n">
        <v>595600</v>
      </c>
      <c r="K37" s="22" t="n">
        <v>448600</v>
      </c>
      <c r="L37" s="22" t="n">
        <v>787900</v>
      </c>
      <c r="M37" s="22" t="n">
        <v>552000</v>
      </c>
      <c r="N37" s="22" t="n">
        <v>589600</v>
      </c>
      <c r="O37" s="22" t="n">
        <v>577500</v>
      </c>
      <c r="P37" s="22" t="n">
        <v>523100</v>
      </c>
      <c r="Q37" s="22" t="n">
        <v>539600</v>
      </c>
      <c r="R37" s="22" t="n">
        <v>785000</v>
      </c>
      <c r="S37" s="22" t="n">
        <v>689200</v>
      </c>
      <c r="T37" s="22" t="n">
        <v>517300</v>
      </c>
      <c r="U37" s="22" t="n">
        <v>568400</v>
      </c>
      <c r="V37" s="22" t="n">
        <v>474000</v>
      </c>
      <c r="W37" s="22" t="n">
        <v>609400</v>
      </c>
      <c r="X37" s="22" t="n">
        <v>731900</v>
      </c>
      <c r="Y37" s="22" t="n">
        <v>865400</v>
      </c>
      <c r="Z37" s="22" t="n">
        <v>714400</v>
      </c>
      <c r="AA37" s="22" t="n">
        <v>744700</v>
      </c>
      <c r="AB37" s="22" t="n">
        <v>571700</v>
      </c>
      <c r="AC37" s="22" t="n">
        <v>503200</v>
      </c>
      <c r="AD37" s="22" t="n">
        <v>435100</v>
      </c>
      <c r="AE37" s="22" t="n">
        <v>600700</v>
      </c>
      <c r="AF37" s="22" t="n">
        <v>600700</v>
      </c>
      <c r="AG37" s="22" t="n">
        <v>1122500</v>
      </c>
      <c r="AH37" s="22" t="n">
        <v>837400</v>
      </c>
      <c r="AI37" s="22" t="n">
        <v>539300</v>
      </c>
      <c r="AJ37" s="22" t="n">
        <v>749300</v>
      </c>
      <c r="AK37" s="22" t="n">
        <v>465500</v>
      </c>
      <c r="AL37" s="22" t="n">
        <v>471100</v>
      </c>
      <c r="AM37" s="22" t="n">
        <v>508100</v>
      </c>
      <c r="AN37" s="22" t="n">
        <v>575900</v>
      </c>
      <c r="AO37" s="22" t="n">
        <v>816800</v>
      </c>
      <c r="AP37" s="22" t="n">
        <v>574800</v>
      </c>
      <c r="AQ37" s="22" t="n">
        <v>460700</v>
      </c>
      <c r="AR37" s="22" t="n">
        <v>553600</v>
      </c>
      <c r="AS37" s="22" t="n">
        <v>583700</v>
      </c>
      <c r="AT37" s="22" t="n">
        <v>521200</v>
      </c>
      <c r="AU37" s="22" t="n">
        <v>733000</v>
      </c>
      <c r="AV37" s="22" t="n">
        <v>1286200</v>
      </c>
      <c r="AW37" s="22" t="n">
        <v>1275000</v>
      </c>
      <c r="AX37" s="22" t="n">
        <v>3418500</v>
      </c>
      <c r="AY37" s="22" t="n">
        <v>565900</v>
      </c>
      <c r="AZ37" s="22" t="n">
        <v>272000</v>
      </c>
      <c r="BA37" s="22" t="n">
        <v>239300</v>
      </c>
      <c r="BB37" s="22" t="n">
        <v>226900</v>
      </c>
      <c r="BC37" s="22" t="n">
        <v>294600</v>
      </c>
      <c r="BD37" s="22" t="n">
        <v>349900</v>
      </c>
      <c r="BE37" s="22" t="n">
        <v>605800</v>
      </c>
      <c r="BF37" s="22" t="n">
        <v>460700</v>
      </c>
      <c r="BG37" s="22" t="n">
        <v>330300</v>
      </c>
      <c r="BH37" s="22" t="n">
        <v>358400</v>
      </c>
      <c r="BI37" s="22" t="n">
        <v>347000</v>
      </c>
      <c r="BJ37" s="22" t="n">
        <v>443900</v>
      </c>
      <c r="BK37" s="22" t="n">
        <v>343100</v>
      </c>
      <c r="BL37" s="22" t="n">
        <v>331400</v>
      </c>
    </row>
    <row r="38" ht="15.95" customHeight="1" s="574">
      <c r="A38" s="416" t="inlineStr">
        <is>
          <t>5406</t>
        </is>
      </c>
      <c r="B38" s="49" t="inlineStr">
        <is>
          <t>神戸製鋼所</t>
        </is>
      </c>
      <c r="C38" s="53">
        <f>_xll.RssMarket("5406","出来高")</f>
        <v/>
      </c>
      <c r="D38" s="683">
        <f>C38-E38</f>
        <v/>
      </c>
      <c r="E38" s="213" t="n">
        <v>1377000</v>
      </c>
      <c r="F38" s="22" t="n">
        <v>2797700</v>
      </c>
      <c r="G38" s="22" t="n">
        <v>1646200</v>
      </c>
      <c r="H38" s="22" t="n">
        <v>1310000</v>
      </c>
      <c r="I38" s="22" t="n">
        <v>1124000</v>
      </c>
      <c r="J38" s="22" t="n">
        <v>2761200</v>
      </c>
      <c r="K38" s="22" t="n">
        <v>1777900</v>
      </c>
      <c r="L38" s="22" t="n">
        <v>1619400</v>
      </c>
      <c r="M38" s="22" t="n">
        <v>2268500</v>
      </c>
      <c r="N38" s="22" t="n">
        <v>1724300</v>
      </c>
      <c r="O38" s="22" t="n">
        <v>1785000</v>
      </c>
      <c r="P38" s="22" t="n">
        <v>1379700</v>
      </c>
      <c r="Q38" s="22" t="n">
        <v>1761500</v>
      </c>
      <c r="R38" s="22" t="n">
        <v>2512100</v>
      </c>
      <c r="S38" s="22" t="n">
        <v>1853000</v>
      </c>
      <c r="T38" s="22" t="n">
        <v>2515400</v>
      </c>
      <c r="U38" s="22" t="n">
        <v>1639900</v>
      </c>
      <c r="V38" s="22" t="n">
        <v>1886300</v>
      </c>
      <c r="W38" s="22" t="n">
        <v>1894000</v>
      </c>
      <c r="X38" s="22" t="n">
        <v>2091100</v>
      </c>
      <c r="Y38" s="22" t="n">
        <v>2464500</v>
      </c>
      <c r="Z38" s="22" t="n">
        <v>2079800</v>
      </c>
      <c r="AA38" s="22" t="n">
        <v>1834800</v>
      </c>
      <c r="AB38" s="22" t="n">
        <v>2061400</v>
      </c>
      <c r="AC38" s="22" t="n">
        <v>2340700</v>
      </c>
      <c r="AD38" s="22" t="n">
        <v>3805000</v>
      </c>
      <c r="AE38" s="22" t="n">
        <v>9319400</v>
      </c>
      <c r="AF38" s="22" t="n">
        <v>9319400</v>
      </c>
      <c r="AG38" s="22" t="n">
        <v>3010900</v>
      </c>
      <c r="AH38" s="22" t="n">
        <v>4574800</v>
      </c>
      <c r="AI38" s="22" t="n">
        <v>2241100</v>
      </c>
      <c r="AJ38" s="22" t="n">
        <v>3457100</v>
      </c>
      <c r="AK38" s="22" t="n">
        <v>1905900</v>
      </c>
      <c r="AL38" s="22" t="n">
        <v>1833800</v>
      </c>
      <c r="AM38" s="22" t="n">
        <v>1590600</v>
      </c>
      <c r="AN38" s="22" t="n">
        <v>2007300</v>
      </c>
      <c r="AO38" s="22" t="n">
        <v>1732700</v>
      </c>
      <c r="AP38" s="22" t="n">
        <v>1367300</v>
      </c>
      <c r="AQ38" s="22" t="n">
        <v>1582300</v>
      </c>
      <c r="AR38" s="22" t="n">
        <v>1626400</v>
      </c>
      <c r="AS38" s="22" t="n">
        <v>1222600</v>
      </c>
      <c r="AT38" s="22" t="n">
        <v>1654400</v>
      </c>
      <c r="AU38" s="22" t="n">
        <v>1364900</v>
      </c>
      <c r="AV38" s="22" t="n">
        <v>1455100</v>
      </c>
      <c r="AW38" s="22" t="n">
        <v>1344600</v>
      </c>
      <c r="AX38" s="22" t="n">
        <v>2103500</v>
      </c>
      <c r="AY38" s="22" t="n">
        <v>2863500</v>
      </c>
      <c r="AZ38" s="22" t="n">
        <v>1463100</v>
      </c>
      <c r="BA38" s="22" t="n">
        <v>872000</v>
      </c>
      <c r="BB38" s="22" t="n">
        <v>1123700</v>
      </c>
      <c r="BC38" s="22" t="n">
        <v>2162900</v>
      </c>
      <c r="BD38" s="22" t="n">
        <v>2232200</v>
      </c>
      <c r="BE38" s="22" t="n">
        <v>2682200</v>
      </c>
      <c r="BF38" s="22" t="n">
        <v>2974300</v>
      </c>
      <c r="BG38" s="22" t="n">
        <v>3010200</v>
      </c>
      <c r="BH38" s="22" t="n">
        <v>4155200</v>
      </c>
      <c r="BI38" s="22" t="n">
        <v>1706500</v>
      </c>
      <c r="BJ38" s="22" t="n">
        <v>3054100</v>
      </c>
      <c r="BK38" s="22" t="n">
        <v>5031500</v>
      </c>
      <c r="BL38" s="22" t="n">
        <v>1718100</v>
      </c>
    </row>
    <row r="39" ht="15.95" customHeight="1" s="574">
      <c r="A39" s="416" t="inlineStr">
        <is>
          <t>8593</t>
        </is>
      </c>
      <c r="B39" s="49" t="inlineStr">
        <is>
          <t>三菱ＨＣキャピタル</t>
        </is>
      </c>
      <c r="C39" s="53">
        <f>_xll.RssMarket("8593","出来高")</f>
        <v/>
      </c>
      <c r="D39" s="683">
        <f>C39-E39</f>
        <v/>
      </c>
      <c r="E39" s="213" t="n">
        <v>3865000</v>
      </c>
      <c r="F39" s="22" t="n">
        <v>4213100</v>
      </c>
      <c r="G39" s="22" t="n">
        <v>5279700</v>
      </c>
      <c r="H39" s="22" t="n">
        <v>3327500</v>
      </c>
      <c r="I39" s="22" t="n">
        <v>4749600</v>
      </c>
      <c r="J39" s="22" t="n">
        <v>5116300</v>
      </c>
      <c r="K39" s="22" t="n">
        <v>5220600</v>
      </c>
      <c r="L39" s="22" t="n">
        <v>5799200</v>
      </c>
      <c r="M39" s="22" t="n">
        <v>7062800</v>
      </c>
      <c r="N39" s="22" t="n">
        <v>5135100</v>
      </c>
      <c r="O39" s="22" t="n">
        <v>5191100</v>
      </c>
      <c r="P39" s="22" t="n">
        <v>5407100</v>
      </c>
      <c r="Q39" s="22" t="n">
        <v>7450800</v>
      </c>
      <c r="R39" s="22" t="n">
        <v>9865400</v>
      </c>
      <c r="S39" s="22" t="n">
        <v>4673600</v>
      </c>
      <c r="T39" s="22" t="n">
        <v>6031000</v>
      </c>
      <c r="U39" s="22" t="n">
        <v>6336100</v>
      </c>
      <c r="V39" s="22" t="n">
        <v>6875400</v>
      </c>
      <c r="W39" s="22" t="n">
        <v>5670200</v>
      </c>
      <c r="X39" s="22" t="n">
        <v>6771200</v>
      </c>
      <c r="Y39" s="22" t="n">
        <v>7851100</v>
      </c>
      <c r="Z39" s="22" t="n">
        <v>16020200</v>
      </c>
      <c r="AA39" s="22" t="n">
        <v>4716600</v>
      </c>
      <c r="AB39" s="22" t="n">
        <v>3255300</v>
      </c>
      <c r="AC39" s="22" t="n">
        <v>3582500</v>
      </c>
      <c r="AD39" s="22" t="n">
        <v>3990700</v>
      </c>
      <c r="AE39" s="22" t="n">
        <v>2973000</v>
      </c>
      <c r="AF39" s="22" t="n">
        <v>2973000</v>
      </c>
      <c r="AG39" s="22" t="n">
        <v>3753900</v>
      </c>
      <c r="AH39" s="22" t="n">
        <v>5815300</v>
      </c>
      <c r="AI39" s="22" t="n">
        <v>3110200</v>
      </c>
      <c r="AJ39" s="22" t="n">
        <v>3725000</v>
      </c>
      <c r="AK39" s="22" t="n">
        <v>3212200</v>
      </c>
      <c r="AL39" s="22" t="n">
        <v>3319400</v>
      </c>
      <c r="AM39" s="22" t="n">
        <v>2614200</v>
      </c>
      <c r="AN39" s="22" t="n">
        <v>3759500</v>
      </c>
      <c r="AO39" s="22" t="n">
        <v>2728700</v>
      </c>
      <c r="AP39" s="22" t="n">
        <v>3886000</v>
      </c>
      <c r="AQ39" s="22" t="n">
        <v>3404200</v>
      </c>
      <c r="AR39" s="22" t="n">
        <v>2123000</v>
      </c>
      <c r="AS39" s="22" t="n">
        <v>3934300</v>
      </c>
      <c r="AT39" s="22" t="n">
        <v>3088100</v>
      </c>
      <c r="AU39" s="22" t="n">
        <v>2722900</v>
      </c>
      <c r="AV39" s="22" t="n">
        <v>2247400</v>
      </c>
      <c r="AW39" s="22" t="n">
        <v>3247800</v>
      </c>
      <c r="AX39" s="22" t="n">
        <v>5070800</v>
      </c>
      <c r="AY39" s="22" t="n">
        <v>5210900</v>
      </c>
      <c r="AZ39" s="22" t="n">
        <v>2902200</v>
      </c>
      <c r="BA39" s="22" t="n">
        <v>3080400</v>
      </c>
      <c r="BB39" s="22" t="n">
        <v>2446200</v>
      </c>
      <c r="BC39" s="22" t="n">
        <v>4728300</v>
      </c>
      <c r="BD39" s="22" t="n">
        <v>3797400</v>
      </c>
      <c r="BE39" s="22" t="n">
        <v>5679200</v>
      </c>
      <c r="BF39" s="22" t="n">
        <v>5784200</v>
      </c>
      <c r="BG39" s="22" t="n">
        <v>3972900</v>
      </c>
      <c r="BH39" s="22" t="n">
        <v>3955100</v>
      </c>
      <c r="BI39" s="22" t="n">
        <v>3460300</v>
      </c>
      <c r="BJ39" s="22" t="n">
        <v>5131700</v>
      </c>
      <c r="BK39" s="22" t="n">
        <v>4292300</v>
      </c>
      <c r="BL39" s="22" t="n">
        <v>3353300</v>
      </c>
    </row>
    <row r="40" ht="15.95" customHeight="1" s="574">
      <c r="A40" s="416" t="inlineStr">
        <is>
          <t>8604</t>
        </is>
      </c>
      <c r="B40" s="49" t="inlineStr">
        <is>
          <t>野村ホールディングス</t>
        </is>
      </c>
      <c r="C40" s="53">
        <f>_xll.RssMarket("8604","出来高")</f>
        <v/>
      </c>
      <c r="D40" s="683">
        <f>C40-E40</f>
        <v/>
      </c>
      <c r="E40" s="213" t="n">
        <v>8371300</v>
      </c>
      <c r="F40" s="22" t="n">
        <v>12442600</v>
      </c>
      <c r="G40" s="22" t="n">
        <v>12710100</v>
      </c>
      <c r="H40" s="22" t="n">
        <v>14384100</v>
      </c>
      <c r="I40" s="22" t="n">
        <v>7963300</v>
      </c>
      <c r="J40" s="22" t="n">
        <v>9797400</v>
      </c>
      <c r="K40" s="22" t="n">
        <v>7003100</v>
      </c>
      <c r="L40" s="22" t="n">
        <v>8660800</v>
      </c>
      <c r="M40" s="22" t="n">
        <v>12836900</v>
      </c>
      <c r="N40" s="22" t="n">
        <v>11799500</v>
      </c>
      <c r="O40" s="22" t="n">
        <v>8917400</v>
      </c>
      <c r="P40" s="22" t="n">
        <v>13692100</v>
      </c>
      <c r="Q40" s="22" t="n">
        <v>11946000</v>
      </c>
      <c r="R40" s="22" t="n">
        <v>29233700</v>
      </c>
      <c r="S40" s="22" t="n">
        <v>11733700</v>
      </c>
      <c r="T40" s="22" t="n">
        <v>8483800</v>
      </c>
      <c r="U40" s="22" t="n">
        <v>8148600</v>
      </c>
      <c r="V40" s="22" t="n">
        <v>8912800</v>
      </c>
      <c r="W40" s="22" t="n">
        <v>9575300</v>
      </c>
      <c r="X40" s="22" t="n">
        <v>8852000</v>
      </c>
      <c r="Y40" s="22" t="n">
        <v>7838300</v>
      </c>
      <c r="Z40" s="22" t="n">
        <v>6858500</v>
      </c>
      <c r="AA40" s="22" t="n">
        <v>7345900</v>
      </c>
      <c r="AB40" s="22" t="n">
        <v>10564100</v>
      </c>
      <c r="AC40" s="22" t="n">
        <v>9756900</v>
      </c>
      <c r="AD40" s="22" t="n">
        <v>10219100</v>
      </c>
      <c r="AE40" s="22" t="n">
        <v>9077100</v>
      </c>
      <c r="AF40" s="22" t="n">
        <v>9077100</v>
      </c>
      <c r="AG40" s="22" t="n">
        <v>13871000</v>
      </c>
      <c r="AH40" s="22" t="n">
        <v>22906700</v>
      </c>
      <c r="AI40" s="22" t="n">
        <v>11373000</v>
      </c>
      <c r="AJ40" s="22" t="n">
        <v>17254600</v>
      </c>
      <c r="AK40" s="22" t="n">
        <v>23120300</v>
      </c>
      <c r="AL40" s="22" t="n">
        <v>21603700</v>
      </c>
      <c r="AM40" s="22" t="n">
        <v>8661500</v>
      </c>
      <c r="AN40" s="22" t="n">
        <v>9157800</v>
      </c>
      <c r="AO40" s="22" t="n">
        <v>7073400</v>
      </c>
      <c r="AP40" s="22" t="n">
        <v>6874500</v>
      </c>
      <c r="AQ40" s="22" t="n">
        <v>6905300</v>
      </c>
      <c r="AR40" s="22" t="n">
        <v>10668900</v>
      </c>
      <c r="AS40" s="22" t="n">
        <v>15801200</v>
      </c>
      <c r="AT40" s="22" t="n">
        <v>15002200</v>
      </c>
      <c r="AU40" s="22" t="n">
        <v>10036000</v>
      </c>
      <c r="AV40" s="22" t="n">
        <v>8041800</v>
      </c>
      <c r="AW40" s="22" t="n">
        <v>10624500</v>
      </c>
      <c r="AX40" s="22" t="n">
        <v>12050700</v>
      </c>
      <c r="AY40" s="22" t="n">
        <v>15230400</v>
      </c>
      <c r="AZ40" s="22" t="n">
        <v>8709700</v>
      </c>
      <c r="BA40" s="22" t="n">
        <v>6249500</v>
      </c>
      <c r="BB40" s="22" t="n">
        <v>6862700</v>
      </c>
      <c r="BC40" s="22" t="n">
        <v>11399200</v>
      </c>
      <c r="BD40" s="22" t="n">
        <v>12644000</v>
      </c>
      <c r="BE40" s="22" t="n">
        <v>14024000</v>
      </c>
      <c r="BF40" s="22" t="n">
        <v>14564700</v>
      </c>
      <c r="BG40" s="22" t="n">
        <v>10707500</v>
      </c>
      <c r="BH40" s="22" t="n">
        <v>12925200</v>
      </c>
      <c r="BI40" s="22" t="n">
        <v>12777300</v>
      </c>
      <c r="BJ40" s="22" t="n">
        <v>16007300</v>
      </c>
      <c r="BK40" s="22" t="n">
        <v>14061900</v>
      </c>
      <c r="BL40" s="22" t="n">
        <v>14477900</v>
      </c>
    </row>
    <row r="41" ht="15.95" customHeight="1" s="574">
      <c r="A41" s="416" t="inlineStr">
        <is>
          <t>3861</t>
        </is>
      </c>
      <c r="B41" s="49" t="inlineStr">
        <is>
          <t>王子ホールディングス</t>
        </is>
      </c>
      <c r="C41" s="53">
        <f>_xll.RssMarket("3861","出来高")</f>
        <v/>
      </c>
      <c r="D41" s="683">
        <f>C41-E41</f>
        <v/>
      </c>
      <c r="E41" s="213" t="n">
        <v>3210200</v>
      </c>
      <c r="F41" s="22" t="n">
        <v>11473100</v>
      </c>
      <c r="G41" s="22" t="n">
        <v>3285700</v>
      </c>
      <c r="H41" s="22" t="n">
        <v>3088900</v>
      </c>
      <c r="I41" s="22" t="n">
        <v>3324800</v>
      </c>
      <c r="J41" s="22" t="n">
        <v>3915300</v>
      </c>
      <c r="K41" s="22" t="n">
        <v>3235000</v>
      </c>
      <c r="L41" s="22" t="n">
        <v>5631600</v>
      </c>
      <c r="M41" s="22" t="n">
        <v>3445300</v>
      </c>
      <c r="N41" s="22" t="n">
        <v>3980500</v>
      </c>
      <c r="O41" s="22" t="n">
        <v>2974900</v>
      </c>
      <c r="P41" s="22" t="n">
        <v>3552900</v>
      </c>
      <c r="Q41" s="22" t="n">
        <v>4386700</v>
      </c>
      <c r="R41" s="22" t="n">
        <v>5235200</v>
      </c>
      <c r="S41" s="22" t="n">
        <v>4485400</v>
      </c>
      <c r="T41" s="22" t="n">
        <v>4917500</v>
      </c>
      <c r="U41" s="22" t="n">
        <v>4363400</v>
      </c>
      <c r="V41" s="22" t="n">
        <v>5529200</v>
      </c>
      <c r="W41" s="22" t="n">
        <v>5327100</v>
      </c>
      <c r="X41" s="22" t="n">
        <v>5082400</v>
      </c>
      <c r="Y41" s="22" t="n">
        <v>6241200</v>
      </c>
      <c r="Z41" s="22" t="n">
        <v>7101000</v>
      </c>
      <c r="AA41" s="22" t="n">
        <v>9304700</v>
      </c>
      <c r="AB41" s="22" t="n">
        <v>5319700</v>
      </c>
      <c r="AC41" s="22" t="n">
        <v>3422600</v>
      </c>
      <c r="AD41" s="22" t="n">
        <v>3739000</v>
      </c>
      <c r="AE41" s="22" t="n">
        <v>3546700</v>
      </c>
      <c r="AF41" s="22" t="n">
        <v>3546700</v>
      </c>
      <c r="AG41" s="22" t="n">
        <v>4290700</v>
      </c>
      <c r="AH41" s="22" t="n">
        <v>5218600</v>
      </c>
      <c r="AI41" s="22" t="n">
        <v>3194600</v>
      </c>
      <c r="AJ41" s="22" t="n">
        <v>4309500</v>
      </c>
      <c r="AK41" s="22" t="n">
        <v>3851900</v>
      </c>
      <c r="AL41" s="22" t="n">
        <v>3970300</v>
      </c>
      <c r="AM41" s="22" t="n">
        <v>3016400</v>
      </c>
      <c r="AN41" s="22" t="n">
        <v>5059400</v>
      </c>
      <c r="AO41" s="22" t="n">
        <v>2990500</v>
      </c>
      <c r="AP41" s="22" t="n">
        <v>3921200</v>
      </c>
      <c r="AQ41" s="22" t="n">
        <v>4718400</v>
      </c>
      <c r="AR41" s="22" t="n">
        <v>4314900</v>
      </c>
      <c r="AS41" s="22" t="n">
        <v>4812500</v>
      </c>
      <c r="AT41" s="22" t="n">
        <v>3932300</v>
      </c>
      <c r="AU41" s="22" t="n">
        <v>3473200</v>
      </c>
      <c r="AV41" s="22" t="n">
        <v>4305100</v>
      </c>
      <c r="AW41" s="22" t="n">
        <v>4326500</v>
      </c>
      <c r="AX41" s="22" t="n">
        <v>3472000</v>
      </c>
      <c r="AY41" s="22" t="n">
        <v>5718700</v>
      </c>
      <c r="AZ41" s="22" t="n">
        <v>3468100</v>
      </c>
      <c r="BA41" s="22" t="n">
        <v>3112600</v>
      </c>
      <c r="BB41" s="22" t="n">
        <v>3573100</v>
      </c>
      <c r="BC41" s="22" t="n">
        <v>4344400</v>
      </c>
      <c r="BD41" s="22" t="n">
        <v>6153500</v>
      </c>
      <c r="BE41" s="22" t="n">
        <v>5476900</v>
      </c>
      <c r="BF41" s="22" t="n">
        <v>5424300</v>
      </c>
      <c r="BG41" s="22" t="n">
        <v>5635200</v>
      </c>
      <c r="BH41" s="22" t="n">
        <v>4287900</v>
      </c>
      <c r="BI41" s="22" t="n">
        <v>4619400</v>
      </c>
      <c r="BJ41" s="22" t="n">
        <v>7471700</v>
      </c>
      <c r="BK41" s="22" t="n">
        <v>8403300</v>
      </c>
      <c r="BL41" s="22" t="n">
        <v>3437800</v>
      </c>
    </row>
    <row r="42" ht="15.95" customHeight="1" s="574">
      <c r="A42" s="416" t="inlineStr">
        <is>
          <t>5947</t>
        </is>
      </c>
      <c r="B42" s="49" t="inlineStr">
        <is>
          <t>リンナイ</t>
        </is>
      </c>
      <c r="C42" s="53">
        <f>_xll.RssMarket("5947","出来高")</f>
        <v/>
      </c>
      <c r="D42" s="683">
        <f>C42-E42</f>
        <v/>
      </c>
      <c r="E42" s="213" t="n">
        <v>463500</v>
      </c>
      <c r="F42" s="22" t="n">
        <v>867600</v>
      </c>
      <c r="G42" s="22" t="n">
        <v>506400</v>
      </c>
      <c r="H42" s="22" t="n">
        <v>423300</v>
      </c>
      <c r="I42" s="22" t="n">
        <v>528600</v>
      </c>
      <c r="J42" s="22" t="n">
        <v>551600</v>
      </c>
      <c r="K42" s="22" t="n">
        <v>229900</v>
      </c>
      <c r="L42" s="22" t="n">
        <v>385400</v>
      </c>
      <c r="M42" s="22" t="n">
        <v>463400</v>
      </c>
      <c r="N42" s="22" t="n">
        <v>498600</v>
      </c>
      <c r="O42" s="22" t="n">
        <v>467400</v>
      </c>
      <c r="P42" s="22" t="n">
        <v>389200</v>
      </c>
      <c r="Q42" s="22" t="n">
        <v>410200</v>
      </c>
      <c r="R42" s="22" t="n">
        <v>462500</v>
      </c>
      <c r="S42" s="22" t="n">
        <v>353700</v>
      </c>
      <c r="T42" s="22" t="n">
        <v>484700</v>
      </c>
      <c r="U42" s="22" t="n">
        <v>363800</v>
      </c>
      <c r="V42" s="22" t="n">
        <v>375300</v>
      </c>
      <c r="W42" s="22" t="n">
        <v>337100</v>
      </c>
      <c r="X42" s="22" t="n">
        <v>444600</v>
      </c>
      <c r="Y42" s="22" t="n">
        <v>677500</v>
      </c>
      <c r="Z42" s="22" t="n">
        <v>522000</v>
      </c>
      <c r="AA42" s="22" t="n">
        <v>624200</v>
      </c>
      <c r="AB42" s="22" t="n">
        <v>603300</v>
      </c>
      <c r="AC42" s="22" t="n">
        <v>955200</v>
      </c>
      <c r="AD42" s="22" t="n">
        <v>1975200</v>
      </c>
      <c r="AE42" s="22" t="n">
        <v>426800</v>
      </c>
      <c r="AF42" s="22" t="n">
        <v>426800</v>
      </c>
      <c r="AG42" s="22" t="n">
        <v>499300</v>
      </c>
      <c r="AH42" s="22" t="n">
        <v>673900</v>
      </c>
      <c r="AI42" s="22" t="n">
        <v>277900</v>
      </c>
      <c r="AJ42" s="22" t="n">
        <v>333600</v>
      </c>
      <c r="AK42" s="22" t="n">
        <v>417900</v>
      </c>
      <c r="AL42" s="22" t="n">
        <v>288300</v>
      </c>
      <c r="AM42" s="22" t="n">
        <v>266200</v>
      </c>
      <c r="AN42" s="22" t="n">
        <v>338100</v>
      </c>
      <c r="AO42" s="22" t="n">
        <v>440700</v>
      </c>
      <c r="AP42" s="22" t="n">
        <v>329800</v>
      </c>
      <c r="AQ42" s="22" t="n">
        <v>259200</v>
      </c>
      <c r="AR42" s="22" t="n">
        <v>482200</v>
      </c>
      <c r="AS42" s="22" t="n">
        <v>630800</v>
      </c>
      <c r="AT42" s="22" t="n">
        <v>411800</v>
      </c>
      <c r="AU42" s="22" t="n">
        <v>530300</v>
      </c>
      <c r="AV42" s="22" t="n">
        <v>260200</v>
      </c>
      <c r="AW42" s="22" t="n">
        <v>234000</v>
      </c>
      <c r="AX42" s="22" t="n">
        <v>320800</v>
      </c>
      <c r="AY42" s="22" t="n">
        <v>358900</v>
      </c>
      <c r="AZ42" s="22" t="n">
        <v>229500</v>
      </c>
      <c r="BA42" s="22" t="n">
        <v>150500</v>
      </c>
      <c r="BB42" s="22" t="n">
        <v>240900</v>
      </c>
      <c r="BC42" s="22" t="n">
        <v>388500</v>
      </c>
      <c r="BD42" s="22" t="n">
        <v>267000</v>
      </c>
      <c r="BE42" s="22" t="n">
        <v>380900</v>
      </c>
      <c r="BF42" s="22" t="n">
        <v>349600</v>
      </c>
      <c r="BG42" s="22" t="n">
        <v>281900</v>
      </c>
      <c r="BH42" s="22" t="n">
        <v>235600</v>
      </c>
      <c r="BI42" s="22" t="n">
        <v>246300</v>
      </c>
      <c r="BJ42" s="22" t="n">
        <v>293800</v>
      </c>
      <c r="BK42" s="22" t="n">
        <v>580900</v>
      </c>
      <c r="BL42" s="22" t="n">
        <v>204000</v>
      </c>
    </row>
    <row r="43" ht="15.95" customHeight="1" s="574">
      <c r="A43" s="416" t="inlineStr">
        <is>
          <t>8750</t>
        </is>
      </c>
      <c r="B43" s="49" t="inlineStr">
        <is>
          <t>第一ライフグループ</t>
        </is>
      </c>
      <c r="C43" s="53">
        <f>_xll.RssMarket("8750","出来高")</f>
        <v/>
      </c>
      <c r="D43" s="683">
        <f>C43-E43</f>
        <v/>
      </c>
      <c r="E43" s="213" t="n">
        <v>6096100</v>
      </c>
      <c r="F43" s="22" t="n">
        <v>9190700</v>
      </c>
      <c r="G43" s="22" t="n">
        <v>10134300</v>
      </c>
      <c r="H43" s="22" t="n">
        <v>7912400</v>
      </c>
      <c r="I43" s="22" t="n">
        <v>7976800</v>
      </c>
      <c r="J43" s="22" t="n">
        <v>13913200</v>
      </c>
      <c r="K43" s="22" t="n">
        <v>11898400</v>
      </c>
      <c r="L43" s="22" t="n">
        <v>11528200</v>
      </c>
      <c r="M43" s="22" t="n">
        <v>8437200</v>
      </c>
      <c r="N43" s="22" t="n">
        <v>7078800</v>
      </c>
      <c r="O43" s="22" t="n">
        <v>7555700</v>
      </c>
      <c r="P43" s="22" t="n">
        <v>6635000</v>
      </c>
      <c r="Q43" s="22" t="n">
        <v>8481000</v>
      </c>
      <c r="R43" s="22" t="n">
        <v>15798700</v>
      </c>
      <c r="S43" s="22" t="n">
        <v>8358500</v>
      </c>
      <c r="T43" s="22" t="n">
        <v>6468500</v>
      </c>
      <c r="U43" s="22" t="n">
        <v>6876300</v>
      </c>
      <c r="V43" s="22" t="n">
        <v>7082000</v>
      </c>
      <c r="W43" s="22" t="n">
        <v>8171500</v>
      </c>
      <c r="X43" s="22" t="n">
        <v>9910000</v>
      </c>
      <c r="Y43" s="22" t="n">
        <v>12716700</v>
      </c>
      <c r="Z43" s="22" t="n">
        <v>12818600</v>
      </c>
      <c r="AA43" s="22" t="n">
        <v>19665600</v>
      </c>
      <c r="AB43" s="22" t="n">
        <v>5398100</v>
      </c>
      <c r="AC43" s="22" t="n">
        <v>5699100</v>
      </c>
      <c r="AD43" s="22" t="n">
        <v>7143700</v>
      </c>
      <c r="AE43" s="22" t="n">
        <v>5386700</v>
      </c>
      <c r="AF43" s="22" t="n">
        <v>5386700</v>
      </c>
      <c r="AG43" s="22" t="n">
        <v>7859000</v>
      </c>
      <c r="AH43" s="22" t="n">
        <v>10883000</v>
      </c>
      <c r="AI43" s="22" t="n">
        <v>5876800</v>
      </c>
      <c r="AJ43" s="22" t="n">
        <v>10343800</v>
      </c>
      <c r="AK43" s="22" t="n">
        <v>16390000</v>
      </c>
      <c r="AL43" s="22" t="n">
        <v>7455500</v>
      </c>
      <c r="AM43" s="22" t="n">
        <v>5906500</v>
      </c>
      <c r="AN43" s="22" t="n">
        <v>10780500</v>
      </c>
      <c r="AO43" s="22" t="n">
        <v>6118500</v>
      </c>
      <c r="AP43" s="22" t="n">
        <v>6099000</v>
      </c>
      <c r="AQ43" s="22" t="n">
        <v>6089900</v>
      </c>
      <c r="AR43" s="22" t="n">
        <v>8475400</v>
      </c>
      <c r="AS43" s="22" t="n">
        <v>6269400</v>
      </c>
      <c r="AT43" s="22" t="n">
        <v>6671200</v>
      </c>
      <c r="AU43" s="22" t="n">
        <v>6928700</v>
      </c>
      <c r="AV43" s="22" t="n">
        <v>5783700</v>
      </c>
      <c r="AW43" s="22" t="n">
        <v>6342300</v>
      </c>
      <c r="AX43" s="22" t="n">
        <v>8342200</v>
      </c>
      <c r="AY43" s="22" t="n">
        <v>9485500</v>
      </c>
      <c r="AZ43" s="22" t="n">
        <v>7254000</v>
      </c>
      <c r="BA43" s="22" t="n">
        <v>5876300</v>
      </c>
      <c r="BB43" s="22" t="n">
        <v>3924000</v>
      </c>
      <c r="BC43" s="22" t="n">
        <v>8395800</v>
      </c>
      <c r="BD43" s="22" t="n">
        <v>10937000</v>
      </c>
      <c r="BE43" s="22" t="n">
        <v>12018900</v>
      </c>
      <c r="BF43" s="22" t="n">
        <v>12062600</v>
      </c>
      <c r="BG43" s="22" t="n">
        <v>8449300</v>
      </c>
      <c r="BH43" s="22" t="n">
        <v>13432500</v>
      </c>
      <c r="BI43" s="22" t="n">
        <v>11663800</v>
      </c>
      <c r="BJ43" s="22" t="n">
        <v>10356100</v>
      </c>
      <c r="BK43" s="22" t="n">
        <v>13546600</v>
      </c>
      <c r="BL43" s="22" t="n">
        <v>8541600</v>
      </c>
    </row>
    <row r="44" ht="15.95" customHeight="1" s="574">
      <c r="A44" s="416" t="inlineStr">
        <is>
          <t>3402</t>
        </is>
      </c>
      <c r="B44" s="49" t="inlineStr">
        <is>
          <t>東レ</t>
        </is>
      </c>
      <c r="C44" s="53">
        <f>_xll.RssMarket("3402","出来高")</f>
        <v/>
      </c>
      <c r="D44" s="683">
        <f>C44-E44</f>
        <v/>
      </c>
      <c r="E44" s="213" t="n">
        <v>2476900</v>
      </c>
      <c r="F44" s="22" t="n">
        <v>6838400</v>
      </c>
      <c r="G44" s="22" t="n">
        <v>3498500</v>
      </c>
      <c r="H44" s="22" t="n">
        <v>2949300</v>
      </c>
      <c r="I44" s="22" t="n">
        <v>3937500</v>
      </c>
      <c r="J44" s="22" t="n">
        <v>4808200</v>
      </c>
      <c r="K44" s="22" t="n">
        <v>4144200</v>
      </c>
      <c r="L44" s="22" t="n">
        <v>4143700</v>
      </c>
      <c r="M44" s="22" t="n">
        <v>4746100</v>
      </c>
      <c r="N44" s="22" t="n">
        <v>4232400</v>
      </c>
      <c r="O44" s="22" t="n">
        <v>3980900</v>
      </c>
      <c r="P44" s="22" t="n">
        <v>4798200</v>
      </c>
      <c r="Q44" s="22" t="n">
        <v>5880000</v>
      </c>
      <c r="R44" s="22" t="n">
        <v>14393000</v>
      </c>
      <c r="S44" s="22" t="n">
        <v>4435400</v>
      </c>
      <c r="T44" s="22" t="n">
        <v>4856800</v>
      </c>
      <c r="U44" s="22" t="n">
        <v>5208000</v>
      </c>
      <c r="V44" s="22" t="n">
        <v>3723800</v>
      </c>
      <c r="W44" s="22" t="n">
        <v>3639000</v>
      </c>
      <c r="X44" s="22" t="n">
        <v>4727600</v>
      </c>
      <c r="Y44" s="22" t="n">
        <v>5977400</v>
      </c>
      <c r="Z44" s="22" t="n">
        <v>6357200</v>
      </c>
      <c r="AA44" s="22" t="n">
        <v>5128200</v>
      </c>
      <c r="AB44" s="22" t="n">
        <v>7980600</v>
      </c>
      <c r="AC44" s="22" t="n">
        <v>15095100</v>
      </c>
      <c r="AD44" s="22" t="n">
        <v>3594000</v>
      </c>
      <c r="AE44" s="22" t="n">
        <v>3779400</v>
      </c>
      <c r="AF44" s="22" t="n">
        <v>3779400</v>
      </c>
      <c r="AG44" s="22" t="n">
        <v>4860500</v>
      </c>
      <c r="AH44" s="22" t="n">
        <v>7519900</v>
      </c>
      <c r="AI44" s="22" t="n">
        <v>4965500</v>
      </c>
      <c r="AJ44" s="22" t="n">
        <v>5290100</v>
      </c>
      <c r="AK44" s="22" t="n">
        <v>3625800</v>
      </c>
      <c r="AL44" s="22" t="n">
        <v>3880400</v>
      </c>
      <c r="AM44" s="22" t="n">
        <v>3206100</v>
      </c>
      <c r="AN44" s="22" t="n">
        <v>3777000</v>
      </c>
      <c r="AO44" s="22" t="n">
        <v>4119200</v>
      </c>
      <c r="AP44" s="22" t="n">
        <v>3464100</v>
      </c>
      <c r="AQ44" s="22" t="n">
        <v>4620200</v>
      </c>
      <c r="AR44" s="22" t="n">
        <v>4211700</v>
      </c>
      <c r="AS44" s="22" t="n">
        <v>5388300</v>
      </c>
      <c r="AT44" s="22" t="n">
        <v>5035600</v>
      </c>
      <c r="AU44" s="22" t="n">
        <v>5488700</v>
      </c>
      <c r="AV44" s="22" t="n">
        <v>4466300</v>
      </c>
      <c r="AW44" s="22" t="n">
        <v>3875300</v>
      </c>
      <c r="AX44" s="22" t="n">
        <v>4209400</v>
      </c>
      <c r="AY44" s="22" t="n">
        <v>6289300</v>
      </c>
      <c r="AZ44" s="22" t="n">
        <v>3513800</v>
      </c>
      <c r="BA44" s="22" t="n">
        <v>3385400</v>
      </c>
      <c r="BB44" s="22" t="n">
        <v>3129300</v>
      </c>
      <c r="BC44" s="22" t="n">
        <v>5414400</v>
      </c>
      <c r="BD44" s="22" t="n">
        <v>4952400</v>
      </c>
      <c r="BE44" s="22" t="n">
        <v>6965100</v>
      </c>
      <c r="BF44" s="22" t="n">
        <v>6824400</v>
      </c>
      <c r="BG44" s="22" t="n">
        <v>6112300</v>
      </c>
      <c r="BH44" s="22" t="n">
        <v>5157000</v>
      </c>
      <c r="BI44" s="22" t="n">
        <v>4593900</v>
      </c>
      <c r="BJ44" s="22" t="n">
        <v>7260500</v>
      </c>
      <c r="BK44" s="22" t="n">
        <v>7436700</v>
      </c>
      <c r="BL44" s="22" t="n">
        <v>4800000</v>
      </c>
    </row>
    <row r="45" ht="15.95" customHeight="1" s="574">
      <c r="A45" s="416" t="inlineStr">
        <is>
          <t>8306</t>
        </is>
      </c>
      <c r="B45" s="49" t="inlineStr">
        <is>
          <t>三菱ＵＦＪフィナンシャルＧ</t>
        </is>
      </c>
      <c r="C45" s="53">
        <f>_xll.RssMarket("8306","出来高")</f>
        <v/>
      </c>
      <c r="D45" s="683">
        <f>C45-E45</f>
        <v/>
      </c>
      <c r="E45" s="213" t="n">
        <v>26077100</v>
      </c>
      <c r="F45" s="22" t="n">
        <v>53414800</v>
      </c>
      <c r="G45" s="22" t="n">
        <v>49472400</v>
      </c>
      <c r="H45" s="22" t="n">
        <v>42080800</v>
      </c>
      <c r="I45" s="22" t="n">
        <v>38818500</v>
      </c>
      <c r="J45" s="22" t="n">
        <v>54083500</v>
      </c>
      <c r="K45" s="22" t="n">
        <v>43885600</v>
      </c>
      <c r="L45" s="22" t="n">
        <v>60312600</v>
      </c>
      <c r="M45" s="22" t="n">
        <v>43619100</v>
      </c>
      <c r="N45" s="22" t="n">
        <v>42730200</v>
      </c>
      <c r="O45" s="22" t="n">
        <v>57793900</v>
      </c>
      <c r="P45" s="22" t="n">
        <v>46784900</v>
      </c>
      <c r="Q45" s="22" t="n">
        <v>37371200</v>
      </c>
      <c r="R45" s="22" t="n">
        <v>69856600</v>
      </c>
      <c r="S45" s="22" t="n">
        <v>41665800</v>
      </c>
      <c r="T45" s="22" t="n">
        <v>34986500</v>
      </c>
      <c r="U45" s="22" t="n">
        <v>32348200</v>
      </c>
      <c r="V45" s="22" t="n">
        <v>40421700</v>
      </c>
      <c r="W45" s="22" t="n">
        <v>52123700</v>
      </c>
      <c r="X45" s="22" t="n">
        <v>51809100</v>
      </c>
      <c r="Y45" s="22" t="n">
        <v>55685600</v>
      </c>
      <c r="Z45" s="22" t="n">
        <v>66978500</v>
      </c>
      <c r="AA45" s="22" t="n">
        <v>47220900</v>
      </c>
      <c r="AB45" s="22" t="n">
        <v>34334700</v>
      </c>
      <c r="AC45" s="22" t="n">
        <v>34802100</v>
      </c>
      <c r="AD45" s="22" t="n">
        <v>28562100</v>
      </c>
      <c r="AE45" s="22" t="n">
        <v>29713600</v>
      </c>
      <c r="AF45" s="22" t="n">
        <v>29713600</v>
      </c>
      <c r="AG45" s="22" t="n">
        <v>37166700</v>
      </c>
      <c r="AH45" s="22" t="n">
        <v>53805900</v>
      </c>
      <c r="AI45" s="22" t="n">
        <v>28643100</v>
      </c>
      <c r="AJ45" s="22" t="n">
        <v>39443000</v>
      </c>
      <c r="AK45" s="22" t="n">
        <v>45635600</v>
      </c>
      <c r="AL45" s="22" t="n">
        <v>29320200</v>
      </c>
      <c r="AM45" s="22" t="n">
        <v>22067000</v>
      </c>
      <c r="AN45" s="22" t="n">
        <v>35144800</v>
      </c>
      <c r="AO45" s="22" t="n">
        <v>38846200</v>
      </c>
      <c r="AP45" s="22" t="n">
        <v>30217100</v>
      </c>
      <c r="AQ45" s="22" t="n">
        <v>24113800</v>
      </c>
      <c r="AR45" s="22" t="n">
        <v>40793100</v>
      </c>
      <c r="AS45" s="22" t="n">
        <v>42419100</v>
      </c>
      <c r="AT45" s="22" t="n">
        <v>48273800</v>
      </c>
      <c r="AU45" s="22" t="n">
        <v>38689000</v>
      </c>
      <c r="AV45" s="22" t="n">
        <v>30503200</v>
      </c>
      <c r="AW45" s="22" t="n">
        <v>33552100</v>
      </c>
      <c r="AX45" s="22" t="n">
        <v>35140500</v>
      </c>
      <c r="AY45" s="22" t="n">
        <v>57129700</v>
      </c>
      <c r="AZ45" s="22" t="n">
        <v>25886900</v>
      </c>
      <c r="BA45" s="22" t="n">
        <v>27808200</v>
      </c>
      <c r="BB45" s="22" t="n">
        <v>22632900</v>
      </c>
      <c r="BC45" s="22" t="n">
        <v>46325800</v>
      </c>
      <c r="BD45" s="22" t="n">
        <v>54819500</v>
      </c>
      <c r="BE45" s="22" t="n">
        <v>48044300</v>
      </c>
      <c r="BF45" s="22" t="n">
        <v>44413200</v>
      </c>
      <c r="BG45" s="22" t="n">
        <v>27929800</v>
      </c>
      <c r="BH45" s="22" t="n">
        <v>39608800</v>
      </c>
      <c r="BI45" s="22" t="n">
        <v>33656700</v>
      </c>
      <c r="BJ45" s="22" t="n">
        <v>55478800</v>
      </c>
      <c r="BK45" s="22" t="n">
        <v>39731200</v>
      </c>
      <c r="BL45" s="22" t="n">
        <v>37616500</v>
      </c>
    </row>
    <row r="46" ht="15.95" customHeight="1" s="574">
      <c r="A46" s="416" t="inlineStr">
        <is>
          <t>5401</t>
        </is>
      </c>
      <c r="B46" s="49" t="inlineStr">
        <is>
          <t>日本製鉄</t>
        </is>
      </c>
      <c r="C46" s="53">
        <f>_xll.RssMarket("5401","出来高")</f>
        <v/>
      </c>
      <c r="D46" s="683">
        <f>C46-E46</f>
        <v/>
      </c>
      <c r="E46" s="213" t="n">
        <v>24865600</v>
      </c>
      <c r="F46" s="22" t="n">
        <v>24951000</v>
      </c>
      <c r="G46" s="22" t="n">
        <v>22412800</v>
      </c>
      <c r="H46" s="22" t="n">
        <v>23078200</v>
      </c>
      <c r="I46" s="22" t="n">
        <v>21855000</v>
      </c>
      <c r="J46" s="22" t="n">
        <v>35530200</v>
      </c>
      <c r="K46" s="22" t="n">
        <v>30230800</v>
      </c>
      <c r="L46" s="22" t="n">
        <v>23320500</v>
      </c>
      <c r="M46" s="22" t="n">
        <v>36773100</v>
      </c>
      <c r="N46" s="22" t="n">
        <v>21297800</v>
      </c>
      <c r="O46" s="22" t="n">
        <v>25638500</v>
      </c>
      <c r="P46" s="22" t="n">
        <v>27280200</v>
      </c>
      <c r="Q46" s="22" t="n">
        <v>46353800</v>
      </c>
      <c r="R46" s="22" t="n">
        <v>50632500</v>
      </c>
      <c r="S46" s="22" t="n">
        <v>26020600</v>
      </c>
      <c r="T46" s="22" t="n">
        <v>26864800</v>
      </c>
      <c r="U46" s="22" t="n">
        <v>29250200</v>
      </c>
      <c r="V46" s="22" t="n">
        <v>21985700</v>
      </c>
      <c r="W46" s="22" t="n">
        <v>28759200</v>
      </c>
      <c r="X46" s="22" t="n">
        <v>40808400</v>
      </c>
      <c r="Y46" s="22" t="n">
        <v>32513200</v>
      </c>
      <c r="Z46" s="22" t="n">
        <v>32786700</v>
      </c>
      <c r="AA46" s="22" t="n">
        <v>37792300</v>
      </c>
      <c r="AB46" s="22" t="n">
        <v>54796900</v>
      </c>
      <c r="AC46" s="22" t="n">
        <v>34062700</v>
      </c>
      <c r="AD46" s="22" t="n">
        <v>36770900</v>
      </c>
      <c r="AE46" s="22" t="n">
        <v>47352200</v>
      </c>
      <c r="AF46" s="22" t="n">
        <v>47352200</v>
      </c>
      <c r="AG46" s="22" t="n">
        <v>36330900</v>
      </c>
      <c r="AH46" s="22" t="n">
        <v>39379900</v>
      </c>
      <c r="AI46" s="22" t="n">
        <v>24588800</v>
      </c>
      <c r="AJ46" s="22" t="n">
        <v>27367000</v>
      </c>
      <c r="AK46" s="22" t="n">
        <v>26538800</v>
      </c>
      <c r="AL46" s="22" t="n">
        <v>29570100</v>
      </c>
      <c r="AM46" s="22" t="n">
        <v>28096800</v>
      </c>
      <c r="AN46" s="22" t="n">
        <v>24893900</v>
      </c>
      <c r="AO46" s="22" t="n">
        <v>18514900</v>
      </c>
      <c r="AP46" s="22" t="n">
        <v>17409500</v>
      </c>
      <c r="AQ46" s="22" t="n">
        <v>19779100</v>
      </c>
      <c r="AR46" s="22" t="n">
        <v>18544700</v>
      </c>
      <c r="AS46" s="22" t="n">
        <v>18976400</v>
      </c>
      <c r="AT46" s="22" t="n">
        <v>20939500</v>
      </c>
      <c r="AU46" s="22" t="n">
        <v>18859800</v>
      </c>
      <c r="AV46" s="22" t="n">
        <v>15154700</v>
      </c>
      <c r="AW46" s="22" t="n">
        <v>20245900</v>
      </c>
      <c r="AX46" s="22" t="n">
        <v>25366800</v>
      </c>
      <c r="AY46" s="22" t="n">
        <v>36952500</v>
      </c>
      <c r="AZ46" s="22" t="n">
        <v>13411900</v>
      </c>
      <c r="BA46" s="22" t="n">
        <v>14989800</v>
      </c>
      <c r="BB46" s="22" t="n">
        <v>15472400</v>
      </c>
      <c r="BC46" s="22" t="n">
        <v>26219900</v>
      </c>
      <c r="BD46" s="22" t="n">
        <v>23792900</v>
      </c>
      <c r="BE46" s="22" t="n">
        <v>39730500</v>
      </c>
      <c r="BF46" s="22" t="n">
        <v>33798100</v>
      </c>
      <c r="BG46" s="22" t="n">
        <v>24843000</v>
      </c>
      <c r="BH46" s="22" t="n">
        <v>25020100</v>
      </c>
      <c r="BI46" s="22" t="n">
        <v>24507800</v>
      </c>
      <c r="BJ46" s="22" t="n">
        <v>35866800</v>
      </c>
      <c r="BK46" s="22" t="n">
        <v>37972200</v>
      </c>
      <c r="BL46" s="22" t="n">
        <v>30161200</v>
      </c>
    </row>
    <row r="47" ht="15.95" customHeight="1" s="574">
      <c r="A47" s="416" t="inlineStr">
        <is>
          <t>8572</t>
        </is>
      </c>
      <c r="B47" s="49" t="inlineStr">
        <is>
          <t>アコム</t>
        </is>
      </c>
      <c r="C47" s="53">
        <f>_xll.RssMarket("8572","出来高")</f>
        <v/>
      </c>
      <c r="D47" s="683">
        <f>C47-E47</f>
        <v/>
      </c>
      <c r="E47" s="213" t="n">
        <v>1287900</v>
      </c>
      <c r="F47" s="22" t="n">
        <v>1781700</v>
      </c>
      <c r="G47" s="22" t="n">
        <v>1683300</v>
      </c>
      <c r="H47" s="22" t="n">
        <v>1330300</v>
      </c>
      <c r="I47" s="22" t="n">
        <v>1491100</v>
      </c>
      <c r="J47" s="22" t="n">
        <v>1186300</v>
      </c>
      <c r="K47" s="22" t="n">
        <v>835200</v>
      </c>
      <c r="L47" s="22" t="n">
        <v>1105600</v>
      </c>
      <c r="M47" s="22" t="n">
        <v>2252300</v>
      </c>
      <c r="N47" s="22" t="n">
        <v>1495600</v>
      </c>
      <c r="O47" s="22" t="n">
        <v>1724500</v>
      </c>
      <c r="P47" s="22" t="n">
        <v>1447800</v>
      </c>
      <c r="Q47" s="22" t="n">
        <v>2024500</v>
      </c>
      <c r="R47" s="22" t="n">
        <v>1402000</v>
      </c>
      <c r="S47" s="22" t="n">
        <v>1320700</v>
      </c>
      <c r="T47" s="22" t="n">
        <v>1889200</v>
      </c>
      <c r="U47" s="22" t="n">
        <v>1586100</v>
      </c>
      <c r="V47" s="22" t="n">
        <v>1422300</v>
      </c>
      <c r="W47" s="22" t="n">
        <v>1757500</v>
      </c>
      <c r="X47" s="22" t="n">
        <v>1740200</v>
      </c>
      <c r="Y47" s="22" t="n">
        <v>2037500</v>
      </c>
      <c r="Z47" s="22" t="n">
        <v>1827300</v>
      </c>
      <c r="AA47" s="22" t="n">
        <v>1806000</v>
      </c>
      <c r="AB47" s="22" t="n">
        <v>2576200</v>
      </c>
      <c r="AC47" s="22" t="n">
        <v>6227100</v>
      </c>
      <c r="AD47" s="22" t="n">
        <v>1774200</v>
      </c>
      <c r="AE47" s="22" t="n">
        <v>1384600</v>
      </c>
      <c r="AF47" s="22" t="n">
        <v>1384600</v>
      </c>
      <c r="AG47" s="22" t="n">
        <v>1482500</v>
      </c>
      <c r="AH47" s="22" t="n">
        <v>1491100</v>
      </c>
      <c r="AI47" s="22" t="n">
        <v>1117500</v>
      </c>
      <c r="AJ47" s="22" t="n">
        <v>1145500</v>
      </c>
      <c r="AK47" s="22" t="n">
        <v>1695400</v>
      </c>
      <c r="AL47" s="22" t="n">
        <v>1617200</v>
      </c>
      <c r="AM47" s="22" t="n">
        <v>1460200</v>
      </c>
      <c r="AN47" s="22" t="n">
        <v>1951600</v>
      </c>
      <c r="AO47" s="22" t="n">
        <v>2414100</v>
      </c>
      <c r="AP47" s="22" t="n">
        <v>4591900</v>
      </c>
      <c r="AQ47" s="22" t="n">
        <v>1529700</v>
      </c>
      <c r="AR47" s="22" t="n">
        <v>1450000</v>
      </c>
      <c r="AS47" s="22" t="n">
        <v>1765000</v>
      </c>
      <c r="AT47" s="22" t="n">
        <v>1772800</v>
      </c>
      <c r="AU47" s="22" t="n">
        <v>1407600</v>
      </c>
      <c r="AV47" s="22" t="n">
        <v>807800</v>
      </c>
      <c r="AW47" s="22" t="n">
        <v>1228800</v>
      </c>
      <c r="AX47" s="22" t="n">
        <v>1167700</v>
      </c>
      <c r="AY47" s="22" t="n">
        <v>1324200</v>
      </c>
      <c r="AZ47" s="22" t="n">
        <v>685800</v>
      </c>
      <c r="BA47" s="22" t="n">
        <v>748200</v>
      </c>
      <c r="BB47" s="22" t="n">
        <v>543700</v>
      </c>
      <c r="BC47" s="22" t="n">
        <v>1006600</v>
      </c>
      <c r="BD47" s="22" t="n">
        <v>1086700</v>
      </c>
      <c r="BE47" s="22" t="n">
        <v>1767200</v>
      </c>
      <c r="BF47" s="22" t="n">
        <v>2020300</v>
      </c>
      <c r="BG47" s="22" t="n">
        <v>1120000</v>
      </c>
      <c r="BH47" s="22" t="n">
        <v>1165600</v>
      </c>
      <c r="BI47" s="22" t="n">
        <v>1121800</v>
      </c>
      <c r="BJ47" s="22" t="n">
        <v>1924300</v>
      </c>
      <c r="BK47" s="22" t="n">
        <v>1687400</v>
      </c>
      <c r="BL47" s="22" t="n">
        <v>1297900</v>
      </c>
    </row>
    <row r="48" ht="15.95" customHeight="1" s="574">
      <c r="A48" s="416" t="inlineStr">
        <is>
          <t>3941</t>
        </is>
      </c>
      <c r="B48" s="49" t="inlineStr">
        <is>
          <t>レンゴー</t>
        </is>
      </c>
      <c r="C48" s="53">
        <f>_xll.RssMarket("3941","出来高")</f>
        <v/>
      </c>
      <c r="D48" s="683">
        <f>C48-E48</f>
        <v/>
      </c>
      <c r="E48" s="213" t="n">
        <v>876600</v>
      </c>
      <c r="F48" s="22" t="n">
        <v>1439300</v>
      </c>
      <c r="G48" s="22" t="n">
        <v>1005100</v>
      </c>
      <c r="H48" s="22" t="n">
        <v>825300</v>
      </c>
      <c r="I48" s="22" t="n">
        <v>560900</v>
      </c>
      <c r="J48" s="22" t="n">
        <v>874300</v>
      </c>
      <c r="K48" s="22" t="n">
        <v>825900</v>
      </c>
      <c r="L48" s="22" t="n">
        <v>928400</v>
      </c>
      <c r="M48" s="22" t="n">
        <v>987800</v>
      </c>
      <c r="N48" s="22" t="n">
        <v>752200</v>
      </c>
      <c r="O48" s="22" t="n">
        <v>821900</v>
      </c>
      <c r="P48" s="22" t="n">
        <v>661000</v>
      </c>
      <c r="Q48" s="22" t="n">
        <v>857500</v>
      </c>
      <c r="R48" s="22" t="n">
        <v>1467400</v>
      </c>
      <c r="S48" s="22" t="n">
        <v>1084500</v>
      </c>
      <c r="T48" s="22" t="n">
        <v>929300</v>
      </c>
      <c r="U48" s="22" t="n">
        <v>774200</v>
      </c>
      <c r="V48" s="22" t="n">
        <v>816000</v>
      </c>
      <c r="W48" s="22" t="n">
        <v>903100</v>
      </c>
      <c r="X48" s="22" t="n">
        <v>1237500</v>
      </c>
      <c r="Y48" s="22" t="n">
        <v>1505900</v>
      </c>
      <c r="Z48" s="22" t="n">
        <v>1676300</v>
      </c>
      <c r="AA48" s="22" t="n">
        <v>2035700</v>
      </c>
      <c r="AB48" s="22" t="n">
        <v>4157000</v>
      </c>
      <c r="AC48" s="22" t="n">
        <v>1058000</v>
      </c>
      <c r="AD48" s="22" t="n">
        <v>1147100</v>
      </c>
      <c r="AE48" s="22" t="n">
        <v>1402800</v>
      </c>
      <c r="AF48" s="22" t="n">
        <v>1402800</v>
      </c>
      <c r="AG48" s="22" t="n">
        <v>1278800</v>
      </c>
      <c r="AH48" s="22" t="n">
        <v>1757400</v>
      </c>
      <c r="AI48" s="22" t="n">
        <v>1092200</v>
      </c>
      <c r="AJ48" s="22" t="n">
        <v>1710300</v>
      </c>
      <c r="AK48" s="22" t="n">
        <v>1291800</v>
      </c>
      <c r="AL48" s="22" t="n">
        <v>2566600</v>
      </c>
      <c r="AM48" s="22" t="n">
        <v>558300</v>
      </c>
      <c r="AN48" s="22" t="n">
        <v>732300</v>
      </c>
      <c r="AO48" s="22" t="n">
        <v>699000</v>
      </c>
      <c r="AP48" s="22" t="n">
        <v>1085200</v>
      </c>
      <c r="AQ48" s="22" t="n">
        <v>891600</v>
      </c>
      <c r="AR48" s="22" t="n">
        <v>626200</v>
      </c>
      <c r="AS48" s="22" t="n">
        <v>582100</v>
      </c>
      <c r="AT48" s="22" t="n">
        <v>558300</v>
      </c>
      <c r="AU48" s="22" t="n">
        <v>551500</v>
      </c>
      <c r="AV48" s="22" t="n">
        <v>425600</v>
      </c>
      <c r="AW48" s="22" t="n">
        <v>604700</v>
      </c>
      <c r="AX48" s="22" t="n">
        <v>904000</v>
      </c>
      <c r="AY48" s="22" t="n">
        <v>752200</v>
      </c>
      <c r="AZ48" s="22" t="n">
        <v>515600</v>
      </c>
      <c r="BA48" s="22" t="n">
        <v>741600</v>
      </c>
      <c r="BB48" s="22" t="n">
        <v>507500</v>
      </c>
      <c r="BC48" s="22" t="n">
        <v>674200</v>
      </c>
      <c r="BD48" s="22" t="n">
        <v>704200</v>
      </c>
      <c r="BE48" s="22" t="n">
        <v>759800</v>
      </c>
      <c r="BF48" s="22" t="n">
        <v>855500</v>
      </c>
      <c r="BG48" s="22" t="n">
        <v>1089800</v>
      </c>
      <c r="BH48" s="22" t="n">
        <v>801200</v>
      </c>
      <c r="BI48" s="22" t="n">
        <v>1001000</v>
      </c>
      <c r="BJ48" s="22" t="n">
        <v>1517700</v>
      </c>
      <c r="BK48" s="22" t="n">
        <v>2236800</v>
      </c>
      <c r="BL48" s="22" t="n">
        <v>625500</v>
      </c>
    </row>
    <row r="49" ht="15.95" customHeight="1" s="574">
      <c r="A49" s="416" t="inlineStr">
        <is>
          <t>5929</t>
        </is>
      </c>
      <c r="B49" s="49" t="inlineStr">
        <is>
          <t>三和ホールディングス</t>
        </is>
      </c>
      <c r="C49" s="53">
        <f>_xll.RssMarket("5929","出来高")</f>
        <v/>
      </c>
      <c r="D49" s="683">
        <f>C49-E49</f>
        <v/>
      </c>
      <c r="E49" s="213" t="n">
        <v>556800</v>
      </c>
      <c r="F49" s="22" t="n">
        <v>900600</v>
      </c>
      <c r="G49" s="22" t="n">
        <v>929800</v>
      </c>
      <c r="H49" s="22" t="n">
        <v>424400</v>
      </c>
      <c r="I49" s="22" t="n">
        <v>555700</v>
      </c>
      <c r="J49" s="22" t="n">
        <v>703100</v>
      </c>
      <c r="K49" s="22" t="n">
        <v>687000</v>
      </c>
      <c r="L49" s="22" t="n">
        <v>860200</v>
      </c>
      <c r="M49" s="22" t="n">
        <v>1242200</v>
      </c>
      <c r="N49" s="22" t="n">
        <v>1423300</v>
      </c>
      <c r="O49" s="22" t="n">
        <v>886200</v>
      </c>
      <c r="P49" s="22" t="n">
        <v>872800</v>
      </c>
      <c r="Q49" s="22" t="n">
        <v>1247900</v>
      </c>
      <c r="R49" s="22" t="n">
        <v>1600300</v>
      </c>
      <c r="S49" s="22" t="n">
        <v>1016800</v>
      </c>
      <c r="T49" s="22" t="n">
        <v>1130500</v>
      </c>
      <c r="U49" s="22" t="n">
        <v>649100</v>
      </c>
      <c r="V49" s="22" t="n">
        <v>561900</v>
      </c>
      <c r="W49" s="22" t="n">
        <v>681800</v>
      </c>
      <c r="X49" s="22" t="n">
        <v>1088900</v>
      </c>
      <c r="Y49" s="22" t="n">
        <v>696100</v>
      </c>
      <c r="Z49" s="22" t="n">
        <v>777600</v>
      </c>
      <c r="AA49" s="22" t="n">
        <v>874500</v>
      </c>
      <c r="AB49" s="22" t="n">
        <v>1190400</v>
      </c>
      <c r="AC49" s="22" t="n">
        <v>1002900</v>
      </c>
      <c r="AD49" s="22" t="n">
        <v>1023800</v>
      </c>
      <c r="AE49" s="22" t="n">
        <v>819800</v>
      </c>
      <c r="AF49" s="22" t="n">
        <v>819800</v>
      </c>
      <c r="AG49" s="22" t="n">
        <v>706100</v>
      </c>
      <c r="AH49" s="22" t="n">
        <v>978400</v>
      </c>
      <c r="AI49" s="22" t="n">
        <v>622300</v>
      </c>
      <c r="AJ49" s="22" t="n">
        <v>801700</v>
      </c>
      <c r="AK49" s="22" t="n">
        <v>480400</v>
      </c>
      <c r="AL49" s="22" t="n">
        <v>252800</v>
      </c>
      <c r="AM49" s="22" t="n">
        <v>330000</v>
      </c>
      <c r="AN49" s="22" t="n">
        <v>457000</v>
      </c>
      <c r="AO49" s="22" t="n">
        <v>410700</v>
      </c>
      <c r="AP49" s="22" t="n">
        <v>577000</v>
      </c>
      <c r="AQ49" s="22" t="n">
        <v>632900</v>
      </c>
      <c r="AR49" s="22" t="n">
        <v>732800</v>
      </c>
      <c r="AS49" s="22" t="n">
        <v>870600</v>
      </c>
      <c r="AT49" s="22" t="n">
        <v>426600</v>
      </c>
      <c r="AU49" s="22" t="n">
        <v>491000</v>
      </c>
      <c r="AV49" s="22" t="n">
        <v>494100</v>
      </c>
      <c r="AW49" s="22" t="n">
        <v>567400</v>
      </c>
      <c r="AX49" s="22" t="n">
        <v>693000</v>
      </c>
      <c r="AY49" s="22" t="n">
        <v>779700</v>
      </c>
      <c r="AZ49" s="22" t="n">
        <v>553500</v>
      </c>
      <c r="BA49" s="22" t="n">
        <v>327800</v>
      </c>
      <c r="BB49" s="22" t="n">
        <v>487100</v>
      </c>
      <c r="BC49" s="22" t="n">
        <v>604400</v>
      </c>
      <c r="BD49" s="22" t="n">
        <v>565900</v>
      </c>
      <c r="BE49" s="22" t="n">
        <v>516600</v>
      </c>
      <c r="BF49" s="22" t="n">
        <v>679500</v>
      </c>
      <c r="BG49" s="22" t="n">
        <v>505800</v>
      </c>
      <c r="BH49" s="22" t="n">
        <v>507800</v>
      </c>
      <c r="BI49" s="22" t="n">
        <v>466300</v>
      </c>
      <c r="BJ49" s="22" t="n">
        <v>636700</v>
      </c>
      <c r="BK49" s="22" t="n">
        <v>1031800</v>
      </c>
      <c r="BL49" s="22" t="n">
        <v>615800</v>
      </c>
    </row>
    <row r="50" ht="15.95" customHeight="1" s="574">
      <c r="A50" s="416" t="inlineStr">
        <is>
          <t>8316</t>
        </is>
      </c>
      <c r="B50" s="49" t="inlineStr">
        <is>
          <t>三井住友フィナンシャルＧ</t>
        </is>
      </c>
      <c r="C50" s="53">
        <f>_xll.RssMarket("8316","出来高")</f>
        <v/>
      </c>
      <c r="D50" s="683">
        <f>C50-E50</f>
        <v/>
      </c>
      <c r="E50" s="213" t="n">
        <v>12138700</v>
      </c>
      <c r="F50" s="22" t="n">
        <v>20049100</v>
      </c>
      <c r="G50" s="22" t="n">
        <v>14838400</v>
      </c>
      <c r="H50" s="22" t="n">
        <v>12405700</v>
      </c>
      <c r="I50" s="22" t="n">
        <v>13563400</v>
      </c>
      <c r="J50" s="22" t="n">
        <v>18028200</v>
      </c>
      <c r="K50" s="22" t="n">
        <v>23960700</v>
      </c>
      <c r="L50" s="22" t="n">
        <v>16707100</v>
      </c>
      <c r="M50" s="22" t="n">
        <v>21813600</v>
      </c>
      <c r="N50" s="22" t="n">
        <v>15126700</v>
      </c>
      <c r="O50" s="22" t="n">
        <v>14349800</v>
      </c>
      <c r="P50" s="22" t="n">
        <v>13395700</v>
      </c>
      <c r="Q50" s="22" t="n">
        <v>15691600</v>
      </c>
      <c r="R50" s="22" t="n">
        <v>12902800</v>
      </c>
      <c r="S50" s="22" t="n">
        <v>17617000</v>
      </c>
      <c r="T50" s="22" t="n">
        <v>15094100</v>
      </c>
      <c r="U50" s="22" t="n">
        <v>13219300</v>
      </c>
      <c r="V50" s="22" t="n">
        <v>13205000</v>
      </c>
      <c r="W50" s="22" t="n">
        <v>12376300</v>
      </c>
      <c r="X50" s="22" t="n">
        <v>18212600</v>
      </c>
      <c r="Y50" s="22" t="n">
        <v>18145400</v>
      </c>
      <c r="Z50" s="22" t="n">
        <v>21178400</v>
      </c>
      <c r="AA50" s="22" t="n">
        <v>14734800</v>
      </c>
      <c r="AB50" s="22" t="n">
        <v>15463800</v>
      </c>
      <c r="AC50" s="22" t="n">
        <v>18642900</v>
      </c>
      <c r="AD50" s="22" t="n">
        <v>12087700</v>
      </c>
      <c r="AE50" s="22" t="n">
        <v>12206700</v>
      </c>
      <c r="AF50" s="22" t="n">
        <v>12531400</v>
      </c>
      <c r="AG50" s="22" t="n">
        <v>12531400</v>
      </c>
      <c r="AH50" s="22" t="n">
        <v>12481400</v>
      </c>
      <c r="AI50" s="22" t="n">
        <v>17149500</v>
      </c>
      <c r="AJ50" s="22" t="n">
        <v>8711900</v>
      </c>
      <c r="AK50" s="22" t="n">
        <v>15242200</v>
      </c>
      <c r="AL50" s="22" t="n">
        <v>15541200</v>
      </c>
      <c r="AM50" s="22" t="n">
        <v>9422700</v>
      </c>
      <c r="AN50" s="22" t="n">
        <v>7882600</v>
      </c>
      <c r="AO50" s="22" t="n">
        <v>12947200</v>
      </c>
      <c r="AP50" s="22" t="n">
        <v>9352200</v>
      </c>
      <c r="AQ50" s="22" t="n">
        <v>9134200</v>
      </c>
      <c r="AR50" s="22" t="n">
        <v>7598100</v>
      </c>
      <c r="AS50" s="22" t="n">
        <v>11391100</v>
      </c>
      <c r="AT50" s="22" t="n">
        <v>11580100</v>
      </c>
      <c r="AU50" s="22" t="n">
        <v>12554000</v>
      </c>
      <c r="AV50" s="22" t="n">
        <v>10812000</v>
      </c>
      <c r="AW50" s="22" t="n">
        <v>9107100</v>
      </c>
      <c r="AX50" s="22" t="n">
        <v>9342000</v>
      </c>
      <c r="AY50" s="22" t="n">
        <v>12330500</v>
      </c>
      <c r="AZ50" s="22" t="n">
        <v>16737800</v>
      </c>
      <c r="BA50" s="22" t="n">
        <v>8755300</v>
      </c>
      <c r="BB50" s="22" t="n">
        <v>7094100</v>
      </c>
      <c r="BC50" s="22" t="n">
        <v>7293400</v>
      </c>
      <c r="BD50" s="22" t="n">
        <v>15876200</v>
      </c>
      <c r="BE50" s="22" t="n">
        <v>19037000</v>
      </c>
      <c r="BF50" s="22" t="n">
        <v>18512600</v>
      </c>
      <c r="BG50" s="22" t="n">
        <v>17031800</v>
      </c>
      <c r="BH50" s="22" t="n">
        <v>12876200</v>
      </c>
      <c r="BI50" s="22" t="n">
        <v>16139400</v>
      </c>
      <c r="BJ50" s="22" t="n">
        <v>12070200</v>
      </c>
      <c r="BK50" s="22" t="n">
        <v>14956500</v>
      </c>
      <c r="BL50" s="22" t="n">
        <v>13725700</v>
      </c>
    </row>
    <row r="51" ht="15.95" customHeight="1" s="574">
      <c r="A51" s="416" t="inlineStr">
        <is>
          <t>5449</t>
        </is>
      </c>
      <c r="B51" s="49" t="inlineStr">
        <is>
          <t>大阪製鐵</t>
        </is>
      </c>
      <c r="C51" s="53">
        <f>_xll.RssMarket("5449","出来高")</f>
        <v/>
      </c>
      <c r="D51" s="683">
        <f>C51-E51</f>
        <v/>
      </c>
      <c r="E51" s="213" t="n">
        <v>19200</v>
      </c>
      <c r="F51" s="22" t="n">
        <v>43200</v>
      </c>
      <c r="G51" s="22" t="n">
        <v>99200</v>
      </c>
      <c r="H51" s="22" t="n">
        <v>91100</v>
      </c>
      <c r="I51" s="22" t="n">
        <v>35700</v>
      </c>
      <c r="J51" s="22" t="n">
        <v>35400</v>
      </c>
      <c r="K51" s="22" t="n">
        <v>48800</v>
      </c>
      <c r="L51" s="22" t="n">
        <v>30600</v>
      </c>
      <c r="M51" s="22" t="n">
        <v>86400</v>
      </c>
      <c r="N51" s="22" t="n">
        <v>58600</v>
      </c>
      <c r="O51" s="22" t="n">
        <v>82500</v>
      </c>
      <c r="P51" s="22" t="n">
        <v>115900</v>
      </c>
      <c r="Q51" s="22" t="n">
        <v>66300</v>
      </c>
      <c r="R51" s="22" t="n">
        <v>385300</v>
      </c>
      <c r="S51" s="22" t="n">
        <v>33300</v>
      </c>
      <c r="T51" s="22" t="n">
        <v>54200</v>
      </c>
      <c r="U51" s="22" t="n">
        <v>53200</v>
      </c>
      <c r="V51" s="22" t="n">
        <v>73500</v>
      </c>
      <c r="W51" s="22" t="n">
        <v>30000</v>
      </c>
      <c r="X51" s="22" t="n">
        <v>34200</v>
      </c>
      <c r="Y51" s="22" t="n">
        <v>70200</v>
      </c>
      <c r="Z51" s="22" t="n">
        <v>58800</v>
      </c>
      <c r="AA51" s="22" t="n">
        <v>34100</v>
      </c>
      <c r="AB51" s="22" t="n">
        <v>69700</v>
      </c>
      <c r="AC51" s="22" t="n">
        <v>138600</v>
      </c>
      <c r="AD51" s="22" t="n">
        <v>57300</v>
      </c>
      <c r="AE51" s="22" t="n">
        <v>42300</v>
      </c>
      <c r="AF51" s="22" t="n">
        <v>42300</v>
      </c>
      <c r="AG51" s="22" t="n">
        <v>79900</v>
      </c>
      <c r="AH51" s="22" t="n">
        <v>65300</v>
      </c>
      <c r="AI51" s="22" t="n">
        <v>74600</v>
      </c>
      <c r="AJ51" s="22" t="n">
        <v>58900</v>
      </c>
      <c r="AK51" s="22" t="n">
        <v>103000</v>
      </c>
      <c r="AL51" s="22" t="n">
        <v>53500</v>
      </c>
      <c r="AM51" s="22" t="n">
        <v>41200</v>
      </c>
      <c r="AN51" s="22" t="n">
        <v>51700</v>
      </c>
      <c r="AO51" s="22" t="n">
        <v>49600</v>
      </c>
      <c r="AP51" s="22" t="n">
        <v>57500</v>
      </c>
      <c r="AQ51" s="22" t="n">
        <v>72600</v>
      </c>
      <c r="AR51" s="22" t="n">
        <v>47800</v>
      </c>
      <c r="AS51" s="22" t="n">
        <v>47800</v>
      </c>
      <c r="AT51" s="22" t="n">
        <v>40300</v>
      </c>
      <c r="AU51" s="22" t="n">
        <v>53500</v>
      </c>
      <c r="AV51" s="22" t="n">
        <v>99000</v>
      </c>
      <c r="AW51" s="22" t="n">
        <v>82200</v>
      </c>
      <c r="AX51" s="22" t="n">
        <v>43000</v>
      </c>
      <c r="AY51" s="22" t="n">
        <v>41700</v>
      </c>
      <c r="AZ51" s="22" t="n">
        <v>27400</v>
      </c>
      <c r="BA51" s="22" t="n">
        <v>32700</v>
      </c>
      <c r="BB51" s="22" t="n">
        <v>31600</v>
      </c>
      <c r="BC51" s="22" t="n">
        <v>66300</v>
      </c>
      <c r="BD51" s="22" t="n">
        <v>43100</v>
      </c>
      <c r="BE51" s="22" t="n">
        <v>40700</v>
      </c>
      <c r="BF51" s="22" t="n">
        <v>94300</v>
      </c>
      <c r="BG51" s="22" t="n">
        <v>23400</v>
      </c>
      <c r="BH51" s="22" t="n">
        <v>31600</v>
      </c>
      <c r="BI51" s="22" t="n">
        <v>34800</v>
      </c>
      <c r="BJ51" s="22" t="n">
        <v>31100</v>
      </c>
      <c r="BK51" s="22" t="n">
        <v>27000</v>
      </c>
      <c r="BL51" s="22" t="n">
        <v>31400</v>
      </c>
    </row>
    <row r="52" ht="15.95" customHeight="1" s="574">
      <c r="A52" s="416" t="inlineStr">
        <is>
          <t>8766</t>
        </is>
      </c>
      <c r="B52" s="49" t="inlineStr">
        <is>
          <t>東京海上ＨＤ</t>
        </is>
      </c>
      <c r="C52" s="53">
        <f>_xll.RssMarket("8766","出来高")</f>
        <v/>
      </c>
      <c r="D52" s="683">
        <f>C52-E52</f>
        <v/>
      </c>
      <c r="E52" s="213" t="n">
        <v>3390300</v>
      </c>
      <c r="F52" s="22" t="n">
        <v>8663500</v>
      </c>
      <c r="G52" s="22" t="n">
        <v>4485700</v>
      </c>
      <c r="H52" s="22" t="n">
        <v>4299600</v>
      </c>
      <c r="I52" s="22" t="n">
        <v>4487400</v>
      </c>
      <c r="J52" s="22" t="n">
        <v>7968200</v>
      </c>
      <c r="K52" s="22" t="n">
        <v>6270700</v>
      </c>
      <c r="L52" s="22" t="n">
        <v>5719700</v>
      </c>
      <c r="M52" s="22" t="n">
        <v>8411600</v>
      </c>
      <c r="N52" s="22" t="n">
        <v>5687500</v>
      </c>
      <c r="O52" s="22" t="n">
        <v>5719800</v>
      </c>
      <c r="P52" s="22" t="n">
        <v>4571900</v>
      </c>
      <c r="Q52" s="22" t="n">
        <v>5323900</v>
      </c>
      <c r="R52" s="22" t="n">
        <v>10833400</v>
      </c>
      <c r="S52" s="22" t="n">
        <v>6330700</v>
      </c>
      <c r="T52" s="22" t="n">
        <v>5245100</v>
      </c>
      <c r="U52" s="22" t="n">
        <v>5595400</v>
      </c>
      <c r="V52" s="22" t="n">
        <v>7819300</v>
      </c>
      <c r="W52" s="22" t="n">
        <v>11696800</v>
      </c>
      <c r="X52" s="22" t="n">
        <v>7978900</v>
      </c>
      <c r="Y52" s="22" t="n">
        <v>7192800</v>
      </c>
      <c r="Z52" s="22" t="n">
        <v>5383800</v>
      </c>
      <c r="AA52" s="22" t="n">
        <v>7584600</v>
      </c>
      <c r="AB52" s="22" t="n">
        <v>3937400</v>
      </c>
      <c r="AC52" s="22" t="n">
        <v>5780900</v>
      </c>
      <c r="AD52" s="22" t="n">
        <v>5391600</v>
      </c>
      <c r="AE52" s="22" t="n">
        <v>5271300</v>
      </c>
      <c r="AF52" s="22" t="n">
        <v>5271300</v>
      </c>
      <c r="AG52" s="22" t="n">
        <v>6464400</v>
      </c>
      <c r="AH52" s="22" t="n">
        <v>8016100</v>
      </c>
      <c r="AI52" s="22" t="n">
        <v>3972600</v>
      </c>
      <c r="AJ52" s="22" t="n">
        <v>5962600</v>
      </c>
      <c r="AK52" s="22" t="n">
        <v>6157300</v>
      </c>
      <c r="AL52" s="22" t="n">
        <v>4891400</v>
      </c>
      <c r="AM52" s="22" t="n">
        <v>5287100</v>
      </c>
      <c r="AN52" s="22" t="n">
        <v>6495500</v>
      </c>
      <c r="AO52" s="22" t="n">
        <v>5334100</v>
      </c>
      <c r="AP52" s="22" t="n">
        <v>6031100</v>
      </c>
      <c r="AQ52" s="22" t="n">
        <v>7277100</v>
      </c>
      <c r="AR52" s="22" t="n">
        <v>7249700</v>
      </c>
      <c r="AS52" s="22" t="n">
        <v>5576800</v>
      </c>
      <c r="AT52" s="22" t="n">
        <v>6326300</v>
      </c>
      <c r="AU52" s="22" t="n">
        <v>5402100</v>
      </c>
      <c r="AV52" s="22" t="n">
        <v>4832700</v>
      </c>
      <c r="AW52" s="22" t="n">
        <v>6839400</v>
      </c>
      <c r="AX52" s="22" t="n">
        <v>6757600</v>
      </c>
      <c r="AY52" s="22" t="n">
        <v>6779900</v>
      </c>
      <c r="AZ52" s="22" t="n">
        <v>3538100</v>
      </c>
      <c r="BA52" s="22" t="n">
        <v>3422700</v>
      </c>
      <c r="BB52" s="22" t="n">
        <v>3548000</v>
      </c>
      <c r="BC52" s="22" t="n">
        <v>6895000</v>
      </c>
      <c r="BD52" s="22" t="n">
        <v>8388900</v>
      </c>
      <c r="BE52" s="22" t="n">
        <v>9675400</v>
      </c>
      <c r="BF52" s="22" t="n">
        <v>12118700</v>
      </c>
      <c r="BG52" s="22" t="n">
        <v>22606800</v>
      </c>
      <c r="BH52" s="22" t="n">
        <v>33295700</v>
      </c>
      <c r="BI52" s="22" t="n">
        <v>2219800</v>
      </c>
      <c r="BJ52" s="22" t="n">
        <v>5707400</v>
      </c>
      <c r="BK52" s="22" t="n">
        <v>7465900</v>
      </c>
      <c r="BL52" s="22" t="n">
        <v>3592600</v>
      </c>
    </row>
    <row r="53" ht="15.95" customHeight="1" s="574">
      <c r="A53" s="416" t="inlineStr">
        <is>
          <t>5201</t>
        </is>
      </c>
      <c r="B53" s="49" t="inlineStr">
        <is>
          <t>ＡＧＣ</t>
        </is>
      </c>
      <c r="C53" s="53">
        <f>_xll.RssMarket("5201","出来高")</f>
        <v/>
      </c>
      <c r="D53" s="683">
        <f>C53-E53</f>
        <v/>
      </c>
      <c r="E53" s="213" t="n">
        <v>1225900</v>
      </c>
      <c r="F53" s="22" t="n">
        <v>1530700</v>
      </c>
      <c r="G53" s="22" t="n">
        <v>1822000</v>
      </c>
      <c r="H53" s="22" t="n">
        <v>1363900</v>
      </c>
      <c r="I53" s="22" t="n">
        <v>1508000</v>
      </c>
      <c r="J53" s="22" t="n">
        <v>1525000</v>
      </c>
      <c r="K53" s="22" t="n">
        <v>1356100</v>
      </c>
      <c r="L53" s="22" t="n">
        <v>1716600</v>
      </c>
      <c r="M53" s="22" t="n">
        <v>2738200</v>
      </c>
      <c r="N53" s="22" t="n">
        <v>2499400</v>
      </c>
      <c r="O53" s="22" t="n">
        <v>2514500</v>
      </c>
      <c r="P53" s="22" t="n">
        <v>4727500</v>
      </c>
      <c r="Q53" s="22" t="n">
        <v>6108200</v>
      </c>
      <c r="R53" s="22" t="n">
        <v>2647100</v>
      </c>
      <c r="S53" s="22" t="n">
        <v>1498500</v>
      </c>
      <c r="T53" s="22" t="n">
        <v>1695500</v>
      </c>
      <c r="U53" s="22" t="n">
        <v>1772800</v>
      </c>
      <c r="V53" s="22" t="n">
        <v>2117200</v>
      </c>
      <c r="W53" s="22" t="n">
        <v>1567000</v>
      </c>
      <c r="X53" s="22" t="n">
        <v>2177100</v>
      </c>
      <c r="Y53" s="22" t="n">
        <v>2186700</v>
      </c>
      <c r="Z53" s="22" t="n">
        <v>1471300</v>
      </c>
      <c r="AA53" s="22" t="n">
        <v>1385200</v>
      </c>
      <c r="AB53" s="22" t="n">
        <v>1372100</v>
      </c>
      <c r="AC53" s="22" t="n">
        <v>2017500</v>
      </c>
      <c r="AD53" s="22" t="n">
        <v>8329200</v>
      </c>
      <c r="AE53" s="22" t="n">
        <v>1080000</v>
      </c>
      <c r="AF53" s="22" t="n">
        <v>1080000</v>
      </c>
      <c r="AG53" s="22" t="n">
        <v>1626700</v>
      </c>
      <c r="AH53" s="22" t="n">
        <v>2084600</v>
      </c>
      <c r="AI53" s="22" t="n">
        <v>857400</v>
      </c>
      <c r="AJ53" s="22" t="n">
        <v>1401900</v>
      </c>
      <c r="AK53" s="22" t="n">
        <v>971900</v>
      </c>
      <c r="AL53" s="22" t="n">
        <v>621100</v>
      </c>
      <c r="AM53" s="22" t="n">
        <v>777200</v>
      </c>
      <c r="AN53" s="22" t="n">
        <v>1002700</v>
      </c>
      <c r="AO53" s="22" t="n">
        <v>757800</v>
      </c>
      <c r="AP53" s="22" t="n">
        <v>846900</v>
      </c>
      <c r="AQ53" s="22" t="n">
        <v>601400</v>
      </c>
      <c r="AR53" s="22" t="n">
        <v>1032200</v>
      </c>
      <c r="AS53" s="22" t="n">
        <v>1344200</v>
      </c>
      <c r="AT53" s="22" t="n">
        <v>1062700</v>
      </c>
      <c r="AU53" s="22" t="n">
        <v>1166700</v>
      </c>
      <c r="AV53" s="22" t="n">
        <v>1341100</v>
      </c>
      <c r="AW53" s="22" t="n">
        <v>1053000</v>
      </c>
      <c r="AX53" s="22" t="n">
        <v>943000</v>
      </c>
      <c r="AY53" s="22" t="n">
        <v>1729600</v>
      </c>
      <c r="AZ53" s="22" t="n">
        <v>906500</v>
      </c>
      <c r="BA53" s="22" t="n">
        <v>727300</v>
      </c>
      <c r="BB53" s="22" t="n">
        <v>1022700</v>
      </c>
      <c r="BC53" s="22" t="n">
        <v>1170900</v>
      </c>
      <c r="BD53" s="22" t="n">
        <v>1108700</v>
      </c>
      <c r="BE53" s="22" t="n">
        <v>1076400</v>
      </c>
      <c r="BF53" s="22" t="n">
        <v>984900</v>
      </c>
      <c r="BG53" s="22" t="n">
        <v>841900</v>
      </c>
      <c r="BH53" s="22" t="n">
        <v>1190600</v>
      </c>
      <c r="BI53" s="22" t="n">
        <v>822600</v>
      </c>
      <c r="BJ53" s="22" t="n">
        <v>1357000</v>
      </c>
      <c r="BK53" s="22" t="n">
        <v>1390400</v>
      </c>
      <c r="BL53" s="22" t="n">
        <v>957000</v>
      </c>
    </row>
    <row r="54" ht="15.95" customHeight="1" s="574">
      <c r="A54" s="416" t="inlineStr">
        <is>
          <t>8630</t>
        </is>
      </c>
      <c r="B54" s="49" t="inlineStr">
        <is>
          <t>ＳＯＭＰＯホールディングス</t>
        </is>
      </c>
      <c r="C54" s="53">
        <f>_xll.RssMarket("8630","出来高")</f>
        <v/>
      </c>
      <c r="D54" s="683">
        <f>C54-E54</f>
        <v/>
      </c>
      <c r="E54" s="213" t="n">
        <v>1629300</v>
      </c>
      <c r="F54" s="22" t="n">
        <v>2403400</v>
      </c>
      <c r="G54" s="22" t="n">
        <v>2359700</v>
      </c>
      <c r="H54" s="22" t="n">
        <v>1584400</v>
      </c>
      <c r="I54" s="22" t="n">
        <v>1636300</v>
      </c>
      <c r="J54" s="22" t="n">
        <v>2988000</v>
      </c>
      <c r="K54" s="22" t="n">
        <v>3041900</v>
      </c>
      <c r="L54" s="22" t="n">
        <v>2671600</v>
      </c>
      <c r="M54" s="22" t="n">
        <v>3622000</v>
      </c>
      <c r="N54" s="22" t="n">
        <v>2221700</v>
      </c>
      <c r="O54" s="22" t="n">
        <v>2905900</v>
      </c>
      <c r="P54" s="22" t="n">
        <v>2946900</v>
      </c>
      <c r="Q54" s="22" t="n">
        <v>3262800</v>
      </c>
      <c r="R54" s="22" t="n">
        <v>10049500</v>
      </c>
      <c r="S54" s="22" t="n">
        <v>2832400</v>
      </c>
      <c r="T54" s="22" t="n">
        <v>4562100</v>
      </c>
      <c r="U54" s="22" t="n">
        <v>4181600</v>
      </c>
      <c r="V54" s="22" t="n">
        <v>5931000</v>
      </c>
      <c r="W54" s="22" t="n">
        <v>10013600</v>
      </c>
      <c r="X54" s="22" t="n">
        <v>3556800</v>
      </c>
      <c r="Y54" s="22" t="n">
        <v>3707800</v>
      </c>
      <c r="Z54" s="22" t="n">
        <v>2206900</v>
      </c>
      <c r="AA54" s="22" t="n">
        <v>2241700</v>
      </c>
      <c r="AB54" s="22" t="n">
        <v>2712200</v>
      </c>
      <c r="AC54" s="22" t="n">
        <v>2480500</v>
      </c>
      <c r="AD54" s="22" t="n">
        <v>1923700</v>
      </c>
      <c r="AE54" s="22" t="n">
        <v>1806200</v>
      </c>
      <c r="AF54" s="22" t="n">
        <v>1806200</v>
      </c>
      <c r="AG54" s="22" t="n">
        <v>2815000</v>
      </c>
      <c r="AH54" s="22" t="n">
        <v>3500500</v>
      </c>
      <c r="AI54" s="22" t="n">
        <v>1581400</v>
      </c>
      <c r="AJ54" s="22" t="n">
        <v>3008100</v>
      </c>
      <c r="AK54" s="22" t="n">
        <v>2563900</v>
      </c>
      <c r="AL54" s="22" t="n">
        <v>2237200</v>
      </c>
      <c r="AM54" s="22" t="n">
        <v>1999000</v>
      </c>
      <c r="AN54" s="22" t="n">
        <v>2974900</v>
      </c>
      <c r="AO54" s="22" t="n">
        <v>1832200</v>
      </c>
      <c r="AP54" s="22" t="n">
        <v>1752400</v>
      </c>
      <c r="AQ54" s="22" t="n">
        <v>1671700</v>
      </c>
      <c r="AR54" s="22" t="n">
        <v>1656900</v>
      </c>
      <c r="AS54" s="22" t="n">
        <v>2046800</v>
      </c>
      <c r="AT54" s="22" t="n">
        <v>1735200</v>
      </c>
      <c r="AU54" s="22" t="n">
        <v>1639900</v>
      </c>
      <c r="AV54" s="22" t="n">
        <v>2202300</v>
      </c>
      <c r="AW54" s="22" t="n">
        <v>2063200</v>
      </c>
      <c r="AX54" s="22" t="n">
        <v>3320600</v>
      </c>
      <c r="AY54" s="22" t="n">
        <v>2392800</v>
      </c>
      <c r="AZ54" s="22" t="n">
        <v>1441000</v>
      </c>
      <c r="BA54" s="22" t="n">
        <v>1291900</v>
      </c>
      <c r="BB54" s="22" t="n">
        <v>1302200</v>
      </c>
      <c r="BC54" s="22" t="n">
        <v>2551100</v>
      </c>
      <c r="BD54" s="22" t="n">
        <v>2318200</v>
      </c>
      <c r="BE54" s="22" t="n">
        <v>3065000</v>
      </c>
      <c r="BF54" s="22" t="n">
        <v>2849600</v>
      </c>
      <c r="BG54" s="22" t="n">
        <v>2791200</v>
      </c>
      <c r="BH54" s="22" t="n">
        <v>3034200</v>
      </c>
      <c r="BI54" s="22" t="n">
        <v>3180400</v>
      </c>
      <c r="BJ54" s="22" t="n">
        <v>2641400</v>
      </c>
      <c r="BK54" s="22" t="n">
        <v>3327100</v>
      </c>
      <c r="BL54" s="22" t="n">
        <v>1851700</v>
      </c>
    </row>
    <row r="55" ht="15.95" customHeight="1" s="574">
      <c r="A55" s="416" t="inlineStr">
        <is>
          <t>5901</t>
        </is>
      </c>
      <c r="B55" s="49" t="inlineStr">
        <is>
          <t>東洋製罐グループＨＤ</t>
        </is>
      </c>
      <c r="C55" s="53">
        <f>_xll.RssMarket("5901","出来高")</f>
        <v/>
      </c>
      <c r="D55" s="683">
        <f>C55-E55</f>
        <v/>
      </c>
      <c r="E55" s="213" t="n">
        <v>172600</v>
      </c>
      <c r="F55" s="22" t="n">
        <v>542700</v>
      </c>
      <c r="G55" s="22" t="n">
        <v>243400</v>
      </c>
      <c r="H55" s="22" t="n">
        <v>249600</v>
      </c>
      <c r="I55" s="22" t="n">
        <v>217000</v>
      </c>
      <c r="J55" s="22" t="n">
        <v>346600</v>
      </c>
      <c r="K55" s="22" t="n">
        <v>199500</v>
      </c>
      <c r="L55" s="22" t="n">
        <v>318300</v>
      </c>
      <c r="M55" s="22" t="n">
        <v>408800</v>
      </c>
      <c r="N55" s="22" t="n">
        <v>254300</v>
      </c>
      <c r="O55" s="22" t="n">
        <v>275200</v>
      </c>
      <c r="P55" s="22" t="n">
        <v>313100</v>
      </c>
      <c r="Q55" s="22" t="n">
        <v>292700</v>
      </c>
      <c r="R55" s="22" t="n">
        <v>550000</v>
      </c>
      <c r="S55" s="22" t="n">
        <v>370400</v>
      </c>
      <c r="T55" s="22" t="n">
        <v>432800</v>
      </c>
      <c r="U55" s="22" t="n">
        <v>452300</v>
      </c>
      <c r="V55" s="22" t="n">
        <v>742200</v>
      </c>
      <c r="W55" s="22" t="n">
        <v>1135700</v>
      </c>
      <c r="X55" s="22" t="n">
        <v>829800</v>
      </c>
      <c r="Y55" s="22" t="n">
        <v>827200</v>
      </c>
      <c r="Z55" s="22" t="n">
        <v>1047500</v>
      </c>
      <c r="AA55" s="22" t="n">
        <v>856400</v>
      </c>
      <c r="AB55" s="22" t="n">
        <v>338000</v>
      </c>
      <c r="AC55" s="22" t="n">
        <v>467900</v>
      </c>
      <c r="AD55" s="22" t="n">
        <v>372700</v>
      </c>
      <c r="AE55" s="22" t="n">
        <v>443100</v>
      </c>
      <c r="AF55" s="22" t="n">
        <v>443100</v>
      </c>
      <c r="AG55" s="22" t="n">
        <v>783700</v>
      </c>
      <c r="AH55" s="22" t="n">
        <v>896500</v>
      </c>
      <c r="AI55" s="22" t="n">
        <v>966600</v>
      </c>
      <c r="AJ55" s="22" t="n">
        <v>642900</v>
      </c>
      <c r="AK55" s="22" t="n">
        <v>391800</v>
      </c>
      <c r="AL55" s="22" t="n">
        <v>467600</v>
      </c>
      <c r="AM55" s="22" t="n">
        <v>302900</v>
      </c>
      <c r="AN55" s="22" t="n">
        <v>352100</v>
      </c>
      <c r="AO55" s="22" t="n">
        <v>360800</v>
      </c>
      <c r="AP55" s="22" t="n">
        <v>231200</v>
      </c>
      <c r="AQ55" s="22" t="n">
        <v>263400</v>
      </c>
      <c r="AR55" s="22" t="n">
        <v>409200</v>
      </c>
      <c r="AS55" s="22" t="n">
        <v>290200</v>
      </c>
      <c r="AT55" s="22" t="n">
        <v>426000</v>
      </c>
      <c r="AU55" s="22" t="n">
        <v>616900</v>
      </c>
      <c r="AV55" s="22" t="n">
        <v>388700</v>
      </c>
      <c r="AW55" s="22" t="n">
        <v>273400</v>
      </c>
      <c r="AX55" s="22" t="n">
        <v>276300</v>
      </c>
      <c r="AY55" s="22" t="n">
        <v>624700</v>
      </c>
      <c r="AZ55" s="22" t="n">
        <v>328200</v>
      </c>
      <c r="BA55" s="22" t="n">
        <v>301000</v>
      </c>
      <c r="BB55" s="22" t="n">
        <v>400700</v>
      </c>
      <c r="BC55" s="22" t="n">
        <v>255700</v>
      </c>
      <c r="BD55" s="22" t="n">
        <v>213000</v>
      </c>
      <c r="BE55" s="22" t="n">
        <v>276500</v>
      </c>
      <c r="BF55" s="22" t="n">
        <v>295200</v>
      </c>
      <c r="BG55" s="22" t="n">
        <v>240700</v>
      </c>
      <c r="BH55" s="22" t="n">
        <v>295200</v>
      </c>
      <c r="BI55" s="22" t="n">
        <v>441000</v>
      </c>
      <c r="BJ55" s="22" t="n">
        <v>383800</v>
      </c>
      <c r="BK55" s="22" t="n">
        <v>572700</v>
      </c>
      <c r="BL55" s="22" t="n">
        <v>219700</v>
      </c>
    </row>
    <row r="56" ht="15.95" customHeight="1" s="574">
      <c r="A56" s="416" t="inlineStr">
        <is>
          <t>9412</t>
        </is>
      </c>
      <c r="B56" s="49" t="inlineStr">
        <is>
          <t>スカパーＪＳＡＴ</t>
        </is>
      </c>
      <c r="C56" s="53">
        <f>_xll.RssMarket("9412","出来高")</f>
        <v/>
      </c>
      <c r="D56" s="683">
        <f>C56-E56</f>
        <v/>
      </c>
      <c r="E56" s="213" t="n">
        <v>1808700</v>
      </c>
      <c r="F56" s="22" t="n">
        <v>2437000</v>
      </c>
      <c r="G56" s="22" t="n">
        <v>5562100</v>
      </c>
      <c r="H56" s="22" t="n">
        <v>1970700</v>
      </c>
      <c r="I56" s="22" t="n">
        <v>3425800</v>
      </c>
      <c r="J56" s="22" t="n">
        <v>3443500</v>
      </c>
      <c r="K56" s="22" t="n">
        <v>2984600</v>
      </c>
      <c r="L56" s="22" t="n">
        <v>3799500</v>
      </c>
      <c r="M56" s="22" t="n">
        <v>2672000</v>
      </c>
      <c r="N56" s="22" t="n">
        <v>3142500</v>
      </c>
      <c r="O56" s="22" t="n">
        <v>5760800</v>
      </c>
      <c r="P56" s="22" t="n">
        <v>3329800</v>
      </c>
      <c r="Q56" s="22" t="n">
        <v>6144300</v>
      </c>
      <c r="R56" s="22" t="n">
        <v>4559100</v>
      </c>
      <c r="S56" s="22" t="n">
        <v>3136300</v>
      </c>
      <c r="T56" s="22" t="n">
        <v>4040700</v>
      </c>
      <c r="U56" s="22" t="n">
        <v>2687000</v>
      </c>
      <c r="V56" s="22" t="n">
        <v>2135900</v>
      </c>
      <c r="W56" s="22" t="n">
        <v>2721500</v>
      </c>
      <c r="X56" s="22" t="n">
        <v>3876400</v>
      </c>
      <c r="Y56" s="22" t="n">
        <v>2249400</v>
      </c>
      <c r="Z56" s="22" t="n">
        <v>2381800</v>
      </c>
      <c r="AA56" s="22" t="n">
        <v>2897500</v>
      </c>
      <c r="AB56" s="22" t="n">
        <v>4393500</v>
      </c>
      <c r="AC56" s="22" t="n">
        <v>3162100</v>
      </c>
      <c r="AD56" s="22" t="n">
        <v>3347000</v>
      </c>
      <c r="AE56" s="22" t="n">
        <v>2527900</v>
      </c>
      <c r="AF56" s="22" t="n">
        <v>2527900</v>
      </c>
      <c r="AG56" s="22" t="n">
        <v>2740100</v>
      </c>
      <c r="AH56" s="22" t="n">
        <v>4437300</v>
      </c>
      <c r="AI56" s="22" t="n">
        <v>3303900</v>
      </c>
      <c r="AJ56" s="22" t="n">
        <v>2790600</v>
      </c>
      <c r="AK56" s="22" t="n">
        <v>3326300</v>
      </c>
      <c r="AL56" s="22" t="n">
        <v>1820200</v>
      </c>
      <c r="AM56" s="22" t="n">
        <v>1442800</v>
      </c>
      <c r="AN56" s="22" t="n">
        <v>1650400</v>
      </c>
      <c r="AO56" s="22" t="n">
        <v>2017800</v>
      </c>
      <c r="AP56" s="22" t="n">
        <v>1360000</v>
      </c>
      <c r="AQ56" s="22" t="n">
        <v>1204900</v>
      </c>
      <c r="AR56" s="22" t="n">
        <v>1570000</v>
      </c>
      <c r="AS56" s="22" t="n">
        <v>1300700</v>
      </c>
      <c r="AT56" s="22" t="n">
        <v>948200</v>
      </c>
      <c r="AU56" s="22" t="n">
        <v>1066300</v>
      </c>
      <c r="AV56" s="22" t="n">
        <v>1304500</v>
      </c>
      <c r="AW56" s="22" t="n">
        <v>1456500</v>
      </c>
      <c r="AX56" s="22" t="n">
        <v>861500</v>
      </c>
      <c r="AY56" s="22" t="n">
        <v>1350900</v>
      </c>
      <c r="AZ56" s="22" t="n">
        <v>1077300</v>
      </c>
      <c r="BA56" s="22" t="n">
        <v>905300</v>
      </c>
      <c r="BB56" s="22" t="n">
        <v>858700</v>
      </c>
      <c r="BC56" s="22" t="n">
        <v>1487000</v>
      </c>
      <c r="BD56" s="22" t="n">
        <v>1117800</v>
      </c>
      <c r="BE56" s="22" t="n">
        <v>1426100</v>
      </c>
      <c r="BF56" s="22" t="n">
        <v>1231400</v>
      </c>
      <c r="BG56" s="22" t="n">
        <v>1360900</v>
      </c>
      <c r="BH56" s="22" t="n">
        <v>1907900</v>
      </c>
      <c r="BI56" s="22" t="n">
        <v>1270600</v>
      </c>
      <c r="BJ56" s="22" t="n">
        <v>1879300</v>
      </c>
      <c r="BK56" s="22" t="n">
        <v>1533900</v>
      </c>
      <c r="BL56" s="22" t="n">
        <v>1471800</v>
      </c>
    </row>
    <row r="57" ht="15.95" customHeight="1" s="574">
      <c r="A57" s="416" t="inlineStr">
        <is>
          <t>6203</t>
        </is>
      </c>
      <c r="B57" s="49" t="inlineStr">
        <is>
          <t>豊和工業</t>
        </is>
      </c>
      <c r="C57" s="53">
        <f>_xll.RssMarket("6203","出来高")</f>
        <v/>
      </c>
      <c r="D57" s="683">
        <f>C57-E57</f>
        <v/>
      </c>
      <c r="E57" s="213" t="n">
        <v>296800</v>
      </c>
      <c r="F57" s="22" t="n">
        <v>355100</v>
      </c>
      <c r="G57" s="22" t="n">
        <v>546500</v>
      </c>
      <c r="H57" s="22" t="n">
        <v>533500</v>
      </c>
      <c r="I57" s="22" t="n">
        <v>456800</v>
      </c>
      <c r="J57" s="22" t="n">
        <v>571900</v>
      </c>
      <c r="K57" s="22" t="n">
        <v>663000</v>
      </c>
      <c r="L57" s="22" t="n">
        <v>952400</v>
      </c>
      <c r="M57" s="22" t="n">
        <v>1275000</v>
      </c>
      <c r="N57" s="22" t="n">
        <v>1126800</v>
      </c>
      <c r="O57" s="22" t="n">
        <v>1811400</v>
      </c>
      <c r="P57" s="22" t="n">
        <v>2705900</v>
      </c>
      <c r="Q57" s="22" t="n">
        <v>6712800</v>
      </c>
      <c r="R57" s="22" t="n">
        <v>6707600</v>
      </c>
      <c r="S57" s="22" t="n">
        <v>1544900</v>
      </c>
      <c r="T57" s="22" t="n">
        <v>196500</v>
      </c>
      <c r="U57" s="22" t="n">
        <v>110800</v>
      </c>
      <c r="V57" s="22" t="n">
        <v>140800</v>
      </c>
      <c r="W57" s="22" t="n">
        <v>198400</v>
      </c>
      <c r="X57" s="22" t="n">
        <v>255300</v>
      </c>
      <c r="Y57" s="22" t="n">
        <v>238900</v>
      </c>
      <c r="Z57" s="22" t="n">
        <v>691500</v>
      </c>
      <c r="AA57" s="22" t="n">
        <v>594500</v>
      </c>
      <c r="AB57" s="22" t="n">
        <v>342700</v>
      </c>
      <c r="AC57" s="22" t="n">
        <v>186900</v>
      </c>
      <c r="AD57" s="22" t="n">
        <v>235400</v>
      </c>
      <c r="AE57" s="22" t="n">
        <v>223400</v>
      </c>
      <c r="AF57" s="22" t="n">
        <v>223400</v>
      </c>
      <c r="AG57" s="22" t="n">
        <v>240400</v>
      </c>
      <c r="AH57" s="22" t="n">
        <v>212300</v>
      </c>
      <c r="AI57" s="22" t="n">
        <v>104400</v>
      </c>
      <c r="AJ57" s="22" t="n">
        <v>220400</v>
      </c>
      <c r="AK57" s="22" t="n">
        <v>265200</v>
      </c>
      <c r="AL57" s="22" t="n">
        <v>243100</v>
      </c>
      <c r="AM57" s="22" t="n">
        <v>296000</v>
      </c>
      <c r="AN57" s="22" t="n">
        <v>811900</v>
      </c>
      <c r="AO57" s="22" t="n">
        <v>891200</v>
      </c>
      <c r="AP57" s="22" t="n">
        <v>545900</v>
      </c>
      <c r="AQ57" s="22" t="n">
        <v>126300</v>
      </c>
      <c r="AR57" s="22" t="n">
        <v>188400</v>
      </c>
      <c r="AS57" s="22" t="n">
        <v>398400</v>
      </c>
      <c r="AT57" s="22" t="n">
        <v>334300</v>
      </c>
      <c r="AU57" s="22" t="n">
        <v>129900</v>
      </c>
      <c r="AV57" s="22" t="n">
        <v>155400</v>
      </c>
      <c r="AW57" s="22" t="n">
        <v>268500</v>
      </c>
      <c r="AX57" s="22" t="n">
        <v>368900</v>
      </c>
      <c r="AY57" s="22" t="n">
        <v>209300</v>
      </c>
      <c r="AZ57" s="22" t="n">
        <v>118900</v>
      </c>
      <c r="BA57" s="22" t="n">
        <v>197500</v>
      </c>
      <c r="BB57" s="22" t="n">
        <v>110500</v>
      </c>
      <c r="BC57" s="22" t="n">
        <v>198200</v>
      </c>
      <c r="BD57" s="22" t="n">
        <v>178000</v>
      </c>
      <c r="BE57" s="22" t="n">
        <v>184300</v>
      </c>
      <c r="BF57" s="22" t="n">
        <v>149300</v>
      </c>
      <c r="BG57" s="22" t="n">
        <v>108400</v>
      </c>
      <c r="BH57" s="22" t="n">
        <v>107500</v>
      </c>
      <c r="BI57" s="22" t="n">
        <v>144100</v>
      </c>
      <c r="BJ57" s="22" t="n">
        <v>210400</v>
      </c>
      <c r="BK57" s="22" t="n">
        <v>135300</v>
      </c>
      <c r="BL57" s="22" t="n">
        <v>112300</v>
      </c>
    </row>
    <row r="58" ht="15.95" customHeight="1" s="574">
      <c r="A58" s="416" t="inlineStr">
        <is>
          <t>4676</t>
        </is>
      </c>
      <c r="B58" s="49" t="inlineStr">
        <is>
          <t>フジ・メディア・ＨＤ</t>
        </is>
      </c>
      <c r="C58" s="53">
        <f>_xll.RssMarket("4676","出来高")</f>
        <v/>
      </c>
      <c r="D58" s="683">
        <f>C58-E58</f>
        <v/>
      </c>
      <c r="E58" s="213" t="n">
        <v>660000</v>
      </c>
      <c r="F58" s="22" t="n">
        <v>1388300</v>
      </c>
      <c r="G58" s="22" t="n">
        <v>405000</v>
      </c>
      <c r="H58" s="22" t="n">
        <v>435200</v>
      </c>
      <c r="I58" s="22" t="n">
        <v>371900</v>
      </c>
      <c r="J58" s="22" t="n">
        <v>571200</v>
      </c>
      <c r="K58" s="22" t="n">
        <v>597900</v>
      </c>
      <c r="L58" s="22" t="n">
        <v>543200</v>
      </c>
      <c r="M58" s="22" t="n">
        <v>835200</v>
      </c>
      <c r="N58" s="22" t="n">
        <v>2456800</v>
      </c>
      <c r="O58" s="22" t="n">
        <v>512200</v>
      </c>
      <c r="P58" s="22" t="n">
        <v>496400</v>
      </c>
      <c r="Q58" s="22" t="n">
        <v>708200</v>
      </c>
      <c r="R58" s="22" t="n">
        <v>631700</v>
      </c>
      <c r="S58" s="22" t="n">
        <v>258100</v>
      </c>
      <c r="T58" s="22" t="n">
        <v>467300</v>
      </c>
      <c r="U58" s="22" t="n">
        <v>602900</v>
      </c>
      <c r="V58" s="22" t="n">
        <v>297600</v>
      </c>
      <c r="W58" s="22" t="n">
        <v>302800</v>
      </c>
      <c r="X58" s="22" t="n">
        <v>420700</v>
      </c>
      <c r="Y58" s="22" t="n">
        <v>424900</v>
      </c>
      <c r="Z58" s="22" t="n">
        <v>818700</v>
      </c>
      <c r="AA58" s="22" t="n">
        <v>466900</v>
      </c>
      <c r="AB58" s="22" t="n">
        <v>505700</v>
      </c>
      <c r="AC58" s="22" t="n">
        <v>1028200</v>
      </c>
      <c r="AD58" s="22" t="n">
        <v>279900</v>
      </c>
      <c r="AE58" s="22" t="n">
        <v>810100</v>
      </c>
      <c r="AF58" s="22" t="n">
        <v>810100</v>
      </c>
      <c r="AG58" s="22" t="n">
        <v>489400</v>
      </c>
      <c r="AH58" s="22" t="n">
        <v>540900</v>
      </c>
      <c r="AI58" s="22" t="n">
        <v>464000</v>
      </c>
      <c r="AJ58" s="22" t="n">
        <v>698100</v>
      </c>
      <c r="AK58" s="22" t="n">
        <v>790300</v>
      </c>
      <c r="AL58" s="22" t="n">
        <v>366700</v>
      </c>
      <c r="AM58" s="22" t="n">
        <v>497500</v>
      </c>
      <c r="AN58" s="22" t="n">
        <v>479000</v>
      </c>
      <c r="AO58" s="22" t="n">
        <v>616800</v>
      </c>
      <c r="AP58" s="22" t="n">
        <v>479900</v>
      </c>
      <c r="AQ58" s="22" t="n">
        <v>1756100</v>
      </c>
      <c r="AR58" s="22" t="n">
        <v>1675300</v>
      </c>
      <c r="AS58" s="22" t="n">
        <v>2938600</v>
      </c>
      <c r="AT58" s="22" t="n">
        <v>1374500</v>
      </c>
      <c r="AU58" s="22" t="n">
        <v>530400</v>
      </c>
      <c r="AV58" s="22" t="n">
        <v>805500</v>
      </c>
      <c r="AW58" s="22" t="n">
        <v>484200</v>
      </c>
      <c r="AX58" s="22" t="n">
        <v>1160100</v>
      </c>
      <c r="AY58" s="22" t="n">
        <v>1237600</v>
      </c>
      <c r="AZ58" s="22" t="n">
        <v>1289700</v>
      </c>
      <c r="BA58" s="22" t="n">
        <v>776300</v>
      </c>
      <c r="BB58" s="22" t="n">
        <v>515400</v>
      </c>
      <c r="BC58" s="22" t="n">
        <v>527300</v>
      </c>
      <c r="BD58" s="22" t="n">
        <v>683200</v>
      </c>
      <c r="BE58" s="22" t="n">
        <v>942500</v>
      </c>
      <c r="BF58" s="22" t="n">
        <v>1319500</v>
      </c>
      <c r="BG58" s="22" t="n">
        <v>763600</v>
      </c>
      <c r="BH58" s="22" t="n">
        <v>573600</v>
      </c>
      <c r="BI58" s="22" t="n">
        <v>954000</v>
      </c>
      <c r="BJ58" s="22" t="n">
        <v>2160900</v>
      </c>
      <c r="BK58" s="22" t="n">
        <v>438000</v>
      </c>
      <c r="BL58" s="22" t="n">
        <v>579400</v>
      </c>
    </row>
    <row r="59" ht="15.95" customHeight="1" s="574">
      <c r="A59" s="416" t="inlineStr">
        <is>
          <t>1961</t>
        </is>
      </c>
      <c r="B59" s="49" t="inlineStr">
        <is>
          <t>三機工業</t>
        </is>
      </c>
      <c r="C59" s="53">
        <f>_xll.RssMarket("1961","出来高")</f>
        <v/>
      </c>
      <c r="D59" s="683">
        <f>C59-E59</f>
        <v/>
      </c>
      <c r="E59" s="213" t="n">
        <v>472000</v>
      </c>
      <c r="F59" s="22" t="n">
        <v>1117300</v>
      </c>
      <c r="G59" s="22" t="n">
        <v>971300</v>
      </c>
      <c r="H59" s="22" t="n">
        <v>376500</v>
      </c>
      <c r="I59" s="22" t="n">
        <v>448800</v>
      </c>
      <c r="J59" s="22" t="n">
        <v>635000</v>
      </c>
      <c r="K59" s="22" t="n">
        <v>721300</v>
      </c>
      <c r="L59" s="22" t="n">
        <v>890400</v>
      </c>
      <c r="M59" s="22" t="n">
        <v>684000</v>
      </c>
      <c r="N59" s="22" t="n">
        <v>677600</v>
      </c>
      <c r="O59" s="22" t="n">
        <v>715100</v>
      </c>
      <c r="P59" s="22" t="n">
        <v>339000</v>
      </c>
      <c r="Q59" s="22" t="n">
        <v>536600</v>
      </c>
      <c r="R59" s="22" t="n">
        <v>878500</v>
      </c>
      <c r="S59" s="22" t="n">
        <v>484800</v>
      </c>
      <c r="T59" s="22" t="n">
        <v>497500</v>
      </c>
      <c r="U59" s="22" t="n">
        <v>705900</v>
      </c>
      <c r="V59" s="22" t="n">
        <v>518400</v>
      </c>
      <c r="W59" s="22" t="n">
        <v>797200</v>
      </c>
      <c r="X59" s="22" t="n">
        <v>915600</v>
      </c>
      <c r="Y59" s="22" t="n">
        <v>594300</v>
      </c>
      <c r="Z59" s="22" t="n">
        <v>648200</v>
      </c>
      <c r="AA59" s="22" t="n">
        <v>708900</v>
      </c>
      <c r="AB59" s="22" t="n">
        <v>822200</v>
      </c>
      <c r="AC59" s="22" t="n">
        <v>393500</v>
      </c>
      <c r="AD59" s="22" t="n">
        <v>595100</v>
      </c>
      <c r="AE59" s="22" t="n">
        <v>575000</v>
      </c>
      <c r="AF59" s="22" t="n">
        <v>575000</v>
      </c>
      <c r="AG59" s="22" t="n">
        <v>821200</v>
      </c>
      <c r="AH59" s="22" t="n">
        <v>1140200</v>
      </c>
      <c r="AI59" s="22" t="n">
        <v>574900</v>
      </c>
      <c r="AJ59" s="22" t="n">
        <v>963700</v>
      </c>
      <c r="AK59" s="22" t="n">
        <v>710300</v>
      </c>
      <c r="AL59" s="22" t="n">
        <v>552606</v>
      </c>
      <c r="AM59" s="22" t="n">
        <v>548105</v>
      </c>
      <c r="AN59" s="22" t="n">
        <v>584706</v>
      </c>
      <c r="AO59" s="22" t="n">
        <v>416104</v>
      </c>
      <c r="AP59" s="22" t="n">
        <v>452705</v>
      </c>
      <c r="AQ59" s="22" t="n">
        <v>503705</v>
      </c>
      <c r="AR59" s="22" t="n">
        <v>985810</v>
      </c>
      <c r="AS59" s="22" t="n">
        <v>1933219</v>
      </c>
      <c r="AT59" s="22" t="n">
        <v>1522815</v>
      </c>
      <c r="AU59" s="22" t="n">
        <v>999610</v>
      </c>
      <c r="AV59" s="22" t="n">
        <v>954310</v>
      </c>
      <c r="AW59" s="22" t="n">
        <v>1341013</v>
      </c>
      <c r="AX59" s="22" t="n">
        <v>1171812</v>
      </c>
      <c r="AY59" s="22" t="n">
        <v>767408</v>
      </c>
      <c r="AZ59" s="22" t="n">
        <v>590106</v>
      </c>
      <c r="BA59" s="22" t="n">
        <v>460505</v>
      </c>
      <c r="BB59" s="22" t="n">
        <v>577806</v>
      </c>
      <c r="BC59" s="22" t="n">
        <v>807908</v>
      </c>
      <c r="BD59" s="22" t="n">
        <v>497405</v>
      </c>
      <c r="BE59" s="22" t="n">
        <v>664207</v>
      </c>
      <c r="BF59" s="22" t="n">
        <v>895509</v>
      </c>
      <c r="BG59" s="22" t="n">
        <v>1014310</v>
      </c>
      <c r="BH59" s="22" t="n">
        <v>489905</v>
      </c>
      <c r="BI59" s="22" t="n">
        <v>533105</v>
      </c>
      <c r="BJ59" s="22" t="n">
        <v>662707</v>
      </c>
      <c r="BK59" s="22" t="n">
        <v>839408</v>
      </c>
      <c r="BL59" s="22" t="n">
        <v>483305</v>
      </c>
    </row>
    <row r="60" ht="15.95" customHeight="1" s="574">
      <c r="A60" s="416" t="inlineStr">
        <is>
          <t>3107</t>
        </is>
      </c>
      <c r="B60" s="49" t="inlineStr">
        <is>
          <t>ダイワボウＨＤ</t>
        </is>
      </c>
      <c r="C60" s="53">
        <f>_xll.RssMarket("3107","出来高")</f>
        <v/>
      </c>
      <c r="D60" s="683">
        <f>C60-E60</f>
        <v/>
      </c>
      <c r="E60" s="213" t="n">
        <v>221300</v>
      </c>
      <c r="F60" s="22" t="n">
        <v>398500</v>
      </c>
      <c r="G60" s="22" t="n">
        <v>282400</v>
      </c>
      <c r="H60" s="22" t="n">
        <v>294100</v>
      </c>
      <c r="I60" s="22" t="n">
        <v>227600</v>
      </c>
      <c r="J60" s="22" t="n">
        <v>308000</v>
      </c>
      <c r="K60" s="22" t="n">
        <v>300000</v>
      </c>
      <c r="L60" s="22" t="n">
        <v>502900</v>
      </c>
      <c r="M60" s="22" t="n">
        <v>291200</v>
      </c>
      <c r="N60" s="22" t="n">
        <v>196200</v>
      </c>
      <c r="O60" s="22" t="n">
        <v>252600</v>
      </c>
      <c r="P60" s="22" t="n">
        <v>321800</v>
      </c>
      <c r="Q60" s="22" t="n">
        <v>461400</v>
      </c>
      <c r="R60" s="22" t="n">
        <v>394300</v>
      </c>
      <c r="S60" s="22" t="n">
        <v>268600</v>
      </c>
      <c r="T60" s="22" t="n">
        <v>261400</v>
      </c>
      <c r="U60" s="22" t="n">
        <v>383500</v>
      </c>
      <c r="V60" s="22" t="n">
        <v>181600</v>
      </c>
      <c r="W60" s="22" t="n">
        <v>177200</v>
      </c>
      <c r="X60" s="22" t="n">
        <v>324900</v>
      </c>
      <c r="Y60" s="22" t="n">
        <v>284300</v>
      </c>
      <c r="Z60" s="22" t="n">
        <v>338600</v>
      </c>
      <c r="AA60" s="22" t="n">
        <v>443600</v>
      </c>
      <c r="AB60" s="22" t="n">
        <v>499700</v>
      </c>
      <c r="AC60" s="22" t="n">
        <v>246100</v>
      </c>
      <c r="AD60" s="22" t="n">
        <v>239600</v>
      </c>
      <c r="AE60" s="22" t="n">
        <v>306800</v>
      </c>
      <c r="AF60" s="22" t="n">
        <v>306800</v>
      </c>
      <c r="AG60" s="22" t="n">
        <v>475700</v>
      </c>
      <c r="AH60" s="22" t="n">
        <v>429100</v>
      </c>
      <c r="AI60" s="22" t="n">
        <v>230800</v>
      </c>
      <c r="AJ60" s="22" t="n">
        <v>226600</v>
      </c>
      <c r="AK60" s="22" t="n">
        <v>314600</v>
      </c>
      <c r="AL60" s="22" t="n">
        <v>236100</v>
      </c>
      <c r="AM60" s="22" t="n">
        <v>210900</v>
      </c>
      <c r="AN60" s="22" t="n">
        <v>330400</v>
      </c>
      <c r="AO60" s="22" t="n">
        <v>238100</v>
      </c>
      <c r="AP60" s="22" t="n">
        <v>297900</v>
      </c>
      <c r="AQ60" s="22" t="n">
        <v>300900</v>
      </c>
      <c r="AR60" s="22" t="n">
        <v>267300</v>
      </c>
      <c r="AS60" s="22" t="n">
        <v>301600</v>
      </c>
      <c r="AT60" s="22" t="n">
        <v>205700</v>
      </c>
      <c r="AU60" s="22" t="n">
        <v>308400</v>
      </c>
      <c r="AV60" s="22" t="n">
        <v>211500</v>
      </c>
      <c r="AW60" s="22" t="n">
        <v>269400</v>
      </c>
      <c r="AX60" s="22" t="n">
        <v>231700</v>
      </c>
      <c r="AY60" s="22" t="n">
        <v>267200</v>
      </c>
      <c r="AZ60" s="22" t="n">
        <v>168800</v>
      </c>
      <c r="BA60" s="22" t="n">
        <v>139600</v>
      </c>
      <c r="BB60" s="22" t="n">
        <v>250900</v>
      </c>
      <c r="BC60" s="22" t="n">
        <v>266700</v>
      </c>
      <c r="BD60" s="22" t="n">
        <v>270900</v>
      </c>
      <c r="BE60" s="22" t="n">
        <v>358300</v>
      </c>
      <c r="BF60" s="22" t="n">
        <v>368800</v>
      </c>
      <c r="BG60" s="22" t="n">
        <v>238700</v>
      </c>
      <c r="BH60" s="22" t="n">
        <v>241900</v>
      </c>
      <c r="BI60" s="22" t="n">
        <v>199600</v>
      </c>
      <c r="BJ60" s="22" t="n">
        <v>347900</v>
      </c>
      <c r="BK60" s="22" t="n">
        <v>389200</v>
      </c>
      <c r="BL60" s="22" t="n">
        <v>203500</v>
      </c>
    </row>
    <row r="61" ht="15.95" customHeight="1" s="574">
      <c r="A61" s="416" t="inlineStr">
        <is>
          <t>4045</t>
        </is>
      </c>
      <c r="B61" s="49" t="inlineStr">
        <is>
          <t>東亞合成</t>
        </is>
      </c>
      <c r="C61" s="53">
        <f>_xll.RssMarket("4045","出来高")</f>
        <v/>
      </c>
      <c r="D61" s="683">
        <f>C61-E61</f>
        <v/>
      </c>
      <c r="E61" s="213" t="n">
        <v>181600</v>
      </c>
      <c r="F61" s="22" t="n">
        <v>255600</v>
      </c>
      <c r="G61" s="22" t="n">
        <v>295800</v>
      </c>
      <c r="H61" s="22" t="n">
        <v>170600</v>
      </c>
      <c r="I61" s="22" t="n">
        <v>185200</v>
      </c>
      <c r="J61" s="22" t="n">
        <v>260000</v>
      </c>
      <c r="K61" s="22" t="n">
        <v>237100</v>
      </c>
      <c r="L61" s="22" t="n">
        <v>335700</v>
      </c>
      <c r="M61" s="22" t="n">
        <v>381000</v>
      </c>
      <c r="N61" s="22" t="n">
        <v>289100</v>
      </c>
      <c r="O61" s="22" t="n">
        <v>248800</v>
      </c>
      <c r="P61" s="22" t="n">
        <v>267600</v>
      </c>
      <c r="Q61" s="22" t="n">
        <v>386300</v>
      </c>
      <c r="R61" s="22" t="n">
        <v>353800</v>
      </c>
      <c r="S61" s="22" t="n">
        <v>216900</v>
      </c>
      <c r="T61" s="22" t="n">
        <v>247500</v>
      </c>
      <c r="U61" s="22" t="n">
        <v>185900</v>
      </c>
      <c r="V61" s="22" t="n">
        <v>138200</v>
      </c>
      <c r="W61" s="22" t="n">
        <v>227300</v>
      </c>
      <c r="X61" s="22" t="n">
        <v>452400</v>
      </c>
      <c r="Y61" s="22" t="n">
        <v>366200</v>
      </c>
      <c r="Z61" s="22" t="n">
        <v>244600</v>
      </c>
      <c r="AA61" s="22" t="n">
        <v>266600</v>
      </c>
      <c r="AB61" s="22" t="n">
        <v>208300</v>
      </c>
      <c r="AC61" s="22" t="n">
        <v>170900</v>
      </c>
      <c r="AD61" s="22" t="n">
        <v>254100</v>
      </c>
      <c r="AE61" s="22" t="n">
        <v>239000</v>
      </c>
      <c r="AF61" s="22" t="n">
        <v>239000</v>
      </c>
      <c r="AG61" s="22" t="n">
        <v>283700</v>
      </c>
      <c r="AH61" s="22" t="n">
        <v>437300</v>
      </c>
      <c r="AI61" s="22" t="n">
        <v>356200</v>
      </c>
      <c r="AJ61" s="22" t="n">
        <v>608200</v>
      </c>
      <c r="AK61" s="22" t="n">
        <v>517400</v>
      </c>
      <c r="AL61" s="22" t="n">
        <v>355600</v>
      </c>
      <c r="AM61" s="22" t="n">
        <v>319200</v>
      </c>
      <c r="AN61" s="22" t="n">
        <v>445700</v>
      </c>
      <c r="AO61" s="22" t="n">
        <v>229900</v>
      </c>
      <c r="AP61" s="22" t="n">
        <v>189100</v>
      </c>
      <c r="AQ61" s="22" t="n">
        <v>225900</v>
      </c>
      <c r="AR61" s="22" t="n">
        <v>259800</v>
      </c>
      <c r="AS61" s="22" t="n">
        <v>258700</v>
      </c>
      <c r="AT61" s="22" t="n">
        <v>211400</v>
      </c>
      <c r="AU61" s="22" t="n">
        <v>209600</v>
      </c>
      <c r="AV61" s="22" t="n">
        <v>419200</v>
      </c>
      <c r="AW61" s="22" t="n">
        <v>469900</v>
      </c>
      <c r="AX61" s="22" t="n">
        <v>460500</v>
      </c>
      <c r="AY61" s="22" t="n">
        <v>352200</v>
      </c>
      <c r="AZ61" s="22" t="n">
        <v>190800</v>
      </c>
      <c r="BA61" s="22" t="n">
        <v>210400</v>
      </c>
      <c r="BB61" s="22" t="n">
        <v>217800</v>
      </c>
      <c r="BC61" s="22" t="n">
        <v>323200</v>
      </c>
      <c r="BD61" s="22" t="n">
        <v>245200</v>
      </c>
      <c r="BE61" s="22" t="n">
        <v>322900</v>
      </c>
      <c r="BF61" s="22" t="n">
        <v>288800</v>
      </c>
      <c r="BG61" s="22" t="n">
        <v>232000</v>
      </c>
      <c r="BH61" s="22" t="n">
        <v>299000</v>
      </c>
      <c r="BI61" s="22" t="n">
        <v>360700</v>
      </c>
      <c r="BJ61" s="22" t="n">
        <v>429200</v>
      </c>
      <c r="BK61" s="22" t="n">
        <v>405500</v>
      </c>
      <c r="BL61" s="22" t="n">
        <v>226900</v>
      </c>
    </row>
    <row r="62" ht="15.95" customHeight="1" s="574">
      <c r="A62" s="416" t="inlineStr">
        <is>
          <t>5857</t>
        </is>
      </c>
      <c r="B62" s="49" t="inlineStr">
        <is>
          <t>ＡＲＥホールディングス</t>
        </is>
      </c>
      <c r="C62" s="53">
        <f>_xll.RssMarket("5857","出来高")</f>
        <v/>
      </c>
      <c r="D62" s="683">
        <f>C62-E62</f>
        <v/>
      </c>
      <c r="E62" s="213" t="n">
        <v>290700</v>
      </c>
      <c r="F62" s="22" t="n">
        <v>809400</v>
      </c>
      <c r="G62" s="22" t="n">
        <v>582400</v>
      </c>
      <c r="H62" s="22" t="n">
        <v>574600</v>
      </c>
      <c r="I62" s="22" t="n">
        <v>405000</v>
      </c>
      <c r="J62" s="22" t="n">
        <v>816600</v>
      </c>
      <c r="K62" s="22" t="n">
        <v>691300</v>
      </c>
      <c r="L62" s="22" t="n">
        <v>624200</v>
      </c>
      <c r="M62" s="22" t="n">
        <v>818900</v>
      </c>
      <c r="N62" s="22" t="n">
        <v>498700</v>
      </c>
      <c r="O62" s="22" t="n">
        <v>509400</v>
      </c>
      <c r="P62" s="22" t="n">
        <v>503100</v>
      </c>
      <c r="Q62" s="22" t="n">
        <v>813800</v>
      </c>
      <c r="R62" s="22" t="n">
        <v>957800</v>
      </c>
      <c r="S62" s="22" t="n">
        <v>832300</v>
      </c>
      <c r="T62" s="22" t="n">
        <v>804600</v>
      </c>
      <c r="U62" s="22" t="n">
        <v>668800</v>
      </c>
      <c r="V62" s="22" t="n">
        <v>614200</v>
      </c>
      <c r="W62" s="22" t="n">
        <v>732300</v>
      </c>
      <c r="X62" s="22" t="n">
        <v>751000</v>
      </c>
      <c r="Y62" s="22" t="n">
        <v>477400</v>
      </c>
      <c r="Z62" s="22" t="n">
        <v>727500</v>
      </c>
      <c r="AA62" s="22" t="n">
        <v>765000</v>
      </c>
      <c r="AB62" s="22" t="n">
        <v>659100</v>
      </c>
      <c r="AC62" s="22" t="n">
        <v>749500</v>
      </c>
      <c r="AD62" s="22" t="n">
        <v>692900</v>
      </c>
      <c r="AE62" s="22" t="n">
        <v>1011500</v>
      </c>
      <c r="AF62" s="22" t="n">
        <v>1011500</v>
      </c>
      <c r="AG62" s="22" t="n">
        <v>1248700</v>
      </c>
      <c r="AH62" s="22" t="n">
        <v>2068300</v>
      </c>
      <c r="AI62" s="22" t="n">
        <v>626400</v>
      </c>
      <c r="AJ62" s="22" t="n">
        <v>599500</v>
      </c>
      <c r="AK62" s="22" t="n">
        <v>851400</v>
      </c>
      <c r="AL62" s="22" t="n">
        <v>381200</v>
      </c>
      <c r="AM62" s="22" t="n">
        <v>405800</v>
      </c>
      <c r="AN62" s="22" t="n">
        <v>727500</v>
      </c>
      <c r="AO62" s="22" t="n">
        <v>709700</v>
      </c>
      <c r="AP62" s="22" t="n">
        <v>1034000</v>
      </c>
      <c r="AQ62" s="22" t="n">
        <v>319500</v>
      </c>
      <c r="AR62" s="22" t="n">
        <v>353500</v>
      </c>
      <c r="AS62" s="22" t="n">
        <v>459100</v>
      </c>
      <c r="AT62" s="22" t="n">
        <v>460500</v>
      </c>
      <c r="AU62" s="22" t="n">
        <v>311700</v>
      </c>
      <c r="AV62" s="22" t="n">
        <v>335200</v>
      </c>
      <c r="AW62" s="22" t="n">
        <v>411800</v>
      </c>
      <c r="AX62" s="22" t="n">
        <v>625000</v>
      </c>
      <c r="AY62" s="22" t="n">
        <v>650100</v>
      </c>
      <c r="AZ62" s="22" t="n">
        <v>270600</v>
      </c>
      <c r="BA62" s="22" t="n">
        <v>284400</v>
      </c>
      <c r="BB62" s="22" t="n">
        <v>331400</v>
      </c>
      <c r="BC62" s="22" t="n">
        <v>691200</v>
      </c>
      <c r="BD62" s="22" t="n">
        <v>449300</v>
      </c>
      <c r="BE62" s="22" t="n">
        <v>760800</v>
      </c>
      <c r="BF62" s="22" t="n">
        <v>567100</v>
      </c>
      <c r="BG62" s="22" t="n">
        <v>431000</v>
      </c>
      <c r="BH62" s="22" t="n">
        <v>524600</v>
      </c>
      <c r="BI62" s="22" t="n">
        <v>619800</v>
      </c>
      <c r="BJ62" s="22" t="n">
        <v>1306600</v>
      </c>
      <c r="BK62" s="22" t="n">
        <v>711200</v>
      </c>
      <c r="BL62" s="22" t="n">
        <v>403300</v>
      </c>
    </row>
    <row r="63" ht="15.95" customHeight="1" s="574">
      <c r="A63" s="416" t="inlineStr">
        <is>
          <t>8281</t>
        </is>
      </c>
      <c r="B63" s="49" t="inlineStr">
        <is>
          <t>ゼビオホールディングス</t>
        </is>
      </c>
      <c r="C63" s="53">
        <f>_xll.RssMarket("8281","出来高")</f>
        <v/>
      </c>
      <c r="D63" s="683">
        <f>C63-E63</f>
        <v/>
      </c>
      <c r="E63" s="213" t="n">
        <v>74400</v>
      </c>
      <c r="F63" s="22" t="n">
        <v>59300</v>
      </c>
      <c r="G63" s="22" t="n">
        <v>61400</v>
      </c>
      <c r="H63" s="22" t="n">
        <v>86700</v>
      </c>
      <c r="I63" s="22" t="n">
        <v>100500</v>
      </c>
      <c r="J63" s="22" t="n">
        <v>93400</v>
      </c>
      <c r="K63" s="22" t="n">
        <v>209900</v>
      </c>
      <c r="L63" s="22" t="n">
        <v>66900</v>
      </c>
      <c r="M63" s="22" t="n">
        <v>133300</v>
      </c>
      <c r="N63" s="22" t="n">
        <v>95500</v>
      </c>
      <c r="O63" s="22" t="n">
        <v>70300</v>
      </c>
      <c r="P63" s="22" t="n">
        <v>94100</v>
      </c>
      <c r="Q63" s="22" t="n">
        <v>256800</v>
      </c>
      <c r="R63" s="22" t="n">
        <v>155600</v>
      </c>
      <c r="S63" s="22" t="n">
        <v>96000</v>
      </c>
      <c r="T63" s="22" t="n">
        <v>76000</v>
      </c>
      <c r="U63" s="22" t="n">
        <v>77600</v>
      </c>
      <c r="V63" s="22" t="n">
        <v>141100</v>
      </c>
      <c r="W63" s="22" t="n">
        <v>84500</v>
      </c>
      <c r="X63" s="22" t="n">
        <v>121000</v>
      </c>
      <c r="Y63" s="22" t="n">
        <v>172200</v>
      </c>
      <c r="Z63" s="22" t="n">
        <v>173700</v>
      </c>
      <c r="AA63" s="22" t="n">
        <v>243600</v>
      </c>
      <c r="AB63" s="22" t="n">
        <v>502700</v>
      </c>
      <c r="AC63" s="22" t="n">
        <v>120000</v>
      </c>
      <c r="AD63" s="22" t="n">
        <v>219100</v>
      </c>
      <c r="AE63" s="22" t="n">
        <v>111700</v>
      </c>
      <c r="AF63" s="22" t="n">
        <v>96300</v>
      </c>
      <c r="AG63" s="22" t="n">
        <v>96300</v>
      </c>
      <c r="AH63" s="22" t="n">
        <v>119900</v>
      </c>
      <c r="AI63" s="22" t="n">
        <v>344100</v>
      </c>
      <c r="AJ63" s="22" t="n">
        <v>100200</v>
      </c>
      <c r="AK63" s="22" t="n">
        <v>109100</v>
      </c>
      <c r="AL63" s="22" t="n">
        <v>92400</v>
      </c>
      <c r="AM63" s="22" t="n">
        <v>95200</v>
      </c>
      <c r="AN63" s="22" t="n">
        <v>86300</v>
      </c>
      <c r="AO63" s="22" t="n">
        <v>101400</v>
      </c>
      <c r="AP63" s="22" t="n">
        <v>108400</v>
      </c>
      <c r="AQ63" s="22" t="n">
        <v>78000</v>
      </c>
      <c r="AR63" s="22" t="n">
        <v>142100</v>
      </c>
      <c r="AS63" s="22" t="n">
        <v>54100</v>
      </c>
      <c r="AT63" s="22" t="n">
        <v>78300</v>
      </c>
      <c r="AU63" s="22" t="n">
        <v>75700</v>
      </c>
      <c r="AV63" s="22" t="n">
        <v>96600</v>
      </c>
      <c r="AW63" s="22" t="n">
        <v>124500</v>
      </c>
      <c r="AX63" s="22" t="n">
        <v>154200</v>
      </c>
      <c r="AY63" s="22" t="n">
        <v>73000</v>
      </c>
      <c r="AZ63" s="22" t="n">
        <v>103500</v>
      </c>
      <c r="BA63" s="22" t="n">
        <v>130800</v>
      </c>
      <c r="BB63" s="22" t="n">
        <v>49100</v>
      </c>
      <c r="BC63" s="22" t="n">
        <v>55100</v>
      </c>
      <c r="BD63" s="22" t="n">
        <v>85200</v>
      </c>
      <c r="BE63" s="22" t="n">
        <v>176000</v>
      </c>
      <c r="BF63" s="22" t="n">
        <v>377900</v>
      </c>
      <c r="BG63" s="22" t="n">
        <v>434500</v>
      </c>
      <c r="BH63" s="22" t="n">
        <v>241500</v>
      </c>
      <c r="BI63" s="22" t="n">
        <v>185300</v>
      </c>
      <c r="BJ63" s="22" t="n">
        <v>182200</v>
      </c>
      <c r="BK63" s="22" t="n">
        <v>467700</v>
      </c>
      <c r="BL63" s="22" t="n">
        <v>210600</v>
      </c>
    </row>
    <row r="64" ht="15.95" customHeight="1" s="574">
      <c r="A64" s="416" t="inlineStr">
        <is>
          <t>4540</t>
        </is>
      </c>
      <c r="B64" s="49" t="inlineStr">
        <is>
          <t>ツムラ</t>
        </is>
      </c>
      <c r="C64" s="53">
        <f>_xll.RssMarket("4540","出来高")</f>
        <v/>
      </c>
      <c r="D64" s="683">
        <f>C64-E64</f>
        <v/>
      </c>
      <c r="E64" s="213" t="n">
        <v>218200</v>
      </c>
      <c r="F64" s="22" t="n">
        <v>352500</v>
      </c>
      <c r="G64" s="22" t="n">
        <v>210600</v>
      </c>
      <c r="H64" s="22" t="n">
        <v>162100</v>
      </c>
      <c r="I64" s="22" t="n">
        <v>254900</v>
      </c>
      <c r="J64" s="22" t="n">
        <v>280500</v>
      </c>
      <c r="K64" s="22" t="n">
        <v>189400</v>
      </c>
      <c r="L64" s="22" t="n">
        <v>176100</v>
      </c>
      <c r="M64" s="22" t="n">
        <v>286900</v>
      </c>
      <c r="N64" s="22" t="n">
        <v>187500</v>
      </c>
      <c r="O64" s="22" t="n">
        <v>211300</v>
      </c>
      <c r="P64" s="22" t="n">
        <v>194300</v>
      </c>
      <c r="Q64" s="22" t="n">
        <v>293100</v>
      </c>
      <c r="R64" s="22" t="n">
        <v>390700</v>
      </c>
      <c r="S64" s="22" t="n">
        <v>334400</v>
      </c>
      <c r="T64" s="22" t="n">
        <v>365900</v>
      </c>
      <c r="U64" s="22" t="n">
        <v>291400</v>
      </c>
      <c r="V64" s="22" t="n">
        <v>302100</v>
      </c>
      <c r="W64" s="22" t="n">
        <v>283800</v>
      </c>
      <c r="X64" s="22" t="n">
        <v>575700</v>
      </c>
      <c r="Y64" s="22" t="n">
        <v>598300</v>
      </c>
      <c r="Z64" s="22" t="n">
        <v>408500</v>
      </c>
      <c r="AA64" s="22" t="n">
        <v>527500</v>
      </c>
      <c r="AB64" s="22" t="n">
        <v>459700</v>
      </c>
      <c r="AC64" s="22" t="n">
        <v>803800</v>
      </c>
      <c r="AD64" s="22" t="n">
        <v>350100</v>
      </c>
      <c r="AE64" s="22" t="n">
        <v>324900</v>
      </c>
      <c r="AF64" s="22" t="n">
        <v>324900</v>
      </c>
      <c r="AG64" s="22" t="n">
        <v>376300</v>
      </c>
      <c r="AH64" s="22" t="n">
        <v>355900</v>
      </c>
      <c r="AI64" s="22" t="n">
        <v>203000</v>
      </c>
      <c r="AJ64" s="22" t="n">
        <v>358000</v>
      </c>
      <c r="AK64" s="22" t="n">
        <v>350500</v>
      </c>
      <c r="AL64" s="22" t="n">
        <v>187800</v>
      </c>
      <c r="AM64" s="22" t="n">
        <v>191300</v>
      </c>
      <c r="AN64" s="22" t="n">
        <v>309600</v>
      </c>
      <c r="AO64" s="22" t="n">
        <v>397500</v>
      </c>
      <c r="AP64" s="22" t="n">
        <v>327600</v>
      </c>
      <c r="AQ64" s="22" t="n">
        <v>145200</v>
      </c>
      <c r="AR64" s="22" t="n">
        <v>175800</v>
      </c>
      <c r="AS64" s="22" t="n">
        <v>176400</v>
      </c>
      <c r="AT64" s="22" t="n">
        <v>161600</v>
      </c>
      <c r="AU64" s="22" t="n">
        <v>165100</v>
      </c>
      <c r="AV64" s="22" t="n">
        <v>189900</v>
      </c>
      <c r="AW64" s="22" t="n">
        <v>206700</v>
      </c>
      <c r="AX64" s="22" t="n">
        <v>200100</v>
      </c>
      <c r="AY64" s="22" t="n">
        <v>227100</v>
      </c>
      <c r="AZ64" s="22" t="n">
        <v>166100</v>
      </c>
      <c r="BA64" s="22" t="n">
        <v>185700</v>
      </c>
      <c r="BB64" s="22" t="n">
        <v>166800</v>
      </c>
      <c r="BC64" s="22" t="n">
        <v>217100</v>
      </c>
      <c r="BD64" s="22" t="n">
        <v>324300</v>
      </c>
      <c r="BE64" s="22" t="n">
        <v>344500</v>
      </c>
      <c r="BF64" s="22" t="n">
        <v>398800</v>
      </c>
      <c r="BG64" s="22" t="n">
        <v>216800</v>
      </c>
      <c r="BH64" s="22" t="n">
        <v>253400</v>
      </c>
      <c r="BI64" s="22" t="n">
        <v>308500</v>
      </c>
      <c r="BJ64" s="22" t="n">
        <v>297400</v>
      </c>
      <c r="BK64" s="22" t="n">
        <v>478500</v>
      </c>
      <c r="BL64" s="22" t="n">
        <v>378500</v>
      </c>
    </row>
    <row r="65" ht="15.95" customHeight="1" s="574">
      <c r="A65" s="416" t="inlineStr">
        <is>
          <t>9984</t>
        </is>
      </c>
      <c r="B65" s="49" t="inlineStr">
        <is>
          <t>ソフトバンクグループ</t>
        </is>
      </c>
      <c r="C65" s="53">
        <f>_xll.RssMarket("9984","出来高")</f>
        <v/>
      </c>
      <c r="D65" s="683">
        <f>C65-E65</f>
        <v/>
      </c>
      <c r="E65" s="213" t="n">
        <v>44993100</v>
      </c>
      <c r="F65" s="22" t="n">
        <v>79507100</v>
      </c>
      <c r="G65" s="22" t="n">
        <v>64308700</v>
      </c>
      <c r="H65" s="22" t="n">
        <v>48833800</v>
      </c>
      <c r="I65" s="22" t="n">
        <v>61595400</v>
      </c>
      <c r="J65" s="22" t="n">
        <v>75320600</v>
      </c>
      <c r="K65" s="22" t="n">
        <v>65531700</v>
      </c>
      <c r="L65" s="22" t="n">
        <v>65333800</v>
      </c>
      <c r="M65" s="22" t="n">
        <v>64167800</v>
      </c>
      <c r="N65" s="22" t="n">
        <v>62899400</v>
      </c>
      <c r="O65" s="22" t="n">
        <v>76525600</v>
      </c>
      <c r="P65" s="22" t="n">
        <v>73007300</v>
      </c>
      <c r="Q65" s="22" t="n">
        <v>132031000</v>
      </c>
      <c r="R65" s="22" t="n">
        <v>81180100</v>
      </c>
      <c r="S65" s="22" t="n">
        <v>79058300</v>
      </c>
      <c r="T65" s="22" t="n">
        <v>103217400</v>
      </c>
      <c r="U65" s="22" t="n">
        <v>91615400</v>
      </c>
      <c r="V65" s="22" t="n">
        <v>103280800</v>
      </c>
      <c r="W65" s="22" t="n">
        <v>73094900</v>
      </c>
      <c r="X65" s="22" t="n">
        <v>71784000</v>
      </c>
      <c r="Y65" s="22" t="n">
        <v>53762700</v>
      </c>
      <c r="Z65" s="22" t="n">
        <v>48158000</v>
      </c>
      <c r="AA65" s="22" t="n">
        <v>69924000</v>
      </c>
      <c r="AB65" s="22" t="n">
        <v>69800200</v>
      </c>
      <c r="AC65" s="22" t="n">
        <v>46400500</v>
      </c>
      <c r="AD65" s="22" t="n">
        <v>57247600</v>
      </c>
      <c r="AE65" s="22" t="n">
        <v>83351500</v>
      </c>
      <c r="AF65" s="22" t="n">
        <v>83351500</v>
      </c>
      <c r="AG65" s="22" t="n">
        <v>80654100</v>
      </c>
      <c r="AH65" s="22" t="n">
        <v>119003600</v>
      </c>
      <c r="AI65" s="22" t="n">
        <v>72065400</v>
      </c>
      <c r="AJ65" s="22" t="n">
        <v>101484400</v>
      </c>
      <c r="AK65" s="22" t="n">
        <v>97208200</v>
      </c>
      <c r="AL65" s="22" t="n">
        <v>99651700</v>
      </c>
      <c r="AM65" s="22" t="n">
        <v>87686800</v>
      </c>
      <c r="AN65" s="22" t="n">
        <v>136536800</v>
      </c>
      <c r="AO65" s="22" t="n">
        <v>154144000</v>
      </c>
      <c r="AP65" s="22" t="n">
        <v>96285800</v>
      </c>
      <c r="AQ65" s="22" t="n">
        <v>60475300</v>
      </c>
      <c r="AR65" s="22" t="n">
        <v>47876600</v>
      </c>
      <c r="AS65" s="22" t="n">
        <v>95147700</v>
      </c>
      <c r="AT65" s="22" t="n">
        <v>91516800</v>
      </c>
      <c r="AU65" s="22" t="n">
        <v>93692500</v>
      </c>
      <c r="AV65" s="22" t="n">
        <v>29819900</v>
      </c>
      <c r="AW65" s="22" t="n">
        <v>46679400</v>
      </c>
      <c r="AX65" s="22" t="n">
        <v>45064100</v>
      </c>
      <c r="AY65" s="22" t="n">
        <v>51785400</v>
      </c>
      <c r="AZ65" s="22" t="n">
        <v>33623300</v>
      </c>
      <c r="BA65" s="22" t="n">
        <v>28379500</v>
      </c>
      <c r="BB65" s="22" t="n">
        <v>32539500</v>
      </c>
      <c r="BC65" s="22" t="n">
        <v>68824100</v>
      </c>
      <c r="BD65" s="22" t="n">
        <v>49237100</v>
      </c>
      <c r="BE65" s="22" t="n">
        <v>65675000</v>
      </c>
      <c r="BF65" s="22" t="n">
        <v>66029500</v>
      </c>
      <c r="BG65" s="22" t="n">
        <v>70316200</v>
      </c>
      <c r="BH65" s="22" t="n">
        <v>56598700</v>
      </c>
      <c r="BI65" s="22" t="n">
        <v>35242200</v>
      </c>
      <c r="BJ65" s="22" t="n">
        <v>43467400</v>
      </c>
      <c r="BK65" s="22" t="n">
        <v>35935700</v>
      </c>
      <c r="BL65" s="22" t="n">
        <v>35075000</v>
      </c>
    </row>
    <row r="66" ht="15.95" customHeight="1" s="574">
      <c r="A66" s="416" t="inlineStr">
        <is>
          <t>4063</t>
        </is>
      </c>
      <c r="B66" s="49" t="inlineStr">
        <is>
          <t>信越化学</t>
        </is>
      </c>
      <c r="C66" s="53">
        <f>_xll.RssMarket("4063","出来高")</f>
        <v/>
      </c>
      <c r="D66" s="683">
        <f>C66-E66</f>
        <v/>
      </c>
      <c r="E66" s="213" t="n">
        <v>7060600</v>
      </c>
      <c r="F66" s="22" t="n">
        <v>8258600</v>
      </c>
      <c r="G66" s="22" t="n">
        <v>6479100</v>
      </c>
      <c r="H66" s="22" t="n">
        <v>4866300</v>
      </c>
      <c r="I66" s="22" t="n">
        <v>5285700</v>
      </c>
      <c r="J66" s="22" t="n">
        <v>9888800</v>
      </c>
      <c r="K66" s="22" t="n">
        <v>8104400</v>
      </c>
      <c r="L66" s="22" t="n">
        <v>7626000</v>
      </c>
      <c r="M66" s="22" t="n">
        <v>7427500</v>
      </c>
      <c r="N66" s="22" t="n">
        <v>6100000</v>
      </c>
      <c r="O66" s="22" t="n">
        <v>6730800</v>
      </c>
      <c r="P66" s="22" t="n">
        <v>8189400</v>
      </c>
      <c r="Q66" s="22" t="n">
        <v>8746700</v>
      </c>
      <c r="R66" s="22" t="n">
        <v>15831800</v>
      </c>
      <c r="S66" s="22" t="n">
        <v>7618800</v>
      </c>
      <c r="T66" s="22" t="n">
        <v>11120800</v>
      </c>
      <c r="U66" s="22" t="n">
        <v>7333900</v>
      </c>
      <c r="V66" s="22" t="n">
        <v>7917200</v>
      </c>
      <c r="W66" s="22" t="n">
        <v>6503700</v>
      </c>
      <c r="X66" s="22" t="n">
        <v>5117500</v>
      </c>
      <c r="Y66" s="22" t="n">
        <v>5504100</v>
      </c>
      <c r="Z66" s="22" t="n">
        <v>5254300</v>
      </c>
      <c r="AA66" s="22" t="n">
        <v>7528300</v>
      </c>
      <c r="AB66" s="22" t="n">
        <v>6194100</v>
      </c>
      <c r="AC66" s="22" t="n">
        <v>6777500</v>
      </c>
      <c r="AD66" s="22" t="n">
        <v>5350500</v>
      </c>
      <c r="AE66" s="22" t="n">
        <v>8717000</v>
      </c>
      <c r="AF66" s="22" t="n">
        <v>8717000</v>
      </c>
      <c r="AG66" s="22" t="n">
        <v>10411800</v>
      </c>
      <c r="AH66" s="22" t="n">
        <v>16438600</v>
      </c>
      <c r="AI66" s="22" t="n">
        <v>8745000</v>
      </c>
      <c r="AJ66" s="22" t="n">
        <v>17278400</v>
      </c>
      <c r="AK66" s="22" t="n">
        <v>8604800</v>
      </c>
      <c r="AL66" s="22" t="n">
        <v>8365900</v>
      </c>
      <c r="AM66" s="22" t="n">
        <v>5016200</v>
      </c>
      <c r="AN66" s="22" t="n">
        <v>5907500</v>
      </c>
      <c r="AO66" s="22" t="n">
        <v>6503000</v>
      </c>
      <c r="AP66" s="22" t="n">
        <v>8190200</v>
      </c>
      <c r="AQ66" s="22" t="n">
        <v>9389000</v>
      </c>
      <c r="AR66" s="22" t="n">
        <v>8437800</v>
      </c>
      <c r="AS66" s="22" t="n">
        <v>8265500</v>
      </c>
      <c r="AT66" s="22" t="n">
        <v>10556400</v>
      </c>
      <c r="AU66" s="22" t="n">
        <v>6472300</v>
      </c>
      <c r="AV66" s="22" t="n">
        <v>8241400</v>
      </c>
      <c r="AW66" s="22" t="n">
        <v>6428200</v>
      </c>
      <c r="AX66" s="22" t="n">
        <v>9355900</v>
      </c>
      <c r="AY66" s="22" t="n">
        <v>18412500</v>
      </c>
      <c r="AZ66" s="22" t="n">
        <v>4807800</v>
      </c>
      <c r="BA66" s="22" t="n">
        <v>5253100</v>
      </c>
      <c r="BB66" s="22" t="n">
        <v>4405400</v>
      </c>
      <c r="BC66" s="22" t="n">
        <v>7241600</v>
      </c>
      <c r="BD66" s="22" t="n">
        <v>9274100</v>
      </c>
      <c r="BE66" s="22" t="n">
        <v>11289900</v>
      </c>
      <c r="BF66" s="22" t="n">
        <v>10144400</v>
      </c>
      <c r="BG66" s="22" t="n">
        <v>7075700</v>
      </c>
      <c r="BH66" s="22" t="n">
        <v>8538900</v>
      </c>
      <c r="BI66" s="22" t="n">
        <v>8234900</v>
      </c>
      <c r="BJ66" s="22" t="n">
        <v>17076600</v>
      </c>
      <c r="BK66" s="22" t="n">
        <v>10998400</v>
      </c>
      <c r="BL66" s="22" t="n">
        <v>8883400</v>
      </c>
    </row>
    <row r="67" ht="15.95" customHeight="1" s="574">
      <c r="A67" s="416" t="inlineStr">
        <is>
          <t>4536</t>
        </is>
      </c>
      <c r="B67" s="49" t="inlineStr">
        <is>
          <t>参天製薬</t>
        </is>
      </c>
      <c r="C67" s="53">
        <f>_xll.RssMarket("4536","出来高")</f>
        <v/>
      </c>
      <c r="D67" s="683">
        <f>C67-E67</f>
        <v/>
      </c>
      <c r="E67" s="213" t="n">
        <v>882000</v>
      </c>
      <c r="F67" s="22" t="n">
        <v>1511700</v>
      </c>
      <c r="G67" s="22" t="n">
        <v>672700</v>
      </c>
      <c r="H67" s="22" t="n">
        <v>896900</v>
      </c>
      <c r="I67" s="22" t="n">
        <v>867000</v>
      </c>
      <c r="J67" s="22" t="n">
        <v>1152400</v>
      </c>
      <c r="K67" s="22" t="n">
        <v>1201100</v>
      </c>
      <c r="L67" s="22" t="n">
        <v>983900</v>
      </c>
      <c r="M67" s="22" t="n">
        <v>1478800</v>
      </c>
      <c r="N67" s="22" t="n">
        <v>1254200</v>
      </c>
      <c r="O67" s="22" t="n">
        <v>926800</v>
      </c>
      <c r="P67" s="22" t="n">
        <v>1012600</v>
      </c>
      <c r="Q67" s="22" t="n">
        <v>939300</v>
      </c>
      <c r="R67" s="22" t="n">
        <v>1092300</v>
      </c>
      <c r="S67" s="22" t="n">
        <v>1216000</v>
      </c>
      <c r="T67" s="22" t="n">
        <v>1167900</v>
      </c>
      <c r="U67" s="22" t="n">
        <v>1113800</v>
      </c>
      <c r="V67" s="22" t="n">
        <v>968500</v>
      </c>
      <c r="W67" s="22" t="n">
        <v>1160000</v>
      </c>
      <c r="X67" s="22" t="n">
        <v>1325500</v>
      </c>
      <c r="Y67" s="22" t="n">
        <v>1340400</v>
      </c>
      <c r="Z67" s="22" t="n">
        <v>951700</v>
      </c>
      <c r="AA67" s="22" t="n">
        <v>1531000</v>
      </c>
      <c r="AB67" s="22" t="n">
        <v>2302000</v>
      </c>
      <c r="AC67" s="22" t="n">
        <v>3528600</v>
      </c>
      <c r="AD67" s="22" t="n">
        <v>1607900</v>
      </c>
      <c r="AE67" s="22" t="n">
        <v>1070900</v>
      </c>
      <c r="AF67" s="22" t="n">
        <v>1070900</v>
      </c>
      <c r="AG67" s="22" t="n">
        <v>1155800</v>
      </c>
      <c r="AH67" s="22" t="n">
        <v>1152500</v>
      </c>
      <c r="AI67" s="22" t="n">
        <v>792700</v>
      </c>
      <c r="AJ67" s="22" t="n">
        <v>979500</v>
      </c>
      <c r="AK67" s="22" t="n">
        <v>656000</v>
      </c>
      <c r="AL67" s="22" t="n">
        <v>569400</v>
      </c>
      <c r="AM67" s="22" t="n">
        <v>804600</v>
      </c>
      <c r="AN67" s="22" t="n">
        <v>713500</v>
      </c>
      <c r="AO67" s="22" t="n">
        <v>903300</v>
      </c>
      <c r="AP67" s="22" t="n">
        <v>676700</v>
      </c>
      <c r="AQ67" s="22" t="n">
        <v>690900</v>
      </c>
      <c r="AR67" s="22" t="n">
        <v>973800</v>
      </c>
      <c r="AS67" s="22" t="n">
        <v>836400</v>
      </c>
      <c r="AT67" s="22" t="n">
        <v>781600</v>
      </c>
      <c r="AU67" s="22" t="n">
        <v>1024700</v>
      </c>
      <c r="AV67" s="22" t="n">
        <v>1097000</v>
      </c>
      <c r="AW67" s="22" t="n">
        <v>988100</v>
      </c>
      <c r="AX67" s="22" t="n">
        <v>1147700</v>
      </c>
      <c r="AY67" s="22" t="n">
        <v>1478200</v>
      </c>
      <c r="AZ67" s="22" t="n">
        <v>799500</v>
      </c>
      <c r="BA67" s="22" t="n">
        <v>1093500</v>
      </c>
      <c r="BB67" s="22" t="n">
        <v>577900</v>
      </c>
      <c r="BC67" s="22" t="n">
        <v>913400</v>
      </c>
      <c r="BD67" s="22" t="n">
        <v>933900</v>
      </c>
      <c r="BE67" s="22" t="n">
        <v>1164700</v>
      </c>
      <c r="BF67" s="22" t="n">
        <v>1250600</v>
      </c>
      <c r="BG67" s="22" t="n">
        <v>901600</v>
      </c>
      <c r="BH67" s="22" t="n">
        <v>1030900</v>
      </c>
      <c r="BI67" s="22" t="n">
        <v>1055300</v>
      </c>
      <c r="BJ67" s="22" t="n">
        <v>933700</v>
      </c>
      <c r="BK67" s="22" t="n">
        <v>1513200</v>
      </c>
      <c r="BL67" s="22" t="n">
        <v>767800</v>
      </c>
    </row>
    <row r="68" ht="15.95" customHeight="1" s="574">
      <c r="A68" s="416" t="inlineStr">
        <is>
          <t>6503</t>
        </is>
      </c>
      <c r="B68" s="49" t="inlineStr">
        <is>
          <t>三菱電機</t>
        </is>
      </c>
      <c r="C68" s="53">
        <f>_xll.RssMarket("6503","出来高")</f>
        <v/>
      </c>
      <c r="D68" s="683">
        <f>C68-E68</f>
        <v/>
      </c>
      <c r="E68" s="213" t="n">
        <v>4105900</v>
      </c>
      <c r="F68" s="22" t="n">
        <v>6589200</v>
      </c>
      <c r="G68" s="22" t="n">
        <v>6755700</v>
      </c>
      <c r="H68" s="22" t="n">
        <v>4255000</v>
      </c>
      <c r="I68" s="22" t="n">
        <v>6728200</v>
      </c>
      <c r="J68" s="22" t="n">
        <v>8209700</v>
      </c>
      <c r="K68" s="22" t="n">
        <v>7318500</v>
      </c>
      <c r="L68" s="22" t="n">
        <v>9152600</v>
      </c>
      <c r="M68" s="22" t="n">
        <v>7398800</v>
      </c>
      <c r="N68" s="22" t="n">
        <v>5707800</v>
      </c>
      <c r="O68" s="22" t="n">
        <v>6699000</v>
      </c>
      <c r="P68" s="22" t="n">
        <v>5455800</v>
      </c>
      <c r="Q68" s="22" t="n">
        <v>9193900</v>
      </c>
      <c r="R68" s="22" t="n">
        <v>14852400</v>
      </c>
      <c r="S68" s="22" t="n">
        <v>7953400</v>
      </c>
      <c r="T68" s="22" t="n">
        <v>5960900</v>
      </c>
      <c r="U68" s="22" t="n">
        <v>5608300</v>
      </c>
      <c r="V68" s="22" t="n">
        <v>6834800</v>
      </c>
      <c r="W68" s="22" t="n">
        <v>8500900</v>
      </c>
      <c r="X68" s="22" t="n">
        <v>10679400</v>
      </c>
      <c r="Y68" s="22" t="n">
        <v>9166700</v>
      </c>
      <c r="Z68" s="22" t="n">
        <v>6997100</v>
      </c>
      <c r="AA68" s="22" t="n">
        <v>8906700</v>
      </c>
      <c r="AB68" s="22" t="n">
        <v>6838400</v>
      </c>
      <c r="AC68" s="22" t="n">
        <v>4512200</v>
      </c>
      <c r="AD68" s="22" t="n">
        <v>5642700</v>
      </c>
      <c r="AE68" s="22" t="n">
        <v>7418200</v>
      </c>
      <c r="AF68" s="22" t="n">
        <v>7418200</v>
      </c>
      <c r="AG68" s="22" t="n">
        <v>8585500</v>
      </c>
      <c r="AH68" s="22" t="n">
        <v>12043300</v>
      </c>
      <c r="AI68" s="22" t="n">
        <v>6295700</v>
      </c>
      <c r="AJ68" s="22" t="n">
        <v>13025200</v>
      </c>
      <c r="AK68" s="22" t="n">
        <v>9526000</v>
      </c>
      <c r="AL68" s="22" t="n">
        <v>7729900</v>
      </c>
      <c r="AM68" s="22" t="n">
        <v>4219000</v>
      </c>
      <c r="AN68" s="22" t="n">
        <v>7685300</v>
      </c>
      <c r="AO68" s="22" t="n">
        <v>4450800</v>
      </c>
      <c r="AP68" s="22" t="n">
        <v>5315200</v>
      </c>
      <c r="AQ68" s="22" t="n">
        <v>5914100</v>
      </c>
      <c r="AR68" s="22" t="n">
        <v>5511200</v>
      </c>
      <c r="AS68" s="22" t="n">
        <v>4956600</v>
      </c>
      <c r="AT68" s="22" t="n">
        <v>5117500</v>
      </c>
      <c r="AU68" s="22" t="n">
        <v>5422000</v>
      </c>
      <c r="AV68" s="22" t="n">
        <v>4120200</v>
      </c>
      <c r="AW68" s="22" t="n">
        <v>6068800</v>
      </c>
      <c r="AX68" s="22" t="n">
        <v>5402400</v>
      </c>
      <c r="AY68" s="22" t="n">
        <v>5868900</v>
      </c>
      <c r="AZ68" s="22" t="n">
        <v>3475800</v>
      </c>
      <c r="BA68" s="22" t="n">
        <v>3453100</v>
      </c>
      <c r="BB68" s="22" t="n">
        <v>3487500</v>
      </c>
      <c r="BC68" s="22" t="n">
        <v>6041100</v>
      </c>
      <c r="BD68" s="22" t="n">
        <v>8731700</v>
      </c>
      <c r="BE68" s="22" t="n">
        <v>7621400</v>
      </c>
      <c r="BF68" s="22" t="n">
        <v>7564900</v>
      </c>
      <c r="BG68" s="22" t="n">
        <v>4881300</v>
      </c>
      <c r="BH68" s="22" t="n">
        <v>5387700</v>
      </c>
      <c r="BI68" s="22" t="n">
        <v>3909300</v>
      </c>
      <c r="BJ68" s="22" t="n">
        <v>7279000</v>
      </c>
      <c r="BK68" s="22" t="n">
        <v>7867000</v>
      </c>
      <c r="BL68" s="22" t="n">
        <v>4594900</v>
      </c>
    </row>
    <row r="69" ht="15.95" customHeight="1" s="574">
      <c r="A69" s="416" t="inlineStr">
        <is>
          <t>4980</t>
        </is>
      </c>
      <c r="B69" s="49" t="inlineStr">
        <is>
          <t>デクセリアルズ</t>
        </is>
      </c>
      <c r="C69" s="53">
        <f>_xll.RssMarket("4980","出来高")</f>
        <v/>
      </c>
      <c r="D69" s="683">
        <f>C69-E69</f>
        <v/>
      </c>
      <c r="E69" s="213" t="n">
        <v>1976600</v>
      </c>
      <c r="F69" s="22" t="n">
        <v>3421300</v>
      </c>
      <c r="G69" s="22" t="n">
        <v>1855000</v>
      </c>
      <c r="H69" s="22" t="n">
        <v>2442300</v>
      </c>
      <c r="I69" s="22" t="n">
        <v>2858100</v>
      </c>
      <c r="J69" s="22" t="n">
        <v>2617000</v>
      </c>
      <c r="K69" s="22" t="n">
        <v>2593300</v>
      </c>
      <c r="L69" s="22" t="n">
        <v>2935000</v>
      </c>
      <c r="M69" s="22" t="n">
        <v>2851100</v>
      </c>
      <c r="N69" s="22" t="n">
        <v>1894400</v>
      </c>
      <c r="O69" s="22" t="n">
        <v>1851000</v>
      </c>
      <c r="P69" s="22" t="n">
        <v>4259700</v>
      </c>
      <c r="Q69" s="22" t="n">
        <v>3075500</v>
      </c>
      <c r="R69" s="22" t="n">
        <v>2230100</v>
      </c>
      <c r="S69" s="22" t="n">
        <v>2659800</v>
      </c>
      <c r="T69" s="22" t="n">
        <v>2510200</v>
      </c>
      <c r="U69" s="22" t="n">
        <v>2788600</v>
      </c>
      <c r="V69" s="22" t="n">
        <v>3090200</v>
      </c>
      <c r="W69" s="22" t="n">
        <v>5139000</v>
      </c>
      <c r="X69" s="22" t="n">
        <v>9140000</v>
      </c>
      <c r="Y69" s="22" t="n">
        <v>6417700</v>
      </c>
      <c r="Z69" s="22" t="n">
        <v>12340900</v>
      </c>
      <c r="AA69" s="22" t="n">
        <v>1252400</v>
      </c>
      <c r="AB69" s="22" t="n">
        <v>668100</v>
      </c>
      <c r="AC69" s="22" t="n">
        <v>2317200</v>
      </c>
      <c r="AD69" s="22" t="n">
        <v>1701300</v>
      </c>
      <c r="AE69" s="22" t="n">
        <v>2406700</v>
      </c>
      <c r="AF69" s="22" t="n">
        <v>2406700</v>
      </c>
      <c r="AG69" s="22" t="n">
        <v>1970800</v>
      </c>
      <c r="AH69" s="22" t="n">
        <v>2383900</v>
      </c>
      <c r="AI69" s="22" t="n">
        <v>913500</v>
      </c>
      <c r="AJ69" s="22" t="n">
        <v>1292500</v>
      </c>
      <c r="AK69" s="22" t="n">
        <v>1300000</v>
      </c>
      <c r="AL69" s="22" t="n">
        <v>1811000</v>
      </c>
      <c r="AM69" s="22" t="n">
        <v>1050800</v>
      </c>
      <c r="AN69" s="22" t="n">
        <v>1253500</v>
      </c>
      <c r="AO69" s="22" t="n">
        <v>901700</v>
      </c>
      <c r="AP69" s="22" t="n">
        <v>1155000</v>
      </c>
      <c r="AQ69" s="22" t="n">
        <v>1718300</v>
      </c>
      <c r="AR69" s="22" t="n">
        <v>1680200</v>
      </c>
      <c r="AS69" s="22" t="n">
        <v>1446600</v>
      </c>
      <c r="AT69" s="22" t="n">
        <v>1129100</v>
      </c>
      <c r="AU69" s="22" t="n">
        <v>1543300</v>
      </c>
      <c r="AV69" s="22" t="n">
        <v>1119400</v>
      </c>
      <c r="AW69" s="22" t="n">
        <v>1199100</v>
      </c>
      <c r="AX69" s="22" t="n">
        <v>1105900</v>
      </c>
      <c r="AY69" s="22" t="n">
        <v>2224300</v>
      </c>
      <c r="AZ69" s="22" t="n">
        <v>825000</v>
      </c>
      <c r="BA69" s="22" t="n">
        <v>1189600</v>
      </c>
      <c r="BB69" s="22" t="n">
        <v>1158300</v>
      </c>
      <c r="BC69" s="22" t="n">
        <v>1768400</v>
      </c>
      <c r="BD69" s="22" t="n">
        <v>1442000</v>
      </c>
      <c r="BE69" s="22" t="n">
        <v>1314700</v>
      </c>
      <c r="BF69" s="22" t="n">
        <v>1414800</v>
      </c>
      <c r="BG69" s="22" t="n">
        <v>819300</v>
      </c>
      <c r="BH69" s="22" t="n">
        <v>1224300</v>
      </c>
      <c r="BI69" s="22" t="n">
        <v>1390800</v>
      </c>
      <c r="BJ69" s="22" t="n">
        <v>1705100</v>
      </c>
      <c r="BK69" s="22" t="n">
        <v>1400300</v>
      </c>
      <c r="BL69" s="22" t="n">
        <v>1639200</v>
      </c>
    </row>
    <row r="70" ht="15.95" customHeight="1" s="574">
      <c r="A70" s="416" t="inlineStr">
        <is>
          <t>9424</t>
        </is>
      </c>
      <c r="B70" s="49" t="inlineStr">
        <is>
          <t>日本通信</t>
        </is>
      </c>
      <c r="C70" s="53">
        <f>_xll.RssMarket("9424","出来高")</f>
        <v/>
      </c>
      <c r="D70" s="683">
        <f>C70-E70</f>
        <v/>
      </c>
      <c r="E70" s="213" t="n">
        <v>1083000</v>
      </c>
      <c r="F70" s="22" t="n">
        <v>935800</v>
      </c>
      <c r="G70" s="22" t="n">
        <v>1636500</v>
      </c>
      <c r="H70" s="22" t="n">
        <v>1549700</v>
      </c>
      <c r="I70" s="22" t="n">
        <v>1243700</v>
      </c>
      <c r="J70" s="22" t="n">
        <v>1948100</v>
      </c>
      <c r="K70" s="22" t="n">
        <v>1954300</v>
      </c>
      <c r="L70" s="22" t="n">
        <v>1847900</v>
      </c>
      <c r="M70" s="22" t="n">
        <v>2346400</v>
      </c>
      <c r="N70" s="22" t="n">
        <v>1967500</v>
      </c>
      <c r="O70" s="22" t="n">
        <v>2191100</v>
      </c>
      <c r="P70" s="22" t="n">
        <v>1802700</v>
      </c>
      <c r="Q70" s="22" t="n">
        <v>2161300</v>
      </c>
      <c r="R70" s="22" t="n">
        <v>1861400</v>
      </c>
      <c r="S70" s="22" t="n">
        <v>1968100</v>
      </c>
      <c r="T70" s="22" t="n">
        <v>3788900</v>
      </c>
      <c r="U70" s="22" t="n">
        <v>3766700</v>
      </c>
      <c r="V70" s="22" t="n">
        <v>2547800</v>
      </c>
      <c r="W70" s="22" t="n">
        <v>2954700</v>
      </c>
      <c r="X70" s="22" t="n">
        <v>2232000</v>
      </c>
      <c r="Y70" s="22" t="n">
        <v>2186300</v>
      </c>
      <c r="Z70" s="22" t="n">
        <v>2907700</v>
      </c>
      <c r="AA70" s="22" t="n">
        <v>1185600</v>
      </c>
      <c r="AB70" s="22" t="n">
        <v>1363600</v>
      </c>
      <c r="AC70" s="22" t="n">
        <v>1561100</v>
      </c>
      <c r="AD70" s="22" t="n">
        <v>1656500</v>
      </c>
      <c r="AE70" s="22" t="n">
        <v>2645300</v>
      </c>
      <c r="AF70" s="22" t="n">
        <v>2645300</v>
      </c>
      <c r="AG70" s="22" t="n">
        <v>5397500</v>
      </c>
      <c r="AH70" s="22" t="n">
        <v>2114500</v>
      </c>
      <c r="AI70" s="22" t="n">
        <v>1516900</v>
      </c>
      <c r="AJ70" s="22" t="n">
        <v>1300000</v>
      </c>
      <c r="AK70" s="22" t="n">
        <v>2124800</v>
      </c>
      <c r="AL70" s="22" t="n">
        <v>1221400</v>
      </c>
      <c r="AM70" s="22" t="n">
        <v>1689400</v>
      </c>
      <c r="AN70" s="22" t="n">
        <v>3172000</v>
      </c>
      <c r="AO70" s="22" t="n">
        <v>1378300</v>
      </c>
      <c r="AP70" s="22" t="n">
        <v>1356700</v>
      </c>
      <c r="AQ70" s="22" t="n">
        <v>1442900</v>
      </c>
      <c r="AR70" s="22" t="n">
        <v>1703700</v>
      </c>
      <c r="AS70" s="22" t="n">
        <v>1137600</v>
      </c>
      <c r="AT70" s="22" t="n">
        <v>3070100</v>
      </c>
      <c r="AU70" s="22" t="n">
        <v>1134400</v>
      </c>
      <c r="AV70" s="22" t="n">
        <v>2516200</v>
      </c>
      <c r="AW70" s="22" t="n">
        <v>2332900</v>
      </c>
      <c r="AX70" s="22" t="n">
        <v>1312500</v>
      </c>
      <c r="AY70" s="22" t="n">
        <v>1827100</v>
      </c>
      <c r="AZ70" s="22" t="n">
        <v>1258100</v>
      </c>
      <c r="BA70" s="22" t="n">
        <v>1781200</v>
      </c>
      <c r="BB70" s="22" t="n">
        <v>2144600</v>
      </c>
      <c r="BC70" s="22" t="n">
        <v>1992000</v>
      </c>
      <c r="BD70" s="22" t="n">
        <v>1596500</v>
      </c>
      <c r="BE70" s="22" t="n">
        <v>2023000</v>
      </c>
      <c r="BF70" s="22" t="n">
        <v>2323100</v>
      </c>
      <c r="BG70" s="22" t="n">
        <v>1406500</v>
      </c>
      <c r="BH70" s="22" t="n">
        <v>1637700</v>
      </c>
      <c r="BI70" s="22" t="n">
        <v>1402000</v>
      </c>
      <c r="BJ70" s="22" t="n">
        <v>3165300</v>
      </c>
      <c r="BK70" s="22" t="n">
        <v>2052800</v>
      </c>
      <c r="BL70" s="22" t="n">
        <v>2052600</v>
      </c>
    </row>
    <row r="71" ht="15.95" customHeight="1" s="574">
      <c r="A71" s="416" t="inlineStr">
        <is>
          <t>3854</t>
        </is>
      </c>
      <c r="B71" s="49" t="inlineStr">
        <is>
          <t>アイル</t>
        </is>
      </c>
      <c r="C71" s="53">
        <f>_xll.RssMarket("3854","出来高")</f>
        <v/>
      </c>
      <c r="D71" s="683">
        <f>C71-E71</f>
        <v/>
      </c>
      <c r="E71" s="213" t="n">
        <v>79000</v>
      </c>
      <c r="F71" s="22" t="n">
        <v>78400</v>
      </c>
      <c r="G71" s="22" t="n">
        <v>54800</v>
      </c>
      <c r="H71" s="22" t="n">
        <v>125700</v>
      </c>
      <c r="I71" s="22" t="n">
        <v>71600</v>
      </c>
      <c r="J71" s="22" t="n">
        <v>152200</v>
      </c>
      <c r="K71" s="22" t="n">
        <v>112200</v>
      </c>
      <c r="L71" s="22" t="n">
        <v>88700</v>
      </c>
      <c r="M71" s="22" t="n">
        <v>217500</v>
      </c>
      <c r="N71" s="22" t="n">
        <v>105100</v>
      </c>
      <c r="O71" s="22" t="n">
        <v>100800</v>
      </c>
      <c r="P71" s="22" t="n">
        <v>102300</v>
      </c>
      <c r="Q71" s="22" t="n">
        <v>66600</v>
      </c>
      <c r="R71" s="22" t="n">
        <v>97200</v>
      </c>
      <c r="S71" s="22" t="n">
        <v>98400</v>
      </c>
      <c r="T71" s="22" t="n">
        <v>45900</v>
      </c>
      <c r="U71" s="22" t="n">
        <v>114200</v>
      </c>
      <c r="V71" s="22" t="n">
        <v>87600</v>
      </c>
      <c r="W71" s="22" t="n">
        <v>49400</v>
      </c>
      <c r="X71" s="22" t="n">
        <v>65200</v>
      </c>
      <c r="Y71" s="22" t="n">
        <v>52500</v>
      </c>
      <c r="Z71" s="22" t="n">
        <v>75300</v>
      </c>
      <c r="AA71" s="22" t="n">
        <v>41300</v>
      </c>
      <c r="AB71" s="22" t="n">
        <v>50900</v>
      </c>
      <c r="AC71" s="22" t="n">
        <v>36300</v>
      </c>
      <c r="AD71" s="22" t="n">
        <v>47700</v>
      </c>
      <c r="AE71" s="22" t="n">
        <v>49000</v>
      </c>
      <c r="AF71" s="22" t="n">
        <v>49000</v>
      </c>
      <c r="AG71" s="22" t="n">
        <v>71600</v>
      </c>
      <c r="AH71" s="22" t="n">
        <v>51300</v>
      </c>
      <c r="AI71" s="22" t="n">
        <v>57300</v>
      </c>
      <c r="AJ71" s="22" t="n">
        <v>75700</v>
      </c>
      <c r="AK71" s="22" t="n">
        <v>182200</v>
      </c>
      <c r="AL71" s="22" t="n">
        <v>52000</v>
      </c>
      <c r="AM71" s="22" t="n">
        <v>46600</v>
      </c>
      <c r="AN71" s="22" t="n">
        <v>62800</v>
      </c>
      <c r="AO71" s="22" t="n">
        <v>55600</v>
      </c>
      <c r="AP71" s="22" t="n">
        <v>52600</v>
      </c>
      <c r="AQ71" s="22" t="n">
        <v>56400</v>
      </c>
      <c r="AR71" s="22" t="n">
        <v>66600</v>
      </c>
      <c r="AS71" s="22" t="n">
        <v>50400</v>
      </c>
      <c r="AT71" s="22" t="n">
        <v>54300</v>
      </c>
      <c r="AU71" s="22" t="n">
        <v>46600</v>
      </c>
      <c r="AV71" s="22" t="n">
        <v>62300</v>
      </c>
      <c r="AW71" s="22" t="n">
        <v>60800</v>
      </c>
      <c r="AX71" s="22" t="n">
        <v>55800</v>
      </c>
      <c r="AY71" s="22" t="n">
        <v>59100</v>
      </c>
      <c r="AZ71" s="22" t="n">
        <v>57100</v>
      </c>
      <c r="BA71" s="22" t="n">
        <v>43400</v>
      </c>
      <c r="BB71" s="22" t="n">
        <v>31000</v>
      </c>
      <c r="BC71" s="22" t="n">
        <v>46400</v>
      </c>
      <c r="BD71" s="22" t="n">
        <v>42600</v>
      </c>
      <c r="BE71" s="22" t="n">
        <v>82500</v>
      </c>
      <c r="BF71" s="22" t="n">
        <v>69200</v>
      </c>
      <c r="BG71" s="22" t="n">
        <v>43600</v>
      </c>
      <c r="BH71" s="22" t="n">
        <v>41600</v>
      </c>
      <c r="BI71" s="22" t="n">
        <v>36300</v>
      </c>
      <c r="BJ71" s="22" t="n">
        <v>60700</v>
      </c>
      <c r="BK71" s="22" t="n">
        <v>47300</v>
      </c>
      <c r="BL71" s="22" t="n">
        <v>49900</v>
      </c>
    </row>
    <row r="72" ht="15.95" customHeight="1" s="574">
      <c r="A72" s="416" t="inlineStr">
        <is>
          <t>6027</t>
        </is>
      </c>
      <c r="B72" s="49" t="inlineStr">
        <is>
          <t>弁護士ドットコム</t>
        </is>
      </c>
      <c r="C72" s="53">
        <f>_xll.RssMarket("6027","出来高")</f>
        <v/>
      </c>
      <c r="D72" s="683">
        <f>C72-E72</f>
        <v/>
      </c>
      <c r="E72" s="213" t="n">
        <v>86400</v>
      </c>
      <c r="F72" s="22" t="n">
        <v>104700</v>
      </c>
      <c r="G72" s="22" t="n">
        <v>80500</v>
      </c>
      <c r="H72" s="22" t="n">
        <v>110400</v>
      </c>
      <c r="I72" s="22" t="n">
        <v>91300</v>
      </c>
      <c r="J72" s="22" t="n">
        <v>115300</v>
      </c>
      <c r="K72" s="22" t="n">
        <v>99100</v>
      </c>
      <c r="L72" s="22" t="n">
        <v>89100</v>
      </c>
      <c r="M72" s="22" t="n">
        <v>104500</v>
      </c>
      <c r="N72" s="22" t="n">
        <v>80900</v>
      </c>
      <c r="O72" s="22" t="n">
        <v>106700</v>
      </c>
      <c r="P72" s="22" t="n">
        <v>114200</v>
      </c>
      <c r="Q72" s="22" t="n">
        <v>119200</v>
      </c>
      <c r="R72" s="22" t="n">
        <v>67700</v>
      </c>
      <c r="S72" s="22" t="n">
        <v>98800</v>
      </c>
      <c r="T72" s="22" t="n">
        <v>101400</v>
      </c>
      <c r="U72" s="22" t="n">
        <v>84400</v>
      </c>
      <c r="V72" s="22" t="n">
        <v>68500</v>
      </c>
      <c r="W72" s="22" t="n">
        <v>42600</v>
      </c>
      <c r="X72" s="22" t="n">
        <v>119700</v>
      </c>
      <c r="Y72" s="22" t="n">
        <v>101500</v>
      </c>
      <c r="Z72" s="22" t="n">
        <v>160200</v>
      </c>
      <c r="AA72" s="22" t="n">
        <v>147300</v>
      </c>
      <c r="AB72" s="22" t="n">
        <v>202000</v>
      </c>
      <c r="AC72" s="22" t="n">
        <v>113900</v>
      </c>
      <c r="AD72" s="22" t="n">
        <v>49300</v>
      </c>
      <c r="AE72" s="22" t="n">
        <v>77300</v>
      </c>
      <c r="AF72" s="22" t="n">
        <v>77300</v>
      </c>
      <c r="AG72" s="22" t="n">
        <v>88300</v>
      </c>
      <c r="AH72" s="22" t="n">
        <v>105900</v>
      </c>
      <c r="AI72" s="22" t="n">
        <v>51000</v>
      </c>
      <c r="AJ72" s="22" t="n">
        <v>45300</v>
      </c>
      <c r="AK72" s="22" t="n">
        <v>258800</v>
      </c>
      <c r="AL72" s="22" t="n">
        <v>142000</v>
      </c>
      <c r="AM72" s="22" t="n">
        <v>87600</v>
      </c>
      <c r="AN72" s="22" t="n">
        <v>51900</v>
      </c>
      <c r="AO72" s="22" t="n">
        <v>60300</v>
      </c>
      <c r="AP72" s="22" t="n">
        <v>51000</v>
      </c>
      <c r="AQ72" s="22" t="n">
        <v>55400</v>
      </c>
      <c r="AR72" s="22" t="n">
        <v>106900</v>
      </c>
      <c r="AS72" s="22" t="n">
        <v>137700</v>
      </c>
      <c r="AT72" s="22" t="n">
        <v>161500</v>
      </c>
      <c r="AU72" s="22" t="n">
        <v>108800</v>
      </c>
      <c r="AV72" s="22" t="n">
        <v>101800</v>
      </c>
      <c r="AW72" s="22" t="n">
        <v>260600</v>
      </c>
      <c r="AX72" s="22" t="n">
        <v>280300</v>
      </c>
      <c r="AY72" s="22" t="n">
        <v>109800</v>
      </c>
      <c r="AZ72" s="22" t="n">
        <v>41400</v>
      </c>
      <c r="BA72" s="22" t="n">
        <v>58100</v>
      </c>
      <c r="BB72" s="22" t="n">
        <v>109000</v>
      </c>
      <c r="BC72" s="22" t="n">
        <v>101100</v>
      </c>
      <c r="BD72" s="22" t="n">
        <v>77400</v>
      </c>
      <c r="BE72" s="22" t="n">
        <v>112900</v>
      </c>
      <c r="BF72" s="22" t="n">
        <v>159100</v>
      </c>
      <c r="BG72" s="22" t="n">
        <v>73600</v>
      </c>
      <c r="BH72" s="22" t="n">
        <v>74000</v>
      </c>
      <c r="BI72" s="22" t="n">
        <v>80800</v>
      </c>
      <c r="BJ72" s="22" t="n">
        <v>49000</v>
      </c>
      <c r="BK72" s="22" t="n">
        <v>88400</v>
      </c>
      <c r="BL72" s="22" t="n">
        <v>66000</v>
      </c>
    </row>
    <row r="73" ht="15.95" customHeight="1" s="574">
      <c r="A73" s="416" t="inlineStr">
        <is>
          <t>7806</t>
        </is>
      </c>
      <c r="B73" s="49" t="inlineStr">
        <is>
          <t>ＭＴＧ</t>
        </is>
      </c>
      <c r="C73" s="53">
        <f>_xll.RssMarket("7806","出来高")</f>
        <v/>
      </c>
      <c r="D73" s="683">
        <f>C73-E73</f>
        <v/>
      </c>
      <c r="E73" s="213" t="n">
        <v>70600</v>
      </c>
      <c r="F73" s="22" t="n">
        <v>100700</v>
      </c>
      <c r="G73" s="22" t="n">
        <v>149800</v>
      </c>
      <c r="H73" s="22" t="n">
        <v>101100</v>
      </c>
      <c r="I73" s="22" t="n">
        <v>70700</v>
      </c>
      <c r="J73" s="22" t="n">
        <v>76100</v>
      </c>
      <c r="K73" s="22" t="n">
        <v>123300</v>
      </c>
      <c r="L73" s="22" t="n">
        <v>81800</v>
      </c>
      <c r="M73" s="22" t="n">
        <v>94500</v>
      </c>
      <c r="N73" s="22" t="n">
        <v>98400</v>
      </c>
      <c r="O73" s="22" t="n">
        <v>179500</v>
      </c>
      <c r="P73" s="22" t="n">
        <v>148300</v>
      </c>
      <c r="Q73" s="22" t="n">
        <v>138500</v>
      </c>
      <c r="R73" s="22" t="n">
        <v>187100</v>
      </c>
      <c r="S73" s="22" t="n">
        <v>210800</v>
      </c>
      <c r="T73" s="22" t="n">
        <v>159600</v>
      </c>
      <c r="U73" s="22" t="n">
        <v>93500</v>
      </c>
      <c r="V73" s="22" t="n">
        <v>116000</v>
      </c>
      <c r="W73" s="22" t="n">
        <v>78400</v>
      </c>
      <c r="X73" s="22" t="n">
        <v>143600</v>
      </c>
      <c r="Y73" s="22" t="n">
        <v>172400</v>
      </c>
      <c r="Z73" s="22" t="n">
        <v>156700</v>
      </c>
      <c r="AA73" s="22" t="n">
        <v>202300</v>
      </c>
      <c r="AB73" s="22" t="n">
        <v>335000</v>
      </c>
      <c r="AC73" s="22" t="n">
        <v>335500</v>
      </c>
      <c r="AD73" s="22" t="n">
        <v>641700</v>
      </c>
      <c r="AE73" s="22" t="n">
        <v>261500</v>
      </c>
      <c r="AF73" s="22" t="n">
        <v>261500</v>
      </c>
      <c r="AG73" s="22" t="n">
        <v>99300</v>
      </c>
      <c r="AH73" s="22" t="n">
        <v>173800</v>
      </c>
      <c r="AI73" s="22" t="n">
        <v>124500</v>
      </c>
      <c r="AJ73" s="22" t="n">
        <v>114900</v>
      </c>
      <c r="AK73" s="22" t="n">
        <v>76700</v>
      </c>
      <c r="AL73" s="22" t="n">
        <v>127600</v>
      </c>
      <c r="AM73" s="22" t="n">
        <v>86300</v>
      </c>
      <c r="AN73" s="22" t="n">
        <v>110000</v>
      </c>
      <c r="AO73" s="22" t="n">
        <v>92900</v>
      </c>
      <c r="AP73" s="22" t="n">
        <v>105000</v>
      </c>
      <c r="AQ73" s="22" t="n">
        <v>100600</v>
      </c>
      <c r="AR73" s="22" t="n">
        <v>142100</v>
      </c>
      <c r="AS73" s="22" t="n">
        <v>76500</v>
      </c>
      <c r="AT73" s="22" t="n">
        <v>145900</v>
      </c>
      <c r="AU73" s="22" t="n">
        <v>97600</v>
      </c>
      <c r="AV73" s="22" t="n">
        <v>128100</v>
      </c>
      <c r="AW73" s="22" t="n">
        <v>102400</v>
      </c>
      <c r="AX73" s="22" t="n">
        <v>105000</v>
      </c>
      <c r="AY73" s="22" t="n">
        <v>121200</v>
      </c>
      <c r="AZ73" s="22" t="n">
        <v>91800</v>
      </c>
      <c r="BA73" s="22" t="n">
        <v>109000</v>
      </c>
      <c r="BB73" s="22" t="n">
        <v>86700</v>
      </c>
      <c r="BC73" s="22" t="n">
        <v>148700</v>
      </c>
      <c r="BD73" s="22" t="n">
        <v>99500</v>
      </c>
      <c r="BE73" s="22" t="n">
        <v>177600</v>
      </c>
      <c r="BF73" s="22" t="n">
        <v>274700</v>
      </c>
      <c r="BG73" s="22" t="n">
        <v>147900</v>
      </c>
      <c r="BH73" s="22" t="n">
        <v>138000</v>
      </c>
      <c r="BI73" s="22" t="n">
        <v>108100</v>
      </c>
      <c r="BJ73" s="22" t="n">
        <v>172100</v>
      </c>
      <c r="BK73" s="22" t="n">
        <v>107300</v>
      </c>
      <c r="BL73" s="22" t="n">
        <v>125800</v>
      </c>
    </row>
    <row r="74" ht="15.95" customHeight="1" s="574">
      <c r="A74" s="416" t="inlineStr">
        <is>
          <t>9202</t>
        </is>
      </c>
      <c r="B74" s="49" t="inlineStr">
        <is>
          <t>ＡＮＡホールディングス</t>
        </is>
      </c>
      <c r="C74" s="53">
        <f>_xll.RssMarket("9202","出来高")</f>
        <v/>
      </c>
      <c r="D74" s="683">
        <f>C74-E74</f>
        <v/>
      </c>
      <c r="E74" s="213" t="n">
        <v>2308900</v>
      </c>
      <c r="F74" s="22" t="n">
        <v>2725600</v>
      </c>
      <c r="G74" s="22" t="n">
        <v>1930700</v>
      </c>
      <c r="H74" s="22" t="n">
        <v>2230900</v>
      </c>
      <c r="I74" s="22" t="n">
        <v>2985100</v>
      </c>
      <c r="J74" s="22" t="n">
        <v>3164000</v>
      </c>
      <c r="K74" s="22" t="n">
        <v>2135800</v>
      </c>
      <c r="L74" s="22" t="n">
        <v>2158900</v>
      </c>
      <c r="M74" s="22" t="n">
        <v>2434400</v>
      </c>
      <c r="N74" s="22" t="n">
        <v>2216800</v>
      </c>
      <c r="O74" s="22" t="n">
        <v>2215600</v>
      </c>
      <c r="P74" s="22" t="n">
        <v>1983200</v>
      </c>
      <c r="Q74" s="22" t="n">
        <v>3201700</v>
      </c>
      <c r="R74" s="22" t="n">
        <v>5406800</v>
      </c>
      <c r="S74" s="22" t="n">
        <v>2120400</v>
      </c>
      <c r="T74" s="22" t="n">
        <v>2501400</v>
      </c>
      <c r="U74" s="22" t="n">
        <v>3620800</v>
      </c>
      <c r="V74" s="22" t="n">
        <v>2126500</v>
      </c>
      <c r="W74" s="22" t="n">
        <v>2315200</v>
      </c>
      <c r="X74" s="22" t="n">
        <v>2264400</v>
      </c>
      <c r="Y74" s="22" t="n">
        <v>2421000</v>
      </c>
      <c r="Z74" s="22" t="n">
        <v>2950300</v>
      </c>
      <c r="AA74" s="22" t="n">
        <v>2781900</v>
      </c>
      <c r="AB74" s="22" t="n">
        <v>2105800</v>
      </c>
      <c r="AC74" s="22" t="n">
        <v>2618100</v>
      </c>
      <c r="AD74" s="22" t="n">
        <v>2907100</v>
      </c>
      <c r="AE74" s="22" t="n">
        <v>3306500</v>
      </c>
      <c r="AF74" s="22" t="n">
        <v>3306500</v>
      </c>
      <c r="AG74" s="22" t="n">
        <v>4390900</v>
      </c>
      <c r="AH74" s="22" t="n">
        <v>7110200</v>
      </c>
      <c r="AI74" s="22" t="n">
        <v>4982900</v>
      </c>
      <c r="AJ74" s="22" t="n">
        <v>5649400</v>
      </c>
      <c r="AK74" s="22" t="n">
        <v>5415500</v>
      </c>
      <c r="AL74" s="22" t="n">
        <v>3159100</v>
      </c>
      <c r="AM74" s="22" t="n">
        <v>3437600</v>
      </c>
      <c r="AN74" s="22" t="n">
        <v>5078700</v>
      </c>
      <c r="AO74" s="22" t="n">
        <v>2943400</v>
      </c>
      <c r="AP74" s="22" t="n">
        <v>2482900</v>
      </c>
      <c r="AQ74" s="22" t="n">
        <v>2734200</v>
      </c>
      <c r="AR74" s="22" t="n">
        <v>3397600</v>
      </c>
      <c r="AS74" s="22" t="n">
        <v>2877400</v>
      </c>
      <c r="AT74" s="22" t="n">
        <v>3416900</v>
      </c>
      <c r="AU74" s="22" t="n">
        <v>1974800</v>
      </c>
      <c r="AV74" s="22" t="n">
        <v>2762000</v>
      </c>
      <c r="AW74" s="22" t="n">
        <v>2383700</v>
      </c>
      <c r="AX74" s="22" t="n">
        <v>2807000</v>
      </c>
      <c r="AY74" s="22" t="n">
        <v>4570500</v>
      </c>
      <c r="AZ74" s="22" t="n">
        <v>2330800</v>
      </c>
      <c r="BA74" s="22" t="n">
        <v>1919700</v>
      </c>
      <c r="BB74" s="22" t="n">
        <v>2294300</v>
      </c>
      <c r="BC74" s="22" t="n">
        <v>3349500</v>
      </c>
      <c r="BD74" s="22" t="n">
        <v>3062100</v>
      </c>
      <c r="BE74" s="22" t="n">
        <v>2981100</v>
      </c>
      <c r="BF74" s="22" t="n">
        <v>2586700</v>
      </c>
      <c r="BG74" s="22" t="n">
        <v>1763800</v>
      </c>
      <c r="BH74" s="22" t="n">
        <v>2343800</v>
      </c>
      <c r="BI74" s="22" t="n">
        <v>3104900</v>
      </c>
      <c r="BJ74" s="22" t="n">
        <v>3514300</v>
      </c>
      <c r="BK74" s="22" t="n">
        <v>4321000</v>
      </c>
      <c r="BL74" s="22" t="n">
        <v>3412700</v>
      </c>
    </row>
    <row r="75" ht="15.95" customHeight="1" s="574">
      <c r="A75" s="416" t="inlineStr">
        <is>
          <t>7846</t>
        </is>
      </c>
      <c r="B75" s="49" t="inlineStr">
        <is>
          <t>パイロットコーポレーション</t>
        </is>
      </c>
      <c r="C75" s="53">
        <f>_xll.RssMarket("7846","出来高")</f>
        <v/>
      </c>
      <c r="D75" s="683">
        <f>C75-E75</f>
        <v/>
      </c>
      <c r="E75" s="213" t="n">
        <v>63800</v>
      </c>
      <c r="F75" s="22" t="n">
        <v>115500</v>
      </c>
      <c r="G75" s="22" t="n">
        <v>84600</v>
      </c>
      <c r="H75" s="22" t="n">
        <v>66000</v>
      </c>
      <c r="I75" s="22" t="n">
        <v>67200</v>
      </c>
      <c r="J75" s="22" t="n">
        <v>95600</v>
      </c>
      <c r="K75" s="22" t="n">
        <v>61900</v>
      </c>
      <c r="L75" s="22" t="n">
        <v>67800</v>
      </c>
      <c r="M75" s="22" t="n">
        <v>101800</v>
      </c>
      <c r="N75" s="22" t="n">
        <v>52500</v>
      </c>
      <c r="O75" s="22" t="n">
        <v>80500</v>
      </c>
      <c r="P75" s="22" t="n">
        <v>66300</v>
      </c>
      <c r="Q75" s="22" t="n">
        <v>75200</v>
      </c>
      <c r="R75" s="22" t="n">
        <v>118300</v>
      </c>
      <c r="S75" s="22" t="n">
        <v>82900</v>
      </c>
      <c r="T75" s="22" t="n">
        <v>82500</v>
      </c>
      <c r="U75" s="22" t="n">
        <v>109800</v>
      </c>
      <c r="V75" s="22" t="n">
        <v>91700</v>
      </c>
      <c r="W75" s="22" t="n">
        <v>95700</v>
      </c>
      <c r="X75" s="22" t="n">
        <v>148800</v>
      </c>
      <c r="Y75" s="22" t="n">
        <v>106900</v>
      </c>
      <c r="Z75" s="22" t="n">
        <v>89200</v>
      </c>
      <c r="AA75" s="22" t="n">
        <v>97400</v>
      </c>
      <c r="AB75" s="22" t="n">
        <v>75900</v>
      </c>
      <c r="AC75" s="22" t="n">
        <v>88800</v>
      </c>
      <c r="AD75" s="22" t="n">
        <v>164300</v>
      </c>
      <c r="AE75" s="22" t="n">
        <v>111600</v>
      </c>
      <c r="AF75" s="22" t="n">
        <v>111600</v>
      </c>
      <c r="AG75" s="22" t="n">
        <v>99700</v>
      </c>
      <c r="AH75" s="22" t="n">
        <v>94300</v>
      </c>
      <c r="AI75" s="22" t="n">
        <v>93200</v>
      </c>
      <c r="AJ75" s="22" t="n">
        <v>136700</v>
      </c>
      <c r="AK75" s="22" t="n">
        <v>294400</v>
      </c>
      <c r="AL75" s="22" t="n">
        <v>85900</v>
      </c>
      <c r="AM75" s="22" t="n">
        <v>119500</v>
      </c>
      <c r="AN75" s="22" t="n">
        <v>104500</v>
      </c>
      <c r="AO75" s="22" t="n">
        <v>67400</v>
      </c>
      <c r="AP75" s="22" t="n">
        <v>94900</v>
      </c>
      <c r="AQ75" s="22" t="n">
        <v>73200</v>
      </c>
      <c r="AR75" s="22" t="n">
        <v>73800</v>
      </c>
      <c r="AS75" s="22" t="n">
        <v>73400</v>
      </c>
      <c r="AT75" s="22" t="n">
        <v>87900</v>
      </c>
      <c r="AU75" s="22" t="n">
        <v>70200</v>
      </c>
      <c r="AV75" s="22" t="n">
        <v>87200</v>
      </c>
      <c r="AW75" s="22" t="n">
        <v>69200</v>
      </c>
      <c r="AX75" s="22" t="n">
        <v>76600</v>
      </c>
      <c r="AY75" s="22" t="n">
        <v>77400</v>
      </c>
      <c r="AZ75" s="22" t="n">
        <v>73400</v>
      </c>
      <c r="BA75" s="22" t="n">
        <v>49100</v>
      </c>
      <c r="BB75" s="22" t="n">
        <v>78500</v>
      </c>
      <c r="BC75" s="22" t="n">
        <v>94200</v>
      </c>
      <c r="BD75" s="22" t="n">
        <v>107500</v>
      </c>
      <c r="BE75" s="22" t="n">
        <v>122400</v>
      </c>
      <c r="BF75" s="22" t="n">
        <v>113100</v>
      </c>
      <c r="BG75" s="22" t="n">
        <v>88800</v>
      </c>
      <c r="BH75" s="22" t="n">
        <v>125700</v>
      </c>
      <c r="BI75" s="22" t="n">
        <v>123800</v>
      </c>
      <c r="BJ75" s="22" t="n">
        <v>197000</v>
      </c>
      <c r="BK75" s="22" t="n">
        <v>187300</v>
      </c>
      <c r="BL75" s="22" t="n">
        <v>112200</v>
      </c>
    </row>
    <row r="76" ht="15.95" customHeight="1" s="574">
      <c r="A76" s="416" t="inlineStr">
        <is>
          <t>2802</t>
        </is>
      </c>
      <c r="B76" s="49" t="inlineStr">
        <is>
          <t>味の素</t>
        </is>
      </c>
      <c r="C76" s="53">
        <f>_xll.RssMarket("2802","出来高")</f>
        <v/>
      </c>
      <c r="D76" s="683">
        <f>C76-E76</f>
        <v/>
      </c>
      <c r="E76" s="213" t="n">
        <v>7787100</v>
      </c>
      <c r="F76" s="22" t="n">
        <v>9507900</v>
      </c>
      <c r="G76" s="22" t="n">
        <v>11123900</v>
      </c>
      <c r="H76" s="22" t="n">
        <v>7021300</v>
      </c>
      <c r="I76" s="22" t="n">
        <v>3452600</v>
      </c>
      <c r="J76" s="22" t="n">
        <v>7566800</v>
      </c>
      <c r="K76" s="22" t="n">
        <v>9098500</v>
      </c>
      <c r="L76" s="22" t="n">
        <v>3146800</v>
      </c>
      <c r="M76" s="22" t="n">
        <v>5597000</v>
      </c>
      <c r="N76" s="22" t="n">
        <v>4289000</v>
      </c>
      <c r="O76" s="22" t="n">
        <v>3057000</v>
      </c>
      <c r="P76" s="22" t="n">
        <v>3504900</v>
      </c>
      <c r="Q76" s="22" t="n">
        <v>4996400</v>
      </c>
      <c r="R76" s="22" t="n">
        <v>9185600</v>
      </c>
      <c r="S76" s="22" t="n">
        <v>4114000</v>
      </c>
      <c r="T76" s="22" t="n">
        <v>3869800</v>
      </c>
      <c r="U76" s="22" t="n">
        <v>5159900</v>
      </c>
      <c r="V76" s="22" t="n">
        <v>3827500</v>
      </c>
      <c r="W76" s="22" t="n">
        <v>5087100</v>
      </c>
      <c r="X76" s="22" t="n">
        <v>4275700</v>
      </c>
      <c r="Y76" s="22" t="n">
        <v>4920400</v>
      </c>
      <c r="Z76" s="22" t="n">
        <v>4332700</v>
      </c>
      <c r="AA76" s="22" t="n">
        <v>4499600</v>
      </c>
      <c r="AB76" s="22" t="n">
        <v>5720800</v>
      </c>
      <c r="AC76" s="22" t="n">
        <v>4630900</v>
      </c>
      <c r="AD76" s="22" t="n">
        <v>7590600</v>
      </c>
      <c r="AE76" s="22" t="n">
        <v>12969600</v>
      </c>
      <c r="AF76" s="22" t="n">
        <v>12969600</v>
      </c>
      <c r="AG76" s="22" t="n">
        <v>10223100</v>
      </c>
      <c r="AH76" s="22" t="n">
        <v>10744000</v>
      </c>
      <c r="AI76" s="22" t="n">
        <v>3912900</v>
      </c>
      <c r="AJ76" s="22" t="n">
        <v>7469200</v>
      </c>
      <c r="AK76" s="22" t="n">
        <v>2409700</v>
      </c>
      <c r="AL76" s="22" t="n">
        <v>3147200</v>
      </c>
      <c r="AM76" s="22" t="n">
        <v>4191800</v>
      </c>
      <c r="AN76" s="22" t="n">
        <v>3034700</v>
      </c>
      <c r="AO76" s="22" t="n">
        <v>2492000</v>
      </c>
      <c r="AP76" s="22" t="n">
        <v>3564700</v>
      </c>
      <c r="AQ76" s="22" t="n">
        <v>2451100</v>
      </c>
      <c r="AR76" s="22" t="n">
        <v>1922800</v>
      </c>
      <c r="AS76" s="22" t="n">
        <v>2181900</v>
      </c>
      <c r="AT76" s="22" t="n">
        <v>2250300</v>
      </c>
      <c r="AU76" s="22" t="n">
        <v>2515800</v>
      </c>
      <c r="AV76" s="22" t="n">
        <v>3500300</v>
      </c>
      <c r="AW76" s="22" t="n">
        <v>3006800</v>
      </c>
      <c r="AX76" s="22" t="n">
        <v>2940100</v>
      </c>
      <c r="AY76" s="22" t="n">
        <v>3688600</v>
      </c>
      <c r="AZ76" s="22" t="n">
        <v>2101900</v>
      </c>
      <c r="BA76" s="22" t="n">
        <v>2261800</v>
      </c>
      <c r="BB76" s="22" t="n">
        <v>1990300</v>
      </c>
      <c r="BC76" s="22" t="n">
        <v>2792600</v>
      </c>
      <c r="BD76" s="22" t="n">
        <v>3440800</v>
      </c>
      <c r="BE76" s="22" t="n">
        <v>4560500</v>
      </c>
      <c r="BF76" s="22" t="n">
        <v>4050900</v>
      </c>
      <c r="BG76" s="22" t="n">
        <v>2661000</v>
      </c>
      <c r="BH76" s="22" t="n">
        <v>3042000</v>
      </c>
      <c r="BI76" s="22" t="n">
        <v>3418400</v>
      </c>
      <c r="BJ76" s="22" t="n">
        <v>4414600</v>
      </c>
      <c r="BK76" s="22" t="n">
        <v>7011600</v>
      </c>
      <c r="BL76" s="22" t="n">
        <v>2392900</v>
      </c>
    </row>
    <row r="77" ht="15.95" customHeight="1" s="574">
      <c r="A77" s="416" t="inlineStr">
        <is>
          <t>7203</t>
        </is>
      </c>
      <c r="B77" s="49" t="inlineStr">
        <is>
          <t>トヨタ自動車</t>
        </is>
      </c>
      <c r="C77" s="53">
        <f>_xll.RssMarket("7203","出来高")</f>
        <v/>
      </c>
      <c r="D77" s="683">
        <f>C77-E77</f>
        <v/>
      </c>
      <c r="E77" s="213" t="n">
        <v>22063700</v>
      </c>
      <c r="F77" s="22" t="n">
        <v>28789700</v>
      </c>
      <c r="G77" s="22" t="n">
        <v>27620900</v>
      </c>
      <c r="H77" s="22" t="n">
        <v>26726100</v>
      </c>
      <c r="I77" s="22" t="n">
        <v>20615100</v>
      </c>
      <c r="J77" s="22" t="n">
        <v>29442600</v>
      </c>
      <c r="K77" s="22" t="n">
        <v>27541100</v>
      </c>
      <c r="L77" s="22" t="n">
        <v>25839700</v>
      </c>
      <c r="M77" s="22" t="n">
        <v>30734900</v>
      </c>
      <c r="N77" s="22" t="n">
        <v>18955400</v>
      </c>
      <c r="O77" s="22" t="n">
        <v>19751600</v>
      </c>
      <c r="P77" s="22" t="n">
        <v>27875500</v>
      </c>
      <c r="Q77" s="22" t="n">
        <v>37933000</v>
      </c>
      <c r="R77" s="22" t="n">
        <v>39820000</v>
      </c>
      <c r="S77" s="22" t="n">
        <v>25312200</v>
      </c>
      <c r="T77" s="22" t="n">
        <v>17980500</v>
      </c>
      <c r="U77" s="22" t="n">
        <v>22249700</v>
      </c>
      <c r="V77" s="22" t="n">
        <v>16498800</v>
      </c>
      <c r="W77" s="22" t="n">
        <v>21798100</v>
      </c>
      <c r="X77" s="22" t="n">
        <v>26030500</v>
      </c>
      <c r="Y77" s="22" t="n">
        <v>23002200</v>
      </c>
      <c r="Z77" s="22" t="n">
        <v>30946400</v>
      </c>
      <c r="AA77" s="22" t="n">
        <v>43178700</v>
      </c>
      <c r="AB77" s="22" t="n">
        <v>31564100</v>
      </c>
      <c r="AC77" s="22" t="n">
        <v>29534100</v>
      </c>
      <c r="AD77" s="22" t="n">
        <v>29055900</v>
      </c>
      <c r="AE77" s="22" t="n">
        <v>43038000</v>
      </c>
      <c r="AF77" s="22" t="n">
        <v>43038000</v>
      </c>
      <c r="AG77" s="22" t="n">
        <v>75083900</v>
      </c>
      <c r="AH77" s="22" t="n">
        <v>37816000</v>
      </c>
      <c r="AI77" s="22" t="n">
        <v>21904100</v>
      </c>
      <c r="AJ77" s="22" t="n">
        <v>32130400</v>
      </c>
      <c r="AK77" s="22" t="n">
        <v>21920800</v>
      </c>
      <c r="AL77" s="22" t="n">
        <v>22659400</v>
      </c>
      <c r="AM77" s="22" t="n">
        <v>23206300</v>
      </c>
      <c r="AN77" s="22" t="n">
        <v>20463800</v>
      </c>
      <c r="AO77" s="22" t="n">
        <v>19345300</v>
      </c>
      <c r="AP77" s="22" t="n">
        <v>14589600</v>
      </c>
      <c r="AQ77" s="22" t="n">
        <v>14251500</v>
      </c>
      <c r="AR77" s="22" t="n">
        <v>20154600</v>
      </c>
      <c r="AS77" s="22" t="n">
        <v>20317000</v>
      </c>
      <c r="AT77" s="22" t="n">
        <v>15920200</v>
      </c>
      <c r="AU77" s="22" t="n">
        <v>14353200</v>
      </c>
      <c r="AV77" s="22" t="n">
        <v>16930900</v>
      </c>
      <c r="AW77" s="22" t="n">
        <v>20191400</v>
      </c>
      <c r="AX77" s="22" t="n">
        <v>27222600</v>
      </c>
      <c r="AY77" s="22" t="n">
        <v>14215500</v>
      </c>
      <c r="AZ77" s="22" t="n">
        <v>11430400</v>
      </c>
      <c r="BA77" s="22" t="n">
        <v>11056900</v>
      </c>
      <c r="BB77" s="22" t="n">
        <v>21711400</v>
      </c>
      <c r="BC77" s="22" t="n">
        <v>25388600</v>
      </c>
      <c r="BD77" s="22" t="n">
        <v>26872400</v>
      </c>
      <c r="BE77" s="22" t="n">
        <v>28198100</v>
      </c>
      <c r="BF77" s="22" t="n">
        <v>16107200</v>
      </c>
      <c r="BG77" s="22" t="n">
        <v>18556700</v>
      </c>
      <c r="BH77" s="22" t="n">
        <v>16565700</v>
      </c>
      <c r="BI77" s="22" t="n">
        <v>22909400</v>
      </c>
      <c r="BJ77" s="22" t="n">
        <v>23090100</v>
      </c>
      <c r="BK77" s="22" t="n">
        <v>15583800</v>
      </c>
      <c r="BL77" s="22" t="n">
        <v>11542500</v>
      </c>
    </row>
    <row r="78" ht="15.95" customHeight="1" s="574">
      <c r="A78" s="416" t="inlineStr">
        <is>
          <t>6954</t>
        </is>
      </c>
      <c r="B78" s="49" t="inlineStr">
        <is>
          <t>ファナック</t>
        </is>
      </c>
      <c r="C78" s="53">
        <f>_xll.RssMarket("6954","出来高")</f>
        <v/>
      </c>
      <c r="D78" s="683">
        <f>C78-E78</f>
        <v/>
      </c>
      <c r="E78" s="213" t="n">
        <v>9748200</v>
      </c>
      <c r="F78" s="22" t="n">
        <v>5994600</v>
      </c>
      <c r="G78" s="22" t="n">
        <v>5923100</v>
      </c>
      <c r="H78" s="22" t="n">
        <v>5209500</v>
      </c>
      <c r="I78" s="22" t="n">
        <v>5451900</v>
      </c>
      <c r="J78" s="22" t="n">
        <v>7191600</v>
      </c>
      <c r="K78" s="22" t="n">
        <v>7393100</v>
      </c>
      <c r="L78" s="22" t="n">
        <v>6944300</v>
      </c>
      <c r="M78" s="22" t="n">
        <v>7184200</v>
      </c>
      <c r="N78" s="22" t="n">
        <v>5280700</v>
      </c>
      <c r="O78" s="22" t="n">
        <v>4661100</v>
      </c>
      <c r="P78" s="22" t="n">
        <v>6182500</v>
      </c>
      <c r="Q78" s="22" t="n">
        <v>7795300</v>
      </c>
      <c r="R78" s="22" t="n">
        <v>8214300</v>
      </c>
      <c r="S78" s="22" t="n">
        <v>6951500</v>
      </c>
      <c r="T78" s="22" t="n">
        <v>5836500</v>
      </c>
      <c r="U78" s="22" t="n">
        <v>6752400</v>
      </c>
      <c r="V78" s="22" t="n">
        <v>8458800</v>
      </c>
      <c r="W78" s="22" t="n">
        <v>7741100</v>
      </c>
      <c r="X78" s="22" t="n">
        <v>7749300</v>
      </c>
      <c r="Y78" s="22" t="n">
        <v>6393300</v>
      </c>
      <c r="Z78" s="22" t="n">
        <v>7397500</v>
      </c>
      <c r="AA78" s="22" t="n">
        <v>14410600</v>
      </c>
      <c r="AB78" s="22" t="n">
        <v>16737500</v>
      </c>
      <c r="AC78" s="22" t="n">
        <v>5749400</v>
      </c>
      <c r="AD78" s="22" t="n">
        <v>8351500</v>
      </c>
      <c r="AE78" s="22" t="n">
        <v>8889100</v>
      </c>
      <c r="AF78" s="22" t="n">
        <v>8889100</v>
      </c>
      <c r="AG78" s="22" t="n">
        <v>12964500</v>
      </c>
      <c r="AH78" s="22" t="n">
        <v>9370000</v>
      </c>
      <c r="AI78" s="22" t="n">
        <v>4880600</v>
      </c>
      <c r="AJ78" s="22" t="n">
        <v>10775600</v>
      </c>
      <c r="AK78" s="22" t="n">
        <v>12809200</v>
      </c>
      <c r="AL78" s="22" t="n">
        <v>17662700</v>
      </c>
      <c r="AM78" s="22" t="n">
        <v>6099800</v>
      </c>
      <c r="AN78" s="22" t="n">
        <v>6293400</v>
      </c>
      <c r="AO78" s="22" t="n">
        <v>5444200</v>
      </c>
      <c r="AP78" s="22" t="n">
        <v>5311400</v>
      </c>
      <c r="AQ78" s="22" t="n">
        <v>5984100</v>
      </c>
      <c r="AR78" s="22" t="n">
        <v>3654100</v>
      </c>
      <c r="AS78" s="22" t="n">
        <v>4599900</v>
      </c>
      <c r="AT78" s="22" t="n">
        <v>4550300</v>
      </c>
      <c r="AU78" s="22" t="n">
        <v>4601900</v>
      </c>
      <c r="AV78" s="22" t="n">
        <v>6561000</v>
      </c>
      <c r="AW78" s="22" t="n">
        <v>7688200</v>
      </c>
      <c r="AX78" s="22" t="n">
        <v>4730400</v>
      </c>
      <c r="AY78" s="22" t="n">
        <v>6502600</v>
      </c>
      <c r="AZ78" s="22" t="n">
        <v>2767800</v>
      </c>
      <c r="BA78" s="22" t="n">
        <v>3350200</v>
      </c>
      <c r="BB78" s="22" t="n">
        <v>3110200</v>
      </c>
      <c r="BC78" s="22" t="n">
        <v>5040100</v>
      </c>
      <c r="BD78" s="22" t="n">
        <v>4999500</v>
      </c>
      <c r="BE78" s="22" t="n">
        <v>6067900</v>
      </c>
      <c r="BF78" s="22" t="n">
        <v>5399600</v>
      </c>
      <c r="BG78" s="22" t="n">
        <v>3409400</v>
      </c>
      <c r="BH78" s="22" t="n">
        <v>3147600</v>
      </c>
      <c r="BI78" s="22" t="n">
        <v>3267300</v>
      </c>
      <c r="BJ78" s="22" t="n">
        <v>4910000</v>
      </c>
      <c r="BK78" s="22" t="n">
        <v>5312200</v>
      </c>
      <c r="BL78" s="22" t="n">
        <v>2960900</v>
      </c>
    </row>
    <row r="79" ht="15.95" customHeight="1" s="574">
      <c r="A79" s="416" t="inlineStr">
        <is>
          <t>6479</t>
        </is>
      </c>
      <c r="B79" s="49" t="inlineStr">
        <is>
          <t>ミネベアミツミ</t>
        </is>
      </c>
      <c r="C79" s="53">
        <f>_xll.RssMarket("6479","出来高")</f>
        <v/>
      </c>
      <c r="D79" s="683">
        <f>C79-E79</f>
        <v/>
      </c>
      <c r="E79" s="213" t="n">
        <v>5082000</v>
      </c>
      <c r="F79" s="22" t="n">
        <v>4611300</v>
      </c>
      <c r="G79" s="22" t="n">
        <v>4161100</v>
      </c>
      <c r="H79" s="22" t="n">
        <v>3190800</v>
      </c>
      <c r="I79" s="22" t="n">
        <v>4167100</v>
      </c>
      <c r="J79" s="22" t="n">
        <v>4112800</v>
      </c>
      <c r="K79" s="22" t="n">
        <v>3900000</v>
      </c>
      <c r="L79" s="22" t="n">
        <v>3205000</v>
      </c>
      <c r="M79" s="22" t="n">
        <v>4165100</v>
      </c>
      <c r="N79" s="22" t="n">
        <v>4271400</v>
      </c>
      <c r="O79" s="22" t="n">
        <v>2769600</v>
      </c>
      <c r="P79" s="22" t="n">
        <v>3795400</v>
      </c>
      <c r="Q79" s="22" t="n">
        <v>3912700</v>
      </c>
      <c r="R79" s="22" t="n">
        <v>5338600</v>
      </c>
      <c r="S79" s="22" t="n">
        <v>2061300</v>
      </c>
      <c r="T79" s="22" t="n">
        <v>2314900</v>
      </c>
      <c r="U79" s="22" t="n">
        <v>2539800</v>
      </c>
      <c r="V79" s="22" t="n">
        <v>2298900</v>
      </c>
      <c r="W79" s="22" t="n">
        <v>2440900</v>
      </c>
      <c r="X79" s="22" t="n">
        <v>2528700</v>
      </c>
      <c r="Y79" s="22" t="n">
        <v>2137400</v>
      </c>
      <c r="Z79" s="22" t="n">
        <v>3076500</v>
      </c>
      <c r="AA79" s="22" t="n">
        <v>3164100</v>
      </c>
      <c r="AB79" s="22" t="n">
        <v>4083300</v>
      </c>
      <c r="AC79" s="22" t="n">
        <v>5903700</v>
      </c>
      <c r="AD79" s="22" t="n">
        <v>4164300</v>
      </c>
      <c r="AE79" s="22" t="n">
        <v>2485800</v>
      </c>
      <c r="AF79" s="22" t="n">
        <v>2485800</v>
      </c>
      <c r="AG79" s="22" t="n">
        <v>3109800</v>
      </c>
      <c r="AH79" s="22" t="n">
        <v>3393700</v>
      </c>
      <c r="AI79" s="22" t="n">
        <v>1751000</v>
      </c>
      <c r="AJ79" s="22" t="n">
        <v>2720400</v>
      </c>
      <c r="AK79" s="22" t="n">
        <v>1935600</v>
      </c>
      <c r="AL79" s="22" t="n">
        <v>2073000</v>
      </c>
      <c r="AM79" s="22" t="n">
        <v>1633500</v>
      </c>
      <c r="AN79" s="22" t="n">
        <v>1851200</v>
      </c>
      <c r="AO79" s="22" t="n">
        <v>1569700</v>
      </c>
      <c r="AP79" s="22" t="n">
        <v>1614700</v>
      </c>
      <c r="AQ79" s="22" t="n">
        <v>2611900</v>
      </c>
      <c r="AR79" s="22" t="n">
        <v>2005700</v>
      </c>
      <c r="AS79" s="22" t="n">
        <v>3963000</v>
      </c>
      <c r="AT79" s="22" t="n">
        <v>1918900</v>
      </c>
      <c r="AU79" s="22" t="n">
        <v>2206500</v>
      </c>
      <c r="AV79" s="22" t="n">
        <v>2234000</v>
      </c>
      <c r="AW79" s="22" t="n">
        <v>3069300</v>
      </c>
      <c r="AX79" s="22" t="n">
        <v>1837700</v>
      </c>
      <c r="AY79" s="22" t="n">
        <v>2347500</v>
      </c>
      <c r="AZ79" s="22" t="n">
        <v>1607200</v>
      </c>
      <c r="BA79" s="22" t="n">
        <v>1586400</v>
      </c>
      <c r="BB79" s="22" t="n">
        <v>1804900</v>
      </c>
      <c r="BC79" s="22" t="n">
        <v>1732200</v>
      </c>
      <c r="BD79" s="22" t="n">
        <v>1760100</v>
      </c>
      <c r="BE79" s="22" t="n">
        <v>1700900</v>
      </c>
      <c r="BF79" s="22" t="n">
        <v>1775100</v>
      </c>
      <c r="BG79" s="22" t="n">
        <v>1818900</v>
      </c>
      <c r="BH79" s="22" t="n">
        <v>2497700</v>
      </c>
      <c r="BI79" s="22" t="n">
        <v>1971000</v>
      </c>
      <c r="BJ79" s="22" t="n">
        <v>3565100</v>
      </c>
      <c r="BK79" s="22" t="n">
        <v>2399600</v>
      </c>
      <c r="BL79" s="22" t="n">
        <v>1752700</v>
      </c>
    </row>
    <row r="80" ht="15.95" customHeight="1" s="574">
      <c r="A80" s="416" t="inlineStr">
        <is>
          <t>1833</t>
        </is>
      </c>
      <c r="B80" s="49" t="inlineStr">
        <is>
          <t>奥村組</t>
        </is>
      </c>
      <c r="C80" s="53">
        <f>_xll.RssMarket("1833","出来高")</f>
        <v/>
      </c>
      <c r="D80" s="683">
        <f>C80-E80</f>
        <v/>
      </c>
      <c r="E80" s="213" t="n">
        <v>57600</v>
      </c>
      <c r="F80" s="22" t="n">
        <v>142100</v>
      </c>
      <c r="G80" s="22" t="n">
        <v>103500</v>
      </c>
      <c r="H80" s="22" t="n">
        <v>53400</v>
      </c>
      <c r="I80" s="22" t="n">
        <v>82800</v>
      </c>
      <c r="J80" s="22" t="n">
        <v>137700</v>
      </c>
      <c r="K80" s="22" t="n">
        <v>116400</v>
      </c>
      <c r="L80" s="22" t="n">
        <v>91000</v>
      </c>
      <c r="M80" s="22" t="n">
        <v>122500</v>
      </c>
      <c r="N80" s="22" t="n">
        <v>73300</v>
      </c>
      <c r="O80" s="22" t="n">
        <v>127500</v>
      </c>
      <c r="P80" s="22" t="n">
        <v>100000</v>
      </c>
      <c r="Q80" s="22" t="n">
        <v>137800</v>
      </c>
      <c r="R80" s="22" t="n">
        <v>142200</v>
      </c>
      <c r="S80" s="22" t="n">
        <v>140100</v>
      </c>
      <c r="T80" s="22" t="n">
        <v>139700</v>
      </c>
      <c r="U80" s="22" t="n">
        <v>102400</v>
      </c>
      <c r="V80" s="22" t="n">
        <v>153500</v>
      </c>
      <c r="W80" s="22" t="n">
        <v>82500</v>
      </c>
      <c r="X80" s="22" t="n">
        <v>147000</v>
      </c>
      <c r="Y80" s="22" t="n">
        <v>120000</v>
      </c>
      <c r="Z80" s="22" t="n">
        <v>258100</v>
      </c>
      <c r="AA80" s="22" t="n">
        <v>120700</v>
      </c>
      <c r="AB80" s="22" t="n">
        <v>105600</v>
      </c>
      <c r="AC80" s="22" t="n">
        <v>112700</v>
      </c>
      <c r="AD80" s="22" t="n">
        <v>189600</v>
      </c>
      <c r="AE80" s="22" t="n">
        <v>223400</v>
      </c>
      <c r="AF80" s="22" t="n">
        <v>223400</v>
      </c>
      <c r="AG80" s="22" t="n">
        <v>102600</v>
      </c>
      <c r="AH80" s="22" t="n">
        <v>139500</v>
      </c>
      <c r="AI80" s="22" t="n">
        <v>71100</v>
      </c>
      <c r="AJ80" s="22" t="n">
        <v>97700</v>
      </c>
      <c r="AK80" s="22" t="n">
        <v>117100</v>
      </c>
      <c r="AL80" s="22" t="n">
        <v>83800</v>
      </c>
      <c r="AM80" s="22" t="n">
        <v>97200</v>
      </c>
      <c r="AN80" s="22" t="n">
        <v>173000</v>
      </c>
      <c r="AO80" s="22" t="n">
        <v>83200</v>
      </c>
      <c r="AP80" s="22" t="n">
        <v>48100</v>
      </c>
      <c r="AQ80" s="22" t="n">
        <v>62600</v>
      </c>
      <c r="AR80" s="22" t="n">
        <v>76400</v>
      </c>
      <c r="AS80" s="22" t="n">
        <v>76900</v>
      </c>
      <c r="AT80" s="22" t="n">
        <v>66600</v>
      </c>
      <c r="AU80" s="22" t="n">
        <v>59500</v>
      </c>
      <c r="AV80" s="22" t="n">
        <v>83400</v>
      </c>
      <c r="AW80" s="22" t="n">
        <v>84400</v>
      </c>
      <c r="AX80" s="22" t="n">
        <v>60900</v>
      </c>
      <c r="AY80" s="22" t="n">
        <v>79300</v>
      </c>
      <c r="AZ80" s="22" t="n">
        <v>59200</v>
      </c>
      <c r="BA80" s="22" t="n">
        <v>56300</v>
      </c>
      <c r="BB80" s="22" t="n">
        <v>44200</v>
      </c>
      <c r="BC80" s="22" t="n">
        <v>95700</v>
      </c>
      <c r="BD80" s="22" t="n">
        <v>91400</v>
      </c>
      <c r="BE80" s="22" t="n">
        <v>168300</v>
      </c>
      <c r="BF80" s="22" t="n">
        <v>160900</v>
      </c>
      <c r="BG80" s="22" t="n">
        <v>72300</v>
      </c>
      <c r="BH80" s="22" t="n">
        <v>100400</v>
      </c>
      <c r="BI80" s="22" t="n">
        <v>103200</v>
      </c>
      <c r="BJ80" s="22" t="n">
        <v>112300</v>
      </c>
      <c r="BK80" s="22" t="n">
        <v>90700</v>
      </c>
      <c r="BL80" s="22" t="n">
        <v>65600</v>
      </c>
    </row>
    <row r="81" ht="15.95" customHeight="1" s="574">
      <c r="A81" s="416" t="inlineStr">
        <is>
          <t>6841</t>
        </is>
      </c>
      <c r="B81" s="49" t="inlineStr">
        <is>
          <t>横河電機</t>
        </is>
      </c>
      <c r="C81" s="53">
        <f>_xll.RssMarket("6841","出来高")</f>
        <v/>
      </c>
      <c r="D81" s="683">
        <f>C81-E81</f>
        <v/>
      </c>
      <c r="E81" s="213" t="n">
        <v>1471400</v>
      </c>
      <c r="F81" s="22" t="n">
        <v>1404400</v>
      </c>
      <c r="G81" s="22" t="n">
        <v>1500600</v>
      </c>
      <c r="H81" s="22" t="n">
        <v>1378800</v>
      </c>
      <c r="I81" s="22" t="n">
        <v>1208500</v>
      </c>
      <c r="J81" s="22" t="n">
        <v>2067500</v>
      </c>
      <c r="K81" s="22" t="n">
        <v>1381700</v>
      </c>
      <c r="L81" s="22" t="n">
        <v>1238500</v>
      </c>
      <c r="M81" s="22" t="n">
        <v>1439100</v>
      </c>
      <c r="N81" s="22" t="n">
        <v>1101800</v>
      </c>
      <c r="O81" s="22" t="n">
        <v>1120200</v>
      </c>
      <c r="P81" s="22" t="n">
        <v>1828000</v>
      </c>
      <c r="Q81" s="22" t="n">
        <v>1704500</v>
      </c>
      <c r="R81" s="22" t="n">
        <v>2284700</v>
      </c>
      <c r="S81" s="22" t="n">
        <v>1054800</v>
      </c>
      <c r="T81" s="22" t="n">
        <v>1788100</v>
      </c>
      <c r="U81" s="22" t="n">
        <v>1144000</v>
      </c>
      <c r="V81" s="22" t="n">
        <v>1273900</v>
      </c>
      <c r="W81" s="22" t="n">
        <v>1695700</v>
      </c>
      <c r="X81" s="22" t="n">
        <v>2295100</v>
      </c>
      <c r="Y81" s="22" t="n">
        <v>1400400</v>
      </c>
      <c r="Z81" s="22" t="n">
        <v>1367400</v>
      </c>
      <c r="AA81" s="22" t="n">
        <v>1323900</v>
      </c>
      <c r="AB81" s="22" t="n">
        <v>1551700</v>
      </c>
      <c r="AC81" s="22" t="n">
        <v>1625900</v>
      </c>
      <c r="AD81" s="22" t="n">
        <v>1966400</v>
      </c>
      <c r="AE81" s="22" t="n">
        <v>2119200</v>
      </c>
      <c r="AF81" s="22" t="n">
        <v>2119200</v>
      </c>
      <c r="AG81" s="22" t="n">
        <v>4183400</v>
      </c>
      <c r="AH81" s="22" t="n">
        <v>2628100</v>
      </c>
      <c r="AI81" s="22" t="n">
        <v>820600</v>
      </c>
      <c r="AJ81" s="22" t="n">
        <v>1379400</v>
      </c>
      <c r="AK81" s="22" t="n">
        <v>1894600</v>
      </c>
      <c r="AL81" s="22" t="n">
        <v>1079800</v>
      </c>
      <c r="AM81" s="22" t="n">
        <v>776800</v>
      </c>
      <c r="AN81" s="22" t="n">
        <v>925100</v>
      </c>
      <c r="AO81" s="22" t="n">
        <v>857500</v>
      </c>
      <c r="AP81" s="22" t="n">
        <v>918900</v>
      </c>
      <c r="AQ81" s="22" t="n">
        <v>761600</v>
      </c>
      <c r="AR81" s="22" t="n">
        <v>825700</v>
      </c>
      <c r="AS81" s="22" t="n">
        <v>868900</v>
      </c>
      <c r="AT81" s="22" t="n">
        <v>1024200</v>
      </c>
      <c r="AU81" s="22" t="n">
        <v>803200</v>
      </c>
      <c r="AV81" s="22" t="n">
        <v>827300</v>
      </c>
      <c r="AW81" s="22" t="n">
        <v>1248900</v>
      </c>
      <c r="AX81" s="22" t="n">
        <v>2368800</v>
      </c>
      <c r="AY81" s="22" t="n">
        <v>2008500</v>
      </c>
      <c r="AZ81" s="22" t="n">
        <v>851300</v>
      </c>
      <c r="BA81" s="22" t="n">
        <v>665200</v>
      </c>
      <c r="BB81" s="22" t="n">
        <v>896800</v>
      </c>
      <c r="BC81" s="22" t="n">
        <v>1817400</v>
      </c>
      <c r="BD81" s="22" t="n">
        <v>1170000</v>
      </c>
      <c r="BE81" s="22" t="n">
        <v>1262100</v>
      </c>
      <c r="BF81" s="22" t="n">
        <v>955000</v>
      </c>
      <c r="BG81" s="22" t="n">
        <v>856100</v>
      </c>
      <c r="BH81" s="22" t="n">
        <v>1133700</v>
      </c>
      <c r="BI81" s="22" t="n">
        <v>1151300</v>
      </c>
      <c r="BJ81" s="22" t="n">
        <v>1576700</v>
      </c>
      <c r="BK81" s="22" t="n">
        <v>1893100</v>
      </c>
      <c r="BL81" s="22" t="n">
        <v>817800</v>
      </c>
    </row>
    <row r="82" ht="15.95" customHeight="1" s="574">
      <c r="A82" s="416" t="inlineStr">
        <is>
          <t>7167</t>
        </is>
      </c>
      <c r="B82" s="49" t="inlineStr">
        <is>
          <t>めぶきフィナンシャルＧ</t>
        </is>
      </c>
      <c r="C82" s="53">
        <f>_xll.RssMarket("7167","出来高")</f>
        <v/>
      </c>
      <c r="D82" s="683">
        <f>C82-E82</f>
        <v/>
      </c>
      <c r="E82" s="213" t="n">
        <v>1308500</v>
      </c>
      <c r="F82" s="22" t="n">
        <v>3168900</v>
      </c>
      <c r="G82" s="22" t="n">
        <v>2756400</v>
      </c>
      <c r="H82" s="22" t="n">
        <v>2240800</v>
      </c>
      <c r="I82" s="22" t="n">
        <v>2781800</v>
      </c>
      <c r="J82" s="22" t="n">
        <v>3586800</v>
      </c>
      <c r="K82" s="22" t="n">
        <v>2414800</v>
      </c>
      <c r="L82" s="22" t="n">
        <v>3483900</v>
      </c>
      <c r="M82" s="22" t="n">
        <v>2237600</v>
      </c>
      <c r="N82" s="22" t="n">
        <v>2129900</v>
      </c>
      <c r="O82" s="22" t="n">
        <v>2651100</v>
      </c>
      <c r="P82" s="22" t="n">
        <v>2638500</v>
      </c>
      <c r="Q82" s="22" t="n">
        <v>2606100</v>
      </c>
      <c r="R82" s="22" t="n">
        <v>3941700</v>
      </c>
      <c r="S82" s="22" t="n">
        <v>3132200</v>
      </c>
      <c r="T82" s="22" t="n">
        <v>2292900</v>
      </c>
      <c r="U82" s="22" t="n">
        <v>1587100</v>
      </c>
      <c r="V82" s="22" t="n">
        <v>1883200</v>
      </c>
      <c r="W82" s="22" t="n">
        <v>2030200</v>
      </c>
      <c r="X82" s="22" t="n">
        <v>2293300</v>
      </c>
      <c r="Y82" s="22" t="n">
        <v>2100100</v>
      </c>
      <c r="Z82" s="22" t="n">
        <v>2254100</v>
      </c>
      <c r="AA82" s="22" t="n">
        <v>2181400</v>
      </c>
      <c r="AB82" s="22" t="n">
        <v>2772200</v>
      </c>
      <c r="AC82" s="22" t="n">
        <v>3722500</v>
      </c>
      <c r="AD82" s="22" t="n">
        <v>2010300</v>
      </c>
      <c r="AE82" s="22" t="n">
        <v>2011400</v>
      </c>
      <c r="AF82" s="22" t="n">
        <v>2011400</v>
      </c>
      <c r="AG82" s="22" t="n">
        <v>2637100</v>
      </c>
      <c r="AH82" s="22" t="n">
        <v>4728000</v>
      </c>
      <c r="AI82" s="22" t="n">
        <v>2171400</v>
      </c>
      <c r="AJ82" s="22" t="n">
        <v>2560300</v>
      </c>
      <c r="AK82" s="22" t="n">
        <v>2983200</v>
      </c>
      <c r="AL82" s="22" t="n">
        <v>2242900</v>
      </c>
      <c r="AM82" s="22" t="n">
        <v>2976800</v>
      </c>
      <c r="AN82" s="22" t="n">
        <v>2492700</v>
      </c>
      <c r="AO82" s="22" t="n">
        <v>2903300</v>
      </c>
      <c r="AP82" s="22" t="n">
        <v>2316100</v>
      </c>
      <c r="AQ82" s="22" t="n">
        <v>1435500</v>
      </c>
      <c r="AR82" s="22" t="n">
        <v>1505100</v>
      </c>
      <c r="AS82" s="22" t="n">
        <v>1456000</v>
      </c>
      <c r="AT82" s="22" t="n">
        <v>1765400</v>
      </c>
      <c r="AU82" s="22" t="n">
        <v>1404200</v>
      </c>
      <c r="AV82" s="22" t="n">
        <v>2049400</v>
      </c>
      <c r="AW82" s="22" t="n">
        <v>2054300</v>
      </c>
      <c r="AX82" s="22" t="n">
        <v>3148900</v>
      </c>
      <c r="AY82" s="22" t="n">
        <v>3046200</v>
      </c>
      <c r="AZ82" s="22" t="n">
        <v>1916200</v>
      </c>
      <c r="BA82" s="22" t="n">
        <v>1923600</v>
      </c>
      <c r="BB82" s="22" t="n">
        <v>1936100</v>
      </c>
      <c r="BC82" s="22" t="n">
        <v>3117400</v>
      </c>
      <c r="BD82" s="22" t="n">
        <v>3689000</v>
      </c>
      <c r="BE82" s="22" t="n">
        <v>3077200</v>
      </c>
      <c r="BF82" s="22" t="n">
        <v>3365900</v>
      </c>
      <c r="BG82" s="22" t="n">
        <v>1922200</v>
      </c>
      <c r="BH82" s="22" t="n">
        <v>2025300</v>
      </c>
      <c r="BI82" s="22" t="n">
        <v>2229800</v>
      </c>
      <c r="BJ82" s="22" t="n">
        <v>2203400</v>
      </c>
      <c r="BK82" s="22" t="n">
        <v>2238000</v>
      </c>
      <c r="BL82" s="22" t="n">
        <v>1748500</v>
      </c>
    </row>
    <row r="83" ht="15.95" customHeight="1" s="574">
      <c r="A83" s="416" t="inlineStr">
        <is>
          <t>1925</t>
        </is>
      </c>
      <c r="B83" s="49" t="inlineStr">
        <is>
          <t>大和ハウス</t>
        </is>
      </c>
      <c r="C83" s="53">
        <f>_xll.RssMarket("1925","出来高")</f>
        <v/>
      </c>
      <c r="D83" s="683">
        <f>C83-E83</f>
        <v/>
      </c>
      <c r="E83" s="213" t="n">
        <v>1754600</v>
      </c>
      <c r="F83" s="22" t="n">
        <v>2402500</v>
      </c>
      <c r="G83" s="22" t="n">
        <v>1947400</v>
      </c>
      <c r="H83" s="22" t="n">
        <v>2281300</v>
      </c>
      <c r="I83" s="22" t="n">
        <v>1832900</v>
      </c>
      <c r="J83" s="22" t="n">
        <v>2675400</v>
      </c>
      <c r="K83" s="22" t="n">
        <v>2081800</v>
      </c>
      <c r="L83" s="22" t="n">
        <v>3086400</v>
      </c>
      <c r="M83" s="22" t="n">
        <v>2577200</v>
      </c>
      <c r="N83" s="22" t="n">
        <v>2200100</v>
      </c>
      <c r="O83" s="22" t="n">
        <v>2674200</v>
      </c>
      <c r="P83" s="22" t="n">
        <v>2592100</v>
      </c>
      <c r="Q83" s="22" t="n">
        <v>3914800</v>
      </c>
      <c r="R83" s="22" t="n">
        <v>4883800</v>
      </c>
      <c r="S83" s="22" t="n">
        <v>2323300</v>
      </c>
      <c r="T83" s="22" t="n">
        <v>1988400</v>
      </c>
      <c r="U83" s="22" t="n">
        <v>1670200</v>
      </c>
      <c r="V83" s="22" t="n">
        <v>2101400</v>
      </c>
      <c r="W83" s="22" t="n">
        <v>2173400</v>
      </c>
      <c r="X83" s="22" t="n">
        <v>2477700</v>
      </c>
      <c r="Y83" s="22" t="n">
        <v>2614600</v>
      </c>
      <c r="Z83" s="22" t="n">
        <v>2449900</v>
      </c>
      <c r="AA83" s="22" t="n">
        <v>3148900</v>
      </c>
      <c r="AB83" s="22" t="n">
        <v>3938800</v>
      </c>
      <c r="AC83" s="22" t="n">
        <v>2161000</v>
      </c>
      <c r="AD83" s="22" t="n">
        <v>1692500</v>
      </c>
      <c r="AE83" s="22" t="n">
        <v>1610200</v>
      </c>
      <c r="AF83" s="22" t="n">
        <v>1610200</v>
      </c>
      <c r="AG83" s="22" t="n">
        <v>2179700</v>
      </c>
      <c r="AH83" s="22" t="n">
        <v>2782200</v>
      </c>
      <c r="AI83" s="22" t="n">
        <v>1346800</v>
      </c>
      <c r="AJ83" s="22" t="n">
        <v>2579100</v>
      </c>
      <c r="AK83" s="22" t="n">
        <v>1997400</v>
      </c>
      <c r="AL83" s="22" t="n">
        <v>1433800</v>
      </c>
      <c r="AM83" s="22" t="n">
        <v>1278800</v>
      </c>
      <c r="AN83" s="22" t="n">
        <v>1476200</v>
      </c>
      <c r="AO83" s="22" t="n">
        <v>1418500</v>
      </c>
      <c r="AP83" s="22" t="n">
        <v>1307900</v>
      </c>
      <c r="AQ83" s="22" t="n">
        <v>1799900</v>
      </c>
      <c r="AR83" s="22" t="n">
        <v>1823600</v>
      </c>
      <c r="AS83" s="22" t="n">
        <v>1694700</v>
      </c>
      <c r="AT83" s="22" t="n">
        <v>2309800</v>
      </c>
      <c r="AU83" s="22" t="n">
        <v>2371600</v>
      </c>
      <c r="AV83" s="22" t="n">
        <v>1639900</v>
      </c>
      <c r="AW83" s="22" t="n">
        <v>1515900</v>
      </c>
      <c r="AX83" s="22" t="n">
        <v>1839600</v>
      </c>
      <c r="AY83" s="22" t="n">
        <v>2407700</v>
      </c>
      <c r="AZ83" s="22" t="n">
        <v>1410300</v>
      </c>
      <c r="BA83" s="22" t="n">
        <v>850800</v>
      </c>
      <c r="BB83" s="22" t="n">
        <v>715100</v>
      </c>
      <c r="BC83" s="22" t="n">
        <v>1504000</v>
      </c>
      <c r="BD83" s="22" t="n">
        <v>1587600</v>
      </c>
      <c r="BE83" s="22" t="n">
        <v>2608100</v>
      </c>
      <c r="BF83" s="22" t="n">
        <v>2701300</v>
      </c>
      <c r="BG83" s="22" t="n">
        <v>1934000</v>
      </c>
      <c r="BH83" s="22" t="n">
        <v>1754300</v>
      </c>
      <c r="BI83" s="22" t="n">
        <v>1607700</v>
      </c>
      <c r="BJ83" s="22" t="n">
        <v>2395500</v>
      </c>
      <c r="BK83" s="22" t="n">
        <v>2075800</v>
      </c>
      <c r="BL83" s="22" t="n">
        <v>1656700</v>
      </c>
    </row>
    <row r="84" ht="15.95" customHeight="1" s="574">
      <c r="A84" s="416" t="inlineStr">
        <is>
          <t>5411</t>
        </is>
      </c>
      <c r="B84" s="49" t="inlineStr">
        <is>
          <t>ＪＦＥホールディングス</t>
        </is>
      </c>
      <c r="C84" s="53">
        <f>_xll.RssMarket("5411","出来高")</f>
        <v/>
      </c>
      <c r="D84" s="683">
        <f>C84-E84</f>
        <v/>
      </c>
      <c r="E84" s="213" t="n">
        <v>4134000</v>
      </c>
      <c r="F84" s="22" t="n">
        <v>5121600</v>
      </c>
      <c r="G84" s="22" t="n">
        <v>3383200</v>
      </c>
      <c r="H84" s="22" t="n">
        <v>2749000</v>
      </c>
      <c r="I84" s="22" t="n">
        <v>3995200</v>
      </c>
      <c r="J84" s="22" t="n">
        <v>6191900</v>
      </c>
      <c r="K84" s="22" t="n">
        <v>5167700</v>
      </c>
      <c r="L84" s="22" t="n">
        <v>6356700</v>
      </c>
      <c r="M84" s="22" t="n">
        <v>9822900</v>
      </c>
      <c r="N84" s="22" t="n">
        <v>4205200</v>
      </c>
      <c r="O84" s="22" t="n">
        <v>5194100</v>
      </c>
      <c r="P84" s="22" t="n">
        <v>6015400</v>
      </c>
      <c r="Q84" s="22" t="n">
        <v>6408500</v>
      </c>
      <c r="R84" s="22" t="n">
        <v>9400900</v>
      </c>
      <c r="S84" s="22" t="n">
        <v>4189400</v>
      </c>
      <c r="T84" s="22" t="n">
        <v>5916700</v>
      </c>
      <c r="U84" s="22" t="n">
        <v>3723400</v>
      </c>
      <c r="V84" s="22" t="n">
        <v>4347000</v>
      </c>
      <c r="W84" s="22" t="n">
        <v>3901700</v>
      </c>
      <c r="X84" s="22" t="n">
        <v>4961000</v>
      </c>
      <c r="Y84" s="22" t="n">
        <v>3753600</v>
      </c>
      <c r="Z84" s="22" t="n">
        <v>4155300</v>
      </c>
      <c r="AA84" s="22" t="n">
        <v>4992100</v>
      </c>
      <c r="AB84" s="22" t="n">
        <v>4579800</v>
      </c>
      <c r="AC84" s="22" t="n">
        <v>5780000</v>
      </c>
      <c r="AD84" s="22" t="n">
        <v>5041400</v>
      </c>
      <c r="AE84" s="22" t="n">
        <v>11984800</v>
      </c>
      <c r="AF84" s="22" t="n">
        <v>11984800</v>
      </c>
      <c r="AG84" s="22" t="n">
        <v>12245600</v>
      </c>
      <c r="AH84" s="22" t="n">
        <v>6483700</v>
      </c>
      <c r="AI84" s="22" t="n">
        <v>3020900</v>
      </c>
      <c r="AJ84" s="22" t="n">
        <v>5512200</v>
      </c>
      <c r="AK84" s="22" t="n">
        <v>3706400</v>
      </c>
      <c r="AL84" s="22" t="n">
        <v>3584700</v>
      </c>
      <c r="AM84" s="22" t="n">
        <v>5236500</v>
      </c>
      <c r="AN84" s="22" t="n">
        <v>5381200</v>
      </c>
      <c r="AO84" s="22" t="n">
        <v>4505900</v>
      </c>
      <c r="AP84" s="22" t="n">
        <v>5046900</v>
      </c>
      <c r="AQ84" s="22" t="n">
        <v>5431700</v>
      </c>
      <c r="AR84" s="22" t="n">
        <v>3244200</v>
      </c>
      <c r="AS84" s="22" t="n">
        <v>3236600</v>
      </c>
      <c r="AT84" s="22" t="n">
        <v>2754600</v>
      </c>
      <c r="AU84" s="22" t="n">
        <v>2895700</v>
      </c>
      <c r="AV84" s="22" t="n">
        <v>2399600</v>
      </c>
      <c r="AW84" s="22" t="n">
        <v>2343000</v>
      </c>
      <c r="AX84" s="22" t="n">
        <v>3021500</v>
      </c>
      <c r="AY84" s="22" t="n">
        <v>4836400</v>
      </c>
      <c r="AZ84" s="22" t="n">
        <v>2155900</v>
      </c>
      <c r="BA84" s="22" t="n">
        <v>1956100</v>
      </c>
      <c r="BB84" s="22" t="n">
        <v>2061000</v>
      </c>
      <c r="BC84" s="22" t="n">
        <v>2419100</v>
      </c>
      <c r="BD84" s="22" t="n">
        <v>3350200</v>
      </c>
      <c r="BE84" s="22" t="n">
        <v>4843200</v>
      </c>
      <c r="BF84" s="22" t="n">
        <v>4747700</v>
      </c>
      <c r="BG84" s="22" t="n">
        <v>3841300</v>
      </c>
      <c r="BH84" s="22" t="n">
        <v>4747700</v>
      </c>
      <c r="BI84" s="22" t="n">
        <v>3777900</v>
      </c>
      <c r="BJ84" s="22" t="n">
        <v>5344200</v>
      </c>
      <c r="BK84" s="22" t="n">
        <v>5427700</v>
      </c>
      <c r="BL84" s="22" t="n">
        <v>3410400</v>
      </c>
    </row>
    <row r="85" ht="15.95" customHeight="1" s="574">
      <c r="A85" s="416" t="inlineStr">
        <is>
          <t>7182</t>
        </is>
      </c>
      <c r="B85" s="49" t="inlineStr">
        <is>
          <t>ゆうちょ銀行</t>
        </is>
      </c>
      <c r="C85" s="53">
        <f>_xll.RssMarket("7182","出来高")</f>
        <v/>
      </c>
      <c r="D85" s="683">
        <f>C85-E85</f>
        <v/>
      </c>
      <c r="E85" s="213" t="n">
        <v>4310800</v>
      </c>
      <c r="F85" s="22" t="n">
        <v>7403100</v>
      </c>
      <c r="G85" s="22" t="n">
        <v>8672100</v>
      </c>
      <c r="H85" s="22" t="n">
        <v>6055800</v>
      </c>
      <c r="I85" s="22" t="n">
        <v>6960200</v>
      </c>
      <c r="J85" s="22" t="n">
        <v>10026900</v>
      </c>
      <c r="K85" s="22" t="n">
        <v>7855800</v>
      </c>
      <c r="L85" s="22" t="n">
        <v>7149700</v>
      </c>
      <c r="M85" s="22" t="n">
        <v>6145400</v>
      </c>
      <c r="N85" s="22" t="n">
        <v>7309400</v>
      </c>
      <c r="O85" s="22" t="n">
        <v>10161600</v>
      </c>
      <c r="P85" s="22" t="n">
        <v>6992900</v>
      </c>
      <c r="Q85" s="22" t="n">
        <v>5149400</v>
      </c>
      <c r="R85" s="22" t="n">
        <v>13344700</v>
      </c>
      <c r="S85" s="22" t="n">
        <v>6364200</v>
      </c>
      <c r="T85" s="22" t="n">
        <v>6409500</v>
      </c>
      <c r="U85" s="22" t="n">
        <v>6814000</v>
      </c>
      <c r="V85" s="22" t="n">
        <v>7640800</v>
      </c>
      <c r="W85" s="22" t="n">
        <v>11469000</v>
      </c>
      <c r="X85" s="22" t="n">
        <v>9882300</v>
      </c>
      <c r="Y85" s="22" t="n">
        <v>8942700</v>
      </c>
      <c r="Z85" s="22" t="n">
        <v>13114800</v>
      </c>
      <c r="AA85" s="22" t="n">
        <v>8438700</v>
      </c>
      <c r="AB85" s="22" t="n">
        <v>4593500</v>
      </c>
      <c r="AC85" s="22" t="n">
        <v>4953500</v>
      </c>
      <c r="AD85" s="22" t="n">
        <v>6765400</v>
      </c>
      <c r="AE85" s="22" t="n">
        <v>8126100</v>
      </c>
      <c r="AF85" s="22" t="n">
        <v>8126100</v>
      </c>
      <c r="AG85" s="22" t="n">
        <v>7521200</v>
      </c>
      <c r="AH85" s="22" t="n">
        <v>12403000</v>
      </c>
      <c r="AI85" s="22" t="n">
        <v>4522800</v>
      </c>
      <c r="AJ85" s="22" t="n">
        <v>10746900</v>
      </c>
      <c r="AK85" s="22" t="n">
        <v>7988500</v>
      </c>
      <c r="AL85" s="22" t="n">
        <v>5819400</v>
      </c>
      <c r="AM85" s="22" t="n">
        <v>5596500</v>
      </c>
      <c r="AN85" s="22" t="n">
        <v>5926200</v>
      </c>
      <c r="AO85" s="22" t="n">
        <v>7408100</v>
      </c>
      <c r="AP85" s="22" t="n">
        <v>7654600</v>
      </c>
      <c r="AQ85" s="22" t="n">
        <v>6160000</v>
      </c>
      <c r="AR85" s="22" t="n">
        <v>6059900</v>
      </c>
      <c r="AS85" s="22" t="n">
        <v>5899900</v>
      </c>
      <c r="AT85" s="22" t="n">
        <v>5963700</v>
      </c>
      <c r="AU85" s="22" t="n">
        <v>4272300</v>
      </c>
      <c r="AV85" s="22" t="n">
        <v>3546100</v>
      </c>
      <c r="AW85" s="22" t="n">
        <v>4955100</v>
      </c>
      <c r="AX85" s="22" t="n">
        <v>7420300</v>
      </c>
      <c r="AY85" s="22" t="n">
        <v>10072800</v>
      </c>
      <c r="AZ85" s="22" t="n">
        <v>4331300</v>
      </c>
      <c r="BA85" s="22" t="n">
        <v>4307500</v>
      </c>
      <c r="BB85" s="22" t="n">
        <v>2925600</v>
      </c>
      <c r="BC85" s="22" t="n">
        <v>8267200</v>
      </c>
      <c r="BD85" s="22" t="n">
        <v>9914600</v>
      </c>
      <c r="BE85" s="22" t="n">
        <v>8372900</v>
      </c>
      <c r="BF85" s="22" t="n">
        <v>9219000</v>
      </c>
      <c r="BG85" s="22" t="n">
        <v>5645300</v>
      </c>
      <c r="BH85" s="22" t="n">
        <v>6808100</v>
      </c>
      <c r="BI85" s="22" t="n">
        <v>5995900</v>
      </c>
      <c r="BJ85" s="22" t="n">
        <v>11219700</v>
      </c>
      <c r="BK85" s="22" t="n">
        <v>7934200</v>
      </c>
      <c r="BL85" s="22" t="n">
        <v>5815500</v>
      </c>
    </row>
    <row r="86" ht="15.95" customHeight="1" s="574">
      <c r="A86" s="416" t="inlineStr">
        <is>
          <t>1963</t>
        </is>
      </c>
      <c r="B86" s="49" t="inlineStr">
        <is>
          <t>日揮ホールディングス</t>
        </is>
      </c>
      <c r="C86" s="53">
        <f>_xll.RssMarket("1963","出来高")</f>
        <v/>
      </c>
      <c r="D86" s="683">
        <f>C86-E86</f>
        <v/>
      </c>
      <c r="E86" s="213" t="n">
        <v>2733400</v>
      </c>
      <c r="F86" s="22" t="n">
        <v>2207200</v>
      </c>
      <c r="G86" s="22" t="n">
        <v>1477400</v>
      </c>
      <c r="H86" s="22" t="n">
        <v>1864000</v>
      </c>
      <c r="I86" s="22" t="n">
        <v>1373900</v>
      </c>
      <c r="J86" s="22" t="n">
        <v>1460000</v>
      </c>
      <c r="K86" s="22" t="n">
        <v>1467300</v>
      </c>
      <c r="L86" s="22" t="n">
        <v>1394100</v>
      </c>
      <c r="M86" s="22" t="n">
        <v>1732900</v>
      </c>
      <c r="N86" s="22" t="n">
        <v>1449000</v>
      </c>
      <c r="O86" s="22" t="n">
        <v>1013900</v>
      </c>
      <c r="P86" s="22" t="n">
        <v>1911500</v>
      </c>
      <c r="Q86" s="22" t="n">
        <v>1527300</v>
      </c>
      <c r="R86" s="22" t="n">
        <v>2804000</v>
      </c>
      <c r="S86" s="22" t="n">
        <v>2054500</v>
      </c>
      <c r="T86" s="22" t="n">
        <v>1832300</v>
      </c>
      <c r="U86" s="22" t="n">
        <v>2968800</v>
      </c>
      <c r="V86" s="22" t="n">
        <v>3418300</v>
      </c>
      <c r="W86" s="22" t="n">
        <v>2669700</v>
      </c>
      <c r="X86" s="22" t="n">
        <v>3286900</v>
      </c>
      <c r="Y86" s="22" t="n">
        <v>1889600</v>
      </c>
      <c r="Z86" s="22" t="n">
        <v>3296500</v>
      </c>
      <c r="AA86" s="22" t="n">
        <v>6228100</v>
      </c>
      <c r="AB86" s="22" t="n">
        <v>1875100</v>
      </c>
      <c r="AC86" s="22" t="n">
        <v>2617400</v>
      </c>
      <c r="AD86" s="22" t="n">
        <v>2664400</v>
      </c>
      <c r="AE86" s="22" t="n">
        <v>3104800</v>
      </c>
      <c r="AF86" s="22" t="n">
        <v>3104800</v>
      </c>
      <c r="AG86" s="22" t="n">
        <v>2213900</v>
      </c>
      <c r="AH86" s="22" t="n">
        <v>2393100</v>
      </c>
      <c r="AI86" s="22" t="n">
        <v>1192600</v>
      </c>
      <c r="AJ86" s="22" t="n">
        <v>2116500</v>
      </c>
      <c r="AK86" s="22" t="n">
        <v>2436700</v>
      </c>
      <c r="AL86" s="22" t="n">
        <v>2495200</v>
      </c>
      <c r="AM86" s="22" t="n">
        <v>2041700</v>
      </c>
      <c r="AN86" s="22" t="n">
        <v>3002500</v>
      </c>
      <c r="AO86" s="22" t="n">
        <v>2721100</v>
      </c>
      <c r="AP86" s="22" t="n">
        <v>2709400</v>
      </c>
      <c r="AQ86" s="22" t="n">
        <v>2749000</v>
      </c>
      <c r="AR86" s="22" t="n">
        <v>1962700</v>
      </c>
      <c r="AS86" s="22" t="n">
        <v>2822800</v>
      </c>
      <c r="AT86" s="22" t="n">
        <v>3177000</v>
      </c>
      <c r="AU86" s="22" t="n">
        <v>3566600</v>
      </c>
      <c r="AV86" s="22" t="n">
        <v>3001500</v>
      </c>
      <c r="AW86" s="22" t="n">
        <v>4256800</v>
      </c>
      <c r="AX86" s="22" t="n">
        <v>6389800</v>
      </c>
      <c r="AY86" s="22" t="n">
        <v>5645200</v>
      </c>
      <c r="AZ86" s="22" t="n">
        <v>3141600</v>
      </c>
      <c r="BA86" s="22" t="n">
        <v>3947300</v>
      </c>
      <c r="BB86" s="22" t="n">
        <v>3763800</v>
      </c>
      <c r="BC86" s="22" t="n">
        <v>6578400</v>
      </c>
      <c r="BD86" s="22" t="n">
        <v>4811300</v>
      </c>
      <c r="BE86" s="22" t="n">
        <v>6952600</v>
      </c>
      <c r="BF86" s="22" t="n">
        <v>2026600</v>
      </c>
      <c r="BG86" s="22" t="n">
        <v>1951000</v>
      </c>
      <c r="BH86" s="22" t="n">
        <v>2574000</v>
      </c>
      <c r="BI86" s="22" t="n">
        <v>2086900</v>
      </c>
      <c r="BJ86" s="22" t="n">
        <v>2916900</v>
      </c>
      <c r="BK86" s="22" t="n">
        <v>3688200</v>
      </c>
      <c r="BL86" s="22" t="n">
        <v>3284300</v>
      </c>
    </row>
    <row r="87" ht="15.95" customHeight="1" s="574">
      <c r="A87" s="416" t="inlineStr">
        <is>
          <t>2914</t>
        </is>
      </c>
      <c r="B87" s="49" t="inlineStr">
        <is>
          <t>日本たばこ産業</t>
        </is>
      </c>
      <c r="C87" s="53">
        <f>_xll.RssMarket("2914","出来高")</f>
        <v/>
      </c>
      <c r="D87" s="683">
        <f>C87-E87</f>
        <v/>
      </c>
      <c r="E87" s="213" t="n">
        <v>6847900</v>
      </c>
      <c r="F87" s="22" t="n">
        <v>4598600</v>
      </c>
      <c r="G87" s="22" t="n">
        <v>2771600</v>
      </c>
      <c r="H87" s="22" t="n">
        <v>3469400</v>
      </c>
      <c r="I87" s="22" t="n">
        <v>3155000</v>
      </c>
      <c r="J87" s="22" t="n">
        <v>7746000</v>
      </c>
      <c r="K87" s="22" t="n">
        <v>6014400</v>
      </c>
      <c r="L87" s="22" t="n">
        <v>3626400</v>
      </c>
      <c r="M87" s="22" t="n">
        <v>4375600</v>
      </c>
      <c r="N87" s="22" t="n">
        <v>3970300</v>
      </c>
      <c r="O87" s="22" t="n">
        <v>3724400</v>
      </c>
      <c r="P87" s="22" t="n">
        <v>3002800</v>
      </c>
      <c r="Q87" s="22" t="n">
        <v>3956700</v>
      </c>
      <c r="R87" s="22" t="n">
        <v>10724600</v>
      </c>
      <c r="S87" s="22" t="n">
        <v>3448400</v>
      </c>
      <c r="T87" s="22" t="n">
        <v>3071700</v>
      </c>
      <c r="U87" s="22" t="n">
        <v>3270200</v>
      </c>
      <c r="V87" s="22" t="n">
        <v>3680600</v>
      </c>
      <c r="W87" s="22" t="n">
        <v>3821600</v>
      </c>
      <c r="X87" s="22" t="n">
        <v>3702100</v>
      </c>
      <c r="Y87" s="22" t="n">
        <v>3259100</v>
      </c>
      <c r="Z87" s="22" t="n">
        <v>3712200</v>
      </c>
      <c r="AA87" s="22" t="n">
        <v>3704200</v>
      </c>
      <c r="AB87" s="22" t="n">
        <v>4356700</v>
      </c>
      <c r="AC87" s="22" t="n">
        <v>4003600</v>
      </c>
      <c r="AD87" s="22" t="n">
        <v>11863100</v>
      </c>
      <c r="AE87" s="22" t="n">
        <v>11863100</v>
      </c>
      <c r="AF87" s="22" t="n">
        <v>5770200</v>
      </c>
      <c r="AG87" s="22" t="n">
        <v>4456100</v>
      </c>
      <c r="AH87" s="22" t="n">
        <v>3174400</v>
      </c>
      <c r="AI87" s="22" t="n">
        <v>4136000</v>
      </c>
      <c r="AJ87" s="22" t="n">
        <v>4445200</v>
      </c>
      <c r="AK87" s="22" t="n">
        <v>3211200</v>
      </c>
      <c r="AL87" s="22" t="n">
        <v>3201700</v>
      </c>
      <c r="AM87" s="22" t="n">
        <v>6374600</v>
      </c>
      <c r="AN87" s="22" t="n">
        <v>3852800</v>
      </c>
      <c r="AO87" s="22" t="n">
        <v>2480100</v>
      </c>
      <c r="AP87" s="22" t="n">
        <v>2465000</v>
      </c>
      <c r="AQ87" s="22" t="n">
        <v>3226000</v>
      </c>
      <c r="AR87" s="22" t="n">
        <v>3684400</v>
      </c>
      <c r="AS87" s="22" t="n">
        <v>3677700</v>
      </c>
      <c r="AT87" s="22" t="n">
        <v>4085900</v>
      </c>
      <c r="AU87" s="22" t="n">
        <v>2990100</v>
      </c>
      <c r="AV87" s="22" t="n">
        <v>3757200</v>
      </c>
      <c r="AW87" s="22" t="n">
        <v>4113600</v>
      </c>
      <c r="AX87" s="22" t="n">
        <v>4158000</v>
      </c>
      <c r="AY87" s="22" t="n">
        <v>3304700</v>
      </c>
      <c r="AZ87" s="22" t="n">
        <v>2621800</v>
      </c>
      <c r="BA87" s="22" t="n">
        <v>2809600</v>
      </c>
      <c r="BB87" s="22" t="n">
        <v>4363000</v>
      </c>
      <c r="BC87" s="22" t="n">
        <v>4883600</v>
      </c>
      <c r="BD87" s="22" t="n">
        <v>6053200</v>
      </c>
      <c r="BE87" s="22" t="n">
        <v>4406600</v>
      </c>
      <c r="BF87" s="22" t="n">
        <v>3133600</v>
      </c>
      <c r="BG87" s="22" t="n">
        <v>4224000</v>
      </c>
      <c r="BH87" s="22" t="n">
        <v>4582700</v>
      </c>
      <c r="BI87" s="22" t="n">
        <v>6754400</v>
      </c>
      <c r="BJ87" s="22" t="n">
        <v>5494300</v>
      </c>
      <c r="BK87" s="22" t="n">
        <v>3587800</v>
      </c>
      <c r="BL87" s="22" t="n">
        <v>3446600</v>
      </c>
    </row>
    <row r="88" ht="15.95" customHeight="1" s="574">
      <c r="A88" s="416" t="inlineStr">
        <is>
          <t>3003</t>
        </is>
      </c>
      <c r="B88" s="49" t="inlineStr">
        <is>
          <t>ヒューリック</t>
        </is>
      </c>
      <c r="C88" s="53">
        <f>_xll.RssMarket("3003","出来高")</f>
        <v/>
      </c>
      <c r="D88" s="683">
        <f>C88-E88</f>
        <v/>
      </c>
      <c r="E88" s="213" t="n">
        <v>2520300</v>
      </c>
      <c r="F88" s="22" t="n">
        <v>2593800</v>
      </c>
      <c r="G88" s="22" t="n">
        <v>1819400</v>
      </c>
      <c r="H88" s="22" t="n">
        <v>1869700</v>
      </c>
      <c r="I88" s="22" t="n">
        <v>2423000</v>
      </c>
      <c r="J88" s="22" t="n">
        <v>3906900</v>
      </c>
      <c r="K88" s="22" t="n">
        <v>3257100</v>
      </c>
      <c r="L88" s="22" t="n">
        <v>4265000</v>
      </c>
      <c r="M88" s="22" t="n">
        <v>3733600</v>
      </c>
      <c r="N88" s="22" t="n">
        <v>2105800</v>
      </c>
      <c r="O88" s="22" t="n">
        <v>3286700</v>
      </c>
      <c r="P88" s="22" t="n">
        <v>2449400</v>
      </c>
      <c r="Q88" s="22" t="n">
        <v>2997100</v>
      </c>
      <c r="R88" s="22" t="n">
        <v>9900200</v>
      </c>
      <c r="S88" s="22" t="n">
        <v>2948700</v>
      </c>
      <c r="T88" s="22" t="n">
        <v>3716200</v>
      </c>
      <c r="U88" s="22" t="n">
        <v>4468400</v>
      </c>
      <c r="V88" s="22" t="n">
        <v>9466700</v>
      </c>
      <c r="W88" s="22" t="n">
        <v>1675900</v>
      </c>
      <c r="X88" s="22" t="n">
        <v>2099200</v>
      </c>
      <c r="Y88" s="22" t="n">
        <v>1897300</v>
      </c>
      <c r="Z88" s="22" t="n">
        <v>2668400</v>
      </c>
      <c r="AA88" s="22" t="n">
        <v>2477700</v>
      </c>
      <c r="AB88" s="22" t="n">
        <v>3073500</v>
      </c>
      <c r="AC88" s="22" t="n">
        <v>1300800</v>
      </c>
      <c r="AD88" s="22" t="n">
        <v>1398700</v>
      </c>
      <c r="AE88" s="22" t="n">
        <v>2252600</v>
      </c>
      <c r="AF88" s="22" t="n">
        <v>2252600</v>
      </c>
      <c r="AG88" s="22" t="n">
        <v>2518900</v>
      </c>
      <c r="AH88" s="22" t="n">
        <v>3594600</v>
      </c>
      <c r="AI88" s="22" t="n">
        <v>2500000</v>
      </c>
      <c r="AJ88" s="22" t="n">
        <v>3831400</v>
      </c>
      <c r="AK88" s="22" t="n">
        <v>3969400</v>
      </c>
      <c r="AL88" s="22" t="n">
        <v>5587600</v>
      </c>
      <c r="AM88" s="22" t="n">
        <v>1766500</v>
      </c>
      <c r="AN88" s="22" t="n">
        <v>1676600</v>
      </c>
      <c r="AO88" s="22" t="n">
        <v>1737600</v>
      </c>
      <c r="AP88" s="22" t="n">
        <v>1495500</v>
      </c>
      <c r="AQ88" s="22" t="n">
        <v>994000</v>
      </c>
      <c r="AR88" s="22" t="n">
        <v>1441100</v>
      </c>
      <c r="AS88" s="22" t="n">
        <v>1731500</v>
      </c>
      <c r="AT88" s="22" t="n">
        <v>1684900</v>
      </c>
      <c r="AU88" s="22" t="n">
        <v>1861900</v>
      </c>
      <c r="AV88" s="22" t="n">
        <v>1232300</v>
      </c>
      <c r="AW88" s="22" t="n">
        <v>1300700</v>
      </c>
      <c r="AX88" s="22" t="n">
        <v>2243100</v>
      </c>
      <c r="AY88" s="22" t="n">
        <v>2205300</v>
      </c>
      <c r="AZ88" s="22" t="n">
        <v>1120100</v>
      </c>
      <c r="BA88" s="22" t="n">
        <v>970100</v>
      </c>
      <c r="BB88" s="22" t="n">
        <v>991500</v>
      </c>
      <c r="BC88" s="22" t="n">
        <v>1758200</v>
      </c>
      <c r="BD88" s="22" t="n">
        <v>1435700</v>
      </c>
      <c r="BE88" s="22" t="n">
        <v>1921900</v>
      </c>
      <c r="BF88" s="22" t="n">
        <v>2339800</v>
      </c>
      <c r="BG88" s="22" t="n">
        <v>1680100</v>
      </c>
      <c r="BH88" s="22" t="n">
        <v>1966300</v>
      </c>
      <c r="BI88" s="22" t="n">
        <v>1911400</v>
      </c>
      <c r="BJ88" s="22" t="n">
        <v>2760500</v>
      </c>
      <c r="BK88" s="22" t="n">
        <v>3000300</v>
      </c>
      <c r="BL88" s="22" t="n">
        <v>1676700</v>
      </c>
    </row>
    <row r="89" ht="15.95" customHeight="1" s="574">
      <c r="A89" s="416" t="inlineStr">
        <is>
          <t>5892</t>
        </is>
      </c>
      <c r="B89" s="49" t="inlineStr">
        <is>
          <t>ＹＵＴＯＲＩ</t>
        </is>
      </c>
      <c r="C89" s="53">
        <f>_xll.RssMarket("5892","出来高")</f>
        <v/>
      </c>
      <c r="D89" s="683">
        <f>C89-E89</f>
        <v/>
      </c>
      <c r="E89" s="213" t="n">
        <v>57300</v>
      </c>
      <c r="F89" s="22" t="n">
        <v>62100</v>
      </c>
      <c r="G89" s="22" t="n">
        <v>66300</v>
      </c>
      <c r="H89" s="22" t="n">
        <v>109600</v>
      </c>
      <c r="I89" s="22" t="n">
        <v>91100</v>
      </c>
      <c r="J89" s="22" t="n">
        <v>154900</v>
      </c>
      <c r="K89" s="22" t="n">
        <v>40900</v>
      </c>
      <c r="L89" s="22" t="n">
        <v>50900</v>
      </c>
      <c r="M89" s="22" t="n">
        <v>72600</v>
      </c>
      <c r="N89" s="22" t="n">
        <v>113400</v>
      </c>
      <c r="O89" s="22" t="n">
        <v>52000</v>
      </c>
      <c r="P89" s="22" t="n">
        <v>55700</v>
      </c>
      <c r="Q89" s="22" t="n">
        <v>42300</v>
      </c>
      <c r="R89" s="22" t="n">
        <v>50900</v>
      </c>
      <c r="S89" s="22" t="n">
        <v>68300</v>
      </c>
      <c r="T89" s="22" t="n">
        <v>79600</v>
      </c>
      <c r="U89" s="22" t="n">
        <v>90300</v>
      </c>
      <c r="V89" s="22" t="n">
        <v>87800</v>
      </c>
      <c r="W89" s="22" t="n">
        <v>91100</v>
      </c>
      <c r="X89" s="22" t="n">
        <v>63900</v>
      </c>
      <c r="Y89" s="22" t="n">
        <v>150600</v>
      </c>
      <c r="Z89" s="22" t="n">
        <v>260400</v>
      </c>
      <c r="AA89" s="22" t="n">
        <v>28700</v>
      </c>
      <c r="AB89" s="22" t="n">
        <v>105100</v>
      </c>
      <c r="AC89" s="22" t="n">
        <v>101000</v>
      </c>
      <c r="AD89" s="22" t="n">
        <v>90600</v>
      </c>
      <c r="AE89" s="22" t="n">
        <v>143600</v>
      </c>
      <c r="AF89" s="22" t="n">
        <v>143600</v>
      </c>
      <c r="AG89" s="22" t="n">
        <v>127400</v>
      </c>
      <c r="AH89" s="22" t="n">
        <v>52900</v>
      </c>
      <c r="AI89" s="22" t="n">
        <v>31300</v>
      </c>
      <c r="AJ89" s="22" t="n">
        <v>77400</v>
      </c>
      <c r="AK89" s="22" t="n">
        <v>47100</v>
      </c>
      <c r="AL89" s="22" t="n">
        <v>24000</v>
      </c>
      <c r="AM89" s="22" t="n">
        <v>31500</v>
      </c>
      <c r="AN89" s="22" t="n">
        <v>54600</v>
      </c>
      <c r="AO89" s="22" t="n">
        <v>35300</v>
      </c>
      <c r="AP89" s="22" t="n">
        <v>33400</v>
      </c>
      <c r="AQ89" s="22" t="n">
        <v>40400</v>
      </c>
      <c r="AR89" s="22" t="n">
        <v>29900</v>
      </c>
      <c r="AS89" s="22" t="n">
        <v>30900</v>
      </c>
      <c r="AT89" s="22" t="n">
        <v>57100</v>
      </c>
      <c r="AU89" s="22" t="n">
        <v>185900</v>
      </c>
      <c r="AV89" s="22" t="n">
        <v>23300</v>
      </c>
      <c r="AW89" s="22" t="n">
        <v>44600</v>
      </c>
      <c r="AX89" s="22" t="n">
        <v>41500</v>
      </c>
      <c r="AY89" s="22" t="n">
        <v>92100</v>
      </c>
      <c r="AZ89" s="22" t="n">
        <v>38500</v>
      </c>
      <c r="BA89" s="22" t="n">
        <v>25200</v>
      </c>
      <c r="BB89" s="22" t="n">
        <v>30900</v>
      </c>
      <c r="BC89" s="22" t="n">
        <v>31300</v>
      </c>
      <c r="BD89" s="22" t="n">
        <v>109800</v>
      </c>
      <c r="BE89" s="22" t="n">
        <v>35300</v>
      </c>
      <c r="BF89" s="22" t="n">
        <v>28600</v>
      </c>
      <c r="BG89" s="22" t="n">
        <v>19100</v>
      </c>
      <c r="BH89" s="22" t="n">
        <v>45300</v>
      </c>
      <c r="BI89" s="22" t="n">
        <v>40200</v>
      </c>
      <c r="BJ89" s="22" t="n">
        <v>70200</v>
      </c>
      <c r="BK89" s="22" t="n">
        <v>97800</v>
      </c>
      <c r="BL89" s="22" t="n">
        <v>87400</v>
      </c>
    </row>
    <row r="90" ht="15.95" customHeight="1" s="574">
      <c r="A90" s="416" t="inlineStr">
        <is>
          <t>6323</t>
        </is>
      </c>
      <c r="B90" s="49" t="inlineStr">
        <is>
          <t>ローツェ</t>
        </is>
      </c>
      <c r="C90" s="53">
        <f>_xll.RssMarket("6323","出来高")</f>
        <v/>
      </c>
      <c r="D90" s="683">
        <f>C90-E90</f>
        <v/>
      </c>
      <c r="E90" s="213" t="n">
        <v>1548900</v>
      </c>
      <c r="F90" s="22" t="n">
        <v>2181600</v>
      </c>
      <c r="G90" s="22" t="n">
        <v>2578900</v>
      </c>
      <c r="H90" s="22" t="n">
        <v>1602600</v>
      </c>
      <c r="I90" s="22" t="n">
        <v>1658600</v>
      </c>
      <c r="J90" s="22" t="n">
        <v>1870900</v>
      </c>
      <c r="K90" s="22" t="n">
        <v>1342600</v>
      </c>
      <c r="L90" s="22" t="n">
        <v>1331900</v>
      </c>
      <c r="M90" s="22" t="n">
        <v>2269300</v>
      </c>
      <c r="N90" s="22" t="n">
        <v>2018400</v>
      </c>
      <c r="O90" s="22" t="n">
        <v>3089500</v>
      </c>
      <c r="P90" s="22" t="n">
        <v>3050000</v>
      </c>
      <c r="Q90" s="22" t="n">
        <v>1132800</v>
      </c>
      <c r="R90" s="22" t="n">
        <v>2132700</v>
      </c>
      <c r="S90" s="22" t="n">
        <v>1285800</v>
      </c>
      <c r="T90" s="22" t="n">
        <v>1290700</v>
      </c>
      <c r="U90" s="22" t="n">
        <v>1431600</v>
      </c>
      <c r="V90" s="22" t="n">
        <v>1043700</v>
      </c>
      <c r="W90" s="22" t="n">
        <v>1600400</v>
      </c>
      <c r="X90" s="22" t="n">
        <v>1162700</v>
      </c>
      <c r="Y90" s="22" t="n">
        <v>1663600</v>
      </c>
      <c r="Z90" s="22" t="n">
        <v>1168500</v>
      </c>
      <c r="AA90" s="22" t="n">
        <v>1938700</v>
      </c>
      <c r="AB90" s="22" t="n">
        <v>1479100</v>
      </c>
      <c r="AC90" s="22" t="n">
        <v>2075600</v>
      </c>
      <c r="AD90" s="22" t="n">
        <v>2166900</v>
      </c>
      <c r="AE90" s="22" t="n">
        <v>2289300</v>
      </c>
      <c r="AF90" s="22" t="n">
        <v>2289300</v>
      </c>
      <c r="AG90" s="22" t="n">
        <v>2998600</v>
      </c>
      <c r="AH90" s="22" t="n">
        <v>2913700</v>
      </c>
      <c r="AI90" s="22" t="n">
        <v>1548100</v>
      </c>
      <c r="AJ90" s="22" t="n">
        <v>1706100</v>
      </c>
      <c r="AK90" s="22" t="n">
        <v>2107600</v>
      </c>
      <c r="AL90" s="22" t="n">
        <v>3075200</v>
      </c>
      <c r="AM90" s="22" t="n">
        <v>1308900</v>
      </c>
      <c r="AN90" s="22" t="n">
        <v>1735800</v>
      </c>
      <c r="AO90" s="22" t="n">
        <v>2284400</v>
      </c>
      <c r="AP90" s="22" t="n">
        <v>2777600</v>
      </c>
      <c r="AQ90" s="22" t="n">
        <v>1764400</v>
      </c>
      <c r="AR90" s="22" t="n">
        <v>1901100</v>
      </c>
      <c r="AS90" s="22" t="n">
        <v>3031600</v>
      </c>
      <c r="AT90" s="22" t="n">
        <v>2849500</v>
      </c>
      <c r="AU90" s="22" t="n">
        <v>4561300</v>
      </c>
      <c r="AV90" s="22" t="n">
        <v>9459700</v>
      </c>
      <c r="AW90" s="22" t="n">
        <v>6627200</v>
      </c>
      <c r="AX90" s="22" t="n">
        <v>2420400</v>
      </c>
      <c r="AY90" s="22" t="n">
        <v>3094400</v>
      </c>
      <c r="AZ90" s="22" t="n">
        <v>1837300</v>
      </c>
      <c r="BA90" s="22" t="n">
        <v>2010400</v>
      </c>
      <c r="BB90" s="22" t="n">
        <v>911800</v>
      </c>
      <c r="BC90" s="22" t="n">
        <v>1166300</v>
      </c>
      <c r="BD90" s="22" t="n">
        <v>1207200</v>
      </c>
      <c r="BE90" s="22" t="n">
        <v>1227500</v>
      </c>
      <c r="BF90" s="22" t="n">
        <v>1645100</v>
      </c>
      <c r="BG90" s="22" t="n">
        <v>1282100</v>
      </c>
      <c r="BH90" s="22" t="n">
        <v>821000</v>
      </c>
      <c r="BI90" s="22" t="n">
        <v>804900</v>
      </c>
      <c r="BJ90" s="22" t="n">
        <v>1192600</v>
      </c>
      <c r="BK90" s="22" t="n">
        <v>2473600</v>
      </c>
      <c r="BL90" s="22" t="n">
        <v>1668300</v>
      </c>
    </row>
    <row r="91" ht="15.95" customHeight="1" s="574">
      <c r="A91" s="416" t="inlineStr">
        <is>
          <t>6501</t>
        </is>
      </c>
      <c r="B91" s="49" t="inlineStr">
        <is>
          <t>日立</t>
        </is>
      </c>
      <c r="C91" s="53">
        <f>_xll.RssMarket("6501","出来高")</f>
        <v/>
      </c>
      <c r="D91" s="683">
        <f>C91-E91</f>
        <v/>
      </c>
      <c r="E91" s="213" t="n">
        <v>10220000</v>
      </c>
      <c r="F91" s="22" t="n">
        <v>18577100</v>
      </c>
      <c r="G91" s="22" t="n">
        <v>13329600</v>
      </c>
      <c r="H91" s="22" t="n">
        <v>11385900</v>
      </c>
      <c r="I91" s="22" t="n">
        <v>11238700</v>
      </c>
      <c r="J91" s="22" t="n">
        <v>18882700</v>
      </c>
      <c r="K91" s="22" t="n">
        <v>15175900</v>
      </c>
      <c r="L91" s="22" t="n">
        <v>15252700</v>
      </c>
      <c r="M91" s="22" t="n">
        <v>14584100</v>
      </c>
      <c r="N91" s="22" t="n">
        <v>11799100</v>
      </c>
      <c r="O91" s="22" t="n">
        <v>8401300</v>
      </c>
      <c r="P91" s="22" t="n">
        <v>15132500</v>
      </c>
      <c r="Q91" s="22" t="n">
        <v>10393900</v>
      </c>
      <c r="R91" s="22" t="n">
        <v>27362800</v>
      </c>
      <c r="S91" s="22" t="n">
        <v>17942700</v>
      </c>
      <c r="T91" s="22" t="n">
        <v>10796000</v>
      </c>
      <c r="U91" s="22" t="n">
        <v>9871700</v>
      </c>
      <c r="V91" s="22" t="n">
        <v>13406000</v>
      </c>
      <c r="W91" s="22" t="n">
        <v>17823800</v>
      </c>
      <c r="X91" s="22" t="n">
        <v>13438800</v>
      </c>
      <c r="Y91" s="22" t="n">
        <v>17371300</v>
      </c>
      <c r="Z91" s="22" t="n">
        <v>9951800</v>
      </c>
      <c r="AA91" s="22" t="n">
        <v>15316500</v>
      </c>
      <c r="AB91" s="22" t="n">
        <v>14167400</v>
      </c>
      <c r="AC91" s="22" t="n">
        <v>14259600</v>
      </c>
      <c r="AD91" s="22" t="n">
        <v>11607400</v>
      </c>
      <c r="AE91" s="22" t="n">
        <v>15801200</v>
      </c>
      <c r="AF91" s="22" t="n">
        <v>15801200</v>
      </c>
      <c r="AG91" s="22" t="n">
        <v>16696700</v>
      </c>
      <c r="AH91" s="22" t="n">
        <v>25537000</v>
      </c>
      <c r="AI91" s="22" t="n">
        <v>11393000</v>
      </c>
      <c r="AJ91" s="22" t="n">
        <v>22771900</v>
      </c>
      <c r="AK91" s="22" t="n">
        <v>29820000</v>
      </c>
      <c r="AL91" s="22" t="n">
        <v>18121800</v>
      </c>
      <c r="AM91" s="22" t="n">
        <v>10572600</v>
      </c>
      <c r="AN91" s="22" t="n">
        <v>18639900</v>
      </c>
      <c r="AO91" s="22" t="n">
        <v>11183900</v>
      </c>
      <c r="AP91" s="22" t="n">
        <v>8784900</v>
      </c>
      <c r="AQ91" s="22" t="n">
        <v>8848200</v>
      </c>
      <c r="AR91" s="22" t="n">
        <v>10437400</v>
      </c>
      <c r="AS91" s="22" t="n">
        <v>15083400</v>
      </c>
      <c r="AT91" s="22" t="n">
        <v>22050700</v>
      </c>
      <c r="AU91" s="22" t="n">
        <v>12203300</v>
      </c>
      <c r="AV91" s="22" t="n">
        <v>12164800</v>
      </c>
      <c r="AW91" s="22" t="n">
        <v>11797600</v>
      </c>
      <c r="AX91" s="22" t="n">
        <v>13677900</v>
      </c>
      <c r="AY91" s="22" t="n">
        <v>13616600</v>
      </c>
      <c r="AZ91" s="22" t="n">
        <v>7102400</v>
      </c>
      <c r="BA91" s="22" t="n">
        <v>7853200</v>
      </c>
      <c r="BB91" s="22" t="n">
        <v>7658200</v>
      </c>
      <c r="BC91" s="22" t="n">
        <v>12344100</v>
      </c>
      <c r="BD91" s="22" t="n">
        <v>13925900</v>
      </c>
      <c r="BE91" s="22" t="n">
        <v>18209400</v>
      </c>
      <c r="BF91" s="22" t="n">
        <v>13897900</v>
      </c>
      <c r="BG91" s="22" t="n">
        <v>12080000</v>
      </c>
      <c r="BH91" s="22" t="n">
        <v>13127600</v>
      </c>
      <c r="BI91" s="22" t="n">
        <v>12308100</v>
      </c>
      <c r="BJ91" s="22" t="n">
        <v>14999900</v>
      </c>
      <c r="BK91" s="22" t="n">
        <v>16630800</v>
      </c>
      <c r="BL91" s="22" t="n">
        <v>9901900</v>
      </c>
    </row>
    <row r="92" ht="15.95" customHeight="1" s="574">
      <c r="A92" s="416" t="inlineStr">
        <is>
          <t>6134</t>
        </is>
      </c>
      <c r="B92" s="49" t="inlineStr">
        <is>
          <t>ＦＵＪＩ</t>
        </is>
      </c>
      <c r="C92" s="53">
        <f>_xll.RssMarket("6134","出来高")</f>
        <v/>
      </c>
      <c r="D92" s="683">
        <f>C92-E92</f>
        <v/>
      </c>
      <c r="E92" s="213" t="n">
        <v>667100</v>
      </c>
      <c r="F92" s="22" t="n">
        <v>992600</v>
      </c>
      <c r="G92" s="22" t="n">
        <v>948900</v>
      </c>
      <c r="H92" s="22" t="n">
        <v>460000</v>
      </c>
      <c r="I92" s="22" t="n">
        <v>577400</v>
      </c>
      <c r="J92" s="22" t="n">
        <v>728500</v>
      </c>
      <c r="K92" s="22" t="n">
        <v>644300</v>
      </c>
      <c r="L92" s="22" t="n">
        <v>765100</v>
      </c>
      <c r="M92" s="22" t="n">
        <v>1480300</v>
      </c>
      <c r="N92" s="22" t="n">
        <v>505400</v>
      </c>
      <c r="O92" s="22" t="n">
        <v>813900</v>
      </c>
      <c r="P92" s="22" t="n">
        <v>933300</v>
      </c>
      <c r="Q92" s="22" t="n">
        <v>912700</v>
      </c>
      <c r="R92" s="22" t="n">
        <v>886500</v>
      </c>
      <c r="S92" s="22" t="n">
        <v>877700</v>
      </c>
      <c r="T92" s="22" t="n">
        <v>920800</v>
      </c>
      <c r="U92" s="22" t="n">
        <v>1103300</v>
      </c>
      <c r="V92" s="22" t="n">
        <v>1037800</v>
      </c>
      <c r="W92" s="22" t="n">
        <v>1041100</v>
      </c>
      <c r="X92" s="22" t="n">
        <v>1571000</v>
      </c>
      <c r="Y92" s="22" t="n">
        <v>1103200</v>
      </c>
      <c r="Z92" s="22" t="n">
        <v>1476700</v>
      </c>
      <c r="AA92" s="22" t="n">
        <v>2780000</v>
      </c>
      <c r="AB92" s="22" t="n">
        <v>1532400</v>
      </c>
      <c r="AC92" s="22" t="n">
        <v>522000</v>
      </c>
      <c r="AD92" s="22" t="n">
        <v>503300</v>
      </c>
      <c r="AE92" s="22" t="n">
        <v>611200</v>
      </c>
      <c r="AF92" s="22" t="n">
        <v>611200</v>
      </c>
      <c r="AG92" s="22" t="n">
        <v>572900</v>
      </c>
      <c r="AH92" s="22" t="n">
        <v>789700</v>
      </c>
      <c r="AI92" s="22" t="n">
        <v>519000</v>
      </c>
      <c r="AJ92" s="22" t="n">
        <v>475300</v>
      </c>
      <c r="AK92" s="22" t="n">
        <v>509700</v>
      </c>
      <c r="AL92" s="22" t="n">
        <v>605600</v>
      </c>
      <c r="AM92" s="22" t="n">
        <v>334000</v>
      </c>
      <c r="AN92" s="22" t="n">
        <v>433900</v>
      </c>
      <c r="AO92" s="22" t="n">
        <v>419400</v>
      </c>
      <c r="AP92" s="22" t="n">
        <v>587000</v>
      </c>
      <c r="AQ92" s="22" t="n">
        <v>359300</v>
      </c>
      <c r="AR92" s="22" t="n">
        <v>436400</v>
      </c>
      <c r="AS92" s="22" t="n">
        <v>389800</v>
      </c>
      <c r="AT92" s="22" t="n">
        <v>531700</v>
      </c>
      <c r="AU92" s="22" t="n">
        <v>698000</v>
      </c>
      <c r="AV92" s="22" t="n">
        <v>376700</v>
      </c>
      <c r="AW92" s="22" t="n">
        <v>490600</v>
      </c>
      <c r="AX92" s="22" t="n">
        <v>498500</v>
      </c>
      <c r="AY92" s="22" t="n">
        <v>467800</v>
      </c>
      <c r="AZ92" s="22" t="n">
        <v>354700</v>
      </c>
      <c r="BA92" s="22" t="n">
        <v>330000</v>
      </c>
      <c r="BB92" s="22" t="n">
        <v>282100</v>
      </c>
      <c r="BC92" s="22" t="n">
        <v>513700</v>
      </c>
      <c r="BD92" s="22" t="n">
        <v>492400</v>
      </c>
      <c r="BE92" s="22" t="n">
        <v>513500</v>
      </c>
      <c r="BF92" s="22" t="n">
        <v>610500</v>
      </c>
      <c r="BG92" s="22" t="n">
        <v>451200</v>
      </c>
      <c r="BH92" s="22" t="n">
        <v>414900</v>
      </c>
      <c r="BI92" s="22" t="n">
        <v>577900</v>
      </c>
      <c r="BJ92" s="22" t="n">
        <v>637100</v>
      </c>
      <c r="BK92" s="22" t="n">
        <v>1435800</v>
      </c>
      <c r="BL92" s="22" t="n">
        <v>423200</v>
      </c>
    </row>
    <row r="93" ht="15.95" customHeight="1" s="574">
      <c r="A93" s="416" t="inlineStr">
        <is>
          <t>7746</t>
        </is>
      </c>
      <c r="B93" s="49" t="inlineStr">
        <is>
          <t>岡本硝子</t>
        </is>
      </c>
      <c r="C93" s="53">
        <f>_xll.RssMarket("7746","出来高")</f>
        <v/>
      </c>
      <c r="D93" s="683">
        <f>C93-E93</f>
        <v/>
      </c>
      <c r="E93" s="213" t="n">
        <v>420300</v>
      </c>
      <c r="F93" s="22" t="n">
        <v>407200</v>
      </c>
      <c r="G93" s="22" t="n">
        <v>526800</v>
      </c>
      <c r="H93" s="22" t="n">
        <v>1408400</v>
      </c>
      <c r="I93" s="22" t="n">
        <v>6711800</v>
      </c>
      <c r="J93" s="22" t="n">
        <v>552700</v>
      </c>
      <c r="K93" s="22" t="n">
        <v>2857000</v>
      </c>
      <c r="L93" s="22" t="n">
        <v>618400</v>
      </c>
      <c r="M93" s="22" t="n">
        <v>550500</v>
      </c>
      <c r="N93" s="22" t="n">
        <v>388700</v>
      </c>
      <c r="O93" s="22" t="n">
        <v>327800</v>
      </c>
      <c r="P93" s="22" t="n">
        <v>692200</v>
      </c>
      <c r="Q93" s="22" t="n">
        <v>459300</v>
      </c>
      <c r="R93" s="22" t="n">
        <v>837200</v>
      </c>
      <c r="S93" s="22" t="n">
        <v>417800</v>
      </c>
      <c r="T93" s="22" t="n">
        <v>626700</v>
      </c>
      <c r="U93" s="22" t="n">
        <v>806100</v>
      </c>
      <c r="V93" s="22" t="n">
        <v>951700</v>
      </c>
      <c r="W93" s="22" t="n">
        <v>1758400</v>
      </c>
      <c r="X93" s="22" t="n">
        <v>3566200</v>
      </c>
      <c r="Y93" s="22" t="n">
        <v>4638000</v>
      </c>
      <c r="Z93" s="22" t="n">
        <v>1841700</v>
      </c>
      <c r="AA93" s="22" t="n">
        <v>870500</v>
      </c>
      <c r="AB93" s="22" t="n">
        <v>818000</v>
      </c>
      <c r="AC93" s="22" t="n">
        <v>946300</v>
      </c>
      <c r="AD93" s="22" t="n">
        <v>1301100</v>
      </c>
      <c r="AE93" s="22" t="n">
        <v>607800</v>
      </c>
      <c r="AF93" s="22" t="n">
        <v>607800</v>
      </c>
      <c r="AG93" s="22" t="n">
        <v>602000</v>
      </c>
      <c r="AH93" s="22" t="n">
        <v>721700</v>
      </c>
      <c r="AI93" s="22" t="n">
        <v>1534300</v>
      </c>
      <c r="AJ93" s="22" t="n">
        <v>1154300</v>
      </c>
      <c r="AK93" s="22" t="n">
        <v>503500</v>
      </c>
      <c r="AL93" s="22" t="n">
        <v>609100</v>
      </c>
      <c r="AM93" s="22" t="n">
        <v>511800</v>
      </c>
      <c r="AN93" s="22" t="n">
        <v>728200</v>
      </c>
      <c r="AO93" s="22" t="n">
        <v>606400</v>
      </c>
      <c r="AP93" s="22" t="n">
        <v>1272800</v>
      </c>
      <c r="AQ93" s="22" t="n">
        <v>4409000</v>
      </c>
      <c r="AR93" s="22" t="n">
        <v>795600</v>
      </c>
      <c r="AS93" s="22" t="n">
        <v>1612200</v>
      </c>
      <c r="AT93" s="22" t="n">
        <v>853000</v>
      </c>
      <c r="AU93" s="22" t="n">
        <v>953800</v>
      </c>
      <c r="AV93" s="22" t="n">
        <v>1671400</v>
      </c>
      <c r="AW93" s="22" t="n">
        <v>570300</v>
      </c>
      <c r="AX93" s="22" t="n">
        <v>868700</v>
      </c>
      <c r="AY93" s="22" t="n">
        <v>6505000</v>
      </c>
      <c r="AZ93" s="22" t="n">
        <v>1371600</v>
      </c>
      <c r="BA93" s="22" t="n">
        <v>375400</v>
      </c>
      <c r="BB93" s="22" t="n">
        <v>497900</v>
      </c>
      <c r="BC93" s="22" t="n">
        <v>1492600</v>
      </c>
      <c r="BD93" s="22" t="n">
        <v>4229900</v>
      </c>
      <c r="BE93" s="22" t="n">
        <v>1467900</v>
      </c>
      <c r="BF93" s="22" t="n">
        <v>368300</v>
      </c>
      <c r="BG93" s="22" t="n">
        <v>546000</v>
      </c>
      <c r="BH93" s="22" t="n">
        <v>720700</v>
      </c>
      <c r="BI93" s="22" t="n">
        <v>763100</v>
      </c>
      <c r="BJ93" s="22" t="n">
        <v>1427900</v>
      </c>
      <c r="BK93" s="22" t="n">
        <v>773000</v>
      </c>
      <c r="BL93" s="22" t="n">
        <v>1399000</v>
      </c>
    </row>
    <row r="94" ht="15.95" customHeight="1" s="574">
      <c r="A94" s="416" t="inlineStr">
        <is>
          <t>3407</t>
        </is>
      </c>
      <c r="B94" s="49" t="inlineStr">
        <is>
          <t>旭化成</t>
        </is>
      </c>
      <c r="C94" s="53">
        <f>_xll.RssMarket("3407","出来高")</f>
        <v/>
      </c>
      <c r="D94" s="683">
        <f>C94-E94</f>
        <v/>
      </c>
      <c r="E94" s="213" t="n">
        <v>5950700</v>
      </c>
      <c r="F94" s="22" t="n">
        <v>7466200</v>
      </c>
      <c r="G94" s="22" t="n">
        <v>3926500</v>
      </c>
      <c r="H94" s="22" t="n">
        <v>3657500</v>
      </c>
      <c r="I94" s="22" t="n">
        <v>4547400</v>
      </c>
      <c r="J94" s="22" t="n">
        <v>6489400</v>
      </c>
      <c r="K94" s="22" t="n">
        <v>4133600</v>
      </c>
      <c r="L94" s="22" t="n">
        <v>5735300</v>
      </c>
      <c r="M94" s="22" t="n">
        <v>6015600</v>
      </c>
      <c r="N94" s="22" t="n">
        <v>3738100</v>
      </c>
      <c r="O94" s="22" t="n">
        <v>4546500</v>
      </c>
      <c r="P94" s="22" t="n">
        <v>5186800</v>
      </c>
      <c r="Q94" s="22" t="n">
        <v>4955100</v>
      </c>
      <c r="R94" s="22" t="n">
        <v>10221700</v>
      </c>
      <c r="S94" s="22" t="n">
        <v>5566900</v>
      </c>
      <c r="T94" s="22" t="n">
        <v>4877600</v>
      </c>
      <c r="U94" s="22" t="n">
        <v>4317300</v>
      </c>
      <c r="V94" s="22" t="n">
        <v>3770800</v>
      </c>
      <c r="W94" s="22" t="n">
        <v>4570700</v>
      </c>
      <c r="X94" s="22" t="n">
        <v>5936600</v>
      </c>
      <c r="Y94" s="22" t="n">
        <v>5626100</v>
      </c>
      <c r="Z94" s="22" t="n">
        <v>4533300</v>
      </c>
      <c r="AA94" s="22" t="n">
        <v>6129300</v>
      </c>
      <c r="AB94" s="22" t="n">
        <v>6255300</v>
      </c>
      <c r="AC94" s="22" t="n">
        <v>10306000</v>
      </c>
      <c r="AD94" s="22" t="n">
        <v>13151800</v>
      </c>
      <c r="AE94" s="22" t="n">
        <v>4652500</v>
      </c>
      <c r="AF94" s="22" t="n">
        <v>4652500</v>
      </c>
      <c r="AG94" s="22" t="n">
        <v>5504700</v>
      </c>
      <c r="AH94" s="22" t="n">
        <v>6643100</v>
      </c>
      <c r="AI94" s="22" t="n">
        <v>3442200</v>
      </c>
      <c r="AJ94" s="22" t="n">
        <v>5477800</v>
      </c>
      <c r="AK94" s="22" t="n">
        <v>3348100</v>
      </c>
      <c r="AL94" s="22" t="n">
        <v>2929300</v>
      </c>
      <c r="AM94" s="22" t="n">
        <v>3198300</v>
      </c>
      <c r="AN94" s="22" t="n">
        <v>4912400</v>
      </c>
      <c r="AO94" s="22" t="n">
        <v>4113900</v>
      </c>
      <c r="AP94" s="22" t="n">
        <v>2982900</v>
      </c>
      <c r="AQ94" s="22" t="n">
        <v>3815900</v>
      </c>
      <c r="AR94" s="22" t="n">
        <v>4380700</v>
      </c>
      <c r="AS94" s="22" t="n">
        <v>5905000</v>
      </c>
      <c r="AT94" s="22" t="n">
        <v>10197600</v>
      </c>
      <c r="AU94" s="22" t="n">
        <v>6362200</v>
      </c>
      <c r="AV94" s="22" t="n">
        <v>5012700</v>
      </c>
      <c r="AW94" s="22" t="n">
        <v>5080600</v>
      </c>
      <c r="AX94" s="22" t="n">
        <v>5463400</v>
      </c>
      <c r="AY94" s="22" t="n">
        <v>9006800</v>
      </c>
      <c r="AZ94" s="22" t="n">
        <v>4369300</v>
      </c>
      <c r="BA94" s="22" t="n">
        <v>3413100</v>
      </c>
      <c r="BB94" s="22" t="n">
        <v>2305800</v>
      </c>
      <c r="BC94" s="22" t="n">
        <v>5118700</v>
      </c>
      <c r="BD94" s="22" t="n">
        <v>6510600</v>
      </c>
      <c r="BE94" s="22" t="n">
        <v>7302800</v>
      </c>
      <c r="BF94" s="22" t="n">
        <v>5584900</v>
      </c>
      <c r="BG94" s="22" t="n">
        <v>3495300</v>
      </c>
      <c r="BH94" s="22" t="n">
        <v>3888900</v>
      </c>
      <c r="BI94" s="22" t="n">
        <v>5010900</v>
      </c>
      <c r="BJ94" s="22" t="n">
        <v>7747400</v>
      </c>
      <c r="BK94" s="22" t="n">
        <v>10100300</v>
      </c>
      <c r="BL94" s="22" t="n">
        <v>4439900</v>
      </c>
    </row>
    <row r="95" ht="15.95" customHeight="1" s="574">
      <c r="A95" s="416" t="inlineStr">
        <is>
          <t>4008</t>
        </is>
      </c>
      <c r="B95" s="49" t="inlineStr">
        <is>
          <t>住友精化</t>
        </is>
      </c>
      <c r="C95" s="53">
        <f>_xll.RssMarket("4008","出来高")</f>
        <v/>
      </c>
      <c r="D95" s="683">
        <f>C95-E95</f>
        <v/>
      </c>
      <c r="E95" s="213" t="n">
        <v>181800</v>
      </c>
      <c r="F95" s="22" t="n">
        <v>171100</v>
      </c>
      <c r="G95" s="22" t="n">
        <v>257100</v>
      </c>
      <c r="H95" s="22" t="n">
        <v>131300</v>
      </c>
      <c r="I95" s="22" t="n">
        <v>131100</v>
      </c>
      <c r="J95" s="22" t="n">
        <v>163900</v>
      </c>
      <c r="K95" s="22" t="n">
        <v>137600</v>
      </c>
      <c r="L95" s="22" t="n">
        <v>102600</v>
      </c>
      <c r="M95" s="22" t="n">
        <v>194000</v>
      </c>
      <c r="N95" s="22" t="n">
        <v>157000</v>
      </c>
      <c r="O95" s="22" t="n">
        <v>150100</v>
      </c>
      <c r="P95" s="22" t="n">
        <v>202300</v>
      </c>
      <c r="Q95" s="22" t="n">
        <v>234400</v>
      </c>
      <c r="R95" s="22" t="n">
        <v>247100</v>
      </c>
      <c r="S95" s="22" t="n">
        <v>231600</v>
      </c>
      <c r="T95" s="22" t="n">
        <v>297600</v>
      </c>
      <c r="U95" s="22" t="n">
        <v>190900</v>
      </c>
      <c r="V95" s="22" t="n">
        <v>171800</v>
      </c>
      <c r="W95" s="22" t="n">
        <v>160000</v>
      </c>
      <c r="X95" s="22" t="n">
        <v>191300</v>
      </c>
      <c r="Y95" s="22" t="n">
        <v>135800</v>
      </c>
      <c r="Z95" s="22" t="n">
        <v>187500</v>
      </c>
      <c r="AA95" s="22" t="n">
        <v>217600</v>
      </c>
      <c r="AB95" s="22" t="n">
        <v>218400</v>
      </c>
      <c r="AC95" s="22" t="n">
        <v>318800</v>
      </c>
      <c r="AD95" s="22" t="n">
        <v>391000</v>
      </c>
      <c r="AE95" s="22" t="n">
        <v>139300</v>
      </c>
      <c r="AF95" s="22" t="n">
        <v>139300</v>
      </c>
      <c r="AG95" s="22" t="n">
        <v>131100</v>
      </c>
      <c r="AH95" s="22" t="n">
        <v>129500</v>
      </c>
      <c r="AI95" s="22" t="n">
        <v>88400</v>
      </c>
      <c r="AJ95" s="22" t="n">
        <v>113300</v>
      </c>
      <c r="AK95" s="22" t="n">
        <v>99300</v>
      </c>
      <c r="AL95" s="22" t="n">
        <v>105600</v>
      </c>
      <c r="AM95" s="22" t="n">
        <v>84800</v>
      </c>
      <c r="AN95" s="22" t="n">
        <v>111500</v>
      </c>
      <c r="AO95" s="22" t="n">
        <v>160300</v>
      </c>
      <c r="AP95" s="22" t="n">
        <v>109800</v>
      </c>
      <c r="AQ95" s="22" t="n">
        <v>76200</v>
      </c>
      <c r="AR95" s="22" t="n">
        <v>97800</v>
      </c>
      <c r="AS95" s="22" t="n">
        <v>83400</v>
      </c>
      <c r="AT95" s="22" t="n">
        <v>166800</v>
      </c>
      <c r="AU95" s="22" t="n">
        <v>132700</v>
      </c>
      <c r="AV95" s="22" t="n">
        <v>148800</v>
      </c>
      <c r="AW95" s="22" t="n">
        <v>155400</v>
      </c>
      <c r="AX95" s="22" t="n">
        <v>201400</v>
      </c>
      <c r="AY95" s="22" t="n">
        <v>231600</v>
      </c>
      <c r="AZ95" s="22" t="n">
        <v>143500</v>
      </c>
      <c r="BA95" s="22" t="n">
        <v>210000</v>
      </c>
      <c r="BB95" s="22" t="n">
        <v>114900</v>
      </c>
      <c r="BC95" s="22" t="n">
        <v>200500</v>
      </c>
      <c r="BD95" s="22" t="n">
        <v>221800</v>
      </c>
      <c r="BE95" s="22" t="n">
        <v>315200</v>
      </c>
      <c r="BF95" s="22" t="n">
        <v>65100</v>
      </c>
      <c r="BG95" s="22" t="n">
        <v>40600</v>
      </c>
      <c r="BH95" s="22" t="n">
        <v>29600</v>
      </c>
      <c r="BI95" s="22" t="n">
        <v>31600</v>
      </c>
      <c r="BJ95" s="22" t="n">
        <v>74600</v>
      </c>
      <c r="BK95" s="22" t="n">
        <v>54900</v>
      </c>
      <c r="BL95" s="22" t="n">
        <v>27400</v>
      </c>
    </row>
    <row r="96" ht="15.95" customHeight="1" s="574">
      <c r="A96" s="416" t="inlineStr">
        <is>
          <t>4062</t>
        </is>
      </c>
      <c r="B96" s="49" t="inlineStr">
        <is>
          <t>イビデン</t>
        </is>
      </c>
      <c r="C96" s="53">
        <f>_xll.RssMarket("4062","出来高")</f>
        <v/>
      </c>
      <c r="D96" s="683">
        <f>C96-E96</f>
        <v/>
      </c>
      <c r="E96" s="213" t="n">
        <v>10705800</v>
      </c>
      <c r="F96" s="22" t="n">
        <v>11198800</v>
      </c>
      <c r="G96" s="22" t="n">
        <v>11491700</v>
      </c>
      <c r="H96" s="22" t="n">
        <v>9058100</v>
      </c>
      <c r="I96" s="22" t="n">
        <v>9339500</v>
      </c>
      <c r="J96" s="22" t="n">
        <v>9550400</v>
      </c>
      <c r="K96" s="22" t="n">
        <v>8447800</v>
      </c>
      <c r="L96" s="22" t="n">
        <v>8111500</v>
      </c>
      <c r="M96" s="22" t="n">
        <v>7707800</v>
      </c>
      <c r="N96" s="22" t="n">
        <v>8165500</v>
      </c>
      <c r="O96" s="22" t="n">
        <v>6317800</v>
      </c>
      <c r="P96" s="22" t="n">
        <v>6878300</v>
      </c>
      <c r="Q96" s="22" t="n">
        <v>8084800</v>
      </c>
      <c r="R96" s="22" t="n">
        <v>10164100</v>
      </c>
      <c r="S96" s="22" t="n">
        <v>8387100</v>
      </c>
      <c r="T96" s="22" t="n">
        <v>7490400</v>
      </c>
      <c r="U96" s="22" t="n">
        <v>7628200</v>
      </c>
      <c r="V96" s="22" t="n">
        <v>8690500</v>
      </c>
      <c r="W96" s="22" t="n">
        <v>9124900</v>
      </c>
      <c r="X96" s="22" t="n">
        <v>6862800</v>
      </c>
      <c r="Y96" s="22" t="n">
        <v>6685700</v>
      </c>
      <c r="Z96" s="22" t="n">
        <v>6760300</v>
      </c>
      <c r="AA96" s="22" t="n">
        <v>8307900</v>
      </c>
      <c r="AB96" s="22" t="n">
        <v>8973700</v>
      </c>
      <c r="AC96" s="22" t="n">
        <v>8687100</v>
      </c>
      <c r="AD96" s="22" t="n">
        <v>22293100</v>
      </c>
      <c r="AE96" s="22" t="n">
        <v>8544200</v>
      </c>
      <c r="AF96" s="22" t="n">
        <v>8544200</v>
      </c>
      <c r="AG96" s="22" t="n">
        <v>10684700</v>
      </c>
      <c r="AH96" s="22" t="n">
        <v>11586800</v>
      </c>
      <c r="AI96" s="22" t="n">
        <v>5100600</v>
      </c>
      <c r="AJ96" s="22" t="n">
        <v>8434800</v>
      </c>
      <c r="AK96" s="22" t="n">
        <v>5813900</v>
      </c>
      <c r="AL96" s="22" t="n">
        <v>9124800</v>
      </c>
      <c r="AM96" s="22" t="n">
        <v>11078600</v>
      </c>
      <c r="AN96" s="22" t="n">
        <v>6416700</v>
      </c>
      <c r="AO96" s="22" t="n">
        <v>7596200</v>
      </c>
      <c r="AP96" s="22" t="n">
        <v>8109100</v>
      </c>
      <c r="AQ96" s="22" t="n">
        <v>4249200</v>
      </c>
      <c r="AR96" s="22" t="n">
        <v>3714000</v>
      </c>
      <c r="AS96" s="22" t="n">
        <v>4460400</v>
      </c>
      <c r="AT96" s="22" t="n">
        <v>7591600</v>
      </c>
      <c r="AU96" s="22" t="n">
        <v>5618000</v>
      </c>
      <c r="AV96" s="22" t="n">
        <v>6341000</v>
      </c>
      <c r="AW96" s="22" t="n">
        <v>6282300</v>
      </c>
      <c r="AX96" s="22" t="n">
        <v>7211800</v>
      </c>
      <c r="AY96" s="22" t="n">
        <v>8384000</v>
      </c>
      <c r="AZ96" s="22" t="n">
        <v>5997800</v>
      </c>
      <c r="BA96" s="22" t="n">
        <v>4988300</v>
      </c>
      <c r="BB96" s="22" t="n">
        <v>4086500</v>
      </c>
      <c r="BC96" s="22" t="n">
        <v>5446700</v>
      </c>
      <c r="BD96" s="22" t="n">
        <v>5761600</v>
      </c>
      <c r="BE96" s="22" t="n">
        <v>5276700</v>
      </c>
      <c r="BF96" s="22" t="n">
        <v>4785600</v>
      </c>
      <c r="BG96" s="22" t="n">
        <v>4688700</v>
      </c>
      <c r="BH96" s="22" t="n">
        <v>5320700</v>
      </c>
      <c r="BI96" s="22" t="n">
        <v>5241600</v>
      </c>
      <c r="BJ96" s="22" t="n">
        <v>5319300</v>
      </c>
      <c r="BK96" s="22" t="n">
        <v>5390900</v>
      </c>
      <c r="BL96" s="22" t="n">
        <v>5431700</v>
      </c>
    </row>
    <row r="97" ht="15.95" customHeight="1" s="574">
      <c r="A97" s="416" t="inlineStr">
        <is>
          <t>4182</t>
        </is>
      </c>
      <c r="B97" s="49" t="inlineStr">
        <is>
          <t>三菱瓦斯化学</t>
        </is>
      </c>
      <c r="C97" s="53">
        <f>_xll.RssMarket("4182","出来高")</f>
        <v/>
      </c>
      <c r="D97" s="683">
        <f>C97-E97</f>
        <v/>
      </c>
      <c r="E97" s="213" t="n">
        <v>1178000</v>
      </c>
      <c r="F97" s="22" t="n">
        <v>1960800</v>
      </c>
      <c r="G97" s="22" t="n">
        <v>1617200</v>
      </c>
      <c r="H97" s="22" t="n">
        <v>1114200</v>
      </c>
      <c r="I97" s="22" t="n">
        <v>1221900</v>
      </c>
      <c r="J97" s="22" t="n">
        <v>2602400</v>
      </c>
      <c r="K97" s="22" t="n">
        <v>971600</v>
      </c>
      <c r="L97" s="22" t="n">
        <v>1491700</v>
      </c>
      <c r="M97" s="22" t="n">
        <v>2430500</v>
      </c>
      <c r="N97" s="22" t="n">
        <v>1245100</v>
      </c>
      <c r="O97" s="22" t="n">
        <v>830500</v>
      </c>
      <c r="P97" s="22" t="n">
        <v>1232800</v>
      </c>
      <c r="Q97" s="22" t="n">
        <v>1400800</v>
      </c>
      <c r="R97" s="22" t="n">
        <v>1292400</v>
      </c>
      <c r="S97" s="22" t="n">
        <v>1150000</v>
      </c>
      <c r="T97" s="22" t="n">
        <v>1064900</v>
      </c>
      <c r="U97" s="22" t="n">
        <v>1654400</v>
      </c>
      <c r="V97" s="22" t="n">
        <v>1675800</v>
      </c>
      <c r="W97" s="22" t="n">
        <v>2042100</v>
      </c>
      <c r="X97" s="22" t="n">
        <v>1754100</v>
      </c>
      <c r="Y97" s="22" t="n">
        <v>1709200</v>
      </c>
      <c r="Z97" s="22" t="n">
        <v>2564300</v>
      </c>
      <c r="AA97" s="22" t="n">
        <v>2780200</v>
      </c>
      <c r="AB97" s="22" t="n">
        <v>3574400</v>
      </c>
      <c r="AC97" s="22" t="n">
        <v>1754000</v>
      </c>
      <c r="AD97" s="22" t="n">
        <v>1648500</v>
      </c>
      <c r="AE97" s="22" t="n">
        <v>1397900</v>
      </c>
      <c r="AF97" s="22" t="n">
        <v>1397900</v>
      </c>
      <c r="AG97" s="22" t="n">
        <v>1352800</v>
      </c>
      <c r="AH97" s="22" t="n">
        <v>1614200</v>
      </c>
      <c r="AI97" s="22" t="n">
        <v>697500</v>
      </c>
      <c r="AJ97" s="22" t="n">
        <v>1287400</v>
      </c>
      <c r="AK97" s="22" t="n">
        <v>1135200</v>
      </c>
      <c r="AL97" s="22" t="n">
        <v>1139000</v>
      </c>
      <c r="AM97" s="22" t="n">
        <v>1335900</v>
      </c>
      <c r="AN97" s="22" t="n">
        <v>1199800</v>
      </c>
      <c r="AO97" s="22" t="n">
        <v>1084900</v>
      </c>
      <c r="AP97" s="22" t="n">
        <v>1453800</v>
      </c>
      <c r="AQ97" s="22" t="n">
        <v>1012100</v>
      </c>
      <c r="AR97" s="22" t="n">
        <v>933000</v>
      </c>
      <c r="AS97" s="22" t="n">
        <v>930400</v>
      </c>
      <c r="AT97" s="22" t="n">
        <v>1472400</v>
      </c>
      <c r="AU97" s="22" t="n">
        <v>1254800</v>
      </c>
      <c r="AV97" s="22" t="n">
        <v>1196800</v>
      </c>
      <c r="AW97" s="22" t="n">
        <v>1143300</v>
      </c>
      <c r="AX97" s="22" t="n">
        <v>1024400</v>
      </c>
      <c r="AY97" s="22" t="n">
        <v>2396600</v>
      </c>
      <c r="AZ97" s="22" t="n">
        <v>1459800</v>
      </c>
      <c r="BA97" s="22" t="n">
        <v>1163500</v>
      </c>
      <c r="BB97" s="22" t="n">
        <v>1046900</v>
      </c>
      <c r="BC97" s="22" t="n">
        <v>1041300</v>
      </c>
      <c r="BD97" s="22" t="n">
        <v>1229600</v>
      </c>
      <c r="BE97" s="22" t="n">
        <v>1874900</v>
      </c>
      <c r="BF97" s="22" t="n">
        <v>1385000</v>
      </c>
      <c r="BG97" s="22" t="n">
        <v>1353200</v>
      </c>
      <c r="BH97" s="22" t="n">
        <v>1210600</v>
      </c>
      <c r="BI97" s="22" t="n">
        <v>1237100</v>
      </c>
      <c r="BJ97" s="22" t="n">
        <v>1401600</v>
      </c>
      <c r="BK97" s="22" t="n">
        <v>1370000</v>
      </c>
      <c r="BL97" s="22" t="n">
        <v>923800</v>
      </c>
    </row>
    <row r="98" ht="15.95" customHeight="1" s="574">
      <c r="A98" s="416" t="inlineStr">
        <is>
          <t>4188</t>
        </is>
      </c>
      <c r="B98" s="49" t="inlineStr">
        <is>
          <t>三菱ケミカルグループ</t>
        </is>
      </c>
      <c r="C98" s="53">
        <f>_xll.RssMarket("4188","出来高")</f>
        <v/>
      </c>
      <c r="D98" s="683">
        <f>C98-E98</f>
        <v/>
      </c>
      <c r="E98" s="213" t="n">
        <v>5573400</v>
      </c>
      <c r="F98" s="22" t="n">
        <v>7390400</v>
      </c>
      <c r="G98" s="22" t="n">
        <v>9149900</v>
      </c>
      <c r="H98" s="22" t="n">
        <v>7563000</v>
      </c>
      <c r="I98" s="22" t="n">
        <v>4768100</v>
      </c>
      <c r="J98" s="22" t="n">
        <v>7848100</v>
      </c>
      <c r="K98" s="22" t="n">
        <v>6138900</v>
      </c>
      <c r="L98" s="22" t="n">
        <v>4932200</v>
      </c>
      <c r="M98" s="22" t="n">
        <v>5371000</v>
      </c>
      <c r="N98" s="22" t="n">
        <v>5688000</v>
      </c>
      <c r="O98" s="22" t="n">
        <v>4724200</v>
      </c>
      <c r="P98" s="22" t="n">
        <v>5952200</v>
      </c>
      <c r="Q98" s="22" t="n">
        <v>5391500</v>
      </c>
      <c r="R98" s="22" t="n">
        <v>10577300</v>
      </c>
      <c r="S98" s="22" t="n">
        <v>7865100</v>
      </c>
      <c r="T98" s="22" t="n">
        <v>6782700</v>
      </c>
      <c r="U98" s="22" t="n">
        <v>10479300</v>
      </c>
      <c r="V98" s="22" t="n">
        <v>5108300</v>
      </c>
      <c r="W98" s="22" t="n">
        <v>7807500</v>
      </c>
      <c r="X98" s="22" t="n">
        <v>7176100</v>
      </c>
      <c r="Y98" s="22" t="n">
        <v>6773900</v>
      </c>
      <c r="Z98" s="22" t="n">
        <v>5269400</v>
      </c>
      <c r="AA98" s="22" t="n">
        <v>10576800</v>
      </c>
      <c r="AB98" s="22" t="n">
        <v>15257100</v>
      </c>
      <c r="AC98" s="22" t="n">
        <v>27241500</v>
      </c>
      <c r="AD98" s="22" t="n">
        <v>5823200</v>
      </c>
      <c r="AE98" s="22" t="n">
        <v>7365700</v>
      </c>
      <c r="AF98" s="22" t="n">
        <v>7365700</v>
      </c>
      <c r="AG98" s="22" t="n">
        <v>7575100</v>
      </c>
      <c r="AH98" s="22" t="n">
        <v>10686600</v>
      </c>
      <c r="AI98" s="22" t="n">
        <v>4518500</v>
      </c>
      <c r="AJ98" s="22" t="n">
        <v>7575100</v>
      </c>
      <c r="AK98" s="22" t="n">
        <v>6184100</v>
      </c>
      <c r="AL98" s="22" t="n">
        <v>5186600</v>
      </c>
      <c r="AM98" s="22" t="n">
        <v>3611200</v>
      </c>
      <c r="AN98" s="22" t="n">
        <v>6537700</v>
      </c>
      <c r="AO98" s="22" t="n">
        <v>4788500</v>
      </c>
      <c r="AP98" s="22" t="n">
        <v>5791800</v>
      </c>
      <c r="AQ98" s="22" t="n">
        <v>6322400</v>
      </c>
      <c r="AR98" s="22" t="n">
        <v>4825800</v>
      </c>
      <c r="AS98" s="22" t="n">
        <v>4911100</v>
      </c>
      <c r="AT98" s="22" t="n">
        <v>8840100</v>
      </c>
      <c r="AU98" s="22" t="n">
        <v>5158600</v>
      </c>
      <c r="AV98" s="22" t="n">
        <v>5745100</v>
      </c>
      <c r="AW98" s="22" t="n">
        <v>9622300</v>
      </c>
      <c r="AX98" s="22" t="n">
        <v>9814400</v>
      </c>
      <c r="AY98" s="22" t="n">
        <v>15109300</v>
      </c>
      <c r="AZ98" s="22" t="n">
        <v>4507600</v>
      </c>
      <c r="BA98" s="22" t="n">
        <v>3597400</v>
      </c>
      <c r="BB98" s="22" t="n">
        <v>3442100</v>
      </c>
      <c r="BC98" s="22" t="n">
        <v>8672600</v>
      </c>
      <c r="BD98" s="22" t="n">
        <v>7627400</v>
      </c>
      <c r="BE98" s="22" t="n">
        <v>9373600</v>
      </c>
      <c r="BF98" s="22" t="n">
        <v>7330700</v>
      </c>
      <c r="BG98" s="22" t="n">
        <v>6347400</v>
      </c>
      <c r="BH98" s="22" t="n">
        <v>7333300</v>
      </c>
      <c r="BI98" s="22" t="n">
        <v>10264600</v>
      </c>
      <c r="BJ98" s="22" t="n">
        <v>10311800</v>
      </c>
      <c r="BK98" s="22" t="n">
        <v>11686900</v>
      </c>
      <c r="BL98" s="22" t="n">
        <v>7949300</v>
      </c>
    </row>
    <row r="99" ht="15.95" customHeight="1" s="574">
      <c r="A99" s="416" t="inlineStr">
        <is>
          <t>4523</t>
        </is>
      </c>
      <c r="B99" s="49" t="inlineStr">
        <is>
          <t>エーザイ</t>
        </is>
      </c>
      <c r="C99" s="53">
        <f>_xll.RssMarket("4523","出来高")</f>
        <v/>
      </c>
      <c r="D99" s="683">
        <f>C99-E99</f>
        <v/>
      </c>
      <c r="E99" s="213" t="n">
        <v>1395000</v>
      </c>
      <c r="F99" s="22" t="n">
        <v>2438200</v>
      </c>
      <c r="G99" s="22" t="n">
        <v>2448700</v>
      </c>
      <c r="H99" s="22" t="n">
        <v>1988700</v>
      </c>
      <c r="I99" s="22" t="n">
        <v>1702600</v>
      </c>
      <c r="J99" s="22" t="n">
        <v>1735600</v>
      </c>
      <c r="K99" s="22" t="n">
        <v>1960900</v>
      </c>
      <c r="L99" s="22" t="n">
        <v>1955700</v>
      </c>
      <c r="M99" s="22" t="n">
        <v>1696200</v>
      </c>
      <c r="N99" s="22" t="n">
        <v>1769400</v>
      </c>
      <c r="O99" s="22" t="n">
        <v>1753400</v>
      </c>
      <c r="P99" s="22" t="n">
        <v>2179400</v>
      </c>
      <c r="Q99" s="22" t="n">
        <v>2323400</v>
      </c>
      <c r="R99" s="22" t="n">
        <v>3394200</v>
      </c>
      <c r="S99" s="22" t="n">
        <v>2698800</v>
      </c>
      <c r="T99" s="22" t="n">
        <v>2164800</v>
      </c>
      <c r="U99" s="22" t="n">
        <v>1783500</v>
      </c>
      <c r="V99" s="22" t="n">
        <v>2045300</v>
      </c>
      <c r="W99" s="22" t="n">
        <v>1851200</v>
      </c>
      <c r="X99" s="22" t="n">
        <v>2678300</v>
      </c>
      <c r="Y99" s="22" t="n">
        <v>1727000</v>
      </c>
      <c r="Z99" s="22" t="n">
        <v>2716800</v>
      </c>
      <c r="AA99" s="22" t="n">
        <v>1652100</v>
      </c>
      <c r="AB99" s="22" t="n">
        <v>1216700</v>
      </c>
      <c r="AC99" s="22" t="n">
        <v>1116100</v>
      </c>
      <c r="AD99" s="22" t="n">
        <v>964500</v>
      </c>
      <c r="AE99" s="22" t="n">
        <v>1495000</v>
      </c>
      <c r="AF99" s="22" t="n">
        <v>1495000</v>
      </c>
      <c r="AG99" s="22" t="n">
        <v>1542100</v>
      </c>
      <c r="AH99" s="22" t="n">
        <v>1336600</v>
      </c>
      <c r="AI99" s="22" t="n">
        <v>875000</v>
      </c>
      <c r="AJ99" s="22" t="n">
        <v>1690500</v>
      </c>
      <c r="AK99" s="22" t="n">
        <v>1147300</v>
      </c>
      <c r="AL99" s="22" t="n">
        <v>1335800</v>
      </c>
      <c r="AM99" s="22" t="n">
        <v>727400</v>
      </c>
      <c r="AN99" s="22" t="n">
        <v>861600</v>
      </c>
      <c r="AO99" s="22" t="n">
        <v>1188600</v>
      </c>
      <c r="AP99" s="22" t="n">
        <v>843600</v>
      </c>
      <c r="AQ99" s="22" t="n">
        <v>763000</v>
      </c>
      <c r="AR99" s="22" t="n">
        <v>812800</v>
      </c>
      <c r="AS99" s="22" t="n">
        <v>776700</v>
      </c>
      <c r="AT99" s="22" t="n">
        <v>1180400</v>
      </c>
      <c r="AU99" s="22" t="n">
        <v>1069000</v>
      </c>
      <c r="AV99" s="22" t="n">
        <v>899900</v>
      </c>
      <c r="AW99" s="22" t="n">
        <v>1367700</v>
      </c>
      <c r="AX99" s="22" t="n">
        <v>954500</v>
      </c>
      <c r="AY99" s="22" t="n">
        <v>1329300</v>
      </c>
      <c r="AZ99" s="22" t="n">
        <v>708900</v>
      </c>
      <c r="BA99" s="22" t="n">
        <v>1239400</v>
      </c>
      <c r="BB99" s="22" t="n">
        <v>742700</v>
      </c>
      <c r="BC99" s="22" t="n">
        <v>1385200</v>
      </c>
      <c r="BD99" s="22" t="n">
        <v>1278600</v>
      </c>
      <c r="BE99" s="22" t="n">
        <v>1250700</v>
      </c>
      <c r="BF99" s="22" t="n">
        <v>1371600</v>
      </c>
      <c r="BG99" s="22" t="n">
        <v>974000</v>
      </c>
      <c r="BH99" s="22" t="n">
        <v>824300</v>
      </c>
      <c r="BI99" s="22" t="n">
        <v>783400</v>
      </c>
      <c r="BJ99" s="22" t="n">
        <v>1174300</v>
      </c>
      <c r="BK99" s="22" t="n">
        <v>1416500</v>
      </c>
      <c r="BL99" s="22" t="n">
        <v>838600</v>
      </c>
    </row>
    <row r="100" ht="15.95" customHeight="1" s="574">
      <c r="A100" s="416" t="inlineStr">
        <is>
          <t>4528</t>
        </is>
      </c>
      <c r="B100" s="49" t="inlineStr">
        <is>
          <t>小野薬品</t>
        </is>
      </c>
      <c r="C100" s="53">
        <f>_xll.RssMarket("4528","出来高")</f>
        <v/>
      </c>
      <c r="D100" s="683">
        <f>C100-E100</f>
        <v/>
      </c>
      <c r="E100" s="213" t="n">
        <v>1832500</v>
      </c>
      <c r="F100" s="22" t="n">
        <v>2238300</v>
      </c>
      <c r="G100" s="22" t="n">
        <v>1411600</v>
      </c>
      <c r="H100" s="22" t="n">
        <v>1121900</v>
      </c>
      <c r="I100" s="22" t="n">
        <v>1555000</v>
      </c>
      <c r="J100" s="22" t="n">
        <v>1938800</v>
      </c>
      <c r="K100" s="22" t="n">
        <v>1702500</v>
      </c>
      <c r="L100" s="22" t="n">
        <v>1727700</v>
      </c>
      <c r="M100" s="22" t="n">
        <v>1828100</v>
      </c>
      <c r="N100" s="22" t="n">
        <v>1647400</v>
      </c>
      <c r="O100" s="22" t="n">
        <v>2306700</v>
      </c>
      <c r="P100" s="22" t="n">
        <v>3190200</v>
      </c>
      <c r="Q100" s="22" t="n">
        <v>2742900</v>
      </c>
      <c r="R100" s="22" t="n">
        <v>1997700</v>
      </c>
      <c r="S100" s="22" t="n">
        <v>1638000</v>
      </c>
      <c r="T100" s="22" t="n">
        <v>2270800</v>
      </c>
      <c r="U100" s="22" t="n">
        <v>1470700</v>
      </c>
      <c r="V100" s="22" t="n">
        <v>2447800</v>
      </c>
      <c r="W100" s="22" t="n">
        <v>1856600</v>
      </c>
      <c r="X100" s="22" t="n">
        <v>1860400</v>
      </c>
      <c r="Y100" s="22" t="n">
        <v>1908300</v>
      </c>
      <c r="Z100" s="22" t="n">
        <v>1545800</v>
      </c>
      <c r="AA100" s="22" t="n">
        <v>1470500</v>
      </c>
      <c r="AB100" s="22" t="n">
        <v>1412300</v>
      </c>
      <c r="AC100" s="22" t="n">
        <v>2630000</v>
      </c>
      <c r="AD100" s="22" t="n">
        <v>1518900</v>
      </c>
      <c r="AE100" s="22" t="n">
        <v>2647600</v>
      </c>
      <c r="AF100" s="22" t="n">
        <v>2647600</v>
      </c>
      <c r="AG100" s="22" t="n">
        <v>5080800</v>
      </c>
      <c r="AH100" s="22" t="n">
        <v>2830800</v>
      </c>
      <c r="AI100" s="22" t="n">
        <v>1496900</v>
      </c>
      <c r="AJ100" s="22" t="n">
        <v>1916700</v>
      </c>
      <c r="AK100" s="22" t="n">
        <v>1766800</v>
      </c>
      <c r="AL100" s="22" t="n">
        <v>1169200</v>
      </c>
      <c r="AM100" s="22" t="n">
        <v>1461100</v>
      </c>
      <c r="AN100" s="22" t="n">
        <v>1770400</v>
      </c>
      <c r="AO100" s="22" t="n">
        <v>2105000</v>
      </c>
      <c r="AP100" s="22" t="n">
        <v>1464700</v>
      </c>
      <c r="AQ100" s="22" t="n">
        <v>1318800</v>
      </c>
      <c r="AR100" s="22" t="n">
        <v>1886100</v>
      </c>
      <c r="AS100" s="22" t="n">
        <v>1465800</v>
      </c>
      <c r="AT100" s="22" t="n">
        <v>2050200</v>
      </c>
      <c r="AU100" s="22" t="n">
        <v>1496100</v>
      </c>
      <c r="AV100" s="22" t="n">
        <v>1207800</v>
      </c>
      <c r="AW100" s="22" t="n">
        <v>1439300</v>
      </c>
      <c r="AX100" s="22" t="n">
        <v>1199900</v>
      </c>
      <c r="AY100" s="22" t="n">
        <v>1688700</v>
      </c>
      <c r="AZ100" s="22" t="n">
        <v>883500</v>
      </c>
      <c r="BA100" s="22" t="n">
        <v>717900</v>
      </c>
      <c r="BB100" s="22" t="n">
        <v>1025000</v>
      </c>
      <c r="BC100" s="22" t="n">
        <v>1631800</v>
      </c>
      <c r="BD100" s="22" t="n">
        <v>1786600</v>
      </c>
      <c r="BE100" s="22" t="n">
        <v>2025700</v>
      </c>
      <c r="BF100" s="22" t="n">
        <v>2683500</v>
      </c>
      <c r="BG100" s="22" t="n">
        <v>1595800</v>
      </c>
      <c r="BH100" s="22" t="n">
        <v>2269000</v>
      </c>
      <c r="BI100" s="22" t="n">
        <v>1445300</v>
      </c>
      <c r="BJ100" s="22" t="n">
        <v>2508600</v>
      </c>
      <c r="BK100" s="22" t="n">
        <v>6153800</v>
      </c>
      <c r="BL100" s="22" t="n">
        <v>1797400</v>
      </c>
    </row>
    <row r="101" ht="15.95" customHeight="1" s="574">
      <c r="A101" s="416" t="inlineStr">
        <is>
          <t>4661</t>
        </is>
      </c>
      <c r="B101" s="49" t="inlineStr">
        <is>
          <t>オリエンタルランド</t>
        </is>
      </c>
      <c r="C101" s="53">
        <f>_xll.RssMarket("4661","出来高")</f>
        <v/>
      </c>
      <c r="D101" s="683">
        <f>C101-E101</f>
        <v/>
      </c>
      <c r="E101" s="213" t="n">
        <v>4243200</v>
      </c>
      <c r="F101" s="22" t="n">
        <v>7179300</v>
      </c>
      <c r="G101" s="22" t="n">
        <v>5093300</v>
      </c>
      <c r="H101" s="22" t="n">
        <v>4234100</v>
      </c>
      <c r="I101" s="22" t="n">
        <v>4418000</v>
      </c>
      <c r="J101" s="22" t="n">
        <v>6707300</v>
      </c>
      <c r="K101" s="22" t="n">
        <v>5696300</v>
      </c>
      <c r="L101" s="22" t="n">
        <v>7004500</v>
      </c>
      <c r="M101" s="22" t="n">
        <v>6141000</v>
      </c>
      <c r="N101" s="22" t="n">
        <v>4043200</v>
      </c>
      <c r="O101" s="22" t="n">
        <v>4070600</v>
      </c>
      <c r="P101" s="22" t="n">
        <v>5882900</v>
      </c>
      <c r="Q101" s="22" t="n">
        <v>7497600</v>
      </c>
      <c r="R101" s="22" t="n">
        <v>11732400</v>
      </c>
      <c r="S101" s="22" t="n">
        <v>7737900</v>
      </c>
      <c r="T101" s="22" t="n">
        <v>5631100</v>
      </c>
      <c r="U101" s="22" t="n">
        <v>4427600</v>
      </c>
      <c r="V101" s="22" t="n">
        <v>5488800</v>
      </c>
      <c r="W101" s="22" t="n">
        <v>7407400</v>
      </c>
      <c r="X101" s="22" t="n">
        <v>5918400</v>
      </c>
      <c r="Y101" s="22" t="n">
        <v>6635400</v>
      </c>
      <c r="Z101" s="22" t="n">
        <v>5753000</v>
      </c>
      <c r="AA101" s="22" t="n">
        <v>4894400</v>
      </c>
      <c r="AB101" s="22" t="n">
        <v>5794000</v>
      </c>
      <c r="AC101" s="22" t="n">
        <v>5341200</v>
      </c>
      <c r="AD101" s="22" t="n">
        <v>4889200</v>
      </c>
      <c r="AE101" s="22" t="n">
        <v>6984800</v>
      </c>
      <c r="AF101" s="22" t="n">
        <v>6984800</v>
      </c>
      <c r="AG101" s="22" t="n">
        <v>8435400</v>
      </c>
      <c r="AH101" s="22" t="n">
        <v>14737900</v>
      </c>
      <c r="AI101" s="22" t="n">
        <v>9239000</v>
      </c>
      <c r="AJ101" s="22" t="n">
        <v>23914700</v>
      </c>
      <c r="AK101" s="22" t="n">
        <v>6665100</v>
      </c>
      <c r="AL101" s="22" t="n">
        <v>7915300</v>
      </c>
      <c r="AM101" s="22" t="n">
        <v>8297100</v>
      </c>
      <c r="AN101" s="22" t="n">
        <v>7872200</v>
      </c>
      <c r="AO101" s="22" t="n">
        <v>3559600</v>
      </c>
      <c r="AP101" s="22" t="n">
        <v>2835000</v>
      </c>
      <c r="AQ101" s="22" t="n">
        <v>2678200</v>
      </c>
      <c r="AR101" s="22" t="n">
        <v>3100700</v>
      </c>
      <c r="AS101" s="22" t="n">
        <v>4044400</v>
      </c>
      <c r="AT101" s="22" t="n">
        <v>5357000</v>
      </c>
      <c r="AU101" s="22" t="n">
        <v>4294600</v>
      </c>
      <c r="AV101" s="22" t="n">
        <v>3406300</v>
      </c>
      <c r="AW101" s="22" t="n">
        <v>4662900</v>
      </c>
      <c r="AX101" s="22" t="n">
        <v>5196300</v>
      </c>
      <c r="AY101" s="22" t="n">
        <v>4618200</v>
      </c>
      <c r="AZ101" s="22" t="n">
        <v>3653500</v>
      </c>
      <c r="BA101" s="22" t="n">
        <v>3994400</v>
      </c>
      <c r="BB101" s="22" t="n">
        <v>1704800</v>
      </c>
      <c r="BC101" s="22" t="n">
        <v>3089000</v>
      </c>
      <c r="BD101" s="22" t="n">
        <v>4114300</v>
      </c>
      <c r="BE101" s="22" t="n">
        <v>5791200</v>
      </c>
      <c r="BF101" s="22" t="n">
        <v>6330900</v>
      </c>
      <c r="BG101" s="22" t="n">
        <v>3722400</v>
      </c>
      <c r="BH101" s="22" t="n">
        <v>3999400</v>
      </c>
      <c r="BI101" s="22" t="n">
        <v>3736100</v>
      </c>
      <c r="BJ101" s="22" t="n">
        <v>6022700</v>
      </c>
      <c r="BK101" s="22" t="n">
        <v>6346500</v>
      </c>
      <c r="BL101" s="22" t="n">
        <v>3598100</v>
      </c>
    </row>
    <row r="102" ht="15.95" customHeight="1" s="574">
      <c r="A102" s="416" t="inlineStr">
        <is>
          <t>5802</t>
        </is>
      </c>
      <c r="B102" s="49" t="inlineStr">
        <is>
          <t>住友電工</t>
        </is>
      </c>
      <c r="C102" s="53">
        <f>_xll.RssMarket("5802","出来高")</f>
        <v/>
      </c>
      <c r="D102" s="683">
        <f>C102-E102</f>
        <v/>
      </c>
      <c r="E102" s="213" t="n">
        <v>5864600</v>
      </c>
      <c r="F102" s="22" t="n">
        <v>12930000</v>
      </c>
      <c r="G102" s="22" t="n">
        <v>5119200</v>
      </c>
      <c r="H102" s="22" t="n">
        <v>4673200</v>
      </c>
      <c r="I102" s="22" t="n">
        <v>8747100</v>
      </c>
      <c r="J102" s="22" t="n">
        <v>8180800</v>
      </c>
      <c r="K102" s="22" t="n">
        <v>6921000</v>
      </c>
      <c r="L102" s="22" t="n">
        <v>9193400</v>
      </c>
      <c r="M102" s="22" t="n">
        <v>6242800</v>
      </c>
      <c r="N102" s="22" t="n">
        <v>5656600</v>
      </c>
      <c r="O102" s="22" t="n">
        <v>5585800</v>
      </c>
      <c r="P102" s="22" t="n">
        <v>6861400</v>
      </c>
      <c r="Q102" s="22" t="n">
        <v>7301000</v>
      </c>
      <c r="R102" s="22" t="n">
        <v>9941900</v>
      </c>
      <c r="S102" s="22" t="n">
        <v>5225600</v>
      </c>
      <c r="T102" s="22" t="n">
        <v>6459200</v>
      </c>
      <c r="U102" s="22" t="n">
        <v>5286700</v>
      </c>
      <c r="V102" s="22" t="n">
        <v>5949200</v>
      </c>
      <c r="W102" s="22" t="n">
        <v>5946400</v>
      </c>
      <c r="X102" s="22" t="n">
        <v>7893900</v>
      </c>
      <c r="Y102" s="22" t="n">
        <v>6047200</v>
      </c>
      <c r="Z102" s="22" t="n">
        <v>8641400</v>
      </c>
      <c r="AA102" s="22" t="n">
        <v>10409100</v>
      </c>
      <c r="AB102" s="22" t="n">
        <v>11321600</v>
      </c>
      <c r="AC102" s="22" t="n">
        <v>12494700</v>
      </c>
      <c r="AD102" s="22" t="n">
        <v>16821100</v>
      </c>
      <c r="AE102" s="22" t="n">
        <v>4725400</v>
      </c>
      <c r="AF102" s="22" t="n">
        <v>4725400</v>
      </c>
      <c r="AG102" s="22" t="n">
        <v>5055700</v>
      </c>
      <c r="AH102" s="22" t="n">
        <v>10977100</v>
      </c>
      <c r="AI102" s="22" t="n">
        <v>4356600</v>
      </c>
      <c r="AJ102" s="22" t="n">
        <v>4630900</v>
      </c>
      <c r="AK102" s="22" t="n">
        <v>3548800</v>
      </c>
      <c r="AL102" s="22" t="n">
        <v>4491300</v>
      </c>
      <c r="AM102" s="22" t="n">
        <v>4655100</v>
      </c>
      <c r="AN102" s="22" t="n">
        <v>7066100</v>
      </c>
      <c r="AO102" s="22" t="n">
        <v>7019400</v>
      </c>
      <c r="AP102" s="22" t="n">
        <v>5864600</v>
      </c>
      <c r="AQ102" s="22" t="n">
        <v>4757700</v>
      </c>
      <c r="AR102" s="22" t="n">
        <v>4406100</v>
      </c>
      <c r="AS102" s="22" t="n">
        <v>7908600</v>
      </c>
      <c r="AT102" s="22" t="n">
        <v>8747200</v>
      </c>
      <c r="AU102" s="22" t="n">
        <v>7874800</v>
      </c>
      <c r="AV102" s="22" t="n">
        <v>13599200</v>
      </c>
      <c r="AW102" s="22" t="n">
        <v>10081400</v>
      </c>
      <c r="AX102" s="22" t="n">
        <v>7849500</v>
      </c>
      <c r="AY102" s="22" t="n">
        <v>9490900</v>
      </c>
      <c r="AZ102" s="22" t="n">
        <v>7474800</v>
      </c>
      <c r="BA102" s="22" t="n">
        <v>8812800</v>
      </c>
      <c r="BB102" s="22" t="n">
        <v>6898100</v>
      </c>
      <c r="BC102" s="22" t="n">
        <v>8987600</v>
      </c>
      <c r="BD102" s="22" t="n">
        <v>9946100</v>
      </c>
      <c r="BE102" s="22" t="n">
        <v>8492500</v>
      </c>
      <c r="BF102" s="22" t="n">
        <v>10709000</v>
      </c>
      <c r="BG102" s="22" t="n">
        <v>7329400</v>
      </c>
      <c r="BH102" s="22" t="n">
        <v>5844000</v>
      </c>
      <c r="BI102" s="22" t="n">
        <v>7481500</v>
      </c>
      <c r="BJ102" s="22" t="n">
        <v>9280500</v>
      </c>
      <c r="BK102" s="22" t="n">
        <v>10735400</v>
      </c>
      <c r="BL102" s="22" t="n">
        <v>6650500</v>
      </c>
    </row>
    <row r="103" ht="15.95" customHeight="1" s="574">
      <c r="A103" s="416" t="inlineStr">
        <is>
          <t>5803</t>
        </is>
      </c>
      <c r="B103" s="49" t="inlineStr">
        <is>
          <t>フジクラ</t>
        </is>
      </c>
      <c r="C103" s="53">
        <f>_xll.RssMarket("5803","出来高")</f>
        <v/>
      </c>
      <c r="D103" s="683">
        <f>C103-E103</f>
        <v/>
      </c>
      <c r="E103" s="213" t="n">
        <v>2675400</v>
      </c>
      <c r="F103" s="22" t="n">
        <v>3131200</v>
      </c>
      <c r="G103" s="22" t="n">
        <v>48865900</v>
      </c>
      <c r="H103" s="22" t="n">
        <v>35504300</v>
      </c>
      <c r="I103" s="22" t="n">
        <v>68142600</v>
      </c>
      <c r="J103" s="22" t="n">
        <v>45471600</v>
      </c>
      <c r="K103" s="22" t="n">
        <v>51253400</v>
      </c>
      <c r="L103" s="22" t="n">
        <v>54543200</v>
      </c>
      <c r="M103" s="22" t="n">
        <v>45195300</v>
      </c>
      <c r="N103" s="22" t="n">
        <v>46983000</v>
      </c>
      <c r="O103" s="22" t="n">
        <v>45052400</v>
      </c>
      <c r="P103" s="22" t="n">
        <v>82340200</v>
      </c>
      <c r="Q103" s="22" t="n">
        <v>48742800</v>
      </c>
      <c r="R103" s="22" t="n">
        <v>71394000</v>
      </c>
      <c r="S103" s="22" t="n">
        <v>66629900</v>
      </c>
      <c r="T103" s="22" t="n">
        <v>71871700</v>
      </c>
      <c r="U103" s="22" t="n">
        <v>60516700</v>
      </c>
      <c r="V103" s="22" t="n">
        <v>105386700</v>
      </c>
      <c r="W103" s="22" t="n">
        <v>98432700</v>
      </c>
      <c r="X103" s="22" t="n">
        <v>116069900</v>
      </c>
      <c r="Y103" s="22" t="n">
        <v>124339100</v>
      </c>
      <c r="Z103" s="22" t="n">
        <v>86555100</v>
      </c>
      <c r="AA103" s="22" t="n">
        <v>128904500</v>
      </c>
      <c r="AB103" s="22" t="n">
        <v>57118100</v>
      </c>
      <c r="AC103" s="22" t="n">
        <v>62691200</v>
      </c>
      <c r="AD103" s="22" t="n">
        <v>90480800</v>
      </c>
      <c r="AE103" s="22" t="n">
        <v>40738700</v>
      </c>
      <c r="AF103" s="22" t="n">
        <v>40738700</v>
      </c>
      <c r="AG103" s="22" t="n">
        <v>43386200</v>
      </c>
      <c r="AH103" s="22" t="n">
        <v>49010500</v>
      </c>
      <c r="AI103" s="22" t="n">
        <v>28397000</v>
      </c>
      <c r="AJ103" s="22" t="n">
        <v>39274600</v>
      </c>
      <c r="AK103" s="22" t="n">
        <v>46167300</v>
      </c>
      <c r="AL103" s="22" t="n">
        <v>52739100</v>
      </c>
      <c r="AM103" s="22" t="n">
        <v>40846300</v>
      </c>
      <c r="AN103" s="22" t="n">
        <v>57099000</v>
      </c>
      <c r="AO103" s="22" t="n">
        <v>42928800</v>
      </c>
      <c r="AP103" s="22" t="n">
        <v>49306000</v>
      </c>
      <c r="AQ103" s="22" t="n">
        <v>49029200</v>
      </c>
      <c r="AR103" s="22" t="n">
        <v>49543600</v>
      </c>
      <c r="AS103" s="22" t="n">
        <v>53271700</v>
      </c>
      <c r="AT103" s="22" t="n">
        <v>57485900</v>
      </c>
      <c r="AU103" s="22" t="n">
        <v>63357200</v>
      </c>
      <c r="AV103" s="22" t="n">
        <v>67148400</v>
      </c>
      <c r="AW103" s="22" t="n">
        <v>83540900</v>
      </c>
      <c r="AX103" s="22" t="n">
        <v>70638500</v>
      </c>
      <c r="AY103" s="22" t="n">
        <v>61297000</v>
      </c>
      <c r="AZ103" s="22" t="n">
        <v>47494600</v>
      </c>
      <c r="BA103" s="22" t="n">
        <v>46016200</v>
      </c>
      <c r="BB103" s="22" t="n">
        <v>51978000</v>
      </c>
      <c r="BC103" s="22" t="n">
        <v>56992200</v>
      </c>
      <c r="BD103" s="22" t="n">
        <v>48295400</v>
      </c>
      <c r="BE103" s="22" t="n">
        <v>43818400</v>
      </c>
      <c r="BF103" s="22" t="n">
        <v>11990600</v>
      </c>
      <c r="BG103" s="22" t="n">
        <v>12925700</v>
      </c>
      <c r="BH103" s="22" t="n">
        <v>9657200</v>
      </c>
      <c r="BI103" s="22" t="n">
        <v>10284100</v>
      </c>
      <c r="BJ103" s="22" t="n">
        <v>9596200</v>
      </c>
      <c r="BK103" s="22" t="n">
        <v>9983100</v>
      </c>
      <c r="BL103" s="22" t="n">
        <v>7179300</v>
      </c>
    </row>
    <row r="104" ht="15.95" customHeight="1" s="574">
      <c r="A104" s="416" t="inlineStr">
        <is>
          <t>6178</t>
        </is>
      </c>
      <c r="B104" s="49" t="inlineStr">
        <is>
          <t>日本郵政</t>
        </is>
      </c>
      <c r="C104" s="53">
        <f>_xll.RssMarket("6178","出来高")</f>
        <v/>
      </c>
      <c r="D104" s="683">
        <f>C104-E104</f>
        <v/>
      </c>
      <c r="E104" s="213" t="n">
        <v>3687900</v>
      </c>
      <c r="F104" s="22" t="n">
        <v>6401400</v>
      </c>
      <c r="G104" s="22" t="n">
        <v>5385900</v>
      </c>
      <c r="H104" s="22" t="n">
        <v>5707300</v>
      </c>
      <c r="I104" s="22" t="n">
        <v>4930800</v>
      </c>
      <c r="J104" s="22" t="n">
        <v>5298900</v>
      </c>
      <c r="K104" s="22" t="n">
        <v>11509700</v>
      </c>
      <c r="L104" s="22" t="n">
        <v>7369600</v>
      </c>
      <c r="M104" s="22" t="n">
        <v>7432300</v>
      </c>
      <c r="N104" s="22" t="n">
        <v>5719500</v>
      </c>
      <c r="O104" s="22" t="n">
        <v>4225500</v>
      </c>
      <c r="P104" s="22" t="n">
        <v>5974500</v>
      </c>
      <c r="Q104" s="22" t="n">
        <v>6170100</v>
      </c>
      <c r="R104" s="22" t="n">
        <v>5438700</v>
      </c>
      <c r="S104" s="22" t="n">
        <v>12417400</v>
      </c>
      <c r="T104" s="22" t="n">
        <v>23062400</v>
      </c>
      <c r="U104" s="22" t="n">
        <v>6485500</v>
      </c>
      <c r="V104" s="22" t="n">
        <v>6223700</v>
      </c>
      <c r="W104" s="22" t="n">
        <v>4791000</v>
      </c>
      <c r="X104" s="22" t="n">
        <v>8548200</v>
      </c>
      <c r="Y104" s="22" t="n">
        <v>8577200</v>
      </c>
      <c r="Z104" s="22" t="n">
        <v>7908500</v>
      </c>
      <c r="AA104" s="22" t="n">
        <v>12590600</v>
      </c>
      <c r="AB104" s="22" t="n">
        <v>5957200</v>
      </c>
      <c r="AC104" s="22" t="n">
        <v>4668100</v>
      </c>
      <c r="AD104" s="22" t="n">
        <v>4964600</v>
      </c>
      <c r="AE104" s="22" t="n">
        <v>4918200</v>
      </c>
      <c r="AF104" s="22" t="n">
        <v>3628400</v>
      </c>
      <c r="AG104" s="22" t="n">
        <v>3628400</v>
      </c>
      <c r="AH104" s="22" t="n">
        <v>5490100</v>
      </c>
      <c r="AI104" s="22" t="n">
        <v>5991100</v>
      </c>
      <c r="AJ104" s="22" t="n">
        <v>3642000</v>
      </c>
      <c r="AK104" s="22" t="n">
        <v>6341300</v>
      </c>
      <c r="AL104" s="22" t="n">
        <v>5140500</v>
      </c>
      <c r="AM104" s="22" t="n">
        <v>6389000</v>
      </c>
      <c r="AN104" s="22" t="n">
        <v>4120100</v>
      </c>
      <c r="AO104" s="22" t="n">
        <v>6404700</v>
      </c>
      <c r="AP104" s="22" t="n">
        <v>4093600</v>
      </c>
      <c r="AQ104" s="22" t="n">
        <v>4614300</v>
      </c>
      <c r="AR104" s="22" t="n">
        <v>3288600</v>
      </c>
      <c r="AS104" s="22" t="n">
        <v>4178500</v>
      </c>
      <c r="AT104" s="22" t="n">
        <v>3591700</v>
      </c>
      <c r="AU104" s="22" t="n">
        <v>3346500</v>
      </c>
      <c r="AV104" s="22" t="n">
        <v>3070900</v>
      </c>
      <c r="AW104" s="22" t="n">
        <v>2983400</v>
      </c>
      <c r="AX104" s="22" t="n">
        <v>3822400</v>
      </c>
      <c r="AY104" s="22" t="n">
        <v>4820700</v>
      </c>
      <c r="AZ104" s="22" t="n">
        <v>5097200</v>
      </c>
      <c r="BA104" s="22" t="n">
        <v>3510600</v>
      </c>
      <c r="BB104" s="22" t="n">
        <v>5282300</v>
      </c>
      <c r="BC104" s="22" t="n">
        <v>2404600</v>
      </c>
      <c r="BD104" s="22" t="n">
        <v>3725600</v>
      </c>
      <c r="BE104" s="22" t="n">
        <v>4333300</v>
      </c>
      <c r="BF104" s="22" t="n">
        <v>4933500</v>
      </c>
      <c r="BG104" s="22" t="n">
        <v>6069600</v>
      </c>
      <c r="BH104" s="22" t="n">
        <v>3956300</v>
      </c>
      <c r="BI104" s="22" t="n">
        <v>4654700</v>
      </c>
      <c r="BJ104" s="22" t="n">
        <v>3849100</v>
      </c>
      <c r="BK104" s="22" t="n">
        <v>5671600</v>
      </c>
      <c r="BL104" s="22" t="n">
        <v>7699400</v>
      </c>
    </row>
    <row r="105" ht="15.95" customHeight="1" s="574">
      <c r="A105" s="416" t="inlineStr">
        <is>
          <t>6925</t>
        </is>
      </c>
      <c r="B105" s="49" t="inlineStr">
        <is>
          <t>ウシオ電機</t>
        </is>
      </c>
      <c r="C105" s="53">
        <f>_xll.RssMarket("6925","出来高")</f>
        <v/>
      </c>
      <c r="D105" s="683">
        <f>C105-E105</f>
        <v/>
      </c>
      <c r="E105" s="213" t="n">
        <v>402800</v>
      </c>
      <c r="F105" s="22" t="n">
        <v>580800</v>
      </c>
      <c r="G105" s="22" t="n">
        <v>573400</v>
      </c>
      <c r="H105" s="22" t="n">
        <v>591100</v>
      </c>
      <c r="I105" s="22" t="n">
        <v>314800</v>
      </c>
      <c r="J105" s="22" t="n">
        <v>621800</v>
      </c>
      <c r="K105" s="22" t="n">
        <v>367800</v>
      </c>
      <c r="L105" s="22" t="n">
        <v>360200</v>
      </c>
      <c r="M105" s="22" t="n">
        <v>439800</v>
      </c>
      <c r="N105" s="22" t="n">
        <v>417200</v>
      </c>
      <c r="O105" s="22" t="n">
        <v>476600</v>
      </c>
      <c r="P105" s="22" t="n">
        <v>666400</v>
      </c>
      <c r="Q105" s="22" t="n">
        <v>517700</v>
      </c>
      <c r="R105" s="22" t="n">
        <v>537000</v>
      </c>
      <c r="S105" s="22" t="n">
        <v>482600</v>
      </c>
      <c r="T105" s="22" t="n">
        <v>476700</v>
      </c>
      <c r="U105" s="22" t="n">
        <v>770100</v>
      </c>
      <c r="V105" s="22" t="n">
        <v>559000</v>
      </c>
      <c r="W105" s="22" t="n">
        <v>1024000</v>
      </c>
      <c r="X105" s="22" t="n">
        <v>495500</v>
      </c>
      <c r="Y105" s="22" t="n">
        <v>723700</v>
      </c>
      <c r="Z105" s="22" t="n">
        <v>1328700</v>
      </c>
      <c r="AA105" s="22" t="n">
        <v>236500</v>
      </c>
      <c r="AB105" s="22" t="n">
        <v>482500</v>
      </c>
      <c r="AC105" s="22" t="n">
        <v>551700</v>
      </c>
      <c r="AD105" s="22" t="n">
        <v>551400</v>
      </c>
      <c r="AE105" s="22" t="n">
        <v>449800</v>
      </c>
      <c r="AF105" s="22" t="n">
        <v>449800</v>
      </c>
      <c r="AG105" s="22" t="n">
        <v>515800</v>
      </c>
      <c r="AH105" s="22" t="n">
        <v>765000</v>
      </c>
      <c r="AI105" s="22" t="n">
        <v>440000</v>
      </c>
      <c r="AJ105" s="22" t="n">
        <v>1032100</v>
      </c>
      <c r="AK105" s="22" t="n">
        <v>1443500</v>
      </c>
      <c r="AL105" s="22" t="n">
        <v>382300</v>
      </c>
      <c r="AM105" s="22" t="n">
        <v>499300</v>
      </c>
      <c r="AN105" s="22" t="n">
        <v>544700</v>
      </c>
      <c r="AO105" s="22" t="n">
        <v>284500</v>
      </c>
      <c r="AP105" s="22" t="n">
        <v>229400</v>
      </c>
      <c r="AQ105" s="22" t="n">
        <v>416600</v>
      </c>
      <c r="AR105" s="22" t="n">
        <v>518400</v>
      </c>
      <c r="AS105" s="22" t="n">
        <v>209000</v>
      </c>
      <c r="AT105" s="22" t="n">
        <v>229500</v>
      </c>
      <c r="AU105" s="22" t="n">
        <v>267800</v>
      </c>
      <c r="AV105" s="22" t="n">
        <v>199500</v>
      </c>
      <c r="AW105" s="22" t="n">
        <v>298700</v>
      </c>
      <c r="AX105" s="22" t="n">
        <v>250500</v>
      </c>
      <c r="AY105" s="22" t="n">
        <v>285500</v>
      </c>
      <c r="AZ105" s="22" t="n">
        <v>202400</v>
      </c>
      <c r="BA105" s="22" t="n">
        <v>177800</v>
      </c>
      <c r="BB105" s="22" t="n">
        <v>214400</v>
      </c>
      <c r="BC105" s="22" t="n">
        <v>511500</v>
      </c>
      <c r="BD105" s="22" t="n">
        <v>435900</v>
      </c>
      <c r="BE105" s="22" t="n">
        <v>471900</v>
      </c>
      <c r="BF105" s="22" t="n">
        <v>473600</v>
      </c>
      <c r="BG105" s="22" t="n">
        <v>262400</v>
      </c>
      <c r="BH105" s="22" t="n">
        <v>354200</v>
      </c>
      <c r="BI105" s="22" t="n">
        <v>288800</v>
      </c>
      <c r="BJ105" s="22" t="n">
        <v>339500</v>
      </c>
      <c r="BK105" s="22" t="n">
        <v>419400</v>
      </c>
      <c r="BL105" s="22" t="n">
        <v>166000</v>
      </c>
    </row>
    <row r="106" ht="15.95" customHeight="1" s="574">
      <c r="A106" s="416" t="inlineStr">
        <is>
          <t>7021</t>
        </is>
      </c>
      <c r="B106" s="49" t="inlineStr">
        <is>
          <t>ニッチツ</t>
        </is>
      </c>
      <c r="C106" s="53">
        <f>_xll.RssMarket("7021","出来高")</f>
        <v/>
      </c>
      <c r="D106" s="683">
        <f>C106-E106</f>
        <v/>
      </c>
      <c r="E106" s="213" t="n">
        <v>3500</v>
      </c>
      <c r="F106" s="22" t="n">
        <v>2900</v>
      </c>
      <c r="G106" s="22" t="n">
        <v>1400</v>
      </c>
      <c r="H106" s="22" t="n">
        <v>800</v>
      </c>
      <c r="I106" s="22" t="n">
        <v>200</v>
      </c>
      <c r="J106" s="22" t="n">
        <v>400</v>
      </c>
      <c r="K106" s="22" t="n">
        <v>1400</v>
      </c>
      <c r="L106" s="22" t="n">
        <v>1000</v>
      </c>
      <c r="M106" s="22" t="n">
        <v>500</v>
      </c>
      <c r="N106" s="22" t="n">
        <v>800</v>
      </c>
      <c r="O106" s="22" t="n">
        <v>2000</v>
      </c>
      <c r="P106" s="22" t="n">
        <v>1700</v>
      </c>
      <c r="Q106" s="22" t="n">
        <v>400</v>
      </c>
      <c r="R106" s="22" t="n">
        <v>100</v>
      </c>
      <c r="S106" s="22" t="n">
        <v>900</v>
      </c>
      <c r="T106" s="22" t="n">
        <v>4000</v>
      </c>
      <c r="U106" s="22" t="n">
        <v>1400</v>
      </c>
      <c r="V106" s="22" t="n">
        <v>8500</v>
      </c>
      <c r="W106" s="22" t="n">
        <v>4300</v>
      </c>
      <c r="X106" s="22" t="n">
        <v>4000</v>
      </c>
      <c r="Y106" s="22" t="n">
        <v>8700</v>
      </c>
      <c r="Z106" s="22" t="n">
        <v>11400</v>
      </c>
      <c r="AA106" s="22" t="n">
        <v>2100</v>
      </c>
      <c r="AB106" s="22" t="n">
        <v>2400</v>
      </c>
      <c r="AC106" s="22" t="n">
        <v>2500</v>
      </c>
      <c r="AD106" s="22" t="n">
        <v>1700</v>
      </c>
      <c r="AE106" s="22" t="n">
        <v>1700</v>
      </c>
      <c r="AF106" s="22" t="n">
        <v>6300</v>
      </c>
      <c r="AG106" s="22" t="n">
        <v>1400</v>
      </c>
      <c r="AH106" s="22" t="n">
        <v>1700</v>
      </c>
      <c r="AI106" s="22" t="n">
        <v>6400</v>
      </c>
      <c r="AJ106" s="22" t="n">
        <v>1800</v>
      </c>
      <c r="AK106" s="22" t="n">
        <v>1700</v>
      </c>
      <c r="AL106" s="22" t="n">
        <v>3900</v>
      </c>
      <c r="AM106" s="22" t="n">
        <v>2200</v>
      </c>
      <c r="AN106" s="22" t="n">
        <v>1500</v>
      </c>
      <c r="AO106" s="22" t="n">
        <v>1900</v>
      </c>
      <c r="AP106" s="22" t="n">
        <v>2500</v>
      </c>
      <c r="AQ106" s="22" t="n">
        <v>2900</v>
      </c>
      <c r="AR106" s="22" t="n">
        <v>1400</v>
      </c>
      <c r="AS106" s="22" t="n">
        <v>1700</v>
      </c>
      <c r="AT106" s="22" t="n">
        <v>1700</v>
      </c>
      <c r="AU106" s="22" t="n">
        <v>1100</v>
      </c>
      <c r="AV106" s="22" t="n">
        <v>1300</v>
      </c>
      <c r="AW106" s="22" t="n">
        <v>1900</v>
      </c>
      <c r="AX106" s="22" t="n">
        <v>500</v>
      </c>
      <c r="AY106" s="22" t="n">
        <v>1400</v>
      </c>
      <c r="AZ106" s="22" t="n">
        <v>1400</v>
      </c>
      <c r="BA106" s="22" t="n">
        <v>2300</v>
      </c>
      <c r="BB106" s="22" t="n">
        <v>1600</v>
      </c>
      <c r="BC106" s="22" t="n">
        <v>1500</v>
      </c>
      <c r="BD106" s="22" t="n">
        <v>2400</v>
      </c>
      <c r="BE106" s="22" t="n">
        <v>600</v>
      </c>
      <c r="BF106" s="22" t="n">
        <v>1500</v>
      </c>
      <c r="BG106" s="22" t="n">
        <v>900</v>
      </c>
      <c r="BH106" s="22" t="n">
        <v>7200</v>
      </c>
      <c r="BI106" s="22" t="n">
        <v>3000</v>
      </c>
      <c r="BJ106" s="22" t="n">
        <v>3700</v>
      </c>
      <c r="BK106" s="22" t="n">
        <v>1600</v>
      </c>
      <c r="BL106" s="22" t="n">
        <v>1500</v>
      </c>
    </row>
    <row r="107" ht="15.95" customHeight="1" s="574">
      <c r="A107" s="416" t="inlineStr">
        <is>
          <t>7729</t>
        </is>
      </c>
      <c r="B107" s="49" t="inlineStr">
        <is>
          <t>東京精密</t>
        </is>
      </c>
      <c r="C107" s="53">
        <f>_xll.RssMarket("7729","出来高")</f>
        <v/>
      </c>
      <c r="D107" s="683">
        <f>C107-E107</f>
        <v/>
      </c>
      <c r="E107" s="213" t="n">
        <v>281300</v>
      </c>
      <c r="F107" s="22" t="n">
        <v>435200</v>
      </c>
      <c r="G107" s="22" t="n">
        <v>439500</v>
      </c>
      <c r="H107" s="22" t="n">
        <v>346200</v>
      </c>
      <c r="I107" s="22" t="n">
        <v>442100</v>
      </c>
      <c r="J107" s="22" t="n">
        <v>489500</v>
      </c>
      <c r="K107" s="22" t="n">
        <v>496100</v>
      </c>
      <c r="L107" s="22" t="n">
        <v>585400</v>
      </c>
      <c r="M107" s="22" t="n">
        <v>396900</v>
      </c>
      <c r="N107" s="22" t="n">
        <v>301700</v>
      </c>
      <c r="O107" s="22" t="n">
        <v>382400</v>
      </c>
      <c r="P107" s="22" t="n">
        <v>552200</v>
      </c>
      <c r="Q107" s="22" t="n">
        <v>340100</v>
      </c>
      <c r="R107" s="22" t="n">
        <v>498200</v>
      </c>
      <c r="S107" s="22" t="n">
        <v>315700</v>
      </c>
      <c r="T107" s="22" t="n">
        <v>318800</v>
      </c>
      <c r="U107" s="22" t="n">
        <v>561400</v>
      </c>
      <c r="V107" s="22" t="n">
        <v>313500</v>
      </c>
      <c r="W107" s="22" t="n">
        <v>380400</v>
      </c>
      <c r="X107" s="22" t="n">
        <v>449600</v>
      </c>
      <c r="Y107" s="22" t="n">
        <v>513000</v>
      </c>
      <c r="Z107" s="22" t="n">
        <v>366700</v>
      </c>
      <c r="AA107" s="22" t="n">
        <v>719700</v>
      </c>
      <c r="AB107" s="22" t="n">
        <v>986600</v>
      </c>
      <c r="AC107" s="22" t="n">
        <v>434800</v>
      </c>
      <c r="AD107" s="22" t="n">
        <v>342100</v>
      </c>
      <c r="AE107" s="22" t="n">
        <v>422100</v>
      </c>
      <c r="AF107" s="22" t="n">
        <v>422100</v>
      </c>
      <c r="AG107" s="22" t="n">
        <v>444600</v>
      </c>
      <c r="AH107" s="22" t="n">
        <v>477100</v>
      </c>
      <c r="AI107" s="22" t="n">
        <v>262400</v>
      </c>
      <c r="AJ107" s="22" t="n">
        <v>488100</v>
      </c>
      <c r="AK107" s="22" t="n">
        <v>409700</v>
      </c>
      <c r="AL107" s="22" t="n">
        <v>247100</v>
      </c>
      <c r="AM107" s="22" t="n">
        <v>348600</v>
      </c>
      <c r="AN107" s="22" t="n">
        <v>435600</v>
      </c>
      <c r="AO107" s="22" t="n">
        <v>429100</v>
      </c>
      <c r="AP107" s="22" t="n">
        <v>280600</v>
      </c>
      <c r="AQ107" s="22" t="n">
        <v>206100</v>
      </c>
      <c r="AR107" s="22" t="n">
        <v>214500</v>
      </c>
      <c r="AS107" s="22" t="n">
        <v>323600</v>
      </c>
      <c r="AT107" s="22" t="n">
        <v>482600</v>
      </c>
      <c r="AU107" s="22" t="n">
        <v>339000</v>
      </c>
      <c r="AV107" s="22" t="n">
        <v>312400</v>
      </c>
      <c r="AW107" s="22" t="n">
        <v>315600</v>
      </c>
      <c r="AX107" s="22" t="n">
        <v>284700</v>
      </c>
      <c r="AY107" s="22" t="n">
        <v>398900</v>
      </c>
      <c r="AZ107" s="22" t="n">
        <v>136000</v>
      </c>
      <c r="BA107" s="22" t="n">
        <v>191800</v>
      </c>
      <c r="BB107" s="22" t="n">
        <v>172200</v>
      </c>
      <c r="BC107" s="22" t="n">
        <v>405700</v>
      </c>
      <c r="BD107" s="22" t="n">
        <v>309400</v>
      </c>
      <c r="BE107" s="22" t="n">
        <v>326100</v>
      </c>
      <c r="BF107" s="22" t="n">
        <v>425800</v>
      </c>
      <c r="BG107" s="22" t="n">
        <v>253600</v>
      </c>
      <c r="BH107" s="22" t="n">
        <v>298700</v>
      </c>
      <c r="BI107" s="22" t="n">
        <v>302800</v>
      </c>
      <c r="BJ107" s="22" t="n">
        <v>357200</v>
      </c>
      <c r="BK107" s="22" t="n">
        <v>323800</v>
      </c>
      <c r="BL107" s="22" t="n">
        <v>323800</v>
      </c>
    </row>
    <row r="108" ht="15.95" customHeight="1" s="574">
      <c r="A108" s="416" t="inlineStr">
        <is>
          <t>8424</t>
        </is>
      </c>
      <c r="B108" s="49" t="inlineStr">
        <is>
          <t>芙蓉総合リース</t>
        </is>
      </c>
      <c r="C108" s="53">
        <f>_xll.RssMarket("8424","出来高")</f>
        <v/>
      </c>
      <c r="D108" s="683">
        <f>C108-E108</f>
        <v/>
      </c>
      <c r="E108" s="213" t="n">
        <v>160000</v>
      </c>
      <c r="F108" s="22" t="n">
        <v>226400</v>
      </c>
      <c r="G108" s="22" t="n">
        <v>154400</v>
      </c>
      <c r="H108" s="22" t="n">
        <v>168700</v>
      </c>
      <c r="I108" s="22" t="n">
        <v>131100</v>
      </c>
      <c r="J108" s="22" t="n">
        <v>188500</v>
      </c>
      <c r="K108" s="22" t="n">
        <v>113400</v>
      </c>
      <c r="L108" s="22" t="n">
        <v>170800</v>
      </c>
      <c r="M108" s="22" t="n">
        <v>202100</v>
      </c>
      <c r="N108" s="22" t="n">
        <v>174000</v>
      </c>
      <c r="O108" s="22" t="n">
        <v>172100</v>
      </c>
      <c r="P108" s="22" t="n">
        <v>190400</v>
      </c>
      <c r="Q108" s="22" t="n">
        <v>143800</v>
      </c>
      <c r="R108" s="22" t="n">
        <v>223700</v>
      </c>
      <c r="S108" s="22" t="n">
        <v>133700</v>
      </c>
      <c r="T108" s="22" t="n">
        <v>190400</v>
      </c>
      <c r="U108" s="22" t="n">
        <v>190600</v>
      </c>
      <c r="V108" s="22" t="n">
        <v>182400</v>
      </c>
      <c r="W108" s="22" t="n">
        <v>138500</v>
      </c>
      <c r="X108" s="22" t="n">
        <v>149300</v>
      </c>
      <c r="Y108" s="22" t="n">
        <v>178900</v>
      </c>
      <c r="Z108" s="22" t="n">
        <v>188400</v>
      </c>
      <c r="AA108" s="22" t="n">
        <v>186300</v>
      </c>
      <c r="AB108" s="22" t="n">
        <v>159900</v>
      </c>
      <c r="AC108" s="22" t="n">
        <v>347000</v>
      </c>
      <c r="AD108" s="22" t="n">
        <v>379600</v>
      </c>
      <c r="AE108" s="22" t="n">
        <v>183900</v>
      </c>
      <c r="AF108" s="22" t="n">
        <v>183900</v>
      </c>
      <c r="AG108" s="22" t="n">
        <v>195500</v>
      </c>
      <c r="AH108" s="22" t="n">
        <v>199400</v>
      </c>
      <c r="AI108" s="22" t="n">
        <v>202600</v>
      </c>
      <c r="AJ108" s="22" t="n">
        <v>159800</v>
      </c>
      <c r="AK108" s="22" t="n">
        <v>179900</v>
      </c>
      <c r="AL108" s="22" t="n">
        <v>132200</v>
      </c>
      <c r="AM108" s="22" t="n">
        <v>105100</v>
      </c>
      <c r="AN108" s="22" t="n">
        <v>135300</v>
      </c>
      <c r="AO108" s="22" t="n">
        <v>154200</v>
      </c>
      <c r="AP108" s="22" t="n">
        <v>122800</v>
      </c>
      <c r="AQ108" s="22" t="n">
        <v>139400</v>
      </c>
      <c r="AR108" s="22" t="n">
        <v>158000</v>
      </c>
      <c r="AS108" s="22" t="n">
        <v>159200</v>
      </c>
      <c r="AT108" s="22" t="n">
        <v>132100</v>
      </c>
      <c r="AU108" s="22" t="n">
        <v>127600</v>
      </c>
      <c r="AV108" s="22" t="n">
        <v>147500</v>
      </c>
      <c r="AW108" s="22" t="n">
        <v>185000</v>
      </c>
      <c r="AX108" s="22" t="n">
        <v>156800</v>
      </c>
      <c r="AY108" s="22" t="n">
        <v>183900</v>
      </c>
      <c r="AZ108" s="22" t="n">
        <v>122500</v>
      </c>
      <c r="BA108" s="22" t="n">
        <v>122300</v>
      </c>
      <c r="BB108" s="22" t="n">
        <v>123100</v>
      </c>
      <c r="BC108" s="22" t="n">
        <v>155200</v>
      </c>
      <c r="BD108" s="22" t="n">
        <v>181000</v>
      </c>
      <c r="BE108" s="22" t="n">
        <v>199000</v>
      </c>
      <c r="BF108" s="22" t="n">
        <v>400200</v>
      </c>
      <c r="BG108" s="22" t="n">
        <v>201600</v>
      </c>
      <c r="BH108" s="22" t="n">
        <v>178400</v>
      </c>
      <c r="BI108" s="22" t="n">
        <v>246000</v>
      </c>
      <c r="BJ108" s="22" t="n">
        <v>238600</v>
      </c>
      <c r="BK108" s="22" t="n">
        <v>246000</v>
      </c>
      <c r="BL108" s="22" t="n">
        <v>251400</v>
      </c>
    </row>
    <row r="109" ht="15.95" customHeight="1" s="574">
      <c r="A109" s="416" t="inlineStr">
        <is>
          <t>9020</t>
        </is>
      </c>
      <c r="B109" s="49" t="inlineStr">
        <is>
          <t>東日本旅客鉄道</t>
        </is>
      </c>
      <c r="C109" s="53">
        <f>_xll.RssMarket("9020","出来高")</f>
        <v/>
      </c>
      <c r="D109" s="683">
        <f>C109-E109</f>
        <v/>
      </c>
      <c r="E109" s="213" t="n">
        <v>2438900</v>
      </c>
      <c r="F109" s="22" t="n">
        <v>6408600</v>
      </c>
      <c r="G109" s="22" t="n">
        <v>3116600</v>
      </c>
      <c r="H109" s="22" t="n">
        <v>2698700</v>
      </c>
      <c r="I109" s="22" t="n">
        <v>2510800</v>
      </c>
      <c r="J109" s="22" t="n">
        <v>3564300</v>
      </c>
      <c r="K109" s="22" t="n">
        <v>5537400</v>
      </c>
      <c r="L109" s="22" t="n">
        <v>3237900</v>
      </c>
      <c r="M109" s="22" t="n">
        <v>3307600</v>
      </c>
      <c r="N109" s="22" t="n">
        <v>5454000</v>
      </c>
      <c r="O109" s="22" t="n">
        <v>3704900</v>
      </c>
      <c r="P109" s="22" t="n">
        <v>4419400</v>
      </c>
      <c r="Q109" s="22" t="n">
        <v>2977100</v>
      </c>
      <c r="R109" s="22" t="n">
        <v>6800400</v>
      </c>
      <c r="S109" s="22" t="n">
        <v>4076100</v>
      </c>
      <c r="T109" s="22" t="n">
        <v>3600500</v>
      </c>
      <c r="U109" s="22" t="n">
        <v>2398500</v>
      </c>
      <c r="V109" s="22" t="n">
        <v>3017100</v>
      </c>
      <c r="W109" s="22" t="n">
        <v>2559800</v>
      </c>
      <c r="X109" s="22" t="n">
        <v>2407700</v>
      </c>
      <c r="Y109" s="22" t="n">
        <v>2606100</v>
      </c>
      <c r="Z109" s="22" t="n">
        <v>2981900</v>
      </c>
      <c r="AA109" s="22" t="n">
        <v>5927800</v>
      </c>
      <c r="AB109" s="22" t="n">
        <v>2981900</v>
      </c>
      <c r="AC109" s="22" t="n">
        <v>3644200</v>
      </c>
      <c r="AD109" s="22" t="n">
        <v>3630000</v>
      </c>
      <c r="AE109" s="22" t="n">
        <v>3352900</v>
      </c>
      <c r="AF109" s="22" t="n">
        <v>3352900</v>
      </c>
      <c r="AG109" s="22" t="n">
        <v>6176200</v>
      </c>
      <c r="AH109" s="22" t="n">
        <v>6540600</v>
      </c>
      <c r="AI109" s="22" t="n">
        <v>8824700</v>
      </c>
      <c r="AJ109" s="22" t="n">
        <v>7890400</v>
      </c>
      <c r="AK109" s="22" t="n">
        <v>2637900</v>
      </c>
      <c r="AL109" s="22" t="n">
        <v>2458400</v>
      </c>
      <c r="AM109" s="22" t="n">
        <v>2823300</v>
      </c>
      <c r="AN109" s="22" t="n">
        <v>2867300</v>
      </c>
      <c r="AO109" s="22" t="n">
        <v>2783900</v>
      </c>
      <c r="AP109" s="22" t="n">
        <v>3282400</v>
      </c>
      <c r="AQ109" s="22" t="n">
        <v>2200200</v>
      </c>
      <c r="AR109" s="22" t="n">
        <v>2905800</v>
      </c>
      <c r="AS109" s="22" t="n">
        <v>2488400</v>
      </c>
      <c r="AT109" s="22" t="n">
        <v>2776800</v>
      </c>
      <c r="AU109" s="22" t="n">
        <v>2934700</v>
      </c>
      <c r="AV109" s="22" t="n">
        <v>2494800</v>
      </c>
      <c r="AW109" s="22" t="n">
        <v>2557100</v>
      </c>
      <c r="AX109" s="22" t="n">
        <v>4536500</v>
      </c>
      <c r="AY109" s="22" t="n">
        <v>3899300</v>
      </c>
      <c r="AZ109" s="22" t="n">
        <v>2430800</v>
      </c>
      <c r="BA109" s="22" t="n">
        <v>2638900</v>
      </c>
      <c r="BB109" s="22" t="n">
        <v>1613600</v>
      </c>
      <c r="BC109" s="22" t="n">
        <v>2625700</v>
      </c>
      <c r="BD109" s="22" t="n">
        <v>2678700</v>
      </c>
      <c r="BE109" s="22" t="n">
        <v>3847000</v>
      </c>
      <c r="BF109" s="22" t="n">
        <v>4148800</v>
      </c>
      <c r="BG109" s="22" t="n">
        <v>2274700</v>
      </c>
      <c r="BH109" s="22" t="n">
        <v>3452500</v>
      </c>
      <c r="BI109" s="22" t="n">
        <v>2487700</v>
      </c>
      <c r="BJ109" s="22" t="n">
        <v>3483400</v>
      </c>
      <c r="BK109" s="22" t="n">
        <v>4808300</v>
      </c>
      <c r="BL109" s="22" t="n">
        <v>3832100</v>
      </c>
    </row>
    <row r="110" ht="15.95" customHeight="1" s="574">
      <c r="A110" s="416" t="inlineStr">
        <is>
          <t>9069</t>
        </is>
      </c>
      <c r="B110" s="49" t="inlineStr">
        <is>
          <t>センコーグループＨＬＤＧＳ</t>
        </is>
      </c>
      <c r="C110" s="53">
        <f>_xll.RssMarket("9069","出来高")</f>
        <v/>
      </c>
      <c r="D110" s="683">
        <f>C110-E110</f>
        <v/>
      </c>
      <c r="E110" s="213" t="n">
        <v>240700</v>
      </c>
      <c r="F110" s="22" t="n">
        <v>534100</v>
      </c>
      <c r="G110" s="22" t="n">
        <v>306700</v>
      </c>
      <c r="H110" s="22" t="n">
        <v>267400</v>
      </c>
      <c r="I110" s="22" t="n">
        <v>245600</v>
      </c>
      <c r="J110" s="22" t="n">
        <v>412100</v>
      </c>
      <c r="K110" s="22" t="n">
        <v>409500</v>
      </c>
      <c r="L110" s="22" t="n">
        <v>301300</v>
      </c>
      <c r="M110" s="22" t="n">
        <v>809400</v>
      </c>
      <c r="N110" s="22" t="n">
        <v>431500</v>
      </c>
      <c r="O110" s="22" t="n">
        <v>417900</v>
      </c>
      <c r="P110" s="22" t="n">
        <v>523600</v>
      </c>
      <c r="Q110" s="22" t="n">
        <v>378500</v>
      </c>
      <c r="R110" s="22" t="n">
        <v>628300</v>
      </c>
      <c r="S110" s="22" t="n">
        <v>483000</v>
      </c>
      <c r="T110" s="22" t="n">
        <v>563200</v>
      </c>
      <c r="U110" s="22" t="n">
        <v>430700</v>
      </c>
      <c r="V110" s="22" t="n">
        <v>399300</v>
      </c>
      <c r="W110" s="22" t="n">
        <v>247700</v>
      </c>
      <c r="X110" s="22" t="n">
        <v>302700</v>
      </c>
      <c r="Y110" s="22" t="n">
        <v>289700</v>
      </c>
      <c r="Z110" s="22" t="n">
        <v>330000</v>
      </c>
      <c r="AA110" s="22" t="n">
        <v>501900</v>
      </c>
      <c r="AB110" s="22" t="n">
        <v>701300</v>
      </c>
      <c r="AC110" s="22" t="n">
        <v>303600</v>
      </c>
      <c r="AD110" s="22" t="n">
        <v>477800</v>
      </c>
      <c r="AE110" s="22" t="n">
        <v>229500</v>
      </c>
      <c r="AF110" s="22" t="n">
        <v>229500</v>
      </c>
      <c r="AG110" s="22" t="n">
        <v>336500</v>
      </c>
      <c r="AH110" s="22" t="n">
        <v>375900</v>
      </c>
      <c r="AI110" s="22" t="n">
        <v>269100</v>
      </c>
      <c r="AJ110" s="22" t="n">
        <v>336800</v>
      </c>
      <c r="AK110" s="22" t="n">
        <v>328700</v>
      </c>
      <c r="AL110" s="22" t="n">
        <v>282600</v>
      </c>
      <c r="AM110" s="22" t="n">
        <v>297500</v>
      </c>
      <c r="AN110" s="22" t="n">
        <v>396000</v>
      </c>
      <c r="AO110" s="22" t="n">
        <v>289000</v>
      </c>
      <c r="AP110" s="22" t="n">
        <v>318100</v>
      </c>
      <c r="AQ110" s="22" t="n">
        <v>257000</v>
      </c>
      <c r="AR110" s="22" t="n">
        <v>166000</v>
      </c>
      <c r="AS110" s="22" t="n">
        <v>430100</v>
      </c>
      <c r="AT110" s="22" t="n">
        <v>281300</v>
      </c>
      <c r="AU110" s="22" t="n">
        <v>201500</v>
      </c>
      <c r="AV110" s="22" t="n">
        <v>172400</v>
      </c>
      <c r="AW110" s="22" t="n">
        <v>239900</v>
      </c>
      <c r="AX110" s="22" t="n">
        <v>296800</v>
      </c>
      <c r="AY110" s="22" t="n">
        <v>325800</v>
      </c>
      <c r="AZ110" s="22" t="n">
        <v>182500</v>
      </c>
      <c r="BA110" s="22" t="n">
        <v>213000</v>
      </c>
      <c r="BB110" s="22" t="n">
        <v>218600</v>
      </c>
      <c r="BC110" s="22" t="n">
        <v>415800</v>
      </c>
      <c r="BD110" s="22" t="n">
        <v>388300</v>
      </c>
      <c r="BE110" s="22" t="n">
        <v>547300</v>
      </c>
      <c r="BF110" s="22" t="n">
        <v>639000</v>
      </c>
      <c r="BG110" s="22" t="n">
        <v>206600</v>
      </c>
      <c r="BH110" s="22" t="n">
        <v>311700</v>
      </c>
      <c r="BI110" s="22" t="n">
        <v>339900</v>
      </c>
      <c r="BJ110" s="22" t="n">
        <v>567100</v>
      </c>
      <c r="BK110" s="22" t="n">
        <v>583900</v>
      </c>
      <c r="BL110" s="22" t="n">
        <v>325200</v>
      </c>
    </row>
    <row r="111" ht="15.95" customHeight="1" s="574">
      <c r="A111" s="416" t="inlineStr">
        <is>
          <t>9227</t>
        </is>
      </c>
      <c r="B111" s="49" t="inlineStr">
        <is>
          <t>マイクロ波化学</t>
        </is>
      </c>
      <c r="C111" s="53">
        <f>_xll.RssMarket("9227","出来高")</f>
        <v/>
      </c>
      <c r="D111" s="683">
        <f>C111-E111</f>
        <v/>
      </c>
      <c r="E111" s="213" t="n">
        <v>276300</v>
      </c>
      <c r="F111" s="22" t="n">
        <v>120100</v>
      </c>
      <c r="G111" s="22" t="n">
        <v>157900</v>
      </c>
      <c r="H111" s="22" t="n">
        <v>110100</v>
      </c>
      <c r="I111" s="22" t="n">
        <v>172200</v>
      </c>
      <c r="J111" s="22" t="n">
        <v>127600</v>
      </c>
      <c r="K111" s="22" t="n">
        <v>177100</v>
      </c>
      <c r="L111" s="22" t="n">
        <v>302700</v>
      </c>
      <c r="M111" s="22" t="n">
        <v>208700</v>
      </c>
      <c r="N111" s="22" t="n">
        <v>254400</v>
      </c>
      <c r="O111" s="22" t="n">
        <v>224700</v>
      </c>
      <c r="P111" s="22" t="n">
        <v>307300</v>
      </c>
      <c r="Q111" s="22" t="n">
        <v>635100</v>
      </c>
      <c r="R111" s="22" t="n">
        <v>805900</v>
      </c>
      <c r="S111" s="22" t="n">
        <v>1982000</v>
      </c>
      <c r="T111" s="22" t="n">
        <v>9484400</v>
      </c>
      <c r="U111" s="22" t="n">
        <v>88200</v>
      </c>
      <c r="V111" s="22" t="n">
        <v>63400</v>
      </c>
      <c r="W111" s="22" t="n">
        <v>225200</v>
      </c>
      <c r="X111" s="22" t="n">
        <v>284600</v>
      </c>
      <c r="Y111" s="22" t="n">
        <v>305200</v>
      </c>
      <c r="Z111" s="22" t="n">
        <v>231200</v>
      </c>
      <c r="AA111" s="22" t="n">
        <v>356600</v>
      </c>
      <c r="AB111" s="22" t="n">
        <v>590800</v>
      </c>
      <c r="AC111" s="22" t="n">
        <v>485500</v>
      </c>
      <c r="AD111" s="22" t="n">
        <v>198900</v>
      </c>
      <c r="AE111" s="22" t="n">
        <v>226800</v>
      </c>
      <c r="AF111" s="22" t="n">
        <v>226800</v>
      </c>
      <c r="AG111" s="22" t="n">
        <v>170900</v>
      </c>
      <c r="AH111" s="22" t="n">
        <v>183500</v>
      </c>
      <c r="AI111" s="22" t="n">
        <v>159400</v>
      </c>
      <c r="AJ111" s="22" t="n">
        <v>342000</v>
      </c>
      <c r="AK111" s="22" t="n">
        <v>350400</v>
      </c>
      <c r="AL111" s="22" t="n">
        <v>216200</v>
      </c>
      <c r="AM111" s="22" t="n">
        <v>250100</v>
      </c>
      <c r="AN111" s="22" t="n">
        <v>363200</v>
      </c>
      <c r="AO111" s="22" t="n">
        <v>515300</v>
      </c>
      <c r="AP111" s="22" t="n">
        <v>1492800</v>
      </c>
      <c r="AQ111" s="22" t="n">
        <v>2568000</v>
      </c>
      <c r="AR111" s="22" t="n">
        <v>297900</v>
      </c>
      <c r="AS111" s="22" t="n">
        <v>326300</v>
      </c>
      <c r="AT111" s="22" t="n">
        <v>288300</v>
      </c>
      <c r="AU111" s="22" t="n">
        <v>324800</v>
      </c>
      <c r="AV111" s="22" t="n">
        <v>240800</v>
      </c>
      <c r="AW111" s="22" t="n">
        <v>216700</v>
      </c>
      <c r="AX111" s="22" t="n">
        <v>176800</v>
      </c>
      <c r="AY111" s="22" t="n">
        <v>379400</v>
      </c>
      <c r="AZ111" s="22" t="n">
        <v>216800</v>
      </c>
      <c r="BA111" s="22" t="n">
        <v>188100</v>
      </c>
      <c r="BB111" s="22" t="n">
        <v>187200</v>
      </c>
      <c r="BC111" s="22" t="n">
        <v>274600</v>
      </c>
      <c r="BD111" s="22" t="n">
        <v>330400</v>
      </c>
      <c r="BE111" s="22" t="n">
        <v>209700</v>
      </c>
      <c r="BF111" s="22" t="n">
        <v>326200</v>
      </c>
      <c r="BG111" s="22" t="n">
        <v>374100</v>
      </c>
      <c r="BH111" s="22" t="n">
        <v>271800</v>
      </c>
      <c r="BI111" s="22" t="n">
        <v>412200</v>
      </c>
      <c r="BJ111" s="22" t="n">
        <v>606200</v>
      </c>
      <c r="BK111" s="22" t="n">
        <v>1672800</v>
      </c>
      <c r="BL111" s="22" t="n">
        <v>1122900</v>
      </c>
    </row>
    <row r="112" ht="15.95" customHeight="1" s="574">
      <c r="A112" s="416" t="inlineStr">
        <is>
          <t>9348</t>
        </is>
      </c>
      <c r="B112" s="49" t="inlineStr">
        <is>
          <t>ｉｓｐａｃｅ</t>
        </is>
      </c>
      <c r="C112" s="53">
        <f>_xll.RssMarket("9348","出来高")</f>
        <v/>
      </c>
      <c r="D112" s="683">
        <f>C112-E112</f>
        <v/>
      </c>
      <c r="E112" s="213" t="n">
        <v>2163100</v>
      </c>
      <c r="F112" s="22" t="n">
        <v>6756700</v>
      </c>
      <c r="G112" s="22" t="n">
        <v>1762100</v>
      </c>
      <c r="H112" s="22" t="n">
        <v>2625000</v>
      </c>
      <c r="I112" s="22" t="n">
        <v>4609200</v>
      </c>
      <c r="J112" s="22" t="n">
        <v>4442300</v>
      </c>
      <c r="K112" s="22" t="n">
        <v>1601000</v>
      </c>
      <c r="L112" s="22" t="n">
        <v>1418700</v>
      </c>
      <c r="M112" s="22" t="n">
        <v>2424700</v>
      </c>
      <c r="N112" s="22" t="n">
        <v>5247100</v>
      </c>
      <c r="O112" s="22" t="n">
        <v>1877000</v>
      </c>
      <c r="P112" s="22" t="n">
        <v>2527200</v>
      </c>
      <c r="Q112" s="22" t="n">
        <v>2047800</v>
      </c>
      <c r="R112" s="22" t="n">
        <v>7145100</v>
      </c>
      <c r="S112" s="22" t="n">
        <v>13839800</v>
      </c>
      <c r="T112" s="22" t="n">
        <v>10776300</v>
      </c>
      <c r="U112" s="22" t="n">
        <v>6345000</v>
      </c>
      <c r="V112" s="22" t="n">
        <v>5129500</v>
      </c>
      <c r="W112" s="22" t="n">
        <v>1631700</v>
      </c>
      <c r="X112" s="22" t="n">
        <v>1799800</v>
      </c>
      <c r="Y112" s="22" t="n">
        <v>2449700</v>
      </c>
      <c r="Z112" s="22" t="n">
        <v>1024800</v>
      </c>
      <c r="AA112" s="22" t="n">
        <v>1245000</v>
      </c>
      <c r="AB112" s="22" t="n">
        <v>1244200</v>
      </c>
      <c r="AC112" s="22" t="n">
        <v>978400</v>
      </c>
      <c r="AD112" s="22" t="n">
        <v>1210600</v>
      </c>
      <c r="AE112" s="22" t="n">
        <v>1378000</v>
      </c>
      <c r="AF112" s="22" t="n">
        <v>1378000</v>
      </c>
      <c r="AG112" s="22" t="n">
        <v>1372100</v>
      </c>
      <c r="AH112" s="22" t="n">
        <v>855400</v>
      </c>
      <c r="AI112" s="22" t="n">
        <v>520600</v>
      </c>
      <c r="AJ112" s="22" t="n">
        <v>553400</v>
      </c>
      <c r="AK112" s="22" t="n">
        <v>755900</v>
      </c>
      <c r="AL112" s="22" t="n">
        <v>852900</v>
      </c>
      <c r="AM112" s="22" t="n">
        <v>768100</v>
      </c>
      <c r="AN112" s="22" t="n">
        <v>1109600</v>
      </c>
      <c r="AO112" s="22" t="n">
        <v>954200</v>
      </c>
      <c r="AP112" s="22" t="n">
        <v>1690000</v>
      </c>
      <c r="AQ112" s="22" t="n">
        <v>1327400</v>
      </c>
      <c r="AR112" s="22" t="n">
        <v>1316600</v>
      </c>
      <c r="AS112" s="22" t="n">
        <v>2116700</v>
      </c>
      <c r="AT112" s="22" t="n">
        <v>2529000</v>
      </c>
      <c r="AU112" s="22" t="n">
        <v>1710700</v>
      </c>
      <c r="AV112" s="22" t="n">
        <v>1815300</v>
      </c>
      <c r="AW112" s="22" t="n">
        <v>6775700</v>
      </c>
      <c r="AX112" s="22" t="n">
        <v>1339200</v>
      </c>
      <c r="AY112" s="22" t="n">
        <v>2311400</v>
      </c>
      <c r="AZ112" s="22" t="n">
        <v>1237000</v>
      </c>
      <c r="BA112" s="22" t="n">
        <v>1746500</v>
      </c>
      <c r="BB112" s="22" t="n">
        <v>5266600</v>
      </c>
      <c r="BC112" s="22" t="n">
        <v>4705700</v>
      </c>
      <c r="BD112" s="22" t="n">
        <v>2227800</v>
      </c>
      <c r="BE112" s="22" t="n">
        <v>286100</v>
      </c>
      <c r="BF112" s="22" t="n">
        <v>439800</v>
      </c>
      <c r="BG112" s="22" t="n">
        <v>683700</v>
      </c>
      <c r="BH112" s="22" t="n">
        <v>1205000</v>
      </c>
      <c r="BI112" s="22" t="n">
        <v>715900</v>
      </c>
      <c r="BJ112" s="22" t="n">
        <v>1569700</v>
      </c>
      <c r="BK112" s="22" t="n">
        <v>1509100</v>
      </c>
      <c r="BL112" s="22" t="n">
        <v>1373500</v>
      </c>
    </row>
    <row r="113" ht="15.95" customHeight="1" s="574">
      <c r="A113" s="416" t="inlineStr">
        <is>
          <t>9449</t>
        </is>
      </c>
      <c r="B113" s="49" t="inlineStr">
        <is>
          <t>ＧＭＯインターネットグループ</t>
        </is>
      </c>
      <c r="C113" s="53">
        <f>_xll.RssMarket("9449","出来高")</f>
        <v/>
      </c>
      <c r="D113" s="683">
        <f>C113-E113</f>
        <v/>
      </c>
      <c r="E113" s="213" t="n">
        <v>1729300</v>
      </c>
      <c r="F113" s="22" t="n">
        <v>618100</v>
      </c>
      <c r="G113" s="22" t="n">
        <v>310600</v>
      </c>
      <c r="H113" s="22" t="n">
        <v>248200</v>
      </c>
      <c r="I113" s="22" t="n">
        <v>266700</v>
      </c>
      <c r="J113" s="22" t="n">
        <v>394800</v>
      </c>
      <c r="K113" s="22" t="n">
        <v>250300</v>
      </c>
      <c r="L113" s="22" t="n">
        <v>259200</v>
      </c>
      <c r="M113" s="22" t="n">
        <v>357600</v>
      </c>
      <c r="N113" s="22" t="n">
        <v>229500</v>
      </c>
      <c r="O113" s="22" t="n">
        <v>429500</v>
      </c>
      <c r="P113" s="22" t="n">
        <v>487200</v>
      </c>
      <c r="Q113" s="22" t="n">
        <v>294600</v>
      </c>
      <c r="R113" s="22" t="n">
        <v>617000</v>
      </c>
      <c r="S113" s="22" t="n">
        <v>310600</v>
      </c>
      <c r="T113" s="22" t="n">
        <v>441900</v>
      </c>
      <c r="U113" s="22" t="n">
        <v>618700</v>
      </c>
      <c r="V113" s="22" t="n">
        <v>523000</v>
      </c>
      <c r="W113" s="22" t="n">
        <v>308200</v>
      </c>
      <c r="X113" s="22" t="n">
        <v>416700</v>
      </c>
      <c r="Y113" s="22" t="n">
        <v>675300</v>
      </c>
      <c r="Z113" s="22" t="n">
        <v>678200</v>
      </c>
      <c r="AA113" s="22" t="n">
        <v>374700</v>
      </c>
      <c r="AB113" s="22" t="n">
        <v>364400</v>
      </c>
      <c r="AC113" s="22" t="n">
        <v>282400</v>
      </c>
      <c r="AD113" s="22" t="n">
        <v>377400</v>
      </c>
      <c r="AE113" s="22" t="n">
        <v>518400</v>
      </c>
      <c r="AF113" s="22" t="n">
        <v>518400</v>
      </c>
      <c r="AG113" s="22" t="n">
        <v>554000</v>
      </c>
      <c r="AH113" s="22" t="n">
        <v>462600</v>
      </c>
      <c r="AI113" s="22" t="n">
        <v>255800</v>
      </c>
      <c r="AJ113" s="22" t="n">
        <v>556400</v>
      </c>
      <c r="AK113" s="22" t="n">
        <v>368400</v>
      </c>
      <c r="AL113" s="22" t="n">
        <v>330600</v>
      </c>
      <c r="AM113" s="22" t="n">
        <v>317200</v>
      </c>
      <c r="AN113" s="22" t="n">
        <v>395200</v>
      </c>
      <c r="AO113" s="22" t="n">
        <v>352500</v>
      </c>
      <c r="AP113" s="22" t="n">
        <v>562900</v>
      </c>
      <c r="AQ113" s="22" t="n">
        <v>327500</v>
      </c>
      <c r="AR113" s="22" t="n">
        <v>430000</v>
      </c>
      <c r="AS113" s="22" t="n">
        <v>795500</v>
      </c>
      <c r="AT113" s="22" t="n">
        <v>272800</v>
      </c>
      <c r="AU113" s="22" t="n">
        <v>319900</v>
      </c>
      <c r="AV113" s="22" t="n">
        <v>294700</v>
      </c>
      <c r="AW113" s="22" t="n">
        <v>377600</v>
      </c>
      <c r="AX113" s="22" t="n">
        <v>372300</v>
      </c>
      <c r="AY113" s="22" t="n">
        <v>451000</v>
      </c>
      <c r="AZ113" s="22" t="n">
        <v>264000</v>
      </c>
      <c r="BA113" s="22" t="n">
        <v>239100</v>
      </c>
      <c r="BB113" s="22" t="n">
        <v>318500</v>
      </c>
      <c r="BC113" s="22" t="n">
        <v>353600</v>
      </c>
      <c r="BD113" s="22" t="n">
        <v>422100</v>
      </c>
      <c r="BE113" s="22" t="n">
        <v>370300</v>
      </c>
      <c r="BF113" s="22" t="n">
        <v>301000</v>
      </c>
      <c r="BG113" s="22" t="n">
        <v>287200</v>
      </c>
      <c r="BH113" s="22" t="n">
        <v>329000</v>
      </c>
      <c r="BI113" s="22" t="n">
        <v>313900</v>
      </c>
      <c r="BJ113" s="22" t="n">
        <v>335800</v>
      </c>
      <c r="BK113" s="22" t="n">
        <v>352400</v>
      </c>
      <c r="BL113" s="22" t="n">
        <v>407200</v>
      </c>
    </row>
    <row r="114" ht="15.95" customHeight="1" s="574">
      <c r="A114" s="416" t="inlineStr">
        <is>
          <t>9501</t>
        </is>
      </c>
      <c r="B114" s="49" t="inlineStr">
        <is>
          <t>東京電力ＨＤ</t>
        </is>
      </c>
      <c r="C114" s="53">
        <f>_xll.RssMarket("9501","出来高")</f>
        <v/>
      </c>
      <c r="D114" s="683">
        <f>C114-E114</f>
        <v/>
      </c>
      <c r="E114" s="213" t="n">
        <v>73392900</v>
      </c>
      <c r="F114" s="22" t="n">
        <v>36082100</v>
      </c>
      <c r="G114" s="22" t="n">
        <v>27192100</v>
      </c>
      <c r="H114" s="22" t="n">
        <v>21276700</v>
      </c>
      <c r="I114" s="22" t="n">
        <v>24988500</v>
      </c>
      <c r="J114" s="22" t="n">
        <v>33012400</v>
      </c>
      <c r="K114" s="22" t="n">
        <v>42385200</v>
      </c>
      <c r="L114" s="22" t="n">
        <v>26553800</v>
      </c>
      <c r="M114" s="22" t="n">
        <v>32766800</v>
      </c>
      <c r="N114" s="22" t="n">
        <v>37231000</v>
      </c>
      <c r="O114" s="22" t="n">
        <v>40639800</v>
      </c>
      <c r="P114" s="22" t="n">
        <v>34358500</v>
      </c>
      <c r="Q114" s="22" t="n">
        <v>42210000</v>
      </c>
      <c r="R114" s="22" t="n">
        <v>25544000</v>
      </c>
      <c r="S114" s="22" t="n">
        <v>25852800</v>
      </c>
      <c r="T114" s="22" t="n">
        <v>31146600</v>
      </c>
      <c r="U114" s="22" t="n">
        <v>33384600</v>
      </c>
      <c r="V114" s="22" t="n">
        <v>32758000</v>
      </c>
      <c r="W114" s="22" t="n">
        <v>30470500</v>
      </c>
      <c r="X114" s="22" t="n">
        <v>51937900</v>
      </c>
      <c r="Y114" s="22" t="n">
        <v>42880100</v>
      </c>
      <c r="Z114" s="22" t="n">
        <v>58803900</v>
      </c>
      <c r="AA114" s="22" t="n">
        <v>46892500</v>
      </c>
      <c r="AB114" s="22" t="n">
        <v>43827200</v>
      </c>
      <c r="AC114" s="22" t="n">
        <v>44350100</v>
      </c>
      <c r="AD114" s="22" t="n">
        <v>45523100</v>
      </c>
      <c r="AE114" s="22" t="n">
        <v>53169400</v>
      </c>
      <c r="AF114" s="22" t="n">
        <v>53169400</v>
      </c>
      <c r="AG114" s="22" t="n">
        <v>49861100</v>
      </c>
      <c r="AH114" s="22" t="n">
        <v>75841900</v>
      </c>
      <c r="AI114" s="22" t="n">
        <v>72810900</v>
      </c>
      <c r="AJ114" s="22" t="n">
        <v>53614000</v>
      </c>
      <c r="AK114" s="22" t="n">
        <v>68403700</v>
      </c>
      <c r="AL114" s="22" t="n">
        <v>37490400</v>
      </c>
      <c r="AM114" s="22" t="n">
        <v>46400600</v>
      </c>
      <c r="AN114" s="22" t="n">
        <v>72424100</v>
      </c>
      <c r="AO114" s="22" t="n">
        <v>79827900</v>
      </c>
      <c r="AP114" s="22" t="n">
        <v>48826900</v>
      </c>
      <c r="AQ114" s="22" t="n">
        <v>41382600</v>
      </c>
      <c r="AR114" s="22" t="n">
        <v>53950200</v>
      </c>
      <c r="AS114" s="22" t="n">
        <v>39936400</v>
      </c>
      <c r="AT114" s="22" t="n">
        <v>59078700</v>
      </c>
      <c r="AU114" s="22" t="n">
        <v>55894900</v>
      </c>
      <c r="AV114" s="22" t="n">
        <v>62428400</v>
      </c>
      <c r="AW114" s="22" t="n">
        <v>111263300</v>
      </c>
      <c r="AX114" s="22" t="n">
        <v>64839300</v>
      </c>
      <c r="AY114" s="22" t="n">
        <v>53895900</v>
      </c>
      <c r="AZ114" s="22" t="n">
        <v>50092600</v>
      </c>
      <c r="BA114" s="22" t="n">
        <v>47908200</v>
      </c>
      <c r="BB114" s="22" t="n">
        <v>53909200</v>
      </c>
      <c r="BC114" s="22" t="n">
        <v>69989300</v>
      </c>
      <c r="BD114" s="22" t="n">
        <v>64518700</v>
      </c>
      <c r="BE114" s="22" t="n">
        <v>57846800</v>
      </c>
      <c r="BF114" s="22" t="n">
        <v>58761400</v>
      </c>
      <c r="BG114" s="22" t="n">
        <v>45160800</v>
      </c>
      <c r="BH114" s="22" t="n">
        <v>56961500</v>
      </c>
      <c r="BI114" s="22" t="n">
        <v>68083600</v>
      </c>
      <c r="BJ114" s="22" t="n">
        <v>73851600</v>
      </c>
      <c r="BK114" s="22" t="n">
        <v>133003600</v>
      </c>
      <c r="BL114" s="22" t="n">
        <v>125195100</v>
      </c>
    </row>
    <row r="115" ht="15.95" customHeight="1" s="574">
      <c r="A115" s="416" t="inlineStr">
        <is>
          <t>9531</t>
        </is>
      </c>
      <c r="B115" s="49" t="inlineStr">
        <is>
          <t>東京瓦斯</t>
        </is>
      </c>
      <c r="C115" s="53">
        <f>_xll.RssMarket("9531","出来高")</f>
        <v/>
      </c>
      <c r="D115" s="683">
        <f>C115-E115</f>
        <v/>
      </c>
      <c r="E115" s="213" t="n">
        <v>767500</v>
      </c>
      <c r="F115" s="22" t="n">
        <v>1797600</v>
      </c>
      <c r="G115" s="22" t="n">
        <v>1023400</v>
      </c>
      <c r="H115" s="22" t="n">
        <v>833700</v>
      </c>
      <c r="I115" s="22" t="n">
        <v>970800</v>
      </c>
      <c r="J115" s="22" t="n">
        <v>1140000</v>
      </c>
      <c r="K115" s="22" t="n">
        <v>1215200</v>
      </c>
      <c r="L115" s="22" t="n">
        <v>1001000</v>
      </c>
      <c r="M115" s="22" t="n">
        <v>1162100</v>
      </c>
      <c r="N115" s="22" t="n">
        <v>1020100</v>
      </c>
      <c r="O115" s="22" t="n">
        <v>1038800</v>
      </c>
      <c r="P115" s="22" t="n">
        <v>1096400</v>
      </c>
      <c r="Q115" s="22" t="n">
        <v>1162500</v>
      </c>
      <c r="R115" s="22" t="n">
        <v>2978500</v>
      </c>
      <c r="S115" s="22" t="n">
        <v>5312400</v>
      </c>
      <c r="T115" s="22" t="n">
        <v>1067600</v>
      </c>
      <c r="U115" s="22" t="n">
        <v>1029100</v>
      </c>
      <c r="V115" s="22" t="n">
        <v>898300</v>
      </c>
      <c r="W115" s="22" t="n">
        <v>850300</v>
      </c>
      <c r="X115" s="22" t="n">
        <v>1440300</v>
      </c>
      <c r="Y115" s="22" t="n">
        <v>1261400</v>
      </c>
      <c r="Z115" s="22" t="n">
        <v>1144400</v>
      </c>
      <c r="AA115" s="22" t="n">
        <v>1180700</v>
      </c>
      <c r="AB115" s="22" t="n">
        <v>809900</v>
      </c>
      <c r="AC115" s="22" t="n">
        <v>1104600</v>
      </c>
      <c r="AD115" s="22" t="n">
        <v>1350300</v>
      </c>
      <c r="AE115" s="22" t="n">
        <v>1292900</v>
      </c>
      <c r="AF115" s="22" t="n">
        <v>1292900</v>
      </c>
      <c r="AG115" s="22" t="n">
        <v>1984100</v>
      </c>
      <c r="AH115" s="22" t="n">
        <v>2162200</v>
      </c>
      <c r="AI115" s="22" t="n">
        <v>1293900</v>
      </c>
      <c r="AJ115" s="22" t="n">
        <v>3393000</v>
      </c>
      <c r="AK115" s="22" t="n">
        <v>2877500</v>
      </c>
      <c r="AL115" s="22" t="n">
        <v>959900</v>
      </c>
      <c r="AM115" s="22" t="n">
        <v>1167300</v>
      </c>
      <c r="AN115" s="22" t="n">
        <v>1552900</v>
      </c>
      <c r="AO115" s="22" t="n">
        <v>1117500</v>
      </c>
      <c r="AP115" s="22" t="n">
        <v>1126400</v>
      </c>
      <c r="AQ115" s="22" t="n">
        <v>1309100</v>
      </c>
      <c r="AR115" s="22" t="n">
        <v>905000</v>
      </c>
      <c r="AS115" s="22" t="n">
        <v>1088100</v>
      </c>
      <c r="AT115" s="22" t="n">
        <v>1092000</v>
      </c>
      <c r="AU115" s="22" t="n">
        <v>1369300</v>
      </c>
      <c r="AV115" s="22" t="n">
        <v>986800</v>
      </c>
      <c r="AW115" s="22" t="n">
        <v>1088700</v>
      </c>
      <c r="AX115" s="22" t="n">
        <v>1280200</v>
      </c>
      <c r="AY115" s="22" t="n">
        <v>1341700</v>
      </c>
      <c r="AZ115" s="22" t="n">
        <v>1006000</v>
      </c>
      <c r="BA115" s="22" t="n">
        <v>728600</v>
      </c>
      <c r="BB115" s="22" t="n">
        <v>713700</v>
      </c>
      <c r="BC115" s="22" t="n">
        <v>1277800</v>
      </c>
      <c r="BD115" s="22" t="n">
        <v>1175500</v>
      </c>
      <c r="BE115" s="22" t="n">
        <v>1537300</v>
      </c>
      <c r="BF115" s="22" t="n">
        <v>1499400</v>
      </c>
      <c r="BG115" s="22" t="n">
        <v>1001700</v>
      </c>
      <c r="BH115" s="22" t="n">
        <v>1190700</v>
      </c>
      <c r="BI115" s="22" t="n">
        <v>919400</v>
      </c>
      <c r="BJ115" s="22" t="n">
        <v>1468800</v>
      </c>
      <c r="BK115" s="22" t="n">
        <v>3065600</v>
      </c>
      <c r="BL115" s="22" t="n">
        <v>826900</v>
      </c>
    </row>
    <row r="116" ht="15.95" customHeight="1" s="574">
      <c r="A116" s="416" t="inlineStr">
        <is>
          <t>9882</t>
        </is>
      </c>
      <c r="B116" s="49" t="inlineStr">
        <is>
          <t>イエローハット</t>
        </is>
      </c>
      <c r="C116" s="53">
        <f>_xll.RssMarket("9882","出来高")</f>
        <v/>
      </c>
      <c r="D116" s="683">
        <f>C116-E116</f>
        <v/>
      </c>
      <c r="E116" s="213" t="n">
        <v>386500</v>
      </c>
      <c r="F116" s="22" t="n">
        <v>220700</v>
      </c>
      <c r="G116" s="22" t="n">
        <v>211700</v>
      </c>
      <c r="H116" s="22" t="n">
        <v>140600</v>
      </c>
      <c r="I116" s="22" t="n">
        <v>145200</v>
      </c>
      <c r="J116" s="22" t="n">
        <v>208200</v>
      </c>
      <c r="K116" s="22" t="n">
        <v>153600</v>
      </c>
      <c r="L116" s="22" t="n">
        <v>176400</v>
      </c>
      <c r="M116" s="22" t="n">
        <v>166200</v>
      </c>
      <c r="N116" s="22" t="n">
        <v>122200</v>
      </c>
      <c r="O116" s="22" t="n">
        <v>211400</v>
      </c>
      <c r="P116" s="22" t="n">
        <v>265700</v>
      </c>
      <c r="Q116" s="22" t="n">
        <v>192500</v>
      </c>
      <c r="R116" s="22" t="n">
        <v>177600</v>
      </c>
      <c r="S116" s="22" t="n">
        <v>114000</v>
      </c>
      <c r="T116" s="22" t="n">
        <v>125400</v>
      </c>
      <c r="U116" s="22" t="n">
        <v>123100</v>
      </c>
      <c r="V116" s="22" t="n">
        <v>107700</v>
      </c>
      <c r="W116" s="22" t="n">
        <v>120000</v>
      </c>
      <c r="X116" s="22" t="n">
        <v>145600</v>
      </c>
      <c r="Y116" s="22" t="n">
        <v>197200</v>
      </c>
      <c r="Z116" s="22" t="n">
        <v>169600</v>
      </c>
      <c r="AA116" s="22" t="n">
        <v>170500</v>
      </c>
      <c r="AB116" s="22" t="n">
        <v>169300</v>
      </c>
      <c r="AC116" s="22" t="n">
        <v>171500</v>
      </c>
      <c r="AD116" s="22" t="n">
        <v>245600</v>
      </c>
      <c r="AE116" s="22" t="n">
        <v>562900</v>
      </c>
      <c r="AF116" s="22" t="n">
        <v>562900</v>
      </c>
      <c r="AG116" s="22" t="n">
        <v>250100</v>
      </c>
      <c r="AH116" s="22" t="n">
        <v>199400</v>
      </c>
      <c r="AI116" s="22" t="n">
        <v>91400</v>
      </c>
      <c r="AJ116" s="22" t="n">
        <v>162800</v>
      </c>
      <c r="AK116" s="22" t="n">
        <v>154800</v>
      </c>
      <c r="AL116" s="22" t="n">
        <v>111000</v>
      </c>
      <c r="AM116" s="22" t="n">
        <v>138600</v>
      </c>
      <c r="AN116" s="22" t="n">
        <v>131200</v>
      </c>
      <c r="AO116" s="22" t="n">
        <v>122700</v>
      </c>
      <c r="AP116" s="22" t="n">
        <v>162100</v>
      </c>
      <c r="AQ116" s="22" t="n">
        <v>109600</v>
      </c>
      <c r="AR116" s="22" t="n">
        <v>90500</v>
      </c>
      <c r="AS116" s="22" t="n">
        <v>158200</v>
      </c>
      <c r="AT116" s="22" t="n">
        <v>84500</v>
      </c>
      <c r="AU116" s="22" t="n">
        <v>76000</v>
      </c>
      <c r="AV116" s="22" t="n">
        <v>111800</v>
      </c>
      <c r="AW116" s="22" t="n">
        <v>128800</v>
      </c>
      <c r="AX116" s="22" t="n">
        <v>101200</v>
      </c>
      <c r="AY116" s="22" t="n">
        <v>223900</v>
      </c>
      <c r="AZ116" s="22" t="n">
        <v>265900</v>
      </c>
      <c r="BA116" s="22" t="n">
        <v>148000</v>
      </c>
      <c r="BB116" s="22" t="n">
        <v>66300</v>
      </c>
      <c r="BC116" s="22" t="n">
        <v>77200</v>
      </c>
      <c r="BD116" s="22" t="n">
        <v>105200</v>
      </c>
      <c r="BE116" s="22" t="n">
        <v>384900</v>
      </c>
      <c r="BF116" s="22" t="n">
        <v>342600</v>
      </c>
      <c r="BG116" s="22" t="n">
        <v>179300</v>
      </c>
      <c r="BH116" s="22" t="n">
        <v>185000</v>
      </c>
      <c r="BI116" s="22" t="n">
        <v>165800</v>
      </c>
      <c r="BJ116" s="22" t="n">
        <v>236600</v>
      </c>
      <c r="BK116" s="22" t="n">
        <v>275600</v>
      </c>
      <c r="BL116" s="22" t="n">
        <v>120500</v>
      </c>
    </row>
    <row r="117" ht="15.95" customHeight="1" s="574">
      <c r="A117" s="416" t="inlineStr">
        <is>
          <t>5838</t>
        </is>
      </c>
      <c r="B117" s="49" t="inlineStr">
        <is>
          <t>楽天銀行</t>
        </is>
      </c>
      <c r="C117" s="53">
        <f>_xll.RssMarket("5838","出来高")</f>
        <v/>
      </c>
      <c r="D117" s="683">
        <f>C117-E117</f>
        <v/>
      </c>
      <c r="E117" s="213" t="n">
        <v>1383800</v>
      </c>
      <c r="F117" s="22" t="n">
        <v>1294400</v>
      </c>
      <c r="G117" s="22" t="n">
        <v>1131900</v>
      </c>
      <c r="H117" s="22" t="n">
        <v>1008700</v>
      </c>
      <c r="I117" s="22" t="n">
        <v>1797300</v>
      </c>
      <c r="J117" s="22" t="n">
        <v>2338200</v>
      </c>
      <c r="K117" s="22" t="n">
        <v>3158800</v>
      </c>
      <c r="L117" s="22" t="n">
        <v>3572000</v>
      </c>
      <c r="M117" s="22" t="n">
        <v>1615200</v>
      </c>
      <c r="N117" s="22" t="n">
        <v>1916500</v>
      </c>
      <c r="O117" s="22" t="n">
        <v>2661700</v>
      </c>
      <c r="P117" s="22" t="n">
        <v>3226800</v>
      </c>
      <c r="Q117" s="22" t="n">
        <v>3499900</v>
      </c>
      <c r="R117" s="22" t="n">
        <v>3965300</v>
      </c>
      <c r="S117" s="22" t="n">
        <v>1799500</v>
      </c>
      <c r="T117" s="22" t="n">
        <v>2822000</v>
      </c>
      <c r="U117" s="22" t="n">
        <v>4208700</v>
      </c>
      <c r="V117" s="22" t="n">
        <v>12468500</v>
      </c>
      <c r="W117" s="22" t="n">
        <v>3644500</v>
      </c>
      <c r="X117" s="22" t="n">
        <v>2295100</v>
      </c>
      <c r="Y117" s="22" t="n">
        <v>2770900</v>
      </c>
      <c r="Z117" s="22" t="n">
        <v>3792600</v>
      </c>
      <c r="AA117" s="22" t="n">
        <v>1346200</v>
      </c>
      <c r="AB117" s="22" t="n">
        <v>1427600</v>
      </c>
      <c r="AC117" s="22" t="n">
        <v>2524200</v>
      </c>
      <c r="AD117" s="22" t="n">
        <v>1537500</v>
      </c>
      <c r="AE117" s="22" t="n">
        <v>1049100</v>
      </c>
      <c r="AF117" s="22" t="n">
        <v>1049100</v>
      </c>
      <c r="AG117" s="22" t="n">
        <v>1493100</v>
      </c>
      <c r="AH117" s="22" t="n">
        <v>1506000</v>
      </c>
      <c r="AI117" s="22" t="n">
        <v>680000</v>
      </c>
      <c r="AJ117" s="22" t="n">
        <v>1075700</v>
      </c>
      <c r="AK117" s="22" t="n">
        <v>1564900</v>
      </c>
      <c r="AL117" s="22" t="n">
        <v>709300</v>
      </c>
      <c r="AM117" s="22" t="n">
        <v>984100</v>
      </c>
      <c r="AN117" s="22" t="n">
        <v>1759500</v>
      </c>
      <c r="AO117" s="22" t="n">
        <v>1451400</v>
      </c>
      <c r="AP117" s="22" t="n">
        <v>1082000</v>
      </c>
      <c r="AQ117" s="22" t="n">
        <v>686000</v>
      </c>
      <c r="AR117" s="22" t="n">
        <v>886600</v>
      </c>
      <c r="AS117" s="22" t="n">
        <v>986500</v>
      </c>
      <c r="AT117" s="22" t="n">
        <v>901700</v>
      </c>
      <c r="AU117" s="22" t="n">
        <v>807900</v>
      </c>
      <c r="AV117" s="22" t="n">
        <v>989000</v>
      </c>
      <c r="AW117" s="22" t="n">
        <v>1436000</v>
      </c>
      <c r="AX117" s="22" t="n">
        <v>1703700</v>
      </c>
      <c r="AY117" s="22" t="n">
        <v>2229400</v>
      </c>
      <c r="AZ117" s="22" t="n">
        <v>939700</v>
      </c>
      <c r="BA117" s="22" t="n">
        <v>694000</v>
      </c>
      <c r="BB117" s="22" t="n">
        <v>692600</v>
      </c>
      <c r="BC117" s="22" t="n">
        <v>1119100</v>
      </c>
      <c r="BD117" s="22" t="n">
        <v>2196700</v>
      </c>
      <c r="BE117" s="22" t="n">
        <v>1824100</v>
      </c>
      <c r="BF117" s="22" t="n">
        <v>1397000</v>
      </c>
      <c r="BG117" s="22" t="n">
        <v>1921200</v>
      </c>
      <c r="BH117" s="22" t="n">
        <v>1102900</v>
      </c>
      <c r="BI117" s="22" t="n">
        <v>1064700</v>
      </c>
      <c r="BJ117" s="22" t="n">
        <v>1318200</v>
      </c>
      <c r="BK117" s="22" t="n">
        <v>1579200</v>
      </c>
      <c r="BL117" s="22" t="n">
        <v>1381500</v>
      </c>
    </row>
    <row r="118" ht="15.95" customHeight="1" s="574">
      <c r="A118" s="416" t="inlineStr">
        <is>
          <t>5844</t>
        </is>
      </c>
      <c r="B118" s="49" t="inlineStr">
        <is>
          <t>京都フィナンシャルＧ</t>
        </is>
      </c>
      <c r="C118" s="53">
        <f>_xll.RssMarket("5844","出来高")</f>
        <v/>
      </c>
      <c r="D118" s="683">
        <f>C118-E118</f>
        <v/>
      </c>
      <c r="E118" s="213" t="n">
        <v>1295500</v>
      </c>
      <c r="F118" s="22" t="n">
        <v>2496400</v>
      </c>
      <c r="G118" s="22" t="n">
        <v>1461200</v>
      </c>
      <c r="H118" s="22" t="n">
        <v>1291700</v>
      </c>
      <c r="I118" s="22" t="n">
        <v>1685300</v>
      </c>
      <c r="J118" s="22" t="n">
        <v>1120300</v>
      </c>
      <c r="K118" s="22" t="n">
        <v>707600</v>
      </c>
      <c r="L118" s="22" t="n">
        <v>1378800</v>
      </c>
      <c r="M118" s="22" t="n">
        <v>1363900</v>
      </c>
      <c r="N118" s="22" t="n">
        <v>1321100</v>
      </c>
      <c r="O118" s="22" t="n">
        <v>1246000</v>
      </c>
      <c r="P118" s="22" t="n">
        <v>964800</v>
      </c>
      <c r="Q118" s="22" t="n">
        <v>845300</v>
      </c>
      <c r="R118" s="22" t="n">
        <v>2498400</v>
      </c>
      <c r="S118" s="22" t="n">
        <v>847900</v>
      </c>
      <c r="T118" s="22" t="n">
        <v>923100</v>
      </c>
      <c r="U118" s="22" t="n">
        <v>904000</v>
      </c>
      <c r="V118" s="22" t="n">
        <v>675000</v>
      </c>
      <c r="W118" s="22" t="n">
        <v>1403800</v>
      </c>
      <c r="X118" s="22" t="n">
        <v>1557500</v>
      </c>
      <c r="Y118" s="22" t="n">
        <v>921400</v>
      </c>
      <c r="Z118" s="22" t="n">
        <v>1044500</v>
      </c>
      <c r="AA118" s="22" t="n">
        <v>2254500</v>
      </c>
      <c r="AB118" s="22" t="n">
        <v>946800</v>
      </c>
      <c r="AC118" s="22" t="n">
        <v>823400</v>
      </c>
      <c r="AD118" s="22" t="n">
        <v>760200</v>
      </c>
      <c r="AE118" s="22" t="n">
        <v>826400</v>
      </c>
      <c r="AF118" s="22" t="n">
        <v>826400</v>
      </c>
      <c r="AG118" s="22" t="n">
        <v>910200</v>
      </c>
      <c r="AH118" s="22" t="n">
        <v>1203200</v>
      </c>
      <c r="AI118" s="22" t="n">
        <v>761000</v>
      </c>
      <c r="AJ118" s="22" t="n">
        <v>953800</v>
      </c>
      <c r="AK118" s="22" t="n">
        <v>1090700</v>
      </c>
      <c r="AL118" s="22" t="n">
        <v>1131600</v>
      </c>
      <c r="AM118" s="22" t="n">
        <v>636800</v>
      </c>
      <c r="AN118" s="22" t="n">
        <v>1110600</v>
      </c>
      <c r="AO118" s="22" t="n">
        <v>735500</v>
      </c>
      <c r="AP118" s="22" t="n">
        <v>1112300</v>
      </c>
      <c r="AQ118" s="22" t="n">
        <v>945900</v>
      </c>
      <c r="AR118" s="22" t="n">
        <v>979500</v>
      </c>
      <c r="AS118" s="22" t="n">
        <v>861100</v>
      </c>
      <c r="AT118" s="22" t="n">
        <v>713600</v>
      </c>
      <c r="AU118" s="22" t="n">
        <v>818100</v>
      </c>
      <c r="AV118" s="22" t="n">
        <v>710300</v>
      </c>
      <c r="AW118" s="22" t="n">
        <v>969900</v>
      </c>
      <c r="AX118" s="22" t="n">
        <v>1128100</v>
      </c>
      <c r="AY118" s="22" t="n">
        <v>1200800</v>
      </c>
      <c r="AZ118" s="22" t="n">
        <v>717200</v>
      </c>
      <c r="BA118" s="22" t="n">
        <v>754500</v>
      </c>
      <c r="BB118" s="22" t="n">
        <v>684200</v>
      </c>
      <c r="BC118" s="22" t="n">
        <v>887000</v>
      </c>
      <c r="BD118" s="22" t="n">
        <v>1379900</v>
      </c>
      <c r="BE118" s="22" t="n">
        <v>1326400</v>
      </c>
      <c r="BF118" s="22" t="n">
        <v>1600600</v>
      </c>
      <c r="BG118" s="22" t="n">
        <v>972700</v>
      </c>
      <c r="BH118" s="22" t="n">
        <v>1073400</v>
      </c>
      <c r="BI118" s="22" t="n">
        <v>1250900</v>
      </c>
      <c r="BJ118" s="22" t="n">
        <v>1386000</v>
      </c>
      <c r="BK118" s="22" t="n">
        <v>1407700</v>
      </c>
      <c r="BL118" s="22" t="n">
        <v>976800</v>
      </c>
    </row>
    <row r="119" ht="15.95" customHeight="1" s="574">
      <c r="A119" s="416" t="inlineStr">
        <is>
          <t>9404</t>
        </is>
      </c>
      <c r="B119" s="49" t="inlineStr">
        <is>
          <t>日本テレビＨＬＤＳ</t>
        </is>
      </c>
      <c r="C119" s="53">
        <f>_xll.RssMarket("9404","出来高")</f>
        <v/>
      </c>
      <c r="D119" s="683">
        <f>C119-E119</f>
        <v/>
      </c>
      <c r="E119" s="213" t="n">
        <v>372800</v>
      </c>
      <c r="F119" s="22" t="n">
        <v>499400</v>
      </c>
      <c r="G119" s="22" t="n">
        <v>466200</v>
      </c>
      <c r="H119" s="22" t="n">
        <v>431500</v>
      </c>
      <c r="I119" s="22" t="n">
        <v>602400</v>
      </c>
      <c r="J119" s="22" t="n">
        <v>640100</v>
      </c>
      <c r="K119" s="22" t="n">
        <v>583200</v>
      </c>
      <c r="L119" s="22" t="n">
        <v>649500</v>
      </c>
      <c r="M119" s="22" t="n">
        <v>639200</v>
      </c>
      <c r="N119" s="22" t="n">
        <v>1303100</v>
      </c>
      <c r="O119" s="22" t="n">
        <v>551300</v>
      </c>
      <c r="P119" s="22" t="n">
        <v>616000</v>
      </c>
      <c r="Q119" s="22" t="n">
        <v>643000</v>
      </c>
      <c r="R119" s="22" t="n">
        <v>933700</v>
      </c>
      <c r="S119" s="22" t="n">
        <v>641600</v>
      </c>
      <c r="T119" s="22" t="n">
        <v>591300</v>
      </c>
      <c r="U119" s="22" t="n">
        <v>532800</v>
      </c>
      <c r="V119" s="22" t="n">
        <v>456600</v>
      </c>
      <c r="W119" s="22" t="n">
        <v>587100</v>
      </c>
      <c r="X119" s="22" t="n">
        <v>666900</v>
      </c>
      <c r="Y119" s="22" t="n">
        <v>772200</v>
      </c>
      <c r="Z119" s="22" t="n">
        <v>549100</v>
      </c>
      <c r="AA119" s="22" t="n">
        <v>878700</v>
      </c>
      <c r="AB119" s="22" t="n">
        <v>516800</v>
      </c>
      <c r="AC119" s="22" t="n">
        <v>578600</v>
      </c>
      <c r="AD119" s="22" t="n">
        <v>322200</v>
      </c>
      <c r="AE119" s="22" t="n">
        <v>742500</v>
      </c>
      <c r="AF119" s="22" t="n">
        <v>742500</v>
      </c>
      <c r="AG119" s="22" t="n">
        <v>497700</v>
      </c>
      <c r="AH119" s="22" t="n">
        <v>472500</v>
      </c>
      <c r="AI119" s="22" t="n">
        <v>388500</v>
      </c>
      <c r="AJ119" s="22" t="n">
        <v>625000</v>
      </c>
      <c r="AK119" s="22" t="n">
        <v>402500</v>
      </c>
      <c r="AL119" s="22" t="n">
        <v>371400</v>
      </c>
      <c r="AM119" s="22" t="n">
        <v>545800</v>
      </c>
      <c r="AN119" s="22" t="n">
        <v>604000</v>
      </c>
      <c r="AO119" s="22" t="n">
        <v>622600</v>
      </c>
      <c r="AP119" s="22" t="n">
        <v>371700</v>
      </c>
      <c r="AQ119" s="22" t="n">
        <v>296700</v>
      </c>
      <c r="AR119" s="22" t="n">
        <v>306000</v>
      </c>
      <c r="AS119" s="22" t="n">
        <v>305000</v>
      </c>
      <c r="AT119" s="22" t="n">
        <v>210000</v>
      </c>
      <c r="AU119" s="22" t="n">
        <v>214600</v>
      </c>
      <c r="AV119" s="22" t="n">
        <v>293800</v>
      </c>
      <c r="AW119" s="22" t="n">
        <v>330600</v>
      </c>
      <c r="AX119" s="22" t="n">
        <v>333500</v>
      </c>
      <c r="AY119" s="22" t="n">
        <v>428900</v>
      </c>
      <c r="AZ119" s="22" t="n">
        <v>292500</v>
      </c>
      <c r="BA119" s="22" t="n">
        <v>331100</v>
      </c>
      <c r="BB119" s="22" t="n">
        <v>407400</v>
      </c>
      <c r="BC119" s="22" t="n">
        <v>697000</v>
      </c>
      <c r="BD119" s="22" t="n">
        <v>556500</v>
      </c>
      <c r="BE119" s="22" t="n">
        <v>547700</v>
      </c>
      <c r="BF119" s="22" t="n">
        <v>489700</v>
      </c>
      <c r="BG119" s="22" t="n">
        <v>256700</v>
      </c>
      <c r="BH119" s="22" t="n">
        <v>320200</v>
      </c>
      <c r="BI119" s="22" t="n">
        <v>356400</v>
      </c>
      <c r="BJ119" s="22" t="n">
        <v>435400</v>
      </c>
      <c r="BK119" s="22" t="n">
        <v>379400</v>
      </c>
      <c r="BL119" s="22" t="n">
        <v>286300</v>
      </c>
    </row>
    <row r="120" ht="15.95" customHeight="1" s="574">
      <c r="A120" s="416" t="inlineStr">
        <is>
          <t>6744</t>
        </is>
      </c>
      <c r="B120" s="49" t="inlineStr">
        <is>
          <t>能美防災</t>
        </is>
      </c>
      <c r="C120" s="53">
        <f>_xll.RssMarket("6744","出来高")</f>
        <v/>
      </c>
      <c r="D120" s="683">
        <f>C120-E120</f>
        <v/>
      </c>
      <c r="E120" s="213" t="n">
        <v>86900</v>
      </c>
      <c r="F120" s="22" t="n">
        <v>76500</v>
      </c>
      <c r="G120" s="22" t="n">
        <v>66100</v>
      </c>
      <c r="H120" s="22" t="n">
        <v>65600</v>
      </c>
      <c r="I120" s="22" t="n">
        <v>41800</v>
      </c>
      <c r="J120" s="22" t="n">
        <v>81500</v>
      </c>
      <c r="K120" s="22" t="n">
        <v>88200</v>
      </c>
      <c r="L120" s="22" t="n">
        <v>71300</v>
      </c>
      <c r="M120" s="22" t="n">
        <v>104200</v>
      </c>
      <c r="N120" s="22" t="n">
        <v>54600</v>
      </c>
      <c r="O120" s="22" t="n">
        <v>69000</v>
      </c>
      <c r="P120" s="22" t="n">
        <v>121700</v>
      </c>
      <c r="Q120" s="22" t="n">
        <v>154000</v>
      </c>
      <c r="R120" s="22" t="n">
        <v>155900</v>
      </c>
      <c r="S120" s="22" t="n">
        <v>126400</v>
      </c>
      <c r="T120" s="22" t="n">
        <v>137100</v>
      </c>
      <c r="U120" s="22" t="n">
        <v>162900</v>
      </c>
      <c r="V120" s="22" t="n">
        <v>113400</v>
      </c>
      <c r="W120" s="22" t="n">
        <v>104400</v>
      </c>
      <c r="X120" s="22" t="n">
        <v>141500</v>
      </c>
      <c r="Y120" s="22" t="n">
        <v>168400</v>
      </c>
      <c r="Z120" s="22" t="n">
        <v>173300</v>
      </c>
      <c r="AA120" s="22" t="n">
        <v>215500</v>
      </c>
      <c r="AB120" s="22" t="n">
        <v>206500</v>
      </c>
      <c r="AC120" s="22" t="n">
        <v>138400</v>
      </c>
      <c r="AD120" s="22" t="n">
        <v>187500</v>
      </c>
      <c r="AE120" s="22" t="n">
        <v>167000</v>
      </c>
      <c r="AF120" s="22" t="n">
        <v>167000</v>
      </c>
      <c r="AG120" s="22" t="n">
        <v>116400</v>
      </c>
      <c r="AH120" s="22" t="n">
        <v>134700</v>
      </c>
      <c r="AI120" s="22" t="n">
        <v>213900</v>
      </c>
      <c r="AJ120" s="22" t="n">
        <v>142400</v>
      </c>
      <c r="AK120" s="22" t="n">
        <v>162800</v>
      </c>
      <c r="AL120" s="22" t="n">
        <v>75400</v>
      </c>
      <c r="AM120" s="22" t="n">
        <v>54900</v>
      </c>
      <c r="AN120" s="22" t="n">
        <v>61400</v>
      </c>
      <c r="AO120" s="22" t="n">
        <v>63800</v>
      </c>
      <c r="AP120" s="22" t="n">
        <v>87100</v>
      </c>
      <c r="AQ120" s="22" t="n">
        <v>77700</v>
      </c>
      <c r="AR120" s="22" t="n">
        <v>91800</v>
      </c>
      <c r="AS120" s="22" t="n">
        <v>71800</v>
      </c>
      <c r="AT120" s="22" t="n">
        <v>94300</v>
      </c>
      <c r="AU120" s="22" t="n">
        <v>60700</v>
      </c>
      <c r="AV120" s="22" t="n">
        <v>49800</v>
      </c>
      <c r="AW120" s="22" t="n">
        <v>55600</v>
      </c>
      <c r="AX120" s="22" t="n">
        <v>61900</v>
      </c>
      <c r="AY120" s="22" t="n">
        <v>83400</v>
      </c>
      <c r="AZ120" s="22" t="n">
        <v>37900</v>
      </c>
      <c r="BA120" s="22" t="n">
        <v>36600</v>
      </c>
      <c r="BB120" s="22" t="n">
        <v>122600</v>
      </c>
      <c r="BC120" s="22" t="n">
        <v>149100</v>
      </c>
      <c r="BD120" s="22" t="n">
        <v>111500</v>
      </c>
      <c r="BE120" s="22" t="n">
        <v>145300</v>
      </c>
      <c r="BF120" s="22" t="n">
        <v>141700</v>
      </c>
      <c r="BG120" s="22" t="n">
        <v>67500</v>
      </c>
      <c r="BH120" s="22" t="n">
        <v>99100</v>
      </c>
      <c r="BI120" s="22" t="n">
        <v>86700</v>
      </c>
      <c r="BJ120" s="22" t="n">
        <v>98300</v>
      </c>
      <c r="BK120" s="22" t="n">
        <v>92700</v>
      </c>
      <c r="BL120" s="22" t="n">
        <v>207600</v>
      </c>
    </row>
    <row r="121" ht="15.95" customHeight="1" s="574">
      <c r="A121" s="416" t="inlineStr">
        <is>
          <t>7685</t>
        </is>
      </c>
      <c r="B121" s="49" t="inlineStr">
        <is>
          <t>ＢＵＹＳＥＬＬＴＥＣＨ</t>
        </is>
      </c>
      <c r="C121" s="53">
        <f>_xll.RssMarket("7685","出来高")</f>
        <v/>
      </c>
      <c r="D121" s="683">
        <f>C121-E121</f>
        <v/>
      </c>
      <c r="E121" s="213" t="n">
        <v>231800</v>
      </c>
      <c r="F121" s="22" t="n">
        <v>415600</v>
      </c>
      <c r="G121" s="22" t="n">
        <v>284400</v>
      </c>
      <c r="H121" s="22" t="n">
        <v>236400</v>
      </c>
      <c r="I121" s="22" t="n">
        <v>288700</v>
      </c>
      <c r="J121" s="22" t="n">
        <v>299300</v>
      </c>
      <c r="K121" s="22" t="n">
        <v>278000</v>
      </c>
      <c r="L121" s="22" t="n">
        <v>449700</v>
      </c>
      <c r="M121" s="22" t="n">
        <v>405100</v>
      </c>
      <c r="N121" s="22" t="n">
        <v>171700</v>
      </c>
      <c r="O121" s="22" t="n">
        <v>276800</v>
      </c>
      <c r="P121" s="22" t="n">
        <v>202100</v>
      </c>
      <c r="Q121" s="22" t="n">
        <v>280700</v>
      </c>
      <c r="R121" s="22" t="n">
        <v>357400</v>
      </c>
      <c r="S121" s="22" t="n">
        <v>376600</v>
      </c>
      <c r="T121" s="22" t="n">
        <v>403300</v>
      </c>
      <c r="U121" s="22" t="n">
        <v>261400</v>
      </c>
      <c r="V121" s="22" t="n">
        <v>254300</v>
      </c>
      <c r="W121" s="22" t="n">
        <v>359000</v>
      </c>
      <c r="X121" s="22" t="n">
        <v>373200</v>
      </c>
      <c r="Y121" s="22" t="n">
        <v>639000</v>
      </c>
      <c r="Z121" s="22" t="n">
        <v>660800</v>
      </c>
      <c r="AA121" s="22" t="n">
        <v>1530000</v>
      </c>
      <c r="AB121" s="22" t="n">
        <v>681300</v>
      </c>
      <c r="AC121" s="22" t="n">
        <v>588700</v>
      </c>
      <c r="AD121" s="22" t="n">
        <v>398900</v>
      </c>
      <c r="AE121" s="22" t="n">
        <v>268000</v>
      </c>
      <c r="AF121" s="22" t="n">
        <v>268000</v>
      </c>
      <c r="AG121" s="22" t="n">
        <v>205600</v>
      </c>
      <c r="AH121" s="22" t="n">
        <v>278700</v>
      </c>
      <c r="AI121" s="22" t="n">
        <v>294600</v>
      </c>
      <c r="AJ121" s="22" t="n">
        <v>410400</v>
      </c>
      <c r="AK121" s="22" t="n">
        <v>317800</v>
      </c>
      <c r="AL121" s="22" t="n">
        <v>272100</v>
      </c>
      <c r="AM121" s="22" t="n">
        <v>362300</v>
      </c>
      <c r="AN121" s="22" t="n">
        <v>202100</v>
      </c>
      <c r="AO121" s="22" t="n">
        <v>423900</v>
      </c>
      <c r="AP121" s="22" t="n">
        <v>337900</v>
      </c>
      <c r="AQ121" s="22" t="n">
        <v>408500</v>
      </c>
      <c r="AR121" s="22" t="n">
        <v>162600</v>
      </c>
      <c r="AS121" s="22" t="n">
        <v>180900</v>
      </c>
      <c r="AT121" s="22" t="n">
        <v>365200</v>
      </c>
      <c r="AU121" s="22" t="n">
        <v>312500</v>
      </c>
      <c r="AV121" s="22" t="n">
        <v>440100</v>
      </c>
      <c r="AW121" s="22" t="n">
        <v>252500</v>
      </c>
      <c r="AX121" s="22" t="n">
        <v>254500</v>
      </c>
      <c r="AY121" s="22" t="n">
        <v>258000</v>
      </c>
      <c r="AZ121" s="22" t="n">
        <v>228900</v>
      </c>
      <c r="BA121" s="22" t="n">
        <v>206600</v>
      </c>
      <c r="BB121" s="22" t="n">
        <v>197600</v>
      </c>
      <c r="BC121" s="22" t="n">
        <v>270300</v>
      </c>
      <c r="BD121" s="22" t="n">
        <v>339800</v>
      </c>
      <c r="BE121" s="22" t="n">
        <v>252600</v>
      </c>
      <c r="BF121" s="22" t="n">
        <v>101000</v>
      </c>
      <c r="BG121" s="22" t="n">
        <v>85100</v>
      </c>
      <c r="BH121" s="22" t="n">
        <v>123300</v>
      </c>
      <c r="BI121" s="22" t="n">
        <v>279600</v>
      </c>
      <c r="BJ121" s="22" t="n">
        <v>234000</v>
      </c>
      <c r="BK121" s="22" t="n">
        <v>113500</v>
      </c>
      <c r="BL121" s="22" t="n">
        <v>106800</v>
      </c>
    </row>
    <row r="122" ht="15.95" customHeight="1" s="574">
      <c r="A122" s="416" t="inlineStr">
        <is>
          <t>8334</t>
        </is>
      </c>
      <c r="B122" s="49" t="inlineStr">
        <is>
          <t>群馬銀行</t>
        </is>
      </c>
      <c r="C122" s="53">
        <f>_xll.RssMarket("8334","出来高")</f>
        <v/>
      </c>
      <c r="D122" s="683">
        <f>C122-E122</f>
        <v/>
      </c>
      <c r="E122" s="213" t="n">
        <v>559700</v>
      </c>
      <c r="F122" s="22" t="n">
        <v>1100100</v>
      </c>
      <c r="G122" s="22" t="n">
        <v>915500</v>
      </c>
      <c r="H122" s="22" t="n">
        <v>881500</v>
      </c>
      <c r="I122" s="22" t="n">
        <v>1076500</v>
      </c>
      <c r="J122" s="22" t="n">
        <v>1022700</v>
      </c>
      <c r="K122" s="22" t="n">
        <v>1288200</v>
      </c>
      <c r="L122" s="22" t="n">
        <v>740700</v>
      </c>
      <c r="M122" s="22" t="n">
        <v>1216500</v>
      </c>
      <c r="N122" s="22" t="n">
        <v>893000</v>
      </c>
      <c r="O122" s="22" t="n">
        <v>817600</v>
      </c>
      <c r="P122" s="22" t="n">
        <v>829500</v>
      </c>
      <c r="Q122" s="22" t="n">
        <v>715400</v>
      </c>
      <c r="R122" s="22" t="n">
        <v>941000</v>
      </c>
      <c r="S122" s="22" t="n">
        <v>1152600</v>
      </c>
      <c r="T122" s="22" t="n">
        <v>1029300</v>
      </c>
      <c r="U122" s="22" t="n">
        <v>1015700</v>
      </c>
      <c r="V122" s="22" t="n">
        <v>848400</v>
      </c>
      <c r="W122" s="22" t="n">
        <v>873400</v>
      </c>
      <c r="X122" s="22" t="n">
        <v>1365600</v>
      </c>
      <c r="Y122" s="22" t="n">
        <v>1242000</v>
      </c>
      <c r="Z122" s="22" t="n">
        <v>1163800</v>
      </c>
      <c r="AA122" s="22" t="n">
        <v>1052800</v>
      </c>
      <c r="AB122" s="22" t="n">
        <v>1025100</v>
      </c>
      <c r="AC122" s="22" t="n">
        <v>869400</v>
      </c>
      <c r="AD122" s="22" t="n">
        <v>1202700</v>
      </c>
      <c r="AE122" s="22" t="n">
        <v>1674400</v>
      </c>
      <c r="AF122" s="22" t="n">
        <v>1971300</v>
      </c>
      <c r="AG122" s="22" t="n">
        <v>1971300</v>
      </c>
      <c r="AH122" s="22" t="n">
        <v>1276700</v>
      </c>
      <c r="AI122" s="22" t="n">
        <v>1331300</v>
      </c>
      <c r="AJ122" s="22" t="n">
        <v>859800</v>
      </c>
      <c r="AK122" s="22" t="n">
        <v>1440900</v>
      </c>
      <c r="AL122" s="22" t="n">
        <v>2104300</v>
      </c>
      <c r="AM122" s="22" t="n">
        <v>1564000</v>
      </c>
      <c r="AN122" s="22" t="n">
        <v>724500</v>
      </c>
      <c r="AO122" s="22" t="n">
        <v>1684300</v>
      </c>
      <c r="AP122" s="22" t="n">
        <v>2170400</v>
      </c>
      <c r="AQ122" s="22" t="n">
        <v>1178100</v>
      </c>
      <c r="AR122" s="22" t="n">
        <v>977500</v>
      </c>
      <c r="AS122" s="22" t="n">
        <v>1006700</v>
      </c>
      <c r="AT122" s="22" t="n">
        <v>699500</v>
      </c>
      <c r="AU122" s="22" t="n">
        <v>847200</v>
      </c>
      <c r="AV122" s="22" t="n">
        <v>770300</v>
      </c>
      <c r="AW122" s="22" t="n">
        <v>910600</v>
      </c>
      <c r="AX122" s="22" t="n">
        <v>998400</v>
      </c>
      <c r="AY122" s="22" t="n">
        <v>942600</v>
      </c>
      <c r="AZ122" s="22" t="n">
        <v>1479700</v>
      </c>
      <c r="BA122" s="22" t="n">
        <v>946000</v>
      </c>
      <c r="BB122" s="22" t="n">
        <v>933800</v>
      </c>
      <c r="BC122" s="22" t="n">
        <v>945400</v>
      </c>
      <c r="BD122" s="22" t="n">
        <v>1702100</v>
      </c>
      <c r="BE122" s="22" t="n">
        <v>1987300</v>
      </c>
      <c r="BF122" s="22" t="n">
        <v>1911100</v>
      </c>
      <c r="BG122" s="22" t="n">
        <v>4471700</v>
      </c>
      <c r="BH122" s="22" t="n">
        <v>819800</v>
      </c>
      <c r="BI122" s="22" t="n">
        <v>1093100</v>
      </c>
      <c r="BJ122" s="22" t="n">
        <v>985500</v>
      </c>
      <c r="BK122" s="22" t="n">
        <v>1240700</v>
      </c>
      <c r="BL122" s="22" t="n">
        <v>1463900</v>
      </c>
    </row>
    <row r="123" ht="15.95" customHeight="1" s="574">
      <c r="A123" s="416" t="inlineStr">
        <is>
          <t>8359</t>
        </is>
      </c>
      <c r="B123" s="49" t="inlineStr">
        <is>
          <t>八十二長野銀行</t>
        </is>
      </c>
      <c r="C123" s="53">
        <f>_xll.RssMarket("8359","出来高")</f>
        <v/>
      </c>
      <c r="D123" s="683">
        <f>C123-E123</f>
        <v/>
      </c>
      <c r="E123" s="213" t="n">
        <v>1060700</v>
      </c>
      <c r="F123" s="22" t="n">
        <v>4094500</v>
      </c>
      <c r="G123" s="22" t="n">
        <v>1541000</v>
      </c>
      <c r="H123" s="22" t="n">
        <v>1905900</v>
      </c>
      <c r="I123" s="22" t="n">
        <v>1498000</v>
      </c>
      <c r="J123" s="22" t="n">
        <v>1879700</v>
      </c>
      <c r="K123" s="22" t="n">
        <v>1406600</v>
      </c>
      <c r="L123" s="22" t="n">
        <v>1861500</v>
      </c>
      <c r="M123" s="22" t="n">
        <v>1330700</v>
      </c>
      <c r="N123" s="22" t="n">
        <v>1636900</v>
      </c>
      <c r="O123" s="22" t="n">
        <v>1304300</v>
      </c>
      <c r="P123" s="22" t="n">
        <v>1428400</v>
      </c>
      <c r="Q123" s="22" t="n">
        <v>1337600</v>
      </c>
      <c r="R123" s="22" t="n">
        <v>2196000</v>
      </c>
      <c r="S123" s="22" t="n">
        <v>1116600</v>
      </c>
      <c r="T123" s="22" t="n">
        <v>974000</v>
      </c>
      <c r="U123" s="22" t="n">
        <v>1134000</v>
      </c>
      <c r="V123" s="22" t="n">
        <v>1241600</v>
      </c>
      <c r="W123" s="22" t="n">
        <v>1384900</v>
      </c>
      <c r="X123" s="22" t="n">
        <v>1463800</v>
      </c>
      <c r="Y123" s="22" t="n">
        <v>1422900</v>
      </c>
      <c r="Z123" s="22" t="n">
        <v>2370100</v>
      </c>
      <c r="AA123" s="22" t="n">
        <v>1960900</v>
      </c>
      <c r="AB123" s="22" t="n">
        <v>1445200</v>
      </c>
      <c r="AC123" s="22" t="n">
        <v>1821500</v>
      </c>
      <c r="AD123" s="22" t="n">
        <v>1412900</v>
      </c>
      <c r="AE123" s="22" t="n">
        <v>1802400</v>
      </c>
      <c r="AF123" s="22" t="n">
        <v>1802400</v>
      </c>
      <c r="AG123" s="22" t="n">
        <v>2525200</v>
      </c>
      <c r="AH123" s="22" t="n">
        <v>3119400</v>
      </c>
      <c r="AI123" s="22" t="n">
        <v>967000</v>
      </c>
      <c r="AJ123" s="22" t="n">
        <v>1250200</v>
      </c>
      <c r="AK123" s="22" t="n">
        <v>1709000</v>
      </c>
      <c r="AL123" s="22" t="n">
        <v>1064200</v>
      </c>
      <c r="AM123" s="22" t="n">
        <v>932400</v>
      </c>
      <c r="AN123" s="22" t="n">
        <v>1606200</v>
      </c>
      <c r="AO123" s="22" t="n">
        <v>1743200</v>
      </c>
      <c r="AP123" s="22" t="n">
        <v>1295300</v>
      </c>
      <c r="AQ123" s="22" t="n">
        <v>986900</v>
      </c>
      <c r="AR123" s="22" t="n">
        <v>937700</v>
      </c>
      <c r="AS123" s="22" t="n">
        <v>954200</v>
      </c>
      <c r="AT123" s="22" t="n">
        <v>1343700</v>
      </c>
      <c r="AU123" s="22" t="n">
        <v>1576900</v>
      </c>
      <c r="AV123" s="22" t="n">
        <v>1222300</v>
      </c>
      <c r="AW123" s="22" t="n">
        <v>967800</v>
      </c>
      <c r="AX123" s="22" t="n">
        <v>987300</v>
      </c>
      <c r="AY123" s="22" t="n">
        <v>1136300</v>
      </c>
      <c r="AZ123" s="22" t="n">
        <v>678100</v>
      </c>
      <c r="BA123" s="22" t="n">
        <v>747700</v>
      </c>
      <c r="BB123" s="22" t="n">
        <v>777800</v>
      </c>
      <c r="BC123" s="22" t="n">
        <v>1121500</v>
      </c>
      <c r="BD123" s="22" t="n">
        <v>1452400</v>
      </c>
      <c r="BE123" s="22" t="n">
        <v>1672100</v>
      </c>
      <c r="BF123" s="22" t="n">
        <v>1863700</v>
      </c>
      <c r="BG123" s="22" t="n">
        <v>1268000</v>
      </c>
      <c r="BH123" s="22" t="n">
        <v>1079200</v>
      </c>
      <c r="BI123" s="22" t="n">
        <v>1560900</v>
      </c>
      <c r="BJ123" s="22" t="n">
        <v>1795400</v>
      </c>
      <c r="BK123" s="22" t="n">
        <v>1644500</v>
      </c>
      <c r="BL123" s="22" t="n">
        <v>1114900</v>
      </c>
    </row>
    <row r="124" ht="15.95" customHeight="1" s="574">
      <c r="A124" s="416" t="inlineStr">
        <is>
          <t>8801</t>
        </is>
      </c>
      <c r="B124" s="49" t="inlineStr">
        <is>
          <t>三井不動産</t>
        </is>
      </c>
      <c r="C124" s="53">
        <f>_xll.RssMarket("8801","出来高")</f>
        <v/>
      </c>
      <c r="D124" s="683">
        <f>C124-E124</f>
        <v/>
      </c>
      <c r="E124" s="213" t="n">
        <v>9673000</v>
      </c>
      <c r="F124" s="22" t="n">
        <v>14467000</v>
      </c>
      <c r="G124" s="22" t="n">
        <v>10721100</v>
      </c>
      <c r="H124" s="22" t="n">
        <v>9010400</v>
      </c>
      <c r="I124" s="22" t="n">
        <v>9741600</v>
      </c>
      <c r="J124" s="22" t="n">
        <v>13173200</v>
      </c>
      <c r="K124" s="22" t="n">
        <v>18916700</v>
      </c>
      <c r="L124" s="22" t="n">
        <v>14131200</v>
      </c>
      <c r="M124" s="22" t="n">
        <v>11385300</v>
      </c>
      <c r="N124" s="22" t="n">
        <v>8640800</v>
      </c>
      <c r="O124" s="22" t="n">
        <v>10006200</v>
      </c>
      <c r="P124" s="22" t="n">
        <v>8128100</v>
      </c>
      <c r="Q124" s="22" t="n">
        <v>14964600</v>
      </c>
      <c r="R124" s="22" t="n">
        <v>23942000</v>
      </c>
      <c r="S124" s="22" t="n">
        <v>8693900</v>
      </c>
      <c r="T124" s="22" t="n">
        <v>15297600</v>
      </c>
      <c r="U124" s="22" t="n">
        <v>12823100</v>
      </c>
      <c r="V124" s="22" t="n">
        <v>16564400</v>
      </c>
      <c r="W124" s="22" t="n">
        <v>13420100</v>
      </c>
      <c r="X124" s="22" t="n">
        <v>14973800</v>
      </c>
      <c r="Y124" s="22" t="n">
        <v>16575000</v>
      </c>
      <c r="Z124" s="22" t="n">
        <v>15163200</v>
      </c>
      <c r="AA124" s="22" t="n">
        <v>17988500</v>
      </c>
      <c r="AB124" s="22" t="n">
        <v>21882500</v>
      </c>
      <c r="AC124" s="22" t="n">
        <v>7973500</v>
      </c>
      <c r="AD124" s="22" t="n">
        <v>7657000</v>
      </c>
      <c r="AE124" s="22" t="n">
        <v>6435200</v>
      </c>
      <c r="AF124" s="22" t="n">
        <v>6435200</v>
      </c>
      <c r="AG124" s="22" t="n">
        <v>11016900</v>
      </c>
      <c r="AH124" s="22" t="n">
        <v>11882300</v>
      </c>
      <c r="AI124" s="22" t="n">
        <v>5387600</v>
      </c>
      <c r="AJ124" s="22" t="n">
        <v>12002700</v>
      </c>
      <c r="AK124" s="22" t="n">
        <v>7913300</v>
      </c>
      <c r="AL124" s="22" t="n">
        <v>6371000</v>
      </c>
      <c r="AM124" s="22" t="n">
        <v>5470500</v>
      </c>
      <c r="AN124" s="22" t="n">
        <v>7328800</v>
      </c>
      <c r="AO124" s="22" t="n">
        <v>6632900</v>
      </c>
      <c r="AP124" s="22" t="n">
        <v>6538700</v>
      </c>
      <c r="AQ124" s="22" t="n">
        <v>8780400</v>
      </c>
      <c r="AR124" s="22" t="n">
        <v>8041900</v>
      </c>
      <c r="AS124" s="22" t="n">
        <v>9612200</v>
      </c>
      <c r="AT124" s="22" t="n">
        <v>10788400</v>
      </c>
      <c r="AU124" s="22" t="n">
        <v>12977400</v>
      </c>
      <c r="AV124" s="22" t="n">
        <v>8041700</v>
      </c>
      <c r="AW124" s="22" t="n">
        <v>7395500</v>
      </c>
      <c r="AX124" s="22" t="n">
        <v>10173300</v>
      </c>
      <c r="AY124" s="22" t="n">
        <v>13374900</v>
      </c>
      <c r="AZ124" s="22" t="n">
        <v>7103600</v>
      </c>
      <c r="BA124" s="22" t="n">
        <v>8043100</v>
      </c>
      <c r="BB124" s="22" t="n">
        <v>5324900</v>
      </c>
      <c r="BC124" s="22" t="n">
        <v>8081500</v>
      </c>
      <c r="BD124" s="22" t="n">
        <v>8475700</v>
      </c>
      <c r="BE124" s="22" t="n">
        <v>10991600</v>
      </c>
      <c r="BF124" s="22" t="n">
        <v>13280600</v>
      </c>
      <c r="BG124" s="22" t="n">
        <v>7658700</v>
      </c>
      <c r="BH124" s="22" t="n">
        <v>7635300</v>
      </c>
      <c r="BI124" s="22" t="n">
        <v>7451400</v>
      </c>
      <c r="BJ124" s="22" t="n">
        <v>13636900</v>
      </c>
      <c r="BK124" s="22" t="n">
        <v>10932900</v>
      </c>
      <c r="BL124" s="22" t="n">
        <v>6113600</v>
      </c>
    </row>
    <row r="125" ht="15.95" customHeight="1" s="574">
      <c r="A125" s="416" t="inlineStr">
        <is>
          <t>8934</t>
        </is>
      </c>
      <c r="B125" s="49" t="inlineStr">
        <is>
          <t>サンフロンティア不動産</t>
        </is>
      </c>
      <c r="C125" s="53">
        <f>_xll.RssMarket("8934","出来高")</f>
        <v/>
      </c>
      <c r="D125" s="683">
        <f>C125-E125</f>
        <v/>
      </c>
      <c r="E125" s="213" t="n">
        <v>93600</v>
      </c>
      <c r="F125" s="22" t="n">
        <v>297000</v>
      </c>
      <c r="G125" s="22" t="n">
        <v>144400</v>
      </c>
      <c r="H125" s="22" t="n">
        <v>100500</v>
      </c>
      <c r="I125" s="22" t="n">
        <v>139700</v>
      </c>
      <c r="J125" s="22" t="n">
        <v>134300</v>
      </c>
      <c r="K125" s="22" t="n">
        <v>150900</v>
      </c>
      <c r="L125" s="22" t="n">
        <v>125100</v>
      </c>
      <c r="M125" s="22" t="n">
        <v>112100</v>
      </c>
      <c r="N125" s="22" t="n">
        <v>163200</v>
      </c>
      <c r="O125" s="22" t="n">
        <v>192200</v>
      </c>
      <c r="P125" s="22" t="n">
        <v>129800</v>
      </c>
      <c r="Q125" s="22" t="n">
        <v>164100</v>
      </c>
      <c r="R125" s="22" t="n">
        <v>244800</v>
      </c>
      <c r="S125" s="22" t="n">
        <v>145800</v>
      </c>
      <c r="T125" s="22" t="n">
        <v>129200</v>
      </c>
      <c r="U125" s="22" t="n">
        <v>105300</v>
      </c>
      <c r="V125" s="22" t="n">
        <v>206100</v>
      </c>
      <c r="W125" s="22" t="n">
        <v>141600</v>
      </c>
      <c r="X125" s="22" t="n">
        <v>185300</v>
      </c>
      <c r="Y125" s="22" t="n">
        <v>129000</v>
      </c>
      <c r="Z125" s="22" t="n">
        <v>197200</v>
      </c>
      <c r="AA125" s="22" t="n">
        <v>175700</v>
      </c>
      <c r="AB125" s="22" t="n">
        <v>180000</v>
      </c>
      <c r="AC125" s="22" t="n">
        <v>209700</v>
      </c>
      <c r="AD125" s="22" t="n">
        <v>411900</v>
      </c>
      <c r="AE125" s="22" t="n">
        <v>253500</v>
      </c>
      <c r="AF125" s="22" t="n">
        <v>253500</v>
      </c>
      <c r="AG125" s="22" t="n">
        <v>170900</v>
      </c>
      <c r="AH125" s="22" t="n">
        <v>183700</v>
      </c>
      <c r="AI125" s="22" t="n">
        <v>130300</v>
      </c>
      <c r="AJ125" s="22" t="n">
        <v>194200</v>
      </c>
      <c r="AK125" s="22" t="n">
        <v>266600</v>
      </c>
      <c r="AL125" s="22" t="n">
        <v>132500</v>
      </c>
      <c r="AM125" s="22" t="n">
        <v>186200</v>
      </c>
      <c r="AN125" s="22" t="n">
        <v>246800</v>
      </c>
      <c r="AO125" s="22" t="n">
        <v>161300</v>
      </c>
      <c r="AP125" s="22" t="n">
        <v>181800</v>
      </c>
      <c r="AQ125" s="22" t="n">
        <v>190900</v>
      </c>
      <c r="AR125" s="22" t="n">
        <v>164300</v>
      </c>
      <c r="AS125" s="22" t="n">
        <v>212200</v>
      </c>
      <c r="AT125" s="22" t="n">
        <v>208000</v>
      </c>
      <c r="AU125" s="22" t="n">
        <v>222100</v>
      </c>
      <c r="AV125" s="22" t="n">
        <v>326700</v>
      </c>
      <c r="AW125" s="22" t="n">
        <v>124800</v>
      </c>
      <c r="AX125" s="22" t="n">
        <v>445600</v>
      </c>
      <c r="AY125" s="22" t="n">
        <v>274200</v>
      </c>
      <c r="AZ125" s="22" t="n">
        <v>246700</v>
      </c>
      <c r="BA125" s="22" t="n">
        <v>156600</v>
      </c>
      <c r="BB125" s="22" t="n">
        <v>162900</v>
      </c>
      <c r="BC125" s="22" t="n">
        <v>147000</v>
      </c>
      <c r="BD125" s="22" t="n">
        <v>218700</v>
      </c>
      <c r="BE125" s="22" t="n">
        <v>262900</v>
      </c>
      <c r="BF125" s="22" t="n">
        <v>238800</v>
      </c>
      <c r="BG125" s="22" t="n">
        <v>163800</v>
      </c>
      <c r="BH125" s="22" t="n">
        <v>185600</v>
      </c>
      <c r="BI125" s="22" t="n">
        <v>205600</v>
      </c>
      <c r="BJ125" s="22" t="n">
        <v>279600</v>
      </c>
      <c r="BK125" s="22" t="n">
        <v>146900</v>
      </c>
      <c r="BL125" s="22" t="n">
        <v>101700</v>
      </c>
    </row>
    <row r="126" ht="15.95" customHeight="1" s="574">
      <c r="A126" s="416" t="inlineStr">
        <is>
          <t>9416</t>
        </is>
      </c>
      <c r="B126" s="49" t="inlineStr">
        <is>
          <t>ビジョン</t>
        </is>
      </c>
      <c r="C126" s="53">
        <f>_xll.RssMarket("9416","出来高")</f>
        <v/>
      </c>
      <c r="D126" s="683">
        <f>C126-E126</f>
        <v/>
      </c>
      <c r="E126" s="213" t="n">
        <v>482100</v>
      </c>
      <c r="F126" s="22" t="n">
        <v>392700</v>
      </c>
      <c r="G126" s="22" t="n">
        <v>353500</v>
      </c>
      <c r="H126" s="22" t="n">
        <v>504700</v>
      </c>
      <c r="I126" s="22" t="n">
        <v>333200</v>
      </c>
      <c r="J126" s="22" t="n">
        <v>412900</v>
      </c>
      <c r="K126" s="22" t="n">
        <v>415200</v>
      </c>
      <c r="L126" s="22" t="n">
        <v>337200</v>
      </c>
      <c r="M126" s="22" t="n">
        <v>318100</v>
      </c>
      <c r="N126" s="22" t="n">
        <v>352000</v>
      </c>
      <c r="O126" s="22" t="n">
        <v>463900</v>
      </c>
      <c r="P126" s="22" t="n">
        <v>353500</v>
      </c>
      <c r="Q126" s="22" t="n">
        <v>368400</v>
      </c>
      <c r="R126" s="22" t="n">
        <v>345100</v>
      </c>
      <c r="S126" s="22" t="n">
        <v>336400</v>
      </c>
      <c r="T126" s="22" t="n">
        <v>402700</v>
      </c>
      <c r="U126" s="22" t="n">
        <v>1019500</v>
      </c>
      <c r="V126" s="22" t="n">
        <v>454100</v>
      </c>
      <c r="W126" s="22" t="n">
        <v>284600</v>
      </c>
      <c r="X126" s="22" t="n">
        <v>464500</v>
      </c>
      <c r="Y126" s="22" t="n">
        <v>422100</v>
      </c>
      <c r="Z126" s="22" t="n">
        <v>659600</v>
      </c>
      <c r="AA126" s="22" t="n">
        <v>961800</v>
      </c>
      <c r="AB126" s="22" t="n">
        <v>255000</v>
      </c>
      <c r="AC126" s="22" t="n">
        <v>198500</v>
      </c>
      <c r="AD126" s="22" t="n">
        <v>148500</v>
      </c>
      <c r="AE126" s="22" t="n">
        <v>153800</v>
      </c>
      <c r="AF126" s="22" t="n">
        <v>153800</v>
      </c>
      <c r="AG126" s="22" t="n">
        <v>151700</v>
      </c>
      <c r="AH126" s="22" t="n">
        <v>173300</v>
      </c>
      <c r="AI126" s="22" t="n">
        <v>150900</v>
      </c>
      <c r="AJ126" s="22" t="n">
        <v>219500</v>
      </c>
      <c r="AK126" s="22" t="n">
        <v>181800</v>
      </c>
      <c r="AL126" s="22" t="n">
        <v>206700</v>
      </c>
      <c r="AM126" s="22" t="n">
        <v>339200</v>
      </c>
      <c r="AN126" s="22" t="n">
        <v>339300</v>
      </c>
      <c r="AO126" s="22" t="n">
        <v>300600</v>
      </c>
      <c r="AP126" s="22" t="n">
        <v>337200</v>
      </c>
      <c r="AQ126" s="22" t="n">
        <v>255600</v>
      </c>
      <c r="AR126" s="22" t="n">
        <v>188700</v>
      </c>
      <c r="AS126" s="22" t="n">
        <v>183900</v>
      </c>
      <c r="AT126" s="22" t="n">
        <v>214800</v>
      </c>
      <c r="AU126" s="22" t="n">
        <v>142500</v>
      </c>
      <c r="AV126" s="22" t="n">
        <v>227900</v>
      </c>
      <c r="AW126" s="22" t="n">
        <v>258800</v>
      </c>
      <c r="AX126" s="22" t="n">
        <v>231400</v>
      </c>
      <c r="AY126" s="22" t="n">
        <v>224300</v>
      </c>
      <c r="AZ126" s="22" t="n">
        <v>213400</v>
      </c>
      <c r="BA126" s="22" t="n">
        <v>119400</v>
      </c>
      <c r="BB126" s="22" t="n">
        <v>122800</v>
      </c>
      <c r="BC126" s="22" t="n">
        <v>193000</v>
      </c>
      <c r="BD126" s="22" t="n">
        <v>278300</v>
      </c>
      <c r="BE126" s="22" t="n">
        <v>300900</v>
      </c>
      <c r="BF126" s="22" t="n">
        <v>296100</v>
      </c>
      <c r="BG126" s="22" t="n">
        <v>185200</v>
      </c>
      <c r="BH126" s="22" t="n">
        <v>306700</v>
      </c>
      <c r="BI126" s="22" t="n">
        <v>524000</v>
      </c>
      <c r="BJ126" s="22" t="n">
        <v>373800</v>
      </c>
      <c r="BK126" s="22" t="n">
        <v>488400</v>
      </c>
      <c r="BL126" s="22" t="n">
        <v>265200</v>
      </c>
    </row>
    <row r="127" ht="15.95" customHeight="1" s="574">
      <c r="A127" s="416" t="inlineStr">
        <is>
          <t>9532</t>
        </is>
      </c>
      <c r="B127" s="49" t="inlineStr">
        <is>
          <t>大阪瓦斯</t>
        </is>
      </c>
      <c r="C127" s="53">
        <f>_xll.RssMarket("9532","出来高")</f>
        <v/>
      </c>
      <c r="D127" s="683">
        <f>C127-E127</f>
        <v/>
      </c>
      <c r="E127" s="213" t="n">
        <v>660900</v>
      </c>
      <c r="F127" s="22" t="n">
        <v>1592500</v>
      </c>
      <c r="G127" s="22" t="n">
        <v>668000</v>
      </c>
      <c r="H127" s="22" t="n">
        <v>723500</v>
      </c>
      <c r="I127" s="22" t="n">
        <v>832500</v>
      </c>
      <c r="J127" s="22" t="n">
        <v>1453600</v>
      </c>
      <c r="K127" s="22" t="n">
        <v>1226400</v>
      </c>
      <c r="L127" s="22" t="n">
        <v>1014400</v>
      </c>
      <c r="M127" s="22" t="n">
        <v>905300</v>
      </c>
      <c r="N127" s="22" t="n">
        <v>937400</v>
      </c>
      <c r="O127" s="22" t="n">
        <v>932500</v>
      </c>
      <c r="P127" s="22" t="n">
        <v>1413400</v>
      </c>
      <c r="Q127" s="22" t="n">
        <v>1277500</v>
      </c>
      <c r="R127" s="22" t="n">
        <v>4161400</v>
      </c>
      <c r="S127" s="22" t="n">
        <v>1339000</v>
      </c>
      <c r="T127" s="22" t="n">
        <v>1454500</v>
      </c>
      <c r="U127" s="22" t="n">
        <v>874800</v>
      </c>
      <c r="V127" s="22" t="n">
        <v>748600</v>
      </c>
      <c r="W127" s="22" t="n">
        <v>932400</v>
      </c>
      <c r="X127" s="22" t="n">
        <v>813400</v>
      </c>
      <c r="Y127" s="22" t="n">
        <v>983600</v>
      </c>
      <c r="Z127" s="22" t="n">
        <v>956900</v>
      </c>
      <c r="AA127" s="22" t="n">
        <v>829800</v>
      </c>
      <c r="AB127" s="22" t="n">
        <v>684300</v>
      </c>
      <c r="AC127" s="22" t="n">
        <v>861400</v>
      </c>
      <c r="AD127" s="22" t="n">
        <v>1699300</v>
      </c>
      <c r="AE127" s="22" t="n">
        <v>1649200</v>
      </c>
      <c r="AF127" s="22" t="n">
        <v>1649200</v>
      </c>
      <c r="AG127" s="22" t="n">
        <v>2354200</v>
      </c>
      <c r="AH127" s="22" t="n">
        <v>1479400</v>
      </c>
      <c r="AI127" s="22" t="n">
        <v>1004000</v>
      </c>
      <c r="AJ127" s="22" t="n">
        <v>2041600</v>
      </c>
      <c r="AK127" s="22" t="n">
        <v>1121500</v>
      </c>
      <c r="AL127" s="22" t="n">
        <v>756600</v>
      </c>
      <c r="AM127" s="22" t="n">
        <v>936500</v>
      </c>
      <c r="AN127" s="22" t="n">
        <v>1086600</v>
      </c>
      <c r="AO127" s="22" t="n">
        <v>799500</v>
      </c>
      <c r="AP127" s="22" t="n">
        <v>1155800</v>
      </c>
      <c r="AQ127" s="22" t="n">
        <v>1217700</v>
      </c>
      <c r="AR127" s="22" t="n">
        <v>1008700</v>
      </c>
      <c r="AS127" s="22" t="n">
        <v>832500</v>
      </c>
      <c r="AT127" s="22" t="n">
        <v>825600</v>
      </c>
      <c r="AU127" s="22" t="n">
        <v>871200</v>
      </c>
      <c r="AV127" s="22" t="n">
        <v>932700</v>
      </c>
      <c r="AW127" s="22" t="n">
        <v>1191500</v>
      </c>
      <c r="AX127" s="22" t="n">
        <v>876800</v>
      </c>
      <c r="AY127" s="22" t="n">
        <v>1402000</v>
      </c>
      <c r="AZ127" s="22" t="n">
        <v>860200</v>
      </c>
      <c r="BA127" s="22" t="n">
        <v>522300</v>
      </c>
      <c r="BB127" s="22" t="n">
        <v>515000</v>
      </c>
      <c r="BC127" s="22" t="n">
        <v>820800</v>
      </c>
      <c r="BD127" s="22" t="n">
        <v>890200</v>
      </c>
      <c r="BE127" s="22" t="n">
        <v>1282900</v>
      </c>
      <c r="BF127" s="22" t="n">
        <v>1133500</v>
      </c>
      <c r="BG127" s="22" t="n">
        <v>689200</v>
      </c>
      <c r="BH127" s="22" t="n">
        <v>1139800</v>
      </c>
      <c r="BI127" s="22" t="n">
        <v>1246900</v>
      </c>
      <c r="BJ127" s="22" t="n">
        <v>1600400</v>
      </c>
      <c r="BK127" s="22" t="n">
        <v>1992000</v>
      </c>
      <c r="BL127" s="22" t="n">
        <v>909600</v>
      </c>
    </row>
    <row r="128" ht="15.95" customHeight="1" s="574">
      <c r="A128" s="416" t="inlineStr">
        <is>
          <t>6330</t>
        </is>
      </c>
      <c r="B128" s="49" t="inlineStr">
        <is>
          <t>東洋エンジニア</t>
        </is>
      </c>
      <c r="C128" s="53">
        <f>_xll.RssMarket("6330","出来高")</f>
        <v/>
      </c>
      <c r="D128" s="683">
        <f>C128-E128</f>
        <v/>
      </c>
      <c r="E128" s="213" t="n">
        <v>847000</v>
      </c>
      <c r="F128" s="22" t="n">
        <v>1868500</v>
      </c>
      <c r="G128" s="22" t="n">
        <v>1787600</v>
      </c>
      <c r="H128" s="22" t="n">
        <v>1837600</v>
      </c>
      <c r="I128" s="22" t="n">
        <v>1268200</v>
      </c>
      <c r="J128" s="22" t="n">
        <v>949100</v>
      </c>
      <c r="K128" s="22" t="n">
        <v>1203900</v>
      </c>
      <c r="L128" s="22" t="n">
        <v>1040300</v>
      </c>
      <c r="M128" s="22" t="n">
        <v>1183700</v>
      </c>
      <c r="N128" s="22" t="n">
        <v>1427900</v>
      </c>
      <c r="O128" s="22" t="n">
        <v>780600</v>
      </c>
      <c r="P128" s="22" t="n">
        <v>1792600</v>
      </c>
      <c r="Q128" s="22" t="n">
        <v>1533200</v>
      </c>
      <c r="R128" s="22" t="n">
        <v>1253300</v>
      </c>
      <c r="S128" s="22" t="n">
        <v>1341100</v>
      </c>
      <c r="T128" s="22" t="n">
        <v>1312600</v>
      </c>
      <c r="U128" s="22" t="n">
        <v>1601100</v>
      </c>
      <c r="V128" s="22" t="n">
        <v>1797800</v>
      </c>
      <c r="W128" s="22" t="n">
        <v>1007100</v>
      </c>
      <c r="X128" s="22" t="n">
        <v>1997300</v>
      </c>
      <c r="Y128" s="22" t="n">
        <v>1768600</v>
      </c>
      <c r="Z128" s="22" t="n">
        <v>1519100</v>
      </c>
      <c r="AA128" s="22" t="n">
        <v>3032800</v>
      </c>
      <c r="AB128" s="22" t="n">
        <v>8663900</v>
      </c>
      <c r="AC128" s="22" t="n">
        <v>1241700</v>
      </c>
      <c r="AD128" s="22" t="n">
        <v>1514900</v>
      </c>
      <c r="AE128" s="22" t="n">
        <v>1535900</v>
      </c>
      <c r="AF128" s="22" t="n">
        <v>1535900</v>
      </c>
      <c r="AG128" s="22" t="n">
        <v>1278200</v>
      </c>
      <c r="AH128" s="22" t="n">
        <v>1391600</v>
      </c>
      <c r="AI128" s="22" t="n">
        <v>1327900</v>
      </c>
      <c r="AJ128" s="22" t="n">
        <v>1554600</v>
      </c>
      <c r="AK128" s="22" t="n">
        <v>1799200</v>
      </c>
      <c r="AL128" s="22" t="n">
        <v>1393200</v>
      </c>
      <c r="AM128" s="22" t="n">
        <v>1420500</v>
      </c>
      <c r="AN128" s="22" t="n">
        <v>2048800</v>
      </c>
      <c r="AO128" s="22" t="n">
        <v>2023100</v>
      </c>
      <c r="AP128" s="22" t="n">
        <v>2951600</v>
      </c>
      <c r="AQ128" s="22" t="n">
        <v>6094400</v>
      </c>
      <c r="AR128" s="22" t="n">
        <v>5076900</v>
      </c>
      <c r="AS128" s="22" t="n">
        <v>2832800</v>
      </c>
      <c r="AT128" s="22" t="n">
        <v>2740200</v>
      </c>
      <c r="AU128" s="22" t="n">
        <v>4463600</v>
      </c>
      <c r="AV128" s="22" t="n">
        <v>1779800</v>
      </c>
      <c r="AW128" s="22" t="n">
        <v>2625400</v>
      </c>
      <c r="AX128" s="22" t="n">
        <v>3078300</v>
      </c>
      <c r="AY128" s="22" t="n">
        <v>6663300</v>
      </c>
      <c r="AZ128" s="22" t="n">
        <v>7965400</v>
      </c>
      <c r="BA128" s="22" t="n">
        <v>5732300</v>
      </c>
      <c r="BB128" s="22" t="n">
        <v>8149500</v>
      </c>
      <c r="BC128" s="22" t="n">
        <v>2928300</v>
      </c>
      <c r="BD128" s="22" t="n">
        <v>3343500</v>
      </c>
      <c r="BE128" s="22" t="n">
        <v>3718600</v>
      </c>
      <c r="BF128" s="22" t="n">
        <v>2745900</v>
      </c>
      <c r="BG128" s="22" t="n">
        <v>4773900</v>
      </c>
      <c r="BH128" s="22" t="n">
        <v>13026100</v>
      </c>
      <c r="BI128" s="22" t="n">
        <v>10872700</v>
      </c>
      <c r="BJ128" s="22" t="n">
        <v>6041300</v>
      </c>
      <c r="BK128" s="22" t="n">
        <v>5712900</v>
      </c>
      <c r="BL128" s="22" t="n">
        <v>7108900</v>
      </c>
    </row>
    <row r="129" ht="15.95" customHeight="1" s="574">
      <c r="A129" s="416" t="inlineStr">
        <is>
          <t>4082</t>
        </is>
      </c>
      <c r="B129" s="49" t="inlineStr">
        <is>
          <t>第一稀元素化学工</t>
        </is>
      </c>
      <c r="C129" s="53">
        <f>_xll.RssMarket("4082","出来高")</f>
        <v/>
      </c>
      <c r="D129" s="683">
        <f>C129-E129</f>
        <v/>
      </c>
      <c r="E129" s="213" t="n">
        <v>291900</v>
      </c>
      <c r="F129" s="22" t="n">
        <v>246300</v>
      </c>
      <c r="G129" s="22" t="n">
        <v>307900</v>
      </c>
      <c r="H129" s="22" t="n">
        <v>270500</v>
      </c>
      <c r="I129" s="22" t="n">
        <v>251500</v>
      </c>
      <c r="J129" s="22" t="n">
        <v>246100</v>
      </c>
      <c r="K129" s="22" t="n">
        <v>300800</v>
      </c>
      <c r="L129" s="22" t="n">
        <v>378400</v>
      </c>
      <c r="M129" s="22" t="n">
        <v>394900</v>
      </c>
      <c r="N129" s="22" t="n">
        <v>222900</v>
      </c>
      <c r="O129" s="22" t="n">
        <v>271500</v>
      </c>
      <c r="P129" s="22" t="n">
        <v>337500</v>
      </c>
      <c r="Q129" s="22" t="n">
        <v>391600</v>
      </c>
      <c r="R129" s="22" t="n">
        <v>902100</v>
      </c>
      <c r="S129" s="22" t="n">
        <v>354900</v>
      </c>
      <c r="T129" s="22" t="n">
        <v>486800</v>
      </c>
      <c r="U129" s="22" t="n">
        <v>375500</v>
      </c>
      <c r="V129" s="22" t="n">
        <v>254200</v>
      </c>
      <c r="W129" s="22" t="n">
        <v>313200</v>
      </c>
      <c r="X129" s="22" t="n">
        <v>496400</v>
      </c>
      <c r="Y129" s="22" t="n">
        <v>282500</v>
      </c>
      <c r="Z129" s="22" t="n">
        <v>394100</v>
      </c>
      <c r="AA129" s="22" t="n">
        <v>1182400</v>
      </c>
      <c r="AB129" s="22" t="n">
        <v>441900</v>
      </c>
      <c r="AC129" s="22" t="n">
        <v>654500</v>
      </c>
      <c r="AD129" s="22" t="n">
        <v>577300</v>
      </c>
      <c r="AE129" s="22" t="n">
        <v>936600</v>
      </c>
      <c r="AF129" s="22" t="n">
        <v>936600</v>
      </c>
      <c r="AG129" s="22" t="n">
        <v>750000</v>
      </c>
      <c r="AH129" s="22" t="n">
        <v>317100</v>
      </c>
      <c r="AI129" s="22" t="n">
        <v>192600</v>
      </c>
      <c r="AJ129" s="22" t="n">
        <v>254500</v>
      </c>
      <c r="AK129" s="22" t="n">
        <v>191000</v>
      </c>
      <c r="AL129" s="22" t="n">
        <v>301400</v>
      </c>
      <c r="AM129" s="22" t="n">
        <v>841000</v>
      </c>
      <c r="AN129" s="22" t="n">
        <v>283300</v>
      </c>
      <c r="AO129" s="22" t="n">
        <v>286100</v>
      </c>
      <c r="AP129" s="22" t="n">
        <v>1001100</v>
      </c>
      <c r="AQ129" s="22" t="n">
        <v>1438600</v>
      </c>
      <c r="AR129" s="22" t="n">
        <v>723100</v>
      </c>
      <c r="AS129" s="22" t="n">
        <v>583600</v>
      </c>
      <c r="AT129" s="22" t="n">
        <v>281800</v>
      </c>
      <c r="AU129" s="22" t="n">
        <v>244000</v>
      </c>
      <c r="AV129" s="22" t="n">
        <v>170000</v>
      </c>
      <c r="AW129" s="22" t="n">
        <v>308000</v>
      </c>
      <c r="AX129" s="22" t="n">
        <v>253700</v>
      </c>
      <c r="AY129" s="22" t="n">
        <v>431000</v>
      </c>
      <c r="AZ129" s="22" t="n">
        <v>246700</v>
      </c>
      <c r="BA129" s="22" t="n">
        <v>335600</v>
      </c>
      <c r="BB129" s="22" t="n">
        <v>1568600</v>
      </c>
      <c r="BC129" s="22" t="n">
        <v>294500</v>
      </c>
      <c r="BD129" s="22" t="n">
        <v>203300</v>
      </c>
      <c r="BE129" s="22" t="n">
        <v>170200</v>
      </c>
      <c r="BF129" s="22" t="n">
        <v>148700</v>
      </c>
      <c r="BG129" s="22" t="n">
        <v>191900</v>
      </c>
      <c r="BH129" s="22" t="n">
        <v>237700</v>
      </c>
      <c r="BI129" s="22" t="n">
        <v>196800</v>
      </c>
      <c r="BJ129" s="22" t="n">
        <v>333900</v>
      </c>
      <c r="BK129" s="22" t="n">
        <v>222300</v>
      </c>
      <c r="BL129" s="22" t="n">
        <v>459000</v>
      </c>
    </row>
    <row r="130" ht="15.95" customHeight="1" s="574">
      <c r="A130" s="416" t="inlineStr">
        <is>
          <t>4519</t>
        </is>
      </c>
      <c r="B130" s="49" t="inlineStr">
        <is>
          <t>中外製薬</t>
        </is>
      </c>
      <c r="C130" s="53">
        <f>_xll.RssMarket("4519","出来高")</f>
        <v/>
      </c>
      <c r="D130" s="683">
        <f>C130-E130</f>
        <v/>
      </c>
      <c r="E130" s="213" t="n">
        <v>1238100</v>
      </c>
      <c r="F130" s="22" t="n">
        <v>3697700</v>
      </c>
      <c r="G130" s="22" t="n">
        <v>1954000</v>
      </c>
      <c r="H130" s="22" t="n">
        <v>1745000</v>
      </c>
      <c r="I130" s="22" t="n">
        <v>2083200</v>
      </c>
      <c r="J130" s="22" t="n">
        <v>2581900</v>
      </c>
      <c r="K130" s="22" t="n">
        <v>2164800</v>
      </c>
      <c r="L130" s="22" t="n">
        <v>2962000</v>
      </c>
      <c r="M130" s="22" t="n">
        <v>2319900</v>
      </c>
      <c r="N130" s="22" t="n">
        <v>2116500</v>
      </c>
      <c r="O130" s="22" t="n">
        <v>2311000</v>
      </c>
      <c r="P130" s="22" t="n">
        <v>2654400</v>
      </c>
      <c r="Q130" s="22" t="n">
        <v>2597400</v>
      </c>
      <c r="R130" s="22" t="n">
        <v>5543000</v>
      </c>
      <c r="S130" s="22" t="n">
        <v>1962700</v>
      </c>
      <c r="T130" s="22" t="n">
        <v>3277400</v>
      </c>
      <c r="U130" s="22" t="n">
        <v>1670400</v>
      </c>
      <c r="V130" s="22" t="n">
        <v>1924300</v>
      </c>
      <c r="W130" s="22" t="n">
        <v>2152600</v>
      </c>
      <c r="X130" s="22" t="n">
        <v>2507400</v>
      </c>
      <c r="Y130" s="22" t="n">
        <v>2367900</v>
      </c>
      <c r="Z130" s="22" t="n">
        <v>1512400</v>
      </c>
      <c r="AA130" s="22" t="n">
        <v>2260800</v>
      </c>
      <c r="AB130" s="22" t="n">
        <v>2811500</v>
      </c>
      <c r="AC130" s="22" t="n">
        <v>2385200</v>
      </c>
      <c r="AD130" s="22" t="n">
        <v>2123700</v>
      </c>
      <c r="AE130" s="22" t="n">
        <v>3038800</v>
      </c>
      <c r="AF130" s="22" t="n">
        <v>3038800</v>
      </c>
      <c r="AG130" s="22" t="n">
        <v>4228200</v>
      </c>
      <c r="AH130" s="22" t="n">
        <v>6790800</v>
      </c>
      <c r="AI130" s="22" t="n">
        <v>5927700</v>
      </c>
      <c r="AJ130" s="22" t="n">
        <v>6603000</v>
      </c>
      <c r="AK130" s="22" t="n">
        <v>5707500</v>
      </c>
      <c r="AL130" s="22" t="n">
        <v>10085300</v>
      </c>
      <c r="AM130" s="22" t="n">
        <v>4079800</v>
      </c>
      <c r="AN130" s="22" t="n">
        <v>2796800</v>
      </c>
      <c r="AO130" s="22" t="n">
        <v>2860500</v>
      </c>
      <c r="AP130" s="22" t="n">
        <v>2248400</v>
      </c>
      <c r="AQ130" s="22" t="n">
        <v>3234900</v>
      </c>
      <c r="AR130" s="22" t="n">
        <v>2446500</v>
      </c>
      <c r="AS130" s="22" t="n">
        <v>2218700</v>
      </c>
      <c r="AT130" s="22" t="n">
        <v>1925400</v>
      </c>
      <c r="AU130" s="22" t="n">
        <v>1975400</v>
      </c>
      <c r="AV130" s="22" t="n">
        <v>1432700</v>
      </c>
      <c r="AW130" s="22" t="n">
        <v>2506100</v>
      </c>
      <c r="AX130" s="22" t="n">
        <v>1911600</v>
      </c>
      <c r="AY130" s="22" t="n">
        <v>2898900</v>
      </c>
      <c r="AZ130" s="22" t="n">
        <v>1648400</v>
      </c>
      <c r="BA130" s="22" t="n">
        <v>1704600</v>
      </c>
      <c r="BB130" s="22" t="n">
        <v>2330600</v>
      </c>
      <c r="BC130" s="22" t="n">
        <v>3947800</v>
      </c>
      <c r="BD130" s="22" t="n">
        <v>2175900</v>
      </c>
      <c r="BE130" s="22" t="n">
        <v>3399400</v>
      </c>
      <c r="BF130" s="22" t="n">
        <v>2409500</v>
      </c>
      <c r="BG130" s="22" t="n">
        <v>1570300</v>
      </c>
      <c r="BH130" s="22" t="n">
        <v>2197300</v>
      </c>
      <c r="BI130" s="22" t="n">
        <v>1698000</v>
      </c>
      <c r="BJ130" s="22" t="n">
        <v>4261100</v>
      </c>
      <c r="BK130" s="22" t="n">
        <v>3153700</v>
      </c>
      <c r="BL130" s="22" t="n">
        <v>2529400</v>
      </c>
    </row>
    <row r="131" ht="15.95" customHeight="1" s="574">
      <c r="A131" s="416" t="inlineStr">
        <is>
          <t>2160</t>
        </is>
      </c>
      <c r="B131" s="49" t="inlineStr">
        <is>
          <t>ジーエヌアイグループ</t>
        </is>
      </c>
      <c r="C131" s="53">
        <f>_xll.RssMarket("2160","出来高")</f>
        <v/>
      </c>
      <c r="D131" s="683">
        <f>C131-E131</f>
        <v/>
      </c>
      <c r="E131" s="213" t="n">
        <v>949300</v>
      </c>
      <c r="F131" s="22" t="n">
        <v>1189100</v>
      </c>
      <c r="G131" s="22" t="n">
        <v>954900</v>
      </c>
      <c r="H131" s="22" t="n">
        <v>850200</v>
      </c>
      <c r="I131" s="22" t="n">
        <v>1242800</v>
      </c>
      <c r="J131" s="22" t="n">
        <v>1907600</v>
      </c>
      <c r="K131" s="22" t="n">
        <v>1518500</v>
      </c>
      <c r="L131" s="22" t="n">
        <v>1407600</v>
      </c>
      <c r="M131" s="22" t="n">
        <v>3745100</v>
      </c>
      <c r="N131" s="22" t="n">
        <v>1398100</v>
      </c>
      <c r="O131" s="22" t="n">
        <v>988600</v>
      </c>
      <c r="P131" s="22" t="n">
        <v>1109900</v>
      </c>
      <c r="Q131" s="22" t="n">
        <v>1177000</v>
      </c>
      <c r="R131" s="22" t="n">
        <v>1068600</v>
      </c>
      <c r="S131" s="22" t="n">
        <v>1641100</v>
      </c>
      <c r="T131" s="22" t="n">
        <v>1147400</v>
      </c>
      <c r="U131" s="22" t="n">
        <v>709500</v>
      </c>
      <c r="V131" s="22" t="n">
        <v>827600</v>
      </c>
      <c r="W131" s="22" t="n">
        <v>969800</v>
      </c>
      <c r="X131" s="22" t="n">
        <v>1241200</v>
      </c>
      <c r="Y131" s="22" t="n">
        <v>1559900</v>
      </c>
      <c r="Z131" s="22" t="n">
        <v>2804300</v>
      </c>
      <c r="AA131" s="22" t="n">
        <v>1188700</v>
      </c>
      <c r="AB131" s="22" t="n">
        <v>1266500</v>
      </c>
      <c r="AC131" s="22" t="n">
        <v>2154700</v>
      </c>
      <c r="AD131" s="22" t="n">
        <v>620100</v>
      </c>
      <c r="AE131" s="22" t="n">
        <v>600900</v>
      </c>
      <c r="AF131" s="22" t="n">
        <v>600900</v>
      </c>
      <c r="AG131" s="22" t="n">
        <v>947300</v>
      </c>
      <c r="AH131" s="22" t="n">
        <v>602300</v>
      </c>
      <c r="AI131" s="22" t="n">
        <v>938800</v>
      </c>
      <c r="AJ131" s="22" t="n">
        <v>1695800</v>
      </c>
      <c r="AK131" s="22" t="n">
        <v>389100</v>
      </c>
      <c r="AL131" s="22" t="n">
        <v>426400</v>
      </c>
      <c r="AM131" s="22" t="n">
        <v>801200</v>
      </c>
      <c r="AN131" s="22" t="n">
        <v>1160700</v>
      </c>
      <c r="AO131" s="22" t="n">
        <v>880800</v>
      </c>
      <c r="AP131" s="22" t="n">
        <v>997500</v>
      </c>
      <c r="AQ131" s="22" t="n">
        <v>1171300</v>
      </c>
      <c r="AR131" s="22" t="n">
        <v>641500</v>
      </c>
      <c r="AS131" s="22" t="n">
        <v>714800</v>
      </c>
      <c r="AT131" s="22" t="n">
        <v>1279600</v>
      </c>
      <c r="AU131" s="22" t="n">
        <v>623500</v>
      </c>
      <c r="AV131" s="22" t="n">
        <v>750900</v>
      </c>
      <c r="AW131" s="22" t="n">
        <v>926400</v>
      </c>
      <c r="AX131" s="22" t="n">
        <v>845500</v>
      </c>
      <c r="AY131" s="22" t="n">
        <v>856100</v>
      </c>
      <c r="AZ131" s="22" t="n">
        <v>595200</v>
      </c>
      <c r="BA131" s="22" t="n">
        <v>747200</v>
      </c>
      <c r="BB131" s="22" t="n">
        <v>734400</v>
      </c>
      <c r="BC131" s="22" t="n">
        <v>1311100</v>
      </c>
      <c r="BD131" s="22" t="n">
        <v>1101400</v>
      </c>
      <c r="BE131" s="22" t="n">
        <v>1072300</v>
      </c>
      <c r="BF131" s="22" t="n">
        <v>1369700</v>
      </c>
      <c r="BG131" s="22" t="n">
        <v>861300</v>
      </c>
      <c r="BH131" s="22" t="n">
        <v>1315800</v>
      </c>
      <c r="BI131" s="22" t="n">
        <v>2644700</v>
      </c>
      <c r="BJ131" s="22" t="n">
        <v>2822200</v>
      </c>
      <c r="BK131" s="22" t="n">
        <v>2356200</v>
      </c>
      <c r="BL131" s="22" t="n">
        <v>1464900</v>
      </c>
    </row>
    <row r="132" ht="15.95" customHeight="1" s="574">
      <c r="A132" s="416" t="inlineStr">
        <is>
          <t>6227</t>
        </is>
      </c>
      <c r="B132" s="49" t="inlineStr">
        <is>
          <t>ＡＩメカテック</t>
        </is>
      </c>
      <c r="C132" s="53">
        <f>_xll.RssMarket("6227","出来高")</f>
        <v/>
      </c>
      <c r="D132" s="683">
        <f>C132-E132</f>
        <v/>
      </c>
      <c r="E132" s="213" t="n">
        <v>1776700</v>
      </c>
      <c r="F132" s="22" t="n">
        <v>1346800</v>
      </c>
      <c r="G132" s="22" t="n">
        <v>2292200</v>
      </c>
      <c r="H132" s="22" t="n">
        <v>1363100</v>
      </c>
      <c r="I132" s="22" t="n">
        <v>1607600</v>
      </c>
      <c r="J132" s="22" t="n">
        <v>1744300</v>
      </c>
      <c r="K132" s="22" t="n">
        <v>1288600</v>
      </c>
      <c r="L132" s="22" t="n">
        <v>1698900</v>
      </c>
      <c r="M132" s="22" t="n">
        <v>2869100</v>
      </c>
      <c r="N132" s="22" t="n">
        <v>2426200</v>
      </c>
      <c r="O132" s="22" t="n">
        <v>1733900</v>
      </c>
      <c r="P132" s="22" t="n">
        <v>1304800</v>
      </c>
      <c r="Q132" s="22" t="n">
        <v>1180700</v>
      </c>
      <c r="R132" s="22" t="n">
        <v>771600</v>
      </c>
      <c r="S132" s="22" t="n">
        <v>1051000</v>
      </c>
      <c r="T132" s="22" t="n">
        <v>1493600</v>
      </c>
      <c r="U132" s="22" t="n">
        <v>1344400</v>
      </c>
      <c r="V132" s="22" t="n">
        <v>2369300</v>
      </c>
      <c r="W132" s="22" t="n">
        <v>2233700</v>
      </c>
      <c r="X132" s="22" t="n">
        <v>1396300</v>
      </c>
      <c r="Y132" s="22" t="n">
        <v>2189500</v>
      </c>
      <c r="Z132" s="22" t="n">
        <v>708600</v>
      </c>
      <c r="AA132" s="22" t="n">
        <v>1208800</v>
      </c>
      <c r="AB132" s="22" t="n">
        <v>1163500</v>
      </c>
      <c r="AC132" s="22" t="n">
        <v>686300</v>
      </c>
      <c r="AD132" s="22" t="n">
        <v>1315800</v>
      </c>
      <c r="AE132" s="22" t="n">
        <v>841100</v>
      </c>
      <c r="AF132" s="22" t="n">
        <v>841100</v>
      </c>
      <c r="AG132" s="22" t="n">
        <v>685500</v>
      </c>
      <c r="AH132" s="22" t="n">
        <v>1027000</v>
      </c>
      <c r="AI132" s="22" t="n">
        <v>503200</v>
      </c>
      <c r="AJ132" s="22" t="n">
        <v>1002100</v>
      </c>
      <c r="AK132" s="22" t="n">
        <v>796600</v>
      </c>
      <c r="AL132" s="22" t="n">
        <v>823500</v>
      </c>
      <c r="AM132" s="22" t="n">
        <v>920000</v>
      </c>
      <c r="AN132" s="22" t="n">
        <v>1696400</v>
      </c>
      <c r="AO132" s="22" t="n">
        <v>1002700</v>
      </c>
      <c r="AP132" s="22" t="n">
        <v>1369500</v>
      </c>
      <c r="AQ132" s="22" t="n">
        <v>1120200</v>
      </c>
      <c r="AR132" s="22" t="n">
        <v>865900</v>
      </c>
      <c r="AS132" s="22" t="n">
        <v>1604600</v>
      </c>
      <c r="AT132" s="22" t="n">
        <v>4718900</v>
      </c>
      <c r="AU132" s="22" t="n">
        <v>1385400</v>
      </c>
      <c r="AV132" s="22" t="n">
        <v>1468000</v>
      </c>
      <c r="AW132" s="22" t="n">
        <v>816300</v>
      </c>
      <c r="AX132" s="22" t="n">
        <v>885800</v>
      </c>
      <c r="AY132" s="22" t="n">
        <v>1611300</v>
      </c>
      <c r="AZ132" s="22" t="n">
        <v>1252200</v>
      </c>
      <c r="BA132" s="22" t="n">
        <v>2023400</v>
      </c>
      <c r="BB132" s="22" t="n">
        <v>680500</v>
      </c>
      <c r="BC132" s="22" t="n">
        <v>1943400</v>
      </c>
      <c r="BD132" s="22" t="n">
        <v>823400</v>
      </c>
      <c r="BE132" s="22" t="n">
        <v>1021200</v>
      </c>
      <c r="BF132" s="22" t="n">
        <v>457800</v>
      </c>
      <c r="BG132" s="22" t="n">
        <v>490400</v>
      </c>
      <c r="BH132" s="22" t="n">
        <v>517000</v>
      </c>
      <c r="BI132" s="22" t="n">
        <v>363400</v>
      </c>
      <c r="BJ132" s="22" t="n">
        <v>480000</v>
      </c>
      <c r="BK132" s="22" t="n">
        <v>1003000</v>
      </c>
      <c r="BL132" s="22" t="n">
        <v>506800</v>
      </c>
    </row>
    <row r="133" ht="15.95" customHeight="1" s="574">
      <c r="A133" s="416" t="inlineStr">
        <is>
          <t>6327</t>
        </is>
      </c>
      <c r="B133" s="49" t="inlineStr">
        <is>
          <t>北川精機</t>
        </is>
      </c>
      <c r="C133" s="53">
        <f>_xll.RssMarket("6327","出来高")</f>
        <v/>
      </c>
      <c r="D133" s="683">
        <f>C133-E133</f>
        <v/>
      </c>
      <c r="E133" s="213" t="n">
        <v>920600</v>
      </c>
      <c r="F133" s="22" t="n">
        <v>1942000</v>
      </c>
      <c r="G133" s="22" t="n">
        <v>510200</v>
      </c>
      <c r="H133" s="22" t="n">
        <v>918200</v>
      </c>
      <c r="I133" s="22" t="n">
        <v>1048100</v>
      </c>
      <c r="J133" s="22" t="n">
        <v>610800</v>
      </c>
      <c r="K133" s="22" t="n">
        <v>503400</v>
      </c>
      <c r="L133" s="22" t="n">
        <v>536400</v>
      </c>
      <c r="M133" s="22" t="n">
        <v>834800</v>
      </c>
      <c r="N133" s="22" t="n">
        <v>646800</v>
      </c>
      <c r="O133" s="22" t="n">
        <v>928100</v>
      </c>
      <c r="P133" s="22" t="n">
        <v>1186700</v>
      </c>
      <c r="Q133" s="22" t="n">
        <v>1239600</v>
      </c>
      <c r="R133" s="22" t="n">
        <v>2346700</v>
      </c>
      <c r="S133" s="22" t="n">
        <v>1309500</v>
      </c>
      <c r="T133" s="22" t="n">
        <v>1310400</v>
      </c>
      <c r="U133" s="22" t="n">
        <v>867700</v>
      </c>
      <c r="V133" s="22" t="n">
        <v>592400</v>
      </c>
      <c r="W133" s="22" t="n">
        <v>254100</v>
      </c>
      <c r="X133" s="22" t="n">
        <v>182800</v>
      </c>
      <c r="Y133" s="22" t="n">
        <v>209200</v>
      </c>
      <c r="Z133" s="22" t="n">
        <v>210800</v>
      </c>
      <c r="AA133" s="22" t="n">
        <v>193900</v>
      </c>
      <c r="AB133" s="22" t="n">
        <v>653300</v>
      </c>
      <c r="AC133" s="22" t="n">
        <v>686900</v>
      </c>
      <c r="AD133" s="22" t="n">
        <v>718800</v>
      </c>
      <c r="AE133" s="22" t="n">
        <v>778400</v>
      </c>
      <c r="AF133" s="22" t="n">
        <v>778400</v>
      </c>
      <c r="AG133" s="22" t="n">
        <v>853700</v>
      </c>
      <c r="AH133" s="22" t="n">
        <v>953500</v>
      </c>
      <c r="AI133" s="22" t="n">
        <v>584300</v>
      </c>
      <c r="AJ133" s="22" t="n">
        <v>1570100</v>
      </c>
      <c r="AK133" s="22" t="n">
        <v>1523500</v>
      </c>
      <c r="AL133" s="22" t="n">
        <v>205800</v>
      </c>
      <c r="AM133" s="22" t="n">
        <v>142300</v>
      </c>
      <c r="AN133" s="22" t="n">
        <v>175400</v>
      </c>
      <c r="AO133" s="22" t="n">
        <v>281100</v>
      </c>
      <c r="AP133" s="22" t="n">
        <v>452300</v>
      </c>
      <c r="AQ133" s="22" t="n">
        <v>207800</v>
      </c>
      <c r="AR133" s="22" t="n">
        <v>250200</v>
      </c>
      <c r="AS133" s="22" t="n">
        <v>221700</v>
      </c>
      <c r="AT133" s="22" t="n">
        <v>439500</v>
      </c>
      <c r="AU133" s="22" t="n">
        <v>446900</v>
      </c>
      <c r="AV133" s="22" t="n">
        <v>376200</v>
      </c>
      <c r="AW133" s="22" t="n">
        <v>777300</v>
      </c>
      <c r="AX133" s="22" t="n">
        <v>579900</v>
      </c>
      <c r="AY133" s="22" t="n">
        <v>650100</v>
      </c>
      <c r="AZ133" s="22" t="n">
        <v>191800</v>
      </c>
      <c r="BA133" s="22" t="n">
        <v>272300</v>
      </c>
      <c r="BB133" s="22" t="n">
        <v>138900</v>
      </c>
      <c r="BC133" s="22" t="n">
        <v>222900</v>
      </c>
      <c r="BD133" s="22" t="n">
        <v>363300</v>
      </c>
      <c r="BE133" s="22" t="n">
        <v>283400</v>
      </c>
      <c r="BF133" s="22" t="n">
        <v>249800</v>
      </c>
      <c r="BG133" s="22" t="n">
        <v>271900</v>
      </c>
      <c r="BH133" s="22" t="n">
        <v>248000</v>
      </c>
      <c r="BI133" s="22" t="n">
        <v>280000</v>
      </c>
      <c r="BJ133" s="22" t="n">
        <v>405700</v>
      </c>
      <c r="BK133" s="22" t="n">
        <v>417900</v>
      </c>
      <c r="BL133" s="22" t="n">
        <v>604500</v>
      </c>
    </row>
    <row r="134" ht="15.95" customHeight="1" s="574">
      <c r="A134" s="416" t="inlineStr">
        <is>
          <t>3110</t>
        </is>
      </c>
      <c r="B134" s="49" t="inlineStr">
        <is>
          <t>日東紡績</t>
        </is>
      </c>
      <c r="C134" s="53">
        <f>_xll.RssMarket("3110","出来高")</f>
        <v/>
      </c>
      <c r="D134" s="683">
        <f>C134-E134</f>
        <v/>
      </c>
      <c r="E134" s="213" t="n">
        <v>1713700</v>
      </c>
      <c r="F134" s="22" t="n">
        <v>2301300</v>
      </c>
      <c r="G134" s="22" t="n">
        <v>2607800</v>
      </c>
      <c r="H134" s="22" t="n">
        <v>1745900</v>
      </c>
      <c r="I134" s="22" t="n">
        <v>3687800</v>
      </c>
      <c r="J134" s="22" t="n">
        <v>2241600</v>
      </c>
      <c r="K134" s="22" t="n">
        <v>1725900</v>
      </c>
      <c r="L134" s="22" t="n">
        <v>1957300</v>
      </c>
      <c r="M134" s="22" t="n">
        <v>3112600</v>
      </c>
      <c r="N134" s="22" t="n">
        <v>2065000</v>
      </c>
      <c r="O134" s="22" t="n">
        <v>2696500</v>
      </c>
      <c r="P134" s="22" t="n">
        <v>2106900</v>
      </c>
      <c r="Q134" s="22" t="n">
        <v>2636100</v>
      </c>
      <c r="R134" s="22" t="n">
        <v>2443100</v>
      </c>
      <c r="S134" s="22" t="n">
        <v>2229900</v>
      </c>
      <c r="T134" s="22" t="n">
        <v>3200300</v>
      </c>
      <c r="U134" s="22" t="n">
        <v>3233700</v>
      </c>
      <c r="V134" s="22" t="n">
        <v>3594700</v>
      </c>
      <c r="W134" s="22" t="n">
        <v>1696600</v>
      </c>
      <c r="X134" s="22" t="n">
        <v>1580000</v>
      </c>
      <c r="Y134" s="22" t="n">
        <v>1969700</v>
      </c>
      <c r="Z134" s="22" t="n">
        <v>1982700</v>
      </c>
      <c r="AA134" s="22" t="n">
        <v>2240100</v>
      </c>
      <c r="AB134" s="22" t="n">
        <v>2389100</v>
      </c>
      <c r="AC134" s="22" t="n">
        <v>3827200</v>
      </c>
      <c r="AD134" s="22" t="n">
        <v>2079800</v>
      </c>
      <c r="AE134" s="22" t="n">
        <v>2418000</v>
      </c>
      <c r="AF134" s="22" t="n">
        <v>2418000</v>
      </c>
      <c r="AG134" s="22" t="n">
        <v>1719400</v>
      </c>
      <c r="AH134" s="22" t="n">
        <v>2431300</v>
      </c>
      <c r="AI134" s="22" t="n">
        <v>1845500</v>
      </c>
      <c r="AJ134" s="22" t="n">
        <v>2028500</v>
      </c>
      <c r="AK134" s="22" t="n">
        <v>1702700</v>
      </c>
      <c r="AL134" s="22" t="n">
        <v>1945700</v>
      </c>
      <c r="AM134" s="22" t="n">
        <v>2471700</v>
      </c>
      <c r="AN134" s="22" t="n">
        <v>2561400</v>
      </c>
      <c r="AO134" s="22" t="n">
        <v>1711000</v>
      </c>
      <c r="AP134" s="22" t="n">
        <v>1760500</v>
      </c>
      <c r="AQ134" s="22" t="n">
        <v>1689500</v>
      </c>
      <c r="AR134" s="22" t="n">
        <v>2656700</v>
      </c>
      <c r="AS134" s="22" t="n">
        <v>2718100</v>
      </c>
      <c r="AT134" s="22" t="n">
        <v>3420400</v>
      </c>
      <c r="AU134" s="22" t="n">
        <v>2458200</v>
      </c>
      <c r="AV134" s="22" t="n">
        <v>3743000</v>
      </c>
      <c r="AW134" s="22" t="n">
        <v>2926100</v>
      </c>
      <c r="AX134" s="22" t="n">
        <v>2836700</v>
      </c>
      <c r="AY134" s="22" t="n">
        <v>2678600</v>
      </c>
      <c r="AZ134" s="22" t="n">
        <v>1866200</v>
      </c>
      <c r="BA134" s="22" t="n">
        <v>1342500</v>
      </c>
      <c r="BB134" s="22" t="n">
        <v>1170400</v>
      </c>
      <c r="BC134" s="22" t="n">
        <v>1968900</v>
      </c>
      <c r="BD134" s="22" t="n">
        <v>1455700</v>
      </c>
      <c r="BE134" s="22" t="n">
        <v>1993700</v>
      </c>
      <c r="BF134" s="22" t="n">
        <v>1386300</v>
      </c>
      <c r="BG134" s="22" t="n">
        <v>1763800</v>
      </c>
      <c r="BH134" s="22" t="n">
        <v>1654100</v>
      </c>
      <c r="BI134" s="22" t="n">
        <v>1543600</v>
      </c>
      <c r="BJ134" s="22" t="n">
        <v>1982900</v>
      </c>
      <c r="BK134" s="22" t="n">
        <v>1641100</v>
      </c>
      <c r="BL134" s="22" t="n">
        <v>1249600</v>
      </c>
    </row>
    <row r="135" ht="15.95" customHeight="1" s="574">
      <c r="A135" s="416" t="inlineStr">
        <is>
          <t>6232</t>
        </is>
      </c>
      <c r="B135" s="49" t="inlineStr">
        <is>
          <t>ＡＣＳＬ</t>
        </is>
      </c>
      <c r="C135" s="53">
        <f>_xll.RssMarket("6232","出来高")</f>
        <v/>
      </c>
      <c r="D135" s="683">
        <f>C135-E135</f>
        <v/>
      </c>
      <c r="E135" s="213" t="n">
        <v>1062400</v>
      </c>
      <c r="F135" s="22" t="n">
        <v>644700</v>
      </c>
      <c r="G135" s="22" t="n">
        <v>772200</v>
      </c>
      <c r="H135" s="22" t="n">
        <v>921600</v>
      </c>
      <c r="I135" s="22" t="n">
        <v>991800</v>
      </c>
      <c r="J135" s="22" t="n">
        <v>700300</v>
      </c>
      <c r="K135" s="22" t="n">
        <v>641600</v>
      </c>
      <c r="L135" s="22" t="n">
        <v>953300</v>
      </c>
      <c r="M135" s="22" t="n">
        <v>1058500</v>
      </c>
      <c r="N135" s="22" t="n">
        <v>1380600</v>
      </c>
      <c r="O135" s="22" t="n">
        <v>616300</v>
      </c>
      <c r="P135" s="22" t="n">
        <v>958900</v>
      </c>
      <c r="Q135" s="22" t="n">
        <v>1362800</v>
      </c>
      <c r="R135" s="22" t="n">
        <v>1662100</v>
      </c>
      <c r="S135" s="22" t="n">
        <v>2307500</v>
      </c>
      <c r="T135" s="22" t="n">
        <v>2114600</v>
      </c>
      <c r="U135" s="22" t="n">
        <v>1729600</v>
      </c>
      <c r="V135" s="22" t="n">
        <v>1857300</v>
      </c>
      <c r="W135" s="22" t="n">
        <v>2016000</v>
      </c>
      <c r="X135" s="22" t="n">
        <v>3268000</v>
      </c>
      <c r="Y135" s="22" t="n">
        <v>3416700</v>
      </c>
      <c r="Z135" s="22" t="n">
        <v>1907700</v>
      </c>
      <c r="AA135" s="22" t="n">
        <v>3731300</v>
      </c>
      <c r="AB135" s="22" t="n">
        <v>2649800</v>
      </c>
      <c r="AC135" s="22" t="n">
        <v>3926300</v>
      </c>
      <c r="AD135" s="22" t="n">
        <v>8017800</v>
      </c>
      <c r="AE135" s="22" t="n">
        <v>767100</v>
      </c>
      <c r="AF135" s="22" t="n">
        <v>767100</v>
      </c>
      <c r="AG135" s="22" t="n">
        <v>5287100</v>
      </c>
      <c r="AH135" s="22" t="n">
        <v>5564700</v>
      </c>
      <c r="AI135" s="22" t="n">
        <v>11766500</v>
      </c>
      <c r="AJ135" s="22" t="n">
        <v>4527000</v>
      </c>
      <c r="AK135" s="22" t="n">
        <v>2891400</v>
      </c>
      <c r="AL135" s="22" t="n">
        <v>4855100</v>
      </c>
      <c r="AM135" s="22" t="n">
        <v>18732200</v>
      </c>
      <c r="AN135" s="22" t="n">
        <v>11468100</v>
      </c>
      <c r="AO135" s="22" t="n">
        <v>5941300</v>
      </c>
      <c r="AP135" s="22" t="n">
        <v>997400</v>
      </c>
      <c r="AQ135" s="22" t="n">
        <v>1237700</v>
      </c>
      <c r="AR135" s="22" t="n">
        <v>1169800</v>
      </c>
      <c r="AS135" s="22" t="n">
        <v>2020400</v>
      </c>
      <c r="AT135" s="22" t="n">
        <v>2466500</v>
      </c>
      <c r="AU135" s="22" t="n">
        <v>3716800</v>
      </c>
      <c r="AV135" s="22" t="n">
        <v>2477300</v>
      </c>
      <c r="AW135" s="22" t="n">
        <v>1101600</v>
      </c>
      <c r="AX135" s="22" t="n">
        <v>951200</v>
      </c>
      <c r="AY135" s="22" t="n">
        <v>2833400</v>
      </c>
      <c r="AZ135" s="22" t="n">
        <v>609000</v>
      </c>
      <c r="BA135" s="22" t="n">
        <v>497400</v>
      </c>
      <c r="BB135" s="22" t="n">
        <v>1067400</v>
      </c>
      <c r="BC135" s="22" t="n">
        <v>1546400</v>
      </c>
      <c r="BD135" s="22" t="n">
        <v>1111000</v>
      </c>
      <c r="BE135" s="22" t="n">
        <v>1024000</v>
      </c>
      <c r="BF135" s="22" t="n">
        <v>899700</v>
      </c>
      <c r="BG135" s="22" t="n">
        <v>1118600</v>
      </c>
      <c r="BH135" s="22" t="n">
        <v>2169200</v>
      </c>
      <c r="BI135" s="22" t="n">
        <v>1902600</v>
      </c>
      <c r="BJ135" s="22" t="n">
        <v>1193900</v>
      </c>
      <c r="BK135" s="22" t="n">
        <v>886900</v>
      </c>
      <c r="BL135" s="22" t="n">
        <v>949300</v>
      </c>
    </row>
    <row r="136" ht="15.95" customHeight="1" s="574">
      <c r="A136" s="416" t="inlineStr">
        <is>
          <t>7794</t>
        </is>
      </c>
      <c r="B136" s="49" t="inlineStr">
        <is>
          <t>イーディーピー</t>
        </is>
      </c>
      <c r="C136" s="53">
        <f>_xll.RssMarket("7794","出来高")</f>
        <v/>
      </c>
      <c r="D136" s="683">
        <f>C136-E136</f>
        <v/>
      </c>
      <c r="E136" s="213" t="n">
        <v>768700</v>
      </c>
      <c r="F136" s="22" t="n">
        <v>249900</v>
      </c>
      <c r="G136" s="22" t="n">
        <v>239500</v>
      </c>
      <c r="H136" s="22" t="n">
        <v>237400</v>
      </c>
      <c r="I136" s="22" t="n">
        <v>154800</v>
      </c>
      <c r="J136" s="22" t="n">
        <v>191400</v>
      </c>
      <c r="K136" s="22" t="n">
        <v>216800</v>
      </c>
      <c r="L136" s="22" t="n">
        <v>252200</v>
      </c>
      <c r="M136" s="22" t="n">
        <v>672800</v>
      </c>
      <c r="N136" s="22" t="n">
        <v>537700</v>
      </c>
      <c r="O136" s="22" t="n">
        <v>718500</v>
      </c>
      <c r="P136" s="22" t="n">
        <v>559200</v>
      </c>
      <c r="Q136" s="22" t="n">
        <v>600500</v>
      </c>
      <c r="R136" s="22" t="n">
        <v>1514100</v>
      </c>
      <c r="S136" s="22" t="n">
        <v>5140300</v>
      </c>
      <c r="T136" s="22" t="n">
        <v>168400</v>
      </c>
      <c r="U136" s="22" t="n">
        <v>268000</v>
      </c>
      <c r="V136" s="22" t="n">
        <v>191500</v>
      </c>
      <c r="W136" s="22" t="n">
        <v>208500</v>
      </c>
      <c r="X136" s="22" t="n">
        <v>280700</v>
      </c>
      <c r="Y136" s="22" t="n">
        <v>231200</v>
      </c>
      <c r="Z136" s="22" t="n">
        <v>316000</v>
      </c>
      <c r="AA136" s="22" t="n">
        <v>386400</v>
      </c>
      <c r="AB136" s="22" t="n">
        <v>1142100</v>
      </c>
      <c r="AC136" s="22" t="n">
        <v>320900</v>
      </c>
      <c r="AD136" s="22" t="n">
        <v>401100</v>
      </c>
      <c r="AE136" s="22" t="n">
        <v>549300</v>
      </c>
      <c r="AF136" s="22" t="n">
        <v>549300</v>
      </c>
      <c r="AG136" s="22" t="n">
        <v>597200</v>
      </c>
      <c r="AH136" s="22" t="n">
        <v>317600</v>
      </c>
      <c r="AI136" s="22" t="n">
        <v>446300</v>
      </c>
      <c r="AJ136" s="22" t="n">
        <v>441500</v>
      </c>
      <c r="AK136" s="22" t="n">
        <v>255000</v>
      </c>
      <c r="AL136" s="22" t="n">
        <v>578400</v>
      </c>
      <c r="AM136" s="22" t="n">
        <v>715700</v>
      </c>
      <c r="AN136" s="22" t="n">
        <v>884300</v>
      </c>
      <c r="AO136" s="22" t="n">
        <v>2651800</v>
      </c>
      <c r="AP136" s="22" t="n">
        <v>3163100</v>
      </c>
      <c r="AQ136" s="22" t="n">
        <v>1875100</v>
      </c>
      <c r="AR136" s="22" t="n">
        <v>728700</v>
      </c>
      <c r="AS136" s="22" t="n">
        <v>481800</v>
      </c>
      <c r="AT136" s="22" t="n">
        <v>366300</v>
      </c>
      <c r="AU136" s="22" t="n">
        <v>303600</v>
      </c>
      <c r="AV136" s="22" t="n">
        <v>214200</v>
      </c>
      <c r="AW136" s="22" t="n">
        <v>348800</v>
      </c>
      <c r="AX136" s="22" t="n">
        <v>294600</v>
      </c>
      <c r="AY136" s="22" t="n">
        <v>433100</v>
      </c>
      <c r="AZ136" s="22" t="n">
        <v>314400</v>
      </c>
      <c r="BA136" s="22" t="n">
        <v>273300</v>
      </c>
      <c r="BB136" s="22" t="n">
        <v>266300</v>
      </c>
      <c r="BC136" s="22" t="n">
        <v>565800</v>
      </c>
      <c r="BD136" s="22" t="n">
        <v>623300</v>
      </c>
      <c r="BE136" s="22" t="n">
        <v>5588600</v>
      </c>
      <c r="BF136" s="22" t="n">
        <v>313800</v>
      </c>
      <c r="BG136" s="22" t="n">
        <v>663500</v>
      </c>
      <c r="BH136" s="22" t="n">
        <v>353000</v>
      </c>
      <c r="BI136" s="22" t="n">
        <v>398600</v>
      </c>
      <c r="BJ136" s="22" t="n">
        <v>509400</v>
      </c>
      <c r="BK136" s="22" t="n">
        <v>666100</v>
      </c>
      <c r="BL136" s="22" t="n">
        <v>452100</v>
      </c>
    </row>
    <row r="137" ht="15.95" customHeight="1" s="574">
      <c r="A137" s="416" t="inlineStr">
        <is>
          <t>6085</t>
        </is>
      </c>
      <c r="B137" s="49" t="inlineStr">
        <is>
          <t>アーキテクツＳＪ</t>
        </is>
      </c>
      <c r="C137" s="53">
        <f>_xll.RssMarket("6085","出来高")</f>
        <v/>
      </c>
      <c r="D137" s="683">
        <f>C137-E137</f>
        <v/>
      </c>
      <c r="E137" s="213" t="n">
        <v>5699400</v>
      </c>
      <c r="F137" s="22" t="n">
        <v>2117900</v>
      </c>
      <c r="G137" s="22" t="n">
        <v>2541000</v>
      </c>
      <c r="H137" s="22" t="n">
        <v>1747900</v>
      </c>
      <c r="I137" s="22" t="n">
        <v>2216900</v>
      </c>
      <c r="J137" s="22" t="n">
        <v>6084900</v>
      </c>
      <c r="K137" s="22" t="n">
        <v>2333800</v>
      </c>
      <c r="L137" s="22" t="n">
        <v>8186700</v>
      </c>
      <c r="M137" s="22" t="n">
        <v>3742700</v>
      </c>
      <c r="N137" s="22" t="n">
        <v>5772500</v>
      </c>
      <c r="O137" s="22" t="n">
        <v>3686000</v>
      </c>
      <c r="P137" s="22" t="n">
        <v>6303200</v>
      </c>
      <c r="Q137" s="22" t="n">
        <v>7411900</v>
      </c>
      <c r="R137" s="22" t="n">
        <v>4206200</v>
      </c>
      <c r="S137" s="22" t="n">
        <v>6103400</v>
      </c>
      <c r="T137" s="22" t="n">
        <v>6345100</v>
      </c>
      <c r="U137" s="22" t="n">
        <v>3575200</v>
      </c>
      <c r="V137" s="22" t="n">
        <v>2850800</v>
      </c>
      <c r="W137" s="22" t="n">
        <v>3262400</v>
      </c>
      <c r="X137" s="22" t="n">
        <v>3479500</v>
      </c>
      <c r="Y137" s="22" t="n">
        <v>9027300</v>
      </c>
      <c r="Z137" s="22" t="n">
        <v>6048100</v>
      </c>
      <c r="AA137" s="22" t="n">
        <v>3280400</v>
      </c>
      <c r="AB137" s="22" t="n">
        <v>4924100</v>
      </c>
      <c r="AC137" s="22" t="n">
        <v>3642000</v>
      </c>
      <c r="AD137" s="22" t="n">
        <v>2040500</v>
      </c>
      <c r="AE137" s="22" t="n">
        <v>6384100</v>
      </c>
      <c r="AF137" s="22" t="n">
        <v>6384100</v>
      </c>
      <c r="AG137" s="22" t="n">
        <v>7590600</v>
      </c>
      <c r="AH137" s="22" t="n">
        <v>11750600</v>
      </c>
      <c r="AI137" s="22" t="n">
        <v>9487800</v>
      </c>
      <c r="AJ137" s="22" t="n">
        <v>15236600</v>
      </c>
      <c r="AK137" s="22" t="n">
        <v>12643700</v>
      </c>
      <c r="AL137" s="22" t="n">
        <v>14044400</v>
      </c>
      <c r="AM137" s="22" t="n">
        <v>11925200</v>
      </c>
      <c r="AN137" s="22" t="n">
        <v>6019600</v>
      </c>
      <c r="AO137" s="22" t="n">
        <v>8562600</v>
      </c>
      <c r="AP137" s="22" t="n">
        <v>380600</v>
      </c>
      <c r="AQ137" s="22" t="n">
        <v>730000</v>
      </c>
      <c r="AR137" s="22" t="n">
        <v>769500</v>
      </c>
      <c r="AS137" s="22" t="n">
        <v>693800</v>
      </c>
      <c r="AT137" s="22" t="n">
        <v>143700</v>
      </c>
      <c r="AU137" s="22" t="n">
        <v>338100</v>
      </c>
      <c r="AV137" s="22" t="n">
        <v>487200</v>
      </c>
      <c r="AW137" s="22" t="n">
        <v>191400</v>
      </c>
      <c r="AX137" s="22" t="n">
        <v>123500</v>
      </c>
      <c r="AY137" s="22" t="n">
        <v>275200</v>
      </c>
      <c r="AZ137" s="22" t="n">
        <v>277800</v>
      </c>
      <c r="BA137" s="22" t="n">
        <v>229800</v>
      </c>
      <c r="BB137" s="22" t="n">
        <v>116600</v>
      </c>
      <c r="BC137" s="22" t="n">
        <v>248300</v>
      </c>
      <c r="BD137" s="22" t="n">
        <v>240300</v>
      </c>
      <c r="BE137" s="22" t="n">
        <v>509200</v>
      </c>
      <c r="BF137" s="22" t="n">
        <v>809300</v>
      </c>
      <c r="BG137" s="22" t="n">
        <v>828600</v>
      </c>
      <c r="BH137" s="22" t="n">
        <v>970800</v>
      </c>
      <c r="BI137" s="22" t="n">
        <v>562300</v>
      </c>
      <c r="BJ137" s="22" t="n">
        <v>2013000</v>
      </c>
      <c r="BK137" s="22" t="n">
        <v>46900</v>
      </c>
      <c r="BL137" s="22" t="n">
        <v>60400</v>
      </c>
    </row>
    <row r="138" ht="15.95" customHeight="1" s="574">
      <c r="A138" s="416" t="inlineStr">
        <is>
          <t>3103</t>
        </is>
      </c>
      <c r="B138" s="49" t="inlineStr">
        <is>
          <t>ユニチカ</t>
        </is>
      </c>
      <c r="C138" s="53">
        <f>_xll.RssMarket("3103","出来高")</f>
        <v/>
      </c>
      <c r="D138" s="683">
        <f>C138-E138</f>
        <v/>
      </c>
      <c r="E138" s="213" t="n">
        <v>12259500</v>
      </c>
      <c r="F138" s="22" t="n">
        <v>3655900</v>
      </c>
      <c r="G138" s="22" t="n">
        <v>7264100</v>
      </c>
      <c r="H138" s="22" t="n">
        <v>6382500</v>
      </c>
      <c r="I138" s="22" t="n">
        <v>2951600</v>
      </c>
      <c r="J138" s="22" t="n">
        <v>7665500</v>
      </c>
      <c r="K138" s="22" t="n">
        <v>3294400</v>
      </c>
      <c r="L138" s="22" t="n">
        <v>2638100</v>
      </c>
      <c r="M138" s="22" t="n">
        <v>3395900</v>
      </c>
      <c r="N138" s="22" t="n">
        <v>3851200</v>
      </c>
      <c r="O138" s="22" t="n">
        <v>3632100</v>
      </c>
      <c r="P138" s="22" t="n">
        <v>5666600</v>
      </c>
      <c r="Q138" s="22" t="n">
        <v>4078200</v>
      </c>
      <c r="R138" s="22" t="n">
        <v>5487000</v>
      </c>
      <c r="S138" s="22" t="n">
        <v>4299900</v>
      </c>
      <c r="T138" s="22" t="n">
        <v>9322600</v>
      </c>
      <c r="U138" s="22" t="n">
        <v>15160400</v>
      </c>
      <c r="V138" s="22" t="n">
        <v>10056900</v>
      </c>
      <c r="W138" s="22" t="n">
        <v>6802800</v>
      </c>
      <c r="X138" s="22" t="n">
        <v>5444200</v>
      </c>
      <c r="Y138" s="22" t="n">
        <v>10701100</v>
      </c>
      <c r="Z138" s="22" t="n">
        <v>23615800</v>
      </c>
      <c r="AA138" s="22" t="n">
        <v>635700</v>
      </c>
      <c r="AB138" s="22" t="n">
        <v>4604100</v>
      </c>
      <c r="AC138" s="22" t="n">
        <v>6142400</v>
      </c>
      <c r="AD138" s="22" t="n">
        <v>4007100</v>
      </c>
      <c r="AE138" s="22" t="n">
        <v>8345300</v>
      </c>
      <c r="AF138" s="22" t="n">
        <v>8345300</v>
      </c>
      <c r="AG138" s="22" t="n">
        <v>12981500</v>
      </c>
      <c r="AH138" s="22" t="n">
        <v>16543800</v>
      </c>
      <c r="AI138" s="22" t="n">
        <v>10667900</v>
      </c>
      <c r="AJ138" s="22" t="n">
        <v>17314000</v>
      </c>
      <c r="AK138" s="22" t="n">
        <v>15773900</v>
      </c>
      <c r="AL138" s="22" t="n">
        <v>14220200</v>
      </c>
      <c r="AM138" s="22" t="n">
        <v>15986000</v>
      </c>
      <c r="AN138" s="22" t="n">
        <v>22597900</v>
      </c>
      <c r="AO138" s="22" t="n">
        <v>29411100</v>
      </c>
      <c r="AP138" s="22" t="n">
        <v>3514600</v>
      </c>
      <c r="AQ138" s="22" t="n">
        <v>14402100</v>
      </c>
      <c r="AR138" s="22" t="n">
        <v>38468100</v>
      </c>
      <c r="AS138" s="22" t="n">
        <v>22762100</v>
      </c>
      <c r="AT138" s="22" t="n">
        <v>56226400</v>
      </c>
      <c r="AU138" s="22" t="n">
        <v>19606200</v>
      </c>
      <c r="AV138" s="22" t="n">
        <v>39395300</v>
      </c>
      <c r="AW138" s="22" t="n">
        <v>23843100</v>
      </c>
      <c r="AX138" s="22" t="n">
        <v>5549400</v>
      </c>
      <c r="AY138" s="22" t="n">
        <v>7808400</v>
      </c>
      <c r="AZ138" s="22" t="n">
        <v>5534800</v>
      </c>
      <c r="BA138" s="22" t="n">
        <v>4666900</v>
      </c>
      <c r="BB138" s="22" t="n">
        <v>6533100</v>
      </c>
      <c r="BC138" s="22" t="n">
        <v>8209200</v>
      </c>
      <c r="BD138" s="22" t="n">
        <v>5390800</v>
      </c>
      <c r="BE138" s="22" t="n">
        <v>4652000</v>
      </c>
      <c r="BF138" s="22" t="n">
        <v>7769000</v>
      </c>
      <c r="BG138" s="22" t="n">
        <v>12402800</v>
      </c>
      <c r="BH138" s="22" t="n">
        <v>6343100</v>
      </c>
      <c r="BI138" s="22" t="n">
        <v>4266800</v>
      </c>
      <c r="BJ138" s="22" t="n">
        <v>5811900</v>
      </c>
      <c r="BK138" s="22" t="n">
        <v>7204000</v>
      </c>
      <c r="BL138" s="22" t="n">
        <v>11400100</v>
      </c>
    </row>
    <row r="139" ht="15.95" customHeight="1" s="574">
      <c r="A139" s="416" t="inlineStr">
        <is>
          <t>4422</t>
        </is>
      </c>
      <c r="B139" s="49" t="inlineStr">
        <is>
          <t>ＶＡＬＵＥＮＥＸ</t>
        </is>
      </c>
      <c r="C139" s="53">
        <f>_xll.RssMarket("4422","出来高")</f>
        <v/>
      </c>
      <c r="D139" s="683">
        <f>C139-E139</f>
        <v/>
      </c>
      <c r="E139" s="213" t="n">
        <v>82900</v>
      </c>
      <c r="F139" s="22" t="n">
        <v>111100</v>
      </c>
      <c r="G139" s="22" t="n">
        <v>137000</v>
      </c>
      <c r="H139" s="22" t="n">
        <v>243000</v>
      </c>
      <c r="I139" s="22" t="n">
        <v>158400</v>
      </c>
      <c r="J139" s="22" t="n">
        <v>647000</v>
      </c>
      <c r="K139" s="22" t="n">
        <v>641000</v>
      </c>
      <c r="L139" s="22" t="n">
        <v>408100</v>
      </c>
      <c r="M139" s="22" t="n">
        <v>1285400</v>
      </c>
      <c r="N139" s="22" t="n">
        <v>185500</v>
      </c>
      <c r="O139" s="22" t="n">
        <v>75200</v>
      </c>
      <c r="P139" s="22" t="n">
        <v>73100</v>
      </c>
      <c r="Q139" s="22" t="n">
        <v>78500</v>
      </c>
      <c r="R139" s="22" t="n">
        <v>114300</v>
      </c>
      <c r="S139" s="22" t="n">
        <v>112700</v>
      </c>
      <c r="T139" s="22" t="n">
        <v>158700</v>
      </c>
      <c r="U139" s="22" t="n">
        <v>266100</v>
      </c>
      <c r="V139" s="22" t="n">
        <v>139400</v>
      </c>
      <c r="W139" s="22" t="n">
        <v>297300</v>
      </c>
      <c r="X139" s="22" t="n">
        <v>225500</v>
      </c>
      <c r="Y139" s="22" t="n">
        <v>161700</v>
      </c>
      <c r="Z139" s="22" t="n">
        <v>169000</v>
      </c>
      <c r="AA139" s="22" t="n">
        <v>233700</v>
      </c>
      <c r="AB139" s="22" t="n">
        <v>293300</v>
      </c>
      <c r="AC139" s="22" t="n">
        <v>578400</v>
      </c>
      <c r="AD139" s="22" t="n">
        <v>343000</v>
      </c>
      <c r="AE139" s="22" t="n">
        <v>429800</v>
      </c>
      <c r="AF139" s="22" t="n">
        <v>429800</v>
      </c>
      <c r="AG139" s="22" t="n">
        <v>293200</v>
      </c>
      <c r="AH139" s="22" t="n">
        <v>434700</v>
      </c>
      <c r="AI139" s="22" t="n">
        <v>598700</v>
      </c>
      <c r="AJ139" s="22" t="n">
        <v>371300</v>
      </c>
      <c r="AK139" s="22" t="n">
        <v>534500</v>
      </c>
      <c r="AL139" s="22" t="n">
        <v>1336300</v>
      </c>
      <c r="AM139" s="22" t="n">
        <v>4025000</v>
      </c>
      <c r="AN139" s="22" t="n">
        <v>2677000</v>
      </c>
      <c r="AO139" s="22" t="n">
        <v>1272300</v>
      </c>
      <c r="AP139" s="22" t="n">
        <v>2627000</v>
      </c>
      <c r="AQ139" s="22" t="n">
        <v>4029000</v>
      </c>
      <c r="AR139" s="22" t="n">
        <v>3731800</v>
      </c>
      <c r="AS139" s="22" t="n">
        <v>572000</v>
      </c>
      <c r="AT139" s="22" t="n">
        <v>1949600</v>
      </c>
      <c r="AU139" s="22" t="n">
        <v>3452900</v>
      </c>
      <c r="AV139" s="22" t="n">
        <v>208800</v>
      </c>
      <c r="AW139" s="22" t="n">
        <v>2974500</v>
      </c>
      <c r="AX139" s="22" t="n">
        <v>840000</v>
      </c>
      <c r="AY139" s="22" t="n">
        <v>1289700</v>
      </c>
      <c r="AZ139" s="22" t="n">
        <v>22300</v>
      </c>
      <c r="BA139" s="22" t="n">
        <v>270300</v>
      </c>
      <c r="BB139" s="22" t="n">
        <v>434500</v>
      </c>
      <c r="BC139" s="22" t="n">
        <v>241500</v>
      </c>
      <c r="BD139" s="22" t="n">
        <v>229800</v>
      </c>
      <c r="BE139" s="22" t="n">
        <v>690700</v>
      </c>
      <c r="BF139" s="22" t="n">
        <v>657500</v>
      </c>
      <c r="BG139" s="22" t="n">
        <v>1894800</v>
      </c>
      <c r="BH139" s="22" t="n">
        <v>2768800</v>
      </c>
      <c r="BI139" s="22" t="n">
        <v>1202800</v>
      </c>
      <c r="BJ139" s="22" t="n">
        <v>463400</v>
      </c>
      <c r="BK139" s="22" t="n">
        <v>1288400</v>
      </c>
      <c r="BL139" s="22" t="n">
        <v>938400</v>
      </c>
    </row>
    <row r="140" ht="15.95" customHeight="1" s="574">
      <c r="A140" s="416" t="inlineStr">
        <is>
          <t>6740</t>
        </is>
      </c>
      <c r="B140" s="49" t="inlineStr">
        <is>
          <t>ジャパンディスプレイ</t>
        </is>
      </c>
      <c r="C140" s="53">
        <f>_xll.RssMarket("6740","出来高")</f>
        <v/>
      </c>
      <c r="D140" s="683">
        <f>C140-E140</f>
        <v/>
      </c>
      <c r="E140" s="213" t="n">
        <v>122272500</v>
      </c>
      <c r="F140" s="22" t="n">
        <v>94641300</v>
      </c>
      <c r="G140" s="22" t="n">
        <v>88962200</v>
      </c>
      <c r="H140" s="22" t="n">
        <v>38359900</v>
      </c>
      <c r="I140" s="22" t="n">
        <v>81570400</v>
      </c>
      <c r="J140" s="22" t="n">
        <v>83888000</v>
      </c>
      <c r="K140" s="22" t="n">
        <v>21777300</v>
      </c>
      <c r="L140" s="22" t="n">
        <v>81595000</v>
      </c>
      <c r="M140" s="22" t="n">
        <v>70580100</v>
      </c>
      <c r="N140" s="22" t="n">
        <v>88068300</v>
      </c>
      <c r="O140" s="22" t="n">
        <v>71927400</v>
      </c>
      <c r="P140" s="22" t="n">
        <v>73229600</v>
      </c>
      <c r="Q140" s="22" t="n">
        <v>30508500</v>
      </c>
      <c r="R140" s="22" t="n">
        <v>85703300</v>
      </c>
      <c r="S140" s="22" t="n">
        <v>71762100</v>
      </c>
      <c r="T140" s="22" t="n">
        <v>29733900</v>
      </c>
      <c r="U140" s="22" t="n">
        <v>59768300</v>
      </c>
      <c r="V140" s="22" t="n">
        <v>72733800</v>
      </c>
      <c r="W140" s="22" t="n">
        <v>74578500</v>
      </c>
      <c r="X140" s="22" t="n">
        <v>65535900</v>
      </c>
      <c r="Y140" s="22" t="n">
        <v>56814500</v>
      </c>
      <c r="Z140" s="22" t="n">
        <v>60043300</v>
      </c>
      <c r="AA140" s="22" t="n">
        <v>105673800</v>
      </c>
      <c r="AB140" s="22" t="n">
        <v>58783800</v>
      </c>
      <c r="AC140" s="22" t="n">
        <v>59422600</v>
      </c>
      <c r="AD140" s="22" t="n">
        <v>49363400</v>
      </c>
      <c r="AE140" s="22" t="n">
        <v>31333900</v>
      </c>
      <c r="AF140" s="22" t="n">
        <v>31333900</v>
      </c>
      <c r="AG140" s="22" t="n">
        <v>64516200</v>
      </c>
      <c r="AH140" s="22" t="n">
        <v>35449100</v>
      </c>
      <c r="AI140" s="22" t="n">
        <v>120637600</v>
      </c>
      <c r="AJ140" s="22" t="n">
        <v>286306400</v>
      </c>
      <c r="AK140" s="22" t="n">
        <v>42542100</v>
      </c>
      <c r="AL140" s="22" t="n">
        <v>57519300</v>
      </c>
      <c r="AM140" s="22" t="n">
        <v>54684500</v>
      </c>
      <c r="AN140" s="22" t="n">
        <v>60890200</v>
      </c>
      <c r="AO140" s="22" t="n">
        <v>51605500</v>
      </c>
      <c r="AP140" s="22" t="n">
        <v>101220300</v>
      </c>
      <c r="AQ140" s="22" t="n">
        <v>117693100</v>
      </c>
      <c r="AR140" s="22" t="n">
        <v>113528900</v>
      </c>
      <c r="AS140" s="22" t="n">
        <v>139485900</v>
      </c>
      <c r="AT140" s="22" t="n">
        <v>89688100</v>
      </c>
      <c r="AU140" s="22" t="n">
        <v>92525400</v>
      </c>
      <c r="AV140" s="22" t="n">
        <v>65724300</v>
      </c>
      <c r="AW140" s="22" t="n">
        <v>90051300</v>
      </c>
      <c r="AX140" s="22" t="n">
        <v>71728900</v>
      </c>
      <c r="AY140" s="22" t="n">
        <v>85258300</v>
      </c>
      <c r="AZ140" s="22" t="n">
        <v>46067600</v>
      </c>
      <c r="BA140" s="22" t="n">
        <v>76783400</v>
      </c>
      <c r="BB140" s="22" t="n">
        <v>148211400</v>
      </c>
      <c r="BC140" s="22" t="n">
        <v>275840000</v>
      </c>
      <c r="BD140" s="22" t="n">
        <v>160066100</v>
      </c>
      <c r="BE140" s="22" t="n">
        <v>62239900</v>
      </c>
      <c r="BF140" s="22" t="n">
        <v>63505800</v>
      </c>
      <c r="BG140" s="22" t="n">
        <v>189722000</v>
      </c>
      <c r="BH140" s="22" t="n">
        <v>134971000</v>
      </c>
      <c r="BI140" s="22" t="n">
        <v>146736200</v>
      </c>
      <c r="BJ140" s="22" t="n">
        <v>6978900</v>
      </c>
      <c r="BK140" s="22" t="n">
        <v>185127100</v>
      </c>
      <c r="BL140" s="22" t="n">
        <v>250079200</v>
      </c>
    </row>
    <row r="141" ht="15.95" customHeight="1" s="574">
      <c r="A141" s="416" t="inlineStr">
        <is>
          <t>6613</t>
        </is>
      </c>
      <c r="B141" s="49" t="inlineStr">
        <is>
          <t>ＱＤレーザ</t>
        </is>
      </c>
      <c r="C141" s="53">
        <f>_xll.RssMarket("6613","出来高")</f>
        <v/>
      </c>
      <c r="D141" s="683">
        <f>C141-E141</f>
        <v/>
      </c>
      <c r="E141" s="213" t="n">
        <v>1676400</v>
      </c>
      <c r="F141" s="22" t="n">
        <v>4760200</v>
      </c>
      <c r="G141" s="22" t="n">
        <v>4778100</v>
      </c>
      <c r="H141" s="22" t="n">
        <v>4464000</v>
      </c>
      <c r="I141" s="22" t="n">
        <v>3641400</v>
      </c>
      <c r="J141" s="22" t="n">
        <v>7206800</v>
      </c>
      <c r="K141" s="22" t="n">
        <v>5654700</v>
      </c>
      <c r="L141" s="22" t="n">
        <v>4275000</v>
      </c>
      <c r="M141" s="22" t="n">
        <v>3703900</v>
      </c>
      <c r="N141" s="22" t="n">
        <v>2707400</v>
      </c>
      <c r="O141" s="22" t="n">
        <v>2977900</v>
      </c>
      <c r="P141" s="22" t="n">
        <v>5276300</v>
      </c>
      <c r="Q141" s="22" t="n">
        <v>9333700</v>
      </c>
      <c r="R141" s="22" t="n">
        <v>6206100</v>
      </c>
      <c r="S141" s="22" t="n">
        <v>10123800</v>
      </c>
      <c r="T141" s="22" t="n">
        <v>8264500</v>
      </c>
      <c r="U141" s="22" t="n">
        <v>10945800</v>
      </c>
      <c r="V141" s="22" t="n">
        <v>22249700</v>
      </c>
      <c r="W141" s="22" t="n">
        <v>28238900</v>
      </c>
      <c r="X141" s="22" t="n">
        <v>28690800</v>
      </c>
      <c r="Y141" s="22" t="n">
        <v>31866100</v>
      </c>
      <c r="Z141" s="22" t="n">
        <v>14634700</v>
      </c>
      <c r="AA141" s="22" t="n">
        <v>13178900</v>
      </c>
      <c r="AB141" s="22" t="n">
        <v>3773000</v>
      </c>
      <c r="AC141" s="22" t="n">
        <v>3198400</v>
      </c>
      <c r="AD141" s="22" t="n">
        <v>7128600</v>
      </c>
      <c r="AE141" s="22" t="n">
        <v>12306600</v>
      </c>
      <c r="AF141" s="22" t="n">
        <v>21634400</v>
      </c>
      <c r="AG141" s="22" t="n">
        <v>6866100</v>
      </c>
      <c r="AH141" s="22" t="n">
        <v>6150200</v>
      </c>
      <c r="AI141" s="22" t="n">
        <v>4011900</v>
      </c>
      <c r="AJ141" s="22" t="n">
        <v>4160600</v>
      </c>
      <c r="AK141" s="22" t="n">
        <v>9398000</v>
      </c>
      <c r="AL141" s="22" t="n">
        <v>5229600</v>
      </c>
      <c r="AM141" s="22" t="n">
        <v>15724700</v>
      </c>
      <c r="AN141" s="22" t="n">
        <v>10711900</v>
      </c>
      <c r="AO141" s="22" t="n">
        <v>23584500</v>
      </c>
      <c r="AP141" s="22" t="n">
        <v>10246600</v>
      </c>
      <c r="AQ141" s="22" t="n">
        <v>5674400</v>
      </c>
      <c r="AR141" s="22" t="n">
        <v>12719600</v>
      </c>
      <c r="AS141" s="22" t="n">
        <v>12781300</v>
      </c>
      <c r="AT141" s="22" t="n">
        <v>27264300</v>
      </c>
      <c r="AU141" s="22" t="n">
        <v>10198100</v>
      </c>
      <c r="AV141" s="22" t="n">
        <v>7010600</v>
      </c>
      <c r="AW141" s="22" t="n">
        <v>3332200</v>
      </c>
      <c r="AX141" s="22" t="n">
        <v>5049900</v>
      </c>
      <c r="AY141" s="22" t="n">
        <v>3281300</v>
      </c>
      <c r="AZ141" s="22" t="n">
        <v>5145400</v>
      </c>
      <c r="BA141" s="22" t="n">
        <v>4347000</v>
      </c>
      <c r="BB141" s="22" t="n">
        <v>6232600</v>
      </c>
      <c r="BC141" s="22" t="n">
        <v>6677600</v>
      </c>
      <c r="BD141" s="22" t="n">
        <v>9110900</v>
      </c>
      <c r="BE141" s="22" t="n">
        <v>10056300</v>
      </c>
      <c r="BF141" s="22" t="n">
        <v>10874200</v>
      </c>
      <c r="BG141" s="22" t="n">
        <v>9585600</v>
      </c>
      <c r="BH141" s="22" t="n">
        <v>10809600</v>
      </c>
      <c r="BI141" s="22" t="n">
        <v>10931600</v>
      </c>
      <c r="BJ141" s="22" t="n">
        <v>11264200</v>
      </c>
      <c r="BK141" s="22" t="n">
        <v>15979900</v>
      </c>
      <c r="BL141" s="22" t="n">
        <v>24986800</v>
      </c>
    </row>
    <row r="142" ht="15.95" customHeight="1" s="574">
      <c r="A142" s="416" t="inlineStr">
        <is>
          <t>4568</t>
        </is>
      </c>
      <c r="B142" s="49">
        <f>銘柄管理!C142</f>
        <v/>
      </c>
      <c r="C142" s="53">
        <f>_xll.RssMarket("4568","出来高")</f>
        <v/>
      </c>
      <c r="D142" s="683">
        <f>C142-E142</f>
        <v/>
      </c>
      <c r="E142" s="22" t="n">
        <v>4584300</v>
      </c>
      <c r="F142" s="22" t="n">
        <v>12977700</v>
      </c>
      <c r="G142" s="22" t="n">
        <v>8994100</v>
      </c>
      <c r="H142" s="22" t="n">
        <v>7992100</v>
      </c>
      <c r="I142" s="22" t="n">
        <v>5513800</v>
      </c>
      <c r="J142" s="22" t="n">
        <v>7587700</v>
      </c>
      <c r="K142" s="22" t="n">
        <v>6121800</v>
      </c>
      <c r="L142" s="22" t="n">
        <v>8162700</v>
      </c>
      <c r="M142" s="22" t="n">
        <v>7893600</v>
      </c>
      <c r="N142" s="22" t="n">
        <v>12276100</v>
      </c>
      <c r="O142" s="22" t="n">
        <v>13801100</v>
      </c>
      <c r="P142" s="22" t="n">
        <v>7367200</v>
      </c>
      <c r="Q142" s="22" t="n">
        <v>7108300</v>
      </c>
      <c r="R142" s="22" t="n">
        <v>19725400</v>
      </c>
      <c r="S142" s="22" t="n">
        <v>6353800</v>
      </c>
      <c r="T142" s="22" t="n">
        <v>6112300</v>
      </c>
      <c r="U142" s="22" t="n">
        <v>7149800</v>
      </c>
      <c r="V142" s="22" t="n">
        <v>5618500</v>
      </c>
      <c r="W142" s="22" t="n">
        <v>6512900</v>
      </c>
      <c r="X142" s="22" t="n">
        <v>8039200</v>
      </c>
      <c r="Y142" s="22" t="n">
        <v>8106600</v>
      </c>
      <c r="Z142" s="22" t="n">
        <v>5616100</v>
      </c>
      <c r="AA142" s="22" t="n">
        <v>8793800</v>
      </c>
      <c r="AB142" s="22" t="n">
        <v>10516700</v>
      </c>
      <c r="AC142" s="22" t="n">
        <v>7061800</v>
      </c>
      <c r="AD142" s="22" t="n">
        <v>13241500</v>
      </c>
      <c r="AE142" s="22" t="n">
        <v>11532500</v>
      </c>
      <c r="AF142" s="22" t="n">
        <v>12477400</v>
      </c>
      <c r="AG142" s="22" t="n">
        <v>14251700</v>
      </c>
      <c r="AH142" s="22" t="n">
        <v>7940900</v>
      </c>
      <c r="AI142" s="22" t="n">
        <v>10441900</v>
      </c>
      <c r="AJ142" s="22" t="n">
        <v>13321300</v>
      </c>
      <c r="AK142" s="22" t="n">
        <v>16617200</v>
      </c>
      <c r="AL142" s="22" t="n">
        <v>25238300</v>
      </c>
      <c r="AM142" s="22" t="n">
        <v>6290000</v>
      </c>
      <c r="AN142" s="22" t="n">
        <v>6375400</v>
      </c>
      <c r="AO142" s="22" t="n">
        <v>5436700</v>
      </c>
      <c r="AP142" s="22" t="n">
        <v>7280300</v>
      </c>
      <c r="AQ142" s="22" t="n">
        <v>7592100</v>
      </c>
      <c r="AR142" s="22" t="n">
        <v>11121300</v>
      </c>
      <c r="AS142" s="22" t="n">
        <v>13364600</v>
      </c>
      <c r="AT142" s="22" t="n">
        <v>7573500</v>
      </c>
      <c r="AU142" s="22" t="n">
        <v>6100000</v>
      </c>
      <c r="AV142" s="22" t="n">
        <v>8133100</v>
      </c>
      <c r="AW142" s="22" t="n">
        <v>7428200</v>
      </c>
      <c r="AX142" s="22" t="n">
        <v>8203000</v>
      </c>
      <c r="AY142" s="22" t="n">
        <v>3104200</v>
      </c>
      <c r="AZ142" s="22" t="n">
        <v>2815100</v>
      </c>
      <c r="BA142" s="22" t="n">
        <v>2745100</v>
      </c>
      <c r="BB142" s="22" t="n">
        <v>5624900</v>
      </c>
      <c r="BC142" s="22" t="n">
        <v>7217100</v>
      </c>
      <c r="BD142" s="22" t="n">
        <v>7626700</v>
      </c>
      <c r="BE142" s="22" t="n">
        <v>8812900</v>
      </c>
      <c r="BF142" s="22" t="n">
        <v>7712900</v>
      </c>
      <c r="BG142" s="22" t="n">
        <v>10791200</v>
      </c>
      <c r="BH142" s="22" t="n">
        <v>6406300</v>
      </c>
      <c r="BI142" s="22" t="n">
        <v>8083400</v>
      </c>
      <c r="BJ142" s="22" t="n">
        <v>10834800</v>
      </c>
      <c r="BK142" s="22" t="n">
        <v>10668400</v>
      </c>
      <c r="BL142" s="22" t="n">
        <v>6739200</v>
      </c>
    </row>
    <row r="143" ht="15.95" customHeight="1" s="574">
      <c r="A143" s="416" t="inlineStr">
        <is>
          <t>6522</t>
        </is>
      </c>
      <c r="B143" s="49" t="inlineStr">
        <is>
          <t>アスタリスク</t>
        </is>
      </c>
      <c r="C143" s="53">
        <f>_xll.RssMarket("6522","出来高")</f>
        <v/>
      </c>
      <c r="D143" s="661">
        <f>C143-E143</f>
        <v/>
      </c>
      <c r="E143" s="22" t="n">
        <v>6497200</v>
      </c>
      <c r="F143" s="22" t="n">
        <v>3902000</v>
      </c>
      <c r="G143" s="22" t="n">
        <v>875500</v>
      </c>
      <c r="H143" s="22" t="n">
        <v>95600</v>
      </c>
      <c r="I143" s="22" t="n">
        <v>98600</v>
      </c>
      <c r="J143" s="22" t="n">
        <v>292100</v>
      </c>
      <c r="K143" s="22" t="n">
        <v>117000</v>
      </c>
      <c r="L143" s="22" t="n">
        <v>132300</v>
      </c>
      <c r="M143" s="22" t="n">
        <v>184600</v>
      </c>
      <c r="N143" s="22" t="n">
        <v>237200</v>
      </c>
      <c r="O143" s="22" t="n">
        <v>259100</v>
      </c>
      <c r="P143" s="22" t="n">
        <v>392400</v>
      </c>
      <c r="Q143" s="22" t="n">
        <v>1195400</v>
      </c>
      <c r="R143" s="22" t="n">
        <v>368200</v>
      </c>
      <c r="S143" s="22" t="n">
        <v>493700</v>
      </c>
      <c r="T143" s="22" t="n">
        <v>648400</v>
      </c>
      <c r="U143" s="22" t="n">
        <v>236400</v>
      </c>
      <c r="V143" s="22" t="n">
        <v>262800</v>
      </c>
      <c r="W143" s="22" t="n">
        <v>340800</v>
      </c>
      <c r="X143" s="22" t="n">
        <v>267100</v>
      </c>
      <c r="Y143" s="22" t="n">
        <v>271800</v>
      </c>
      <c r="Z143" s="22" t="n">
        <v>332700</v>
      </c>
      <c r="AA143" s="22" t="n">
        <v>278800</v>
      </c>
      <c r="AB143" s="22" t="n">
        <v>353200</v>
      </c>
      <c r="AC143" s="22" t="n">
        <v>387200</v>
      </c>
      <c r="AD143" s="22" t="n">
        <v>475500</v>
      </c>
      <c r="AE143" s="22" t="n">
        <v>466900</v>
      </c>
      <c r="AF143" s="22" t="n">
        <v>466900</v>
      </c>
      <c r="AG143" s="22" t="n">
        <v>503500</v>
      </c>
      <c r="AH143" s="22" t="n">
        <v>661200</v>
      </c>
      <c r="AI143" s="22" t="n">
        <v>982300</v>
      </c>
      <c r="AJ143" s="22" t="n">
        <v>649500</v>
      </c>
      <c r="AK143" s="22" t="n">
        <v>715400</v>
      </c>
      <c r="AL143" s="22" t="n">
        <v>1380800</v>
      </c>
      <c r="AM143" s="22" t="n">
        <v>2718900</v>
      </c>
      <c r="AN143" s="22" t="n">
        <v>1585600</v>
      </c>
      <c r="AO143" s="22" t="n">
        <v>6125400</v>
      </c>
      <c r="AP143" s="22" t="n">
        <v>6645200</v>
      </c>
      <c r="AQ143" s="22" t="n">
        <v>1375000</v>
      </c>
      <c r="AR143" s="22" t="n">
        <v>1326200</v>
      </c>
      <c r="AS143" s="22" t="n">
        <v>1251800</v>
      </c>
      <c r="AT143" s="22" t="n">
        <v>2360100</v>
      </c>
      <c r="AU143" s="22" t="n">
        <v>524600</v>
      </c>
      <c r="AV143" s="22" t="n">
        <v>523000</v>
      </c>
      <c r="AW143" s="22" t="n">
        <v>739000</v>
      </c>
      <c r="AX143" s="22" t="n">
        <v>1104300</v>
      </c>
      <c r="AY143" s="22" t="n">
        <v>1066500</v>
      </c>
      <c r="AZ143" s="22" t="n">
        <v>1141200</v>
      </c>
      <c r="BA143" s="22" t="n">
        <v>1210900</v>
      </c>
      <c r="BB143" s="22" t="n">
        <v>3439200</v>
      </c>
      <c r="BC143" s="22" t="n">
        <v>2721800</v>
      </c>
      <c r="BD143" s="22" t="n">
        <v>3289600</v>
      </c>
      <c r="BE143" s="22" t="n">
        <v>3980300</v>
      </c>
      <c r="BF143" s="22" t="n">
        <v>10605900</v>
      </c>
      <c r="BG143" s="22" t="n">
        <v>14817300</v>
      </c>
      <c r="BH143" s="22" t="n">
        <v>8787700</v>
      </c>
      <c r="BI143" s="22" t="n">
        <v>15131900</v>
      </c>
      <c r="BJ143" s="22" t="n">
        <v>146100</v>
      </c>
      <c r="BK143" s="22" t="n">
        <v>17281300</v>
      </c>
      <c r="BL143" s="22" t="n">
        <v>44400</v>
      </c>
    </row>
    <row r="144" ht="15.95" customHeight="1" s="574">
      <c r="A144" s="416" t="inlineStr">
        <is>
          <t>6777</t>
        </is>
      </c>
      <c r="B144" s="49" t="inlineStr">
        <is>
          <t>ＳＡＮＴＥＣＨＯＬＤＩＮＧＳ</t>
        </is>
      </c>
      <c r="C144" s="53">
        <f>_xll.RssMarket("6777","出来高")</f>
        <v/>
      </c>
      <c r="D144" s="661">
        <f>C144-E144</f>
        <v/>
      </c>
      <c r="E144" s="22" t="n">
        <v>195800</v>
      </c>
      <c r="F144" s="22" t="n">
        <v>261600</v>
      </c>
      <c r="G144" s="22" t="n">
        <v>161800</v>
      </c>
      <c r="H144" s="22" t="n">
        <v>118600</v>
      </c>
      <c r="I144" s="22" t="n">
        <v>196200</v>
      </c>
      <c r="J144" s="22" t="n">
        <v>164700</v>
      </c>
      <c r="K144" s="22" t="n">
        <v>104700</v>
      </c>
      <c r="L144" s="22" t="n">
        <v>171500</v>
      </c>
      <c r="M144" s="22" t="n">
        <v>208400</v>
      </c>
      <c r="N144" s="22" t="n">
        <v>90900</v>
      </c>
      <c r="O144" s="22" t="n">
        <v>119300</v>
      </c>
      <c r="P144" s="22" t="n">
        <v>276300</v>
      </c>
      <c r="Q144" s="22" t="n">
        <v>175000</v>
      </c>
      <c r="R144" s="22" t="n">
        <v>344300</v>
      </c>
      <c r="S144" s="22" t="n">
        <v>158900</v>
      </c>
      <c r="T144" s="22" t="n">
        <v>223200</v>
      </c>
      <c r="U144" s="22" t="n">
        <v>217500</v>
      </c>
      <c r="V144" s="22" t="n">
        <v>153800</v>
      </c>
      <c r="W144" s="22" t="n">
        <v>210200</v>
      </c>
      <c r="X144" s="22" t="n">
        <v>205600</v>
      </c>
      <c r="Y144" s="22" t="n">
        <v>338700</v>
      </c>
      <c r="Z144" s="22" t="n">
        <v>478000</v>
      </c>
      <c r="AA144" s="22" t="n">
        <v>231900</v>
      </c>
      <c r="AB144" s="22" t="n">
        <v>274700</v>
      </c>
      <c r="AC144" s="22" t="n">
        <v>266800</v>
      </c>
      <c r="AD144" s="22" t="n">
        <v>503200</v>
      </c>
      <c r="AE144" s="22" t="n">
        <v>177700</v>
      </c>
      <c r="AF144" s="22" t="n">
        <v>177700</v>
      </c>
      <c r="AG144" s="22" t="n">
        <v>220700</v>
      </c>
      <c r="AH144" s="22" t="n">
        <v>265500</v>
      </c>
      <c r="AI144" s="22" t="n">
        <v>128100</v>
      </c>
      <c r="AJ144" s="22" t="n">
        <v>138700</v>
      </c>
      <c r="AK144" s="22" t="n">
        <v>168700</v>
      </c>
      <c r="AL144" s="22" t="n">
        <v>276800</v>
      </c>
      <c r="AM144" s="22" t="n">
        <v>442400</v>
      </c>
      <c r="AN144" s="22" t="n">
        <v>676100</v>
      </c>
      <c r="AO144" s="22" t="n">
        <v>297500</v>
      </c>
      <c r="AP144" s="22" t="n">
        <v>358200</v>
      </c>
      <c r="AQ144" s="22" t="n">
        <v>614900</v>
      </c>
      <c r="AR144" s="22" t="n">
        <v>321500</v>
      </c>
      <c r="AS144" s="22" t="n">
        <v>203700</v>
      </c>
      <c r="AT144" s="22" t="n">
        <v>303100</v>
      </c>
      <c r="AU144" s="22" t="n">
        <v>254200</v>
      </c>
      <c r="AV144" s="22" t="n">
        <v>368000</v>
      </c>
      <c r="AW144" s="22" t="n">
        <v>182100</v>
      </c>
      <c r="AX144" s="22" t="n">
        <v>104700</v>
      </c>
      <c r="AY144" s="22" t="n">
        <v>138700</v>
      </c>
      <c r="AZ144" s="22" t="n">
        <v>91800</v>
      </c>
      <c r="BA144" s="22" t="n">
        <v>141700</v>
      </c>
      <c r="BB144" s="22" t="n">
        <v>136400</v>
      </c>
      <c r="BC144" s="22" t="n">
        <v>148900</v>
      </c>
      <c r="BD144" s="22" t="n">
        <v>196100</v>
      </c>
      <c r="BE144" s="22" t="n">
        <v>126900</v>
      </c>
      <c r="BF144" s="22" t="n">
        <v>130100</v>
      </c>
      <c r="BG144" s="22" t="n">
        <v>84500</v>
      </c>
      <c r="BH144" s="22" t="n">
        <v>155000</v>
      </c>
      <c r="BI144" s="22" t="n">
        <v>139300</v>
      </c>
      <c r="BJ144" s="22" t="n">
        <v>221300</v>
      </c>
      <c r="BK144" s="22" t="n">
        <v>221800</v>
      </c>
      <c r="BL144" s="22" t="n">
        <v>286600</v>
      </c>
    </row>
    <row r="145" ht="15.95" customHeight="1" s="574">
      <c r="A145" s="416" t="inlineStr">
        <is>
          <t>6787</t>
        </is>
      </c>
      <c r="B145" s="49" t="inlineStr">
        <is>
          <t>メイコー</t>
        </is>
      </c>
      <c r="C145" s="53">
        <f>_xll.RssMarket("6787","出来高")</f>
        <v/>
      </c>
      <c r="D145" s="661">
        <f>C145-E145</f>
        <v/>
      </c>
      <c r="E145" s="22" t="n">
        <v>556300</v>
      </c>
      <c r="F145" s="22" t="n">
        <v>916100</v>
      </c>
      <c r="G145" s="22" t="n">
        <v>439200</v>
      </c>
      <c r="H145" s="22" t="n">
        <v>512700</v>
      </c>
      <c r="I145" s="22" t="n">
        <v>1004800</v>
      </c>
      <c r="J145" s="22" t="n">
        <v>525400</v>
      </c>
      <c r="K145" s="22" t="n">
        <v>614900</v>
      </c>
      <c r="L145" s="22" t="n">
        <v>392400</v>
      </c>
      <c r="M145" s="22" t="n">
        <v>347600</v>
      </c>
      <c r="N145" s="22" t="n">
        <v>418600</v>
      </c>
      <c r="O145" s="22" t="n">
        <v>423200</v>
      </c>
      <c r="P145" s="22" t="n">
        <v>370800</v>
      </c>
      <c r="Q145" s="22" t="n">
        <v>539200</v>
      </c>
      <c r="R145" s="22" t="n">
        <v>660800</v>
      </c>
      <c r="S145" s="22" t="n">
        <v>469000</v>
      </c>
      <c r="T145" s="22" t="n">
        <v>573300</v>
      </c>
      <c r="U145" s="22" t="n">
        <v>922200</v>
      </c>
      <c r="V145" s="22" t="n">
        <v>560800</v>
      </c>
      <c r="W145" s="22" t="n">
        <v>717600</v>
      </c>
      <c r="X145" s="22" t="n">
        <v>412700</v>
      </c>
      <c r="Y145" s="22" t="n">
        <v>462800</v>
      </c>
      <c r="Z145" s="22" t="n">
        <v>713300</v>
      </c>
      <c r="AA145" s="22" t="n">
        <v>1154400</v>
      </c>
      <c r="AB145" s="22" t="n">
        <v>154600</v>
      </c>
      <c r="AC145" s="22" t="n">
        <v>438300</v>
      </c>
      <c r="AD145" s="22" t="n">
        <v>467100</v>
      </c>
      <c r="AE145" s="22" t="n">
        <v>368600</v>
      </c>
      <c r="AF145" s="22" t="n">
        <v>368600</v>
      </c>
      <c r="AG145" s="22" t="n">
        <v>443300</v>
      </c>
      <c r="AH145" s="22" t="n">
        <v>473700</v>
      </c>
      <c r="AI145" s="22" t="n">
        <v>310500</v>
      </c>
      <c r="AJ145" s="22" t="n">
        <v>359900</v>
      </c>
      <c r="AK145" s="22" t="n">
        <v>604600</v>
      </c>
      <c r="AL145" s="22" t="n">
        <v>461300</v>
      </c>
      <c r="AM145" s="22" t="n">
        <v>399800</v>
      </c>
      <c r="AN145" s="22" t="n">
        <v>419300</v>
      </c>
      <c r="AO145" s="22" t="n">
        <v>499100</v>
      </c>
      <c r="AP145" s="22" t="n">
        <v>401700</v>
      </c>
      <c r="AQ145" s="22" t="n">
        <v>472600</v>
      </c>
      <c r="AR145" s="22" t="n">
        <v>347000</v>
      </c>
      <c r="AS145" s="22" t="n">
        <v>348500</v>
      </c>
      <c r="AT145" s="22" t="n">
        <v>497700</v>
      </c>
      <c r="AU145" s="22" t="n">
        <v>820600</v>
      </c>
      <c r="AV145" s="22" t="n">
        <v>715800</v>
      </c>
      <c r="AW145" s="22" t="n">
        <v>462900</v>
      </c>
      <c r="AX145" s="22" t="n">
        <v>522900</v>
      </c>
      <c r="AY145" s="22" t="n">
        <v>698300</v>
      </c>
      <c r="AZ145" s="22" t="n">
        <v>732600</v>
      </c>
      <c r="BA145" s="22" t="n">
        <v>478200</v>
      </c>
      <c r="BB145" s="22" t="n">
        <v>505600</v>
      </c>
      <c r="BC145" s="22" t="n">
        <v>857000</v>
      </c>
      <c r="BD145" s="22" t="n">
        <v>780000</v>
      </c>
      <c r="BE145" s="22" t="n">
        <v>650200</v>
      </c>
      <c r="BF145" s="22" t="n">
        <v>580400</v>
      </c>
      <c r="BG145" s="22" t="n">
        <v>809400</v>
      </c>
      <c r="BH145" s="22" t="n">
        <v>610800</v>
      </c>
      <c r="BI145" s="22" t="n">
        <v>402200</v>
      </c>
      <c r="BJ145" s="22" t="n">
        <v>703200</v>
      </c>
      <c r="BK145" s="22" t="n">
        <v>505200</v>
      </c>
      <c r="BL145" s="22" t="n">
        <v>424600</v>
      </c>
    </row>
    <row r="146" ht="15.95" customHeight="1" s="574">
      <c r="A146" s="416" t="inlineStr">
        <is>
          <t>4888</t>
        </is>
      </c>
      <c r="B146" s="49" t="inlineStr">
        <is>
          <t>ステラファーマ</t>
        </is>
      </c>
      <c r="C146" s="53">
        <f>_xll.RssMarket("4888","出来高")</f>
        <v/>
      </c>
      <c r="D146" s="661">
        <f>C146-E146</f>
        <v/>
      </c>
      <c r="E146" s="22" t="n">
        <v>734800</v>
      </c>
      <c r="F146" s="22" t="n">
        <v>1217900</v>
      </c>
      <c r="G146" s="22" t="n">
        <v>2239700</v>
      </c>
      <c r="H146" s="22" t="n">
        <v>331200</v>
      </c>
      <c r="I146" s="22" t="n">
        <v>211100</v>
      </c>
      <c r="J146" s="22" t="n">
        <v>270500</v>
      </c>
      <c r="K146" s="22" t="n">
        <v>382100</v>
      </c>
      <c r="L146" s="22" t="n">
        <v>336500</v>
      </c>
      <c r="M146" s="22" t="n">
        <v>839500</v>
      </c>
      <c r="N146" s="22" t="n">
        <v>180600</v>
      </c>
      <c r="O146" s="22" t="n">
        <v>222100</v>
      </c>
      <c r="P146" s="22" t="n">
        <v>307700</v>
      </c>
      <c r="Q146" s="22" t="n">
        <v>423000</v>
      </c>
      <c r="R146" s="22" t="n">
        <v>749300</v>
      </c>
      <c r="S146" s="22" t="n">
        <v>303800</v>
      </c>
      <c r="T146" s="22" t="n">
        <v>1469800</v>
      </c>
      <c r="U146" s="22" t="n">
        <v>395600</v>
      </c>
      <c r="V146" s="22" t="n">
        <v>673200</v>
      </c>
      <c r="W146" s="22" t="n">
        <v>822600</v>
      </c>
      <c r="X146" s="22" t="n">
        <v>581600</v>
      </c>
      <c r="Y146" s="22" t="n">
        <v>751400</v>
      </c>
      <c r="Z146" s="22" t="n">
        <v>2726100</v>
      </c>
      <c r="AA146" s="22" t="n">
        <v>860100</v>
      </c>
      <c r="AB146" s="22" t="n">
        <v>2031100</v>
      </c>
      <c r="AC146" s="22" t="n">
        <v>521800</v>
      </c>
      <c r="AD146" s="22" t="n">
        <v>602900</v>
      </c>
      <c r="AE146" s="22" t="n">
        <v>1100100</v>
      </c>
      <c r="AF146" s="22" t="n">
        <v>1100100</v>
      </c>
      <c r="AG146" s="22" t="n">
        <v>345600</v>
      </c>
      <c r="AH146" s="22" t="n">
        <v>616700</v>
      </c>
      <c r="AI146" s="22" t="n">
        <v>631800</v>
      </c>
      <c r="AJ146" s="22" t="n">
        <v>423800</v>
      </c>
      <c r="AK146" s="22" t="n">
        <v>754500</v>
      </c>
      <c r="AL146" s="22" t="n">
        <v>663000</v>
      </c>
      <c r="AM146" s="22" t="n">
        <v>1486000</v>
      </c>
      <c r="AN146" s="22" t="n">
        <v>1805200</v>
      </c>
      <c r="AO146" s="22" t="n">
        <v>2214400</v>
      </c>
      <c r="AP146" s="22" t="n">
        <v>2130400</v>
      </c>
      <c r="AQ146" s="22" t="n">
        <v>1277500</v>
      </c>
      <c r="AR146" s="22" t="n">
        <v>2219600</v>
      </c>
      <c r="AS146" s="22" t="n">
        <v>2740000</v>
      </c>
      <c r="AT146" s="22" t="n">
        <v>1390700</v>
      </c>
      <c r="AU146" s="22" t="n">
        <v>1327800</v>
      </c>
      <c r="AV146" s="22" t="n">
        <v>1494900</v>
      </c>
      <c r="AW146" s="22" t="n">
        <v>4120500</v>
      </c>
      <c r="AX146" s="22" t="n">
        <v>1107200</v>
      </c>
      <c r="AY146" s="22" t="n">
        <v>2074800</v>
      </c>
      <c r="AZ146" s="22" t="n">
        <v>2642300</v>
      </c>
      <c r="BA146" s="22" t="n">
        <v>2451200</v>
      </c>
      <c r="BB146" s="22" t="n">
        <v>2092000</v>
      </c>
      <c r="BC146" s="22" t="n">
        <v>1528300</v>
      </c>
      <c r="BD146" s="22" t="n">
        <v>3005600</v>
      </c>
      <c r="BE146" s="22" t="n">
        <v>3323700</v>
      </c>
      <c r="BF146" s="22" t="n">
        <v>7314000</v>
      </c>
      <c r="BG146" s="22" t="n">
        <v>6676500</v>
      </c>
      <c r="BH146" s="22" t="n">
        <v>13906700</v>
      </c>
      <c r="BI146" s="22" t="n">
        <v>14221100</v>
      </c>
      <c r="BJ146" s="22" t="n">
        <v>5168500</v>
      </c>
      <c r="BK146" s="22" t="n">
        <v>8573300</v>
      </c>
      <c r="BL146" s="22" t="n">
        <v>5861100</v>
      </c>
    </row>
    <row r="147" ht="15.95" customHeight="1" s="574">
      <c r="A147" s="416" t="inlineStr">
        <is>
          <t>6387</t>
        </is>
      </c>
      <c r="B147" s="49" t="inlineStr">
        <is>
          <t>サムコ</t>
        </is>
      </c>
      <c r="C147" s="53">
        <f>_xll.RssMarket("6387","出来高")</f>
        <v/>
      </c>
      <c r="D147" s="661">
        <f>C147-E147</f>
        <v/>
      </c>
      <c r="E147" s="22" t="n">
        <v>221500</v>
      </c>
      <c r="F147" s="22" t="n">
        <v>166200</v>
      </c>
      <c r="G147" s="22" t="n">
        <v>236300</v>
      </c>
      <c r="H147" s="22" t="n">
        <v>321300</v>
      </c>
      <c r="I147" s="22" t="n">
        <v>381200</v>
      </c>
      <c r="J147" s="22" t="n">
        <v>151900</v>
      </c>
      <c r="K147" s="22" t="n">
        <v>158900</v>
      </c>
      <c r="L147" s="22" t="n">
        <v>84700</v>
      </c>
      <c r="M147" s="22" t="n">
        <v>137700</v>
      </c>
      <c r="N147" s="22" t="n">
        <v>97900</v>
      </c>
      <c r="O147" s="22" t="n">
        <v>129100</v>
      </c>
      <c r="P147" s="22" t="n">
        <v>228700</v>
      </c>
      <c r="Q147" s="22" t="n">
        <v>222000</v>
      </c>
      <c r="R147" s="22" t="n">
        <v>74200</v>
      </c>
      <c r="S147" s="22" t="n">
        <v>88300</v>
      </c>
      <c r="T147" s="22" t="n">
        <v>129800</v>
      </c>
      <c r="U147" s="22" t="n">
        <v>144700</v>
      </c>
      <c r="V147" s="22" t="n">
        <v>143100</v>
      </c>
      <c r="W147" s="22" t="n">
        <v>133100</v>
      </c>
      <c r="X147" s="22" t="n">
        <v>118100</v>
      </c>
      <c r="Y147" s="22" t="n">
        <v>132500</v>
      </c>
      <c r="Z147" s="22" t="n">
        <v>88000</v>
      </c>
      <c r="AA147" s="22" t="n">
        <v>130200</v>
      </c>
      <c r="AB147" s="22" t="n">
        <v>163300</v>
      </c>
      <c r="AC147" s="22" t="n">
        <v>111400</v>
      </c>
      <c r="AD147" s="22" t="n">
        <v>159300</v>
      </c>
      <c r="AE147" s="22" t="n">
        <v>150600</v>
      </c>
      <c r="AF147" s="22" t="n">
        <v>150600</v>
      </c>
      <c r="AG147" s="22" t="n">
        <v>274200</v>
      </c>
      <c r="AH147" s="22" t="n">
        <v>327900</v>
      </c>
      <c r="AI147" s="22" t="n">
        <v>134500</v>
      </c>
      <c r="AJ147" s="22" t="n">
        <v>152100</v>
      </c>
      <c r="AK147" s="22" t="n">
        <v>165100</v>
      </c>
      <c r="AL147" s="22" t="n">
        <v>217900</v>
      </c>
      <c r="AM147" s="22" t="n">
        <v>339700</v>
      </c>
      <c r="AN147" s="22" t="n">
        <v>371200</v>
      </c>
      <c r="AO147" s="22" t="n">
        <v>224900</v>
      </c>
      <c r="AP147" s="22" t="n">
        <v>98500</v>
      </c>
      <c r="AQ147" s="22" t="n">
        <v>111100</v>
      </c>
      <c r="AR147" s="22" t="n">
        <v>142500</v>
      </c>
      <c r="AS147" s="22" t="n">
        <v>230100</v>
      </c>
      <c r="AT147" s="22" t="n">
        <v>200700</v>
      </c>
      <c r="AU147" s="22" t="n">
        <v>284600</v>
      </c>
      <c r="AV147" s="22" t="n">
        <v>279200</v>
      </c>
      <c r="AW147" s="22" t="n">
        <v>226700</v>
      </c>
      <c r="AX147" s="22" t="n">
        <v>163700</v>
      </c>
      <c r="AY147" s="22" t="n">
        <v>224800</v>
      </c>
      <c r="AZ147" s="22" t="n">
        <v>78000</v>
      </c>
      <c r="BA147" s="22" t="n">
        <v>115200</v>
      </c>
      <c r="BB147" s="22" t="n">
        <v>170100</v>
      </c>
      <c r="BC147" s="22" t="n">
        <v>288700</v>
      </c>
      <c r="BD147" s="22" t="n">
        <v>242800</v>
      </c>
      <c r="BE147" s="22" t="n">
        <v>159600</v>
      </c>
      <c r="BF147" s="22" t="n">
        <v>248700</v>
      </c>
      <c r="BG147" s="22" t="n">
        <v>457900</v>
      </c>
      <c r="BH147" s="22" t="n">
        <v>229100</v>
      </c>
      <c r="BI147" s="22" t="n">
        <v>276000</v>
      </c>
      <c r="BJ147" s="22" t="n">
        <v>210300</v>
      </c>
      <c r="BK147" s="22" t="n">
        <v>327000</v>
      </c>
      <c r="BL147" s="22" t="n">
        <v>228600</v>
      </c>
    </row>
    <row r="148" ht="15.95" customHeight="1" s="574">
      <c r="A148" s="416" t="inlineStr">
        <is>
          <t>6838</t>
        </is>
      </c>
      <c r="B148" s="49" t="inlineStr">
        <is>
          <t>多摩川ホールディングス</t>
        </is>
      </c>
      <c r="C148" s="53">
        <f>_xll.RssMarket("6838","出来高")</f>
        <v/>
      </c>
      <c r="D148" s="661">
        <f>C148-E148</f>
        <v/>
      </c>
      <c r="E148" s="22" t="n">
        <v>341900</v>
      </c>
      <c r="F148" s="22" t="n">
        <v>785400</v>
      </c>
      <c r="G148" s="22" t="n">
        <v>690400</v>
      </c>
      <c r="H148" s="22" t="n">
        <v>1705200</v>
      </c>
      <c r="I148" s="22" t="n">
        <v>27400</v>
      </c>
      <c r="J148" s="22" t="n">
        <v>311400</v>
      </c>
      <c r="K148" s="22" t="n">
        <v>437400</v>
      </c>
      <c r="L148" s="22" t="n">
        <v>574900</v>
      </c>
      <c r="M148" s="22" t="n">
        <v>588300</v>
      </c>
      <c r="N148" s="22" t="n">
        <v>292700</v>
      </c>
      <c r="O148" s="22" t="n">
        <v>333000</v>
      </c>
      <c r="P148" s="22" t="n">
        <v>379500</v>
      </c>
      <c r="Q148" s="22" t="n">
        <v>478800</v>
      </c>
      <c r="R148" s="22" t="n">
        <v>331600</v>
      </c>
      <c r="S148" s="22" t="n">
        <v>268000</v>
      </c>
      <c r="T148" s="22" t="n">
        <v>486600</v>
      </c>
      <c r="U148" s="22" t="n">
        <v>468300</v>
      </c>
      <c r="V148" s="22" t="n">
        <v>383300</v>
      </c>
      <c r="W148" s="22" t="n">
        <v>485100</v>
      </c>
      <c r="X148" s="22" t="n">
        <v>497500</v>
      </c>
      <c r="Y148" s="22" t="n">
        <v>817000</v>
      </c>
      <c r="Z148" s="22" t="n">
        <v>600600</v>
      </c>
      <c r="AA148" s="22" t="n">
        <v>438700</v>
      </c>
      <c r="AB148" s="22" t="n">
        <v>406800</v>
      </c>
      <c r="AC148" s="22" t="n">
        <v>474400</v>
      </c>
      <c r="AD148" s="22" t="n">
        <v>640700</v>
      </c>
      <c r="AE148" s="22" t="n">
        <v>1706600</v>
      </c>
      <c r="AF148" s="22" t="n">
        <v>1706600</v>
      </c>
      <c r="AG148" s="22" t="n">
        <v>485200</v>
      </c>
      <c r="AH148" s="22" t="n">
        <v>379100</v>
      </c>
      <c r="AI148" s="22" t="n">
        <v>186100</v>
      </c>
      <c r="AJ148" s="22" t="n">
        <v>334600</v>
      </c>
      <c r="AK148" s="22" t="n">
        <v>232100</v>
      </c>
      <c r="AL148" s="22" t="n">
        <v>546200</v>
      </c>
      <c r="AM148" s="22" t="n">
        <v>466500</v>
      </c>
      <c r="AN148" s="22" t="n">
        <v>813500</v>
      </c>
      <c r="AO148" s="22" t="n">
        <v>483800</v>
      </c>
      <c r="AP148" s="22" t="n">
        <v>1369200</v>
      </c>
      <c r="AQ148" s="22" t="n">
        <v>2102000</v>
      </c>
      <c r="AR148" s="22" t="n">
        <v>1228500</v>
      </c>
      <c r="AS148" s="22" t="n">
        <v>485200</v>
      </c>
      <c r="AT148" s="22" t="n">
        <v>302900</v>
      </c>
      <c r="AU148" s="22" t="n">
        <v>249600</v>
      </c>
      <c r="AV148" s="22" t="n">
        <v>210500</v>
      </c>
      <c r="AW148" s="22" t="n">
        <v>565500</v>
      </c>
      <c r="AX148" s="22" t="n">
        <v>277700</v>
      </c>
      <c r="AY148" s="22" t="n">
        <v>296100</v>
      </c>
      <c r="AZ148" s="22" t="n">
        <v>325800</v>
      </c>
      <c r="BA148" s="22" t="n">
        <v>498800</v>
      </c>
      <c r="BB148" s="22" t="n">
        <v>1080900</v>
      </c>
      <c r="BC148" s="22" t="n">
        <v>569300</v>
      </c>
      <c r="BD148" s="22" t="n">
        <v>703000</v>
      </c>
      <c r="BE148" s="22" t="n">
        <v>371400</v>
      </c>
      <c r="BF148" s="22" t="n">
        <v>364200</v>
      </c>
      <c r="BG148" s="22" t="n">
        <v>704400</v>
      </c>
      <c r="BH148" s="22" t="n">
        <v>553500</v>
      </c>
      <c r="BI148" s="22" t="n">
        <v>933200</v>
      </c>
      <c r="BJ148" s="22" t="n">
        <v>936300</v>
      </c>
      <c r="BK148" s="22" t="n">
        <v>1204200</v>
      </c>
      <c r="BL148" s="22" t="n">
        <v>3999400</v>
      </c>
    </row>
    <row r="149" ht="15.95" customHeight="1" s="574">
      <c r="A149" s="416" t="inlineStr">
        <is>
          <t>7375</t>
        </is>
      </c>
      <c r="B149" s="49" t="inlineStr">
        <is>
          <t>リファインバースグループ</t>
        </is>
      </c>
      <c r="C149" s="53">
        <f>_xll.RssMarket("7375","出来高")</f>
        <v/>
      </c>
      <c r="D149" s="661">
        <f>C149-E149</f>
        <v/>
      </c>
      <c r="E149" s="22" t="n">
        <v>43300</v>
      </c>
      <c r="F149" s="22" t="n">
        <v>37000</v>
      </c>
      <c r="G149" s="22" t="n">
        <v>46500</v>
      </c>
      <c r="H149" s="22" t="n">
        <v>59600</v>
      </c>
      <c r="I149" s="22" t="n">
        <v>73800</v>
      </c>
      <c r="J149" s="22" t="n">
        <v>86000</v>
      </c>
      <c r="K149" s="22" t="n">
        <v>119700</v>
      </c>
      <c r="L149" s="22" t="n">
        <v>82600</v>
      </c>
      <c r="M149" s="22" t="n">
        <v>66300</v>
      </c>
      <c r="N149" s="22" t="n">
        <v>54800</v>
      </c>
      <c r="O149" s="22" t="n">
        <v>101800</v>
      </c>
      <c r="P149" s="22" t="n">
        <v>158900</v>
      </c>
      <c r="Q149" s="22" t="n">
        <v>201200</v>
      </c>
      <c r="R149" s="22" t="n">
        <v>204300</v>
      </c>
      <c r="S149" s="22" t="n">
        <v>318700</v>
      </c>
      <c r="T149" s="22" t="n">
        <v>152800</v>
      </c>
      <c r="U149" s="22" t="n">
        <v>293400</v>
      </c>
      <c r="V149" s="22" t="n">
        <v>768300</v>
      </c>
      <c r="W149" s="22" t="n">
        <v>184600</v>
      </c>
      <c r="X149" s="22" t="n">
        <v>204400</v>
      </c>
      <c r="Y149" s="22" t="n">
        <v>663800</v>
      </c>
      <c r="Z149" s="22" t="n">
        <v>296000</v>
      </c>
      <c r="AA149" s="22" t="n">
        <v>137900</v>
      </c>
      <c r="AB149" s="22" t="n">
        <v>195900</v>
      </c>
      <c r="AC149" s="22" t="n">
        <v>327100</v>
      </c>
      <c r="AD149" s="22" t="n">
        <v>186200</v>
      </c>
      <c r="AE149" s="22" t="n">
        <v>173000</v>
      </c>
      <c r="AF149" s="22" t="n">
        <v>173000</v>
      </c>
      <c r="AG149" s="22" t="n">
        <v>199900</v>
      </c>
      <c r="AH149" s="22" t="n">
        <v>430700</v>
      </c>
      <c r="AI149" s="22" t="n">
        <v>520100</v>
      </c>
      <c r="AJ149" s="22" t="n">
        <v>1026600</v>
      </c>
      <c r="AK149" s="22" t="n">
        <v>1349600</v>
      </c>
      <c r="AL149" s="22" t="n">
        <v>302700</v>
      </c>
      <c r="AM149" s="22" t="n">
        <v>497400</v>
      </c>
      <c r="AN149" s="22" t="n">
        <v>1285800</v>
      </c>
      <c r="AO149" s="22" t="n">
        <v>2531700</v>
      </c>
      <c r="AP149" s="22" t="n">
        <v>713500</v>
      </c>
      <c r="AQ149" s="22" t="n">
        <v>1109600</v>
      </c>
      <c r="AR149" s="22" t="n">
        <v>2444400</v>
      </c>
      <c r="AS149" s="22" t="n">
        <v>5027500</v>
      </c>
      <c r="AT149" s="22" t="n">
        <v>3095500</v>
      </c>
      <c r="AU149" s="22" t="n">
        <v>3845000</v>
      </c>
      <c r="AV149" s="22" t="n">
        <v>3213200</v>
      </c>
      <c r="AW149" s="22" t="n">
        <v>1704000</v>
      </c>
      <c r="AX149" s="22" t="n">
        <v>5662100</v>
      </c>
      <c r="AY149" s="22" t="n">
        <v>1325400</v>
      </c>
      <c r="AZ149" s="22" t="n">
        <v>7407200</v>
      </c>
      <c r="BA149" s="22" t="n">
        <v>8154200</v>
      </c>
      <c r="BB149" s="22" t="n">
        <v>8197000</v>
      </c>
      <c r="BC149" s="22" t="n">
        <v>3928200</v>
      </c>
      <c r="BD149" s="22" t="n">
        <v>4543400</v>
      </c>
      <c r="BE149" s="22" t="n">
        <v>2085800</v>
      </c>
      <c r="BF149" s="22" t="n">
        <v>1674600</v>
      </c>
      <c r="BG149" s="22" t="n">
        <v>967800</v>
      </c>
      <c r="BH149" s="22" t="n">
        <v>104400</v>
      </c>
      <c r="BI149" s="22" t="n">
        <v>245300</v>
      </c>
      <c r="BJ149" s="22" t="n">
        <v>544900</v>
      </c>
      <c r="BK149" s="22" t="n">
        <v>873600</v>
      </c>
      <c r="BL149" s="22" t="n">
        <v>104500</v>
      </c>
    </row>
    <row r="150" ht="15.95" customHeight="1" s="574">
      <c r="A150" s="416" t="inlineStr">
        <is>
          <t>4307</t>
        </is>
      </c>
      <c r="B150" s="49" t="inlineStr">
        <is>
          <t>野村総合研究所</t>
        </is>
      </c>
      <c r="C150" s="53">
        <f>_xll.RssMarket("4307","出来高")</f>
        <v/>
      </c>
      <c r="D150" s="661">
        <f>C150-E150</f>
        <v/>
      </c>
      <c r="E150" s="22" t="n">
        <v>2276100</v>
      </c>
      <c r="F150" s="22" t="n">
        <v>4234100</v>
      </c>
      <c r="G150" s="22" t="n">
        <v>2364500</v>
      </c>
      <c r="H150" s="22" t="n">
        <v>1885500</v>
      </c>
      <c r="I150" s="22" t="n">
        <v>2822700</v>
      </c>
      <c r="J150" s="22" t="n">
        <v>2122200</v>
      </c>
      <c r="K150" s="22" t="n">
        <v>1775500</v>
      </c>
      <c r="L150" s="22" t="n">
        <v>2062200</v>
      </c>
      <c r="M150" s="22" t="n">
        <v>1982800</v>
      </c>
      <c r="N150" s="22" t="n">
        <v>1948500</v>
      </c>
      <c r="O150" s="22" t="n">
        <v>2554500</v>
      </c>
      <c r="P150" s="22" t="n">
        <v>2766400</v>
      </c>
      <c r="Q150" s="22" t="n">
        <v>3778000</v>
      </c>
      <c r="R150" s="22" t="n">
        <v>8861600</v>
      </c>
      <c r="S150" s="22" t="n">
        <v>4128500</v>
      </c>
      <c r="T150" s="22" t="n">
        <v>3351800</v>
      </c>
      <c r="U150" s="22" t="n">
        <v>2705400</v>
      </c>
      <c r="V150" s="22" t="n">
        <v>3120600</v>
      </c>
      <c r="W150" s="22" t="n">
        <v>2921100</v>
      </c>
      <c r="X150" s="22" t="n">
        <v>4761400</v>
      </c>
      <c r="Y150" s="22" t="n">
        <v>5627600</v>
      </c>
      <c r="Z150" s="22" t="n">
        <v>5692100</v>
      </c>
      <c r="AA150" s="22" t="n">
        <v>4777000</v>
      </c>
      <c r="AB150" s="22" t="n">
        <v>3878000</v>
      </c>
      <c r="AC150" s="22" t="n">
        <v>2250600</v>
      </c>
      <c r="AD150" s="22" t="n">
        <v>3870100</v>
      </c>
      <c r="AE150" s="22" t="n">
        <v>4311900</v>
      </c>
      <c r="AF150" s="22" t="n">
        <v>4311900</v>
      </c>
      <c r="AG150" s="22" t="n">
        <v>4184000</v>
      </c>
      <c r="AH150" s="22" t="n">
        <v>5056300</v>
      </c>
      <c r="AI150" s="22" t="n">
        <v>3854800</v>
      </c>
      <c r="AJ150" s="22" t="n">
        <v>6816100</v>
      </c>
      <c r="AK150" s="22" t="n">
        <v>8727100</v>
      </c>
      <c r="AL150" s="22" t="n">
        <v>9837700</v>
      </c>
      <c r="AM150" s="22" t="n">
        <v>7613500</v>
      </c>
      <c r="AN150" s="22" t="n">
        <v>5256500</v>
      </c>
      <c r="AO150" s="22" t="n">
        <v>3795500</v>
      </c>
      <c r="AP150" s="22" t="n">
        <v>3355300</v>
      </c>
      <c r="AQ150" s="22" t="n">
        <v>2862800</v>
      </c>
      <c r="AR150" s="22" t="n">
        <v>3725400</v>
      </c>
      <c r="AS150" s="22" t="n">
        <v>4892600</v>
      </c>
      <c r="AT150" s="22" t="n">
        <v>4884100</v>
      </c>
      <c r="AU150" s="22" t="n">
        <v>3775900</v>
      </c>
      <c r="AV150" s="22" t="n">
        <v>3492500</v>
      </c>
      <c r="AW150" s="22" t="n">
        <v>3333600</v>
      </c>
      <c r="AX150" s="22" t="n">
        <v>3507000</v>
      </c>
      <c r="AY150" s="22" t="n">
        <v>2290000</v>
      </c>
      <c r="AZ150" s="22" t="n">
        <v>1638100</v>
      </c>
      <c r="BA150" s="22" t="n">
        <v>1009600</v>
      </c>
      <c r="BB150" s="22" t="n">
        <v>1254800</v>
      </c>
      <c r="BC150" s="22" t="n">
        <v>3917700</v>
      </c>
      <c r="BD150" s="22" t="n">
        <v>5720900</v>
      </c>
      <c r="BE150" s="22" t="n">
        <v>3301700</v>
      </c>
      <c r="BF150" s="22" t="n">
        <v>1928600</v>
      </c>
      <c r="BG150" s="22" t="n">
        <v>1810300</v>
      </c>
      <c r="BH150" s="22" t="n">
        <v>3414100</v>
      </c>
      <c r="BI150" s="22" t="n">
        <v>2237100</v>
      </c>
      <c r="BJ150" s="22" t="n">
        <v>2355600</v>
      </c>
      <c r="BK150" s="22" t="n">
        <v>3911600</v>
      </c>
      <c r="BL150" s="22" t="n">
        <v>1860000</v>
      </c>
    </row>
    <row r="151" ht="15.95" customHeight="1" s="574">
      <c r="A151" s="416" t="inlineStr">
        <is>
          <t>6516</t>
        </is>
      </c>
      <c r="B151" s="49" t="inlineStr">
        <is>
          <t>山洋電気</t>
        </is>
      </c>
      <c r="C151" s="53">
        <f>_xll.RssMarket("6516","出来高")</f>
        <v/>
      </c>
      <c r="D151" s="661">
        <f>C151-E151</f>
        <v/>
      </c>
      <c r="E151" s="22" t="n">
        <v>154200</v>
      </c>
      <c r="F151" s="22" t="n">
        <v>243600</v>
      </c>
      <c r="G151" s="22" t="n">
        <v>118700</v>
      </c>
      <c r="H151" s="22" t="n">
        <v>107700</v>
      </c>
      <c r="I151" s="22" t="n">
        <v>103500</v>
      </c>
      <c r="J151" s="22" t="n">
        <v>123000</v>
      </c>
      <c r="K151" s="22" t="n">
        <v>118400</v>
      </c>
      <c r="L151" s="22" t="n">
        <v>119300</v>
      </c>
      <c r="M151" s="22" t="n">
        <v>136500</v>
      </c>
      <c r="N151" s="22" t="n">
        <v>112700</v>
      </c>
      <c r="O151" s="22" t="n">
        <v>160100</v>
      </c>
      <c r="P151" s="22" t="n">
        <v>257900</v>
      </c>
      <c r="Q151" s="22" t="n">
        <v>331500</v>
      </c>
      <c r="R151" s="22" t="n">
        <v>209900</v>
      </c>
      <c r="S151" s="22" t="n">
        <v>126600</v>
      </c>
      <c r="T151" s="22" t="n">
        <v>142000</v>
      </c>
      <c r="U151" s="22" t="n">
        <v>181300</v>
      </c>
      <c r="V151" s="22" t="n">
        <v>130800</v>
      </c>
      <c r="W151" s="22" t="n">
        <v>187400</v>
      </c>
      <c r="X151" s="22" t="n">
        <v>159500</v>
      </c>
      <c r="Y151" s="22" t="n">
        <v>219400</v>
      </c>
      <c r="Z151" s="22" t="n">
        <v>133000</v>
      </c>
      <c r="AA151" s="22" t="n">
        <v>185400</v>
      </c>
      <c r="AB151" s="22" t="n">
        <v>150200</v>
      </c>
      <c r="AC151" s="22" t="n">
        <v>100100</v>
      </c>
      <c r="AD151" s="22" t="n">
        <v>214000</v>
      </c>
      <c r="AE151" s="22" t="n">
        <v>229500</v>
      </c>
      <c r="AF151" s="22" t="n">
        <v>229500</v>
      </c>
      <c r="AG151" s="22" t="n">
        <v>184000</v>
      </c>
      <c r="AH151" s="22" t="n">
        <v>233700</v>
      </c>
      <c r="AI151" s="22" t="n">
        <v>169100</v>
      </c>
      <c r="AJ151" s="22" t="n">
        <v>255300</v>
      </c>
      <c r="AK151" s="22" t="n">
        <v>801500</v>
      </c>
      <c r="AL151" s="22" t="n">
        <v>437500</v>
      </c>
      <c r="AM151" s="22" t="n">
        <v>288200</v>
      </c>
      <c r="AN151" s="22" t="n">
        <v>150200</v>
      </c>
      <c r="AO151" s="22" t="n">
        <v>126900</v>
      </c>
      <c r="AP151" s="22" t="n">
        <v>54700</v>
      </c>
      <c r="AQ151" s="22" t="n">
        <v>37200</v>
      </c>
      <c r="AR151" s="22" t="n">
        <v>49500</v>
      </c>
      <c r="AS151" s="22" t="n">
        <v>61400</v>
      </c>
      <c r="AT151" s="22" t="n">
        <v>72400</v>
      </c>
      <c r="AU151" s="22" t="n">
        <v>110600</v>
      </c>
      <c r="AV151" s="22" t="n">
        <v>58600</v>
      </c>
      <c r="AW151" s="22" t="n">
        <v>98400</v>
      </c>
      <c r="AX151" s="22" t="n">
        <v>41400</v>
      </c>
      <c r="AY151" s="22" t="n">
        <v>69900</v>
      </c>
      <c r="AZ151" s="22" t="n">
        <v>29700</v>
      </c>
      <c r="BA151" s="22" t="n">
        <v>30400</v>
      </c>
      <c r="BB151" s="22" t="n">
        <v>38700</v>
      </c>
      <c r="BC151" s="22" t="n">
        <v>64300</v>
      </c>
      <c r="BD151" s="22" t="n">
        <v>76100</v>
      </c>
      <c r="BE151" s="22" t="n">
        <v>100700</v>
      </c>
      <c r="BF151" s="22" t="n">
        <v>73900</v>
      </c>
      <c r="BG151" s="22" t="n">
        <v>78400</v>
      </c>
      <c r="BH151" s="22" t="n">
        <v>87200</v>
      </c>
      <c r="BI151" s="22" t="n">
        <v>96600</v>
      </c>
      <c r="BJ151" s="22" t="n">
        <v>150500</v>
      </c>
      <c r="BK151" s="22" t="n">
        <v>101700</v>
      </c>
      <c r="BL151" s="22" t="n">
        <v>58700</v>
      </c>
    </row>
    <row r="152" ht="15.95" customHeight="1" s="574">
      <c r="A152" s="416" t="inlineStr">
        <is>
          <t>7381</t>
        </is>
      </c>
      <c r="B152" s="49" t="inlineStr">
        <is>
          <t>ＣＣＩグループ</t>
        </is>
      </c>
      <c r="C152" s="53">
        <f>_xll.RssMarket("7381","出来高")</f>
        <v/>
      </c>
      <c r="D152" s="661">
        <f>C152-E152</f>
        <v/>
      </c>
      <c r="E152" s="22" t="n">
        <v>446000</v>
      </c>
      <c r="F152" s="22" t="n">
        <v>683100</v>
      </c>
      <c r="G152" s="22" t="n">
        <v>325900</v>
      </c>
      <c r="H152" s="22" t="n">
        <v>444200</v>
      </c>
      <c r="I152" s="22" t="n">
        <v>413400</v>
      </c>
      <c r="J152" s="22" t="n">
        <v>823600</v>
      </c>
      <c r="K152" s="22" t="n">
        <v>527000</v>
      </c>
      <c r="L152" s="22" t="n">
        <v>659400</v>
      </c>
      <c r="M152" s="22" t="n">
        <v>781900</v>
      </c>
      <c r="N152" s="22" t="n">
        <v>356100</v>
      </c>
      <c r="O152" s="22" t="n">
        <v>429300</v>
      </c>
      <c r="P152" s="22" t="n">
        <v>822300</v>
      </c>
      <c r="Q152" s="22" t="n">
        <v>632000</v>
      </c>
      <c r="R152" s="22" t="n">
        <v>513300</v>
      </c>
      <c r="S152" s="22" t="n">
        <v>619200</v>
      </c>
      <c r="T152" s="22" t="n">
        <v>497400</v>
      </c>
      <c r="U152" s="22" t="n">
        <v>436200</v>
      </c>
      <c r="V152" s="22" t="n">
        <v>452400</v>
      </c>
      <c r="W152" s="22" t="n">
        <v>898600</v>
      </c>
      <c r="X152" s="22" t="n">
        <v>467800</v>
      </c>
      <c r="Y152" s="22" t="n">
        <v>758600</v>
      </c>
      <c r="Z152" s="22" t="n">
        <v>650700</v>
      </c>
      <c r="AA152" s="22" t="n">
        <v>826100</v>
      </c>
      <c r="AB152" s="22" t="n">
        <v>531000</v>
      </c>
      <c r="AC152" s="22" t="n">
        <v>391200</v>
      </c>
      <c r="AD152" s="22" t="n">
        <v>479100</v>
      </c>
      <c r="AE152" s="22" t="n">
        <v>890100</v>
      </c>
      <c r="AF152" s="22" t="n">
        <v>890100</v>
      </c>
      <c r="AG152" s="22" t="n">
        <v>947100</v>
      </c>
      <c r="AH152" s="22" t="n">
        <v>1553800</v>
      </c>
      <c r="AI152" s="22" t="n">
        <v>849900</v>
      </c>
      <c r="AJ152" s="22" t="n">
        <v>937700</v>
      </c>
      <c r="AK152" s="22" t="n">
        <v>1000900</v>
      </c>
      <c r="AL152" s="22" t="n">
        <v>443900</v>
      </c>
      <c r="AM152" s="22" t="n">
        <v>391300</v>
      </c>
      <c r="AN152" s="22" t="n">
        <v>441400</v>
      </c>
      <c r="AO152" s="22" t="n">
        <v>546100</v>
      </c>
      <c r="AP152" s="22" t="n">
        <v>485800</v>
      </c>
      <c r="AQ152" s="22" t="n">
        <v>308200</v>
      </c>
      <c r="AR152" s="22" t="n">
        <v>433500</v>
      </c>
      <c r="AS152" s="22" t="n">
        <v>321900</v>
      </c>
      <c r="AT152" s="22" t="n">
        <v>337000</v>
      </c>
      <c r="AU152" s="22" t="n">
        <v>256400</v>
      </c>
      <c r="AV152" s="22" t="n">
        <v>309300</v>
      </c>
      <c r="AW152" s="22" t="n">
        <v>444500</v>
      </c>
      <c r="AX152" s="22" t="n">
        <v>472900</v>
      </c>
      <c r="AY152" s="22" t="n">
        <v>590000</v>
      </c>
      <c r="AZ152" s="22" t="n">
        <v>272000</v>
      </c>
      <c r="BA152" s="22" t="n">
        <v>279900</v>
      </c>
      <c r="BB152" s="22" t="n">
        <v>261000</v>
      </c>
      <c r="BC152" s="22" t="n">
        <v>530900</v>
      </c>
      <c r="BD152" s="22" t="n">
        <v>754900</v>
      </c>
      <c r="BE152" s="22" t="n">
        <v>660500</v>
      </c>
      <c r="BF152" s="22" t="n">
        <v>663500</v>
      </c>
      <c r="BG152" s="22" t="n">
        <v>458000</v>
      </c>
      <c r="BH152" s="22" t="n">
        <v>431500</v>
      </c>
      <c r="BI152" s="22" t="n">
        <v>433100</v>
      </c>
      <c r="BJ152" s="22" t="n">
        <v>592500</v>
      </c>
      <c r="BK152" s="22" t="n">
        <v>436600</v>
      </c>
      <c r="BL152" s="22" t="n">
        <v>453100</v>
      </c>
    </row>
    <row r="153" ht="15.95" customHeight="1" s="574">
      <c r="A153" s="416" t="inlineStr">
        <is>
          <t>4417</t>
        </is>
      </c>
      <c r="B153" s="49" t="inlineStr">
        <is>
          <t>グローバルセキュ</t>
        </is>
      </c>
      <c r="C153" s="53">
        <f>_xll.RssMarket("4417","出来高")</f>
        <v/>
      </c>
      <c r="D153" s="661">
        <f>C153-E153</f>
        <v/>
      </c>
      <c r="E153" s="22" t="n">
        <v>56500</v>
      </c>
      <c r="F153" s="22" t="n">
        <v>40500</v>
      </c>
      <c r="G153" s="22" t="n">
        <v>52100</v>
      </c>
      <c r="H153" s="22" t="n">
        <v>49100</v>
      </c>
      <c r="I153" s="22" t="n">
        <v>34600</v>
      </c>
      <c r="J153" s="22" t="n">
        <v>41600</v>
      </c>
      <c r="K153" s="22" t="n">
        <v>46300</v>
      </c>
      <c r="L153" s="22" t="n">
        <v>37300</v>
      </c>
      <c r="M153" s="22" t="n">
        <v>99100</v>
      </c>
      <c r="N153" s="22" t="n">
        <v>63500</v>
      </c>
      <c r="O153" s="22" t="n">
        <v>65800</v>
      </c>
      <c r="P153" s="22" t="n">
        <v>116400</v>
      </c>
      <c r="Q153" s="22" t="n">
        <v>91900</v>
      </c>
      <c r="R153" s="22" t="n">
        <v>169100</v>
      </c>
      <c r="S153" s="22" t="n">
        <v>74100</v>
      </c>
      <c r="T153" s="22" t="n">
        <v>82900</v>
      </c>
      <c r="U153" s="22" t="n">
        <v>118100</v>
      </c>
      <c r="V153" s="22" t="n">
        <v>131000</v>
      </c>
      <c r="W153" s="22" t="n">
        <v>158700</v>
      </c>
      <c r="X153" s="22" t="n">
        <v>82900</v>
      </c>
      <c r="Y153" s="22" t="n">
        <v>68200</v>
      </c>
      <c r="Z153" s="22" t="n">
        <v>41200</v>
      </c>
      <c r="AA153" s="22" t="n">
        <v>63100</v>
      </c>
      <c r="AB153" s="22" t="n">
        <v>107000</v>
      </c>
      <c r="AC153" s="22" t="n">
        <v>85800</v>
      </c>
      <c r="AD153" s="22" t="n">
        <v>157500</v>
      </c>
      <c r="AE153" s="22" t="n">
        <v>94100</v>
      </c>
      <c r="AF153" s="22" t="n">
        <v>94100</v>
      </c>
      <c r="AG153" s="22" t="n">
        <v>171000</v>
      </c>
      <c r="AH153" s="22" t="n">
        <v>182400</v>
      </c>
      <c r="AI153" s="22" t="n">
        <v>450100</v>
      </c>
      <c r="AJ153" s="22" t="n">
        <v>118600</v>
      </c>
      <c r="AK153" s="22" t="n">
        <v>75200</v>
      </c>
      <c r="AL153" s="22" t="n">
        <v>57500</v>
      </c>
      <c r="AM153" s="22" t="n">
        <v>49100</v>
      </c>
      <c r="AN153" s="22" t="n">
        <v>59100</v>
      </c>
      <c r="AO153" s="22" t="n">
        <v>54600</v>
      </c>
      <c r="AP153" s="22" t="n">
        <v>62700</v>
      </c>
      <c r="AQ153" s="22" t="n">
        <v>37700</v>
      </c>
      <c r="AR153" s="22" t="n">
        <v>67100</v>
      </c>
      <c r="AS153" s="22" t="n">
        <v>115500</v>
      </c>
      <c r="AT153" s="22" t="n">
        <v>101600</v>
      </c>
      <c r="AU153" s="22" t="n">
        <v>116200</v>
      </c>
      <c r="AV153" s="22" t="n">
        <v>170800</v>
      </c>
      <c r="AW153" s="22" t="n">
        <v>47800</v>
      </c>
      <c r="AX153" s="22" t="n">
        <v>39700</v>
      </c>
      <c r="AY153" s="22" t="n">
        <v>75100</v>
      </c>
      <c r="AZ153" s="22" t="n">
        <v>27200</v>
      </c>
      <c r="BA153" s="22" t="n">
        <v>28900</v>
      </c>
      <c r="BB153" s="22" t="n">
        <v>22000</v>
      </c>
      <c r="BC153" s="22" t="n">
        <v>64300</v>
      </c>
      <c r="BD153" s="22" t="n">
        <v>68700</v>
      </c>
      <c r="BE153" s="22" t="n">
        <v>97600</v>
      </c>
      <c r="BF153" s="22" t="n">
        <v>46200</v>
      </c>
      <c r="BG153" s="22" t="n">
        <v>32700</v>
      </c>
      <c r="BH153" s="22" t="n">
        <v>37100</v>
      </c>
      <c r="BI153" s="22" t="n">
        <v>57300</v>
      </c>
      <c r="BJ153" s="22" t="n">
        <v>96500</v>
      </c>
      <c r="BK153" s="22" t="n">
        <v>80800</v>
      </c>
      <c r="BL153" s="22" t="n">
        <v>80000</v>
      </c>
    </row>
    <row r="154" ht="15.95" customHeight="1" s="574">
      <c r="A154" s="416" t="inlineStr">
        <is>
          <t>6981</t>
        </is>
      </c>
      <c r="B154" s="49" t="inlineStr">
        <is>
          <t>村田製作所</t>
        </is>
      </c>
      <c r="C154" s="53">
        <f>_xll.RssMarket("6981","出来高")</f>
        <v/>
      </c>
      <c r="D154" s="661">
        <f>C154-E154</f>
        <v/>
      </c>
      <c r="E154" s="22" t="n">
        <v>26689000</v>
      </c>
      <c r="F154" s="22" t="n">
        <v>47359300</v>
      </c>
      <c r="G154" s="22" t="n">
        <v>37329500</v>
      </c>
      <c r="H154" s="22" t="n">
        <v>31784100</v>
      </c>
      <c r="I154" s="22" t="n">
        <v>37241100</v>
      </c>
      <c r="J154" s="22" t="n">
        <v>59245900</v>
      </c>
      <c r="K154" s="22" t="n">
        <v>42888400</v>
      </c>
      <c r="L154" s="22" t="n">
        <v>53014000</v>
      </c>
      <c r="M154" s="22" t="n">
        <v>47646200</v>
      </c>
      <c r="N154" s="22" t="n">
        <v>34362300</v>
      </c>
      <c r="O154" s="22" t="n">
        <v>25651100</v>
      </c>
      <c r="P154" s="22" t="n">
        <v>40139600</v>
      </c>
      <c r="Q154" s="22" t="n">
        <v>50853300</v>
      </c>
      <c r="R154" s="22" t="n">
        <v>75663400</v>
      </c>
      <c r="S154" s="22" t="n">
        <v>46383100</v>
      </c>
      <c r="T154" s="22" t="n">
        <v>24621300</v>
      </c>
      <c r="U154" s="22" t="n">
        <v>36000700</v>
      </c>
      <c r="V154" s="22" t="n">
        <v>20915700</v>
      </c>
      <c r="W154" s="22" t="n">
        <v>15850200</v>
      </c>
      <c r="X154" s="22" t="n">
        <v>11512000</v>
      </c>
      <c r="Y154" s="22" t="n">
        <v>10166800</v>
      </c>
      <c r="Z154" s="22" t="n">
        <v>11319900</v>
      </c>
      <c r="AA154" s="22" t="n">
        <v>13040900</v>
      </c>
      <c r="AB154" s="22" t="n">
        <v>11802500</v>
      </c>
      <c r="AC154" s="22" t="n">
        <v>12340800</v>
      </c>
      <c r="AD154" s="22" t="n">
        <v>12364000</v>
      </c>
      <c r="AE154" s="22" t="n">
        <v>14052700</v>
      </c>
      <c r="AF154" s="22" t="n">
        <v>14052700</v>
      </c>
      <c r="AG154" s="22" t="n">
        <v>15418500</v>
      </c>
      <c r="AH154" s="22" t="n">
        <v>24938000</v>
      </c>
      <c r="AI154" s="22" t="n">
        <v>18404600</v>
      </c>
      <c r="AJ154" s="22" t="n">
        <v>30704800</v>
      </c>
      <c r="AK154" s="22" t="n">
        <v>10341000</v>
      </c>
      <c r="AL154" s="22" t="n">
        <v>8040200</v>
      </c>
      <c r="AM154" s="22" t="n">
        <v>8895700</v>
      </c>
      <c r="AN154" s="22" t="n">
        <v>10948000</v>
      </c>
      <c r="AO154" s="22" t="n">
        <v>7750500</v>
      </c>
      <c r="AP154" s="22" t="n">
        <v>7758000</v>
      </c>
      <c r="AQ154" s="22" t="n">
        <v>10084000</v>
      </c>
      <c r="AR154" s="22" t="n">
        <v>13592000</v>
      </c>
      <c r="AS154" s="22" t="n">
        <v>15342100</v>
      </c>
      <c r="AT154" s="22" t="n">
        <v>13431600</v>
      </c>
      <c r="AU154" s="22" t="n">
        <v>9262400</v>
      </c>
      <c r="AV154" s="22" t="n">
        <v>7510600</v>
      </c>
      <c r="AW154" s="22" t="n">
        <v>10407400</v>
      </c>
      <c r="AX154" s="22" t="n">
        <v>8314100</v>
      </c>
      <c r="AY154" s="22" t="n">
        <v>9611500</v>
      </c>
      <c r="AZ154" s="22" t="n">
        <v>5421900</v>
      </c>
      <c r="BA154" s="22" t="n">
        <v>6097300</v>
      </c>
      <c r="BB154" s="22" t="n">
        <v>9021300</v>
      </c>
      <c r="BC154" s="22" t="n">
        <v>7093500</v>
      </c>
      <c r="BD154" s="22" t="n">
        <v>6385000</v>
      </c>
      <c r="BE154" s="22" t="n">
        <v>8669100</v>
      </c>
      <c r="BF154" s="22" t="n">
        <v>8163200</v>
      </c>
      <c r="BG154" s="22" t="n">
        <v>6618400</v>
      </c>
      <c r="BH154" s="22" t="n">
        <v>7462600</v>
      </c>
      <c r="BI154" s="22" t="n">
        <v>6076700</v>
      </c>
      <c r="BJ154" s="22" t="n">
        <v>8421100</v>
      </c>
      <c r="BK154" s="22" t="n">
        <v>8104300</v>
      </c>
      <c r="BL154" s="22" t="n">
        <v>7146700</v>
      </c>
    </row>
    <row r="155" ht="15.95" customHeight="1" s="574">
      <c r="A155" s="416" t="inlineStr">
        <is>
          <t>6754</t>
        </is>
      </c>
      <c r="B155" s="49" t="inlineStr">
        <is>
          <t>アンリツ</t>
        </is>
      </c>
      <c r="C155" s="53">
        <f>_xll.RssMarket("6754","出来高")</f>
        <v/>
      </c>
      <c r="D155" s="661">
        <f>C155-E155</f>
        <v/>
      </c>
      <c r="E155" s="22" t="n">
        <v>1201800</v>
      </c>
      <c r="F155" s="22" t="n">
        <v>2632600</v>
      </c>
      <c r="G155" s="22" t="n">
        <v>1535900</v>
      </c>
      <c r="H155" s="22" t="n">
        <v>1091000</v>
      </c>
      <c r="I155" s="22" t="n">
        <v>1671600</v>
      </c>
      <c r="J155" s="22" t="n">
        <v>1649300</v>
      </c>
      <c r="K155" s="22" t="n">
        <v>1695500</v>
      </c>
      <c r="L155" s="22" t="n">
        <v>3653900</v>
      </c>
      <c r="M155" s="22" t="n">
        <v>2565500</v>
      </c>
      <c r="N155" s="22" t="n">
        <v>1745400</v>
      </c>
      <c r="O155" s="22" t="n">
        <v>1128900</v>
      </c>
      <c r="P155" s="22" t="n">
        <v>1890400</v>
      </c>
      <c r="Q155" s="22" t="n">
        <v>1520800</v>
      </c>
      <c r="R155" s="22" t="n">
        <v>1644800</v>
      </c>
      <c r="S155" s="22" t="n">
        <v>1358700</v>
      </c>
      <c r="T155" s="22" t="n">
        <v>1749500</v>
      </c>
      <c r="U155" s="22" t="n">
        <v>2323900</v>
      </c>
      <c r="V155" s="22" t="n">
        <v>1844300</v>
      </c>
      <c r="W155" s="22" t="n">
        <v>2474600</v>
      </c>
      <c r="X155" s="22" t="n">
        <v>3148600</v>
      </c>
      <c r="Y155" s="22" t="n">
        <v>1429900</v>
      </c>
      <c r="Z155" s="22" t="n">
        <v>1634700</v>
      </c>
      <c r="AA155" s="22" t="n">
        <v>2351200</v>
      </c>
      <c r="AB155" s="22" t="n">
        <v>1471700</v>
      </c>
      <c r="AC155" s="22" t="n">
        <v>1283300</v>
      </c>
      <c r="AD155" s="22" t="n">
        <v>2888600</v>
      </c>
      <c r="AE155" s="22" t="n">
        <v>1779800</v>
      </c>
      <c r="AF155" s="22" t="n">
        <v>1779800</v>
      </c>
      <c r="AG155" s="22" t="n">
        <v>1709900</v>
      </c>
      <c r="AH155" s="22" t="n">
        <v>3034800</v>
      </c>
      <c r="AI155" s="22" t="n">
        <v>2390200</v>
      </c>
      <c r="AJ155" s="22" t="n">
        <v>3721200</v>
      </c>
      <c r="AK155" s="22" t="n">
        <v>7904000</v>
      </c>
      <c r="AL155" s="22" t="n">
        <v>3154400</v>
      </c>
      <c r="AM155" s="22" t="n">
        <v>1272900</v>
      </c>
      <c r="AN155" s="22" t="n">
        <v>1155400</v>
      </c>
      <c r="AO155" s="22" t="n">
        <v>1462400</v>
      </c>
      <c r="AP155" s="22" t="n">
        <v>2052500</v>
      </c>
      <c r="AQ155" s="22" t="n">
        <v>1078400</v>
      </c>
      <c r="AR155" s="22" t="n">
        <v>1136300</v>
      </c>
      <c r="AS155" s="22" t="n">
        <v>1050800</v>
      </c>
      <c r="AT155" s="22" t="n">
        <v>1286200</v>
      </c>
      <c r="AU155" s="22" t="n">
        <v>867900</v>
      </c>
      <c r="AV155" s="22" t="n">
        <v>1417400</v>
      </c>
      <c r="AW155" s="22" t="n">
        <v>2130600</v>
      </c>
      <c r="AX155" s="22" t="n">
        <v>907800</v>
      </c>
      <c r="AY155" s="22" t="n">
        <v>1544000</v>
      </c>
      <c r="AZ155" s="22" t="n">
        <v>913700</v>
      </c>
      <c r="BA155" s="22" t="n">
        <v>1016700</v>
      </c>
      <c r="BB155" s="22" t="n">
        <v>884000</v>
      </c>
      <c r="BC155" s="22" t="n">
        <v>1286200</v>
      </c>
      <c r="BD155" s="22" t="n">
        <v>1269600</v>
      </c>
      <c r="BE155" s="22" t="n">
        <v>1570700</v>
      </c>
      <c r="BF155" s="22" t="n">
        <v>1142200</v>
      </c>
      <c r="BG155" s="22" t="n">
        <v>1502900</v>
      </c>
      <c r="BH155" s="22" t="n">
        <v>1290900</v>
      </c>
      <c r="BI155" s="22" t="n">
        <v>1924800</v>
      </c>
      <c r="BJ155" s="22" t="n">
        <v>2124700</v>
      </c>
      <c r="BK155" s="22" t="n">
        <v>1149900</v>
      </c>
      <c r="BL155" s="22" t="n">
        <v>688900</v>
      </c>
    </row>
    <row r="156" ht="15.95" customHeight="1" s="574">
      <c r="A156" s="416" t="inlineStr">
        <is>
          <t>4088</t>
        </is>
      </c>
      <c r="B156" s="49" t="inlineStr">
        <is>
          <t>エア・ウォーター</t>
        </is>
      </c>
      <c r="C156" s="53">
        <f>_xll.RssMarket("4088","出来高")</f>
        <v/>
      </c>
      <c r="D156" s="661">
        <f>C156-E156</f>
        <v/>
      </c>
      <c r="E156" s="22" t="n">
        <v>561600</v>
      </c>
      <c r="F156" s="22" t="n">
        <v>1086700</v>
      </c>
      <c r="G156" s="22" t="n">
        <v>818300</v>
      </c>
      <c r="H156" s="22" t="n">
        <v>546500</v>
      </c>
      <c r="I156" s="22" t="n">
        <v>1084200</v>
      </c>
      <c r="J156" s="22" t="n">
        <v>964600</v>
      </c>
      <c r="K156" s="22" t="n">
        <v>829200</v>
      </c>
      <c r="L156" s="22" t="n">
        <v>980100</v>
      </c>
      <c r="M156" s="22" t="n">
        <v>947500</v>
      </c>
      <c r="N156" s="22" t="n">
        <v>473500</v>
      </c>
      <c r="O156" s="22" t="n">
        <v>907400</v>
      </c>
      <c r="P156" s="22" t="n">
        <v>1205200</v>
      </c>
      <c r="Q156" s="22" t="n">
        <v>1213000</v>
      </c>
      <c r="R156" s="22" t="n">
        <v>2391200</v>
      </c>
      <c r="S156" s="22" t="n">
        <v>1683400</v>
      </c>
      <c r="T156" s="22" t="n">
        <v>2133200</v>
      </c>
      <c r="U156" s="22" t="n">
        <v>1614600</v>
      </c>
      <c r="V156" s="22" t="n">
        <v>1914400</v>
      </c>
      <c r="W156" s="22" t="n">
        <v>1948500</v>
      </c>
      <c r="X156" s="22" t="n">
        <v>3429800</v>
      </c>
      <c r="Y156" s="22" t="n">
        <v>6991900</v>
      </c>
      <c r="Z156" s="22" t="n">
        <v>3109400</v>
      </c>
      <c r="AA156" s="22" t="n">
        <v>3475800</v>
      </c>
      <c r="AB156" s="22" t="n">
        <v>2152400</v>
      </c>
      <c r="AC156" s="22" t="n">
        <v>2406600</v>
      </c>
      <c r="AD156" s="22" t="n">
        <v>3269100</v>
      </c>
      <c r="AE156" s="22" t="n">
        <v>21611100</v>
      </c>
      <c r="AF156" s="22" t="n">
        <v>21611100</v>
      </c>
      <c r="AG156" s="22" t="n">
        <v>3841500</v>
      </c>
      <c r="AH156" s="22" t="n">
        <v>7184000</v>
      </c>
      <c r="AI156" s="22" t="n">
        <v>19920400</v>
      </c>
      <c r="AJ156" s="22" t="n">
        <v>738100</v>
      </c>
      <c r="AK156" s="22" t="n">
        <v>501300</v>
      </c>
      <c r="AL156" s="22" t="n">
        <v>517500</v>
      </c>
      <c r="AM156" s="22" t="n">
        <v>523000</v>
      </c>
      <c r="AN156" s="22" t="n">
        <v>592400</v>
      </c>
      <c r="AO156" s="22" t="n">
        <v>524800</v>
      </c>
      <c r="AP156" s="22" t="n">
        <v>572800</v>
      </c>
      <c r="AQ156" s="22" t="n">
        <v>644500</v>
      </c>
      <c r="AR156" s="22" t="n">
        <v>621500</v>
      </c>
      <c r="AS156" s="22" t="n">
        <v>815500</v>
      </c>
      <c r="AT156" s="22" t="n">
        <v>1298000</v>
      </c>
      <c r="AU156" s="22" t="n">
        <v>950200</v>
      </c>
      <c r="AV156" s="22" t="n">
        <v>435300</v>
      </c>
      <c r="AW156" s="22" t="n">
        <v>906500</v>
      </c>
      <c r="AX156" s="22" t="n">
        <v>538500</v>
      </c>
      <c r="AY156" s="22" t="n">
        <v>788900</v>
      </c>
      <c r="AZ156" s="22" t="n">
        <v>938900</v>
      </c>
      <c r="BA156" s="22" t="n">
        <v>639800</v>
      </c>
      <c r="BB156" s="22" t="n">
        <v>718200</v>
      </c>
      <c r="BC156" s="22" t="n">
        <v>705500</v>
      </c>
      <c r="BD156" s="22" t="n">
        <v>873900</v>
      </c>
      <c r="BE156" s="22" t="n">
        <v>1282300</v>
      </c>
      <c r="BF156" s="22" t="n">
        <v>1522100</v>
      </c>
      <c r="BG156" s="22" t="n">
        <v>740300</v>
      </c>
      <c r="BH156" s="22" t="n">
        <v>810900</v>
      </c>
      <c r="BI156" s="22" t="n">
        <v>1118100</v>
      </c>
      <c r="BJ156" s="22" t="n">
        <v>1334200</v>
      </c>
      <c r="BK156" s="22" t="n">
        <v>1173100</v>
      </c>
      <c r="BL156" s="22" t="n">
        <v>984800</v>
      </c>
    </row>
    <row r="157" ht="15.95" customHeight="1" s="574">
      <c r="A157" s="416" t="inlineStr">
        <is>
          <t>4091</t>
        </is>
      </c>
      <c r="B157" s="49" t="inlineStr">
        <is>
          <t>日本酸素ＨＬＤＧＳ</t>
        </is>
      </c>
      <c r="C157" s="53">
        <f>_xll.RssMarket("4091","出来高")</f>
        <v/>
      </c>
      <c r="D157" s="661">
        <f>C157-E157</f>
        <v/>
      </c>
      <c r="E157" s="22" t="n">
        <v>381400</v>
      </c>
      <c r="F157" s="22" t="n">
        <v>537200</v>
      </c>
      <c r="G157" s="22" t="n">
        <v>401300</v>
      </c>
      <c r="H157" s="22" t="n">
        <v>375300</v>
      </c>
      <c r="I157" s="22" t="n">
        <v>474400</v>
      </c>
      <c r="J157" s="22" t="n">
        <v>858200</v>
      </c>
      <c r="K157" s="22" t="n">
        <v>400400</v>
      </c>
      <c r="L157" s="22" t="n">
        <v>511900</v>
      </c>
      <c r="M157" s="22" t="n">
        <v>599300</v>
      </c>
      <c r="N157" s="22" t="n">
        <v>483500</v>
      </c>
      <c r="O157" s="22" t="n">
        <v>462800</v>
      </c>
      <c r="P157" s="22" t="n">
        <v>653900</v>
      </c>
      <c r="Q157" s="22" t="n">
        <v>688000</v>
      </c>
      <c r="R157" s="22" t="n">
        <v>1490700</v>
      </c>
      <c r="S157" s="22" t="n">
        <v>633100</v>
      </c>
      <c r="T157" s="22" t="n">
        <v>517800</v>
      </c>
      <c r="U157" s="22" t="n">
        <v>917300</v>
      </c>
      <c r="V157" s="22" t="n">
        <v>975900</v>
      </c>
      <c r="W157" s="22" t="n">
        <v>462000</v>
      </c>
      <c r="X157" s="22" t="n">
        <v>605300</v>
      </c>
      <c r="Y157" s="22" t="n">
        <v>507300</v>
      </c>
      <c r="Z157" s="22" t="n">
        <v>776800</v>
      </c>
      <c r="AA157" s="22" t="n">
        <v>875100</v>
      </c>
      <c r="AB157" s="22" t="n">
        <v>865200</v>
      </c>
      <c r="AC157" s="22" t="n">
        <v>1059800</v>
      </c>
      <c r="AD157" s="22" t="n">
        <v>2298400</v>
      </c>
      <c r="AE157" s="22" t="n">
        <v>2340700</v>
      </c>
      <c r="AF157" s="22" t="n">
        <v>2340700</v>
      </c>
      <c r="AG157" s="22" t="n">
        <v>895500</v>
      </c>
      <c r="AH157" s="22" t="n">
        <v>1653600</v>
      </c>
      <c r="AI157" s="22" t="n">
        <v>588800</v>
      </c>
      <c r="AJ157" s="22" t="n">
        <v>892900</v>
      </c>
      <c r="AK157" s="22" t="n">
        <v>598700</v>
      </c>
      <c r="AL157" s="22" t="n">
        <v>539400</v>
      </c>
      <c r="AM157" s="22" t="n">
        <v>711600</v>
      </c>
      <c r="AN157" s="22" t="n">
        <v>944000</v>
      </c>
      <c r="AO157" s="22" t="n">
        <v>535300</v>
      </c>
      <c r="AP157" s="22" t="n">
        <v>616600</v>
      </c>
      <c r="AQ157" s="22" t="n">
        <v>499000</v>
      </c>
      <c r="AR157" s="22" t="n">
        <v>497600</v>
      </c>
      <c r="AS157" s="22" t="n">
        <v>537300</v>
      </c>
      <c r="AT157" s="22" t="n">
        <v>745000</v>
      </c>
      <c r="AU157" s="22" t="n">
        <v>636600</v>
      </c>
      <c r="AV157" s="22" t="n">
        <v>487000</v>
      </c>
      <c r="AW157" s="22" t="n">
        <v>585000</v>
      </c>
      <c r="AX157" s="22" t="n">
        <v>671200</v>
      </c>
      <c r="AY157" s="22" t="n">
        <v>885000</v>
      </c>
      <c r="AZ157" s="22" t="n">
        <v>472600</v>
      </c>
      <c r="BA157" s="22" t="n">
        <v>304100</v>
      </c>
      <c r="BB157" s="22" t="n">
        <v>425300</v>
      </c>
      <c r="BC157" s="22" t="n">
        <v>622800</v>
      </c>
      <c r="BD157" s="22" t="n">
        <v>714100</v>
      </c>
      <c r="BE157" s="22" t="n">
        <v>800800</v>
      </c>
      <c r="BF157" s="22" t="n">
        <v>960400</v>
      </c>
      <c r="BG157" s="22" t="n">
        <v>488000</v>
      </c>
      <c r="BH157" s="22" t="n">
        <v>696300</v>
      </c>
      <c r="BI157" s="22" t="n">
        <v>936000</v>
      </c>
      <c r="BJ157" s="22" t="n">
        <v>1024600</v>
      </c>
      <c r="BK157" s="22" t="n">
        <v>896400</v>
      </c>
      <c r="BL157" s="22" t="n">
        <v>846400</v>
      </c>
    </row>
    <row r="158" ht="15.95" customHeight="1" s="574">
      <c r="A158" s="416" t="inlineStr">
        <is>
          <t>6857</t>
        </is>
      </c>
      <c r="B158" s="49" t="inlineStr">
        <is>
          <t>アドバンテスト</t>
        </is>
      </c>
      <c r="C158" s="53">
        <f>_xll.RssMarket("6857","出来高")</f>
        <v/>
      </c>
      <c r="D158" s="661">
        <f>C158-E158</f>
        <v/>
      </c>
      <c r="E158" s="22" t="n">
        <v>5949900</v>
      </c>
      <c r="F158" s="22" t="n">
        <v>9887400</v>
      </c>
      <c r="G158" s="22" t="n">
        <v>7501800</v>
      </c>
      <c r="H158" s="22" t="n">
        <v>7837500</v>
      </c>
      <c r="I158" s="22" t="n">
        <v>12037500</v>
      </c>
      <c r="J158" s="22" t="n">
        <v>10241000</v>
      </c>
      <c r="K158" s="22" t="n">
        <v>7237400</v>
      </c>
      <c r="L158" s="22" t="n">
        <v>8322300</v>
      </c>
      <c r="M158" s="22" t="n">
        <v>10067400</v>
      </c>
      <c r="N158" s="22" t="n">
        <v>7157600</v>
      </c>
      <c r="O158" s="22" t="n">
        <v>7606900</v>
      </c>
      <c r="P158" s="22" t="n">
        <v>8806800</v>
      </c>
      <c r="Q158" s="22" t="n">
        <v>8218300</v>
      </c>
      <c r="R158" s="22" t="n">
        <v>9408700</v>
      </c>
      <c r="S158" s="22" t="n">
        <v>7244100</v>
      </c>
      <c r="T158" s="22" t="n">
        <v>9423800</v>
      </c>
      <c r="U158" s="22" t="n">
        <v>7936500</v>
      </c>
      <c r="V158" s="22" t="n">
        <v>7253600</v>
      </c>
      <c r="W158" s="22" t="n">
        <v>9851300</v>
      </c>
      <c r="X158" s="22" t="n">
        <v>8881700</v>
      </c>
      <c r="Y158" s="22" t="n">
        <v>9174200</v>
      </c>
      <c r="Z158" s="22" t="n">
        <v>8750700</v>
      </c>
      <c r="AA158" s="22" t="n">
        <v>9938400</v>
      </c>
      <c r="AB158" s="22" t="n">
        <v>9547900</v>
      </c>
      <c r="AC158" s="22" t="n">
        <v>5799400</v>
      </c>
      <c r="AD158" s="22" t="n">
        <v>7971200</v>
      </c>
      <c r="AE158" s="22" t="n">
        <v>8727700</v>
      </c>
      <c r="AF158" s="22" t="n">
        <v>8727700</v>
      </c>
      <c r="AG158" s="22" t="n">
        <v>8963400</v>
      </c>
      <c r="AH158" s="22" t="n">
        <v>11005100</v>
      </c>
      <c r="AI158" s="22" t="n">
        <v>7144100</v>
      </c>
      <c r="AJ158" s="22" t="n">
        <v>13127400</v>
      </c>
      <c r="AK158" s="22" t="n">
        <v>19894900</v>
      </c>
      <c r="AL158" s="22" t="n">
        <v>18594000</v>
      </c>
      <c r="AM158" s="22" t="n">
        <v>15405700</v>
      </c>
      <c r="AN158" s="22" t="n">
        <v>10679900</v>
      </c>
      <c r="AO158" s="22" t="n">
        <v>9077500</v>
      </c>
      <c r="AP158" s="22" t="n">
        <v>6400300</v>
      </c>
      <c r="AQ158" s="22" t="n">
        <v>7633600</v>
      </c>
      <c r="AR158" s="22" t="n">
        <v>9985300</v>
      </c>
      <c r="AS158" s="22" t="n">
        <v>10852600</v>
      </c>
      <c r="AT158" s="22" t="n">
        <v>12810000</v>
      </c>
      <c r="AU158" s="22" t="n">
        <v>11460300</v>
      </c>
      <c r="AV158" s="22" t="n">
        <v>6508500</v>
      </c>
      <c r="AW158" s="22" t="n">
        <v>10849800</v>
      </c>
      <c r="AX158" s="22" t="n">
        <v>8706000</v>
      </c>
      <c r="AY158" s="22" t="n">
        <v>13848700</v>
      </c>
      <c r="AZ158" s="22" t="n">
        <v>6973500</v>
      </c>
      <c r="BA158" s="22" t="n">
        <v>6851400</v>
      </c>
      <c r="BB158" s="22" t="n">
        <v>5670900</v>
      </c>
      <c r="BC158" s="22" t="n">
        <v>13378000</v>
      </c>
      <c r="BD158" s="22" t="n">
        <v>11328200</v>
      </c>
      <c r="BE158" s="22" t="n">
        <v>12880400</v>
      </c>
      <c r="BF158" s="22" t="n">
        <v>8761700</v>
      </c>
      <c r="BG158" s="22" t="n">
        <v>7478300</v>
      </c>
      <c r="BH158" s="22" t="n">
        <v>10638400</v>
      </c>
      <c r="BI158" s="22" t="n">
        <v>9506400</v>
      </c>
      <c r="BJ158" s="22" t="n">
        <v>8209900</v>
      </c>
      <c r="BK158" s="22" t="n">
        <v>8793000</v>
      </c>
      <c r="BL158" s="22" t="n">
        <v>7535700</v>
      </c>
    </row>
    <row r="159" ht="15.95" customHeight="1" s="574">
      <c r="A159" s="416" t="inlineStr">
        <is>
          <t>3891</t>
        </is>
      </c>
      <c r="B159" s="49" t="inlineStr">
        <is>
          <t>ニッポン高度紙工業</t>
        </is>
      </c>
      <c r="C159" s="53">
        <f>_xll.RssMarket("3891","出来高")</f>
        <v/>
      </c>
      <c r="D159" s="661">
        <f>C159-E159</f>
        <v/>
      </c>
      <c r="E159" s="22" t="n">
        <v>282900</v>
      </c>
      <c r="F159" s="22" t="n">
        <v>231400</v>
      </c>
      <c r="G159" s="22" t="n">
        <v>411800</v>
      </c>
      <c r="H159" s="22" t="n">
        <v>456000</v>
      </c>
      <c r="I159" s="22" t="n">
        <v>189000</v>
      </c>
      <c r="J159" s="22" t="n">
        <v>438800</v>
      </c>
      <c r="K159" s="22" t="n">
        <v>475900</v>
      </c>
      <c r="L159" s="22" t="n">
        <v>640400</v>
      </c>
      <c r="M159" s="22" t="n">
        <v>433600</v>
      </c>
      <c r="N159" s="22" t="n">
        <v>372500</v>
      </c>
      <c r="O159" s="22" t="n">
        <v>192700</v>
      </c>
      <c r="P159" s="22" t="n">
        <v>394200</v>
      </c>
      <c r="Q159" s="22" t="n">
        <v>359800</v>
      </c>
      <c r="R159" s="22" t="n">
        <v>206700</v>
      </c>
      <c r="S159" s="22" t="n">
        <v>192300</v>
      </c>
      <c r="T159" s="22" t="n">
        <v>184700</v>
      </c>
      <c r="U159" s="22" t="n">
        <v>249700</v>
      </c>
      <c r="V159" s="22" t="n">
        <v>235500</v>
      </c>
      <c r="W159" s="22" t="n">
        <v>161200</v>
      </c>
      <c r="X159" s="22" t="n">
        <v>208200</v>
      </c>
      <c r="Y159" s="22" t="n">
        <v>148700</v>
      </c>
      <c r="Z159" s="22" t="n">
        <v>164600</v>
      </c>
      <c r="AA159" s="22" t="n">
        <v>118600</v>
      </c>
      <c r="AB159" s="22" t="n">
        <v>99100</v>
      </c>
      <c r="AC159" s="22" t="n">
        <v>108600</v>
      </c>
      <c r="AD159" s="22" t="n">
        <v>97600</v>
      </c>
      <c r="AE159" s="22" t="n">
        <v>119000</v>
      </c>
      <c r="AF159" s="22" t="n">
        <v>119000</v>
      </c>
      <c r="AG159" s="22" t="n">
        <v>160400</v>
      </c>
      <c r="AH159" s="22" t="n">
        <v>197500</v>
      </c>
      <c r="AI159" s="22" t="n">
        <v>169200</v>
      </c>
      <c r="AJ159" s="22" t="n">
        <v>242400</v>
      </c>
      <c r="AK159" s="22" t="n">
        <v>605400</v>
      </c>
      <c r="AL159" s="22" t="n">
        <v>484000</v>
      </c>
      <c r="AM159" s="22" t="n">
        <v>333700</v>
      </c>
      <c r="AN159" s="22" t="n">
        <v>127500</v>
      </c>
      <c r="AO159" s="22" t="n">
        <v>156400</v>
      </c>
      <c r="AP159" s="22" t="n">
        <v>182500</v>
      </c>
      <c r="AQ159" s="22" t="n">
        <v>117200</v>
      </c>
      <c r="AR159" s="22" t="n">
        <v>54600</v>
      </c>
      <c r="AS159" s="22" t="n">
        <v>98100</v>
      </c>
      <c r="AT159" s="22" t="n">
        <v>143900</v>
      </c>
      <c r="AU159" s="22" t="n">
        <v>86400</v>
      </c>
      <c r="AV159" s="22" t="n">
        <v>71300</v>
      </c>
      <c r="AW159" s="22" t="n">
        <v>65100</v>
      </c>
      <c r="AX159" s="22" t="n">
        <v>71500</v>
      </c>
      <c r="AY159" s="22" t="n">
        <v>148000</v>
      </c>
      <c r="AZ159" s="22" t="n">
        <v>46300</v>
      </c>
      <c r="BA159" s="22" t="n">
        <v>40200</v>
      </c>
      <c r="BB159" s="22" t="n">
        <v>31800</v>
      </c>
      <c r="BC159" s="22" t="n">
        <v>73500</v>
      </c>
      <c r="BD159" s="22" t="n">
        <v>60900</v>
      </c>
      <c r="BE159" s="22" t="n">
        <v>98400</v>
      </c>
      <c r="BF159" s="22" t="n">
        <v>76400</v>
      </c>
      <c r="BG159" s="22" t="n">
        <v>83100</v>
      </c>
      <c r="BH159" s="22" t="n">
        <v>62400</v>
      </c>
      <c r="BI159" s="22" t="n">
        <v>103900</v>
      </c>
      <c r="BJ159" s="22" t="n">
        <v>117200</v>
      </c>
      <c r="BK159" s="22" t="n">
        <v>108600</v>
      </c>
      <c r="BL159" s="22" t="n">
        <v>48200</v>
      </c>
    </row>
    <row r="160" ht="15.95" customHeight="1" s="574">
      <c r="A160" s="416" t="inlineStr">
        <is>
          <t>4373</t>
        </is>
      </c>
      <c r="B160" s="49" t="inlineStr">
        <is>
          <t>シンプレクスＨＤ</t>
        </is>
      </c>
      <c r="C160" s="53">
        <f>_xll.RssMarket("4373","出来高")</f>
        <v/>
      </c>
      <c r="D160" s="661">
        <f>C160-E160</f>
        <v/>
      </c>
      <c r="E160" s="22" t="n">
        <v>1111300</v>
      </c>
      <c r="F160" s="22" t="n">
        <v>1647600</v>
      </c>
      <c r="G160" s="22" t="n">
        <v>829300</v>
      </c>
      <c r="H160" s="22" t="n">
        <v>621300</v>
      </c>
      <c r="I160" s="22" t="n">
        <v>829400</v>
      </c>
      <c r="J160" s="22" t="n">
        <v>1476300</v>
      </c>
      <c r="K160" s="22" t="n">
        <v>763400</v>
      </c>
      <c r="L160" s="22" t="n">
        <v>912900</v>
      </c>
      <c r="M160" s="22" t="n">
        <v>494900</v>
      </c>
      <c r="N160" s="22" t="n">
        <v>656700</v>
      </c>
      <c r="O160" s="22" t="n">
        <v>1032700</v>
      </c>
      <c r="P160" s="22" t="n">
        <v>1030100</v>
      </c>
      <c r="Q160" s="22" t="n">
        <v>1269400</v>
      </c>
      <c r="R160" s="22" t="n">
        <v>1583600</v>
      </c>
      <c r="S160" s="22" t="n">
        <v>1088100</v>
      </c>
      <c r="T160" s="22" t="n">
        <v>1056800</v>
      </c>
      <c r="U160" s="22" t="n">
        <v>1059800</v>
      </c>
      <c r="V160" s="22" t="n">
        <v>1295100</v>
      </c>
      <c r="W160" s="22" t="n">
        <v>1180500</v>
      </c>
      <c r="X160" s="22" t="n">
        <v>1409700</v>
      </c>
      <c r="Y160" s="22" t="n">
        <v>1908400</v>
      </c>
      <c r="Z160" s="22" t="n">
        <v>523300</v>
      </c>
      <c r="AA160" s="22" t="n">
        <v>752200</v>
      </c>
      <c r="AB160" s="22" t="n">
        <v>666900</v>
      </c>
      <c r="AC160" s="22" t="n">
        <v>735600</v>
      </c>
      <c r="AD160" s="22" t="n">
        <v>888600</v>
      </c>
      <c r="AE160" s="22" t="n">
        <v>870200</v>
      </c>
      <c r="AF160" s="22" t="n">
        <v>870200</v>
      </c>
      <c r="AG160" s="22" t="n">
        <v>855200</v>
      </c>
      <c r="AH160" s="22" t="n">
        <v>1354000</v>
      </c>
      <c r="AI160" s="22" t="n">
        <v>2461000</v>
      </c>
      <c r="AJ160" s="22" t="n">
        <v>1172800</v>
      </c>
      <c r="AK160" s="22" t="n">
        <v>624100</v>
      </c>
      <c r="AL160" s="22" t="n">
        <v>1467300</v>
      </c>
      <c r="AM160" s="22" t="n">
        <v>480400</v>
      </c>
      <c r="AN160" s="22" t="n">
        <v>656600</v>
      </c>
      <c r="AO160" s="22" t="n">
        <v>802600</v>
      </c>
      <c r="AP160" s="22" t="n">
        <v>650400</v>
      </c>
      <c r="AQ160" s="22" t="n">
        <v>813200</v>
      </c>
      <c r="AR160" s="22" t="n">
        <v>1412700</v>
      </c>
      <c r="AS160" s="22" t="n">
        <v>770500</v>
      </c>
      <c r="AT160" s="22" t="n">
        <v>1466100</v>
      </c>
      <c r="AU160" s="22" t="n">
        <v>574800</v>
      </c>
      <c r="AV160" s="22" t="n">
        <v>389800</v>
      </c>
      <c r="AW160" s="22" t="n">
        <v>820300</v>
      </c>
      <c r="AX160" s="22" t="n">
        <v>377000</v>
      </c>
      <c r="AY160" s="22" t="n">
        <v>439200</v>
      </c>
      <c r="AZ160" s="22" t="n">
        <v>521700</v>
      </c>
      <c r="BA160" s="22" t="n">
        <v>373600</v>
      </c>
      <c r="BB160" s="22" t="n">
        <v>369800</v>
      </c>
      <c r="BC160" s="22" t="n">
        <v>706900</v>
      </c>
      <c r="BD160" s="22" t="n">
        <v>393000</v>
      </c>
      <c r="BE160" s="22" t="n">
        <v>838400</v>
      </c>
      <c r="BF160" s="22" t="n">
        <v>647200</v>
      </c>
      <c r="BG160" s="22" t="n">
        <v>371000</v>
      </c>
      <c r="BH160" s="22" t="n">
        <v>490800</v>
      </c>
      <c r="BI160" s="22" t="n">
        <v>419200</v>
      </c>
      <c r="BJ160" s="22" t="n">
        <v>558000</v>
      </c>
      <c r="BK160" s="22" t="n">
        <v>896400</v>
      </c>
      <c r="BL160" s="22" t="n">
        <v>888000</v>
      </c>
    </row>
    <row r="161" ht="15.95" customHeight="1" s="574">
      <c r="A161" s="416" t="inlineStr">
        <is>
          <t>8892</t>
        </is>
      </c>
      <c r="B161" s="49" t="inlineStr">
        <is>
          <t>エスコン</t>
        </is>
      </c>
      <c r="C161" s="53">
        <f>_xll.RssMarket("8892","出来高")</f>
        <v/>
      </c>
      <c r="D161" s="661">
        <f>C161-E161</f>
        <v/>
      </c>
      <c r="E161" s="22" t="n">
        <v>195300</v>
      </c>
      <c r="F161" s="22" t="n">
        <v>200500</v>
      </c>
      <c r="G161" s="22" t="n">
        <v>143900</v>
      </c>
      <c r="H161" s="22" t="n">
        <v>181300</v>
      </c>
      <c r="I161" s="22" t="n">
        <v>168800</v>
      </c>
      <c r="J161" s="22" t="n">
        <v>231200</v>
      </c>
      <c r="K161" s="22" t="n">
        <v>144500</v>
      </c>
      <c r="L161" s="22" t="n">
        <v>148900</v>
      </c>
      <c r="M161" s="22" t="n">
        <v>165000</v>
      </c>
      <c r="N161" s="22" t="n">
        <v>153800</v>
      </c>
      <c r="O161" s="22" t="n">
        <v>157900</v>
      </c>
      <c r="P161" s="22" t="n">
        <v>159400</v>
      </c>
      <c r="Q161" s="22" t="n">
        <v>164100</v>
      </c>
      <c r="R161" s="22" t="n">
        <v>286700</v>
      </c>
      <c r="S161" s="22" t="n">
        <v>216400</v>
      </c>
      <c r="T161" s="22" t="n">
        <v>157100</v>
      </c>
      <c r="U161" s="22" t="n">
        <v>207500</v>
      </c>
      <c r="V161" s="22" t="n">
        <v>209200</v>
      </c>
      <c r="W161" s="22" t="n">
        <v>216700</v>
      </c>
      <c r="X161" s="22" t="n">
        <v>310200</v>
      </c>
      <c r="Y161" s="22" t="n">
        <v>295700</v>
      </c>
      <c r="Z161" s="22" t="n">
        <v>338200</v>
      </c>
      <c r="AA161" s="22" t="n">
        <v>246400</v>
      </c>
      <c r="AB161" s="22" t="n">
        <v>220200</v>
      </c>
      <c r="AC161" s="22" t="n">
        <v>172500</v>
      </c>
      <c r="AD161" s="22" t="n">
        <v>194800</v>
      </c>
      <c r="AE161" s="22" t="n">
        <v>168500</v>
      </c>
      <c r="AF161" s="22" t="n">
        <v>168500</v>
      </c>
      <c r="AG161" s="22" t="n">
        <v>170200</v>
      </c>
      <c r="AH161" s="22" t="n">
        <v>253100</v>
      </c>
      <c r="AI161" s="22" t="n">
        <v>277400</v>
      </c>
      <c r="AJ161" s="22" t="n">
        <v>292800</v>
      </c>
      <c r="AK161" s="22" t="n">
        <v>397900</v>
      </c>
      <c r="AL161" s="22" t="n">
        <v>1087000</v>
      </c>
      <c r="AM161" s="22" t="n">
        <v>241900</v>
      </c>
      <c r="AN161" s="22" t="n">
        <v>144100</v>
      </c>
      <c r="AO161" s="22" t="n">
        <v>164900</v>
      </c>
      <c r="AP161" s="22" t="n">
        <v>283000</v>
      </c>
      <c r="AQ161" s="22" t="n">
        <v>219700</v>
      </c>
      <c r="AR161" s="22" t="n">
        <v>121200</v>
      </c>
      <c r="AS161" s="22" t="n">
        <v>135100</v>
      </c>
      <c r="AT161" s="22" t="n">
        <v>162000</v>
      </c>
      <c r="AU161" s="22" t="n">
        <v>192700</v>
      </c>
      <c r="AV161" s="22" t="n">
        <v>180500</v>
      </c>
      <c r="AW161" s="22" t="n">
        <v>163000</v>
      </c>
      <c r="AX161" s="22" t="n">
        <v>120600</v>
      </c>
      <c r="AY161" s="22" t="n">
        <v>185400</v>
      </c>
      <c r="AZ161" s="22" t="n">
        <v>127300</v>
      </c>
      <c r="BA161" s="22" t="n">
        <v>148600</v>
      </c>
      <c r="BB161" s="22" t="n">
        <v>245100</v>
      </c>
      <c r="BC161" s="22" t="n">
        <v>539200</v>
      </c>
      <c r="BD161" s="22" t="n">
        <v>351400</v>
      </c>
      <c r="BE161" s="22" t="n">
        <v>561100</v>
      </c>
      <c r="BF161" s="22" t="n">
        <v>451400</v>
      </c>
      <c r="BG161" s="22" t="n">
        <v>230100</v>
      </c>
      <c r="BH161" s="22" t="n">
        <v>160100</v>
      </c>
      <c r="BI161" s="22" t="n">
        <v>151000</v>
      </c>
      <c r="BJ161" s="22" t="n">
        <v>288000</v>
      </c>
      <c r="BK161" s="22" t="n">
        <v>295900</v>
      </c>
      <c r="BL161" s="22" t="n">
        <v>235100</v>
      </c>
    </row>
    <row r="162" ht="15.95" customHeight="1" s="574">
      <c r="A162" s="416" t="inlineStr">
        <is>
          <t>9687</t>
        </is>
      </c>
      <c r="B162" s="49" t="inlineStr">
        <is>
          <t>ＫＳＫ</t>
        </is>
      </c>
      <c r="C162" s="53">
        <f>_xll.RssMarket("9687","出来高")</f>
        <v/>
      </c>
      <c r="D162" s="661">
        <f>C162-E162</f>
        <v/>
      </c>
      <c r="E162" s="22" t="n">
        <v>2000</v>
      </c>
      <c r="F162" s="22" t="n">
        <v>2100</v>
      </c>
      <c r="G162" s="22" t="n">
        <v>1500</v>
      </c>
      <c r="H162" s="22" t="n">
        <v>1700</v>
      </c>
      <c r="I162" s="22" t="n">
        <v>3800</v>
      </c>
      <c r="J162" s="22" t="n">
        <v>600</v>
      </c>
      <c r="K162" s="22" t="n">
        <v>800</v>
      </c>
      <c r="L162" s="22" t="n">
        <v>600</v>
      </c>
      <c r="M162" s="22" t="n">
        <v>1800</v>
      </c>
      <c r="N162" s="22" t="n">
        <v>300</v>
      </c>
      <c r="O162" s="22" t="n">
        <v>700</v>
      </c>
      <c r="P162" s="22" t="n">
        <v>300</v>
      </c>
      <c r="Q162" s="22" t="n">
        <v>1200</v>
      </c>
      <c r="R162" s="22" t="n">
        <v>2100</v>
      </c>
      <c r="S162" s="22" t="n">
        <v>3400</v>
      </c>
      <c r="T162" s="22" t="n">
        <v>1900</v>
      </c>
      <c r="U162" s="22" t="n">
        <v>3100</v>
      </c>
      <c r="V162" s="22" t="n">
        <v>1600</v>
      </c>
      <c r="W162" s="22" t="n">
        <v>2800</v>
      </c>
      <c r="X162" s="22" t="n">
        <v>1900</v>
      </c>
      <c r="Y162" s="22" t="n">
        <v>1600</v>
      </c>
      <c r="Z162" s="22" t="n">
        <v>2200</v>
      </c>
      <c r="AA162" s="22" t="n">
        <v>2500</v>
      </c>
      <c r="AB162" s="22" t="n">
        <v>1700</v>
      </c>
      <c r="AC162" s="22" t="n">
        <v>1100</v>
      </c>
      <c r="AD162" s="22" t="n">
        <v>1000</v>
      </c>
      <c r="AE162" s="22" t="n">
        <v>1500</v>
      </c>
      <c r="AF162" s="22" t="n">
        <v>1500</v>
      </c>
      <c r="AG162" s="22" t="n">
        <v>1700</v>
      </c>
      <c r="AH162" s="22" t="n">
        <v>2100</v>
      </c>
      <c r="AI162" s="22" t="n">
        <v>8000</v>
      </c>
      <c r="AJ162" s="22" t="n">
        <v>17200</v>
      </c>
      <c r="AK162" s="22" t="n">
        <v>1500</v>
      </c>
      <c r="AL162" s="22" t="n">
        <v>1900</v>
      </c>
      <c r="AM162" s="22" t="n">
        <v>4200</v>
      </c>
      <c r="AN162" s="22" t="n">
        <v>1600</v>
      </c>
      <c r="AO162" s="22" t="n">
        <v>1900</v>
      </c>
      <c r="AP162" s="22" t="n">
        <v>900</v>
      </c>
      <c r="AQ162" s="22" t="n">
        <v>700</v>
      </c>
      <c r="AR162" s="22" t="n">
        <v>300</v>
      </c>
      <c r="AS162" s="22" t="n">
        <v>1200</v>
      </c>
      <c r="AT162" s="22" t="n">
        <v>4900</v>
      </c>
      <c r="AU162" s="22" t="n">
        <v>4500</v>
      </c>
      <c r="AV162" s="22" t="n">
        <v>2300</v>
      </c>
      <c r="AW162" s="22" t="n">
        <v>1700</v>
      </c>
      <c r="AX162" s="22" t="n">
        <v>1300</v>
      </c>
      <c r="AY162" s="22" t="n">
        <v>6900</v>
      </c>
      <c r="AZ162" s="22" t="n">
        <v>1800</v>
      </c>
      <c r="BA162" s="22" t="n">
        <v>1300</v>
      </c>
      <c r="BB162" s="22" t="n">
        <v>600</v>
      </c>
      <c r="BC162" s="22" t="n">
        <v>7300</v>
      </c>
      <c r="BD162" s="22" t="n">
        <v>7700</v>
      </c>
      <c r="BE162" s="22" t="n">
        <v>10400</v>
      </c>
      <c r="BF162" s="22" t="n">
        <v>14600</v>
      </c>
      <c r="BG162" s="22" t="n">
        <v>4000</v>
      </c>
      <c r="BH162" s="22" t="n">
        <v>4200</v>
      </c>
      <c r="BI162" s="22" t="n">
        <v>3100</v>
      </c>
      <c r="BJ162" s="22" t="n">
        <v>4700</v>
      </c>
      <c r="BK162" s="22" t="n">
        <v>4500</v>
      </c>
      <c r="BL162" s="22" t="n">
        <v>8500</v>
      </c>
    </row>
    <row r="163" ht="15.95" customHeight="1" s="574">
      <c r="A163" s="416" t="inlineStr">
        <is>
          <t>1930</t>
        </is>
      </c>
      <c r="B163" s="49" t="inlineStr">
        <is>
          <t>北陸電気工事</t>
        </is>
      </c>
      <c r="C163" s="53">
        <f>_xll.RssMarket("1930","出来高")</f>
        <v/>
      </c>
      <c r="D163" s="661">
        <f>C163-E163</f>
        <v/>
      </c>
      <c r="E163" s="22" t="n">
        <v>106300</v>
      </c>
      <c r="F163" s="22" t="n">
        <v>57200</v>
      </c>
      <c r="G163" s="22" t="n">
        <v>64400</v>
      </c>
      <c r="H163" s="22" t="n">
        <v>65400</v>
      </c>
      <c r="I163" s="22" t="n">
        <v>52700</v>
      </c>
      <c r="J163" s="22" t="n">
        <v>89200</v>
      </c>
      <c r="K163" s="22" t="n">
        <v>68400</v>
      </c>
      <c r="L163" s="22" t="n">
        <v>44000</v>
      </c>
      <c r="M163" s="22" t="n">
        <v>65000</v>
      </c>
      <c r="N163" s="22" t="n">
        <v>75100</v>
      </c>
      <c r="O163" s="22" t="n">
        <v>40900</v>
      </c>
      <c r="P163" s="22" t="n">
        <v>56600</v>
      </c>
      <c r="Q163" s="22" t="n">
        <v>111100</v>
      </c>
      <c r="R163" s="22" t="n">
        <v>53400</v>
      </c>
      <c r="S163" s="22" t="n">
        <v>60000</v>
      </c>
      <c r="T163" s="22" t="n">
        <v>67300</v>
      </c>
      <c r="U163" s="22" t="n">
        <v>86000</v>
      </c>
      <c r="V163" s="22" t="n">
        <v>36200</v>
      </c>
      <c r="W163" s="22" t="n">
        <v>46500</v>
      </c>
      <c r="X163" s="22" t="n">
        <v>89600</v>
      </c>
      <c r="Y163" s="22" t="n">
        <v>81200</v>
      </c>
      <c r="Z163" s="22" t="n">
        <v>94500</v>
      </c>
      <c r="AA163" s="22" t="n">
        <v>48800</v>
      </c>
      <c r="AB163" s="22" t="n">
        <v>51000</v>
      </c>
      <c r="AC163" s="22" t="n">
        <v>62100</v>
      </c>
      <c r="AD163" s="22" t="n">
        <v>119500</v>
      </c>
      <c r="AE163" s="22" t="n">
        <v>95500</v>
      </c>
      <c r="AF163" s="22" t="n">
        <v>95500</v>
      </c>
      <c r="AG163" s="22" t="n">
        <v>84300</v>
      </c>
      <c r="AH163" s="22" t="n">
        <v>164500</v>
      </c>
      <c r="AI163" s="22" t="n">
        <v>265700</v>
      </c>
      <c r="AJ163" s="22" t="n">
        <v>1081300</v>
      </c>
      <c r="AK163" s="22" t="n">
        <v>401700</v>
      </c>
      <c r="AL163" s="22" t="n">
        <v>90000</v>
      </c>
      <c r="AM163" s="22" t="n">
        <v>62100</v>
      </c>
      <c r="AN163" s="22" t="n">
        <v>45900</v>
      </c>
      <c r="AO163" s="22" t="n">
        <v>60400</v>
      </c>
      <c r="AP163" s="22" t="n">
        <v>52900</v>
      </c>
      <c r="AQ163" s="22" t="n">
        <v>29700</v>
      </c>
      <c r="AR163" s="22" t="n">
        <v>27600</v>
      </c>
      <c r="AS163" s="22" t="n">
        <v>44700</v>
      </c>
      <c r="AT163" s="22" t="n">
        <v>68700</v>
      </c>
      <c r="AU163" s="22" t="n">
        <v>46000</v>
      </c>
      <c r="AV163" s="22" t="n">
        <v>40800</v>
      </c>
      <c r="AW163" s="22" t="n">
        <v>36600</v>
      </c>
      <c r="AX163" s="22" t="n">
        <v>33600</v>
      </c>
      <c r="AY163" s="22" t="n">
        <v>48700</v>
      </c>
      <c r="AZ163" s="22" t="n">
        <v>36400</v>
      </c>
      <c r="BA163" s="22" t="n">
        <v>26500</v>
      </c>
      <c r="BB163" s="22" t="n">
        <v>23100</v>
      </c>
      <c r="BC163" s="22" t="n">
        <v>45800</v>
      </c>
      <c r="BD163" s="22" t="n">
        <v>46900</v>
      </c>
      <c r="BE163" s="22" t="n">
        <v>69000</v>
      </c>
      <c r="BF163" s="22" t="n">
        <v>56800</v>
      </c>
      <c r="BG163" s="22" t="n">
        <v>43600</v>
      </c>
      <c r="BH163" s="22" t="n">
        <v>65100</v>
      </c>
      <c r="BI163" s="22" t="n">
        <v>46200</v>
      </c>
      <c r="BJ163" s="22" t="n">
        <v>119600</v>
      </c>
      <c r="BK163" s="22" t="n">
        <v>89200</v>
      </c>
      <c r="BL163" s="22" t="n">
        <v>64300</v>
      </c>
    </row>
    <row r="164" ht="15.95" customHeight="1" s="574">
      <c r="A164" s="416" t="inlineStr">
        <is>
          <t>8704</t>
        </is>
      </c>
      <c r="B164" s="49" t="inlineStr">
        <is>
          <t>トレイダーズＨＬＤＧＳ</t>
        </is>
      </c>
      <c r="C164" s="53">
        <f>_xll.RssMarket("8704","出来高")</f>
        <v/>
      </c>
      <c r="D164" s="661">
        <f>C164-E164</f>
        <v/>
      </c>
      <c r="E164" s="22" t="n">
        <v>130500</v>
      </c>
      <c r="F164" s="22" t="n">
        <v>94700</v>
      </c>
      <c r="G164" s="22" t="n">
        <v>116400</v>
      </c>
      <c r="H164" s="22" t="n">
        <v>87800</v>
      </c>
      <c r="I164" s="22" t="n">
        <v>69200</v>
      </c>
      <c r="J164" s="22" t="n">
        <v>124700</v>
      </c>
      <c r="K164" s="22" t="n">
        <v>144700</v>
      </c>
      <c r="L164" s="22" t="n">
        <v>107300</v>
      </c>
      <c r="M164" s="22" t="n">
        <v>97100</v>
      </c>
      <c r="N164" s="22" t="n">
        <v>111300</v>
      </c>
      <c r="O164" s="22" t="n">
        <v>132100</v>
      </c>
      <c r="P164" s="22" t="n">
        <v>69100</v>
      </c>
      <c r="Q164" s="22" t="n">
        <v>99800</v>
      </c>
      <c r="R164" s="22" t="n">
        <v>121400</v>
      </c>
      <c r="S164" s="22" t="n">
        <v>50100</v>
      </c>
      <c r="T164" s="22" t="n">
        <v>80000</v>
      </c>
      <c r="U164" s="22" t="n">
        <v>47300</v>
      </c>
      <c r="V164" s="22" t="n">
        <v>52300</v>
      </c>
      <c r="W164" s="22" t="n">
        <v>76000</v>
      </c>
      <c r="X164" s="22" t="n">
        <v>123000</v>
      </c>
      <c r="Y164" s="22" t="n">
        <v>76200</v>
      </c>
      <c r="Z164" s="22" t="n">
        <v>97700</v>
      </c>
      <c r="AA164" s="22" t="n">
        <v>139200</v>
      </c>
      <c r="AB164" s="22" t="n">
        <v>114500</v>
      </c>
      <c r="AC164" s="22" t="n">
        <v>160400</v>
      </c>
      <c r="AD164" s="22" t="n">
        <v>110700</v>
      </c>
      <c r="AE164" s="22" t="n">
        <v>213000</v>
      </c>
      <c r="AF164" s="22" t="n">
        <v>213000</v>
      </c>
      <c r="AG164" s="22" t="n">
        <v>359300</v>
      </c>
      <c r="AH164" s="22" t="n">
        <v>243200</v>
      </c>
      <c r="AI164" s="22" t="n">
        <v>801800</v>
      </c>
      <c r="AJ164" s="22" t="n">
        <v>117800</v>
      </c>
      <c r="AK164" s="22" t="n">
        <v>96800</v>
      </c>
      <c r="AL164" s="22" t="n">
        <v>89100</v>
      </c>
      <c r="AM164" s="22" t="n">
        <v>68700</v>
      </c>
      <c r="AN164" s="22" t="n">
        <v>46700</v>
      </c>
      <c r="AO164" s="22" t="n">
        <v>76400</v>
      </c>
      <c r="AP164" s="22" t="n">
        <v>115700</v>
      </c>
      <c r="AQ164" s="22" t="n">
        <v>82500</v>
      </c>
      <c r="AR164" s="22" t="n">
        <v>26800</v>
      </c>
      <c r="AS164" s="22" t="n">
        <v>67500</v>
      </c>
      <c r="AT164" s="22" t="n">
        <v>44700</v>
      </c>
      <c r="AU164" s="22" t="n">
        <v>67600</v>
      </c>
      <c r="AV164" s="22" t="n">
        <v>70600</v>
      </c>
      <c r="AW164" s="22" t="n">
        <v>57900</v>
      </c>
      <c r="AX164" s="22" t="n">
        <v>41400</v>
      </c>
      <c r="AY164" s="22" t="n">
        <v>99800</v>
      </c>
      <c r="AZ164" s="22" t="n">
        <v>44900</v>
      </c>
      <c r="BA164" s="22" t="n">
        <v>34300</v>
      </c>
      <c r="BB164" s="22" t="n">
        <v>55500</v>
      </c>
      <c r="BC164" s="22" t="n">
        <v>99400</v>
      </c>
      <c r="BD164" s="22" t="n">
        <v>61100</v>
      </c>
      <c r="BE164" s="22" t="n">
        <v>108000</v>
      </c>
      <c r="BF164" s="22" t="n">
        <v>125000</v>
      </c>
      <c r="BG164" s="22" t="n">
        <v>35100</v>
      </c>
      <c r="BH164" s="22" t="n">
        <v>79400</v>
      </c>
      <c r="BI164" s="22" t="n">
        <v>69600</v>
      </c>
      <c r="BJ164" s="22" t="n">
        <v>155000</v>
      </c>
      <c r="BK164" s="22" t="n">
        <v>65300</v>
      </c>
      <c r="BL164" s="22" t="n">
        <v>69800</v>
      </c>
    </row>
    <row r="165" ht="15.95" customHeight="1" s="574">
      <c r="A165" s="416" t="inlineStr">
        <is>
          <t>4733</t>
        </is>
      </c>
      <c r="B165" s="49" t="inlineStr">
        <is>
          <t>オービックビジネスＣ</t>
        </is>
      </c>
      <c r="C165" s="53">
        <f>_xll.RssMarket("4733","出来高")</f>
        <v/>
      </c>
      <c r="D165" s="661">
        <f>C165-E165</f>
        <v/>
      </c>
      <c r="E165" s="22" t="n">
        <v>148800</v>
      </c>
      <c r="F165" s="22" t="n">
        <v>257400</v>
      </c>
      <c r="G165" s="22" t="n">
        <v>125000</v>
      </c>
      <c r="H165" s="22" t="n">
        <v>292500</v>
      </c>
      <c r="I165" s="22" t="n">
        <v>200700</v>
      </c>
      <c r="J165" s="22" t="n">
        <v>272800</v>
      </c>
      <c r="K165" s="22" t="n">
        <v>241900</v>
      </c>
      <c r="L165" s="22" t="n">
        <v>210200</v>
      </c>
      <c r="M165" s="22" t="n">
        <v>162200</v>
      </c>
      <c r="N165" s="22" t="n">
        <v>177900</v>
      </c>
      <c r="O165" s="22" t="n">
        <v>239700</v>
      </c>
      <c r="P165" s="22" t="n">
        <v>197500</v>
      </c>
      <c r="Q165" s="22" t="n">
        <v>243400</v>
      </c>
      <c r="R165" s="22" t="n">
        <v>271900</v>
      </c>
      <c r="S165" s="22" t="n">
        <v>178200</v>
      </c>
      <c r="T165" s="22" t="n">
        <v>180700</v>
      </c>
      <c r="U165" s="22" t="n">
        <v>187400</v>
      </c>
      <c r="V165" s="22" t="n">
        <v>233000</v>
      </c>
      <c r="W165" s="22" t="n">
        <v>166600</v>
      </c>
      <c r="X165" s="22" t="n">
        <v>123600</v>
      </c>
      <c r="Y165" s="22" t="n">
        <v>271700</v>
      </c>
      <c r="Z165" s="22" t="n">
        <v>234600</v>
      </c>
      <c r="AA165" s="22" t="n">
        <v>275100</v>
      </c>
      <c r="AB165" s="22" t="n">
        <v>403500</v>
      </c>
      <c r="AC165" s="22" t="n">
        <v>192200</v>
      </c>
      <c r="AD165" s="22" t="n">
        <v>315800</v>
      </c>
      <c r="AE165" s="22" t="n">
        <v>262600</v>
      </c>
      <c r="AF165" s="22" t="n">
        <v>262600</v>
      </c>
      <c r="AG165" s="22" t="n">
        <v>309700</v>
      </c>
      <c r="AH165" s="22" t="n">
        <v>470900</v>
      </c>
      <c r="AI165" s="22" t="n">
        <v>383000</v>
      </c>
      <c r="AJ165" s="22" t="n">
        <v>498100</v>
      </c>
      <c r="AK165" s="22" t="n">
        <v>256600</v>
      </c>
      <c r="AL165" s="22" t="n">
        <v>501100</v>
      </c>
      <c r="AM165" s="22" t="n">
        <v>411800</v>
      </c>
      <c r="AN165" s="22" t="n">
        <v>618900</v>
      </c>
      <c r="AO165" s="22" t="n">
        <v>660200</v>
      </c>
      <c r="AP165" s="22" t="n">
        <v>1498900</v>
      </c>
      <c r="AQ165" s="22" t="n">
        <v>355400</v>
      </c>
      <c r="AR165" s="22" t="n">
        <v>435500</v>
      </c>
      <c r="AS165" s="22" t="n">
        <v>380900</v>
      </c>
      <c r="AT165" s="22" t="n">
        <v>323100</v>
      </c>
      <c r="AU165" s="22" t="n">
        <v>290000</v>
      </c>
      <c r="AV165" s="22" t="n">
        <v>338500</v>
      </c>
      <c r="AW165" s="22" t="n">
        <v>345100</v>
      </c>
      <c r="AX165" s="22" t="n">
        <v>216200</v>
      </c>
      <c r="AY165" s="22" t="n">
        <v>183000</v>
      </c>
      <c r="AZ165" s="22" t="n">
        <v>124200</v>
      </c>
      <c r="BA165" s="22" t="n">
        <v>87400</v>
      </c>
      <c r="BB165" s="22" t="n">
        <v>85700</v>
      </c>
      <c r="BC165" s="22" t="n">
        <v>196200</v>
      </c>
      <c r="BD165" s="22" t="n">
        <v>139900</v>
      </c>
      <c r="BE165" s="22" t="n">
        <v>328600</v>
      </c>
      <c r="BF165" s="22" t="n">
        <v>371600</v>
      </c>
      <c r="BG165" s="22" t="n">
        <v>348200</v>
      </c>
      <c r="BH165" s="22" t="n">
        <v>263000</v>
      </c>
      <c r="BI165" s="22" t="n">
        <v>245200</v>
      </c>
      <c r="BJ165" s="22" t="n">
        <v>409600</v>
      </c>
      <c r="BK165" s="22" t="n">
        <v>338800</v>
      </c>
      <c r="BL165" s="22" t="n">
        <v>307800</v>
      </c>
    </row>
    <row r="166" ht="15.95" customHeight="1" s="574">
      <c r="A166" s="416" t="inlineStr">
        <is>
          <t>9733</t>
        </is>
      </c>
      <c r="B166" s="49" t="inlineStr">
        <is>
          <t>ナガセ</t>
        </is>
      </c>
      <c r="C166" s="53">
        <f>_xll.RssMarket("9733","出来高")</f>
        <v/>
      </c>
      <c r="D166" s="661">
        <f>C166-E166</f>
        <v/>
      </c>
      <c r="E166" s="22" t="n">
        <v>40800</v>
      </c>
      <c r="F166" s="22" t="n">
        <v>32400</v>
      </c>
      <c r="G166" s="22" t="n">
        <v>26700</v>
      </c>
      <c r="H166" s="22" t="n">
        <v>27000</v>
      </c>
      <c r="I166" s="22" t="n">
        <v>25900</v>
      </c>
      <c r="J166" s="22" t="n">
        <v>16300</v>
      </c>
      <c r="K166" s="22" t="n">
        <v>30600</v>
      </c>
      <c r="L166" s="22" t="n">
        <v>20400</v>
      </c>
      <c r="M166" s="22" t="n">
        <v>23700</v>
      </c>
      <c r="N166" s="22" t="n">
        <v>13700</v>
      </c>
      <c r="O166" s="22" t="n">
        <v>21400</v>
      </c>
      <c r="P166" s="22" t="n">
        <v>25700</v>
      </c>
      <c r="Q166" s="22" t="n">
        <v>27000</v>
      </c>
      <c r="R166" s="22" t="n">
        <v>17500</v>
      </c>
      <c r="S166" s="22" t="n">
        <v>9700</v>
      </c>
      <c r="T166" s="22" t="n">
        <v>20600</v>
      </c>
      <c r="U166" s="22" t="n">
        <v>28500</v>
      </c>
      <c r="V166" s="22" t="n">
        <v>15700</v>
      </c>
      <c r="W166" s="22" t="n">
        <v>23100</v>
      </c>
      <c r="X166" s="22" t="n">
        <v>25200</v>
      </c>
      <c r="Y166" s="22" t="n">
        <v>35500</v>
      </c>
      <c r="Z166" s="22" t="n">
        <v>25300</v>
      </c>
      <c r="AA166" s="22" t="n">
        <v>30200</v>
      </c>
      <c r="AB166" s="22" t="n">
        <v>37800</v>
      </c>
      <c r="AC166" s="22" t="n">
        <v>18700</v>
      </c>
      <c r="AD166" s="22" t="n">
        <v>29500</v>
      </c>
      <c r="AE166" s="22" t="n">
        <v>19000</v>
      </c>
      <c r="AF166" s="22" t="n">
        <v>19000</v>
      </c>
      <c r="AG166" s="22" t="n">
        <v>27800</v>
      </c>
      <c r="AH166" s="22" t="n">
        <v>43600</v>
      </c>
      <c r="AI166" s="22" t="n">
        <v>73400</v>
      </c>
      <c r="AJ166" s="22" t="n">
        <v>44500</v>
      </c>
      <c r="AK166" s="22" t="n">
        <v>23200</v>
      </c>
      <c r="AL166" s="22" t="n">
        <v>43000</v>
      </c>
      <c r="AM166" s="22" t="n">
        <v>24900</v>
      </c>
      <c r="AN166" s="22" t="n">
        <v>24300</v>
      </c>
      <c r="AO166" s="22" t="n">
        <v>25400</v>
      </c>
      <c r="AP166" s="22" t="n">
        <v>36500</v>
      </c>
      <c r="AQ166" s="22" t="n">
        <v>30600</v>
      </c>
      <c r="AR166" s="22" t="n">
        <v>18200</v>
      </c>
      <c r="AS166" s="22" t="n">
        <v>28800</v>
      </c>
      <c r="AT166" s="22" t="n">
        <v>40700</v>
      </c>
      <c r="AU166" s="22" t="n">
        <v>18800</v>
      </c>
      <c r="AV166" s="22" t="n">
        <v>32600</v>
      </c>
      <c r="AW166" s="22" t="n">
        <v>68200</v>
      </c>
      <c r="AX166" s="22" t="n">
        <v>41200</v>
      </c>
      <c r="AY166" s="22" t="n">
        <v>51500</v>
      </c>
      <c r="AZ166" s="22" t="n">
        <v>33000</v>
      </c>
      <c r="BA166" s="22" t="n">
        <v>64600</v>
      </c>
      <c r="BB166" s="22" t="n">
        <v>39400</v>
      </c>
      <c r="BC166" s="22" t="n">
        <v>74900</v>
      </c>
      <c r="BD166" s="22" t="n">
        <v>138200</v>
      </c>
      <c r="BE166" s="22" t="n">
        <v>176100</v>
      </c>
      <c r="BF166" s="22" t="n">
        <v>107700</v>
      </c>
      <c r="BG166" s="22" t="n">
        <v>84200</v>
      </c>
      <c r="BH166" s="22" t="n">
        <v>142100</v>
      </c>
      <c r="BI166" s="22" t="n">
        <v>52700</v>
      </c>
      <c r="BJ166" s="22" t="n">
        <v>79900</v>
      </c>
      <c r="BK166" s="22" t="n">
        <v>104500</v>
      </c>
      <c r="BL166" s="22" t="n">
        <v>53800</v>
      </c>
    </row>
    <row r="167" ht="15.95" customHeight="1" s="574">
      <c r="A167" s="416" t="inlineStr">
        <is>
          <t>9551</t>
        </is>
      </c>
      <c r="B167" s="49" t="inlineStr">
        <is>
          <t>メタウォーター</t>
        </is>
      </c>
      <c r="C167" s="53">
        <f>_xll.RssMarket("9551","出来高")</f>
        <v/>
      </c>
      <c r="D167" s="661">
        <f>C167-E167</f>
        <v/>
      </c>
      <c r="E167" s="22" t="n">
        <v>109600</v>
      </c>
      <c r="F167" s="22" t="n">
        <v>130900</v>
      </c>
      <c r="G167" s="22" t="n">
        <v>95300</v>
      </c>
      <c r="H167" s="22" t="n">
        <v>90900</v>
      </c>
      <c r="I167" s="22" t="n">
        <v>69800</v>
      </c>
      <c r="J167" s="22" t="n">
        <v>118400</v>
      </c>
      <c r="K167" s="22" t="n">
        <v>105300</v>
      </c>
      <c r="L167" s="22" t="n">
        <v>162000</v>
      </c>
      <c r="M167" s="22" t="n">
        <v>139600</v>
      </c>
      <c r="N167" s="22" t="n">
        <v>65400</v>
      </c>
      <c r="O167" s="22" t="n">
        <v>71200</v>
      </c>
      <c r="P167" s="22" t="n">
        <v>89800</v>
      </c>
      <c r="Q167" s="22" t="n">
        <v>216800</v>
      </c>
      <c r="R167" s="22" t="n">
        <v>376000</v>
      </c>
      <c r="S167" s="22" t="n">
        <v>128000</v>
      </c>
      <c r="T167" s="22" t="n">
        <v>79000</v>
      </c>
      <c r="U167" s="22" t="n">
        <v>107500</v>
      </c>
      <c r="V167" s="22" t="n">
        <v>109700</v>
      </c>
      <c r="W167" s="22" t="n">
        <v>80700</v>
      </c>
      <c r="X167" s="22" t="n">
        <v>157300</v>
      </c>
      <c r="Y167" s="22" t="n">
        <v>152200</v>
      </c>
      <c r="Z167" s="22" t="n">
        <v>137800</v>
      </c>
      <c r="AA167" s="22" t="n">
        <v>152600</v>
      </c>
      <c r="AB167" s="22" t="n">
        <v>81000</v>
      </c>
      <c r="AC167" s="22" t="n">
        <v>113900</v>
      </c>
      <c r="AD167" s="22" t="n">
        <v>204500</v>
      </c>
      <c r="AE167" s="22" t="n">
        <v>146800</v>
      </c>
      <c r="AF167" s="22" t="n">
        <v>146800</v>
      </c>
      <c r="AG167" s="22" t="n">
        <v>186900</v>
      </c>
      <c r="AH167" s="22" t="n">
        <v>166200</v>
      </c>
      <c r="AI167" s="22" t="n">
        <v>261100</v>
      </c>
      <c r="AJ167" s="22" t="n">
        <v>216900</v>
      </c>
      <c r="AK167" s="22" t="n">
        <v>296300</v>
      </c>
      <c r="AL167" s="22" t="n">
        <v>601500</v>
      </c>
      <c r="AM167" s="22" t="n">
        <v>223400</v>
      </c>
      <c r="AN167" s="22" t="n">
        <v>109500</v>
      </c>
      <c r="AO167" s="22" t="n">
        <v>84800</v>
      </c>
      <c r="AP167" s="22" t="n">
        <v>87700</v>
      </c>
      <c r="AQ167" s="22" t="n">
        <v>85800</v>
      </c>
      <c r="AR167" s="22" t="n">
        <v>104900</v>
      </c>
      <c r="AS167" s="22" t="n">
        <v>125800</v>
      </c>
      <c r="AT167" s="22" t="n">
        <v>133100</v>
      </c>
      <c r="AU167" s="22" t="n">
        <v>93400</v>
      </c>
      <c r="AV167" s="22" t="n">
        <v>69800</v>
      </c>
      <c r="AW167" s="22" t="n">
        <v>85900</v>
      </c>
      <c r="AX167" s="22" t="n">
        <v>95900</v>
      </c>
      <c r="AY167" s="22" t="n">
        <v>122200</v>
      </c>
      <c r="AZ167" s="22" t="n">
        <v>73500</v>
      </c>
      <c r="BA167" s="22" t="n">
        <v>67000</v>
      </c>
      <c r="BB167" s="22" t="n">
        <v>107500</v>
      </c>
      <c r="BC167" s="22" t="n">
        <v>203700</v>
      </c>
      <c r="BD167" s="22" t="n">
        <v>163000</v>
      </c>
      <c r="BE167" s="22" t="n">
        <v>131800</v>
      </c>
      <c r="BF167" s="22" t="n">
        <v>145900</v>
      </c>
      <c r="BG167" s="22" t="n">
        <v>110600</v>
      </c>
      <c r="BH167" s="22" t="n">
        <v>92300</v>
      </c>
      <c r="BI167" s="22" t="n">
        <v>128000</v>
      </c>
      <c r="BJ167" s="22" t="n">
        <v>433100</v>
      </c>
      <c r="BK167" s="22" t="n">
        <v>199600</v>
      </c>
      <c r="BL167" s="22" t="n">
        <v>77900</v>
      </c>
    </row>
    <row r="168" ht="15.95" customHeight="1" s="574">
      <c r="A168" s="416" t="inlineStr">
        <is>
          <t>2359</t>
        </is>
      </c>
      <c r="B168" s="49" t="inlineStr">
        <is>
          <t>コア</t>
        </is>
      </c>
      <c r="C168" s="53">
        <f>_xll.RssMarket("2359","出来高")</f>
        <v/>
      </c>
      <c r="D168" s="661">
        <f>C168-E168</f>
        <v/>
      </c>
      <c r="E168" s="22" t="n">
        <v>16100</v>
      </c>
      <c r="F168" s="22" t="n">
        <v>16700</v>
      </c>
      <c r="G168" s="22" t="n">
        <v>11000</v>
      </c>
      <c r="H168" s="22" t="n">
        <v>13800</v>
      </c>
      <c r="I168" s="22" t="n">
        <v>28500</v>
      </c>
      <c r="J168" s="22" t="n">
        <v>23100</v>
      </c>
      <c r="K168" s="22" t="n">
        <v>15000</v>
      </c>
      <c r="L168" s="22" t="n">
        <v>15500</v>
      </c>
      <c r="M168" s="22" t="n">
        <v>22800</v>
      </c>
      <c r="N168" s="22" t="n">
        <v>13900</v>
      </c>
      <c r="O168" s="22" t="n">
        <v>40900</v>
      </c>
      <c r="P168" s="22" t="n">
        <v>14800</v>
      </c>
      <c r="Q168" s="22" t="n">
        <v>20100</v>
      </c>
      <c r="R168" s="22" t="n">
        <v>28100</v>
      </c>
      <c r="S168" s="22" t="n">
        <v>34200</v>
      </c>
      <c r="T168" s="22" t="n">
        <v>44000</v>
      </c>
      <c r="U168" s="22" t="n">
        <v>52800</v>
      </c>
      <c r="V168" s="22" t="n">
        <v>21300</v>
      </c>
      <c r="W168" s="22" t="n">
        <v>11600</v>
      </c>
      <c r="X168" s="22" t="n">
        <v>31400</v>
      </c>
      <c r="Y168" s="22" t="n">
        <v>29100</v>
      </c>
      <c r="Z168" s="22" t="n">
        <v>18100</v>
      </c>
      <c r="AA168" s="22" t="n">
        <v>18600</v>
      </c>
      <c r="AB168" s="22" t="n">
        <v>20400</v>
      </c>
      <c r="AC168" s="22" t="n">
        <v>26900</v>
      </c>
      <c r="AD168" s="22" t="n">
        <v>19400</v>
      </c>
      <c r="AE168" s="22" t="n">
        <v>26400</v>
      </c>
      <c r="AF168" s="22" t="n">
        <v>26400</v>
      </c>
      <c r="AG168" s="22" t="n">
        <v>46200</v>
      </c>
      <c r="AH168" s="22" t="n">
        <v>52200</v>
      </c>
      <c r="AI168" s="22" t="n">
        <v>66800</v>
      </c>
      <c r="AJ168" s="22" t="n">
        <v>158000</v>
      </c>
      <c r="AK168" s="22" t="n">
        <v>53200</v>
      </c>
      <c r="AL168" s="22" t="n">
        <v>63800</v>
      </c>
      <c r="AM168" s="22" t="n">
        <v>12600</v>
      </c>
      <c r="AN168" s="22" t="n">
        <v>19500</v>
      </c>
      <c r="AO168" s="22" t="n">
        <v>14300</v>
      </c>
      <c r="AP168" s="22" t="n">
        <v>14100</v>
      </c>
      <c r="AQ168" s="22" t="n">
        <v>12400</v>
      </c>
      <c r="AR168" s="22" t="n">
        <v>9900</v>
      </c>
      <c r="AS168" s="22" t="n">
        <v>6900</v>
      </c>
      <c r="AT168" s="22" t="n">
        <v>17300</v>
      </c>
      <c r="AU168" s="22" t="n">
        <v>15300</v>
      </c>
      <c r="AV168" s="22" t="n">
        <v>14900</v>
      </c>
      <c r="AW168" s="22" t="n">
        <v>12800</v>
      </c>
      <c r="AX168" s="22" t="n">
        <v>25500</v>
      </c>
      <c r="AY168" s="22" t="n">
        <v>27500</v>
      </c>
      <c r="AZ168" s="22" t="n">
        <v>15400</v>
      </c>
      <c r="BA168" s="22" t="n">
        <v>9100</v>
      </c>
      <c r="BB168" s="22" t="n">
        <v>21700</v>
      </c>
      <c r="BC168" s="22" t="n">
        <v>26600</v>
      </c>
      <c r="BD168" s="22" t="n">
        <v>25100</v>
      </c>
      <c r="BE168" s="22" t="n">
        <v>98400</v>
      </c>
      <c r="BF168" s="22" t="n">
        <v>133900</v>
      </c>
      <c r="BG168" s="22" t="n">
        <v>89900</v>
      </c>
      <c r="BH168" s="22" t="n">
        <v>80000</v>
      </c>
      <c r="BI168" s="22" t="n">
        <v>38000</v>
      </c>
      <c r="BJ168" s="22" t="n">
        <v>73800</v>
      </c>
      <c r="BK168" s="22" t="n">
        <v>37000</v>
      </c>
      <c r="BL168" s="22" t="n">
        <v>38600</v>
      </c>
    </row>
    <row r="169" ht="15.95" customHeight="1" s="574">
      <c r="A169" s="416" t="inlineStr">
        <is>
          <t>8103</t>
        </is>
      </c>
      <c r="B169" s="49" t="inlineStr">
        <is>
          <t>明和産業</t>
        </is>
      </c>
      <c r="C169" s="53">
        <f>_xll.RssMarket("8103","出来高")</f>
        <v/>
      </c>
      <c r="D169" s="661">
        <f>C169-E169</f>
        <v/>
      </c>
      <c r="E169" s="22" t="n">
        <v>174200</v>
      </c>
      <c r="F169" s="22" t="n">
        <v>185400</v>
      </c>
      <c r="G169" s="22" t="n">
        <v>173200</v>
      </c>
      <c r="H169" s="22" t="n">
        <v>141300</v>
      </c>
      <c r="I169" s="22" t="n">
        <v>200300</v>
      </c>
      <c r="J169" s="22" t="n">
        <v>241000</v>
      </c>
      <c r="K169" s="22" t="n">
        <v>268000</v>
      </c>
      <c r="L169" s="22" t="n">
        <v>400800</v>
      </c>
      <c r="M169" s="22" t="n">
        <v>392700</v>
      </c>
      <c r="N169" s="22" t="n">
        <v>191500</v>
      </c>
      <c r="O169" s="22" t="n">
        <v>197700</v>
      </c>
      <c r="P169" s="22" t="n">
        <v>238800</v>
      </c>
      <c r="Q169" s="22" t="n">
        <v>343100</v>
      </c>
      <c r="R169" s="22" t="n">
        <v>227000</v>
      </c>
      <c r="S169" s="22" t="n">
        <v>231800</v>
      </c>
      <c r="T169" s="22" t="n">
        <v>315800</v>
      </c>
      <c r="U169" s="22" t="n">
        <v>216500</v>
      </c>
      <c r="V169" s="22" t="n">
        <v>302500</v>
      </c>
      <c r="W169" s="22" t="n">
        <v>256200</v>
      </c>
      <c r="X169" s="22" t="n">
        <v>372900</v>
      </c>
      <c r="Y169" s="22" t="n">
        <v>298300</v>
      </c>
      <c r="Z169" s="22" t="n">
        <v>257000</v>
      </c>
      <c r="AA169" s="22" t="n">
        <v>394400</v>
      </c>
      <c r="AB169" s="22" t="n">
        <v>531600</v>
      </c>
      <c r="AC169" s="22" t="n">
        <v>439400</v>
      </c>
      <c r="AD169" s="22" t="n">
        <v>230200</v>
      </c>
      <c r="AE169" s="22" t="n">
        <v>368100</v>
      </c>
      <c r="AF169" s="22" t="n">
        <v>368100</v>
      </c>
      <c r="AG169" s="22" t="n">
        <v>604600</v>
      </c>
      <c r="AH169" s="22" t="n">
        <v>1317300</v>
      </c>
      <c r="AI169" s="22" t="n">
        <v>1503800</v>
      </c>
      <c r="AJ169" s="22" t="n">
        <v>1894300</v>
      </c>
      <c r="AK169" s="22" t="n">
        <v>202800</v>
      </c>
      <c r="AL169" s="22" t="n">
        <v>251600</v>
      </c>
      <c r="AM169" s="22" t="n">
        <v>296300</v>
      </c>
      <c r="AN169" s="22" t="n">
        <v>279600</v>
      </c>
      <c r="AO169" s="22" t="n">
        <v>293400</v>
      </c>
      <c r="AP169" s="22" t="n">
        <v>230700</v>
      </c>
      <c r="AQ169" s="22" t="n">
        <v>181500</v>
      </c>
      <c r="AR169" s="22" t="n">
        <v>193200</v>
      </c>
      <c r="AS169" s="22" t="n">
        <v>320200</v>
      </c>
      <c r="AT169" s="22" t="n">
        <v>403700</v>
      </c>
      <c r="AU169" s="22" t="n">
        <v>356400</v>
      </c>
      <c r="AV169" s="22" t="n">
        <v>248400</v>
      </c>
      <c r="AW169" s="22" t="n">
        <v>211500</v>
      </c>
      <c r="AX169" s="22" t="n">
        <v>403300</v>
      </c>
      <c r="AY169" s="22" t="n">
        <v>282000</v>
      </c>
      <c r="AZ169" s="22" t="n">
        <v>211800</v>
      </c>
      <c r="BA169" s="22" t="n">
        <v>288900</v>
      </c>
      <c r="BB169" s="22" t="n">
        <v>281300</v>
      </c>
      <c r="BC169" s="22" t="n">
        <v>509500</v>
      </c>
      <c r="BD169" s="22" t="n">
        <v>458900</v>
      </c>
      <c r="BE169" s="22" t="n">
        <v>876900</v>
      </c>
      <c r="BF169" s="22" t="n">
        <v>892400</v>
      </c>
      <c r="BG169" s="22" t="n">
        <v>273400</v>
      </c>
      <c r="BH169" s="22" t="n">
        <v>337900</v>
      </c>
      <c r="BI169" s="22" t="n">
        <v>191600</v>
      </c>
      <c r="BJ169" s="22" t="n">
        <v>463900</v>
      </c>
      <c r="BK169" s="22" t="n">
        <v>593800</v>
      </c>
      <c r="BL169" s="22" t="n">
        <v>518000</v>
      </c>
    </row>
    <row r="170" ht="15.95" customHeight="1" s="574">
      <c r="A170" s="416" t="inlineStr">
        <is>
          <t>4709</t>
        </is>
      </c>
      <c r="B170" s="49" t="inlineStr">
        <is>
          <t>ＩＤホールディングス</t>
        </is>
      </c>
      <c r="C170" s="53">
        <f>_xll.RssMarket("4709","出来高")</f>
        <v/>
      </c>
      <c r="D170" s="661">
        <f>C170-E170</f>
        <v/>
      </c>
      <c r="E170" s="22" t="n">
        <v>55000</v>
      </c>
      <c r="F170" s="22" t="n">
        <v>58800</v>
      </c>
      <c r="G170" s="22" t="n">
        <v>63500</v>
      </c>
      <c r="H170" s="22" t="n">
        <v>132900</v>
      </c>
      <c r="I170" s="22" t="n">
        <v>140900</v>
      </c>
      <c r="J170" s="22" t="n">
        <v>99900</v>
      </c>
      <c r="K170" s="22" t="n">
        <v>99800</v>
      </c>
      <c r="L170" s="22" t="n">
        <v>150800</v>
      </c>
      <c r="M170" s="22" t="n">
        <v>112200</v>
      </c>
      <c r="N170" s="22" t="n">
        <v>34600</v>
      </c>
      <c r="O170" s="22" t="n">
        <v>72000</v>
      </c>
      <c r="P170" s="22" t="n">
        <v>83300</v>
      </c>
      <c r="Q170" s="22" t="n">
        <v>44400</v>
      </c>
      <c r="R170" s="22" t="n">
        <v>88700</v>
      </c>
      <c r="S170" s="22" t="n">
        <v>94800</v>
      </c>
      <c r="T170" s="22" t="n">
        <v>73600</v>
      </c>
      <c r="U170" s="22" t="n">
        <v>68200</v>
      </c>
      <c r="V170" s="22" t="n">
        <v>45100</v>
      </c>
      <c r="W170" s="22" t="n">
        <v>63800</v>
      </c>
      <c r="X170" s="22" t="n">
        <v>87500</v>
      </c>
      <c r="Y170" s="22" t="n">
        <v>106000</v>
      </c>
      <c r="Z170" s="22" t="n">
        <v>89600</v>
      </c>
      <c r="AA170" s="22" t="n">
        <v>79800</v>
      </c>
      <c r="AB170" s="22" t="n">
        <v>131900</v>
      </c>
      <c r="AC170" s="22" t="n">
        <v>144400</v>
      </c>
      <c r="AD170" s="22" t="n">
        <v>82000</v>
      </c>
      <c r="AE170" s="22" t="n">
        <v>173800</v>
      </c>
      <c r="AF170" s="22" t="n">
        <v>173800</v>
      </c>
      <c r="AG170" s="22" t="n">
        <v>89000</v>
      </c>
      <c r="AH170" s="22" t="n">
        <v>131300</v>
      </c>
      <c r="AI170" s="22" t="n">
        <v>409100</v>
      </c>
      <c r="AJ170" s="22" t="n">
        <v>433600</v>
      </c>
      <c r="AK170" s="22" t="n">
        <v>73000</v>
      </c>
      <c r="AL170" s="22" t="n">
        <v>86000</v>
      </c>
      <c r="AM170" s="22" t="n">
        <v>81000</v>
      </c>
      <c r="AN170" s="22" t="n">
        <v>150900</v>
      </c>
      <c r="AO170" s="22" t="n">
        <v>65900</v>
      </c>
      <c r="AP170" s="22" t="n">
        <v>48700</v>
      </c>
      <c r="AQ170" s="22" t="n">
        <v>47800</v>
      </c>
      <c r="AR170" s="22" t="n">
        <v>40900</v>
      </c>
      <c r="AS170" s="22" t="n">
        <v>55900</v>
      </c>
      <c r="AT170" s="22" t="n">
        <v>48000</v>
      </c>
      <c r="AU170" s="22" t="n">
        <v>35500</v>
      </c>
      <c r="AV170" s="22" t="n">
        <v>63700</v>
      </c>
      <c r="AW170" s="22" t="n">
        <v>51700</v>
      </c>
      <c r="AX170" s="22" t="n">
        <v>49600</v>
      </c>
      <c r="AY170" s="22" t="n">
        <v>55000</v>
      </c>
      <c r="AZ170" s="22" t="n">
        <v>37900</v>
      </c>
      <c r="BA170" s="22" t="n">
        <v>25600</v>
      </c>
      <c r="BB170" s="22" t="n">
        <v>36300</v>
      </c>
      <c r="BC170" s="22" t="n">
        <v>65300</v>
      </c>
      <c r="BD170" s="22" t="n">
        <v>74000</v>
      </c>
      <c r="BE170" s="22" t="n">
        <v>140400</v>
      </c>
      <c r="BF170" s="22" t="n">
        <v>56800</v>
      </c>
      <c r="BG170" s="22" t="n">
        <v>62800</v>
      </c>
      <c r="BH170" s="22" t="n">
        <v>28900</v>
      </c>
      <c r="BI170" s="22" t="n">
        <v>18000</v>
      </c>
      <c r="BJ170" s="22" t="n">
        <v>41300</v>
      </c>
      <c r="BK170" s="22" t="n">
        <v>43100</v>
      </c>
      <c r="BL170" s="22" t="n">
        <v>16900</v>
      </c>
    </row>
    <row r="171" ht="15.95" customHeight="1" s="574">
      <c r="A171" s="416" t="inlineStr">
        <is>
          <t>7981</t>
        </is>
      </c>
      <c r="B171" s="49" t="inlineStr">
        <is>
          <t>タカラスタンダ－ド</t>
        </is>
      </c>
      <c r="C171" s="53">
        <f>_xll.RssMarket("7981","出来高")</f>
        <v/>
      </c>
      <c r="D171" s="661">
        <f>C171-E171</f>
        <v/>
      </c>
      <c r="E171" s="22" t="n">
        <v>69500</v>
      </c>
      <c r="F171" s="22" t="n">
        <v>132500</v>
      </c>
      <c r="G171" s="22" t="n">
        <v>106300</v>
      </c>
      <c r="H171" s="22" t="n">
        <v>47900</v>
      </c>
      <c r="I171" s="22" t="n">
        <v>83900</v>
      </c>
      <c r="J171" s="22" t="n">
        <v>124400</v>
      </c>
      <c r="K171" s="22" t="n">
        <v>102500</v>
      </c>
      <c r="L171" s="22" t="n">
        <v>112600</v>
      </c>
      <c r="M171" s="22" t="n">
        <v>85900</v>
      </c>
      <c r="N171" s="22" t="n">
        <v>75200</v>
      </c>
      <c r="O171" s="22" t="n">
        <v>92200</v>
      </c>
      <c r="P171" s="22" t="n">
        <v>107100</v>
      </c>
      <c r="Q171" s="22" t="n">
        <v>123300</v>
      </c>
      <c r="R171" s="22" t="n">
        <v>139800</v>
      </c>
      <c r="S171" s="22" t="n">
        <v>90800</v>
      </c>
      <c r="T171" s="22" t="n">
        <v>132500</v>
      </c>
      <c r="U171" s="22" t="n">
        <v>171200</v>
      </c>
      <c r="V171" s="22" t="n">
        <v>85900</v>
      </c>
      <c r="W171" s="22" t="n">
        <v>92500</v>
      </c>
      <c r="X171" s="22" t="n">
        <v>123600</v>
      </c>
      <c r="Y171" s="22" t="n">
        <v>96500</v>
      </c>
      <c r="Z171" s="22" t="n">
        <v>143700</v>
      </c>
      <c r="AA171" s="22" t="n">
        <v>89400</v>
      </c>
      <c r="AB171" s="22" t="n">
        <v>124100</v>
      </c>
      <c r="AC171" s="22" t="n">
        <v>150700</v>
      </c>
      <c r="AD171" s="22" t="n">
        <v>148900</v>
      </c>
      <c r="AE171" s="22" t="n">
        <v>144700</v>
      </c>
      <c r="AF171" s="22" t="n">
        <v>144700</v>
      </c>
      <c r="AG171" s="22" t="n">
        <v>239600</v>
      </c>
      <c r="AH171" s="22" t="n">
        <v>337500</v>
      </c>
      <c r="AI171" s="22" t="n">
        <v>349200</v>
      </c>
      <c r="AJ171" s="22" t="n">
        <v>889200</v>
      </c>
      <c r="AK171" s="22" t="n">
        <v>378600</v>
      </c>
      <c r="AL171" s="22" t="n">
        <v>204400</v>
      </c>
      <c r="AM171" s="22" t="n">
        <v>109600</v>
      </c>
      <c r="AN171" s="22" t="n">
        <v>140800</v>
      </c>
      <c r="AO171" s="22" t="n">
        <v>80500</v>
      </c>
      <c r="AP171" s="22" t="n">
        <v>98600</v>
      </c>
      <c r="AQ171" s="22" t="n">
        <v>61600</v>
      </c>
      <c r="AR171" s="22" t="n">
        <v>127100</v>
      </c>
      <c r="AS171" s="22" t="n">
        <v>139800</v>
      </c>
      <c r="AT171" s="22" t="n">
        <v>185300</v>
      </c>
      <c r="AU171" s="22" t="n">
        <v>298000</v>
      </c>
      <c r="AV171" s="22" t="n">
        <v>348300</v>
      </c>
      <c r="AW171" s="22" t="n">
        <v>81100</v>
      </c>
      <c r="AX171" s="22" t="n">
        <v>102400</v>
      </c>
      <c r="AY171" s="22" t="n">
        <v>136100</v>
      </c>
      <c r="AZ171" s="22" t="n">
        <v>85700</v>
      </c>
      <c r="BA171" s="22" t="n">
        <v>51400</v>
      </c>
      <c r="BB171" s="22" t="n">
        <v>83600</v>
      </c>
      <c r="BC171" s="22" t="n">
        <v>88000</v>
      </c>
      <c r="BD171" s="22" t="n">
        <v>101400</v>
      </c>
      <c r="BE171" s="22" t="n">
        <v>134300</v>
      </c>
      <c r="BF171" s="22" t="n">
        <v>121400</v>
      </c>
      <c r="BG171" s="22" t="n">
        <v>84600</v>
      </c>
      <c r="BH171" s="22" t="n">
        <v>109400</v>
      </c>
      <c r="BI171" s="22" t="n">
        <v>100300</v>
      </c>
      <c r="BJ171" s="22" t="n">
        <v>156300</v>
      </c>
      <c r="BK171" s="22" t="n">
        <v>134900</v>
      </c>
      <c r="BL171" s="22" t="n">
        <v>125900</v>
      </c>
    </row>
    <row r="172" ht="15.95" customHeight="1" s="574">
      <c r="A172" s="416" t="inlineStr">
        <is>
          <t>8303</t>
        </is>
      </c>
      <c r="B172" s="49" t="inlineStr">
        <is>
          <t>ＳＢＩ新生銀行</t>
        </is>
      </c>
      <c r="C172" s="53">
        <f>_xll.RssMarket("8303","出来高")</f>
        <v/>
      </c>
      <c r="D172" s="661">
        <f>C172-E172</f>
        <v/>
      </c>
      <c r="E172" s="22" t="n">
        <v>3285000</v>
      </c>
      <c r="F172" s="22" t="n">
        <v>17936200</v>
      </c>
      <c r="G172" s="22" t="n">
        <v>4222200</v>
      </c>
      <c r="H172" s="22" t="n">
        <v>5468800</v>
      </c>
      <c r="I172" s="22" t="n">
        <v>6082500</v>
      </c>
      <c r="J172" s="22" t="n">
        <v>9096100</v>
      </c>
      <c r="K172" s="22" t="n">
        <v>3807000</v>
      </c>
      <c r="L172" s="22" t="n">
        <v>10033100</v>
      </c>
      <c r="M172" s="22" t="n">
        <v>3729700</v>
      </c>
      <c r="N172" s="22" t="n">
        <v>6477200</v>
      </c>
      <c r="O172" s="22" t="n">
        <v>7740300</v>
      </c>
      <c r="P172" s="22" t="n">
        <v>7833600</v>
      </c>
      <c r="Q172" s="22" t="n">
        <v>5477600</v>
      </c>
      <c r="R172" s="22" t="n">
        <v>8612300</v>
      </c>
      <c r="S172" s="22" t="n">
        <v>7493700</v>
      </c>
      <c r="T172" s="22" t="n">
        <v>11956600</v>
      </c>
      <c r="U172" s="22" t="n">
        <v>5735300</v>
      </c>
      <c r="V172" s="22" t="n">
        <v>7995000</v>
      </c>
      <c r="W172" s="22" t="n">
        <v>12444200</v>
      </c>
      <c r="X172" s="22" t="n">
        <v>7575100</v>
      </c>
      <c r="Y172" s="22" t="n">
        <v>6968400</v>
      </c>
      <c r="Z172" s="22" t="n">
        <v>3089000</v>
      </c>
      <c r="AA172" s="22" t="n">
        <v>3415400</v>
      </c>
      <c r="AB172" s="22" t="n">
        <v>5926200</v>
      </c>
      <c r="AC172" s="22" t="n">
        <v>2505100</v>
      </c>
      <c r="AD172" s="22" t="n">
        <v>3521600</v>
      </c>
      <c r="AE172" s="22" t="n">
        <v>5132100</v>
      </c>
      <c r="AF172" s="22" t="n">
        <v>5132100</v>
      </c>
      <c r="AG172" s="22" t="n">
        <v>3737800</v>
      </c>
      <c r="AH172" s="22" t="n">
        <v>7619800</v>
      </c>
      <c r="AI172" s="22" t="n">
        <v>12861000</v>
      </c>
      <c r="AJ172" s="22" t="n">
        <v>5059200</v>
      </c>
      <c r="AK172" s="22" t="n">
        <v>17287000</v>
      </c>
      <c r="AL172" s="22" t="n">
        <v>3559000</v>
      </c>
      <c r="AM172" s="22" t="n">
        <v>4957700</v>
      </c>
      <c r="AN172" s="22" t="n">
        <v>11445100</v>
      </c>
      <c r="AO172" s="22" t="n">
        <v>5367000</v>
      </c>
      <c r="AP172" s="22" t="n">
        <v>2986500</v>
      </c>
      <c r="AQ172" s="22" t="n">
        <v>2053700</v>
      </c>
      <c r="AR172" s="22" t="n">
        <v>2152900</v>
      </c>
      <c r="AS172" s="22" t="n">
        <v>2438100</v>
      </c>
      <c r="AT172" s="22" t="n">
        <v>2736000</v>
      </c>
      <c r="AU172" s="22" t="n">
        <v>2690300</v>
      </c>
      <c r="AV172" s="22" t="n">
        <v>3364500</v>
      </c>
      <c r="AW172" s="22" t="n">
        <v>3617400</v>
      </c>
      <c r="AX172" s="22" t="n">
        <v>3149000</v>
      </c>
      <c r="AY172" s="22" t="n">
        <v>5891200</v>
      </c>
      <c r="AZ172" s="22" t="n">
        <v>2531900</v>
      </c>
      <c r="BA172" s="22" t="n">
        <v>3451800</v>
      </c>
      <c r="BB172" s="22" t="n">
        <v>1964900</v>
      </c>
      <c r="BC172" s="22" t="n">
        <v>3514800</v>
      </c>
      <c r="BD172" s="22" t="n">
        <v>3920000</v>
      </c>
      <c r="BE172" s="22" t="n">
        <v>3205300</v>
      </c>
      <c r="BF172" s="22" t="n">
        <v>3879900</v>
      </c>
      <c r="BG172" s="22" t="n">
        <v>6566000</v>
      </c>
      <c r="BH172" s="22" t="n">
        <v>5379600</v>
      </c>
      <c r="BI172" s="22" t="n">
        <v>3582400</v>
      </c>
      <c r="BJ172" s="22" t="n">
        <v>5333100</v>
      </c>
      <c r="BK172" s="22" t="n">
        <v>4130200</v>
      </c>
      <c r="BL172" s="22" t="n">
        <v>2898900</v>
      </c>
    </row>
    <row r="173" ht="15.95" customHeight="1" s="574">
      <c r="A173" s="416" t="inlineStr">
        <is>
          <t>4382</t>
        </is>
      </c>
      <c r="B173" s="49" t="inlineStr">
        <is>
          <t>ＨＥＲＯＺ</t>
        </is>
      </c>
      <c r="C173" s="53">
        <f>_xll.RssMarket("4382","出来高")</f>
        <v/>
      </c>
      <c r="D173" s="661">
        <f>C173-E173</f>
        <v/>
      </c>
      <c r="E173" s="22" t="n">
        <v>36800</v>
      </c>
      <c r="F173" s="22" t="n">
        <v>102600</v>
      </c>
      <c r="G173" s="22" t="n">
        <v>16800</v>
      </c>
      <c r="H173" s="22" t="n">
        <v>27300</v>
      </c>
      <c r="I173" s="22" t="n">
        <v>52800</v>
      </c>
      <c r="J173" s="22" t="n">
        <v>105200</v>
      </c>
      <c r="K173" s="22" t="n">
        <v>40200</v>
      </c>
      <c r="L173" s="22" t="n">
        <v>106200</v>
      </c>
      <c r="M173" s="22" t="n">
        <v>31100</v>
      </c>
      <c r="N173" s="22" t="n">
        <v>18700</v>
      </c>
      <c r="O173" s="22" t="n">
        <v>51700</v>
      </c>
      <c r="P173" s="22" t="n">
        <v>36500</v>
      </c>
      <c r="Q173" s="22" t="n">
        <v>26200</v>
      </c>
      <c r="R173" s="22" t="n">
        <v>62300</v>
      </c>
      <c r="S173" s="22" t="n">
        <v>75500</v>
      </c>
      <c r="T173" s="22" t="n">
        <v>41500</v>
      </c>
      <c r="U173" s="22" t="n">
        <v>46800</v>
      </c>
      <c r="V173" s="22" t="n">
        <v>26300</v>
      </c>
      <c r="W173" s="22" t="n">
        <v>23700</v>
      </c>
      <c r="X173" s="22" t="n">
        <v>19500</v>
      </c>
      <c r="Y173" s="22" t="n">
        <v>28300</v>
      </c>
      <c r="Z173" s="22" t="n">
        <v>35000</v>
      </c>
      <c r="AA173" s="22" t="n">
        <v>37600</v>
      </c>
      <c r="AB173" s="22" t="n">
        <v>47900</v>
      </c>
      <c r="AC173" s="22" t="n">
        <v>21500</v>
      </c>
      <c r="AD173" s="22" t="n">
        <v>26300</v>
      </c>
      <c r="AE173" s="22" t="n">
        <v>79600</v>
      </c>
      <c r="AF173" s="22" t="n">
        <v>79600</v>
      </c>
      <c r="AG173" s="22" t="n">
        <v>36600</v>
      </c>
      <c r="AH173" s="22" t="n">
        <v>31500</v>
      </c>
      <c r="AI173" s="22" t="n">
        <v>22600</v>
      </c>
      <c r="AJ173" s="22" t="n">
        <v>46300</v>
      </c>
      <c r="AK173" s="22" t="n">
        <v>74600</v>
      </c>
      <c r="AL173" s="22" t="n">
        <v>61800</v>
      </c>
      <c r="AM173" s="22" t="n">
        <v>53300</v>
      </c>
      <c r="AN173" s="22" t="n">
        <v>25800</v>
      </c>
      <c r="AO173" s="22" t="n">
        <v>12100</v>
      </c>
      <c r="AP173" s="22" t="n">
        <v>31000</v>
      </c>
      <c r="AQ173" s="22" t="n">
        <v>20700</v>
      </c>
      <c r="AR173" s="22" t="n">
        <v>36000</v>
      </c>
      <c r="AS173" s="22" t="n">
        <v>54700</v>
      </c>
      <c r="AT173" s="22" t="n">
        <v>79900</v>
      </c>
      <c r="AU173" s="22" t="n">
        <v>25400</v>
      </c>
      <c r="AV173" s="22" t="n">
        <v>20800</v>
      </c>
      <c r="AW173" s="22" t="n">
        <v>27600</v>
      </c>
      <c r="AX173" s="22" t="n">
        <v>26200</v>
      </c>
      <c r="AY173" s="22" t="n">
        <v>54700</v>
      </c>
      <c r="AZ173" s="22" t="n">
        <v>31800</v>
      </c>
      <c r="BA173" s="22" t="n">
        <v>32100</v>
      </c>
      <c r="BB173" s="22" t="n">
        <v>38500</v>
      </c>
      <c r="BC173" s="22" t="n">
        <v>31800</v>
      </c>
      <c r="BD173" s="22" t="n">
        <v>23900</v>
      </c>
      <c r="BE173" s="22" t="n">
        <v>52100</v>
      </c>
      <c r="BF173" s="22" t="n">
        <v>47600</v>
      </c>
      <c r="BG173" s="22" t="n">
        <v>27800</v>
      </c>
      <c r="BH173" s="22" t="n">
        <v>24300</v>
      </c>
      <c r="BI173" s="22" t="n">
        <v>44200</v>
      </c>
      <c r="BJ173" s="22" t="n">
        <v>151000</v>
      </c>
      <c r="BK173" s="22" t="n">
        <v>95200</v>
      </c>
      <c r="BL173" s="22" t="n">
        <v>71600</v>
      </c>
    </row>
    <row r="174" ht="15.95" customHeight="1" s="574">
      <c r="A174" s="416" t="inlineStr">
        <is>
          <t>2327</t>
        </is>
      </c>
      <c r="B174" s="49" t="inlineStr">
        <is>
          <t>日鉄ソリューションズ</t>
        </is>
      </c>
      <c r="C174" s="53">
        <f>_xll.RssMarket("2327","出来高")</f>
        <v/>
      </c>
      <c r="D174" s="661">
        <f>C174-E174</f>
        <v/>
      </c>
      <c r="E174" s="22" t="n">
        <v>507100</v>
      </c>
      <c r="F174" s="22" t="n">
        <v>791100</v>
      </c>
      <c r="G174" s="22" t="n">
        <v>226600</v>
      </c>
      <c r="H174" s="22" t="n">
        <v>325900</v>
      </c>
      <c r="I174" s="22" t="n">
        <v>379700</v>
      </c>
      <c r="J174" s="22" t="n">
        <v>253000</v>
      </c>
      <c r="K174" s="22" t="n">
        <v>191100</v>
      </c>
      <c r="L174" s="22" t="n">
        <v>190700</v>
      </c>
      <c r="M174" s="22" t="n">
        <v>134800</v>
      </c>
      <c r="N174" s="22" t="n">
        <v>178700</v>
      </c>
      <c r="O174" s="22" t="n">
        <v>246700</v>
      </c>
      <c r="P174" s="22" t="n">
        <v>352900</v>
      </c>
      <c r="Q174" s="22" t="n">
        <v>210500</v>
      </c>
      <c r="R174" s="22" t="n">
        <v>281800</v>
      </c>
      <c r="S174" s="22" t="n">
        <v>247100</v>
      </c>
      <c r="T174" s="22" t="n">
        <v>242200</v>
      </c>
      <c r="U174" s="22" t="n">
        <v>245600</v>
      </c>
      <c r="V174" s="22" t="n">
        <v>158600</v>
      </c>
      <c r="W174" s="22" t="n">
        <v>107700</v>
      </c>
      <c r="X174" s="22" t="n">
        <v>168400</v>
      </c>
      <c r="Y174" s="22" t="n">
        <v>295500</v>
      </c>
      <c r="Z174" s="22" t="n">
        <v>366900</v>
      </c>
      <c r="AA174" s="22" t="n">
        <v>294500</v>
      </c>
      <c r="AB174" s="22" t="n">
        <v>257700</v>
      </c>
      <c r="AC174" s="22" t="n">
        <v>340700</v>
      </c>
      <c r="AD174" s="22" t="n">
        <v>296500</v>
      </c>
      <c r="AE174" s="22" t="n">
        <v>241900</v>
      </c>
      <c r="AF174" s="22" t="n">
        <v>241900</v>
      </c>
      <c r="AG174" s="22" t="n">
        <v>353500</v>
      </c>
      <c r="AH174" s="22" t="n">
        <v>323900</v>
      </c>
      <c r="AI174" s="22" t="n">
        <v>382500</v>
      </c>
      <c r="AJ174" s="22" t="n">
        <v>361700</v>
      </c>
      <c r="AK174" s="22" t="n">
        <v>529800</v>
      </c>
      <c r="AL174" s="22" t="n">
        <v>365100</v>
      </c>
      <c r="AM174" s="22" t="n">
        <v>218800</v>
      </c>
      <c r="AN174" s="22" t="n">
        <v>235900</v>
      </c>
      <c r="AO174" s="22" t="n">
        <v>167600</v>
      </c>
      <c r="AP174" s="22" t="n">
        <v>133000</v>
      </c>
      <c r="AQ174" s="22" t="n">
        <v>128800</v>
      </c>
      <c r="AR174" s="22" t="n">
        <v>270900</v>
      </c>
      <c r="AS174" s="22" t="n">
        <v>183600</v>
      </c>
      <c r="AT174" s="22" t="n">
        <v>217400</v>
      </c>
      <c r="AU174" s="22" t="n">
        <v>190800</v>
      </c>
      <c r="AV174" s="22" t="n">
        <v>227200</v>
      </c>
      <c r="AW174" s="22" t="n">
        <v>198300</v>
      </c>
      <c r="AX174" s="22" t="n">
        <v>225100</v>
      </c>
      <c r="AY174" s="22" t="n">
        <v>253300</v>
      </c>
      <c r="AZ174" s="22" t="n">
        <v>227100</v>
      </c>
      <c r="BA174" s="22" t="n">
        <v>158600</v>
      </c>
      <c r="BB174" s="22" t="n">
        <v>319200</v>
      </c>
      <c r="BC174" s="22" t="n">
        <v>344100</v>
      </c>
      <c r="BD174" s="22" t="n">
        <v>252200</v>
      </c>
      <c r="BE174" s="22" t="n">
        <v>241500</v>
      </c>
      <c r="BF174" s="22" t="n">
        <v>226900</v>
      </c>
      <c r="BG174" s="22" t="n">
        <v>157900</v>
      </c>
      <c r="BH174" s="22" t="n">
        <v>184600</v>
      </c>
      <c r="BI174" s="22" t="n">
        <v>276200</v>
      </c>
      <c r="BJ174" s="22" t="n">
        <v>318100</v>
      </c>
      <c r="BK174" s="22" t="n">
        <v>418200</v>
      </c>
      <c r="BL174" s="22" t="n">
        <v>141300</v>
      </c>
    </row>
    <row r="175" ht="15.95" customHeight="1" s="574">
      <c r="A175" s="416" t="inlineStr">
        <is>
          <t>1942</t>
        </is>
      </c>
      <c r="B175" s="49" t="inlineStr">
        <is>
          <t>関電工</t>
        </is>
      </c>
      <c r="C175" s="53">
        <f>_xll.RssMarket("1942","出来高")</f>
        <v/>
      </c>
      <c r="D175" s="661">
        <f>C175-E175</f>
        <v/>
      </c>
      <c r="E175" s="22" t="n">
        <v>1069300</v>
      </c>
      <c r="F175" s="22" t="n">
        <v>2033200</v>
      </c>
      <c r="G175" s="22" t="n">
        <v>759400</v>
      </c>
      <c r="H175" s="22" t="n">
        <v>836500</v>
      </c>
      <c r="I175" s="22" t="n">
        <v>920800</v>
      </c>
      <c r="J175" s="22" t="n">
        <v>1376000</v>
      </c>
      <c r="K175" s="22" t="n">
        <v>778200</v>
      </c>
      <c r="L175" s="22" t="n">
        <v>969800</v>
      </c>
      <c r="M175" s="22" t="n">
        <v>889300</v>
      </c>
      <c r="N175" s="22" t="n">
        <v>747600</v>
      </c>
      <c r="O175" s="22" t="n">
        <v>1104600</v>
      </c>
      <c r="P175" s="22" t="n">
        <v>2413900</v>
      </c>
      <c r="Q175" s="22" t="n">
        <v>958800</v>
      </c>
      <c r="R175" s="22" t="n">
        <v>1430500</v>
      </c>
      <c r="S175" s="22" t="n">
        <v>782800</v>
      </c>
      <c r="T175" s="22" t="n">
        <v>783000</v>
      </c>
      <c r="U175" s="22" t="n">
        <v>1278200</v>
      </c>
      <c r="V175" s="22" t="n">
        <v>1276300</v>
      </c>
      <c r="W175" s="22" t="n">
        <v>1103700</v>
      </c>
      <c r="X175" s="22" t="n">
        <v>1166500</v>
      </c>
      <c r="Y175" s="22" t="n">
        <v>1076500</v>
      </c>
      <c r="Z175" s="22" t="n">
        <v>1318600</v>
      </c>
      <c r="AA175" s="22" t="n">
        <v>999100</v>
      </c>
      <c r="AB175" s="22" t="n">
        <v>1185500</v>
      </c>
      <c r="AC175" s="22" t="n">
        <v>898200</v>
      </c>
      <c r="AD175" s="22" t="n">
        <v>1450100</v>
      </c>
      <c r="AE175" s="22" t="n">
        <v>1230500</v>
      </c>
      <c r="AF175" s="22" t="n">
        <v>1230500</v>
      </c>
      <c r="AG175" s="22" t="n">
        <v>1397700</v>
      </c>
      <c r="AH175" s="22" t="n">
        <v>1967000</v>
      </c>
      <c r="AI175" s="22" t="n">
        <v>1585800</v>
      </c>
      <c r="AJ175" s="22" t="n">
        <v>2659900</v>
      </c>
      <c r="AK175" s="22" t="n">
        <v>9927100</v>
      </c>
      <c r="AL175" s="22" t="n">
        <v>1078500</v>
      </c>
      <c r="AM175" s="22" t="n">
        <v>738400</v>
      </c>
      <c r="AN175" s="22" t="n">
        <v>1031900</v>
      </c>
      <c r="AO175" s="22" t="n">
        <v>808400</v>
      </c>
      <c r="AP175" s="22" t="n">
        <v>709200</v>
      </c>
      <c r="AQ175" s="22" t="n">
        <v>372400</v>
      </c>
      <c r="AR175" s="22" t="n">
        <v>499600</v>
      </c>
      <c r="AS175" s="22" t="n">
        <v>918500</v>
      </c>
      <c r="AT175" s="22" t="n">
        <v>849500</v>
      </c>
      <c r="AU175" s="22" t="n">
        <v>591700</v>
      </c>
      <c r="AV175" s="22" t="n">
        <v>502000</v>
      </c>
      <c r="AW175" s="22" t="n">
        <v>655500</v>
      </c>
      <c r="AX175" s="22" t="n">
        <v>921400</v>
      </c>
      <c r="AY175" s="22" t="n">
        <v>784700</v>
      </c>
      <c r="AZ175" s="22" t="n">
        <v>439900</v>
      </c>
      <c r="BA175" s="22" t="n">
        <v>474500</v>
      </c>
      <c r="BB175" s="22" t="n">
        <v>361200</v>
      </c>
      <c r="BC175" s="22" t="n">
        <v>717700</v>
      </c>
      <c r="BD175" s="22" t="n">
        <v>918500</v>
      </c>
      <c r="BE175" s="22" t="n">
        <v>1011100</v>
      </c>
      <c r="BF175" s="22" t="n">
        <v>814700</v>
      </c>
      <c r="BG175" s="22" t="n">
        <v>577100</v>
      </c>
      <c r="BH175" s="22" t="n">
        <v>927900</v>
      </c>
      <c r="BI175" s="22" t="n">
        <v>622700</v>
      </c>
      <c r="BJ175" s="22" t="n">
        <v>1264800</v>
      </c>
      <c r="BK175" s="22" t="n">
        <v>1381600</v>
      </c>
      <c r="BL175" s="22" t="n">
        <v>834100</v>
      </c>
    </row>
    <row r="176" ht="15.95" customHeight="1" s="574">
      <c r="A176" s="416" t="inlineStr">
        <is>
          <t>1938</t>
        </is>
      </c>
      <c r="B176" s="49" t="inlineStr">
        <is>
          <t>日本リーテック</t>
        </is>
      </c>
      <c r="C176" s="53">
        <f>_xll.RssMarket("1938","出来高")</f>
        <v/>
      </c>
      <c r="D176" s="661">
        <f>C176-E176</f>
        <v/>
      </c>
      <c r="E176" s="22" t="n">
        <v>38900</v>
      </c>
      <c r="F176" s="22" t="n">
        <v>52700</v>
      </c>
      <c r="G176" s="22" t="n">
        <v>68900</v>
      </c>
      <c r="H176" s="22" t="n">
        <v>67700</v>
      </c>
      <c r="I176" s="22" t="n">
        <v>48000</v>
      </c>
      <c r="J176" s="22" t="n">
        <v>88800</v>
      </c>
      <c r="K176" s="22" t="n">
        <v>95000</v>
      </c>
      <c r="L176" s="22" t="n">
        <v>72900</v>
      </c>
      <c r="M176" s="22" t="n">
        <v>98000</v>
      </c>
      <c r="N176" s="22" t="n">
        <v>74100</v>
      </c>
      <c r="O176" s="22" t="n">
        <v>149700</v>
      </c>
      <c r="P176" s="22" t="n">
        <v>99400</v>
      </c>
      <c r="Q176" s="22" t="n">
        <v>117100</v>
      </c>
      <c r="R176" s="22" t="n">
        <v>84300</v>
      </c>
      <c r="S176" s="22" t="n">
        <v>96000</v>
      </c>
      <c r="T176" s="22" t="n">
        <v>110200</v>
      </c>
      <c r="U176" s="22" t="n">
        <v>127900</v>
      </c>
      <c r="V176" s="22" t="n">
        <v>116300</v>
      </c>
      <c r="W176" s="22" t="n">
        <v>146800</v>
      </c>
      <c r="X176" s="22" t="n">
        <v>130100</v>
      </c>
      <c r="Y176" s="22" t="n">
        <v>107600</v>
      </c>
      <c r="Z176" s="22" t="n">
        <v>184900</v>
      </c>
      <c r="AA176" s="22" t="n">
        <v>203000</v>
      </c>
      <c r="AB176" s="22" t="n">
        <v>158000</v>
      </c>
      <c r="AC176" s="22" t="n">
        <v>265400</v>
      </c>
      <c r="AD176" s="22" t="n">
        <v>403100</v>
      </c>
      <c r="AE176" s="22" t="n">
        <v>245800</v>
      </c>
      <c r="AF176" s="22" t="n">
        <v>245800</v>
      </c>
      <c r="AG176" s="22" t="n">
        <v>156500</v>
      </c>
      <c r="AH176" s="22" t="n">
        <v>152000</v>
      </c>
      <c r="AI176" s="22" t="n">
        <v>170300</v>
      </c>
      <c r="AJ176" s="22" t="n">
        <v>98600</v>
      </c>
      <c r="AK176" s="22" t="n">
        <v>189900</v>
      </c>
      <c r="AL176" s="22" t="n">
        <v>95100</v>
      </c>
      <c r="AM176" s="22" t="n">
        <v>98600</v>
      </c>
      <c r="AN176" s="22" t="n">
        <v>99900</v>
      </c>
      <c r="AO176" s="22" t="n">
        <v>106700</v>
      </c>
      <c r="AP176" s="22" t="n">
        <v>108500</v>
      </c>
      <c r="AQ176" s="22" t="n">
        <v>96800</v>
      </c>
      <c r="AR176" s="22" t="n">
        <v>76800</v>
      </c>
      <c r="AS176" s="22" t="n">
        <v>94200</v>
      </c>
      <c r="AT176" s="22" t="n">
        <v>80000</v>
      </c>
      <c r="AU176" s="22" t="n">
        <v>99500</v>
      </c>
      <c r="AV176" s="22" t="n">
        <v>91400</v>
      </c>
      <c r="AW176" s="22" t="n">
        <v>78500</v>
      </c>
      <c r="AX176" s="22" t="n">
        <v>119900</v>
      </c>
      <c r="AY176" s="22" t="n">
        <v>86600</v>
      </c>
      <c r="AZ176" s="22" t="n">
        <v>67700</v>
      </c>
      <c r="BA176" s="22" t="n">
        <v>52300</v>
      </c>
      <c r="BB176" s="22" t="n">
        <v>74200</v>
      </c>
      <c r="BC176" s="22" t="n">
        <v>77700</v>
      </c>
      <c r="BD176" s="22" t="n">
        <v>92000</v>
      </c>
      <c r="BE176" s="22" t="n">
        <v>119100</v>
      </c>
      <c r="BF176" s="22" t="n">
        <v>110500</v>
      </c>
      <c r="BG176" s="22" t="n">
        <v>75000</v>
      </c>
      <c r="BH176" s="22" t="n">
        <v>113000</v>
      </c>
      <c r="BI176" s="22" t="n">
        <v>64800</v>
      </c>
      <c r="BJ176" s="22" t="n">
        <v>155100</v>
      </c>
      <c r="BK176" s="22" t="n">
        <v>134300</v>
      </c>
      <c r="BL176" s="22" t="n">
        <v>87300</v>
      </c>
    </row>
    <row r="177" ht="15.95" customHeight="1" s="574">
      <c r="A177" s="416" t="inlineStr">
        <is>
          <t>7236</t>
        </is>
      </c>
      <c r="B177" s="49" t="inlineStr">
        <is>
          <t>ティラド</t>
        </is>
      </c>
      <c r="C177" s="53">
        <f>_xll.RssMarket("7236","出来高")</f>
        <v/>
      </c>
      <c r="D177" s="661">
        <f>C177-E177</f>
        <v/>
      </c>
      <c r="E177" s="22" t="n">
        <v>31900</v>
      </c>
      <c r="F177" s="22" t="n">
        <v>42100</v>
      </c>
      <c r="G177" s="22" t="n">
        <v>21300</v>
      </c>
      <c r="H177" s="22" t="n">
        <v>27800</v>
      </c>
      <c r="I177" s="22" t="n">
        <v>20200</v>
      </c>
      <c r="J177" s="22" t="n">
        <v>27000</v>
      </c>
      <c r="K177" s="22" t="n">
        <v>48100</v>
      </c>
      <c r="L177" s="22" t="n">
        <v>41100</v>
      </c>
      <c r="M177" s="22" t="n">
        <v>44000</v>
      </c>
      <c r="N177" s="22" t="n">
        <v>25000</v>
      </c>
      <c r="O177" s="22" t="n">
        <v>43500</v>
      </c>
      <c r="P177" s="22" t="n">
        <v>41100</v>
      </c>
      <c r="Q177" s="22" t="n">
        <v>45900</v>
      </c>
      <c r="R177" s="22" t="n">
        <v>31600</v>
      </c>
      <c r="S177" s="22" t="n">
        <v>48700</v>
      </c>
      <c r="T177" s="22" t="n">
        <v>42500</v>
      </c>
      <c r="U177" s="22" t="n">
        <v>71300</v>
      </c>
      <c r="V177" s="22" t="n">
        <v>54700</v>
      </c>
      <c r="W177" s="22" t="n">
        <v>72600</v>
      </c>
      <c r="X177" s="22" t="n">
        <v>57700</v>
      </c>
      <c r="Y177" s="22" t="n">
        <v>61700</v>
      </c>
      <c r="Z177" s="22" t="n">
        <v>48500</v>
      </c>
      <c r="AA177" s="22" t="n">
        <v>42400</v>
      </c>
      <c r="AB177" s="22" t="n">
        <v>19100</v>
      </c>
      <c r="AC177" s="22" t="n">
        <v>33300</v>
      </c>
      <c r="AD177" s="22" t="n">
        <v>31700</v>
      </c>
      <c r="AE177" s="22" t="n">
        <v>62400</v>
      </c>
      <c r="AF177" s="22" t="n">
        <v>62400</v>
      </c>
      <c r="AG177" s="22" t="n">
        <v>107700</v>
      </c>
      <c r="AH177" s="22" t="n">
        <v>172200</v>
      </c>
      <c r="AI177" s="22" t="n">
        <v>626300</v>
      </c>
      <c r="AJ177" s="22" t="n">
        <v>6900</v>
      </c>
      <c r="AK177" s="22" t="n">
        <v>8400</v>
      </c>
      <c r="AL177" s="22" t="n">
        <v>45500</v>
      </c>
      <c r="AM177" s="22" t="n">
        <v>34200</v>
      </c>
      <c r="AN177" s="22" t="n">
        <v>25100</v>
      </c>
      <c r="AO177" s="22" t="n">
        <v>21800</v>
      </c>
      <c r="AP177" s="22" t="n">
        <v>33800</v>
      </c>
      <c r="AQ177" s="22" t="n">
        <v>40500</v>
      </c>
      <c r="AR177" s="22" t="n">
        <v>33300</v>
      </c>
      <c r="AS177" s="22" t="n">
        <v>29300</v>
      </c>
      <c r="AT177" s="22" t="n">
        <v>20200</v>
      </c>
      <c r="AU177" s="22" t="n">
        <v>17600</v>
      </c>
      <c r="AV177" s="22" t="n">
        <v>30500</v>
      </c>
      <c r="AW177" s="22" t="n">
        <v>6700</v>
      </c>
      <c r="AX177" s="22" t="n">
        <v>16100</v>
      </c>
      <c r="AY177" s="22" t="n">
        <v>15300</v>
      </c>
      <c r="AZ177" s="22" t="n">
        <v>5700</v>
      </c>
      <c r="BA177" s="22" t="n">
        <v>11600</v>
      </c>
      <c r="BB177" s="22" t="n">
        <v>9100</v>
      </c>
      <c r="BC177" s="22" t="n">
        <v>10700</v>
      </c>
      <c r="BD177" s="22" t="n">
        <v>17900</v>
      </c>
      <c r="BE177" s="22" t="n">
        <v>30900</v>
      </c>
      <c r="BF177" s="22" t="n">
        <v>21900</v>
      </c>
      <c r="BG177" s="22" t="n">
        <v>11300</v>
      </c>
      <c r="BH177" s="22" t="n">
        <v>18900</v>
      </c>
      <c r="BI177" s="22" t="n">
        <v>14900</v>
      </c>
      <c r="BJ177" s="22" t="n">
        <v>32400</v>
      </c>
      <c r="BK177" s="22" t="n">
        <v>29700</v>
      </c>
      <c r="BL177" s="22" t="n">
        <v>12600</v>
      </c>
    </row>
    <row r="178" ht="15.95" customHeight="1" s="574">
      <c r="A178" s="416" t="inlineStr">
        <is>
          <t>6436</t>
        </is>
      </c>
      <c r="B178" s="49" t="inlineStr">
        <is>
          <t>アマノ</t>
        </is>
      </c>
      <c r="C178" s="53">
        <f>_xll.RssMarket("6436","出来高")</f>
        <v/>
      </c>
      <c r="D178" s="661">
        <f>C178-E178</f>
        <v/>
      </c>
      <c r="E178" s="22" t="n">
        <v>173600</v>
      </c>
      <c r="F178" s="22" t="n">
        <v>322300</v>
      </c>
      <c r="G178" s="22" t="n">
        <v>197100</v>
      </c>
      <c r="H178" s="22" t="n">
        <v>212400</v>
      </c>
      <c r="I178" s="22" t="n">
        <v>214200</v>
      </c>
      <c r="J178" s="22" t="n">
        <v>213300</v>
      </c>
      <c r="K178" s="22" t="n">
        <v>170200</v>
      </c>
      <c r="L178" s="22" t="n">
        <v>229400</v>
      </c>
      <c r="M178" s="22" t="n">
        <v>313200</v>
      </c>
      <c r="N178" s="22" t="n">
        <v>165700</v>
      </c>
      <c r="O178" s="22" t="n">
        <v>217300</v>
      </c>
      <c r="P178" s="22" t="n">
        <v>168400</v>
      </c>
      <c r="Q178" s="22" t="n">
        <v>246900</v>
      </c>
      <c r="R178" s="22" t="n">
        <v>280400</v>
      </c>
      <c r="S178" s="22" t="n">
        <v>206900</v>
      </c>
      <c r="T178" s="22" t="n">
        <v>217600</v>
      </c>
      <c r="U178" s="22" t="n">
        <v>205200</v>
      </c>
      <c r="V178" s="22" t="n">
        <v>204200</v>
      </c>
      <c r="W178" s="22" t="n">
        <v>156900</v>
      </c>
      <c r="X178" s="22" t="n">
        <v>286600</v>
      </c>
      <c r="Y178" s="22" t="n">
        <v>234600</v>
      </c>
      <c r="Z178" s="22" t="n">
        <v>209900</v>
      </c>
      <c r="AA178" s="22" t="n">
        <v>287100</v>
      </c>
      <c r="AB178" s="22" t="n">
        <v>293400</v>
      </c>
      <c r="AC178" s="22" t="n">
        <v>231500</v>
      </c>
      <c r="AD178" s="22" t="n">
        <v>269000</v>
      </c>
      <c r="AE178" s="22" t="n">
        <v>313000</v>
      </c>
      <c r="AF178" s="22" t="n">
        <v>313000</v>
      </c>
      <c r="AG178" s="22" t="n">
        <v>346300</v>
      </c>
      <c r="AH178" s="22" t="n">
        <v>507600</v>
      </c>
      <c r="AI178" s="22" t="n">
        <v>401500</v>
      </c>
      <c r="AJ178" s="22" t="n">
        <v>572800</v>
      </c>
      <c r="AK178" s="22" t="n">
        <v>727700</v>
      </c>
      <c r="AL178" s="22" t="n">
        <v>780400</v>
      </c>
      <c r="AM178" s="22" t="n">
        <v>226600</v>
      </c>
      <c r="AN178" s="22" t="n">
        <v>302400</v>
      </c>
      <c r="AO178" s="22" t="n">
        <v>283900</v>
      </c>
      <c r="AP178" s="22" t="n">
        <v>237400</v>
      </c>
      <c r="AQ178" s="22" t="n">
        <v>133800</v>
      </c>
      <c r="AR178" s="22" t="n">
        <v>548200</v>
      </c>
      <c r="AS178" s="22" t="n">
        <v>211900</v>
      </c>
      <c r="AT178" s="22" t="n">
        <v>136200</v>
      </c>
      <c r="AU178" s="22" t="n">
        <v>176300</v>
      </c>
      <c r="AV178" s="22" t="n">
        <v>146400</v>
      </c>
      <c r="AW178" s="22" t="n">
        <v>267600</v>
      </c>
      <c r="AX178" s="22" t="n">
        <v>325300</v>
      </c>
      <c r="AY178" s="22" t="n">
        <v>308200</v>
      </c>
      <c r="AZ178" s="22" t="n">
        <v>182000</v>
      </c>
      <c r="BA178" s="22" t="n">
        <v>174400</v>
      </c>
      <c r="BB178" s="22" t="n">
        <v>221500</v>
      </c>
      <c r="BC178" s="22" t="n">
        <v>193000</v>
      </c>
      <c r="BD178" s="22" t="n">
        <v>338500</v>
      </c>
      <c r="BE178" s="22" t="n">
        <v>306900</v>
      </c>
      <c r="BF178" s="22" t="n">
        <v>323200</v>
      </c>
      <c r="BG178" s="22" t="n">
        <v>208600</v>
      </c>
      <c r="BH178" s="22" t="n">
        <v>214400</v>
      </c>
      <c r="BI178" s="22" t="n">
        <v>229100</v>
      </c>
      <c r="BJ178" s="22" t="n">
        <v>286900</v>
      </c>
      <c r="BK178" s="22" t="n">
        <v>303600</v>
      </c>
      <c r="BL178" s="22" t="n">
        <v>273300</v>
      </c>
    </row>
    <row r="179" ht="15.95" customHeight="1" s="574">
      <c r="A179" s="416" t="inlineStr">
        <is>
          <t>5410</t>
        </is>
      </c>
      <c r="B179" s="49" t="inlineStr">
        <is>
          <t>合同製鐵</t>
        </is>
      </c>
      <c r="C179" s="53">
        <f>_xll.RssMarket("5410","出来高")</f>
        <v/>
      </c>
      <c r="D179" s="661">
        <f>C179-E179</f>
        <v/>
      </c>
      <c r="E179" s="22" t="n">
        <v>99100</v>
      </c>
      <c r="F179" s="22" t="n">
        <v>132200</v>
      </c>
      <c r="G179" s="22" t="n">
        <v>117900</v>
      </c>
      <c r="H179" s="22" t="n">
        <v>101300</v>
      </c>
      <c r="I179" s="22" t="n">
        <v>82100</v>
      </c>
      <c r="J179" s="22" t="n">
        <v>100900</v>
      </c>
      <c r="K179" s="22" t="n">
        <v>98900</v>
      </c>
      <c r="L179" s="22" t="n">
        <v>164900</v>
      </c>
      <c r="M179" s="22" t="n">
        <v>157900</v>
      </c>
      <c r="N179" s="22" t="n">
        <v>112600</v>
      </c>
      <c r="O179" s="22" t="n">
        <v>128900</v>
      </c>
      <c r="P179" s="22" t="n">
        <v>206700</v>
      </c>
      <c r="Q179" s="22" t="n">
        <v>164200</v>
      </c>
      <c r="R179" s="22" t="n">
        <v>130000</v>
      </c>
      <c r="S179" s="22" t="n">
        <v>210300</v>
      </c>
      <c r="T179" s="22" t="n">
        <v>210700</v>
      </c>
      <c r="U179" s="22" t="n">
        <v>156400</v>
      </c>
      <c r="V179" s="22" t="n">
        <v>147300</v>
      </c>
      <c r="W179" s="22" t="n">
        <v>174700</v>
      </c>
      <c r="X179" s="22" t="n">
        <v>241400</v>
      </c>
      <c r="Y179" s="22" t="n">
        <v>115800</v>
      </c>
      <c r="Z179" s="22" t="n">
        <v>166600</v>
      </c>
      <c r="AA179" s="22" t="n">
        <v>120200</v>
      </c>
      <c r="AB179" s="22" t="n">
        <v>125900</v>
      </c>
      <c r="AC179" s="22" t="n">
        <v>134700</v>
      </c>
      <c r="AD179" s="22" t="n">
        <v>129500</v>
      </c>
      <c r="AE179" s="22" t="n">
        <v>120200</v>
      </c>
      <c r="AF179" s="22" t="n">
        <v>120200</v>
      </c>
      <c r="AG179" s="22" t="n">
        <v>189100</v>
      </c>
      <c r="AH179" s="22" t="n">
        <v>201300</v>
      </c>
      <c r="AI179" s="22" t="n">
        <v>238900</v>
      </c>
      <c r="AJ179" s="22" t="n">
        <v>353200</v>
      </c>
      <c r="AK179" s="22" t="n">
        <v>473700</v>
      </c>
      <c r="AL179" s="22" t="n">
        <v>779300</v>
      </c>
      <c r="AM179" s="22" t="n">
        <v>76500</v>
      </c>
      <c r="AN179" s="22" t="n">
        <v>86400</v>
      </c>
      <c r="AO179" s="22" t="n">
        <v>105800</v>
      </c>
      <c r="AP179" s="22" t="n">
        <v>60300</v>
      </c>
      <c r="AQ179" s="22" t="n">
        <v>53700</v>
      </c>
      <c r="AR179" s="22" t="n">
        <v>76100</v>
      </c>
      <c r="AS179" s="22" t="n">
        <v>57500</v>
      </c>
      <c r="AT179" s="22" t="n">
        <v>65000</v>
      </c>
      <c r="AU179" s="22" t="n">
        <v>51200</v>
      </c>
      <c r="AV179" s="22" t="n">
        <v>74900</v>
      </c>
      <c r="AW179" s="22" t="n">
        <v>112700</v>
      </c>
      <c r="AX179" s="22" t="n">
        <v>61400</v>
      </c>
      <c r="AY179" s="22" t="n">
        <v>55300</v>
      </c>
      <c r="AZ179" s="22" t="n">
        <v>33300</v>
      </c>
      <c r="BA179" s="22" t="n">
        <v>26400</v>
      </c>
      <c r="BB179" s="22" t="n">
        <v>22000</v>
      </c>
      <c r="BC179" s="22" t="n">
        <v>45700</v>
      </c>
      <c r="BD179" s="22" t="n">
        <v>46000</v>
      </c>
      <c r="BE179" s="22" t="n">
        <v>101200</v>
      </c>
      <c r="BF179" s="22" t="n">
        <v>90600</v>
      </c>
      <c r="BG179" s="22" t="n">
        <v>61100</v>
      </c>
      <c r="BH179" s="22" t="n">
        <v>74100</v>
      </c>
      <c r="BI179" s="22" t="n">
        <v>74800</v>
      </c>
      <c r="BJ179" s="22" t="n">
        <v>123800</v>
      </c>
      <c r="BK179" s="22" t="n">
        <v>74300</v>
      </c>
      <c r="BL179" s="22" t="n">
        <v>58400</v>
      </c>
    </row>
    <row r="180" ht="15.95" customHeight="1" s="574">
      <c r="A180" s="416" t="inlineStr">
        <is>
          <t>5440</t>
        </is>
      </c>
      <c r="B180" s="49" t="inlineStr">
        <is>
          <t>共英製鋼</t>
        </is>
      </c>
      <c r="C180" s="53">
        <f>_xll.RssMarket("5440","出来高")</f>
        <v/>
      </c>
      <c r="D180" s="661">
        <f>C180-E180</f>
        <v/>
      </c>
      <c r="E180" s="22" t="n">
        <v>170600</v>
      </c>
      <c r="F180" s="22" t="n">
        <v>151300</v>
      </c>
      <c r="G180" s="22" t="n">
        <v>114900</v>
      </c>
      <c r="H180" s="22" t="n">
        <v>113000</v>
      </c>
      <c r="I180" s="22" t="n">
        <v>109200</v>
      </c>
      <c r="J180" s="22" t="n">
        <v>98400</v>
      </c>
      <c r="K180" s="22" t="n">
        <v>103600</v>
      </c>
      <c r="L180" s="22" t="n">
        <v>120200</v>
      </c>
      <c r="M180" s="22" t="n">
        <v>128300</v>
      </c>
      <c r="N180" s="22" t="n">
        <v>84100</v>
      </c>
      <c r="O180" s="22" t="n">
        <v>92800</v>
      </c>
      <c r="P180" s="22" t="n">
        <v>169900</v>
      </c>
      <c r="Q180" s="22" t="n">
        <v>159800</v>
      </c>
      <c r="R180" s="22" t="n">
        <v>185600</v>
      </c>
      <c r="S180" s="22" t="n">
        <v>102100</v>
      </c>
      <c r="T180" s="22" t="n">
        <v>122500</v>
      </c>
      <c r="U180" s="22" t="n">
        <v>203900</v>
      </c>
      <c r="V180" s="22" t="n">
        <v>113400</v>
      </c>
      <c r="W180" s="22" t="n">
        <v>178600</v>
      </c>
      <c r="X180" s="22" t="n">
        <v>185600</v>
      </c>
      <c r="Y180" s="22" t="n">
        <v>158000</v>
      </c>
      <c r="Z180" s="22" t="n">
        <v>135400</v>
      </c>
      <c r="AA180" s="22" t="n">
        <v>136600</v>
      </c>
      <c r="AB180" s="22" t="n">
        <v>238300</v>
      </c>
      <c r="AC180" s="22" t="n">
        <v>190300</v>
      </c>
      <c r="AD180" s="22" t="n">
        <v>133300</v>
      </c>
      <c r="AE180" s="22" t="n">
        <v>220300</v>
      </c>
      <c r="AF180" s="22" t="n">
        <v>220300</v>
      </c>
      <c r="AG180" s="22" t="n">
        <v>264300</v>
      </c>
      <c r="AH180" s="22" t="n">
        <v>348300</v>
      </c>
      <c r="AI180" s="22" t="n">
        <v>365100</v>
      </c>
      <c r="AJ180" s="22" t="n">
        <v>608300</v>
      </c>
      <c r="AK180" s="22" t="n">
        <v>137300</v>
      </c>
      <c r="AL180" s="22" t="n">
        <v>148900</v>
      </c>
      <c r="AM180" s="22" t="n">
        <v>99000</v>
      </c>
      <c r="AN180" s="22" t="n">
        <v>90500</v>
      </c>
      <c r="AO180" s="22" t="n">
        <v>87000</v>
      </c>
      <c r="AP180" s="22" t="n">
        <v>99600</v>
      </c>
      <c r="AQ180" s="22" t="n">
        <v>122200</v>
      </c>
      <c r="AR180" s="22" t="n">
        <v>56700</v>
      </c>
      <c r="AS180" s="22" t="n">
        <v>68600</v>
      </c>
      <c r="AT180" s="22" t="n">
        <v>69600</v>
      </c>
      <c r="AU180" s="22" t="n">
        <v>73500</v>
      </c>
      <c r="AV180" s="22" t="n">
        <v>69300</v>
      </c>
      <c r="AW180" s="22" t="n">
        <v>62000</v>
      </c>
      <c r="AX180" s="22" t="n">
        <v>42800</v>
      </c>
      <c r="AY180" s="22" t="n">
        <v>63900</v>
      </c>
      <c r="AZ180" s="22" t="n">
        <v>45300</v>
      </c>
      <c r="BA180" s="22" t="n">
        <v>41200</v>
      </c>
      <c r="BB180" s="22" t="n">
        <v>45500</v>
      </c>
      <c r="BC180" s="22" t="n">
        <v>68200</v>
      </c>
      <c r="BD180" s="22" t="n">
        <v>92700</v>
      </c>
      <c r="BE180" s="22" t="n">
        <v>150500</v>
      </c>
      <c r="BF180" s="22" t="n">
        <v>293700</v>
      </c>
      <c r="BG180" s="22" t="n">
        <v>201600</v>
      </c>
      <c r="BH180" s="22" t="n">
        <v>147500</v>
      </c>
      <c r="BI180" s="22" t="n">
        <v>100400</v>
      </c>
      <c r="BJ180" s="22" t="n">
        <v>141500</v>
      </c>
      <c r="BK180" s="22" t="n">
        <v>105900</v>
      </c>
      <c r="BL180" s="22" t="n">
        <v>106000</v>
      </c>
    </row>
    <row r="181" ht="15.95" customHeight="1" s="574">
      <c r="A181" s="416" t="inlineStr">
        <is>
          <t>9505</t>
        </is>
      </c>
      <c r="B181" s="49" t="inlineStr">
        <is>
          <t>北陸電力</t>
        </is>
      </c>
      <c r="C181" s="53">
        <f>_xll.RssMarket("9505","出来高")</f>
        <v/>
      </c>
      <c r="D181" s="661">
        <f>C181-E181</f>
        <v/>
      </c>
      <c r="E181" s="22" t="n">
        <v>585200</v>
      </c>
      <c r="F181" s="22" t="n">
        <v>1118500</v>
      </c>
      <c r="G181" s="22" t="n">
        <v>818000</v>
      </c>
      <c r="H181" s="22" t="n">
        <v>883400</v>
      </c>
      <c r="I181" s="22" t="n">
        <v>914900</v>
      </c>
      <c r="J181" s="22" t="n">
        <v>990500</v>
      </c>
      <c r="K181" s="22" t="n">
        <v>1134800</v>
      </c>
      <c r="L181" s="22" t="n">
        <v>800900</v>
      </c>
      <c r="M181" s="22" t="n">
        <v>1386100</v>
      </c>
      <c r="N181" s="22" t="n">
        <v>885500</v>
      </c>
      <c r="O181" s="22" t="n">
        <v>945900</v>
      </c>
      <c r="P181" s="22" t="n">
        <v>940400</v>
      </c>
      <c r="Q181" s="22" t="n">
        <v>1213200</v>
      </c>
      <c r="R181" s="22" t="n">
        <v>1473600</v>
      </c>
      <c r="S181" s="22" t="n">
        <v>1557100</v>
      </c>
      <c r="T181" s="22" t="n">
        <v>691100</v>
      </c>
      <c r="U181" s="22" t="n">
        <v>728000</v>
      </c>
      <c r="V181" s="22" t="n">
        <v>780900</v>
      </c>
      <c r="W181" s="22" t="n">
        <v>743100</v>
      </c>
      <c r="X181" s="22" t="n">
        <v>709700</v>
      </c>
      <c r="Y181" s="22" t="n">
        <v>868000</v>
      </c>
      <c r="Z181" s="22" t="n">
        <v>1159800</v>
      </c>
      <c r="AA181" s="22" t="n">
        <v>721500</v>
      </c>
      <c r="AB181" s="22" t="n">
        <v>654100</v>
      </c>
      <c r="AC181" s="22" t="n">
        <v>947400</v>
      </c>
      <c r="AD181" s="22" t="n">
        <v>954700</v>
      </c>
      <c r="AE181" s="22" t="n">
        <v>1513200</v>
      </c>
      <c r="AF181" s="22" t="n">
        <v>1513200</v>
      </c>
      <c r="AG181" s="22" t="n">
        <v>1633000</v>
      </c>
      <c r="AH181" s="22" t="n">
        <v>3913800</v>
      </c>
      <c r="AI181" s="22" t="n">
        <v>2544600</v>
      </c>
      <c r="AJ181" s="22" t="n">
        <v>5515700</v>
      </c>
      <c r="AK181" s="22" t="n">
        <v>737700</v>
      </c>
      <c r="AL181" s="22" t="n">
        <v>1273900</v>
      </c>
      <c r="AM181" s="22" t="n">
        <v>712500</v>
      </c>
      <c r="AN181" s="22" t="n">
        <v>1085700</v>
      </c>
      <c r="AO181" s="22" t="n">
        <v>795200</v>
      </c>
      <c r="AP181" s="22" t="n">
        <v>676300</v>
      </c>
      <c r="AQ181" s="22" t="n">
        <v>668100</v>
      </c>
      <c r="AR181" s="22" t="n">
        <v>570200</v>
      </c>
      <c r="AS181" s="22" t="n">
        <v>615400</v>
      </c>
      <c r="AT181" s="22" t="n">
        <v>704600</v>
      </c>
      <c r="AU181" s="22" t="n">
        <v>587800</v>
      </c>
      <c r="AV181" s="22" t="n">
        <v>636000</v>
      </c>
      <c r="AW181" s="22" t="n">
        <v>632000</v>
      </c>
      <c r="AX181" s="22" t="n">
        <v>543000</v>
      </c>
      <c r="AY181" s="22" t="n">
        <v>825700</v>
      </c>
      <c r="AZ181" s="22" t="n">
        <v>636700</v>
      </c>
      <c r="BA181" s="22" t="n">
        <v>657700</v>
      </c>
      <c r="BB181" s="22" t="n">
        <v>722600</v>
      </c>
      <c r="BC181" s="22" t="n">
        <v>795800</v>
      </c>
      <c r="BD181" s="22" t="n">
        <v>1134800</v>
      </c>
      <c r="BE181" s="22" t="n">
        <v>921300</v>
      </c>
      <c r="BF181" s="22" t="n">
        <v>1087800</v>
      </c>
      <c r="BG181" s="22" t="n">
        <v>691000</v>
      </c>
      <c r="BH181" s="22" t="n">
        <v>993600</v>
      </c>
      <c r="BI181" s="22" t="n">
        <v>769300</v>
      </c>
      <c r="BJ181" s="22" t="n">
        <v>1178900</v>
      </c>
      <c r="BK181" s="22" t="n">
        <v>1456400</v>
      </c>
      <c r="BL181" s="22" t="n">
        <v>1211100</v>
      </c>
    </row>
    <row r="182" ht="15.95" customHeight="1" s="574">
      <c r="A182" s="416" t="inlineStr">
        <is>
          <t>8091</t>
        </is>
      </c>
      <c r="B182" s="49" t="inlineStr">
        <is>
          <t>ニチモウ</t>
        </is>
      </c>
      <c r="C182" s="53">
        <f>_xll.RssMarket("8091","出来高")</f>
        <v/>
      </c>
      <c r="D182" s="661">
        <f>C182-E182</f>
        <v/>
      </c>
      <c r="E182" s="22" t="n">
        <v>25100</v>
      </c>
      <c r="F182" s="22" t="n">
        <v>29900</v>
      </c>
      <c r="G182" s="22" t="n">
        <v>39200</v>
      </c>
      <c r="H182" s="22" t="n">
        <v>13300</v>
      </c>
      <c r="I182" s="22" t="n">
        <v>9700</v>
      </c>
      <c r="J182" s="22" t="n">
        <v>18900</v>
      </c>
      <c r="K182" s="22" t="n">
        <v>14400</v>
      </c>
      <c r="L182" s="22" t="n">
        <v>8100</v>
      </c>
      <c r="M182" s="22" t="n">
        <v>24600</v>
      </c>
      <c r="N182" s="22" t="n">
        <v>27400</v>
      </c>
      <c r="O182" s="22" t="n">
        <v>30000</v>
      </c>
      <c r="P182" s="22" t="n">
        <v>41800</v>
      </c>
      <c r="Q182" s="22" t="n">
        <v>26200</v>
      </c>
      <c r="R182" s="22" t="n">
        <v>18700</v>
      </c>
      <c r="S182" s="22" t="n">
        <v>16300</v>
      </c>
      <c r="T182" s="22" t="n">
        <v>13200</v>
      </c>
      <c r="U182" s="22" t="n">
        <v>36800</v>
      </c>
      <c r="V182" s="22" t="n">
        <v>37800</v>
      </c>
      <c r="W182" s="22" t="n">
        <v>25700</v>
      </c>
      <c r="X182" s="22" t="n">
        <v>40900</v>
      </c>
      <c r="Y182" s="22" t="n">
        <v>48700</v>
      </c>
      <c r="Z182" s="22" t="n">
        <v>134600</v>
      </c>
      <c r="AA182" s="22" t="n">
        <v>34600</v>
      </c>
      <c r="AB182" s="22" t="n">
        <v>13800</v>
      </c>
      <c r="AC182" s="22" t="n">
        <v>15700</v>
      </c>
      <c r="AD182" s="22" t="n">
        <v>16600</v>
      </c>
      <c r="AE182" s="22" t="n">
        <v>25300</v>
      </c>
      <c r="AF182" s="22" t="n">
        <v>25300</v>
      </c>
      <c r="AG182" s="22" t="n">
        <v>31100</v>
      </c>
      <c r="AH182" s="22" t="n">
        <v>32300</v>
      </c>
      <c r="AI182" s="22" t="n">
        <v>44100</v>
      </c>
      <c r="AJ182" s="22" t="n">
        <v>48500</v>
      </c>
      <c r="AK182" s="22" t="n">
        <v>37300</v>
      </c>
      <c r="AL182" s="22" t="n">
        <v>132800</v>
      </c>
      <c r="AM182" s="22" t="n">
        <v>11300</v>
      </c>
      <c r="AN182" s="22" t="n">
        <v>15300</v>
      </c>
      <c r="AO182" s="22" t="n">
        <v>15100</v>
      </c>
      <c r="AP182" s="22" t="n">
        <v>10700</v>
      </c>
      <c r="AQ182" s="22" t="n">
        <v>9300</v>
      </c>
      <c r="AR182" s="22" t="n">
        <v>7300</v>
      </c>
      <c r="AS182" s="22" t="n">
        <v>7000</v>
      </c>
      <c r="AT182" s="22" t="n">
        <v>8200</v>
      </c>
      <c r="AU182" s="22" t="n">
        <v>14700</v>
      </c>
      <c r="AV182" s="22" t="n">
        <v>14700</v>
      </c>
      <c r="AW182" s="22" t="n">
        <v>9800</v>
      </c>
      <c r="AX182" s="22" t="n">
        <v>16200</v>
      </c>
      <c r="AY182" s="22" t="n">
        <v>9300</v>
      </c>
      <c r="AZ182" s="22" t="n">
        <v>5300</v>
      </c>
      <c r="BA182" s="22" t="n">
        <v>21000</v>
      </c>
      <c r="BB182" s="22" t="n">
        <v>14100</v>
      </c>
      <c r="BC182" s="22" t="n">
        <v>13500</v>
      </c>
      <c r="BD182" s="22" t="n">
        <v>13600</v>
      </c>
      <c r="BE182" s="22" t="n">
        <v>36300</v>
      </c>
      <c r="BF182" s="22" t="n">
        <v>25200</v>
      </c>
      <c r="BG182" s="22" t="n">
        <v>9900</v>
      </c>
      <c r="BH182" s="22" t="n">
        <v>19500</v>
      </c>
      <c r="BI182" s="22" t="n">
        <v>13500</v>
      </c>
      <c r="BJ182" s="22" t="n">
        <v>26900</v>
      </c>
      <c r="BK182" s="22" t="n">
        <v>11300</v>
      </c>
      <c r="BL182" s="22" t="n">
        <v>9300</v>
      </c>
    </row>
    <row r="183" ht="15.95" customHeight="1" s="574">
      <c r="A183" s="416" t="inlineStr">
        <is>
          <t>6507</t>
        </is>
      </c>
      <c r="B183" s="49" t="inlineStr">
        <is>
          <t>シンフォニアテクノロジー</t>
        </is>
      </c>
      <c r="C183" s="53">
        <f>_xll.RssMarket("6507","出来高")</f>
        <v/>
      </c>
      <c r="D183" s="661">
        <f>C183-E183</f>
        <v/>
      </c>
      <c r="E183" s="22" t="n">
        <v>188300</v>
      </c>
      <c r="F183" s="22" t="n">
        <v>225100</v>
      </c>
      <c r="G183" s="22" t="n">
        <v>250500</v>
      </c>
      <c r="H183" s="22" t="n">
        <v>248900</v>
      </c>
      <c r="I183" s="22" t="n">
        <v>176200</v>
      </c>
      <c r="J183" s="22" t="n">
        <v>187400</v>
      </c>
      <c r="K183" s="22" t="n">
        <v>217200</v>
      </c>
      <c r="L183" s="22" t="n">
        <v>154500</v>
      </c>
      <c r="M183" s="22" t="n">
        <v>209900</v>
      </c>
      <c r="N183" s="22" t="n">
        <v>218000</v>
      </c>
      <c r="O183" s="22" t="n">
        <v>340900</v>
      </c>
      <c r="P183" s="22" t="n">
        <v>204200</v>
      </c>
      <c r="Q183" s="22" t="n">
        <v>370200</v>
      </c>
      <c r="R183" s="22" t="n">
        <v>317700</v>
      </c>
      <c r="S183" s="22" t="n">
        <v>231400</v>
      </c>
      <c r="T183" s="22" t="n">
        <v>154200</v>
      </c>
      <c r="U183" s="22" t="n">
        <v>174900</v>
      </c>
      <c r="V183" s="22" t="n">
        <v>155800</v>
      </c>
      <c r="W183" s="22" t="n">
        <v>205600</v>
      </c>
      <c r="X183" s="22" t="n">
        <v>311700</v>
      </c>
      <c r="Y183" s="22" t="n">
        <v>295100</v>
      </c>
      <c r="Z183" s="22" t="n">
        <v>143100</v>
      </c>
      <c r="AA183" s="22" t="n">
        <v>303100</v>
      </c>
      <c r="AB183" s="22" t="n">
        <v>649600</v>
      </c>
      <c r="AC183" s="22" t="n">
        <v>165100</v>
      </c>
      <c r="AD183" s="22" t="n">
        <v>163400</v>
      </c>
      <c r="AE183" s="22" t="n">
        <v>174600</v>
      </c>
      <c r="AF183" s="22" t="n">
        <v>174600</v>
      </c>
      <c r="AG183" s="22" t="n">
        <v>150400</v>
      </c>
      <c r="AH183" s="22" t="n">
        <v>291400</v>
      </c>
      <c r="AI183" s="22" t="n">
        <v>198200</v>
      </c>
      <c r="AJ183" s="22" t="n">
        <v>175600</v>
      </c>
      <c r="AK183" s="22" t="n">
        <v>165100</v>
      </c>
      <c r="AL183" s="22" t="n">
        <v>98300</v>
      </c>
      <c r="AM183" s="22" t="n">
        <v>77100</v>
      </c>
      <c r="AN183" s="22" t="n">
        <v>140600</v>
      </c>
      <c r="AO183" s="22" t="n">
        <v>174700</v>
      </c>
      <c r="AP183" s="22" t="n">
        <v>114000</v>
      </c>
      <c r="AQ183" s="22" t="n">
        <v>114300</v>
      </c>
      <c r="AR183" s="22" t="n">
        <v>122900</v>
      </c>
      <c r="AS183" s="22" t="n">
        <v>260100</v>
      </c>
      <c r="AT183" s="22" t="n">
        <v>195900</v>
      </c>
      <c r="AU183" s="22" t="n">
        <v>121800</v>
      </c>
      <c r="AV183" s="22" t="n">
        <v>140800</v>
      </c>
      <c r="AW183" s="22" t="n">
        <v>219000</v>
      </c>
      <c r="AX183" s="22" t="n">
        <v>188300</v>
      </c>
      <c r="AY183" s="22" t="n">
        <v>185500</v>
      </c>
      <c r="AZ183" s="22" t="n">
        <v>166600</v>
      </c>
      <c r="BA183" s="22" t="n">
        <v>125000</v>
      </c>
      <c r="BB183" s="22" t="n">
        <v>176800</v>
      </c>
      <c r="BC183" s="22" t="n">
        <v>539400</v>
      </c>
      <c r="BD183" s="22" t="n">
        <v>163100</v>
      </c>
      <c r="BE183" s="22" t="n">
        <v>181000</v>
      </c>
      <c r="BF183" s="22" t="n">
        <v>167200</v>
      </c>
      <c r="BG183" s="22" t="n">
        <v>95600</v>
      </c>
      <c r="BH183" s="22" t="n">
        <v>141400</v>
      </c>
      <c r="BI183" s="22" t="n">
        <v>153400</v>
      </c>
      <c r="BJ183" s="22" t="n">
        <v>241700</v>
      </c>
      <c r="BK183" s="22" t="n">
        <v>170000</v>
      </c>
      <c r="BL183" s="22" t="n">
        <v>147300</v>
      </c>
    </row>
    <row r="184" ht="15.95" customHeight="1" s="574">
      <c r="A184" s="416" t="inlineStr">
        <is>
          <t>9022</t>
        </is>
      </c>
      <c r="B184" s="49" t="inlineStr">
        <is>
          <t>東海旅客鉄道</t>
        </is>
      </c>
      <c r="C184" s="53">
        <f>_xll.RssMarket("9022","出来高")</f>
        <v/>
      </c>
      <c r="D184" s="661">
        <f>C184-E184</f>
        <v/>
      </c>
      <c r="E184" s="22" t="n">
        <v>2116300</v>
      </c>
      <c r="F184" s="22" t="n">
        <v>5672000</v>
      </c>
      <c r="G184" s="22" t="n">
        <v>3769400</v>
      </c>
      <c r="H184" s="22" t="n">
        <v>3410000</v>
      </c>
      <c r="I184" s="22" t="n">
        <v>4201800</v>
      </c>
      <c r="J184" s="22" t="n">
        <v>3929200</v>
      </c>
      <c r="K184" s="22" t="n">
        <v>3340700</v>
      </c>
      <c r="L184" s="22" t="n">
        <v>3640600</v>
      </c>
      <c r="M184" s="22" t="n">
        <v>3521100</v>
      </c>
      <c r="N184" s="22" t="n">
        <v>2342400</v>
      </c>
      <c r="O184" s="22" t="n">
        <v>2570600</v>
      </c>
      <c r="P184" s="22" t="n">
        <v>2842000</v>
      </c>
      <c r="Q184" s="22" t="n">
        <v>2876100</v>
      </c>
      <c r="R184" s="22" t="n">
        <v>5172400</v>
      </c>
      <c r="S184" s="22" t="n">
        <v>2430400</v>
      </c>
      <c r="T184" s="22" t="n">
        <v>2385200</v>
      </c>
      <c r="U184" s="22" t="n">
        <v>2264600</v>
      </c>
      <c r="V184" s="22" t="n">
        <v>2768700</v>
      </c>
      <c r="W184" s="22" t="n">
        <v>2349300</v>
      </c>
      <c r="X184" s="22" t="n">
        <v>2895400</v>
      </c>
      <c r="Y184" s="22" t="n">
        <v>2568200</v>
      </c>
      <c r="Z184" s="22" t="n">
        <v>2609100</v>
      </c>
      <c r="AA184" s="22" t="n">
        <v>3211200</v>
      </c>
      <c r="AB184" s="22" t="n">
        <v>2469100</v>
      </c>
      <c r="AC184" s="22" t="n">
        <v>2442600</v>
      </c>
      <c r="AD184" s="22" t="n">
        <v>2408300</v>
      </c>
      <c r="AE184" s="22" t="n">
        <v>3195300</v>
      </c>
      <c r="AF184" s="22" t="n">
        <v>3195300</v>
      </c>
      <c r="AG184" s="22" t="n">
        <v>3953200</v>
      </c>
      <c r="AH184" s="22" t="n">
        <v>4824200</v>
      </c>
      <c r="AI184" s="22" t="n">
        <v>5579600</v>
      </c>
      <c r="AJ184" s="22" t="n">
        <v>7976700</v>
      </c>
      <c r="AK184" s="22" t="n">
        <v>5280800</v>
      </c>
      <c r="AL184" s="22" t="n">
        <v>2248900</v>
      </c>
      <c r="AM184" s="22" t="n">
        <v>1967900</v>
      </c>
      <c r="AN184" s="22" t="n">
        <v>2725400</v>
      </c>
      <c r="AO184" s="22" t="n">
        <v>2063800</v>
      </c>
      <c r="AP184" s="22" t="n">
        <v>2349200</v>
      </c>
      <c r="AQ184" s="22" t="n">
        <v>1851300</v>
      </c>
      <c r="AR184" s="22" t="n">
        <v>2082300</v>
      </c>
      <c r="AS184" s="22" t="n">
        <v>2481900</v>
      </c>
      <c r="AT184" s="22" t="n">
        <v>3961900</v>
      </c>
      <c r="AU184" s="22" t="n">
        <v>2643700</v>
      </c>
      <c r="AV184" s="22" t="n">
        <v>1816700</v>
      </c>
      <c r="AW184" s="22" t="n">
        <v>2276300</v>
      </c>
      <c r="AX184" s="22" t="n">
        <v>3722700</v>
      </c>
      <c r="AY184" s="22" t="n">
        <v>3671000</v>
      </c>
      <c r="AZ184" s="22" t="n">
        <v>1596600</v>
      </c>
      <c r="BA184" s="22" t="n">
        <v>1281000</v>
      </c>
      <c r="BB184" s="22" t="n">
        <v>1661300</v>
      </c>
      <c r="BC184" s="22" t="n">
        <v>2214900</v>
      </c>
      <c r="BD184" s="22" t="n">
        <v>3024800</v>
      </c>
      <c r="BE184" s="22" t="n">
        <v>5753100</v>
      </c>
      <c r="BF184" s="22" t="n">
        <v>2516000</v>
      </c>
      <c r="BG184" s="22" t="n">
        <v>1714600</v>
      </c>
      <c r="BH184" s="22" t="n">
        <v>2827600</v>
      </c>
      <c r="BI184" s="22" t="n">
        <v>1896800</v>
      </c>
      <c r="BJ184" s="22" t="n">
        <v>2230200</v>
      </c>
      <c r="BK184" s="22" t="n">
        <v>2919900</v>
      </c>
      <c r="BL184" s="22" t="n">
        <v>1622200</v>
      </c>
    </row>
    <row r="185" ht="15.95" customHeight="1" s="574">
      <c r="A185" s="416" t="inlineStr">
        <is>
          <t>9536</t>
        </is>
      </c>
      <c r="B185" s="49" t="inlineStr">
        <is>
          <t>西部ガスＨＬＤＧＳ</t>
        </is>
      </c>
      <c r="C185" s="53">
        <f>_xll.RssMarket("9536","出来高")</f>
        <v/>
      </c>
      <c r="D185" s="661">
        <f>C185-E185</f>
        <v/>
      </c>
      <c r="E185" s="22" t="n">
        <v>77400</v>
      </c>
      <c r="F185" s="22" t="n">
        <v>96400</v>
      </c>
      <c r="G185" s="22" t="n">
        <v>59300</v>
      </c>
      <c r="H185" s="22" t="n">
        <v>55900</v>
      </c>
      <c r="I185" s="22" t="n">
        <v>62500</v>
      </c>
      <c r="J185" s="22" t="n">
        <v>77100</v>
      </c>
      <c r="K185" s="22" t="n">
        <v>56200</v>
      </c>
      <c r="L185" s="22" t="n">
        <v>68900</v>
      </c>
      <c r="M185" s="22" t="n">
        <v>73100</v>
      </c>
      <c r="N185" s="22" t="n">
        <v>56200</v>
      </c>
      <c r="O185" s="22" t="n">
        <v>67600</v>
      </c>
      <c r="P185" s="22" t="n">
        <v>71000</v>
      </c>
      <c r="Q185" s="22" t="n">
        <v>111600</v>
      </c>
      <c r="R185" s="22" t="n">
        <v>88700</v>
      </c>
      <c r="S185" s="22" t="n">
        <v>99600</v>
      </c>
      <c r="T185" s="22" t="n">
        <v>70500</v>
      </c>
      <c r="U185" s="22" t="n">
        <v>67700</v>
      </c>
      <c r="V185" s="22" t="n">
        <v>53800</v>
      </c>
      <c r="W185" s="22" t="n">
        <v>43500</v>
      </c>
      <c r="X185" s="22" t="n">
        <v>61700</v>
      </c>
      <c r="Y185" s="22" t="n">
        <v>60100</v>
      </c>
      <c r="Z185" s="22" t="n">
        <v>96400</v>
      </c>
      <c r="AA185" s="22" t="n">
        <v>41400</v>
      </c>
      <c r="AB185" s="22" t="n">
        <v>45300</v>
      </c>
      <c r="AC185" s="22" t="n">
        <v>58700</v>
      </c>
      <c r="AD185" s="22" t="n">
        <v>66700</v>
      </c>
      <c r="AE185" s="22" t="n">
        <v>79500</v>
      </c>
      <c r="AF185" s="22" t="n">
        <v>79500</v>
      </c>
      <c r="AG185" s="22" t="n">
        <v>85000</v>
      </c>
      <c r="AH185" s="22" t="n">
        <v>112400</v>
      </c>
      <c r="AI185" s="22" t="n">
        <v>183300</v>
      </c>
      <c r="AJ185" s="22" t="n">
        <v>311300</v>
      </c>
      <c r="AK185" s="22" t="n">
        <v>64400</v>
      </c>
      <c r="AL185" s="22" t="n">
        <v>59400</v>
      </c>
      <c r="AM185" s="22" t="n">
        <v>44600</v>
      </c>
      <c r="AN185" s="22" t="n">
        <v>64100</v>
      </c>
      <c r="AO185" s="22" t="n">
        <v>66000</v>
      </c>
      <c r="AP185" s="22" t="n">
        <v>69100</v>
      </c>
      <c r="AQ185" s="22" t="n">
        <v>61300</v>
      </c>
      <c r="AR185" s="22" t="n">
        <v>41900</v>
      </c>
      <c r="AS185" s="22" t="n">
        <v>49500</v>
      </c>
      <c r="AT185" s="22" t="n">
        <v>53500</v>
      </c>
      <c r="AU185" s="22" t="n">
        <v>44400</v>
      </c>
      <c r="AV185" s="22" t="n">
        <v>63000</v>
      </c>
      <c r="AW185" s="22" t="n">
        <v>74100</v>
      </c>
      <c r="AX185" s="22" t="n">
        <v>61600</v>
      </c>
      <c r="AY185" s="22" t="n">
        <v>82500</v>
      </c>
      <c r="AZ185" s="22" t="n">
        <v>42500</v>
      </c>
      <c r="BA185" s="22" t="n">
        <v>50800</v>
      </c>
      <c r="BB185" s="22" t="n">
        <v>34400</v>
      </c>
      <c r="BC185" s="22" t="n">
        <v>84600</v>
      </c>
      <c r="BD185" s="22" t="n">
        <v>61600</v>
      </c>
      <c r="BE185" s="22" t="n">
        <v>344500</v>
      </c>
      <c r="BF185" s="22" t="n">
        <v>401500</v>
      </c>
      <c r="BG185" s="22" t="n">
        <v>113100</v>
      </c>
      <c r="BH185" s="22" t="n">
        <v>109100</v>
      </c>
      <c r="BI185" s="22" t="n">
        <v>151000</v>
      </c>
      <c r="BJ185" s="22" t="n">
        <v>226900</v>
      </c>
      <c r="BK185" s="22" t="n">
        <v>181300</v>
      </c>
      <c r="BL185" s="22" t="n">
        <v>136900</v>
      </c>
    </row>
    <row r="186" ht="15.95" customHeight="1" s="574">
      <c r="A186" s="416" t="inlineStr">
        <is>
          <t>9506</t>
        </is>
      </c>
      <c r="B186" s="49" t="inlineStr">
        <is>
          <t>東北電力</t>
        </is>
      </c>
      <c r="C186" s="53">
        <f>_xll.RssMarket("9506","出来高")</f>
        <v/>
      </c>
      <c r="D186" s="661">
        <f>C186-E186</f>
        <v/>
      </c>
      <c r="E186" s="22" t="n">
        <v>1663900</v>
      </c>
      <c r="F186" s="22" t="n">
        <v>1762900</v>
      </c>
      <c r="G186" s="22" t="n">
        <v>1393500</v>
      </c>
      <c r="H186" s="22" t="n">
        <v>1967700</v>
      </c>
      <c r="I186" s="22" t="n">
        <v>1926100</v>
      </c>
      <c r="J186" s="22" t="n">
        <v>2277600</v>
      </c>
      <c r="K186" s="22" t="n">
        <v>2742000</v>
      </c>
      <c r="L186" s="22" t="n">
        <v>1721000</v>
      </c>
      <c r="M186" s="22" t="n">
        <v>2547900</v>
      </c>
      <c r="N186" s="22" t="n">
        <v>1860900</v>
      </c>
      <c r="O186" s="22" t="n">
        <v>2763700</v>
      </c>
      <c r="P186" s="22" t="n">
        <v>2761800</v>
      </c>
      <c r="Q186" s="22" t="n">
        <v>2757600</v>
      </c>
      <c r="R186" s="22" t="n">
        <v>6022300</v>
      </c>
      <c r="S186" s="22" t="n">
        <v>3141000</v>
      </c>
      <c r="T186" s="22" t="n">
        <v>3922300</v>
      </c>
      <c r="U186" s="22" t="n">
        <v>2098600</v>
      </c>
      <c r="V186" s="22" t="n">
        <v>2775300</v>
      </c>
      <c r="W186" s="22" t="n">
        <v>2738300</v>
      </c>
      <c r="X186" s="22" t="n">
        <v>2807400</v>
      </c>
      <c r="Y186" s="22" t="n">
        <v>1942700</v>
      </c>
      <c r="Z186" s="22" t="n">
        <v>2835400</v>
      </c>
      <c r="AA186" s="22" t="n">
        <v>2067300</v>
      </c>
      <c r="AB186" s="22" t="n">
        <v>1797900</v>
      </c>
      <c r="AC186" s="22" t="n">
        <v>2202200</v>
      </c>
      <c r="AD186" s="22" t="n">
        <v>1681900</v>
      </c>
      <c r="AE186" s="22" t="n">
        <v>3031000</v>
      </c>
      <c r="AF186" s="22" t="n">
        <v>3031000</v>
      </c>
      <c r="AG186" s="22" t="n">
        <v>3157800</v>
      </c>
      <c r="AH186" s="22" t="n">
        <v>4570100</v>
      </c>
      <c r="AI186" s="22" t="n">
        <v>5321900</v>
      </c>
      <c r="AJ186" s="22" t="n">
        <v>4600700</v>
      </c>
      <c r="AK186" s="22" t="n">
        <v>2428600</v>
      </c>
      <c r="AL186" s="22" t="n">
        <v>1406900</v>
      </c>
      <c r="AM186" s="22" t="n">
        <v>1505400</v>
      </c>
      <c r="AN186" s="22" t="n">
        <v>1706800</v>
      </c>
      <c r="AO186" s="22" t="n">
        <v>1772400</v>
      </c>
      <c r="AP186" s="22" t="n">
        <v>2511800</v>
      </c>
      <c r="AQ186" s="22" t="n">
        <v>2524400</v>
      </c>
      <c r="AR186" s="22" t="n">
        <v>1683300</v>
      </c>
      <c r="AS186" s="22" t="n">
        <v>1406600</v>
      </c>
      <c r="AT186" s="22" t="n">
        <v>1844300</v>
      </c>
      <c r="AU186" s="22" t="n">
        <v>2277300</v>
      </c>
      <c r="AV186" s="22" t="n">
        <v>2823100</v>
      </c>
      <c r="AW186" s="22" t="n">
        <v>1871900</v>
      </c>
      <c r="AX186" s="22" t="n">
        <v>2322600</v>
      </c>
      <c r="AY186" s="22" t="n">
        <v>3384800</v>
      </c>
      <c r="AZ186" s="22" t="n">
        <v>1601700</v>
      </c>
      <c r="BA186" s="22" t="n">
        <v>1964600</v>
      </c>
      <c r="BB186" s="22" t="n">
        <v>1827100</v>
      </c>
      <c r="BC186" s="22" t="n">
        <v>2436400</v>
      </c>
      <c r="BD186" s="22" t="n">
        <v>3714800</v>
      </c>
      <c r="BE186" s="22" t="n">
        <v>3014500</v>
      </c>
      <c r="BF186" s="22" t="n">
        <v>3305900</v>
      </c>
      <c r="BG186" s="22" t="n">
        <v>3407200</v>
      </c>
      <c r="BH186" s="22" t="n">
        <v>2547100</v>
      </c>
      <c r="BI186" s="22" t="n">
        <v>2552800</v>
      </c>
      <c r="BJ186" s="22" t="n">
        <v>3511900</v>
      </c>
      <c r="BK186" s="22" t="n">
        <v>2958800</v>
      </c>
      <c r="BL186" s="22" t="n">
        <v>1896700</v>
      </c>
    </row>
    <row r="187" ht="15.95" customHeight="1" s="574">
      <c r="A187" s="416" t="inlineStr">
        <is>
          <t>2127</t>
        </is>
      </c>
      <c r="B187" s="49" t="inlineStr">
        <is>
          <t>日本Ｍ＆Ａセンターホールデ</t>
        </is>
      </c>
      <c r="C187" s="53">
        <f>_xll.RssMarket("2127","出来高")</f>
        <v/>
      </c>
      <c r="D187" s="661">
        <f>C187-E187</f>
        <v/>
      </c>
      <c r="E187" s="22" t="n">
        <v>1629900</v>
      </c>
      <c r="F187" s="22" t="n">
        <v>2094300</v>
      </c>
      <c r="G187" s="22" t="n">
        <v>1766400</v>
      </c>
      <c r="H187" s="22" t="n">
        <v>1269200</v>
      </c>
      <c r="I187" s="22" t="n">
        <v>1153100</v>
      </c>
      <c r="J187" s="22" t="n">
        <v>1965600</v>
      </c>
      <c r="K187" s="22" t="n">
        <v>1298900</v>
      </c>
      <c r="L187" s="22" t="n">
        <v>1527700</v>
      </c>
      <c r="M187" s="22" t="n">
        <v>1386600</v>
      </c>
      <c r="N187" s="22" t="n">
        <v>1599000</v>
      </c>
      <c r="O187" s="22" t="n">
        <v>1686900</v>
      </c>
      <c r="P187" s="22" t="n">
        <v>1802800</v>
      </c>
      <c r="Q187" s="22" t="n">
        <v>1659800</v>
      </c>
      <c r="R187" s="22" t="n">
        <v>1496400</v>
      </c>
      <c r="S187" s="22" t="n">
        <v>2011200</v>
      </c>
      <c r="T187" s="22" t="n">
        <v>2472200</v>
      </c>
      <c r="U187" s="22" t="n">
        <v>1361300</v>
      </c>
      <c r="V187" s="22" t="n">
        <v>1227400</v>
      </c>
      <c r="W187" s="22" t="n">
        <v>1292200</v>
      </c>
      <c r="X187" s="22" t="n">
        <v>1998300</v>
      </c>
      <c r="Y187" s="22" t="n">
        <v>1661400</v>
      </c>
      <c r="Z187" s="22" t="n">
        <v>1625600</v>
      </c>
      <c r="AA187" s="22" t="n">
        <v>1420700</v>
      </c>
      <c r="AB187" s="22" t="n">
        <v>1645400</v>
      </c>
      <c r="AC187" s="22" t="n">
        <v>1222100</v>
      </c>
      <c r="AD187" s="22" t="n">
        <v>1989600</v>
      </c>
      <c r="AE187" s="22" t="n">
        <v>1906700</v>
      </c>
      <c r="AF187" s="22" t="n">
        <v>1906700</v>
      </c>
      <c r="AG187" s="22" t="n">
        <v>2950000</v>
      </c>
      <c r="AH187" s="22" t="n">
        <v>5176300</v>
      </c>
      <c r="AI187" s="22" t="n">
        <v>4926900</v>
      </c>
      <c r="AJ187" s="22" t="n">
        <v>3770800</v>
      </c>
      <c r="AK187" s="22" t="n">
        <v>2614600</v>
      </c>
      <c r="AL187" s="22" t="n">
        <v>1776000</v>
      </c>
      <c r="AM187" s="22" t="n">
        <v>2430000</v>
      </c>
      <c r="AN187" s="22" t="n">
        <v>2039000</v>
      </c>
      <c r="AO187" s="22" t="n">
        <v>1680900</v>
      </c>
      <c r="AP187" s="22" t="n">
        <v>2328800</v>
      </c>
      <c r="AQ187" s="22" t="n">
        <v>1519500</v>
      </c>
      <c r="AR187" s="22" t="n">
        <v>1577200</v>
      </c>
      <c r="AS187" s="22" t="n">
        <v>1950300</v>
      </c>
      <c r="AT187" s="22" t="n">
        <v>1380400</v>
      </c>
      <c r="AU187" s="22" t="n">
        <v>945900</v>
      </c>
      <c r="AV187" s="22" t="n">
        <v>1537200</v>
      </c>
      <c r="AW187" s="22" t="n">
        <v>1646500</v>
      </c>
      <c r="AX187" s="22" t="n">
        <v>1629100</v>
      </c>
      <c r="AY187" s="22" t="n">
        <v>2099600</v>
      </c>
      <c r="AZ187" s="22" t="n">
        <v>1681900</v>
      </c>
      <c r="BA187" s="22" t="n">
        <v>1168500</v>
      </c>
      <c r="BB187" s="22" t="n">
        <v>1153200</v>
      </c>
      <c r="BC187" s="22" t="n">
        <v>1852600</v>
      </c>
      <c r="BD187" s="22" t="n">
        <v>1927700</v>
      </c>
      <c r="BE187" s="22" t="n">
        <v>2344100</v>
      </c>
      <c r="BF187" s="22" t="n">
        <v>2378000</v>
      </c>
      <c r="BG187" s="22" t="n">
        <v>2214400</v>
      </c>
      <c r="BH187" s="22" t="n">
        <v>1934600</v>
      </c>
      <c r="BI187" s="22" t="n">
        <v>2527400</v>
      </c>
      <c r="BJ187" s="22" t="n">
        <v>3161500</v>
      </c>
      <c r="BK187" s="22" t="n">
        <v>5813200</v>
      </c>
      <c r="BL187" s="22" t="n">
        <v>1922400</v>
      </c>
    </row>
    <row r="188" ht="15.95" customHeight="1" s="574">
      <c r="A188" s="416" t="inlineStr">
        <is>
          <t>6753</t>
        </is>
      </c>
      <c r="B188" s="49" t="inlineStr">
        <is>
          <t>シャープ</t>
        </is>
      </c>
      <c r="C188" s="53">
        <f>_xll.RssMarket("6753","出来高")</f>
        <v/>
      </c>
      <c r="D188" s="661">
        <f>C188-E188</f>
        <v/>
      </c>
      <c r="E188" s="22" t="n">
        <v>3363900</v>
      </c>
      <c r="F188" s="22" t="n">
        <v>5709500</v>
      </c>
      <c r="G188" s="22" t="n">
        <v>2829200</v>
      </c>
      <c r="H188" s="22" t="n">
        <v>2353100</v>
      </c>
      <c r="I188" s="22" t="n">
        <v>3151400</v>
      </c>
      <c r="J188" s="22" t="n">
        <v>3103900</v>
      </c>
      <c r="K188" s="22" t="n">
        <v>3530400</v>
      </c>
      <c r="L188" s="22" t="n">
        <v>4039500</v>
      </c>
      <c r="M188" s="22" t="n">
        <v>4816400</v>
      </c>
      <c r="N188" s="22" t="n">
        <v>3247900</v>
      </c>
      <c r="O188" s="22" t="n">
        <v>3776300</v>
      </c>
      <c r="P188" s="22" t="n">
        <v>4830400</v>
      </c>
      <c r="Q188" s="22" t="n">
        <v>5366700</v>
      </c>
      <c r="R188" s="22" t="n">
        <v>4595800</v>
      </c>
      <c r="S188" s="22" t="n">
        <v>3081600</v>
      </c>
      <c r="T188" s="22" t="n">
        <v>4278300</v>
      </c>
      <c r="U188" s="22" t="n">
        <v>4749400</v>
      </c>
      <c r="V188" s="22" t="n">
        <v>6306800</v>
      </c>
      <c r="W188" s="22" t="n">
        <v>3614800</v>
      </c>
      <c r="X188" s="22" t="n">
        <v>4040300</v>
      </c>
      <c r="Y188" s="22" t="n">
        <v>6038400</v>
      </c>
      <c r="Z188" s="22" t="n">
        <v>5034400</v>
      </c>
      <c r="AA188" s="22" t="n">
        <v>5889300</v>
      </c>
      <c r="AB188" s="22" t="n">
        <v>5881100</v>
      </c>
      <c r="AC188" s="22" t="n">
        <v>10113200</v>
      </c>
      <c r="AD188" s="22" t="n">
        <v>5895900</v>
      </c>
      <c r="AE188" s="22" t="n">
        <v>4612500</v>
      </c>
      <c r="AF188" s="22" t="n">
        <v>4612500</v>
      </c>
      <c r="AG188" s="22" t="n">
        <v>5707400</v>
      </c>
      <c r="AH188" s="22" t="n">
        <v>7741400</v>
      </c>
      <c r="AI188" s="22" t="n">
        <v>3565100</v>
      </c>
      <c r="AJ188" s="22" t="n">
        <v>2632800</v>
      </c>
      <c r="AK188" s="22" t="n">
        <v>2650300</v>
      </c>
      <c r="AL188" s="22" t="n">
        <v>5150100</v>
      </c>
      <c r="AM188" s="22" t="n">
        <v>5950000</v>
      </c>
      <c r="AN188" s="22" t="n">
        <v>2865800</v>
      </c>
      <c r="AO188" s="22" t="n">
        <v>1688700</v>
      </c>
      <c r="AP188" s="22" t="n">
        <v>2007300</v>
      </c>
      <c r="AQ188" s="22" t="n">
        <v>1775400</v>
      </c>
      <c r="AR188" s="22" t="n">
        <v>3268300</v>
      </c>
      <c r="AS188" s="22" t="n">
        <v>3007600</v>
      </c>
      <c r="AT188" s="22" t="n">
        <v>2633200</v>
      </c>
      <c r="AU188" s="22" t="n">
        <v>2979200</v>
      </c>
      <c r="AV188" s="22" t="n">
        <v>2646600</v>
      </c>
      <c r="AW188" s="22" t="n">
        <v>2670300</v>
      </c>
      <c r="AX188" s="22" t="n">
        <v>3584200</v>
      </c>
      <c r="AY188" s="22" t="n">
        <v>3958600</v>
      </c>
      <c r="AZ188" s="22" t="n">
        <v>2885200</v>
      </c>
      <c r="BA188" s="22" t="n">
        <v>5745000</v>
      </c>
      <c r="BB188" s="22" t="n">
        <v>5337200</v>
      </c>
      <c r="BC188" s="22" t="n">
        <v>2538500</v>
      </c>
      <c r="BD188" s="22" t="n">
        <v>3415000</v>
      </c>
      <c r="BE188" s="22" t="n">
        <v>2324700</v>
      </c>
      <c r="BF188" s="22" t="n">
        <v>2121900</v>
      </c>
      <c r="BG188" s="22" t="n">
        <v>2860600</v>
      </c>
      <c r="BH188" s="22" t="n">
        <v>2633200</v>
      </c>
      <c r="BI188" s="22" t="n">
        <v>2698500</v>
      </c>
      <c r="BJ188" s="22" t="n">
        <v>3850300</v>
      </c>
      <c r="BK188" s="22" t="n">
        <v>3873300</v>
      </c>
      <c r="BL188" s="22" t="n">
        <v>2170300</v>
      </c>
    </row>
    <row r="189" ht="15.95" customHeight="1" s="574">
      <c r="A189" s="416" t="inlineStr">
        <is>
          <t>9064</t>
        </is>
      </c>
      <c r="B189" s="49">
        <f>銘柄管理!C189</f>
        <v/>
      </c>
      <c r="C189" s="53">
        <f>_xll.RssMarket("9064","出来高")</f>
        <v/>
      </c>
      <c r="D189" s="661">
        <f>C189-E189</f>
        <v/>
      </c>
      <c r="E189" s="22" t="n">
        <v>841800</v>
      </c>
      <c r="F189" s="22" t="n">
        <v>2128900</v>
      </c>
      <c r="G189" s="22" t="n">
        <v>988300</v>
      </c>
      <c r="H189" s="22" t="n">
        <v>830300</v>
      </c>
      <c r="I189" s="22" t="n">
        <v>1237400</v>
      </c>
      <c r="J189" s="22" t="n">
        <v>1338400</v>
      </c>
      <c r="K189" s="22" t="n">
        <v>1193100</v>
      </c>
      <c r="L189" s="22" t="n">
        <v>1015500</v>
      </c>
      <c r="M189" s="22" t="n">
        <v>1136900</v>
      </c>
      <c r="N189" s="22" t="n">
        <v>811200</v>
      </c>
      <c r="O189" s="22" t="n">
        <v>704500</v>
      </c>
      <c r="P189" s="22" t="n">
        <v>1110800</v>
      </c>
      <c r="Q189" s="22" t="n">
        <v>1229400</v>
      </c>
      <c r="R189" s="22" t="n">
        <v>2201000</v>
      </c>
      <c r="S189" s="22" t="n">
        <v>825300</v>
      </c>
      <c r="T189" s="22" t="n">
        <v>1015700</v>
      </c>
      <c r="U189" s="22" t="n">
        <v>1580000</v>
      </c>
      <c r="V189" s="22" t="n">
        <v>841100</v>
      </c>
      <c r="W189" s="22" t="n">
        <v>1391400</v>
      </c>
      <c r="X189" s="22" t="n">
        <v>985200</v>
      </c>
      <c r="Y189" s="22" t="n">
        <v>1231800</v>
      </c>
      <c r="Z189" s="22" t="n">
        <v>940700</v>
      </c>
      <c r="AA189" s="22" t="n">
        <v>1469800</v>
      </c>
      <c r="AB189" s="22" t="n">
        <v>954000</v>
      </c>
      <c r="AC189" s="22" t="n">
        <v>914400</v>
      </c>
      <c r="AD189" s="22" t="n">
        <v>1104800</v>
      </c>
      <c r="AE189" s="22" t="n">
        <v>2066200</v>
      </c>
      <c r="AF189" s="22" t="n">
        <v>2066200</v>
      </c>
      <c r="AG189" s="22" t="n">
        <v>1682800</v>
      </c>
      <c r="AH189" s="22" t="n">
        <v>2173800</v>
      </c>
      <c r="AI189" s="22" t="n">
        <v>1378800</v>
      </c>
      <c r="AJ189" s="22" t="n">
        <v>1664900</v>
      </c>
      <c r="AK189" s="22" t="n">
        <v>1226400</v>
      </c>
      <c r="AL189" s="22" t="n">
        <v>1562800</v>
      </c>
      <c r="AM189" s="22" t="n">
        <v>931700</v>
      </c>
      <c r="AN189" s="22" t="n">
        <v>1059600</v>
      </c>
      <c r="AO189" s="22" t="n">
        <v>653200</v>
      </c>
      <c r="AP189" s="22" t="n">
        <v>713000</v>
      </c>
      <c r="AQ189" s="22" t="n">
        <v>1070300</v>
      </c>
      <c r="AR189" s="22" t="n">
        <v>892800</v>
      </c>
      <c r="AS189" s="22" t="n">
        <v>1314800</v>
      </c>
      <c r="AT189" s="22" t="n">
        <v>1145900</v>
      </c>
      <c r="AU189" s="22" t="n">
        <v>954800</v>
      </c>
      <c r="AV189" s="22" t="n">
        <v>1367000</v>
      </c>
      <c r="AW189" s="22" t="n">
        <v>1269500</v>
      </c>
      <c r="AX189" s="22" t="n">
        <v>1318300</v>
      </c>
      <c r="AY189" s="22" t="n">
        <v>1771500</v>
      </c>
      <c r="AZ189" s="22" t="n">
        <v>1071200</v>
      </c>
      <c r="BA189" s="22" t="n">
        <v>801000</v>
      </c>
      <c r="BB189" s="22" t="n">
        <v>1273000</v>
      </c>
      <c r="BC189" s="22" t="n">
        <v>1149800</v>
      </c>
      <c r="BD189" s="22" t="n">
        <v>1422900</v>
      </c>
      <c r="BE189" s="22" t="n">
        <v>1533000</v>
      </c>
      <c r="BF189" s="22" t="n">
        <v>1367900</v>
      </c>
      <c r="BG189" s="22" t="n">
        <v>999200</v>
      </c>
      <c r="BH189" s="22" t="n">
        <v>2098500</v>
      </c>
      <c r="BI189" s="22" t="n">
        <v>1045100</v>
      </c>
      <c r="BJ189" s="22" t="n">
        <v>1779500</v>
      </c>
      <c r="BK189" s="22" t="n">
        <v>2012400</v>
      </c>
      <c r="BL189" s="22" t="n">
        <v>907100</v>
      </c>
    </row>
    <row r="190" ht="15.95" customHeight="1" s="574">
      <c r="A190" s="416" t="inlineStr">
        <is>
          <t>7181</t>
        </is>
      </c>
      <c r="B190" s="49" t="inlineStr">
        <is>
          <t>かんぽ生命保険</t>
        </is>
      </c>
      <c r="C190" s="53">
        <f>_xll.RssMarket("7181","出来高")</f>
        <v/>
      </c>
      <c r="D190" s="661">
        <f>C190-E190</f>
        <v/>
      </c>
      <c r="E190" s="22" t="n">
        <v>1842700</v>
      </c>
      <c r="F190" s="22" t="n">
        <v>2366200</v>
      </c>
      <c r="G190" s="22" t="n">
        <v>1937900</v>
      </c>
      <c r="H190" s="22" t="n">
        <v>1669300</v>
      </c>
      <c r="I190" s="22" t="n">
        <v>1595600</v>
      </c>
      <c r="J190" s="22" t="n">
        <v>3388500</v>
      </c>
      <c r="K190" s="22" t="n">
        <v>2324000</v>
      </c>
      <c r="L190" s="22" t="n">
        <v>4057700</v>
      </c>
      <c r="M190" s="22" t="n">
        <v>2788700</v>
      </c>
      <c r="N190" s="22" t="n">
        <v>2638600</v>
      </c>
      <c r="O190" s="22" t="n">
        <v>1908600</v>
      </c>
      <c r="P190" s="22" t="n">
        <v>3246600</v>
      </c>
      <c r="Q190" s="22" t="n">
        <v>2243900</v>
      </c>
      <c r="R190" s="22" t="n">
        <v>6682400</v>
      </c>
      <c r="S190" s="22" t="n">
        <v>3211400</v>
      </c>
      <c r="T190" s="22" t="n">
        <v>2426500</v>
      </c>
      <c r="U190" s="22" t="n">
        <v>2491400</v>
      </c>
      <c r="V190" s="22" t="n">
        <v>2381800</v>
      </c>
      <c r="W190" s="22" t="n">
        <v>2416500</v>
      </c>
      <c r="X190" s="22" t="n">
        <v>3038800</v>
      </c>
      <c r="Y190" s="22" t="n">
        <v>3973700</v>
      </c>
      <c r="Z190" s="22" t="n">
        <v>6689000</v>
      </c>
      <c r="AA190" s="22" t="n">
        <v>3197800</v>
      </c>
      <c r="AB190" s="22" t="n">
        <v>1451800</v>
      </c>
      <c r="AC190" s="22" t="n">
        <v>2506300</v>
      </c>
      <c r="AD190" s="22" t="n">
        <v>1467900</v>
      </c>
      <c r="AE190" s="22" t="n">
        <v>1692900</v>
      </c>
      <c r="AF190" s="22" t="n">
        <v>1692900</v>
      </c>
      <c r="AG190" s="22" t="n">
        <v>2248300</v>
      </c>
      <c r="AH190" s="22" t="n">
        <v>2658100</v>
      </c>
      <c r="AI190" s="22" t="n">
        <v>1966200</v>
      </c>
      <c r="AJ190" s="22" t="n">
        <v>2438600</v>
      </c>
      <c r="AK190" s="22" t="n">
        <v>2206100</v>
      </c>
      <c r="AL190" s="22" t="n">
        <v>1582000</v>
      </c>
      <c r="AM190" s="22" t="n">
        <v>1562300</v>
      </c>
      <c r="AN190" s="22" t="n">
        <v>2535100</v>
      </c>
      <c r="AO190" s="22" t="n">
        <v>2303300</v>
      </c>
      <c r="AP190" s="22" t="n">
        <v>2341600</v>
      </c>
      <c r="AQ190" s="22" t="n">
        <v>1268700</v>
      </c>
      <c r="AR190" s="22" t="n">
        <v>2388400</v>
      </c>
      <c r="AS190" s="22" t="n">
        <v>2005300</v>
      </c>
      <c r="AT190" s="22" t="n">
        <v>2605700</v>
      </c>
      <c r="AU190" s="22" t="n">
        <v>2380300</v>
      </c>
      <c r="AV190" s="22" t="n">
        <v>1427800</v>
      </c>
      <c r="AW190" s="22" t="n">
        <v>1846300</v>
      </c>
      <c r="AX190" s="22" t="n">
        <v>2056500</v>
      </c>
      <c r="AY190" s="22" t="n">
        <v>2197000</v>
      </c>
      <c r="AZ190" s="22" t="n">
        <v>1798300</v>
      </c>
      <c r="BA190" s="22" t="n">
        <v>2097800</v>
      </c>
      <c r="BB190" s="22" t="n">
        <v>1850500</v>
      </c>
      <c r="BC190" s="22" t="n">
        <v>2258700</v>
      </c>
      <c r="BD190" s="22" t="n">
        <v>2996600</v>
      </c>
      <c r="BE190" s="22" t="n">
        <v>2249000</v>
      </c>
      <c r="BF190" s="22" t="n">
        <v>1074600</v>
      </c>
      <c r="BG190" s="22" t="n">
        <v>783400</v>
      </c>
      <c r="BH190" s="22" t="n">
        <v>838300</v>
      </c>
      <c r="BI190" s="22" t="n">
        <v>603900</v>
      </c>
      <c r="BJ190" s="22" t="n">
        <v>1106200</v>
      </c>
      <c r="BK190" s="22" t="n">
        <v>1153500</v>
      </c>
      <c r="BL190" s="22" t="n">
        <v>770800</v>
      </c>
    </row>
    <row r="191" ht="15.95" customHeight="1" s="574">
      <c r="A191" s="416" t="inlineStr">
        <is>
          <t>6485</t>
        </is>
      </c>
      <c r="B191" s="49">
        <f>銘柄管理!C191</f>
        <v/>
      </c>
      <c r="C191" s="53">
        <f>_xll.RssMarket("6485","出来高")</f>
        <v/>
      </c>
      <c r="D191" s="661">
        <f>C191-E191</f>
        <v/>
      </c>
      <c r="E191" s="22" t="n">
        <v>27500</v>
      </c>
      <c r="F191" s="22" t="n">
        <v>60700</v>
      </c>
      <c r="G191" s="22" t="n">
        <v>23200</v>
      </c>
      <c r="H191" s="22" t="n">
        <v>17700</v>
      </c>
      <c r="I191" s="22" t="n">
        <v>13900</v>
      </c>
      <c r="J191" s="22" t="n">
        <v>23400</v>
      </c>
      <c r="K191" s="22" t="n">
        <v>15300</v>
      </c>
      <c r="L191" s="22" t="n">
        <v>25800</v>
      </c>
      <c r="M191" s="22" t="n">
        <v>27400</v>
      </c>
      <c r="N191" s="22" t="n">
        <v>11400</v>
      </c>
      <c r="O191" s="22" t="n">
        <v>17500</v>
      </c>
      <c r="P191" s="22" t="n">
        <v>19300</v>
      </c>
      <c r="Q191" s="22" t="n">
        <v>47300</v>
      </c>
      <c r="R191" s="22" t="n">
        <v>15500</v>
      </c>
      <c r="S191" s="22" t="n">
        <v>21800</v>
      </c>
      <c r="T191" s="22" t="n">
        <v>21300</v>
      </c>
      <c r="U191" s="22" t="n">
        <v>24400</v>
      </c>
      <c r="V191" s="22" t="n">
        <v>17100</v>
      </c>
      <c r="W191" s="22" t="n">
        <v>27400</v>
      </c>
      <c r="X191" s="22" t="n">
        <v>38600</v>
      </c>
      <c r="Y191" s="22" t="n">
        <v>21500</v>
      </c>
      <c r="Z191" s="22" t="n">
        <v>31500</v>
      </c>
      <c r="AA191" s="22" t="n">
        <v>12800</v>
      </c>
      <c r="AB191" s="22" t="n">
        <v>48000</v>
      </c>
      <c r="AC191" s="22" t="n">
        <v>29400</v>
      </c>
      <c r="AD191" s="22" t="n">
        <v>9400</v>
      </c>
      <c r="AE191" s="22" t="n">
        <v>16500</v>
      </c>
      <c r="AF191" s="22" t="n">
        <v>16500</v>
      </c>
      <c r="AG191" s="22" t="n">
        <v>20700</v>
      </c>
      <c r="AH191" s="22" t="n">
        <v>18000</v>
      </c>
      <c r="AI191" s="22" t="n">
        <v>17300</v>
      </c>
      <c r="AJ191" s="22" t="n">
        <v>37400</v>
      </c>
      <c r="AK191" s="22" t="n">
        <v>25900</v>
      </c>
      <c r="AL191" s="22" t="n">
        <v>39800</v>
      </c>
      <c r="AM191" s="22" t="n">
        <v>31900</v>
      </c>
      <c r="AN191" s="22" t="n">
        <v>28700</v>
      </c>
      <c r="AO191" s="22" t="n">
        <v>30100</v>
      </c>
      <c r="AP191" s="22" t="n">
        <v>14600</v>
      </c>
      <c r="AQ191" s="22" t="n">
        <v>18000</v>
      </c>
      <c r="AR191" s="22" t="n">
        <v>15400</v>
      </c>
      <c r="AS191" s="22" t="n">
        <v>14400</v>
      </c>
      <c r="AT191" s="22" t="n">
        <v>25600</v>
      </c>
      <c r="AU191" s="22" t="n">
        <v>16900</v>
      </c>
      <c r="AV191" s="22" t="n">
        <v>22200</v>
      </c>
      <c r="AW191" s="22" t="n">
        <v>14800</v>
      </c>
      <c r="AX191" s="22" t="n">
        <v>16300</v>
      </c>
      <c r="AY191" s="22" t="n">
        <v>23000</v>
      </c>
      <c r="AZ191" s="22" t="n">
        <v>12100</v>
      </c>
      <c r="BA191" s="22" t="n">
        <v>13300</v>
      </c>
      <c r="BB191" s="22" t="n">
        <v>8000</v>
      </c>
      <c r="BC191" s="22" t="n">
        <v>25600</v>
      </c>
      <c r="BD191" s="22" t="n">
        <v>23500</v>
      </c>
      <c r="BE191" s="22" t="n">
        <v>79900</v>
      </c>
      <c r="BF191" s="22" t="n">
        <v>91700</v>
      </c>
      <c r="BG191" s="22" t="n">
        <v>38700</v>
      </c>
      <c r="BH191" s="22" t="n">
        <v>36700</v>
      </c>
      <c r="BI191" s="22" t="n">
        <v>44300</v>
      </c>
      <c r="BJ191" s="22" t="n">
        <v>73500</v>
      </c>
      <c r="BK191" s="22" t="n">
        <v>61800</v>
      </c>
      <c r="BL191" s="22" t="n">
        <v>33300</v>
      </c>
    </row>
    <row r="192" ht="15.95" customHeight="1" s="574">
      <c r="A192" s="416" t="inlineStr">
        <is>
          <t>4887</t>
        </is>
      </c>
      <c r="B192" s="49" t="inlineStr">
        <is>
          <t>サワイグループＨＤ</t>
        </is>
      </c>
      <c r="C192" s="53">
        <f>_xll.RssMarket("4887","出来高")</f>
        <v/>
      </c>
      <c r="D192" s="661">
        <f>C192-E192</f>
        <v/>
      </c>
      <c r="E192" s="22" t="n">
        <v>608000</v>
      </c>
      <c r="F192" s="22" t="n">
        <v>1124400</v>
      </c>
      <c r="G192" s="22" t="n">
        <v>785000</v>
      </c>
      <c r="H192" s="22" t="n">
        <v>653900</v>
      </c>
      <c r="I192" s="22" t="n">
        <v>644200</v>
      </c>
      <c r="J192" s="22" t="n">
        <v>450900</v>
      </c>
      <c r="K192" s="22" t="n">
        <v>346200</v>
      </c>
      <c r="L192" s="22" t="n">
        <v>302100</v>
      </c>
      <c r="M192" s="22" t="n">
        <v>501700</v>
      </c>
      <c r="N192" s="22" t="n">
        <v>406500</v>
      </c>
      <c r="O192" s="22" t="n">
        <v>476100</v>
      </c>
      <c r="P192" s="22" t="n">
        <v>574300</v>
      </c>
      <c r="Q192" s="22" t="n">
        <v>444500</v>
      </c>
      <c r="R192" s="22" t="n">
        <v>569500</v>
      </c>
      <c r="S192" s="22" t="n">
        <v>613900</v>
      </c>
      <c r="T192" s="22" t="n">
        <v>499300</v>
      </c>
      <c r="U192" s="22" t="n">
        <v>705800</v>
      </c>
      <c r="V192" s="22" t="n">
        <v>556600</v>
      </c>
      <c r="W192" s="22" t="n">
        <v>466700</v>
      </c>
      <c r="X192" s="22" t="n">
        <v>579000</v>
      </c>
      <c r="Y192" s="22" t="n">
        <v>1102400</v>
      </c>
      <c r="Z192" s="22" t="n">
        <v>2362900</v>
      </c>
      <c r="AA192" s="22" t="n">
        <v>908000</v>
      </c>
      <c r="AB192" s="22" t="n">
        <v>257900</v>
      </c>
      <c r="AC192" s="22" t="n">
        <v>218100</v>
      </c>
      <c r="AD192" s="22" t="n">
        <v>397700</v>
      </c>
      <c r="AE192" s="22" t="n">
        <v>437300</v>
      </c>
      <c r="AF192" s="22" t="n">
        <v>437300</v>
      </c>
      <c r="AG192" s="22" t="n">
        <v>586900</v>
      </c>
      <c r="AH192" s="22" t="n">
        <v>378800</v>
      </c>
      <c r="AI192" s="22" t="n">
        <v>233900</v>
      </c>
      <c r="AJ192" s="22" t="n">
        <v>421000</v>
      </c>
      <c r="AK192" s="22" t="n">
        <v>476700</v>
      </c>
      <c r="AL192" s="22" t="n">
        <v>233900</v>
      </c>
      <c r="AM192" s="22" t="n">
        <v>244900</v>
      </c>
      <c r="AN192" s="22" t="n">
        <v>380300</v>
      </c>
      <c r="AO192" s="22" t="n">
        <v>294800</v>
      </c>
      <c r="AP192" s="22" t="n">
        <v>236800</v>
      </c>
      <c r="AQ192" s="22" t="n">
        <v>174500</v>
      </c>
      <c r="AR192" s="22" t="n">
        <v>151400</v>
      </c>
      <c r="AS192" s="22" t="n">
        <v>214900</v>
      </c>
      <c r="AT192" s="22" t="n">
        <v>255100</v>
      </c>
      <c r="AU192" s="22" t="n">
        <v>201200</v>
      </c>
      <c r="AV192" s="22" t="n">
        <v>182200</v>
      </c>
      <c r="AW192" s="22" t="n">
        <v>307400</v>
      </c>
      <c r="AX192" s="22" t="n">
        <v>255300</v>
      </c>
      <c r="AY192" s="22" t="n">
        <v>533200</v>
      </c>
      <c r="AZ192" s="22" t="n">
        <v>261800</v>
      </c>
      <c r="BA192" s="22" t="n">
        <v>178200</v>
      </c>
      <c r="BB192" s="22" t="n">
        <v>399800</v>
      </c>
      <c r="BC192" s="22" t="n">
        <v>336500</v>
      </c>
      <c r="BD192" s="22" t="n">
        <v>349200</v>
      </c>
      <c r="BE192" s="22" t="n">
        <v>327500</v>
      </c>
      <c r="BF192" s="22" t="n">
        <v>517900</v>
      </c>
      <c r="BG192" s="22" t="n">
        <v>374600</v>
      </c>
      <c r="BH192" s="22" t="n">
        <v>329900</v>
      </c>
      <c r="BI192" s="22" t="n">
        <v>299500</v>
      </c>
      <c r="BJ192" s="22" t="n">
        <v>326600</v>
      </c>
      <c r="BK192" s="22" t="n">
        <v>436000</v>
      </c>
      <c r="BL192" s="22" t="n">
        <v>321900</v>
      </c>
    </row>
    <row r="193" ht="15.95" customHeight="1" s="574">
      <c r="A193" s="416" t="inlineStr">
        <is>
          <t>5243</t>
        </is>
      </c>
      <c r="B193" s="49" t="inlineStr">
        <is>
          <t>ＮＯＴＥ</t>
        </is>
      </c>
      <c r="C193" s="53">
        <f>_xll.RssMarket("5243","出来高")</f>
        <v/>
      </c>
      <c r="D193" s="661">
        <f>C193-E193</f>
        <v/>
      </c>
      <c r="E193" s="22" t="n">
        <v>126800</v>
      </c>
      <c r="F193" s="22" t="n">
        <v>271200</v>
      </c>
      <c r="G193" s="22" t="n">
        <v>310700</v>
      </c>
      <c r="H193" s="22" t="n">
        <v>265800</v>
      </c>
      <c r="I193" s="22" t="n">
        <v>191900</v>
      </c>
      <c r="J193" s="22" t="n">
        <v>117800</v>
      </c>
      <c r="K193" s="22" t="n">
        <v>161700</v>
      </c>
      <c r="L193" s="22" t="n">
        <v>273200</v>
      </c>
      <c r="M193" s="22" t="n">
        <v>271400</v>
      </c>
      <c r="N193" s="22" t="n">
        <v>155500</v>
      </c>
      <c r="O193" s="22" t="n">
        <v>311800</v>
      </c>
      <c r="P193" s="22" t="n">
        <v>267200</v>
      </c>
      <c r="Q193" s="22" t="n">
        <v>542000</v>
      </c>
      <c r="R193" s="22" t="n">
        <v>161500</v>
      </c>
      <c r="S193" s="22" t="n">
        <v>184800</v>
      </c>
      <c r="T193" s="22" t="n">
        <v>225800</v>
      </c>
      <c r="U193" s="22" t="n">
        <v>152100</v>
      </c>
      <c r="V193" s="22" t="n">
        <v>137100</v>
      </c>
      <c r="W193" s="22" t="n">
        <v>100400</v>
      </c>
      <c r="X193" s="22" t="n">
        <v>128000</v>
      </c>
      <c r="Y193" s="22" t="n">
        <v>236400</v>
      </c>
      <c r="Z193" s="22" t="n">
        <v>151600</v>
      </c>
      <c r="AA193" s="22" t="n">
        <v>184600</v>
      </c>
      <c r="AB193" s="22" t="n">
        <v>276900</v>
      </c>
      <c r="AC193" s="22" t="n">
        <v>326900</v>
      </c>
      <c r="AD193" s="22" t="n">
        <v>413400</v>
      </c>
      <c r="AE193" s="22" t="n">
        <v>451000</v>
      </c>
      <c r="AF193" s="22" t="n">
        <v>451000</v>
      </c>
      <c r="AG193" s="22" t="n">
        <v>578500</v>
      </c>
      <c r="AH193" s="22" t="n">
        <v>427400</v>
      </c>
      <c r="AI193" s="22" t="n">
        <v>204000</v>
      </c>
      <c r="AJ193" s="22" t="n">
        <v>217500</v>
      </c>
      <c r="AK193" s="22" t="n">
        <v>603000</v>
      </c>
      <c r="AL193" s="22" t="n">
        <v>900400</v>
      </c>
      <c r="AM193" s="22" t="n">
        <v>630200</v>
      </c>
      <c r="AN193" s="22" t="n">
        <v>1607600</v>
      </c>
      <c r="AO193" s="22" t="n">
        <v>2203100</v>
      </c>
      <c r="AP193" s="22" t="n">
        <v>1699200</v>
      </c>
      <c r="AQ193" s="22" t="n">
        <v>1218500</v>
      </c>
      <c r="AR193" s="22" t="n">
        <v>1295500</v>
      </c>
      <c r="AS193" s="22" t="n">
        <v>4575800</v>
      </c>
      <c r="AT193" s="22" t="n">
        <v>6309500</v>
      </c>
      <c r="AU193" s="22" t="n">
        <v>1048400</v>
      </c>
      <c r="AV193" s="22" t="n">
        <v>671500</v>
      </c>
      <c r="AW193" s="22" t="n">
        <v>275600</v>
      </c>
      <c r="AX193" s="22" t="n">
        <v>422200</v>
      </c>
      <c r="AY193" s="22" t="n">
        <v>482200</v>
      </c>
      <c r="AZ193" s="22" t="n">
        <v>243000</v>
      </c>
      <c r="BA193" s="22" t="n">
        <v>209400</v>
      </c>
      <c r="BB193" s="22" t="n">
        <v>348900</v>
      </c>
      <c r="BC193" s="22" t="n">
        <v>417200</v>
      </c>
      <c r="BD193" s="22" t="n">
        <v>322300</v>
      </c>
      <c r="BE193" s="22" t="n">
        <v>419900</v>
      </c>
      <c r="BF193" s="22" t="n">
        <v>463300</v>
      </c>
      <c r="BG193" s="22" t="n">
        <v>708000</v>
      </c>
      <c r="BH193" s="22" t="n">
        <v>1637800</v>
      </c>
      <c r="BI193" s="22" t="n">
        <v>282400</v>
      </c>
      <c r="BJ193" s="22" t="n">
        <v>450800</v>
      </c>
      <c r="BK193" s="22" t="n">
        <v>340800</v>
      </c>
      <c r="BL193" s="22" t="n">
        <v>285500</v>
      </c>
    </row>
    <row r="194" ht="15.95" customHeight="1" s="574">
      <c r="A194" s="416" t="inlineStr">
        <is>
          <t>2702</t>
        </is>
      </c>
      <c r="B194" s="49" t="inlineStr">
        <is>
          <t>日本マクドナルドＨＬＤＧ</t>
        </is>
      </c>
      <c r="C194" s="53">
        <f>_xll.RssMarket("2702","出来高")</f>
        <v/>
      </c>
      <c r="D194" s="661">
        <f>C194-E194</f>
        <v/>
      </c>
      <c r="E194" s="22" t="n">
        <v>1422500</v>
      </c>
      <c r="F194" s="22" t="n">
        <v>930400</v>
      </c>
      <c r="G194" s="22" t="n">
        <v>1437200</v>
      </c>
      <c r="H194" s="22" t="n">
        <v>918600</v>
      </c>
      <c r="I194" s="22" t="n">
        <v>885900</v>
      </c>
      <c r="J194" s="22" t="n">
        <v>802100</v>
      </c>
      <c r="K194" s="22" t="n">
        <v>911200</v>
      </c>
      <c r="L194" s="22" t="n">
        <v>728200</v>
      </c>
      <c r="M194" s="22" t="n">
        <v>834300</v>
      </c>
      <c r="N194" s="22" t="n">
        <v>690000</v>
      </c>
      <c r="O194" s="22" t="n">
        <v>1102300</v>
      </c>
      <c r="P194" s="22" t="n">
        <v>717800</v>
      </c>
      <c r="Q194" s="22" t="n">
        <v>729600</v>
      </c>
      <c r="R194" s="22" t="n">
        <v>871200</v>
      </c>
      <c r="S194" s="22" t="n">
        <v>631800</v>
      </c>
      <c r="T194" s="22" t="n">
        <v>823900</v>
      </c>
      <c r="U194" s="22" t="n">
        <v>397000</v>
      </c>
      <c r="V194" s="22" t="n">
        <v>251900</v>
      </c>
      <c r="W194" s="22" t="n">
        <v>452000</v>
      </c>
      <c r="X194" s="22" t="n">
        <v>428000</v>
      </c>
      <c r="Y194" s="22" t="n">
        <v>659000</v>
      </c>
      <c r="Z194" s="22" t="n">
        <v>634500</v>
      </c>
      <c r="AA194" s="22" t="n">
        <v>488500</v>
      </c>
      <c r="AB194" s="22" t="n">
        <v>654800</v>
      </c>
      <c r="AC194" s="22" t="n">
        <v>1395700</v>
      </c>
      <c r="AD194" s="22" t="n">
        <v>651200</v>
      </c>
      <c r="AE194" s="22" t="n">
        <v>511900</v>
      </c>
      <c r="AF194" s="22" t="n">
        <v>511900</v>
      </c>
      <c r="AG194" s="22" t="n">
        <v>440800</v>
      </c>
      <c r="AH194" s="22" t="n">
        <v>543800</v>
      </c>
      <c r="AI194" s="22" t="n">
        <v>216300</v>
      </c>
      <c r="AJ194" s="22" t="n">
        <v>290300</v>
      </c>
      <c r="AK194" s="22" t="n">
        <v>231200</v>
      </c>
      <c r="AL194" s="22" t="n">
        <v>335200</v>
      </c>
      <c r="AM194" s="22" t="n">
        <v>270000</v>
      </c>
      <c r="AN194" s="22" t="n">
        <v>371900</v>
      </c>
      <c r="AO194" s="22" t="n">
        <v>345700</v>
      </c>
      <c r="AP194" s="22" t="n">
        <v>279400</v>
      </c>
      <c r="AQ194" s="22" t="n">
        <v>314800</v>
      </c>
      <c r="AR194" s="22" t="n">
        <v>295200</v>
      </c>
      <c r="AS194" s="22" t="n">
        <v>380700</v>
      </c>
      <c r="AT194" s="22" t="n">
        <v>438700</v>
      </c>
      <c r="AU194" s="22" t="n">
        <v>456400</v>
      </c>
      <c r="AV194" s="22" t="n">
        <v>702100</v>
      </c>
      <c r="AW194" s="22" t="n">
        <v>621500</v>
      </c>
      <c r="AX194" s="22" t="n">
        <v>441200</v>
      </c>
      <c r="AY194" s="22" t="n">
        <v>528400</v>
      </c>
      <c r="AZ194" s="22" t="n">
        <v>459800</v>
      </c>
      <c r="BA194" s="22" t="n">
        <v>315400</v>
      </c>
      <c r="BB194" s="22" t="n">
        <v>401200</v>
      </c>
      <c r="BC194" s="22" t="n">
        <v>532300</v>
      </c>
      <c r="BD194" s="22" t="n">
        <v>480000</v>
      </c>
      <c r="BE194" s="22" t="n">
        <v>510300</v>
      </c>
      <c r="BF194" s="22" t="n">
        <v>713300</v>
      </c>
      <c r="BG194" s="22" t="n">
        <v>276100</v>
      </c>
      <c r="BH194" s="22" t="n">
        <v>399400</v>
      </c>
      <c r="BI194" s="22" t="n">
        <v>337100</v>
      </c>
      <c r="BJ194" s="22" t="n">
        <v>435100</v>
      </c>
      <c r="BK194" s="22" t="n">
        <v>357400</v>
      </c>
      <c r="BL194" s="22" t="n">
        <v>369700</v>
      </c>
    </row>
    <row r="195" ht="15.95" customHeight="1" s="574">
      <c r="A195" s="416" t="inlineStr">
        <is>
          <t>6890</t>
        </is>
      </c>
      <c r="B195" s="49" t="inlineStr">
        <is>
          <t>フェローテック</t>
        </is>
      </c>
      <c r="C195" s="53">
        <f>_xll.RssMarket("6890","出来高")</f>
        <v/>
      </c>
      <c r="D195" s="661">
        <f>C195-E195</f>
        <v/>
      </c>
      <c r="E195" s="22" t="n">
        <v>1397000</v>
      </c>
      <c r="F195" s="22" t="n">
        <v>1282100</v>
      </c>
      <c r="G195" s="22" t="n">
        <v>1223800</v>
      </c>
      <c r="H195" s="22" t="n">
        <v>602200</v>
      </c>
      <c r="I195" s="22" t="n">
        <v>763200</v>
      </c>
      <c r="J195" s="22" t="n">
        <v>1510700</v>
      </c>
      <c r="K195" s="22" t="n">
        <v>606400</v>
      </c>
      <c r="L195" s="22" t="n">
        <v>695300</v>
      </c>
      <c r="M195" s="22" t="n">
        <v>904700</v>
      </c>
      <c r="N195" s="22" t="n">
        <v>1039600</v>
      </c>
      <c r="O195" s="22" t="n">
        <v>1696400</v>
      </c>
      <c r="P195" s="22" t="n">
        <v>898800</v>
      </c>
      <c r="Q195" s="22" t="n">
        <v>928100</v>
      </c>
      <c r="R195" s="22" t="n">
        <v>1403300</v>
      </c>
      <c r="S195" s="22" t="n">
        <v>531000</v>
      </c>
      <c r="T195" s="22" t="n">
        <v>754500</v>
      </c>
      <c r="U195" s="22" t="n">
        <v>801300</v>
      </c>
      <c r="V195" s="22" t="n">
        <v>624500</v>
      </c>
      <c r="W195" s="22" t="n">
        <v>948500</v>
      </c>
      <c r="X195" s="22" t="n">
        <v>1491400</v>
      </c>
      <c r="Y195" s="22" t="n">
        <v>1181700</v>
      </c>
      <c r="Z195" s="22" t="n">
        <v>1612500</v>
      </c>
      <c r="AA195" s="22" t="n">
        <v>2302900</v>
      </c>
      <c r="AB195" s="22" t="n">
        <v>1927400</v>
      </c>
      <c r="AC195" s="22" t="n">
        <v>1176400</v>
      </c>
      <c r="AD195" s="22" t="n">
        <v>1740400</v>
      </c>
      <c r="AE195" s="22" t="n">
        <v>1518500</v>
      </c>
      <c r="AF195" s="22" t="n">
        <v>1518500</v>
      </c>
      <c r="AG195" s="22" t="n">
        <v>1752700</v>
      </c>
      <c r="AH195" s="22" t="n">
        <v>2695000</v>
      </c>
      <c r="AI195" s="22" t="n">
        <v>1432200</v>
      </c>
      <c r="AJ195" s="22" t="n">
        <v>1190300</v>
      </c>
      <c r="AK195" s="22" t="n">
        <v>1868500</v>
      </c>
      <c r="AL195" s="22" t="n">
        <v>804100</v>
      </c>
      <c r="AM195" s="22" t="n">
        <v>1001900</v>
      </c>
      <c r="AN195" s="22" t="n">
        <v>1490700</v>
      </c>
      <c r="AO195" s="22" t="n">
        <v>681900</v>
      </c>
      <c r="AP195" s="22" t="n">
        <v>631600</v>
      </c>
      <c r="AQ195" s="22" t="n">
        <v>471800</v>
      </c>
      <c r="AR195" s="22" t="n">
        <v>483900</v>
      </c>
      <c r="AS195" s="22" t="n">
        <v>525100</v>
      </c>
      <c r="AT195" s="22" t="n">
        <v>843600</v>
      </c>
      <c r="AU195" s="22" t="n">
        <v>455000</v>
      </c>
      <c r="AV195" s="22" t="n">
        <v>509600</v>
      </c>
      <c r="AW195" s="22" t="n">
        <v>638500</v>
      </c>
      <c r="AX195" s="22" t="n">
        <v>516000</v>
      </c>
      <c r="AY195" s="22" t="n">
        <v>549700</v>
      </c>
      <c r="AZ195" s="22" t="n">
        <v>347400</v>
      </c>
      <c r="BA195" s="22" t="n">
        <v>240300</v>
      </c>
      <c r="BB195" s="22" t="n">
        <v>382400</v>
      </c>
      <c r="BC195" s="22" t="n">
        <v>601200</v>
      </c>
      <c r="BD195" s="22" t="n">
        <v>702500</v>
      </c>
      <c r="BE195" s="22" t="n">
        <v>720400</v>
      </c>
      <c r="BF195" s="22" t="n">
        <v>801600</v>
      </c>
      <c r="BG195" s="22" t="n">
        <v>361100</v>
      </c>
      <c r="BH195" s="22" t="n">
        <v>609700</v>
      </c>
      <c r="BI195" s="22" t="n">
        <v>257800</v>
      </c>
      <c r="BJ195" s="22" t="n">
        <v>456900</v>
      </c>
      <c r="BK195" s="22" t="n">
        <v>376700</v>
      </c>
      <c r="BL195" s="22" t="n">
        <v>383600</v>
      </c>
    </row>
    <row r="196" ht="15.95" customHeight="1" s="574">
      <c r="A196" s="416" t="inlineStr">
        <is>
          <t>4966</t>
        </is>
      </c>
      <c r="B196" s="49" t="inlineStr">
        <is>
          <t>上村工業</t>
        </is>
      </c>
      <c r="C196" s="53">
        <f>_xll.RssMarket("4966","出来高")</f>
        <v/>
      </c>
      <c r="D196" s="661">
        <f>C196-E196</f>
        <v/>
      </c>
      <c r="E196" s="22" t="n">
        <v>67900</v>
      </c>
      <c r="F196" s="22" t="n">
        <v>67200</v>
      </c>
      <c r="G196" s="22" t="n">
        <v>55800</v>
      </c>
      <c r="H196" s="22" t="n">
        <v>32600</v>
      </c>
      <c r="I196" s="22" t="n">
        <v>48800</v>
      </c>
      <c r="J196" s="22" t="n">
        <v>47300</v>
      </c>
      <c r="K196" s="22" t="n">
        <v>46000</v>
      </c>
      <c r="L196" s="22" t="n">
        <v>38600</v>
      </c>
      <c r="M196" s="22" t="n">
        <v>98300</v>
      </c>
      <c r="N196" s="22" t="n">
        <v>27700</v>
      </c>
      <c r="O196" s="22" t="n">
        <v>31200</v>
      </c>
      <c r="P196" s="22" t="n">
        <v>42300</v>
      </c>
      <c r="Q196" s="22" t="n">
        <v>62200</v>
      </c>
      <c r="R196" s="22" t="n">
        <v>54600</v>
      </c>
      <c r="S196" s="22" t="n">
        <v>30200</v>
      </c>
      <c r="T196" s="22" t="n">
        <v>28300</v>
      </c>
      <c r="U196" s="22" t="n">
        <v>47000</v>
      </c>
      <c r="V196" s="22" t="n">
        <v>43100</v>
      </c>
      <c r="W196" s="22" t="n">
        <v>40500</v>
      </c>
      <c r="X196" s="22" t="n">
        <v>73300</v>
      </c>
      <c r="Y196" s="22" t="n">
        <v>70000</v>
      </c>
      <c r="Z196" s="22" t="n">
        <v>46200</v>
      </c>
      <c r="AA196" s="22" t="n">
        <v>73700</v>
      </c>
      <c r="AB196" s="22" t="n">
        <v>60700</v>
      </c>
      <c r="AC196" s="22" t="n">
        <v>166000</v>
      </c>
      <c r="AD196" s="22" t="n">
        <v>81100</v>
      </c>
      <c r="AE196" s="22" t="n">
        <v>42100</v>
      </c>
      <c r="AF196" s="22" t="n">
        <v>42100</v>
      </c>
      <c r="AG196" s="22" t="n">
        <v>52800</v>
      </c>
      <c r="AH196" s="22" t="n">
        <v>103000</v>
      </c>
      <c r="AI196" s="22" t="n">
        <v>54300</v>
      </c>
      <c r="AJ196" s="22" t="n">
        <v>48800</v>
      </c>
      <c r="AK196" s="22" t="n">
        <v>31100</v>
      </c>
      <c r="AL196" s="22" t="n">
        <v>51000</v>
      </c>
      <c r="AM196" s="22" t="n">
        <v>49400</v>
      </c>
      <c r="AN196" s="22" t="n">
        <v>39400</v>
      </c>
      <c r="AO196" s="22" t="n">
        <v>51600</v>
      </c>
      <c r="AP196" s="22" t="n">
        <v>48700</v>
      </c>
      <c r="AQ196" s="22" t="n">
        <v>51500</v>
      </c>
      <c r="AR196" s="22" t="n">
        <v>61500</v>
      </c>
      <c r="AS196" s="22" t="n">
        <v>48900</v>
      </c>
      <c r="AT196" s="22" t="n">
        <v>47800</v>
      </c>
      <c r="AU196" s="22" t="n">
        <v>57800</v>
      </c>
      <c r="AV196" s="22" t="n">
        <v>36300</v>
      </c>
      <c r="AW196" s="22" t="n">
        <v>50600</v>
      </c>
      <c r="AX196" s="22" t="n">
        <v>42800</v>
      </c>
      <c r="AY196" s="22" t="n">
        <v>82100</v>
      </c>
      <c r="AZ196" s="22" t="n">
        <v>34300</v>
      </c>
      <c r="BA196" s="22" t="n">
        <v>66800</v>
      </c>
      <c r="BB196" s="22" t="n">
        <v>35600</v>
      </c>
      <c r="BC196" s="22" t="n">
        <v>58400</v>
      </c>
      <c r="BD196" s="22" t="n">
        <v>60000</v>
      </c>
      <c r="BE196" s="22" t="n">
        <v>52200</v>
      </c>
      <c r="BF196" s="22" t="n">
        <v>61600</v>
      </c>
      <c r="BG196" s="22" t="n">
        <v>35100</v>
      </c>
      <c r="BH196" s="22" t="n">
        <v>54200</v>
      </c>
      <c r="BI196" s="22" t="n">
        <v>58800</v>
      </c>
      <c r="BJ196" s="22" t="n">
        <v>65300</v>
      </c>
      <c r="BK196" s="22" t="n">
        <v>62300</v>
      </c>
      <c r="BL196" s="22" t="n">
        <v>80400</v>
      </c>
    </row>
    <row r="197" ht="15.95" customHeight="1" s="574">
      <c r="A197" s="416" t="inlineStr">
        <is>
          <t>6146</t>
        </is>
      </c>
      <c r="B197" s="49" t="inlineStr">
        <is>
          <t>ディスコ</t>
        </is>
      </c>
      <c r="C197" s="53">
        <f>_xll.RssMarket("6146","出来高")</f>
        <v/>
      </c>
      <c r="D197" s="661">
        <f>C197-E197</f>
        <v/>
      </c>
      <c r="E197" s="22" t="n">
        <v>1334300</v>
      </c>
      <c r="F197" s="22" t="n">
        <v>2064700</v>
      </c>
      <c r="G197" s="22" t="n">
        <v>1984800</v>
      </c>
      <c r="H197" s="22" t="n">
        <v>2169600</v>
      </c>
      <c r="I197" s="22" t="n">
        <v>2029000</v>
      </c>
      <c r="J197" s="22" t="n">
        <v>4361400</v>
      </c>
      <c r="K197" s="22" t="n">
        <v>3648100</v>
      </c>
      <c r="L197" s="22" t="n">
        <v>1639000</v>
      </c>
      <c r="M197" s="22" t="n">
        <v>1496600</v>
      </c>
      <c r="N197" s="22" t="n">
        <v>1918000</v>
      </c>
      <c r="O197" s="22" t="n">
        <v>2016700</v>
      </c>
      <c r="P197" s="22" t="n">
        <v>2278300</v>
      </c>
      <c r="Q197" s="22" t="n">
        <v>1693800</v>
      </c>
      <c r="R197" s="22" t="n">
        <v>1625200</v>
      </c>
      <c r="S197" s="22" t="n">
        <v>2123100</v>
      </c>
      <c r="T197" s="22" t="n">
        <v>1452600</v>
      </c>
      <c r="U197" s="22" t="n">
        <v>1531900</v>
      </c>
      <c r="V197" s="22" t="n">
        <v>1374100</v>
      </c>
      <c r="W197" s="22" t="n">
        <v>1537500</v>
      </c>
      <c r="X197" s="22" t="n">
        <v>2084200</v>
      </c>
      <c r="Y197" s="22" t="n">
        <v>1743500</v>
      </c>
      <c r="Z197" s="22" t="n">
        <v>1517000</v>
      </c>
      <c r="AA197" s="22" t="n">
        <v>2108200</v>
      </c>
      <c r="AB197" s="22" t="n">
        <v>2544600</v>
      </c>
      <c r="AC197" s="22" t="n">
        <v>1714400</v>
      </c>
      <c r="AD197" s="22" t="n">
        <v>1272800</v>
      </c>
      <c r="AE197" s="22" t="n">
        <v>1262500</v>
      </c>
      <c r="AF197" s="22" t="n">
        <v>1577900</v>
      </c>
      <c r="AG197" s="22" t="n">
        <v>1577900</v>
      </c>
      <c r="AH197" s="22" t="n">
        <v>1519200</v>
      </c>
      <c r="AI197" s="22" t="n">
        <v>2502700</v>
      </c>
      <c r="AJ197" s="22" t="n">
        <v>1636400</v>
      </c>
      <c r="AK197" s="22" t="n">
        <v>2488500</v>
      </c>
      <c r="AL197" s="22" t="n">
        <v>2920700</v>
      </c>
      <c r="AM197" s="22" t="n">
        <v>3125800</v>
      </c>
      <c r="AN197" s="22" t="n">
        <v>2782200</v>
      </c>
      <c r="AO197" s="22" t="n">
        <v>4570700</v>
      </c>
      <c r="AP197" s="22" t="n">
        <v>2794300</v>
      </c>
      <c r="AQ197" s="22" t="n">
        <v>1848000</v>
      </c>
      <c r="AR197" s="22" t="n">
        <v>2600200</v>
      </c>
      <c r="AS197" s="22" t="n">
        <v>1807100</v>
      </c>
      <c r="AT197" s="22" t="n">
        <v>2319700</v>
      </c>
      <c r="AU197" s="22" t="n">
        <v>2433000</v>
      </c>
      <c r="AV197" s="22" t="n">
        <v>2425900</v>
      </c>
      <c r="AW197" s="22" t="n">
        <v>1526300</v>
      </c>
      <c r="AX197" s="22" t="n">
        <v>2150100</v>
      </c>
      <c r="AY197" s="22" t="n">
        <v>2504700</v>
      </c>
      <c r="AZ197" s="22" t="n">
        <v>3064700</v>
      </c>
      <c r="BA197" s="22" t="n">
        <v>2961700</v>
      </c>
      <c r="BB197" s="22" t="n">
        <v>1952600</v>
      </c>
      <c r="BC197" s="22" t="n">
        <v>1898500</v>
      </c>
      <c r="BD197" s="22" t="n">
        <v>3599300</v>
      </c>
      <c r="BE197" s="22" t="n">
        <v>2855500</v>
      </c>
      <c r="BF197" s="22" t="n">
        <v>2415900</v>
      </c>
      <c r="BG197" s="22" t="n">
        <v>2167300</v>
      </c>
      <c r="BH197" s="22" t="n">
        <v>1649000</v>
      </c>
      <c r="BI197" s="22" t="n">
        <v>2198600</v>
      </c>
      <c r="BJ197" s="22" t="n">
        <v>1966200</v>
      </c>
      <c r="BK197" s="22" t="n">
        <v>2305300</v>
      </c>
      <c r="BL197" s="22" t="n">
        <v>2255700</v>
      </c>
    </row>
    <row r="198" ht="15.95" customHeight="1" s="574">
      <c r="A198" s="416" t="inlineStr">
        <is>
          <t>8035</t>
        </is>
      </c>
      <c r="B198" s="49" t="inlineStr">
        <is>
          <t>東京エレクトロン</t>
        </is>
      </c>
      <c r="C198" s="53">
        <f>_xll.RssMarket("8035","出来高")</f>
        <v/>
      </c>
      <c r="D198" s="661">
        <f>C198-E198</f>
        <v/>
      </c>
      <c r="E198" s="22" t="n">
        <v>3105600</v>
      </c>
      <c r="F198" s="22" t="n">
        <v>6107100</v>
      </c>
      <c r="G198" s="22" t="n">
        <v>5806900</v>
      </c>
      <c r="H198" s="22" t="n">
        <v>4608500</v>
      </c>
      <c r="I198" s="22" t="n">
        <v>4828900</v>
      </c>
      <c r="J198" s="22" t="n">
        <v>7102200</v>
      </c>
      <c r="K198" s="22" t="n">
        <v>5585800</v>
      </c>
      <c r="L198" s="22" t="n">
        <v>7924500</v>
      </c>
      <c r="M198" s="22" t="n">
        <v>3961100</v>
      </c>
      <c r="N198" s="22" t="n">
        <v>4460100</v>
      </c>
      <c r="O198" s="22" t="n">
        <v>4805100</v>
      </c>
      <c r="P198" s="22" t="n">
        <v>5433400</v>
      </c>
      <c r="Q198" s="22" t="n">
        <v>2681900</v>
      </c>
      <c r="R198" s="22" t="n">
        <v>3555800</v>
      </c>
      <c r="S198" s="22" t="n">
        <v>3146300</v>
      </c>
      <c r="T198" s="22" t="n">
        <v>3857400</v>
      </c>
      <c r="U198" s="22" t="n">
        <v>2671900</v>
      </c>
      <c r="V198" s="22" t="n">
        <v>2776900</v>
      </c>
      <c r="W198" s="22" t="n">
        <v>2745800</v>
      </c>
      <c r="X198" s="22" t="n">
        <v>3042100</v>
      </c>
      <c r="Y198" s="22" t="n">
        <v>2645700</v>
      </c>
      <c r="Z198" s="22" t="n">
        <v>2434000</v>
      </c>
      <c r="AA198" s="22" t="n">
        <v>2986000</v>
      </c>
      <c r="AB198" s="22" t="n">
        <v>2051400</v>
      </c>
      <c r="AC198" s="22" t="n">
        <v>2301000</v>
      </c>
      <c r="AD198" s="22" t="n">
        <v>1931800</v>
      </c>
      <c r="AE198" s="22" t="n">
        <v>2998700</v>
      </c>
      <c r="AF198" s="22" t="n">
        <v>2998700</v>
      </c>
      <c r="AG198" s="22" t="n">
        <v>3644900</v>
      </c>
      <c r="AH198" s="22" t="n">
        <v>4695700</v>
      </c>
      <c r="AI198" s="22" t="n">
        <v>5915900</v>
      </c>
      <c r="AJ198" s="22" t="n">
        <v>4081000</v>
      </c>
      <c r="AK198" s="22" t="n">
        <v>3291600</v>
      </c>
      <c r="AL198" s="22" t="n">
        <v>3605000</v>
      </c>
      <c r="AM198" s="22" t="n">
        <v>2312400</v>
      </c>
      <c r="AN198" s="22" t="n">
        <v>2968500</v>
      </c>
      <c r="AO198" s="22" t="n">
        <v>2047100</v>
      </c>
      <c r="AP198" s="22" t="n">
        <v>3182100</v>
      </c>
      <c r="AQ198" s="22" t="n">
        <v>2017800</v>
      </c>
      <c r="AR198" s="22" t="n">
        <v>2974800</v>
      </c>
      <c r="AS198" s="22" t="n">
        <v>4808800</v>
      </c>
      <c r="AT198" s="22" t="n">
        <v>3635500</v>
      </c>
      <c r="AU198" s="22" t="n">
        <v>3521700</v>
      </c>
      <c r="AV198" s="22" t="n">
        <v>3255000</v>
      </c>
      <c r="AW198" s="22" t="n">
        <v>4086200</v>
      </c>
      <c r="AX198" s="22" t="n">
        <v>2672900</v>
      </c>
      <c r="AY198" s="22" t="n">
        <v>3872000</v>
      </c>
      <c r="AZ198" s="22" t="n">
        <v>1924100</v>
      </c>
      <c r="BA198" s="22" t="n">
        <v>2127100</v>
      </c>
      <c r="BB198" s="22" t="n">
        <v>1832600</v>
      </c>
      <c r="BC198" s="22" t="n">
        <v>2727000</v>
      </c>
      <c r="BD198" s="22" t="n">
        <v>2541800</v>
      </c>
      <c r="BE198" s="22" t="n">
        <v>3600000</v>
      </c>
      <c r="BF198" s="22" t="n">
        <v>3646500</v>
      </c>
      <c r="BG198" s="22" t="n">
        <v>2747200</v>
      </c>
      <c r="BH198" s="22" t="n">
        <v>3091900</v>
      </c>
      <c r="BI198" s="22" t="n">
        <v>2266000</v>
      </c>
      <c r="BJ198" s="22" t="n">
        <v>3387800</v>
      </c>
      <c r="BK198" s="22" t="n">
        <v>2656600</v>
      </c>
      <c r="BL198" s="22" t="n">
        <v>2014800</v>
      </c>
    </row>
    <row r="199" ht="15.95" customHeight="1" s="574">
      <c r="A199" s="416" t="inlineStr">
        <is>
          <t>6920</t>
        </is>
      </c>
      <c r="B199" s="49" t="inlineStr">
        <is>
          <t>レーザーテック</t>
        </is>
      </c>
      <c r="C199" s="53">
        <f>_xll.RssMarket("6920","出来高")</f>
        <v/>
      </c>
      <c r="D199" s="661">
        <f>C199-E199</f>
        <v/>
      </c>
      <c r="E199" s="22" t="n">
        <v>3638300</v>
      </c>
      <c r="F199" s="22" t="n">
        <v>5372300</v>
      </c>
      <c r="G199" s="22" t="n">
        <v>7836200</v>
      </c>
      <c r="H199" s="22" t="n">
        <v>7716500</v>
      </c>
      <c r="I199" s="22" t="n">
        <v>3085500</v>
      </c>
      <c r="J199" s="22" t="n">
        <v>4483200</v>
      </c>
      <c r="K199" s="22" t="n">
        <v>3785800</v>
      </c>
      <c r="L199" s="22" t="n">
        <v>2648100</v>
      </c>
      <c r="M199" s="22" t="n">
        <v>3439100</v>
      </c>
      <c r="N199" s="22" t="n">
        <v>2353600</v>
      </c>
      <c r="O199" s="22" t="n">
        <v>2495600</v>
      </c>
      <c r="P199" s="22" t="n">
        <v>2772700</v>
      </c>
      <c r="Q199" s="22" t="n">
        <v>3365400</v>
      </c>
      <c r="R199" s="22" t="n">
        <v>2388900</v>
      </c>
      <c r="S199" s="22" t="n">
        <v>2244300</v>
      </c>
      <c r="T199" s="22" t="n">
        <v>2900200</v>
      </c>
      <c r="U199" s="22" t="n">
        <v>3055900</v>
      </c>
      <c r="V199" s="22" t="n">
        <v>4173500</v>
      </c>
      <c r="W199" s="22" t="n">
        <v>2685100</v>
      </c>
      <c r="X199" s="22" t="n">
        <v>3426700</v>
      </c>
      <c r="Y199" s="22" t="n">
        <v>3099400</v>
      </c>
      <c r="Z199" s="22" t="n">
        <v>2762200</v>
      </c>
      <c r="AA199" s="22" t="n">
        <v>3128200</v>
      </c>
      <c r="AB199" s="22" t="n">
        <v>3328000</v>
      </c>
      <c r="AC199" s="22" t="n">
        <v>3049700</v>
      </c>
      <c r="AD199" s="22" t="n">
        <v>2977300</v>
      </c>
      <c r="AE199" s="22" t="n">
        <v>3176900</v>
      </c>
      <c r="AF199" s="22" t="n">
        <v>3933100</v>
      </c>
      <c r="AG199" s="22" t="n">
        <v>3933100</v>
      </c>
      <c r="AH199" s="22" t="n">
        <v>3810400</v>
      </c>
      <c r="AI199" s="22" t="n">
        <v>5720200</v>
      </c>
      <c r="AJ199" s="22" t="n">
        <v>7701500</v>
      </c>
      <c r="AK199" s="22" t="n">
        <v>3092200</v>
      </c>
      <c r="AL199" s="22" t="n">
        <v>3858100</v>
      </c>
      <c r="AM199" s="22" t="n">
        <v>4078300</v>
      </c>
      <c r="AN199" s="22" t="n">
        <v>4801300</v>
      </c>
      <c r="AO199" s="22" t="n">
        <v>5153500</v>
      </c>
      <c r="AP199" s="22" t="n">
        <v>4291700</v>
      </c>
      <c r="AQ199" s="22" t="n">
        <v>3987500</v>
      </c>
      <c r="AR199" s="22" t="n">
        <v>3647800</v>
      </c>
      <c r="AS199" s="22" t="n">
        <v>3765300</v>
      </c>
      <c r="AT199" s="22" t="n">
        <v>5658900</v>
      </c>
      <c r="AU199" s="22" t="n">
        <v>9334600</v>
      </c>
      <c r="AV199" s="22" t="n">
        <v>4931100</v>
      </c>
      <c r="AW199" s="22" t="n">
        <v>3913200</v>
      </c>
      <c r="AX199" s="22" t="n">
        <v>6074300</v>
      </c>
      <c r="AY199" s="22" t="n">
        <v>4051500</v>
      </c>
      <c r="AZ199" s="22" t="n">
        <v>7877100</v>
      </c>
      <c r="BA199" s="22" t="n">
        <v>3874200</v>
      </c>
      <c r="BB199" s="22" t="n">
        <v>5163000</v>
      </c>
      <c r="BC199" s="22" t="n">
        <v>3154900</v>
      </c>
      <c r="BD199" s="22" t="n">
        <v>6725700</v>
      </c>
      <c r="BE199" s="22" t="n">
        <v>4810900</v>
      </c>
      <c r="BF199" s="22" t="n">
        <v>4743400</v>
      </c>
      <c r="BG199" s="22" t="n">
        <v>4068100</v>
      </c>
      <c r="BH199" s="22" t="n">
        <v>4028500</v>
      </c>
      <c r="BI199" s="22" t="n">
        <v>3641600</v>
      </c>
      <c r="BJ199" s="22" t="n">
        <v>3161400</v>
      </c>
      <c r="BK199" s="22" t="n">
        <v>4049800</v>
      </c>
      <c r="BL199" s="22" t="n">
        <v>3239200</v>
      </c>
    </row>
    <row r="200" ht="15.95" customHeight="1" s="574">
      <c r="A200" s="416" t="inlineStr">
        <is>
          <t>5801</t>
        </is>
      </c>
      <c r="B200" s="49" t="inlineStr">
        <is>
          <t>古河電工</t>
        </is>
      </c>
      <c r="C200" s="53">
        <f>_xll.RssMarket("5801","出来高")</f>
        <v/>
      </c>
      <c r="D200" s="661">
        <f>C200-E200</f>
        <v/>
      </c>
      <c r="E200" s="22" t="n">
        <v>6108300</v>
      </c>
      <c r="F200" s="22" t="n">
        <v>1455100</v>
      </c>
      <c r="G200" s="22" t="n">
        <v>2700200</v>
      </c>
      <c r="H200" s="22" t="n">
        <v>2674600</v>
      </c>
      <c r="I200" s="22" t="n">
        <v>4207400</v>
      </c>
      <c r="J200" s="22" t="n">
        <v>3507500</v>
      </c>
      <c r="K200" s="22" t="n">
        <v>3374700</v>
      </c>
      <c r="L200" s="22" t="n">
        <v>4182300</v>
      </c>
      <c r="M200" s="22" t="n">
        <v>3207900</v>
      </c>
      <c r="N200" s="22" t="n">
        <v>3419500</v>
      </c>
      <c r="O200" s="22" t="n">
        <v>3007600</v>
      </c>
      <c r="P200" s="22" t="n">
        <v>4785700</v>
      </c>
      <c r="Q200" s="22" t="n">
        <v>4460000</v>
      </c>
      <c r="R200" s="22" t="n">
        <v>8510100</v>
      </c>
      <c r="S200" s="22" t="n">
        <v>5229200</v>
      </c>
      <c r="T200" s="22" t="n">
        <v>4660400</v>
      </c>
      <c r="U200" s="22" t="n">
        <v>4214900</v>
      </c>
      <c r="V200" s="22" t="n">
        <v>4380900</v>
      </c>
      <c r="W200" s="22" t="n">
        <v>4704200</v>
      </c>
      <c r="X200" s="22" t="n">
        <v>8837900</v>
      </c>
      <c r="Y200" s="22" t="n">
        <v>5244400</v>
      </c>
      <c r="Z200" s="22" t="n">
        <v>7286300</v>
      </c>
      <c r="AA200" s="22" t="n">
        <v>6507600</v>
      </c>
      <c r="AB200" s="22" t="n">
        <v>7181700</v>
      </c>
      <c r="AC200" s="22" t="n">
        <v>12098100</v>
      </c>
      <c r="AD200" s="22" t="n">
        <v>7139800</v>
      </c>
      <c r="AE200" s="22" t="n">
        <v>3737100</v>
      </c>
      <c r="AF200" s="22" t="n">
        <v>3737100</v>
      </c>
      <c r="AG200" s="22" t="n">
        <v>4847500</v>
      </c>
      <c r="AH200" s="22" t="n">
        <v>5132900</v>
      </c>
      <c r="AI200" s="22" t="n">
        <v>2534500</v>
      </c>
      <c r="AJ200" s="22" t="n">
        <v>3259100</v>
      </c>
      <c r="AK200" s="22" t="n">
        <v>4178900</v>
      </c>
      <c r="AL200" s="22" t="n">
        <v>3141200</v>
      </c>
      <c r="AM200" s="22" t="n">
        <v>2946900</v>
      </c>
      <c r="AN200" s="22" t="n">
        <v>4730100</v>
      </c>
      <c r="AO200" s="22" t="n">
        <v>3642700</v>
      </c>
      <c r="AP200" s="22" t="n">
        <v>4770700</v>
      </c>
      <c r="AQ200" s="22" t="n">
        <v>4669600</v>
      </c>
      <c r="AR200" s="22" t="n">
        <v>5629300</v>
      </c>
      <c r="AS200" s="22" t="n">
        <v>6181000</v>
      </c>
      <c r="AT200" s="22" t="n">
        <v>6674100</v>
      </c>
      <c r="AU200" s="22" t="n">
        <v>7978700</v>
      </c>
      <c r="AV200" s="22" t="n">
        <v>10187600</v>
      </c>
      <c r="AW200" s="22" t="n">
        <v>10544100</v>
      </c>
      <c r="AX200" s="22" t="n">
        <v>13310100</v>
      </c>
      <c r="AY200" s="22" t="n">
        <v>10586900</v>
      </c>
      <c r="AZ200" s="22" t="n">
        <v>8801300</v>
      </c>
      <c r="BA200" s="22" t="n">
        <v>9808200</v>
      </c>
      <c r="BB200" s="22" t="n">
        <v>12149200</v>
      </c>
      <c r="BC200" s="22" t="n">
        <v>11356700</v>
      </c>
      <c r="BD200" s="22" t="n">
        <v>8973300</v>
      </c>
      <c r="BE200" s="22" t="n">
        <v>9232600</v>
      </c>
      <c r="BF200" s="22" t="n">
        <v>10524900</v>
      </c>
      <c r="BG200" s="22" t="n">
        <v>9578100</v>
      </c>
      <c r="BH200" s="22" t="n">
        <v>6757600</v>
      </c>
      <c r="BI200" s="22" t="n">
        <v>6469100</v>
      </c>
      <c r="BJ200" s="22" t="n">
        <v>6708100</v>
      </c>
      <c r="BK200" s="22" t="n">
        <v>7140000</v>
      </c>
      <c r="BL200" s="22" t="n">
        <v>5600800</v>
      </c>
    </row>
    <row r="201" ht="15.95" customHeight="1" s="574">
      <c r="A201" s="416" t="inlineStr">
        <is>
          <t>6506</t>
        </is>
      </c>
      <c r="B201" s="49" t="inlineStr">
        <is>
          <t>安川電機</t>
        </is>
      </c>
      <c r="C201" s="53">
        <f>_xll.RssMarket("6506","出来高")</f>
        <v/>
      </c>
      <c r="D201" s="661">
        <f>C201-E201</f>
        <v/>
      </c>
      <c r="E201" s="22" t="n">
        <v>7748400</v>
      </c>
      <c r="F201" s="22" t="n">
        <v>4267300</v>
      </c>
      <c r="G201" s="22" t="n">
        <v>5466400</v>
      </c>
      <c r="H201" s="22" t="n">
        <v>3737200</v>
      </c>
      <c r="I201" s="22" t="n">
        <v>3809000</v>
      </c>
      <c r="J201" s="22" t="n">
        <v>5692100</v>
      </c>
      <c r="K201" s="22" t="n">
        <v>4916300</v>
      </c>
      <c r="L201" s="22" t="n">
        <v>5702100</v>
      </c>
      <c r="M201" s="22" t="n">
        <v>5556000</v>
      </c>
      <c r="N201" s="22" t="n">
        <v>3216000</v>
      </c>
      <c r="O201" s="22" t="n">
        <v>3867000</v>
      </c>
      <c r="P201" s="22" t="n">
        <v>5348300</v>
      </c>
      <c r="Q201" s="22" t="n">
        <v>6224500</v>
      </c>
      <c r="R201" s="22" t="n">
        <v>5006500</v>
      </c>
      <c r="S201" s="22" t="n">
        <v>4257400</v>
      </c>
      <c r="T201" s="22" t="n">
        <v>4518800</v>
      </c>
      <c r="U201" s="22" t="n">
        <v>6412300</v>
      </c>
      <c r="V201" s="22" t="n">
        <v>5793800</v>
      </c>
      <c r="W201" s="22" t="n">
        <v>6346300</v>
      </c>
      <c r="X201" s="22" t="n">
        <v>5051900</v>
      </c>
      <c r="Y201" s="22" t="n">
        <v>5789600</v>
      </c>
      <c r="Z201" s="22" t="n">
        <v>5649200</v>
      </c>
      <c r="AA201" s="22" t="n">
        <v>6836600</v>
      </c>
      <c r="AB201" s="22" t="n">
        <v>7171200</v>
      </c>
      <c r="AC201" s="22" t="n">
        <v>4650800</v>
      </c>
      <c r="AD201" s="22" t="n">
        <v>7924400</v>
      </c>
      <c r="AE201" s="22" t="n">
        <v>6630500</v>
      </c>
      <c r="AF201" s="22" t="n">
        <v>6630500</v>
      </c>
      <c r="AG201" s="22" t="n">
        <v>6573200</v>
      </c>
      <c r="AH201" s="22" t="n">
        <v>5212500</v>
      </c>
      <c r="AI201" s="22" t="n">
        <v>3308100</v>
      </c>
      <c r="AJ201" s="22" t="n">
        <v>5521200</v>
      </c>
      <c r="AK201" s="22" t="n">
        <v>4048200</v>
      </c>
      <c r="AL201" s="22" t="n">
        <v>6906800</v>
      </c>
      <c r="AM201" s="22" t="n">
        <v>2579300</v>
      </c>
      <c r="AN201" s="22" t="n">
        <v>3738500</v>
      </c>
      <c r="AO201" s="22" t="n">
        <v>3711700</v>
      </c>
      <c r="AP201" s="22" t="n">
        <v>5182700</v>
      </c>
      <c r="AQ201" s="22" t="n">
        <v>5490400</v>
      </c>
      <c r="AR201" s="22" t="n">
        <v>3829100</v>
      </c>
      <c r="AS201" s="22" t="n">
        <v>3929700</v>
      </c>
      <c r="AT201" s="22" t="n">
        <v>4705900</v>
      </c>
      <c r="AU201" s="22" t="n">
        <v>5694400</v>
      </c>
      <c r="AV201" s="22" t="n">
        <v>14998000</v>
      </c>
      <c r="AW201" s="22" t="n">
        <v>5917600</v>
      </c>
      <c r="AX201" s="22" t="n">
        <v>3206700</v>
      </c>
      <c r="AY201" s="22" t="n">
        <v>4567600</v>
      </c>
      <c r="AZ201" s="22" t="n">
        <v>2228800</v>
      </c>
      <c r="BA201" s="22" t="n">
        <v>2549300</v>
      </c>
      <c r="BB201" s="22" t="n">
        <v>1829700</v>
      </c>
      <c r="BC201" s="22" t="n">
        <v>3117400</v>
      </c>
      <c r="BD201" s="22" t="n">
        <v>2936000</v>
      </c>
      <c r="BE201" s="22" t="n">
        <v>3192200</v>
      </c>
      <c r="BF201" s="22" t="n">
        <v>3313900</v>
      </c>
      <c r="BG201" s="22" t="n">
        <v>2513800</v>
      </c>
      <c r="BH201" s="22" t="n">
        <v>2218400</v>
      </c>
      <c r="BI201" s="22" t="n">
        <v>2821700</v>
      </c>
      <c r="BJ201" s="22" t="n">
        <v>3692500</v>
      </c>
      <c r="BK201" s="22" t="n">
        <v>3258300</v>
      </c>
      <c r="BL201" s="22" t="n">
        <v>2287600</v>
      </c>
    </row>
    <row r="202" ht="15.95" customHeight="1" s="574">
      <c r="A202" s="416" t="inlineStr">
        <is>
          <t>2768</t>
        </is>
      </c>
      <c r="B202" s="49" t="inlineStr">
        <is>
          <t>双日</t>
        </is>
      </c>
      <c r="C202" s="53">
        <f>_xll.RssMarket("2768","出来高")</f>
        <v/>
      </c>
      <c r="D202" s="661">
        <f>C202-E202</f>
        <v/>
      </c>
      <c r="E202" s="22" t="n">
        <v>742700</v>
      </c>
      <c r="F202" s="22" t="n">
        <v>1566800</v>
      </c>
      <c r="G202" s="22" t="n">
        <v>846800</v>
      </c>
      <c r="H202" s="22" t="n">
        <v>845400</v>
      </c>
      <c r="I202" s="22" t="n">
        <v>1211900</v>
      </c>
      <c r="J202" s="22" t="n">
        <v>1287100</v>
      </c>
      <c r="K202" s="22" t="n">
        <v>1453000</v>
      </c>
      <c r="L202" s="22" t="n">
        <v>1037600</v>
      </c>
      <c r="M202" s="22" t="n">
        <v>1187000</v>
      </c>
      <c r="N202" s="22" t="n">
        <v>916900</v>
      </c>
      <c r="O202" s="22" t="n">
        <v>1060700</v>
      </c>
      <c r="P202" s="22" t="n">
        <v>1413900</v>
      </c>
      <c r="Q202" s="22" t="n">
        <v>1401900</v>
      </c>
      <c r="R202" s="22" t="n">
        <v>1601300</v>
      </c>
      <c r="S202" s="22" t="n">
        <v>1528000</v>
      </c>
      <c r="T202" s="22" t="n">
        <v>932400</v>
      </c>
      <c r="U202" s="22" t="n">
        <v>1000400</v>
      </c>
      <c r="V202" s="22" t="n">
        <v>1130300</v>
      </c>
      <c r="W202" s="22" t="n">
        <v>1158300</v>
      </c>
      <c r="X202" s="22" t="n">
        <v>1392100</v>
      </c>
      <c r="Y202" s="22" t="n">
        <v>1117500</v>
      </c>
      <c r="Z202" s="22" t="n">
        <v>1064200</v>
      </c>
      <c r="AA202" s="22" t="n">
        <v>1102500</v>
      </c>
      <c r="AB202" s="22" t="n">
        <v>1326600</v>
      </c>
      <c r="AC202" s="22" t="n">
        <v>1639100</v>
      </c>
      <c r="AD202" s="22" t="n">
        <v>1426400</v>
      </c>
      <c r="AE202" s="22" t="n">
        <v>1635800</v>
      </c>
      <c r="AF202" s="22" t="n">
        <v>1635800</v>
      </c>
      <c r="AG202" s="22" t="n">
        <v>3723800</v>
      </c>
      <c r="AH202" s="22" t="n">
        <v>5461800</v>
      </c>
      <c r="AI202" s="22" t="n">
        <v>9120400</v>
      </c>
      <c r="AJ202" s="22" t="n">
        <v>1335200</v>
      </c>
      <c r="AK202" s="22" t="n">
        <v>1091700</v>
      </c>
      <c r="AL202" s="22" t="n">
        <v>1010000</v>
      </c>
      <c r="AM202" s="22" t="n">
        <v>721700</v>
      </c>
      <c r="AN202" s="22" t="n">
        <v>1027500</v>
      </c>
      <c r="AO202" s="22" t="n">
        <v>1037200</v>
      </c>
      <c r="AP202" s="22" t="n">
        <v>744000</v>
      </c>
      <c r="AQ202" s="22" t="n">
        <v>994000</v>
      </c>
      <c r="AR202" s="22" t="n">
        <v>1128400</v>
      </c>
      <c r="AS202" s="22" t="n">
        <v>930300</v>
      </c>
      <c r="AT202" s="22" t="n">
        <v>1463700</v>
      </c>
      <c r="AU202" s="22" t="n">
        <v>1679800</v>
      </c>
      <c r="AV202" s="22" t="n">
        <v>930900</v>
      </c>
      <c r="AW202" s="22" t="n">
        <v>1219900</v>
      </c>
      <c r="AX202" s="22" t="n">
        <v>1308700</v>
      </c>
      <c r="AY202" s="22" t="n">
        <v>1912400</v>
      </c>
      <c r="AZ202" s="22" t="n">
        <v>843300</v>
      </c>
      <c r="BA202" s="22" t="n">
        <v>1031300</v>
      </c>
      <c r="BB202" s="22" t="n">
        <v>949000</v>
      </c>
      <c r="BC202" s="22" t="n">
        <v>1582800</v>
      </c>
      <c r="BD202" s="22" t="n">
        <v>1359100</v>
      </c>
      <c r="BE202" s="22" t="n">
        <v>1514600</v>
      </c>
      <c r="BF202" s="22" t="n">
        <v>1707200</v>
      </c>
      <c r="BG202" s="22" t="n">
        <v>1258100</v>
      </c>
      <c r="BH202" s="22" t="n">
        <v>1392900</v>
      </c>
      <c r="BI202" s="22" t="n">
        <v>1330200</v>
      </c>
      <c r="BJ202" s="22" t="n">
        <v>2080300</v>
      </c>
      <c r="BK202" s="22" t="n">
        <v>2492700</v>
      </c>
      <c r="BL202" s="22" t="n">
        <v>2063000</v>
      </c>
    </row>
    <row r="203" ht="15.95" customHeight="1" s="574">
      <c r="A203" s="416" t="inlineStr">
        <is>
          <t>6305</t>
        </is>
      </c>
      <c r="B203" s="49" t="inlineStr">
        <is>
          <t>日立建機</t>
        </is>
      </c>
      <c r="C203" s="53">
        <f>_xll.RssMarket("6305","出来高")</f>
        <v/>
      </c>
      <c r="D203" s="661">
        <f>C203-E203</f>
        <v/>
      </c>
      <c r="E203" s="22" t="n">
        <v>699800</v>
      </c>
      <c r="F203" s="22" t="n">
        <v>958700</v>
      </c>
      <c r="G203" s="22" t="n">
        <v>978800</v>
      </c>
      <c r="H203" s="22" t="n">
        <v>1061100</v>
      </c>
      <c r="I203" s="22" t="n">
        <v>546300</v>
      </c>
      <c r="J203" s="22" t="n">
        <v>1125300</v>
      </c>
      <c r="K203" s="22" t="n">
        <v>968000</v>
      </c>
      <c r="L203" s="22" t="n">
        <v>1117000</v>
      </c>
      <c r="M203" s="22" t="n">
        <v>959500</v>
      </c>
      <c r="N203" s="22" t="n">
        <v>1076700</v>
      </c>
      <c r="O203" s="22" t="n">
        <v>713000</v>
      </c>
      <c r="P203" s="22" t="n">
        <v>1194600</v>
      </c>
      <c r="Q203" s="22" t="n">
        <v>1222500</v>
      </c>
      <c r="R203" s="22" t="n">
        <v>1575900</v>
      </c>
      <c r="S203" s="22" t="n">
        <v>1163100</v>
      </c>
      <c r="T203" s="22" t="n">
        <v>2016800</v>
      </c>
      <c r="U203" s="22" t="n">
        <v>1999200</v>
      </c>
      <c r="V203" s="22" t="n">
        <v>1186500</v>
      </c>
      <c r="W203" s="22" t="n">
        <v>944400</v>
      </c>
      <c r="X203" s="22" t="n">
        <v>1732000</v>
      </c>
      <c r="Y203" s="22" t="n">
        <v>1085100</v>
      </c>
      <c r="Z203" s="22" t="n">
        <v>2053400</v>
      </c>
      <c r="AA203" s="22" t="n">
        <v>1570800</v>
      </c>
      <c r="AB203" s="22" t="n">
        <v>2341200</v>
      </c>
      <c r="AC203" s="22" t="n">
        <v>4500300</v>
      </c>
      <c r="AD203" s="22" t="n">
        <v>1624900</v>
      </c>
      <c r="AE203" s="22" t="n">
        <v>940900</v>
      </c>
      <c r="AF203" s="22" t="n">
        <v>940900</v>
      </c>
      <c r="AG203" s="22" t="n">
        <v>1532800</v>
      </c>
      <c r="AH203" s="22" t="n">
        <v>1493800</v>
      </c>
      <c r="AI203" s="22" t="n">
        <v>751400</v>
      </c>
      <c r="AJ203" s="22" t="n">
        <v>1517800</v>
      </c>
      <c r="AK203" s="22" t="n">
        <v>1474700</v>
      </c>
      <c r="AL203" s="22" t="n">
        <v>1690900</v>
      </c>
      <c r="AM203" s="22" t="n">
        <v>1031600</v>
      </c>
      <c r="AN203" s="22" t="n">
        <v>1166000</v>
      </c>
      <c r="AO203" s="22" t="n">
        <v>572900</v>
      </c>
      <c r="AP203" s="22" t="n">
        <v>690100</v>
      </c>
      <c r="AQ203" s="22" t="n">
        <v>760600</v>
      </c>
      <c r="AR203" s="22" t="n">
        <v>1311700</v>
      </c>
      <c r="AS203" s="22" t="n">
        <v>807300</v>
      </c>
      <c r="AT203" s="22" t="n">
        <v>688800</v>
      </c>
      <c r="AU203" s="22" t="n">
        <v>730500</v>
      </c>
      <c r="AV203" s="22" t="n">
        <v>563400</v>
      </c>
      <c r="AW203" s="22" t="n">
        <v>781900</v>
      </c>
      <c r="AX203" s="22" t="n">
        <v>621600</v>
      </c>
      <c r="AY203" s="22" t="n">
        <v>1319800</v>
      </c>
      <c r="AZ203" s="22" t="n">
        <v>633100</v>
      </c>
      <c r="BA203" s="22" t="n">
        <v>520300</v>
      </c>
      <c r="BB203" s="22" t="n">
        <v>429400</v>
      </c>
      <c r="BC203" s="22" t="n">
        <v>724100</v>
      </c>
      <c r="BD203" s="22" t="n">
        <v>910000</v>
      </c>
      <c r="BE203" s="22" t="n">
        <v>1134700</v>
      </c>
      <c r="BF203" s="22" t="n">
        <v>760500</v>
      </c>
      <c r="BG203" s="22" t="n">
        <v>730800</v>
      </c>
      <c r="BH203" s="22" t="n">
        <v>720100</v>
      </c>
      <c r="BI203" s="22" t="n">
        <v>812400</v>
      </c>
      <c r="BJ203" s="22" t="n">
        <v>922200</v>
      </c>
      <c r="BK203" s="22" t="n">
        <v>1061900</v>
      </c>
      <c r="BL203" s="22" t="n">
        <v>910000</v>
      </c>
    </row>
    <row r="204" ht="15.95" customHeight="1" s="574">
      <c r="A204" s="416" t="inlineStr">
        <is>
          <t>8015</t>
        </is>
      </c>
      <c r="B204" s="49" t="inlineStr">
        <is>
          <t>豊田通商</t>
        </is>
      </c>
      <c r="C204" s="53">
        <f>_xll.RssMarket("8015","出来高")</f>
        <v/>
      </c>
      <c r="D204" s="661">
        <f>C204-E204</f>
        <v/>
      </c>
      <c r="E204" s="22" t="n">
        <v>1641500</v>
      </c>
      <c r="F204" s="22" t="n">
        <v>2509400</v>
      </c>
      <c r="G204" s="22" t="n">
        <v>1730500</v>
      </c>
      <c r="H204" s="22" t="n">
        <v>1409400</v>
      </c>
      <c r="I204" s="22" t="n">
        <v>1549700</v>
      </c>
      <c r="J204" s="22" t="n">
        <v>3366300</v>
      </c>
      <c r="K204" s="22" t="n">
        <v>1943300</v>
      </c>
      <c r="L204" s="22" t="n">
        <v>2496400</v>
      </c>
      <c r="M204" s="22" t="n">
        <v>2198000</v>
      </c>
      <c r="N204" s="22" t="n">
        <v>1620600</v>
      </c>
      <c r="O204" s="22" t="n">
        <v>1785300</v>
      </c>
      <c r="P204" s="22" t="n">
        <v>1733200</v>
      </c>
      <c r="Q204" s="22" t="n">
        <v>2229200</v>
      </c>
      <c r="R204" s="22" t="n">
        <v>8257400</v>
      </c>
      <c r="S204" s="22" t="n">
        <v>2614500</v>
      </c>
      <c r="T204" s="22" t="n">
        <v>2807700</v>
      </c>
      <c r="U204" s="22" t="n">
        <v>2000800</v>
      </c>
      <c r="V204" s="22" t="n">
        <v>2521300</v>
      </c>
      <c r="W204" s="22" t="n">
        <v>2172800</v>
      </c>
      <c r="X204" s="22" t="n">
        <v>2307500</v>
      </c>
      <c r="Y204" s="22" t="n">
        <v>2265200</v>
      </c>
      <c r="Z204" s="22" t="n">
        <v>2132700</v>
      </c>
      <c r="AA204" s="22" t="n">
        <v>2944300</v>
      </c>
      <c r="AB204" s="22" t="n">
        <v>2687000</v>
      </c>
      <c r="AC204" s="22" t="n">
        <v>2832700</v>
      </c>
      <c r="AD204" s="22" t="n">
        <v>3005900</v>
      </c>
      <c r="AE204" s="22" t="n">
        <v>3050300</v>
      </c>
      <c r="AF204" s="22" t="n">
        <v>3050300</v>
      </c>
      <c r="AG204" s="22" t="n">
        <v>3476600</v>
      </c>
      <c r="AH204" s="22" t="n">
        <v>4626500</v>
      </c>
      <c r="AI204" s="22" t="n">
        <v>7293200</v>
      </c>
      <c r="AJ204" s="22" t="n">
        <v>6712000</v>
      </c>
      <c r="AK204" s="22" t="n">
        <v>2281700</v>
      </c>
      <c r="AL204" s="22" t="n">
        <v>2062800</v>
      </c>
      <c r="AM204" s="22" t="n">
        <v>1419500</v>
      </c>
      <c r="AN204" s="22" t="n">
        <v>1791800</v>
      </c>
      <c r="AO204" s="22" t="n">
        <v>2524100</v>
      </c>
      <c r="AP204" s="22" t="n">
        <v>1322400</v>
      </c>
      <c r="AQ204" s="22" t="n">
        <v>1530300</v>
      </c>
      <c r="AR204" s="22" t="n">
        <v>1847800</v>
      </c>
      <c r="AS204" s="22" t="n">
        <v>1756500</v>
      </c>
      <c r="AT204" s="22" t="n">
        <v>2235200</v>
      </c>
      <c r="AU204" s="22" t="n">
        <v>1442300</v>
      </c>
      <c r="AV204" s="22" t="n">
        <v>1794200</v>
      </c>
      <c r="AW204" s="22" t="n">
        <v>2607200</v>
      </c>
      <c r="AX204" s="22" t="n">
        <v>3368300</v>
      </c>
      <c r="AY204" s="22" t="n">
        <v>3223200</v>
      </c>
      <c r="AZ204" s="22" t="n">
        <v>1513200</v>
      </c>
      <c r="BA204" s="22" t="n">
        <v>1670100</v>
      </c>
      <c r="BB204" s="22" t="n">
        <v>1521300</v>
      </c>
      <c r="BC204" s="22" t="n">
        <v>2316500</v>
      </c>
      <c r="BD204" s="22" t="n">
        <v>2444000</v>
      </c>
      <c r="BE204" s="22" t="n">
        <v>3128300</v>
      </c>
      <c r="BF204" s="22" t="n">
        <v>2412500</v>
      </c>
      <c r="BG204" s="22" t="n">
        <v>1913300</v>
      </c>
      <c r="BH204" s="22" t="n">
        <v>2173000</v>
      </c>
      <c r="BI204" s="22" t="n">
        <v>1810100</v>
      </c>
      <c r="BJ204" s="22" t="n">
        <v>3176400</v>
      </c>
      <c r="BK204" s="22" t="n">
        <v>4457900</v>
      </c>
      <c r="BL204" s="22" t="n">
        <v>2132000</v>
      </c>
    </row>
    <row r="205" ht="19.5" customHeight="1" s="574">
      <c r="A205" s="416" t="inlineStr">
        <is>
          <t>6758</t>
        </is>
      </c>
      <c r="B205" s="49" t="inlineStr">
        <is>
          <t>ソニーグループ</t>
        </is>
      </c>
      <c r="C205" s="53">
        <f>_xll.RssMarket("6758","出来高")</f>
        <v/>
      </c>
      <c r="D205" s="661">
        <f>C205-E205</f>
        <v/>
      </c>
      <c r="E205" s="2" t="n">
        <v>19632700</v>
      </c>
      <c r="F205" s="2" t="n">
        <v>30032000</v>
      </c>
      <c r="G205" s="2" t="n">
        <v>18411000</v>
      </c>
      <c r="H205" s="2" t="n">
        <v>13386100</v>
      </c>
      <c r="I205" s="2" t="n">
        <v>18017000</v>
      </c>
      <c r="J205" s="2" t="n">
        <v>28052300</v>
      </c>
      <c r="K205" s="2" t="n">
        <v>14530400</v>
      </c>
      <c r="L205" s="2" t="n">
        <v>15986300</v>
      </c>
      <c r="M205" s="2" t="n">
        <v>16837100</v>
      </c>
      <c r="N205" s="2" t="n">
        <v>13768900</v>
      </c>
      <c r="O205" s="2" t="n">
        <v>19404500</v>
      </c>
      <c r="P205" s="2" t="n">
        <v>17219400</v>
      </c>
      <c r="Q205" s="2" t="n">
        <v>24443600</v>
      </c>
      <c r="R205" s="2" t="n">
        <v>47099000</v>
      </c>
      <c r="S205" s="2" t="n">
        <v>24395600</v>
      </c>
      <c r="T205" s="2" t="n">
        <v>17554500</v>
      </c>
      <c r="U205" s="2" t="n">
        <v>16838300</v>
      </c>
      <c r="V205" s="2" t="n">
        <v>17093600</v>
      </c>
      <c r="W205" s="2" t="n">
        <v>19732200</v>
      </c>
      <c r="X205" s="2" t="n">
        <v>21952200</v>
      </c>
      <c r="Y205" s="2" t="n">
        <v>24762000</v>
      </c>
      <c r="Z205" s="2" t="n">
        <v>21945800</v>
      </c>
      <c r="AA205" s="2" t="n">
        <v>31904000</v>
      </c>
      <c r="AB205" s="2" t="n">
        <v>39152200</v>
      </c>
      <c r="AC205" s="2" t="n">
        <v>52422900</v>
      </c>
      <c r="AD205" s="2" t="n">
        <v>39212300</v>
      </c>
      <c r="AE205" s="2" t="n">
        <v>57094400</v>
      </c>
      <c r="AF205" s="2" t="n">
        <v>57094400</v>
      </c>
      <c r="AG205" s="2" t="n">
        <v>3476600</v>
      </c>
      <c r="AH205" s="2" t="n">
        <v>4626500</v>
      </c>
      <c r="AI205" s="2" t="n">
        <v>7293200</v>
      </c>
      <c r="AJ205" s="2" t="n">
        <v>6712000</v>
      </c>
      <c r="AK205" s="2" t="n">
        <v>2281700</v>
      </c>
      <c r="AL205" s="2" t="n">
        <v>2062800</v>
      </c>
      <c r="AM205" s="2" t="n">
        <v>1419500</v>
      </c>
      <c r="AN205" s="2" t="n">
        <v>1791800</v>
      </c>
      <c r="AO205" s="2" t="n">
        <v>2524100</v>
      </c>
      <c r="AP205" s="2" t="n">
        <v>1322400</v>
      </c>
      <c r="AQ205" s="2" t="n">
        <v>1530300</v>
      </c>
      <c r="AR205" s="2" t="n">
        <v>1847800</v>
      </c>
      <c r="AS205" s="2" t="n">
        <v>1756500</v>
      </c>
      <c r="AT205" s="2" t="n">
        <v>2235200</v>
      </c>
      <c r="AU205" s="2" t="n">
        <v>1442300</v>
      </c>
      <c r="AV205" s="2" t="n">
        <v>1794200</v>
      </c>
      <c r="AW205" s="2" t="n">
        <v>2607200</v>
      </c>
      <c r="AX205" s="2" t="n">
        <v>3368300</v>
      </c>
      <c r="AY205" s="2" t="n">
        <v>3223200</v>
      </c>
      <c r="AZ205" s="2" t="n">
        <v>1513200</v>
      </c>
      <c r="BA205" s="2" t="n">
        <v>1670100</v>
      </c>
      <c r="BB205" s="2" t="n">
        <v>1521300</v>
      </c>
      <c r="BC205" s="2" t="n">
        <v>2316500</v>
      </c>
      <c r="BD205" s="2" t="n">
        <v>2444000</v>
      </c>
      <c r="BE205" s="2" t="n">
        <v>3128300</v>
      </c>
      <c r="BF205" s="2" t="n">
        <v>2412500</v>
      </c>
      <c r="BG205" s="2" t="n">
        <v>1913300</v>
      </c>
      <c r="BH205" s="2" t="n">
        <v>2173000</v>
      </c>
      <c r="BI205" s="2" t="n">
        <v>1810100</v>
      </c>
      <c r="BJ205" s="2" t="n">
        <v>3176400</v>
      </c>
      <c r="BK205" s="2" t="n">
        <v>4457900</v>
      </c>
      <c r="BL205" s="2" t="n">
        <v>2132000</v>
      </c>
    </row>
    <row r="206" ht="19.5" customHeight="1" s="574">
      <c r="A206" s="416" t="inlineStr">
        <is>
          <t>9101</t>
        </is>
      </c>
      <c r="B206" s="49" t="inlineStr">
        <is>
          <t>日本郵船</t>
        </is>
      </c>
      <c r="C206" s="53">
        <f>_xll.RssMarket("9101","出来高")</f>
        <v/>
      </c>
      <c r="D206" s="661">
        <f>C206-E206</f>
        <v/>
      </c>
      <c r="E206" s="2" t="n">
        <v>2243400</v>
      </c>
      <c r="F206" s="2" t="n">
        <v>4390700</v>
      </c>
      <c r="G206" s="2" t="n">
        <v>4016600</v>
      </c>
      <c r="H206" s="2" t="n">
        <v>3087700</v>
      </c>
      <c r="I206" s="2" t="n">
        <v>2759500</v>
      </c>
      <c r="J206" s="2" t="n">
        <v>2897900</v>
      </c>
      <c r="K206" s="2" t="n">
        <v>3087500</v>
      </c>
      <c r="L206" s="2" t="n">
        <v>3425200</v>
      </c>
      <c r="M206" s="2" t="n">
        <v>3590500</v>
      </c>
      <c r="N206" s="2" t="n">
        <v>3669900</v>
      </c>
      <c r="O206" s="2" t="n">
        <v>3586500</v>
      </c>
      <c r="P206" s="2" t="n">
        <v>2636200</v>
      </c>
      <c r="Q206" s="2" t="n">
        <v>3293100</v>
      </c>
      <c r="R206" s="2" t="n">
        <v>5564400</v>
      </c>
      <c r="S206" s="2" t="n">
        <v>3047300</v>
      </c>
      <c r="T206" s="2" t="n">
        <v>2536000</v>
      </c>
      <c r="U206" s="2" t="n">
        <v>1536100</v>
      </c>
      <c r="V206" s="2" t="n">
        <v>2306300</v>
      </c>
      <c r="W206" s="2" t="n">
        <v>2756900</v>
      </c>
      <c r="X206" s="2" t="n">
        <v>3547300</v>
      </c>
      <c r="Y206" s="2" t="n">
        <v>2940400</v>
      </c>
      <c r="Z206" s="2" t="n">
        <v>3399800</v>
      </c>
      <c r="AA206" s="2" t="n">
        <v>2941000</v>
      </c>
      <c r="AB206" s="2" t="n">
        <v>3425900</v>
      </c>
      <c r="AC206" s="2" t="n">
        <v>3088100</v>
      </c>
      <c r="AD206" s="2" t="n">
        <v>3697600</v>
      </c>
      <c r="AE206" s="2" t="n">
        <v>5919900</v>
      </c>
      <c r="AF206" s="2" t="n">
        <v>5919900</v>
      </c>
      <c r="AG206" s="2" t="n">
        <v>3219800</v>
      </c>
      <c r="AH206" s="2" t="n">
        <v>3463300</v>
      </c>
      <c r="AI206" s="2" t="n">
        <v>2028700</v>
      </c>
      <c r="AJ206" s="2" t="n">
        <v>4249800</v>
      </c>
      <c r="AK206" s="2" t="n">
        <v>5034800</v>
      </c>
      <c r="AL206" s="2" t="n">
        <v>3251700</v>
      </c>
      <c r="AM206" s="2" t="n">
        <v>2105000</v>
      </c>
      <c r="AN206" s="2" t="n">
        <v>2030600</v>
      </c>
      <c r="AO206" s="2" t="n">
        <v>1926500</v>
      </c>
      <c r="AP206" s="2" t="n">
        <v>2083700</v>
      </c>
      <c r="AQ206" s="2" t="n">
        <v>2926200</v>
      </c>
      <c r="AR206" s="2" t="n">
        <v>2475000</v>
      </c>
      <c r="AS206" s="2" t="n">
        <v>2748200</v>
      </c>
      <c r="AT206" s="2" t="n">
        <v>3255600</v>
      </c>
      <c r="AU206" s="2" t="n">
        <v>2896500</v>
      </c>
      <c r="AV206" s="2" t="n">
        <v>2893600</v>
      </c>
      <c r="AW206" s="2" t="n">
        <v>3595000</v>
      </c>
      <c r="AX206" s="2" t="n">
        <v>4448200</v>
      </c>
      <c r="AY206" s="2" t="n">
        <v>8523800</v>
      </c>
      <c r="AZ206" s="2" t="n">
        <v>3391300</v>
      </c>
      <c r="BA206" s="2" t="n">
        <v>4323600</v>
      </c>
      <c r="BB206" s="2" t="n">
        <v>3473900</v>
      </c>
      <c r="BC206" s="2" t="n">
        <v>5748700</v>
      </c>
      <c r="BD206" s="2" t="n">
        <v>5859700</v>
      </c>
      <c r="BE206" s="2" t="n">
        <v>4709800</v>
      </c>
      <c r="BF206" s="2" t="n">
        <v>4586900</v>
      </c>
      <c r="BG206" s="2" t="n">
        <v>3604900</v>
      </c>
      <c r="BH206" s="2" t="n">
        <v>4216900</v>
      </c>
      <c r="BI206" s="2" t="n">
        <v>4213000</v>
      </c>
      <c r="BJ206" s="2" t="n">
        <v>6504600</v>
      </c>
      <c r="BK206" s="2" t="n">
        <v>7944900</v>
      </c>
      <c r="BL206" s="2" t="n">
        <v>7812600</v>
      </c>
    </row>
    <row r="207" ht="18.75" customFormat="1" customHeight="1" s="83">
      <c r="A207" s="417" t="inlineStr">
        <is>
          <t>7011</t>
        </is>
      </c>
      <c r="B207" s="83" t="inlineStr">
        <is>
          <t>三菱重工業</t>
        </is>
      </c>
      <c r="C207" s="84">
        <f>_xll.RssMarket("7011","出来高")</f>
        <v/>
      </c>
      <c r="D207" s="684">
        <f>C207-E207</f>
        <v/>
      </c>
      <c r="E207" s="84" t="n">
        <v>13192000</v>
      </c>
      <c r="F207" s="84" t="n">
        <v>23852400</v>
      </c>
      <c r="G207" s="84" t="n">
        <v>31233200</v>
      </c>
      <c r="H207" s="84" t="n">
        <v>23776900</v>
      </c>
      <c r="I207" s="84" t="n">
        <v>27316000</v>
      </c>
      <c r="J207" s="84" t="n">
        <v>19580500</v>
      </c>
      <c r="K207" s="84" t="n">
        <v>18083000</v>
      </c>
      <c r="L207" s="84" t="n">
        <v>17683400</v>
      </c>
      <c r="M207" s="84" t="n">
        <v>23310400</v>
      </c>
      <c r="N207" s="84" t="n">
        <v>23427800</v>
      </c>
      <c r="O207" s="84" t="n">
        <v>28144900</v>
      </c>
      <c r="P207" s="84" t="n">
        <v>30658500</v>
      </c>
      <c r="Q207" s="84" t="n">
        <v>35355900</v>
      </c>
      <c r="R207" s="84" t="n">
        <v>34158900</v>
      </c>
      <c r="S207" s="84" t="n">
        <v>25450500</v>
      </c>
      <c r="T207" s="84" t="n">
        <v>19574600</v>
      </c>
      <c r="U207" s="84" t="n">
        <v>25805000</v>
      </c>
      <c r="V207" s="84" t="n">
        <v>22773500</v>
      </c>
      <c r="W207" s="84" t="n">
        <v>28538600</v>
      </c>
      <c r="X207" s="84" t="n">
        <v>20144300</v>
      </c>
      <c r="Y207" s="84" t="n">
        <v>20535500</v>
      </c>
      <c r="Z207" s="84" t="n">
        <v>21740700</v>
      </c>
      <c r="AA207" s="84" t="n">
        <v>26236100</v>
      </c>
      <c r="AB207" s="84" t="n">
        <v>38699900</v>
      </c>
      <c r="AC207" s="84" t="n">
        <v>33182600</v>
      </c>
      <c r="AD207" s="84" t="n">
        <v>57855600</v>
      </c>
      <c r="AE207" s="84" t="n">
        <v>23392400</v>
      </c>
      <c r="AF207" s="84" t="n">
        <v>23392400</v>
      </c>
      <c r="AG207" s="84" t="n">
        <v>25209200</v>
      </c>
      <c r="AH207" s="84" t="n">
        <v>32023200</v>
      </c>
      <c r="AI207" s="84" t="n">
        <v>13366800</v>
      </c>
      <c r="AJ207" s="84" t="n">
        <v>26836400</v>
      </c>
      <c r="AK207" s="84" t="n">
        <v>19210500</v>
      </c>
      <c r="AL207" s="84" t="n">
        <v>18063900</v>
      </c>
      <c r="AM207" s="84" t="n">
        <v>18264500</v>
      </c>
      <c r="AN207" s="84" t="n">
        <v>32997300</v>
      </c>
      <c r="AO207" s="84" t="n">
        <v>20727400</v>
      </c>
      <c r="AP207" s="84" t="n">
        <v>21954100</v>
      </c>
      <c r="AQ207" s="84" t="n">
        <v>22506500</v>
      </c>
      <c r="AR207" s="84" t="n">
        <v>24317700</v>
      </c>
      <c r="AS207" s="84" t="n">
        <v>23321000</v>
      </c>
      <c r="AT207" s="84" t="n">
        <v>27484500</v>
      </c>
      <c r="AU207" s="84" t="n">
        <v>16995600</v>
      </c>
      <c r="AV207" s="84" t="n">
        <v>16322800</v>
      </c>
      <c r="AW207" s="84" t="n">
        <v>17911100</v>
      </c>
      <c r="AX207" s="84" t="n">
        <v>20132600</v>
      </c>
      <c r="AY207" s="84" t="n">
        <v>33031900</v>
      </c>
      <c r="AZ207" s="84" t="n">
        <v>18352100</v>
      </c>
      <c r="BA207" s="84" t="n">
        <v>17781700</v>
      </c>
      <c r="BB207" s="84" t="n">
        <v>17897500</v>
      </c>
      <c r="BC207" s="84" t="n">
        <v>34583700</v>
      </c>
      <c r="BD207" s="84" t="n">
        <v>22456000</v>
      </c>
      <c r="BE207" s="84" t="n">
        <v>27883300</v>
      </c>
      <c r="BF207" s="84" t="n">
        <v>22423400</v>
      </c>
      <c r="BG207" s="84" t="n">
        <v>16565600</v>
      </c>
      <c r="BH207" s="84" t="n">
        <v>23369500</v>
      </c>
      <c r="BI207" s="84" t="n">
        <v>33310900</v>
      </c>
      <c r="BJ207" s="84" t="n">
        <v>36873600</v>
      </c>
      <c r="BK207" s="84" t="n">
        <v>22002700</v>
      </c>
      <c r="BL207" s="84" t="n">
        <v>21953400</v>
      </c>
    </row>
    <row r="208" ht="18.75" customFormat="1" customHeight="1" s="83">
      <c r="A208" s="417" t="inlineStr">
        <is>
          <t>1812</t>
        </is>
      </c>
      <c r="B208" s="83" t="inlineStr">
        <is>
          <t>鹿島建設</t>
        </is>
      </c>
      <c r="C208" s="84">
        <f>_xll.RssMarket("1812","出来高")</f>
        <v/>
      </c>
      <c r="D208" s="684">
        <f>C208-E208</f>
        <v/>
      </c>
      <c r="E208" s="84" t="n">
        <v>1417300</v>
      </c>
      <c r="F208" s="84" t="n">
        <v>1831600</v>
      </c>
      <c r="G208" s="84" t="n">
        <v>2241600</v>
      </c>
      <c r="H208" s="84" t="n">
        <v>2120900</v>
      </c>
      <c r="I208" s="84" t="n">
        <v>3189500</v>
      </c>
      <c r="J208" s="84" t="n">
        <v>2249700</v>
      </c>
      <c r="K208" s="84" t="n">
        <v>1707200</v>
      </c>
      <c r="L208" s="84" t="n">
        <v>1766400</v>
      </c>
      <c r="M208" s="84" t="n">
        <v>1937100</v>
      </c>
      <c r="N208" s="84" t="n">
        <v>1611200</v>
      </c>
      <c r="O208" s="84" t="n">
        <v>2037700</v>
      </c>
      <c r="P208" s="84" t="n">
        <v>2219400</v>
      </c>
      <c r="Q208" s="84" t="n">
        <v>2511600</v>
      </c>
      <c r="R208" s="84" t="n">
        <v>4340100</v>
      </c>
      <c r="S208" s="84" t="n">
        <v>1567000</v>
      </c>
      <c r="T208" s="84" t="n">
        <v>2389000</v>
      </c>
      <c r="U208" s="84" t="n">
        <v>2011400</v>
      </c>
      <c r="V208" s="84" t="n">
        <v>2021800</v>
      </c>
      <c r="W208" s="84" t="n">
        <v>1547000</v>
      </c>
      <c r="X208" s="84" t="n">
        <v>2811700</v>
      </c>
      <c r="Y208" s="84" t="n">
        <v>2571800</v>
      </c>
      <c r="Z208" s="84" t="n">
        <v>3416400</v>
      </c>
      <c r="AA208" s="84" t="n">
        <v>3296500</v>
      </c>
      <c r="AB208" s="84" t="n">
        <v>4741300</v>
      </c>
      <c r="AC208" s="84" t="n">
        <v>3133000</v>
      </c>
      <c r="AD208" s="84" t="n">
        <v>4706400</v>
      </c>
      <c r="AE208" s="84" t="n">
        <v>2150900</v>
      </c>
      <c r="AF208" s="84" t="n">
        <v>2150900</v>
      </c>
      <c r="AG208" s="84" t="n">
        <v>2296300</v>
      </c>
      <c r="AH208" s="84" t="n">
        <v>2648400</v>
      </c>
      <c r="AI208" s="84" t="n">
        <v>1719800</v>
      </c>
      <c r="AJ208" s="84" t="n">
        <v>3756200</v>
      </c>
      <c r="AK208" s="84" t="n">
        <v>3609800</v>
      </c>
      <c r="AL208" s="84" t="n">
        <v>1799400</v>
      </c>
      <c r="AM208" s="84" t="n">
        <v>1594000</v>
      </c>
      <c r="AN208" s="84" t="n">
        <v>2224800</v>
      </c>
      <c r="AO208" s="84" t="n">
        <v>2241400</v>
      </c>
      <c r="AP208" s="84" t="n">
        <v>1798800</v>
      </c>
      <c r="AQ208" s="84" t="n">
        <v>1861100</v>
      </c>
      <c r="AR208" s="84" t="n">
        <v>2574400</v>
      </c>
      <c r="AS208" s="84" t="n">
        <v>1720600</v>
      </c>
      <c r="AT208" s="84" t="n">
        <v>1275400</v>
      </c>
      <c r="AU208" s="84" t="n">
        <v>1198200</v>
      </c>
      <c r="AV208" s="84" t="n">
        <v>1441700</v>
      </c>
      <c r="AW208" s="84" t="n">
        <v>1461300</v>
      </c>
      <c r="AX208" s="84" t="n">
        <v>1919000</v>
      </c>
      <c r="AY208" s="84" t="n">
        <v>2285000</v>
      </c>
      <c r="AZ208" s="84" t="n">
        <v>1384200</v>
      </c>
      <c r="BA208" s="84" t="n">
        <v>1173400</v>
      </c>
      <c r="BB208" s="84" t="n">
        <v>1060600</v>
      </c>
      <c r="BC208" s="84" t="n">
        <v>1770300</v>
      </c>
      <c r="BD208" s="84" t="n">
        <v>2047700</v>
      </c>
      <c r="BE208" s="84" t="n">
        <v>2665500</v>
      </c>
      <c r="BF208" s="84" t="n">
        <v>1605500</v>
      </c>
      <c r="BG208" s="84" t="n">
        <v>1439100</v>
      </c>
      <c r="BH208" s="84" t="n">
        <v>2050700</v>
      </c>
      <c r="BI208" s="84" t="n">
        <v>1850900</v>
      </c>
      <c r="BJ208" s="84" t="n">
        <v>2736000</v>
      </c>
      <c r="BK208" s="84" t="n">
        <v>3358200</v>
      </c>
      <c r="BL208" s="84" t="n">
        <v>1313700</v>
      </c>
    </row>
    <row r="209" ht="18.75" customFormat="1" customHeight="1" s="83">
      <c r="A209" s="417" t="inlineStr">
        <is>
          <t>6861</t>
        </is>
      </c>
      <c r="B209" s="83">
        <f>銘柄管理!C209</f>
        <v/>
      </c>
      <c r="C209" s="84">
        <f>_xll.RssMarket("6861","出来高")</f>
        <v/>
      </c>
      <c r="D209" s="684">
        <f>C209-E209</f>
        <v/>
      </c>
      <c r="E209" s="84" t="n">
        <v>463200</v>
      </c>
      <c r="F209" s="84" t="n">
        <v>984900</v>
      </c>
      <c r="G209" s="84" t="n">
        <v>597500</v>
      </c>
      <c r="H209" s="84" t="n">
        <v>659800</v>
      </c>
      <c r="I209" s="84" t="n">
        <v>492400</v>
      </c>
      <c r="J209" s="84" t="n">
        <v>836300</v>
      </c>
      <c r="K209" s="84" t="n">
        <v>626100</v>
      </c>
      <c r="L209" s="84" t="n">
        <v>612800</v>
      </c>
      <c r="M209" s="84" t="n">
        <v>727500</v>
      </c>
      <c r="N209" s="84" t="n">
        <v>417000</v>
      </c>
      <c r="O209" s="84" t="n">
        <v>529600</v>
      </c>
      <c r="P209" s="84" t="n">
        <v>546400</v>
      </c>
      <c r="Q209" s="84" t="n">
        <v>592800</v>
      </c>
      <c r="R209" s="84" t="n">
        <v>1485600</v>
      </c>
      <c r="S209" s="84" t="n">
        <v>637100</v>
      </c>
      <c r="T209" s="84" t="n">
        <v>766700</v>
      </c>
      <c r="U209" s="84" t="n">
        <v>578600</v>
      </c>
      <c r="V209" s="84" t="n">
        <v>869400</v>
      </c>
      <c r="W209" s="84" t="n">
        <v>783100</v>
      </c>
      <c r="X209" s="84" t="n">
        <v>964400</v>
      </c>
      <c r="Y209" s="84" t="n">
        <v>543000</v>
      </c>
      <c r="Z209" s="84" t="n">
        <v>612500</v>
      </c>
      <c r="AA209" s="84" t="n">
        <v>666600</v>
      </c>
      <c r="AB209" s="84" t="n">
        <v>866400</v>
      </c>
      <c r="AC209" s="84" t="n">
        <v>642400</v>
      </c>
      <c r="AD209" s="84" t="n">
        <v>1113700</v>
      </c>
      <c r="AE209" s="84" t="n">
        <v>1114000</v>
      </c>
      <c r="AF209" s="84" t="n">
        <v>1114000</v>
      </c>
      <c r="AG209" s="84" t="n">
        <v>1695500</v>
      </c>
      <c r="AH209" s="84" t="n">
        <v>2252600</v>
      </c>
      <c r="AI209" s="84" t="n">
        <v>1667000</v>
      </c>
      <c r="AJ209" s="84" t="n">
        <v>1491600</v>
      </c>
      <c r="AK209" s="84" t="n">
        <v>2805500</v>
      </c>
      <c r="AL209" s="84" t="n">
        <v>1157900</v>
      </c>
      <c r="AM209" s="84" t="n">
        <v>735200</v>
      </c>
      <c r="AN209" s="84" t="n">
        <v>759800</v>
      </c>
      <c r="AO209" s="84" t="n">
        <v>746600</v>
      </c>
      <c r="AP209" s="84" t="n">
        <v>876300</v>
      </c>
      <c r="AQ209" s="84" t="n">
        <v>692100</v>
      </c>
      <c r="AR209" s="84" t="n">
        <v>525100</v>
      </c>
      <c r="AS209" s="84" t="n">
        <v>536900</v>
      </c>
      <c r="AT209" s="84" t="n">
        <v>695500</v>
      </c>
      <c r="AU209" s="84" t="n">
        <v>751900</v>
      </c>
      <c r="AV209" s="84" t="n">
        <v>957000</v>
      </c>
      <c r="AW209" s="84" t="n">
        <v>688500</v>
      </c>
      <c r="AX209" s="84" t="n">
        <v>813800</v>
      </c>
      <c r="AY209" s="84" t="n">
        <v>861500</v>
      </c>
      <c r="AZ209" s="84" t="n">
        <v>349700</v>
      </c>
      <c r="BA209" s="84" t="n">
        <v>454500</v>
      </c>
      <c r="BB209" s="84" t="n">
        <v>314800</v>
      </c>
      <c r="BC209" s="84" t="n">
        <v>504900</v>
      </c>
      <c r="BD209" s="84" t="n">
        <v>712800</v>
      </c>
      <c r="BE209" s="84" t="n">
        <v>936100</v>
      </c>
      <c r="BF209" s="84" t="n">
        <v>796500</v>
      </c>
      <c r="BG209" s="84" t="n">
        <v>489800</v>
      </c>
      <c r="BH209" s="84" t="n">
        <v>520900</v>
      </c>
      <c r="BI209" s="84" t="n">
        <v>510100</v>
      </c>
      <c r="BJ209" s="84" t="n">
        <v>826900</v>
      </c>
      <c r="BK209" s="84" t="n">
        <v>698200</v>
      </c>
      <c r="BL209" s="84" t="n">
        <v>442800</v>
      </c>
    </row>
    <row r="210" ht="18.75" customFormat="1" customHeight="1" s="83">
      <c r="A210" s="417" t="inlineStr">
        <is>
          <t>6324</t>
        </is>
      </c>
      <c r="B210" s="83" t="inlineStr">
        <is>
          <t>ハーモニック・ドライブ・シス</t>
        </is>
      </c>
      <c r="C210" s="84">
        <f>_xll.RssMarket("6324","出来高")</f>
        <v/>
      </c>
      <c r="D210" s="684">
        <f>C210-E210</f>
        <v/>
      </c>
      <c r="E210" s="84" t="n">
        <v>2503800</v>
      </c>
      <c r="F210" s="84" t="n">
        <v>1420100</v>
      </c>
      <c r="G210" s="84" t="n">
        <v>2523400</v>
      </c>
      <c r="H210" s="84" t="n">
        <v>1930000</v>
      </c>
      <c r="I210" s="84" t="n">
        <v>1234800</v>
      </c>
      <c r="J210" s="84" t="n">
        <v>1375700</v>
      </c>
      <c r="K210" s="84" t="n">
        <v>1320000</v>
      </c>
      <c r="L210" s="84" t="n">
        <v>2016000</v>
      </c>
      <c r="M210" s="84" t="n">
        <v>2627000</v>
      </c>
      <c r="N210" s="84" t="n">
        <v>1708900</v>
      </c>
      <c r="O210" s="84" t="n">
        <v>1989400</v>
      </c>
      <c r="P210" s="84" t="n">
        <v>1616200</v>
      </c>
      <c r="Q210" s="84" t="n">
        <v>2729400</v>
      </c>
      <c r="R210" s="84" t="n">
        <v>1663800</v>
      </c>
      <c r="S210" s="84" t="n">
        <v>1654400</v>
      </c>
      <c r="T210" s="84" t="n">
        <v>1817400</v>
      </c>
      <c r="U210" s="84" t="n">
        <v>1849300</v>
      </c>
      <c r="V210" s="84" t="n">
        <v>1907200</v>
      </c>
      <c r="W210" s="84" t="n">
        <v>1534900</v>
      </c>
      <c r="X210" s="84" t="n">
        <v>1680400</v>
      </c>
      <c r="Y210" s="84" t="n">
        <v>3468300</v>
      </c>
      <c r="Z210" s="84" t="n">
        <v>1684000</v>
      </c>
      <c r="AA210" s="84" t="n">
        <v>3213500</v>
      </c>
      <c r="AB210" s="84" t="n">
        <v>5545500</v>
      </c>
      <c r="AC210" s="84" t="n">
        <v>3123000</v>
      </c>
      <c r="AD210" s="84" t="n">
        <v>1716200</v>
      </c>
      <c r="AE210" s="84" t="n">
        <v>1981700</v>
      </c>
      <c r="AF210" s="84" t="n">
        <v>1981700</v>
      </c>
      <c r="AG210" s="84" t="n">
        <v>2170200</v>
      </c>
      <c r="AH210" s="84" t="n">
        <v>1617200</v>
      </c>
      <c r="AI210" s="84" t="n">
        <v>1245100</v>
      </c>
      <c r="AJ210" s="84" t="n">
        <v>2526800</v>
      </c>
      <c r="AK210" s="84" t="n">
        <v>1778700</v>
      </c>
      <c r="AL210" s="84" t="n">
        <v>3690800</v>
      </c>
      <c r="AM210" s="84" t="n">
        <v>667900</v>
      </c>
      <c r="AN210" s="84" t="n">
        <v>979000</v>
      </c>
      <c r="AO210" s="84" t="n">
        <v>972800</v>
      </c>
      <c r="AP210" s="84" t="n">
        <v>1114800</v>
      </c>
      <c r="AQ210" s="84" t="n">
        <v>1151600</v>
      </c>
      <c r="AR210" s="84" t="n">
        <v>1368200</v>
      </c>
      <c r="AS210" s="84" t="n">
        <v>3199400</v>
      </c>
      <c r="AT210" s="84" t="n">
        <v>1790000</v>
      </c>
      <c r="AU210" s="84" t="n">
        <v>1070600</v>
      </c>
      <c r="AV210" s="84" t="n">
        <v>1436300</v>
      </c>
      <c r="AW210" s="84" t="n">
        <v>1063800</v>
      </c>
      <c r="AX210" s="84" t="n">
        <v>1104400</v>
      </c>
      <c r="AY210" s="84" t="n">
        <v>1561900</v>
      </c>
      <c r="AZ210" s="84" t="n">
        <v>744000</v>
      </c>
      <c r="BA210" s="84" t="n">
        <v>840300</v>
      </c>
      <c r="BB210" s="84" t="n">
        <v>1028000</v>
      </c>
      <c r="BC210" s="84" t="n">
        <v>1602700</v>
      </c>
      <c r="BD210" s="84" t="n">
        <v>1399400</v>
      </c>
      <c r="BE210" s="84" t="n">
        <v>5838500</v>
      </c>
      <c r="BF210" s="84" t="n">
        <v>865000</v>
      </c>
      <c r="BG210" s="84" t="n">
        <v>1203200</v>
      </c>
      <c r="BH210" s="84" t="n">
        <v>1105500</v>
      </c>
      <c r="BI210" s="84" t="n">
        <v>1122900</v>
      </c>
      <c r="BJ210" s="84" t="n">
        <v>2264000</v>
      </c>
      <c r="BK210" s="84" t="n">
        <v>1279400</v>
      </c>
      <c r="BL210" s="84" t="n">
        <v>882000</v>
      </c>
    </row>
    <row r="211" ht="18.75" customFormat="1" customHeight="1" s="83">
      <c r="A211" s="417" t="inlineStr">
        <is>
          <t>6273</t>
        </is>
      </c>
      <c r="B211" s="83" t="inlineStr">
        <is>
          <t>ＳＭＣ</t>
        </is>
      </c>
      <c r="C211" s="84">
        <f>_xll.RssMarket("6273","出来高")</f>
        <v/>
      </c>
      <c r="D211" s="684">
        <f>C211-E211</f>
        <v/>
      </c>
      <c r="E211" s="84" t="n">
        <v>222800</v>
      </c>
      <c r="F211" s="84" t="n">
        <v>543900</v>
      </c>
      <c r="G211" s="84" t="n">
        <v>317800</v>
      </c>
      <c r="H211" s="84" t="n">
        <v>330200</v>
      </c>
      <c r="I211" s="84" t="n">
        <v>275900</v>
      </c>
      <c r="J211" s="84" t="n">
        <v>429200</v>
      </c>
      <c r="K211" s="84" t="n">
        <v>362200</v>
      </c>
      <c r="L211" s="84" t="n">
        <v>252700</v>
      </c>
      <c r="M211" s="84" t="n">
        <v>315700</v>
      </c>
      <c r="N211" s="84" t="n">
        <v>253800</v>
      </c>
      <c r="O211" s="84" t="n">
        <v>274600</v>
      </c>
      <c r="P211" s="84" t="n">
        <v>331900</v>
      </c>
      <c r="Q211" s="84" t="n">
        <v>300300</v>
      </c>
      <c r="R211" s="84" t="n">
        <v>731100</v>
      </c>
      <c r="S211" s="84" t="n">
        <v>465100</v>
      </c>
      <c r="T211" s="84" t="n">
        <v>379000</v>
      </c>
      <c r="U211" s="84" t="n">
        <v>499800</v>
      </c>
      <c r="V211" s="84" t="n">
        <v>510000</v>
      </c>
      <c r="W211" s="84" t="n">
        <v>348300</v>
      </c>
      <c r="X211" s="84" t="n">
        <v>533300</v>
      </c>
      <c r="Y211" s="84" t="n">
        <v>434500</v>
      </c>
      <c r="Z211" s="84" t="n">
        <v>539400</v>
      </c>
      <c r="AA211" s="84" t="n">
        <v>1165400</v>
      </c>
      <c r="AB211" s="84" t="n">
        <v>768900</v>
      </c>
      <c r="AC211" s="84" t="n">
        <v>285800</v>
      </c>
      <c r="AD211" s="84" t="n">
        <v>333000</v>
      </c>
      <c r="AE211" s="84" t="n">
        <v>381900</v>
      </c>
      <c r="AF211" s="84" t="n">
        <v>381900</v>
      </c>
      <c r="AG211" s="84" t="n">
        <v>491200</v>
      </c>
      <c r="AH211" s="84" t="n">
        <v>594200</v>
      </c>
      <c r="AI211" s="84" t="n">
        <v>386500</v>
      </c>
      <c r="AJ211" s="84" t="n">
        <v>595700</v>
      </c>
      <c r="AK211" s="84" t="n">
        <v>553000</v>
      </c>
      <c r="AL211" s="84" t="n">
        <v>676600</v>
      </c>
      <c r="AM211" s="84" t="n">
        <v>212400</v>
      </c>
      <c r="AN211" s="84" t="n">
        <v>222200</v>
      </c>
      <c r="AO211" s="84" t="n">
        <v>203200</v>
      </c>
      <c r="AP211" s="84" t="n">
        <v>144800</v>
      </c>
      <c r="AQ211" s="84" t="n">
        <v>192600</v>
      </c>
      <c r="AR211" s="84" t="n">
        <v>299600</v>
      </c>
      <c r="AS211" s="84" t="n">
        <v>291900</v>
      </c>
      <c r="AT211" s="84" t="n">
        <v>248400</v>
      </c>
      <c r="AU211" s="84" t="n">
        <v>223400</v>
      </c>
      <c r="AV211" s="84" t="n">
        <v>333300</v>
      </c>
      <c r="AW211" s="84" t="n">
        <v>383600</v>
      </c>
      <c r="AX211" s="84" t="n">
        <v>456100</v>
      </c>
      <c r="AY211" s="84" t="n">
        <v>301700</v>
      </c>
      <c r="AZ211" s="84" t="n">
        <v>153300</v>
      </c>
      <c r="BA211" s="84" t="n">
        <v>144600</v>
      </c>
      <c r="BB211" s="84" t="n">
        <v>124400</v>
      </c>
      <c r="BC211" s="84" t="n">
        <v>269200</v>
      </c>
      <c r="BD211" s="84" t="n">
        <v>258900</v>
      </c>
      <c r="BE211" s="84" t="n">
        <v>373000</v>
      </c>
      <c r="BF211" s="84" t="n">
        <v>443800</v>
      </c>
      <c r="BG211" s="84" t="n">
        <v>186800</v>
      </c>
      <c r="BH211" s="84" t="n">
        <v>205400</v>
      </c>
      <c r="BI211" s="84" t="n">
        <v>331800</v>
      </c>
      <c r="BJ211" s="84" t="n">
        <v>483100</v>
      </c>
      <c r="BK211" s="84" t="n">
        <v>328400</v>
      </c>
      <c r="BL211" s="84" t="n">
        <v>145800</v>
      </c>
    </row>
    <row r="212" ht="18.75" customFormat="1" customHeight="1" s="83">
      <c r="A212" s="417" t="inlineStr">
        <is>
          <t>4502</t>
        </is>
      </c>
      <c r="B212" s="83" t="inlineStr">
        <is>
          <t>武田薬品</t>
        </is>
      </c>
      <c r="C212" s="84">
        <f>_xll.RssMarket("4502","出来高")</f>
        <v/>
      </c>
      <c r="D212" s="684">
        <f>C212-E212</f>
        <v/>
      </c>
      <c r="E212" s="84" t="n">
        <v>2503900</v>
      </c>
      <c r="F212" s="84" t="n">
        <v>3916500</v>
      </c>
      <c r="G212" s="84" t="n">
        <v>3465300</v>
      </c>
      <c r="H212" s="84" t="n">
        <v>3890400</v>
      </c>
      <c r="I212" s="84" t="n">
        <v>3072600</v>
      </c>
      <c r="J212" s="84" t="n">
        <v>4711800</v>
      </c>
      <c r="K212" s="84" t="n">
        <v>2623200</v>
      </c>
      <c r="L212" s="84" t="n">
        <v>4145900</v>
      </c>
      <c r="M212" s="84" t="n">
        <v>4621900</v>
      </c>
      <c r="N212" s="84" t="n">
        <v>4448200</v>
      </c>
      <c r="O212" s="84" t="n">
        <v>4360600</v>
      </c>
      <c r="P212" s="84" t="n">
        <v>5041600</v>
      </c>
      <c r="Q212" s="84" t="n">
        <v>5212500</v>
      </c>
      <c r="R212" s="84" t="n">
        <v>7712000</v>
      </c>
      <c r="S212" s="84" t="n">
        <v>3797500</v>
      </c>
      <c r="T212" s="84" t="n">
        <v>3687000</v>
      </c>
      <c r="U212" s="84" t="n">
        <v>3811800</v>
      </c>
      <c r="V212" s="84" t="n">
        <v>3742400</v>
      </c>
      <c r="W212" s="84" t="n">
        <v>3251600</v>
      </c>
      <c r="X212" s="84" t="n">
        <v>4328700</v>
      </c>
      <c r="Y212" s="84" t="n">
        <v>4414600</v>
      </c>
      <c r="Z212" s="84" t="n">
        <v>3372900</v>
      </c>
      <c r="AA212" s="84" t="n">
        <v>5258600</v>
      </c>
      <c r="AB212" s="84" t="n">
        <v>5453200</v>
      </c>
      <c r="AC212" s="84" t="n">
        <v>3887700</v>
      </c>
      <c r="AD212" s="84" t="n">
        <v>3103900</v>
      </c>
      <c r="AE212" s="84" t="n">
        <v>4684400</v>
      </c>
      <c r="AF212" s="84" t="n">
        <v>4684400</v>
      </c>
      <c r="AG212" s="84" t="n">
        <v>5448900</v>
      </c>
      <c r="AH212" s="84" t="n">
        <v>6380200</v>
      </c>
      <c r="AI212" s="84" t="n">
        <v>2628900</v>
      </c>
      <c r="AJ212" s="84" t="n">
        <v>5930400</v>
      </c>
      <c r="AK212" s="84" t="n">
        <v>3363300</v>
      </c>
      <c r="AL212" s="84" t="n">
        <v>3749900</v>
      </c>
      <c r="AM212" s="84" t="n">
        <v>2389900</v>
      </c>
      <c r="AN212" s="84" t="n">
        <v>3932200</v>
      </c>
      <c r="AO212" s="84" t="n">
        <v>4930100</v>
      </c>
      <c r="AP212" s="84" t="n">
        <v>3375600</v>
      </c>
      <c r="AQ212" s="84" t="n">
        <v>3105300</v>
      </c>
      <c r="AR212" s="84" t="n">
        <v>5111600</v>
      </c>
      <c r="AS212" s="84" t="n">
        <v>3812900</v>
      </c>
      <c r="AT212" s="84" t="n">
        <v>3779900</v>
      </c>
      <c r="AU212" s="84" t="n">
        <v>3179400</v>
      </c>
      <c r="AV212" s="84" t="n">
        <v>4180100</v>
      </c>
      <c r="AW212" s="84" t="n">
        <v>4293400</v>
      </c>
      <c r="AX212" s="84" t="n">
        <v>5222200</v>
      </c>
      <c r="AY212" s="84" t="n">
        <v>5197100</v>
      </c>
      <c r="AZ212" s="84" t="n">
        <v>3898700</v>
      </c>
      <c r="BA212" s="84" t="n">
        <v>2326500</v>
      </c>
      <c r="BB212" s="84" t="n">
        <v>2269900</v>
      </c>
      <c r="BC212" s="84" t="n">
        <v>4584000</v>
      </c>
      <c r="BD212" s="84" t="n">
        <v>6100500</v>
      </c>
      <c r="BE212" s="84" t="n">
        <v>6439900</v>
      </c>
      <c r="BF212" s="84" t="n">
        <v>5940800</v>
      </c>
      <c r="BG212" s="84" t="n">
        <v>3651500</v>
      </c>
      <c r="BH212" s="84" t="n">
        <v>4521900</v>
      </c>
      <c r="BI212" s="84" t="n">
        <v>3192300</v>
      </c>
      <c r="BJ212" s="84" t="n">
        <v>5922600</v>
      </c>
      <c r="BK212" s="84" t="n">
        <v>7029100</v>
      </c>
      <c r="BL212" s="84" t="n">
        <v>3873700</v>
      </c>
    </row>
    <row r="213" ht="18.75" customFormat="1" customHeight="1" s="83">
      <c r="A213" s="417" t="inlineStr">
        <is>
          <t>4004</t>
        </is>
      </c>
      <c r="B213" s="83" t="inlineStr">
        <is>
          <t>レゾナック・ホールディング</t>
        </is>
      </c>
      <c r="C213" s="84">
        <f>_xll.RssMarket("4004","出来高")</f>
        <v/>
      </c>
      <c r="D213" s="684">
        <f>C213-E213</f>
        <v/>
      </c>
      <c r="E213" s="84" t="n">
        <v>2531900</v>
      </c>
      <c r="F213" s="84" t="n">
        <v>3844400</v>
      </c>
      <c r="G213" s="84" t="n">
        <v>2873600</v>
      </c>
      <c r="H213" s="84" t="n">
        <v>2611900</v>
      </c>
      <c r="I213" s="84" t="n">
        <v>4365600</v>
      </c>
      <c r="J213" s="84" t="n">
        <v>4261100</v>
      </c>
      <c r="K213" s="84" t="n">
        <v>3786500</v>
      </c>
      <c r="L213" s="84" t="n">
        <v>2931600</v>
      </c>
      <c r="M213" s="84" t="n">
        <v>3666000</v>
      </c>
      <c r="N213" s="84" t="n">
        <v>2100000</v>
      </c>
      <c r="O213" s="84" t="n">
        <v>2720300</v>
      </c>
      <c r="P213" s="84" t="n">
        <v>3537100</v>
      </c>
      <c r="Q213" s="84" t="n">
        <v>3219800</v>
      </c>
      <c r="R213" s="84" t="n">
        <v>14244600</v>
      </c>
      <c r="S213" s="84" t="n">
        <v>4344800</v>
      </c>
      <c r="T213" s="84" t="n">
        <v>3310100</v>
      </c>
      <c r="U213" s="84" t="n">
        <v>4334200</v>
      </c>
      <c r="V213" s="84" t="n">
        <v>4156900</v>
      </c>
      <c r="W213" s="84" t="n">
        <v>4153300</v>
      </c>
      <c r="X213" s="84" t="n">
        <v>2929800</v>
      </c>
      <c r="Y213" s="84" t="n">
        <v>3039700</v>
      </c>
      <c r="Z213" s="84" t="n">
        <v>3620100</v>
      </c>
      <c r="AA213" s="84" t="n">
        <v>4930400</v>
      </c>
      <c r="AB213" s="84" t="n">
        <v>7539400</v>
      </c>
      <c r="AC213" s="84" t="n">
        <v>4870500</v>
      </c>
      <c r="AD213" s="84" t="n">
        <v>4272400</v>
      </c>
      <c r="AE213" s="84" t="n">
        <v>3987800</v>
      </c>
      <c r="AF213" s="84" t="n">
        <v>3987800</v>
      </c>
      <c r="AG213" s="84" t="n">
        <v>2827400</v>
      </c>
      <c r="AH213" s="84" t="n">
        <v>4158600</v>
      </c>
      <c r="AI213" s="84" t="n">
        <v>1771800</v>
      </c>
      <c r="AJ213" s="84" t="n">
        <v>2221600</v>
      </c>
      <c r="AK213" s="84" t="n">
        <v>2085700</v>
      </c>
      <c r="AL213" s="84" t="n">
        <v>2354700</v>
      </c>
      <c r="AM213" s="84" t="n">
        <v>3952800</v>
      </c>
      <c r="AN213" s="84" t="n">
        <v>3961500</v>
      </c>
      <c r="AO213" s="84" t="n">
        <v>5223800</v>
      </c>
      <c r="AP213" s="84" t="n">
        <v>2825800</v>
      </c>
      <c r="AQ213" s="84" t="n">
        <v>1539300</v>
      </c>
      <c r="AR213" s="84" t="n">
        <v>2094100</v>
      </c>
      <c r="AS213" s="84" t="n">
        <v>1422700</v>
      </c>
      <c r="AT213" s="84" t="n">
        <v>2680600</v>
      </c>
      <c r="AU213" s="84" t="n">
        <v>2121800</v>
      </c>
      <c r="AV213" s="84" t="n">
        <v>2217900</v>
      </c>
      <c r="AW213" s="84" t="n">
        <v>2357200</v>
      </c>
      <c r="AX213" s="84" t="n">
        <v>3320100</v>
      </c>
      <c r="AY213" s="84" t="n">
        <v>3556800</v>
      </c>
      <c r="AZ213" s="84" t="n">
        <v>2394500</v>
      </c>
      <c r="BA213" s="84" t="n">
        <v>3355700</v>
      </c>
      <c r="BB213" s="84" t="n">
        <v>2668500</v>
      </c>
      <c r="BC213" s="84" t="n">
        <v>3143700</v>
      </c>
      <c r="BD213" s="84" t="n">
        <v>2542400</v>
      </c>
      <c r="BE213" s="84" t="n">
        <v>2618400</v>
      </c>
      <c r="BF213" s="84" t="n">
        <v>2260600</v>
      </c>
      <c r="BG213" s="84" t="n">
        <v>2405000</v>
      </c>
      <c r="BH213" s="84" t="n">
        <v>2672700</v>
      </c>
      <c r="BI213" s="84" t="n">
        <v>3588900</v>
      </c>
      <c r="BJ213" s="84" t="n">
        <v>2874900</v>
      </c>
      <c r="BK213" s="84" t="n">
        <v>2994600</v>
      </c>
      <c r="BL213" s="84" t="n">
        <v>2642300</v>
      </c>
    </row>
    <row r="214" ht="18.75" customFormat="1" customHeight="1" s="83">
      <c r="A214" s="417" t="inlineStr">
        <is>
          <t>9519</t>
        </is>
      </c>
      <c r="B214" s="83" t="inlineStr">
        <is>
          <t>レノバ</t>
        </is>
      </c>
      <c r="C214" s="84">
        <f>_xll.RssMarket("9519","出来高")</f>
        <v/>
      </c>
      <c r="D214" s="684">
        <f>C214-E214</f>
        <v/>
      </c>
      <c r="E214" s="84" t="n">
        <v>1432600</v>
      </c>
      <c r="F214" s="84" t="n">
        <v>956000</v>
      </c>
      <c r="G214" s="84" t="n">
        <v>1032500</v>
      </c>
      <c r="H214" s="84" t="n">
        <v>787600</v>
      </c>
      <c r="I214" s="84" t="n">
        <v>692700</v>
      </c>
      <c r="J214" s="84" t="n">
        <v>573300</v>
      </c>
      <c r="K214" s="84" t="n">
        <v>821600</v>
      </c>
      <c r="L214" s="84" t="n">
        <v>1269200</v>
      </c>
      <c r="M214" s="84" t="n">
        <v>1475800</v>
      </c>
      <c r="N214" s="84" t="n">
        <v>1880600</v>
      </c>
      <c r="O214" s="84" t="n">
        <v>1440100</v>
      </c>
      <c r="P214" s="84" t="n">
        <v>1713400</v>
      </c>
      <c r="Q214" s="84" t="n">
        <v>1749500</v>
      </c>
      <c r="R214" s="84" t="n">
        <v>1557800</v>
      </c>
      <c r="S214" s="84" t="n">
        <v>1330100</v>
      </c>
      <c r="T214" s="84" t="n">
        <v>996700</v>
      </c>
      <c r="U214" s="84" t="n">
        <v>1204700</v>
      </c>
      <c r="V214" s="84" t="n">
        <v>1344500</v>
      </c>
      <c r="W214" s="84" t="n">
        <v>1505700</v>
      </c>
      <c r="X214" s="84" t="n">
        <v>1943400</v>
      </c>
      <c r="Y214" s="84" t="n">
        <v>2372800</v>
      </c>
      <c r="Z214" s="84" t="n">
        <v>1436000</v>
      </c>
      <c r="AA214" s="84" t="n">
        <v>1571100</v>
      </c>
      <c r="AB214" s="84" t="n">
        <v>3271700</v>
      </c>
      <c r="AC214" s="84" t="n">
        <v>1402800</v>
      </c>
      <c r="AD214" s="84" t="n">
        <v>1475100</v>
      </c>
      <c r="AE214" s="84" t="n">
        <v>1555200</v>
      </c>
      <c r="AF214" s="84" t="n">
        <v>1555200</v>
      </c>
      <c r="AG214" s="84" t="n">
        <v>1523600</v>
      </c>
      <c r="AH214" s="84" t="n">
        <v>1249500</v>
      </c>
      <c r="AI214" s="84" t="n">
        <v>1396500</v>
      </c>
      <c r="AJ214" s="84" t="n">
        <v>1578200</v>
      </c>
      <c r="AK214" s="84" t="n">
        <v>1958200</v>
      </c>
      <c r="AL214" s="84" t="n">
        <v>1730500</v>
      </c>
      <c r="AM214" s="84" t="n">
        <v>2671100</v>
      </c>
      <c r="AN214" s="84" t="n">
        <v>1792400</v>
      </c>
      <c r="AO214" s="84" t="n">
        <v>1174700</v>
      </c>
      <c r="AP214" s="84" t="n">
        <v>1252800</v>
      </c>
      <c r="AQ214" s="84" t="n">
        <v>2028900</v>
      </c>
      <c r="AR214" s="84" t="n">
        <v>2816500</v>
      </c>
      <c r="AS214" s="84" t="n">
        <v>2176400</v>
      </c>
      <c r="AT214" s="84" t="n">
        <v>1621300</v>
      </c>
      <c r="AU214" s="84" t="n">
        <v>1829200</v>
      </c>
      <c r="AV214" s="84" t="n">
        <v>2196200</v>
      </c>
      <c r="AW214" s="84" t="n">
        <v>2138600</v>
      </c>
      <c r="AX214" s="84" t="n">
        <v>1953700</v>
      </c>
      <c r="AY214" s="84" t="n">
        <v>1876600</v>
      </c>
      <c r="AZ214" s="84" t="n">
        <v>1723600</v>
      </c>
      <c r="BA214" s="84" t="n">
        <v>1002200</v>
      </c>
      <c r="BB214" s="84" t="n">
        <v>2482800</v>
      </c>
      <c r="BC214" s="84" t="n">
        <v>1475700</v>
      </c>
      <c r="BD214" s="84" t="n">
        <v>1746800</v>
      </c>
      <c r="BE214" s="84" t="n">
        <v>4193200</v>
      </c>
      <c r="BF214" s="84" t="n">
        <v>1214900</v>
      </c>
      <c r="BG214" s="84" t="n">
        <v>690400</v>
      </c>
      <c r="BH214" s="84" t="n">
        <v>1056400</v>
      </c>
      <c r="BI214" s="84" t="n">
        <v>910700</v>
      </c>
      <c r="BJ214" s="84" t="n">
        <v>2349400</v>
      </c>
      <c r="BK214" s="84" t="n">
        <v>1651600</v>
      </c>
      <c r="BL214" s="84" t="n">
        <v>1253400</v>
      </c>
    </row>
    <row r="215" ht="18.75" customFormat="1" customHeight="1" s="83">
      <c r="A215" s="417" t="inlineStr">
        <is>
          <t>6752</t>
        </is>
      </c>
      <c r="B215" s="83" t="inlineStr">
        <is>
          <t>パナソニックホールディンク</t>
        </is>
      </c>
      <c r="C215" s="84">
        <f>_xll.RssMarket("6752","出来高")</f>
        <v/>
      </c>
      <c r="D215" s="684">
        <f>C215-E215</f>
        <v/>
      </c>
      <c r="E215" s="84" t="n">
        <v>13849300</v>
      </c>
      <c r="F215" s="84" t="n">
        <v>16565200</v>
      </c>
      <c r="G215" s="84" t="n">
        <v>14399900</v>
      </c>
      <c r="H215" s="84" t="n">
        <v>12296100</v>
      </c>
      <c r="I215" s="84" t="n">
        <v>12023600</v>
      </c>
      <c r="J215" s="84" t="n">
        <v>16282100</v>
      </c>
      <c r="K215" s="84" t="n">
        <v>9323500</v>
      </c>
      <c r="L215" s="84" t="n">
        <v>14321600</v>
      </c>
      <c r="M215" s="84" t="n">
        <v>13293300</v>
      </c>
      <c r="N215" s="84" t="n">
        <v>10487900</v>
      </c>
      <c r="O215" s="84" t="n">
        <v>13402400</v>
      </c>
      <c r="P215" s="84" t="n">
        <v>16005500</v>
      </c>
      <c r="Q215" s="84" t="n">
        <v>11490500</v>
      </c>
      <c r="R215" s="84" t="n">
        <v>22141600</v>
      </c>
      <c r="S215" s="84" t="n">
        <v>10582200</v>
      </c>
      <c r="T215" s="84" t="n">
        <v>10089200</v>
      </c>
      <c r="U215" s="84" t="n">
        <v>11042100</v>
      </c>
      <c r="V215" s="84" t="n">
        <v>10734700</v>
      </c>
      <c r="W215" s="84" t="n">
        <v>9240900</v>
      </c>
      <c r="X215" s="84" t="n">
        <v>8845800</v>
      </c>
      <c r="Y215" s="84" t="n">
        <v>6087000</v>
      </c>
      <c r="Z215" s="84" t="n">
        <v>7607300</v>
      </c>
      <c r="AA215" s="84" t="n">
        <v>14918100</v>
      </c>
      <c r="AB215" s="84" t="n">
        <v>13884900</v>
      </c>
      <c r="AC215" s="84" t="n">
        <v>14747200</v>
      </c>
      <c r="AD215" s="84" t="n">
        <v>11139600</v>
      </c>
      <c r="AE215" s="84" t="n">
        <v>11236300</v>
      </c>
      <c r="AF215" s="84" t="n">
        <v>11236300</v>
      </c>
      <c r="AG215" s="84" t="n">
        <v>11707600</v>
      </c>
      <c r="AH215" s="84" t="n">
        <v>17088700</v>
      </c>
      <c r="AI215" s="84" t="n">
        <v>12213500</v>
      </c>
      <c r="AJ215" s="84" t="n">
        <v>14720800</v>
      </c>
      <c r="AK215" s="84" t="n">
        <v>7892400</v>
      </c>
      <c r="AL215" s="84" t="n">
        <v>13460700</v>
      </c>
      <c r="AM215" s="84" t="n">
        <v>8440700</v>
      </c>
      <c r="AN215" s="84" t="n">
        <v>9092000</v>
      </c>
      <c r="AO215" s="84" t="n">
        <v>6724200</v>
      </c>
      <c r="AP215" s="84" t="n">
        <v>9019000</v>
      </c>
      <c r="AQ215" s="84" t="n">
        <v>8048600</v>
      </c>
      <c r="AR215" s="84" t="n">
        <v>8182500</v>
      </c>
      <c r="AS215" s="84" t="n">
        <v>8106200</v>
      </c>
      <c r="AT215" s="84" t="n">
        <v>7239700</v>
      </c>
      <c r="AU215" s="84" t="n">
        <v>8035400</v>
      </c>
      <c r="AV215" s="84" t="n">
        <v>5818900</v>
      </c>
      <c r="AW215" s="84" t="n">
        <v>9024600</v>
      </c>
      <c r="AX215" s="84" t="n">
        <v>11551100</v>
      </c>
      <c r="AY215" s="84" t="n">
        <v>12023300</v>
      </c>
      <c r="AZ215" s="84" t="n">
        <v>8029600</v>
      </c>
      <c r="BA215" s="84" t="n">
        <v>5743100</v>
      </c>
      <c r="BB215" s="84" t="n">
        <v>5918600</v>
      </c>
      <c r="BC215" s="84" t="n">
        <v>9531200</v>
      </c>
      <c r="BD215" s="84" t="n">
        <v>11963200</v>
      </c>
      <c r="BE215" s="84" t="n">
        <v>10835700</v>
      </c>
      <c r="BF215" s="84" t="n">
        <v>9725700</v>
      </c>
      <c r="BG215" s="84" t="n">
        <v>9350500</v>
      </c>
      <c r="BH215" s="84" t="n">
        <v>9213600</v>
      </c>
      <c r="BI215" s="84" t="n">
        <v>7120100</v>
      </c>
      <c r="BJ215" s="84" t="n">
        <v>8440400</v>
      </c>
      <c r="BK215" s="84" t="n">
        <v>12098400</v>
      </c>
      <c r="BL215" s="84" t="n">
        <v>8246900</v>
      </c>
    </row>
    <row r="216" ht="18.75" customFormat="1" customHeight="1" s="83">
      <c r="A216" s="417" t="inlineStr">
        <is>
          <t>6622</t>
        </is>
      </c>
      <c r="B216" s="83" t="inlineStr">
        <is>
          <t>ダイヘン</t>
        </is>
      </c>
      <c r="C216" s="84">
        <f>_xll.RssMarket("6622","出来高")</f>
        <v/>
      </c>
      <c r="D216" s="684">
        <f>C216-E216</f>
        <v/>
      </c>
      <c r="E216" s="84" t="n">
        <v>283800</v>
      </c>
      <c r="F216" s="84" t="n">
        <v>358200</v>
      </c>
      <c r="G216" s="84" t="n">
        <v>510500</v>
      </c>
      <c r="H216" s="84" t="n">
        <v>210700</v>
      </c>
      <c r="I216" s="84" t="n">
        <v>185400</v>
      </c>
      <c r="J216" s="84" t="n">
        <v>193400</v>
      </c>
      <c r="K216" s="84" t="n">
        <v>221800</v>
      </c>
      <c r="L216" s="84" t="n">
        <v>229700</v>
      </c>
      <c r="M216" s="84" t="n">
        <v>395800</v>
      </c>
      <c r="N216" s="84" t="n">
        <v>267200</v>
      </c>
      <c r="O216" s="84" t="n">
        <v>186700</v>
      </c>
      <c r="P216" s="84" t="n">
        <v>183800</v>
      </c>
      <c r="Q216" s="84" t="n">
        <v>245500</v>
      </c>
      <c r="R216" s="84" t="n">
        <v>240800</v>
      </c>
      <c r="S216" s="84" t="n">
        <v>170400</v>
      </c>
      <c r="T216" s="84" t="n">
        <v>172000</v>
      </c>
      <c r="U216" s="84" t="n">
        <v>222600</v>
      </c>
      <c r="V216" s="84" t="n">
        <v>198000</v>
      </c>
      <c r="W216" s="84" t="n">
        <v>207100</v>
      </c>
      <c r="X216" s="84" t="n">
        <v>275100</v>
      </c>
      <c r="Y216" s="84" t="n">
        <v>231000</v>
      </c>
      <c r="Z216" s="84" t="n">
        <v>154600</v>
      </c>
      <c r="AA216" s="84" t="n">
        <v>237300</v>
      </c>
      <c r="AB216" s="84" t="n">
        <v>264100</v>
      </c>
      <c r="AC216" s="84" t="n">
        <v>268300</v>
      </c>
      <c r="AD216" s="84" t="n">
        <v>587900</v>
      </c>
      <c r="AE216" s="84" t="n">
        <v>423200</v>
      </c>
      <c r="AF216" s="84" t="n">
        <v>423200</v>
      </c>
      <c r="AG216" s="84" t="n">
        <v>272100</v>
      </c>
      <c r="AH216" s="84" t="n">
        <v>423200</v>
      </c>
      <c r="AI216" s="84" t="n">
        <v>366200</v>
      </c>
      <c r="AJ216" s="84" t="n">
        <v>378400</v>
      </c>
      <c r="AK216" s="84" t="n">
        <v>188900</v>
      </c>
      <c r="AL216" s="84" t="n">
        <v>314200</v>
      </c>
      <c r="AM216" s="84" t="n">
        <v>117300</v>
      </c>
      <c r="AN216" s="84" t="n">
        <v>152200</v>
      </c>
      <c r="AO216" s="84" t="n">
        <v>104600</v>
      </c>
      <c r="AP216" s="84" t="n">
        <v>76400</v>
      </c>
      <c r="AQ216" s="84" t="n">
        <v>69900</v>
      </c>
      <c r="AR216" s="84" t="n">
        <v>97100</v>
      </c>
      <c r="AS216" s="84" t="n">
        <v>141500</v>
      </c>
      <c r="AT216" s="84" t="n">
        <v>160200</v>
      </c>
      <c r="AU216" s="84" t="n">
        <v>160800</v>
      </c>
      <c r="AV216" s="84" t="n">
        <v>187300</v>
      </c>
      <c r="AW216" s="84" t="n">
        <v>234800</v>
      </c>
      <c r="AX216" s="84" t="n">
        <v>231000</v>
      </c>
      <c r="AY216" s="84" t="n">
        <v>329000</v>
      </c>
      <c r="AZ216" s="84" t="n">
        <v>114700</v>
      </c>
      <c r="BA216" s="84" t="n">
        <v>193200</v>
      </c>
      <c r="BB216" s="84" t="n">
        <v>95200</v>
      </c>
      <c r="BC216" s="84" t="n">
        <v>158300</v>
      </c>
      <c r="BD216" s="84" t="n">
        <v>222000</v>
      </c>
      <c r="BE216" s="84" t="n">
        <v>194300</v>
      </c>
      <c r="BF216" s="84" t="n">
        <v>208100</v>
      </c>
      <c r="BG216" s="84" t="n">
        <v>121300</v>
      </c>
      <c r="BH216" s="84" t="n">
        <v>109400</v>
      </c>
      <c r="BI216" s="84" t="n">
        <v>121800</v>
      </c>
      <c r="BJ216" s="84" t="n">
        <v>232200</v>
      </c>
      <c r="BK216" s="84" t="n">
        <v>284000</v>
      </c>
      <c r="BL216" s="84" t="n">
        <v>160600</v>
      </c>
    </row>
    <row r="217" ht="18.75" customFormat="1" customHeight="1" s="83">
      <c r="A217" s="417" t="inlineStr">
        <is>
          <t>1407</t>
        </is>
      </c>
      <c r="B217" s="83" t="inlineStr">
        <is>
          <t>ウエストホールディングス</t>
        </is>
      </c>
      <c r="C217" s="84">
        <f>_xll.RssMarket("1407","出来高")</f>
        <v/>
      </c>
      <c r="D217" s="684">
        <f>C217-E217</f>
        <v/>
      </c>
      <c r="E217" s="84" t="n">
        <v>373000</v>
      </c>
      <c r="F217" s="84" t="n">
        <v>545300</v>
      </c>
      <c r="G217" s="84" t="n">
        <v>301300</v>
      </c>
      <c r="H217" s="84" t="n">
        <v>332800</v>
      </c>
      <c r="I217" s="84" t="n">
        <v>408800</v>
      </c>
      <c r="J217" s="84" t="n">
        <v>450200</v>
      </c>
      <c r="K217" s="84" t="n">
        <v>663600</v>
      </c>
      <c r="L217" s="84" t="n">
        <v>639900</v>
      </c>
      <c r="M217" s="84" t="n">
        <v>458000</v>
      </c>
      <c r="N217" s="84" t="n">
        <v>735100</v>
      </c>
      <c r="O217" s="84" t="n">
        <v>596600</v>
      </c>
      <c r="P217" s="84" t="n">
        <v>632200</v>
      </c>
      <c r="Q217" s="84" t="n">
        <v>857000</v>
      </c>
      <c r="R217" s="84" t="n">
        <v>1122600</v>
      </c>
      <c r="S217" s="84" t="n">
        <v>644200</v>
      </c>
      <c r="T217" s="84" t="n">
        <v>661300</v>
      </c>
      <c r="U217" s="84" t="n">
        <v>511800</v>
      </c>
      <c r="V217" s="84" t="n">
        <v>733800</v>
      </c>
      <c r="W217" s="84" t="n">
        <v>907200</v>
      </c>
      <c r="X217" s="84" t="n">
        <v>794500</v>
      </c>
      <c r="Y217" s="84" t="n">
        <v>684400</v>
      </c>
      <c r="Z217" s="84" t="n">
        <v>467800</v>
      </c>
      <c r="AA217" s="84" t="n">
        <v>609400</v>
      </c>
      <c r="AB217" s="84" t="n">
        <v>714300</v>
      </c>
      <c r="AC217" s="84" t="n">
        <v>694600</v>
      </c>
      <c r="AD217" s="84" t="n">
        <v>1153700</v>
      </c>
      <c r="AE217" s="84" t="n">
        <v>746600</v>
      </c>
      <c r="AF217" s="84" t="n">
        <v>746600</v>
      </c>
      <c r="AG217" s="84" t="n">
        <v>708400</v>
      </c>
      <c r="AH217" s="84" t="n">
        <v>1297000</v>
      </c>
      <c r="AI217" s="84" t="n">
        <v>1520300</v>
      </c>
      <c r="AJ217" s="84" t="n">
        <v>1548900</v>
      </c>
      <c r="AK217" s="84" t="n">
        <v>885400</v>
      </c>
      <c r="AL217" s="84" t="n">
        <v>1610400</v>
      </c>
      <c r="AM217" s="84" t="n">
        <v>1391900</v>
      </c>
      <c r="AN217" s="84" t="n">
        <v>1043700</v>
      </c>
      <c r="AO217" s="84" t="n">
        <v>549000</v>
      </c>
      <c r="AP217" s="84" t="n">
        <v>923400</v>
      </c>
      <c r="AQ217" s="84" t="n">
        <v>996600</v>
      </c>
      <c r="AR217" s="84" t="n">
        <v>1357400</v>
      </c>
      <c r="AS217" s="84" t="n">
        <v>1902000</v>
      </c>
      <c r="AT217" s="84" t="n">
        <v>2113400</v>
      </c>
      <c r="AU217" s="84" t="n">
        <v>1755400</v>
      </c>
      <c r="AV217" s="84" t="n">
        <v>750200</v>
      </c>
      <c r="AW217" s="84" t="n">
        <v>669900</v>
      </c>
      <c r="AX217" s="84" t="n">
        <v>395700</v>
      </c>
      <c r="AY217" s="84" t="n">
        <v>434700</v>
      </c>
      <c r="AZ217" s="84" t="n">
        <v>393000</v>
      </c>
      <c r="BA217" s="84" t="n">
        <v>354600</v>
      </c>
      <c r="BB217" s="84" t="n">
        <v>451100</v>
      </c>
      <c r="BC217" s="84" t="n">
        <v>371600</v>
      </c>
      <c r="BD217" s="84" t="n">
        <v>421400</v>
      </c>
      <c r="BE217" s="84" t="n">
        <v>979000</v>
      </c>
      <c r="BF217" s="84" t="n">
        <v>294800</v>
      </c>
      <c r="BG217" s="84" t="n">
        <v>376800</v>
      </c>
      <c r="BH217" s="84" t="n">
        <v>367700</v>
      </c>
      <c r="BI217" s="84" t="n">
        <v>566000</v>
      </c>
      <c r="BJ217" s="84" t="n">
        <v>910300</v>
      </c>
      <c r="BK217" s="84" t="n">
        <v>910600</v>
      </c>
      <c r="BL217" s="84" t="n">
        <v>688600</v>
      </c>
    </row>
    <row r="218" ht="18.75" customFormat="1" customHeight="1" s="83">
      <c r="A218" s="417" t="inlineStr">
        <is>
          <t>285A</t>
        </is>
      </c>
      <c r="B218" s="83" t="inlineStr">
        <is>
          <t>QPS研究所</t>
        </is>
      </c>
      <c r="C218" s="84">
        <f>_xll.RssMarket("285A","出来高")</f>
        <v/>
      </c>
      <c r="D218" s="684">
        <f>C218-E218</f>
        <v/>
      </c>
      <c r="E218" s="84" t="n">
        <v>23790200</v>
      </c>
      <c r="F218" s="84" t="n">
        <v>34871100</v>
      </c>
      <c r="G218" s="84" t="n">
        <v>30706700</v>
      </c>
      <c r="H218" s="84" t="n">
        <v>28043300</v>
      </c>
      <c r="I218" s="84" t="n">
        <v>36218300</v>
      </c>
      <c r="J218" s="84" t="n">
        <v>38142700</v>
      </c>
      <c r="K218" s="84" t="n">
        <v>50578100</v>
      </c>
      <c r="L218" s="84" t="n">
        <v>39377200</v>
      </c>
      <c r="M218" s="84" t="n">
        <v>44666500</v>
      </c>
      <c r="N218" s="84" t="n">
        <v>36522900</v>
      </c>
      <c r="O218" s="84" t="n">
        <v>34757400</v>
      </c>
      <c r="P218" s="84" t="n">
        <v>43609900</v>
      </c>
      <c r="Q218" s="84" t="n">
        <v>43759900</v>
      </c>
      <c r="R218" s="84" t="n">
        <v>42526500</v>
      </c>
      <c r="S218" s="84" t="n">
        <v>41659000</v>
      </c>
      <c r="T218" s="84" t="n">
        <v>44939300</v>
      </c>
      <c r="U218" s="84" t="n">
        <v>38801400</v>
      </c>
      <c r="V218" s="84" t="n">
        <v>25359700</v>
      </c>
      <c r="W218" s="84" t="n">
        <v>55514600</v>
      </c>
      <c r="X218" s="84" t="n">
        <v>31479300</v>
      </c>
      <c r="Y218" s="84" t="n">
        <v>50094200</v>
      </c>
      <c r="Z218" s="84" t="n">
        <v>822500</v>
      </c>
      <c r="AA218" s="84" t="n">
        <v>37961800</v>
      </c>
      <c r="AB218" s="84" t="n">
        <v>47858500</v>
      </c>
      <c r="AC218" s="84" t="n">
        <v>29747400</v>
      </c>
      <c r="AD218" s="84" t="n">
        <v>28465500</v>
      </c>
      <c r="AE218" s="84" t="n">
        <v>38790300</v>
      </c>
      <c r="AF218" s="84" t="n">
        <v>38790300</v>
      </c>
      <c r="AG218" s="84" t="n">
        <v>41407500</v>
      </c>
      <c r="AH218" s="84" t="n">
        <v>1272600</v>
      </c>
      <c r="AI218" s="84" t="n">
        <v>19165800</v>
      </c>
      <c r="AJ218" s="84" t="n">
        <v>29168400</v>
      </c>
      <c r="AK218" s="84" t="n">
        <v>25822100</v>
      </c>
      <c r="AL218" s="84" t="n">
        <v>23623700</v>
      </c>
      <c r="AM218" s="84" t="n">
        <v>26027500</v>
      </c>
      <c r="AN218" s="84" t="n">
        <v>37506500</v>
      </c>
      <c r="AO218" s="84" t="n">
        <v>33385900</v>
      </c>
      <c r="AP218" s="84" t="n">
        <v>25308700</v>
      </c>
      <c r="AQ218" s="84" t="n">
        <v>34333100</v>
      </c>
      <c r="AR218" s="84" t="n">
        <v>43942400</v>
      </c>
      <c r="AS218" s="84" t="n">
        <v>46786500</v>
      </c>
      <c r="AT218" s="84" t="n">
        <v>40950200</v>
      </c>
      <c r="AU218" s="84" t="n">
        <v>46069600</v>
      </c>
      <c r="AV218" s="84" t="n">
        <v>34739200</v>
      </c>
      <c r="AW218" s="84" t="n">
        <v>46551200</v>
      </c>
      <c r="AX218" s="84" t="n">
        <v>46924600</v>
      </c>
      <c r="AY218" s="84" t="n">
        <v>50405200</v>
      </c>
      <c r="AZ218" s="84" t="n">
        <v>38777800</v>
      </c>
      <c r="BA218" s="84" t="n">
        <v>27927400</v>
      </c>
      <c r="BB218" s="84" t="n">
        <v>28862600</v>
      </c>
      <c r="BC218" s="84" t="n">
        <v>45516500</v>
      </c>
      <c r="BD218" s="84" t="n">
        <v>34610900</v>
      </c>
      <c r="BE218" s="84" t="n">
        <v>30911800</v>
      </c>
      <c r="BF218" s="84" t="n">
        <v>37035800</v>
      </c>
      <c r="BG218" s="84" t="n">
        <v>34436500</v>
      </c>
      <c r="BH218" s="84" t="n">
        <v>34892500</v>
      </c>
      <c r="BI218" s="84" t="n">
        <v>51140900</v>
      </c>
      <c r="BJ218" s="84" t="n">
        <v>37435300</v>
      </c>
      <c r="BK218" s="84" t="n">
        <v>37245300</v>
      </c>
      <c r="BL218" s="84" t="n">
        <v>40719000</v>
      </c>
    </row>
    <row r="219" ht="18.75" customFormat="1" customHeight="1" s="83">
      <c r="A219" s="417" t="inlineStr">
        <is>
          <t>141A</t>
        </is>
      </c>
      <c r="B219" s="83" t="inlineStr">
        <is>
          <t>トライアルホールディングス</t>
        </is>
      </c>
      <c r="C219" s="84">
        <f>_xll.RssMarket("141A","出来高")</f>
        <v/>
      </c>
      <c r="D219" s="684">
        <f>C219-E219</f>
        <v/>
      </c>
      <c r="E219" s="84" t="n">
        <v>561000</v>
      </c>
      <c r="F219" s="84" t="n">
        <v>644700</v>
      </c>
      <c r="G219" s="84" t="n">
        <v>719200</v>
      </c>
      <c r="H219" s="84" t="n">
        <v>725000</v>
      </c>
      <c r="I219" s="84" t="n">
        <v>708300</v>
      </c>
      <c r="J219" s="84" t="n">
        <v>789200</v>
      </c>
      <c r="K219" s="84" t="n">
        <v>1139800</v>
      </c>
      <c r="L219" s="84" t="n">
        <v>716100</v>
      </c>
      <c r="M219" s="84" t="n">
        <v>948300</v>
      </c>
      <c r="N219" s="84" t="n">
        <v>1158000</v>
      </c>
      <c r="O219" s="84" t="n">
        <v>1114100</v>
      </c>
      <c r="P219" s="84" t="n">
        <v>2080500</v>
      </c>
      <c r="Q219" s="84" t="n">
        <v>1351600</v>
      </c>
      <c r="R219" s="84" t="n">
        <v>1052700</v>
      </c>
      <c r="S219" s="84" t="n">
        <v>2342800</v>
      </c>
      <c r="T219" s="84" t="n">
        <v>3547100</v>
      </c>
      <c r="U219" s="84" t="n">
        <v>2116700</v>
      </c>
      <c r="V219" s="84" t="n">
        <v>1224100</v>
      </c>
      <c r="W219" s="84" t="n">
        <v>2077000</v>
      </c>
      <c r="X219" s="84" t="n">
        <v>2380200</v>
      </c>
      <c r="Y219" s="84" t="n">
        <v>3530000</v>
      </c>
      <c r="Z219" s="84" t="n">
        <v>6921200</v>
      </c>
      <c r="AA219" s="84" t="n">
        <v>2195000</v>
      </c>
      <c r="AB219" s="84" t="n">
        <v>1118900</v>
      </c>
      <c r="AC219" s="84" t="n">
        <v>768600</v>
      </c>
      <c r="AD219" s="84" t="n">
        <v>863800</v>
      </c>
      <c r="AE219" s="84" t="n">
        <v>616500</v>
      </c>
      <c r="AF219" s="84" t="n">
        <v>715300</v>
      </c>
      <c r="AG219" s="84" t="n">
        <v>1285300</v>
      </c>
      <c r="AH219" s="84" t="n">
        <v>658800</v>
      </c>
      <c r="AI219" s="84" t="n">
        <v>876900</v>
      </c>
      <c r="AJ219" s="84" t="n">
        <v>861200</v>
      </c>
      <c r="AK219" s="84" t="n">
        <v>975700</v>
      </c>
      <c r="AL219" s="84" t="n">
        <v>1418800</v>
      </c>
      <c r="AM219" s="84" t="n">
        <v>1583300</v>
      </c>
      <c r="AN219" s="84" t="n">
        <v>742700</v>
      </c>
      <c r="AO219" s="84" t="n">
        <v>805400</v>
      </c>
      <c r="AP219" s="84" t="n">
        <v>696400</v>
      </c>
      <c r="AQ219" s="84" t="n">
        <v>517800</v>
      </c>
      <c r="AR219" s="84" t="n">
        <v>723500</v>
      </c>
      <c r="AS219" s="84" t="n">
        <v>703400</v>
      </c>
      <c r="AT219" s="84" t="n">
        <v>802600</v>
      </c>
      <c r="AU219" s="84" t="n">
        <v>1808700</v>
      </c>
      <c r="AV219" s="84" t="n">
        <v>1710600</v>
      </c>
      <c r="AW219" s="84" t="n">
        <v>1292200</v>
      </c>
      <c r="AX219" s="84" t="n">
        <v>1441400</v>
      </c>
      <c r="AY219" s="84" t="n">
        <v>837700</v>
      </c>
      <c r="AZ219" s="84" t="n">
        <v>643500</v>
      </c>
      <c r="BA219" s="84" t="n">
        <v>600700</v>
      </c>
      <c r="BB219" s="84" t="n">
        <v>1189400</v>
      </c>
      <c r="BC219" s="84" t="n">
        <v>774400</v>
      </c>
      <c r="BD219" s="84" t="n">
        <v>588500</v>
      </c>
      <c r="BE219" s="84" t="n">
        <v>687900</v>
      </c>
      <c r="BF219" s="84" t="n">
        <v>639900</v>
      </c>
      <c r="BG219" s="84" t="n">
        <v>511200</v>
      </c>
      <c r="BH219" s="84" t="n">
        <v>511800</v>
      </c>
      <c r="BI219" s="84" t="n">
        <v>628000</v>
      </c>
      <c r="BJ219" s="84" t="n">
        <v>940400</v>
      </c>
      <c r="BK219" s="84" t="n">
        <v>1451900</v>
      </c>
      <c r="BL219" s="84" t="n">
        <v>1250400</v>
      </c>
    </row>
    <row r="220" ht="18.75" customFormat="1" customHeight="1" s="83">
      <c r="A220" s="417" t="inlineStr">
        <is>
          <t>464A</t>
        </is>
      </c>
      <c r="B220" s="83" t="inlineStr">
        <is>
          <t>QPSホールディングス</t>
        </is>
      </c>
      <c r="C220" s="84">
        <f>_xll.RssMarket("464A","出来高")</f>
        <v/>
      </c>
      <c r="D220" s="684">
        <f>C220-E220</f>
        <v/>
      </c>
      <c r="E220" s="84" t="n">
        <v>1737000</v>
      </c>
      <c r="F220" s="84" t="n">
        <v>1497500</v>
      </c>
      <c r="G220" s="84" t="n">
        <v>1841200</v>
      </c>
      <c r="H220" s="84" t="n">
        <v>2611600</v>
      </c>
      <c r="I220" s="84" t="n">
        <v>2807700</v>
      </c>
      <c r="J220" s="84" t="n">
        <v>2837500</v>
      </c>
      <c r="K220" s="84" t="n">
        <v>2251600</v>
      </c>
      <c r="L220" s="84" t="n">
        <v>2352800</v>
      </c>
      <c r="M220" s="84" t="n">
        <v>2974500</v>
      </c>
      <c r="N220" s="84" t="n">
        <v>3751100</v>
      </c>
      <c r="O220" s="84" t="n">
        <v>3895500</v>
      </c>
      <c r="P220" s="84" t="n">
        <v>2733500</v>
      </c>
      <c r="Q220" s="84" t="n">
        <v>4760900</v>
      </c>
      <c r="R220" s="84" t="n">
        <v>4229900</v>
      </c>
      <c r="S220" s="84" t="n">
        <v>3051500</v>
      </c>
      <c r="T220" s="84" t="n">
        <v>3649100</v>
      </c>
      <c r="U220" s="84" t="n">
        <v>3788800</v>
      </c>
      <c r="V220" s="84" t="n">
        <v>3413500</v>
      </c>
      <c r="W220" s="84" t="n">
        <v>1954800</v>
      </c>
      <c r="X220" s="84" t="n">
        <v>2315600</v>
      </c>
      <c r="Y220" s="84" t="n">
        <v>3505600</v>
      </c>
      <c r="Z220" s="84" t="n">
        <v>1295100</v>
      </c>
      <c r="AA220" s="84" t="n">
        <v>2389500</v>
      </c>
      <c r="AB220" s="84" t="n">
        <v>3181800</v>
      </c>
      <c r="AC220" s="84" t="n">
        <v>1943400</v>
      </c>
      <c r="AD220" s="84" t="n">
        <v>2640800</v>
      </c>
      <c r="AE220" s="84" t="n">
        <v>2663400</v>
      </c>
      <c r="AF220" s="84" t="n">
        <v>2663400</v>
      </c>
      <c r="AG220" s="84" t="n">
        <v>2611600</v>
      </c>
      <c r="AH220" s="84" t="n">
        <v>1827800</v>
      </c>
      <c r="AI220" s="84" t="n">
        <v>1381400</v>
      </c>
      <c r="AJ220" s="84" t="n">
        <v>1937800</v>
      </c>
      <c r="AK220" s="84" t="n">
        <v>1767500</v>
      </c>
      <c r="AL220" s="84" t="n">
        <v>1962000</v>
      </c>
      <c r="AM220" s="84" t="n">
        <v>2251800</v>
      </c>
      <c r="AN220" s="84" t="n">
        <v>2098400</v>
      </c>
      <c r="AO220" s="84" t="n">
        <v>2316600</v>
      </c>
      <c r="AP220" s="84" t="n">
        <v>2367700</v>
      </c>
      <c r="AQ220" s="84" t="n">
        <v>2674500</v>
      </c>
      <c r="AR220" s="84" t="n">
        <v>2059500</v>
      </c>
      <c r="AS220" s="84" t="n">
        <v>2197200</v>
      </c>
      <c r="AT220" s="84" t="n">
        <v>3758500</v>
      </c>
      <c r="AU220" s="84" t="n">
        <v>5579800</v>
      </c>
      <c r="AV220" s="84" t="n">
        <v>2936400</v>
      </c>
      <c r="AW220" s="84" t="n">
        <v>5242000</v>
      </c>
      <c r="AX220" s="84" t="n">
        <v>2572600</v>
      </c>
      <c r="AY220" s="84" t="n">
        <v>3994200</v>
      </c>
      <c r="AZ220" s="84" t="n">
        <v>2155700</v>
      </c>
      <c r="BA220" s="84" t="n">
        <v>1995200</v>
      </c>
      <c r="BB220" s="84" t="n">
        <v>2165500</v>
      </c>
      <c r="BC220" s="84" t="n">
        <v>4100700</v>
      </c>
      <c r="BD220" s="84" t="n">
        <v>1582600</v>
      </c>
      <c r="BE220" s="84" t="n">
        <v>2411400</v>
      </c>
      <c r="BF220" s="84" t="n">
        <v>1653900</v>
      </c>
      <c r="BG220" s="84" t="n">
        <v>1898900</v>
      </c>
      <c r="BH220" s="84" t="n">
        <v>2293000</v>
      </c>
      <c r="BI220" s="84" t="n">
        <v>1849600</v>
      </c>
      <c r="BJ220" s="84" t="n">
        <v>2703800</v>
      </c>
      <c r="BK220" s="84" t="n">
        <v>4454200</v>
      </c>
      <c r="BL220" s="84" t="n">
        <v>5297200</v>
      </c>
    </row>
    <row r="221" ht="18.75" customFormat="1" customHeight="1" s="83">
      <c r="A221" s="417" t="inlineStr">
        <is>
          <t>485A</t>
        </is>
      </c>
      <c r="B221" s="83" t="inlineStr">
        <is>
          <t>パワーエックス</t>
        </is>
      </c>
      <c r="C221" s="84">
        <f>_xll.RssMarket("485A","出来高")</f>
        <v/>
      </c>
      <c r="D221" s="684">
        <f>C221-E221</f>
        <v/>
      </c>
      <c r="E221" s="84" t="n">
        <v>13366400</v>
      </c>
      <c r="F221" s="84" t="n">
        <v>11664300</v>
      </c>
      <c r="G221" s="84" t="n">
        <v>10288100</v>
      </c>
      <c r="H221" s="84" t="n">
        <v>4976500</v>
      </c>
      <c r="I221" s="84" t="n">
        <v>7038100</v>
      </c>
      <c r="J221" s="84" t="n">
        <v>4709800</v>
      </c>
      <c r="K221" s="84" t="n">
        <v>8061400</v>
      </c>
      <c r="L221" s="84" t="n">
        <v>3233100</v>
      </c>
      <c r="M221" s="84" t="n">
        <v>2515500</v>
      </c>
      <c r="N221" s="84" t="n">
        <v>3931300</v>
      </c>
      <c r="O221" s="84" t="n">
        <v>7197800</v>
      </c>
      <c r="P221" s="84" t="n">
        <v>2356600</v>
      </c>
      <c r="Q221" s="84" t="n">
        <v>3070600</v>
      </c>
      <c r="R221" s="84" t="n">
        <v>3773900</v>
      </c>
      <c r="S221" s="84" t="n">
        <v>2114400</v>
      </c>
      <c r="T221" s="84" t="n">
        <v>519400</v>
      </c>
      <c r="U221" s="84" t="n">
        <v>1235600</v>
      </c>
      <c r="V221" s="84" t="n">
        <v>810100</v>
      </c>
      <c r="W221" s="84" t="n">
        <v>1091000</v>
      </c>
      <c r="X221" s="84" t="n">
        <v>1194100</v>
      </c>
      <c r="Y221" s="84" t="n">
        <v>2322600</v>
      </c>
      <c r="Z221" s="84" t="n">
        <v>2731700</v>
      </c>
      <c r="AA221" s="84" t="n">
        <v>1745900</v>
      </c>
      <c r="AB221" s="84" t="n">
        <v>1423000</v>
      </c>
      <c r="AC221" s="84" t="n">
        <v>2313300</v>
      </c>
      <c r="AD221" s="84" t="n">
        <v>3988500</v>
      </c>
      <c r="AE221" s="84" t="n">
        <v>5217300</v>
      </c>
      <c r="AF221" s="84" t="n">
        <v>5217300</v>
      </c>
      <c r="AG221" s="84" t="n">
        <v>3054000</v>
      </c>
      <c r="AH221" s="84" t="n">
        <v>2114400</v>
      </c>
      <c r="AI221" s="84" t="n">
        <v>3726000</v>
      </c>
      <c r="AJ221" s="84" t="n">
        <v>2659200</v>
      </c>
      <c r="AK221" s="84" t="n">
        <v>2630500</v>
      </c>
      <c r="AL221" s="84" t="n">
        <v>2730800</v>
      </c>
      <c r="AM221" s="84" t="n">
        <v>2050900</v>
      </c>
      <c r="AN221" s="84" t="n">
        <v>1223800</v>
      </c>
      <c r="AO221" s="84" t="n">
        <v>1184800</v>
      </c>
      <c r="AP221" s="84" t="n">
        <v>956200</v>
      </c>
      <c r="AQ221" s="84" t="n">
        <v>729500</v>
      </c>
      <c r="AR221" s="84" t="n">
        <v>1457800</v>
      </c>
      <c r="AS221" s="84" t="n">
        <v>1565700</v>
      </c>
      <c r="AT221" s="84" t="n">
        <v>1090400</v>
      </c>
      <c r="AU221" s="84" t="n">
        <v>2159400</v>
      </c>
      <c r="AV221" s="84" t="n">
        <v>2708400</v>
      </c>
      <c r="AW221" s="84" t="n">
        <v>4614400</v>
      </c>
      <c r="AX221" s="84" t="n">
        <v>3903600</v>
      </c>
      <c r="AY221" s="84" t="n">
        <v>3182200</v>
      </c>
      <c r="AZ221" s="84" t="n">
        <v>1766100</v>
      </c>
      <c r="BA221" s="84" t="n">
        <v>3432500</v>
      </c>
      <c r="BB221" s="84" t="n">
        <v>3102200</v>
      </c>
      <c r="BC221" s="84" t="n">
        <v>1907800</v>
      </c>
      <c r="BD221" s="84" t="n">
        <v>1985100</v>
      </c>
      <c r="BE221" s="84" t="n">
        <v>2151900</v>
      </c>
      <c r="BF221" s="84" t="n">
        <v>1741800</v>
      </c>
      <c r="BG221" s="84" t="n">
        <v>1635700</v>
      </c>
      <c r="BH221" s="84" t="n">
        <v>2249000</v>
      </c>
      <c r="BI221" s="84" t="n">
        <v>2112400</v>
      </c>
      <c r="BJ221" s="84" t="n">
        <v>1232200</v>
      </c>
      <c r="BK221" s="84" t="n">
        <v>1790800</v>
      </c>
      <c r="BL221" s="84" t="n">
        <v>1291300</v>
      </c>
    </row>
    <row r="222" ht="18.75" customFormat="1" customHeight="1" s="83">
      <c r="A222" s="417" t="inlineStr">
        <is>
          <t>1570</t>
        </is>
      </c>
      <c r="B222" s="83">
        <f>銘柄管理!C222</f>
        <v/>
      </c>
      <c r="C222" s="84">
        <f>_xll.RssMarket("1570","出来高")</f>
        <v/>
      </c>
      <c r="D222" s="684">
        <f>C222-E222</f>
        <v/>
      </c>
      <c r="E222" s="84" t="n">
        <v>4225193</v>
      </c>
      <c r="F222" s="84" t="n">
        <v>4000312</v>
      </c>
      <c r="G222" s="84" t="n">
        <v>4327118</v>
      </c>
      <c r="H222" s="84" t="n">
        <v>3531747</v>
      </c>
      <c r="I222" s="84" t="n">
        <v>3727403</v>
      </c>
      <c r="J222" s="84" t="n">
        <v>4334803</v>
      </c>
      <c r="K222" s="84" t="n">
        <v>3628212</v>
      </c>
      <c r="L222" s="84" t="n">
        <v>3611391</v>
      </c>
      <c r="M222" s="84" t="n">
        <v>5626645</v>
      </c>
      <c r="N222" s="84" t="n">
        <v>3457954</v>
      </c>
      <c r="O222" s="84" t="n">
        <v>3110829</v>
      </c>
      <c r="P222" s="84" t="n">
        <v>4783958</v>
      </c>
      <c r="Q222" s="84" t="n">
        <v>3756634</v>
      </c>
      <c r="R222" s="84" t="n">
        <v>3451225</v>
      </c>
      <c r="S222" s="84" t="n">
        <v>3466505</v>
      </c>
      <c r="T222" s="84" t="n">
        <v>3259131</v>
      </c>
      <c r="U222" s="84" t="n">
        <v>4388850</v>
      </c>
      <c r="V222" s="84" t="n">
        <v>3558512</v>
      </c>
      <c r="W222" s="84" t="n">
        <v>3343225</v>
      </c>
      <c r="X222" s="84" t="n">
        <v>4064774</v>
      </c>
      <c r="Y222" s="84" t="n">
        <v>2741343</v>
      </c>
      <c r="Z222" s="84" t="n">
        <v>3636380</v>
      </c>
      <c r="AA222" s="84" t="n">
        <v>3845451</v>
      </c>
      <c r="AB222" s="84" t="n">
        <v>3399824</v>
      </c>
      <c r="AC222" s="84" t="n">
        <v>3004232</v>
      </c>
      <c r="AD222" s="84" t="n">
        <v>3193001</v>
      </c>
      <c r="AE222" s="84" t="n">
        <v>2909766</v>
      </c>
      <c r="AF222" s="84" t="n">
        <v>2909766</v>
      </c>
      <c r="AG222" s="84" t="n">
        <v>3474800</v>
      </c>
      <c r="AH222" s="84" t="n">
        <v>5277286</v>
      </c>
      <c r="AI222" s="84" t="n">
        <v>2557450</v>
      </c>
      <c r="AJ222" s="84" t="n">
        <v>3686395</v>
      </c>
      <c r="AK222" s="84" t="n">
        <v>3421994</v>
      </c>
      <c r="AL222" s="84" t="n">
        <v>4911486</v>
      </c>
      <c r="AM222" s="84" t="n">
        <v>3329257</v>
      </c>
      <c r="AN222" s="84" t="n">
        <v>4975193</v>
      </c>
      <c r="AO222" s="84" t="n">
        <v>3203745</v>
      </c>
      <c r="AP222" s="84" t="n">
        <v>3306574</v>
      </c>
      <c r="AQ222" s="84" t="n">
        <v>2502653</v>
      </c>
      <c r="AR222" s="84" t="n">
        <v>2842084</v>
      </c>
      <c r="AS222" s="84" t="n">
        <v>5218611</v>
      </c>
      <c r="AT222" s="84" t="n">
        <v>3257142</v>
      </c>
      <c r="AU222" s="84" t="n">
        <v>3780037</v>
      </c>
      <c r="AV222" s="84" t="n">
        <v>3041129</v>
      </c>
      <c r="AW222" s="84" t="n">
        <v>3912672</v>
      </c>
      <c r="AX222" s="84" t="n">
        <v>3622808</v>
      </c>
      <c r="AY222" s="84" t="n">
        <v>5349973</v>
      </c>
      <c r="AZ222" s="84" t="n">
        <v>3254926</v>
      </c>
      <c r="BA222" s="84" t="n">
        <v>3583191</v>
      </c>
      <c r="BB222" s="84" t="n">
        <v>2446160</v>
      </c>
      <c r="BC222" s="84" t="n">
        <v>5570954</v>
      </c>
      <c r="BD222" s="84" t="n">
        <v>3961609</v>
      </c>
      <c r="BE222" s="84" t="n">
        <v>4677366</v>
      </c>
      <c r="BF222" s="84" t="n">
        <v>3506007</v>
      </c>
      <c r="BG222" s="84" t="n">
        <v>3021805</v>
      </c>
      <c r="BH222" s="84" t="n">
        <v>3767772</v>
      </c>
      <c r="BI222" s="84" t="n">
        <v>3400359</v>
      </c>
      <c r="BJ222" s="84" t="n">
        <v>5221885</v>
      </c>
      <c r="BK222" s="84" t="n">
        <v>4496876</v>
      </c>
      <c r="BL222" s="84" t="n">
        <v>3190019</v>
      </c>
    </row>
    <row r="223" ht="18.75" customFormat="1" customHeight="1" s="83">
      <c r="A223" s="417" t="inlineStr">
        <is>
          <t>6135</t>
        </is>
      </c>
      <c r="B223" s="83">
        <f>銘柄管理!C223</f>
        <v/>
      </c>
      <c r="C223" s="84">
        <f>_xll.RssMarket("6135","出来高")</f>
        <v/>
      </c>
      <c r="D223" s="684">
        <f>C223-E223</f>
        <v/>
      </c>
      <c r="E223" s="84" t="n">
        <v>64700</v>
      </c>
      <c r="F223" s="83" t="n">
        <v>168700</v>
      </c>
      <c r="G223" s="83" t="n">
        <v>118500</v>
      </c>
      <c r="H223" s="83" t="n">
        <v>117000</v>
      </c>
      <c r="I223" s="83" t="n">
        <v>136300</v>
      </c>
      <c r="J223" s="83" t="n">
        <v>190200</v>
      </c>
      <c r="K223" s="83" t="n">
        <v>190000</v>
      </c>
      <c r="L223" s="83" t="n">
        <v>267000</v>
      </c>
      <c r="M223" s="83" t="n">
        <v>255500</v>
      </c>
      <c r="N223" s="83" t="n">
        <v>313900</v>
      </c>
      <c r="O223" s="83" t="n">
        <v>200400</v>
      </c>
      <c r="P223" s="83" t="n">
        <v>141400</v>
      </c>
      <c r="Q223" s="83" t="n">
        <v>273100</v>
      </c>
      <c r="R223" s="83" t="n">
        <v>139700</v>
      </c>
      <c r="S223" s="83" t="n">
        <v>209500</v>
      </c>
      <c r="T223" s="83" t="n">
        <v>149500</v>
      </c>
      <c r="U223" s="83" t="n">
        <v>187300</v>
      </c>
      <c r="V223" s="83" t="n">
        <v>202600</v>
      </c>
      <c r="W223" s="83" t="n">
        <v>164200</v>
      </c>
      <c r="X223" s="83" t="n">
        <v>280800</v>
      </c>
      <c r="Y223" s="83" t="n">
        <v>375700</v>
      </c>
      <c r="Z223" s="83" t="n">
        <v>219500</v>
      </c>
      <c r="AA223" s="83" t="n">
        <v>226400</v>
      </c>
      <c r="AB223" s="83" t="n">
        <v>597000</v>
      </c>
      <c r="AC223" s="83" t="n">
        <v>154700</v>
      </c>
      <c r="AD223" s="83" t="n">
        <v>196200</v>
      </c>
      <c r="AE223" s="83" t="n">
        <v>658600</v>
      </c>
      <c r="AF223" s="83" t="n">
        <v>745300</v>
      </c>
      <c r="AG223" s="83" t="n">
        <v>1015100</v>
      </c>
      <c r="AH223" s="83" t="n">
        <v>671600</v>
      </c>
      <c r="AI223" s="83" t="n">
        <v>182700</v>
      </c>
      <c r="AJ223" s="83" t="n">
        <v>231300</v>
      </c>
      <c r="AK223" s="83" t="n">
        <v>301100</v>
      </c>
      <c r="AL223" s="83" t="n">
        <v>982900</v>
      </c>
      <c r="AM223" s="83" t="n">
        <v>1918400</v>
      </c>
      <c r="AN223" s="83" t="n">
        <v>37200</v>
      </c>
      <c r="AO223" s="83" t="n">
        <v>58600</v>
      </c>
      <c r="AP223" s="83" t="n">
        <v>104900</v>
      </c>
      <c r="AQ223" s="83" t="n">
        <v>87600</v>
      </c>
      <c r="AR223" s="83" t="n">
        <v>43000</v>
      </c>
      <c r="AS223" s="83" t="n">
        <v>166700</v>
      </c>
      <c r="AT223" s="83" t="n">
        <v>81600</v>
      </c>
      <c r="AU223" s="83" t="n">
        <v>118000</v>
      </c>
      <c r="AV223" s="83" t="n">
        <v>126700</v>
      </c>
      <c r="AW223" s="83" t="n">
        <v>110800</v>
      </c>
      <c r="AX223" s="83" t="n">
        <v>108000</v>
      </c>
      <c r="AY223" s="83" t="n">
        <v>87200</v>
      </c>
      <c r="AZ223" s="83" t="n">
        <v>38300</v>
      </c>
      <c r="BA223" s="83" t="n">
        <v>132900</v>
      </c>
      <c r="BB223" s="83" t="n">
        <v>117400</v>
      </c>
      <c r="BC223" s="83" t="n">
        <v>85800</v>
      </c>
      <c r="BD223" s="83" t="n">
        <v>96500</v>
      </c>
      <c r="BE223" s="83" t="n">
        <v>134700</v>
      </c>
      <c r="BF223" s="83" t="n">
        <v>142100</v>
      </c>
      <c r="BG223" s="83" t="n">
        <v>120000</v>
      </c>
      <c r="BH223" s="83" t="n">
        <v>74100</v>
      </c>
      <c r="BI223" s="83" t="n">
        <v>55400</v>
      </c>
      <c r="BJ223" s="83" t="n">
        <v>107300</v>
      </c>
      <c r="BK223" s="83" t="n">
        <v>79400</v>
      </c>
      <c r="BL223" s="83" t="n">
        <v>61800</v>
      </c>
    </row>
    <row r="224" ht="18.75" customFormat="1" customHeight="1" s="83">
      <c r="A224" s="417" t="inlineStr">
        <is>
          <t>6055</t>
        </is>
      </c>
      <c r="B224" s="83">
        <f>銘柄管理!C224</f>
        <v/>
      </c>
      <c r="C224" s="84">
        <f>_xll.RssMarket("6055","出来高")</f>
        <v/>
      </c>
      <c r="D224" s="684">
        <f>C224-E224</f>
        <v/>
      </c>
      <c r="E224" s="84" t="n">
        <v>1241500</v>
      </c>
      <c r="F224" s="83" t="n">
        <v>714600</v>
      </c>
      <c r="G224" s="83" t="n">
        <v>853100</v>
      </c>
      <c r="H224" s="83" t="n">
        <v>721200</v>
      </c>
      <c r="I224" s="83" t="n">
        <v>1154700</v>
      </c>
      <c r="J224" s="83" t="n">
        <v>937500</v>
      </c>
      <c r="K224" s="83" t="n">
        <v>669700</v>
      </c>
      <c r="L224" s="83" t="n">
        <v>935100</v>
      </c>
      <c r="M224" s="83" t="n">
        <v>1110700</v>
      </c>
      <c r="N224" s="83" t="n">
        <v>2016900</v>
      </c>
      <c r="O224" s="83" t="n">
        <v>2493100</v>
      </c>
      <c r="P224" s="83" t="n">
        <v>1079200</v>
      </c>
      <c r="Q224" s="83" t="n">
        <v>855600</v>
      </c>
      <c r="R224" s="83" t="n">
        <v>662600</v>
      </c>
      <c r="S224" s="83" t="n">
        <v>655200</v>
      </c>
      <c r="T224" s="83" t="n">
        <v>780400</v>
      </c>
      <c r="U224" s="83" t="n">
        <v>939200</v>
      </c>
      <c r="V224" s="83" t="n">
        <v>625300</v>
      </c>
      <c r="W224" s="83" t="n">
        <v>715300</v>
      </c>
      <c r="X224" s="83" t="n">
        <v>689100</v>
      </c>
      <c r="Y224" s="83" t="n">
        <v>1158900</v>
      </c>
      <c r="Z224" s="83" t="n">
        <v>1183600</v>
      </c>
      <c r="AA224" s="83" t="n">
        <v>948300</v>
      </c>
      <c r="AB224" s="83" t="n">
        <v>1529800</v>
      </c>
      <c r="AC224" s="83" t="n">
        <v>1436600</v>
      </c>
      <c r="AD224" s="83" t="n">
        <v>1565800</v>
      </c>
      <c r="AE224" s="83" t="n">
        <v>1322900</v>
      </c>
      <c r="AF224" s="83" t="n">
        <v>841900</v>
      </c>
      <c r="AG224" s="83" t="n">
        <v>1164800</v>
      </c>
      <c r="AH224" s="83" t="n">
        <v>467000</v>
      </c>
      <c r="AI224" s="83" t="n">
        <v>543900</v>
      </c>
      <c r="AJ224" s="83" t="n">
        <v>630200</v>
      </c>
      <c r="AK224" s="83" t="n">
        <v>522900</v>
      </c>
      <c r="AL224" s="83" t="n">
        <v>449300</v>
      </c>
      <c r="AM224" s="83" t="n">
        <v>817600</v>
      </c>
      <c r="AN224" s="83" t="n">
        <v>359500</v>
      </c>
      <c r="AO224" s="83" t="n">
        <v>302500</v>
      </c>
      <c r="AP224" s="83" t="n">
        <v>402600</v>
      </c>
      <c r="AQ224" s="83" t="n">
        <v>374100</v>
      </c>
      <c r="AR224" s="83" t="n">
        <v>497500</v>
      </c>
      <c r="AS224" s="83" t="n">
        <v>677100</v>
      </c>
      <c r="AT224" s="83" t="n">
        <v>1025700</v>
      </c>
      <c r="AU224" s="83" t="n">
        <v>729900</v>
      </c>
      <c r="AV224" s="83" t="n">
        <v>712700</v>
      </c>
      <c r="AW224" s="83" t="n">
        <v>718600</v>
      </c>
      <c r="AX224" s="83" t="n">
        <v>946100</v>
      </c>
      <c r="AY224" s="83" t="n">
        <v>419800</v>
      </c>
      <c r="AZ224" s="83" t="n">
        <v>307400</v>
      </c>
      <c r="BA224" s="83" t="n">
        <v>361500</v>
      </c>
      <c r="BB224" s="83" t="n">
        <v>638100</v>
      </c>
      <c r="BC224" s="83" t="n">
        <v>692600</v>
      </c>
      <c r="BD224" s="83" t="n">
        <v>756200</v>
      </c>
      <c r="BE224" s="83" t="n">
        <v>1262200</v>
      </c>
      <c r="BF224" s="83" t="n">
        <v>822200</v>
      </c>
      <c r="BG224" s="83" t="n">
        <v>947600</v>
      </c>
      <c r="BH224" s="83" t="n">
        <v>919700</v>
      </c>
      <c r="BI224" s="83" t="n">
        <v>530900</v>
      </c>
      <c r="BJ224" s="83" t="n">
        <v>916400</v>
      </c>
      <c r="BK224" s="83" t="n">
        <v>702100</v>
      </c>
      <c r="BL224" s="83" t="n">
        <v>368400</v>
      </c>
    </row>
    <row r="225" ht="18.75" customFormat="1" customHeight="1" s="83">
      <c r="A225" s="417" t="inlineStr">
        <is>
          <t>6862</t>
        </is>
      </c>
      <c r="B225" s="83">
        <f>銘柄管理!C225</f>
        <v/>
      </c>
      <c r="C225" s="83">
        <f>_xll.RssMarket("6862","出来高")</f>
        <v/>
      </c>
      <c r="D225" s="684">
        <f>C225-E225</f>
        <v/>
      </c>
      <c r="E225" s="84" t="n">
        <v>1227300</v>
      </c>
      <c r="F225" s="83" t="n">
        <v>1402000</v>
      </c>
      <c r="G225" s="83" t="n">
        <v>360000</v>
      </c>
      <c r="H225" s="83" t="n">
        <v>393000</v>
      </c>
      <c r="I225" s="83" t="n">
        <v>347400</v>
      </c>
      <c r="J225" s="83" t="n">
        <v>215100</v>
      </c>
      <c r="K225" s="83" t="n">
        <v>332900</v>
      </c>
      <c r="L225" s="83" t="n">
        <v>508300</v>
      </c>
      <c r="M225" s="83" t="n">
        <v>416000</v>
      </c>
      <c r="N225" s="83" t="n">
        <v>273500</v>
      </c>
      <c r="O225" s="83" t="n">
        <v>327400</v>
      </c>
      <c r="P225" s="83" t="n">
        <v>399300</v>
      </c>
      <c r="Q225" s="83" t="n">
        <v>487400</v>
      </c>
      <c r="R225" s="83" t="n">
        <v>385200</v>
      </c>
      <c r="S225" s="83" t="n">
        <v>551700</v>
      </c>
      <c r="T225" s="83" t="n">
        <v>661900</v>
      </c>
      <c r="U225" s="83" t="n">
        <v>534100</v>
      </c>
      <c r="V225" s="83" t="n">
        <v>386300</v>
      </c>
      <c r="W225" s="83" t="n">
        <v>607900</v>
      </c>
      <c r="X225" s="83" t="n">
        <v>566000</v>
      </c>
      <c r="Y225" s="83" t="n">
        <v>659200</v>
      </c>
      <c r="Z225" s="83" t="n">
        <v>671100</v>
      </c>
      <c r="AA225" s="83" t="n">
        <v>952900</v>
      </c>
      <c r="AB225" s="83" t="n">
        <v>2008500</v>
      </c>
      <c r="AC225" s="83" t="n">
        <v>45200</v>
      </c>
      <c r="AD225" s="83" t="n">
        <v>992200</v>
      </c>
      <c r="AE225" s="83" t="n">
        <v>1432200</v>
      </c>
      <c r="AF225" s="83" t="n">
        <v>914500</v>
      </c>
      <c r="AG225" s="83" t="n">
        <v>1237800</v>
      </c>
      <c r="AH225" s="83" t="n">
        <v>825100</v>
      </c>
      <c r="AI225" s="83" t="n">
        <v>879400</v>
      </c>
      <c r="AJ225" s="83" t="n">
        <v>321900</v>
      </c>
      <c r="AK225" s="83" t="n">
        <v>784400</v>
      </c>
      <c r="AL225" s="83" t="n">
        <v>441100</v>
      </c>
      <c r="AM225" s="83" t="n">
        <v>268500</v>
      </c>
      <c r="AN225" s="83" t="n">
        <v>267700</v>
      </c>
      <c r="AO225" s="83" t="n">
        <v>210100</v>
      </c>
      <c r="AP225" s="83" t="n">
        <v>491200</v>
      </c>
      <c r="AQ225" s="83" t="n">
        <v>213700</v>
      </c>
      <c r="AR225" s="83" t="n">
        <v>291500</v>
      </c>
      <c r="AS225" s="83" t="n">
        <v>714200</v>
      </c>
      <c r="AT225" s="83" t="n">
        <v>817000</v>
      </c>
      <c r="AU225" s="83" t="n">
        <v>464700</v>
      </c>
      <c r="AV225" s="83" t="n">
        <v>491400</v>
      </c>
      <c r="AW225" s="83" t="n">
        <v>643000</v>
      </c>
      <c r="AX225" s="83" t="n">
        <v>551600</v>
      </c>
      <c r="AY225" s="83" t="n">
        <v>240800</v>
      </c>
      <c r="AZ225" s="83" t="n">
        <v>240600</v>
      </c>
      <c r="BA225" s="83" t="n">
        <v>253200</v>
      </c>
      <c r="BB225" s="83" t="n">
        <v>475200</v>
      </c>
      <c r="BC225" s="83" t="n">
        <v>411200</v>
      </c>
      <c r="BD225" s="83" t="n">
        <v>613300</v>
      </c>
      <c r="BE225" s="83" t="n">
        <v>410400</v>
      </c>
      <c r="BF225" s="83" t="n">
        <v>574400</v>
      </c>
      <c r="BG225" s="83" t="n">
        <v>1583000</v>
      </c>
      <c r="BH225" s="83" t="n">
        <v>181900</v>
      </c>
      <c r="BI225" s="83" t="n">
        <v>231100</v>
      </c>
      <c r="BJ225" s="83" t="n">
        <v>410100</v>
      </c>
      <c r="BK225" s="83" t="n">
        <v>270300</v>
      </c>
      <c r="BL225" s="83" t="n">
        <v>240300</v>
      </c>
    </row>
    <row r="226" ht="18.75" customFormat="1" customHeight="1" s="83">
      <c r="A226" s="417" t="inlineStr">
        <is>
          <t>2267</t>
        </is>
      </c>
      <c r="B226" s="83">
        <f>銘柄管理!C226</f>
        <v/>
      </c>
      <c r="C226" s="83">
        <f>_xll.RssMarket("2267","出来高")</f>
        <v/>
      </c>
      <c r="D226" s="684">
        <f>C226-E226</f>
        <v/>
      </c>
      <c r="E226" s="84" t="n">
        <v>946500</v>
      </c>
      <c r="F226" s="83" t="n">
        <v>1271400</v>
      </c>
      <c r="G226" s="83" t="n">
        <v>1202300</v>
      </c>
      <c r="H226" s="83" t="n">
        <v>1082900</v>
      </c>
      <c r="I226" s="83" t="n">
        <v>889300</v>
      </c>
      <c r="J226" s="83" t="n">
        <v>1450200</v>
      </c>
      <c r="K226" s="83" t="n">
        <v>778400</v>
      </c>
      <c r="L226" s="83" t="n">
        <v>1324200</v>
      </c>
      <c r="M226" s="83" t="n">
        <v>1104100</v>
      </c>
      <c r="N226" s="83" t="n">
        <v>1123400</v>
      </c>
      <c r="O226" s="83" t="n">
        <v>1102200</v>
      </c>
      <c r="P226" s="83" t="n">
        <v>800300</v>
      </c>
      <c r="Q226" s="83" t="n">
        <v>1387900</v>
      </c>
      <c r="R226" s="83" t="n">
        <v>1532600</v>
      </c>
      <c r="S226" s="83" t="n">
        <v>1153700</v>
      </c>
      <c r="T226" s="83" t="n">
        <v>1150600</v>
      </c>
      <c r="U226" s="83" t="n">
        <v>1175800</v>
      </c>
      <c r="V226" s="83" t="n">
        <v>1293600</v>
      </c>
      <c r="W226" s="83" t="n">
        <v>831800</v>
      </c>
      <c r="X226" s="83" t="n">
        <v>978600</v>
      </c>
      <c r="Y226" s="83" t="n">
        <v>1137500</v>
      </c>
      <c r="Z226" s="83" t="n">
        <v>1387100</v>
      </c>
      <c r="AA226" s="83" t="n">
        <v>1514400</v>
      </c>
      <c r="AB226" s="83" t="n">
        <v>1391500</v>
      </c>
      <c r="AC226" s="83" t="n">
        <v>2639800</v>
      </c>
      <c r="AD226" s="83" t="n">
        <v>4652000</v>
      </c>
      <c r="AE226" s="83" t="n">
        <v>1974000</v>
      </c>
      <c r="AF226" s="83" t="n">
        <v>2212000</v>
      </c>
      <c r="AG226" s="83" t="n">
        <v>3267500</v>
      </c>
      <c r="AH226" s="83" t="n">
        <v>9656600</v>
      </c>
      <c r="AI226" s="83" t="n">
        <v>1359900</v>
      </c>
      <c r="AJ226" s="83" t="n">
        <v>1032200</v>
      </c>
      <c r="AK226" s="83" t="n">
        <v>1699000</v>
      </c>
      <c r="AL226" s="83" t="n">
        <v>10606000</v>
      </c>
      <c r="AM226" s="83" t="n">
        <v>1277800</v>
      </c>
      <c r="AN226" s="83" t="n">
        <v>1065000</v>
      </c>
      <c r="AO226" s="83" t="n">
        <v>811600</v>
      </c>
      <c r="AP226" s="83" t="n">
        <v>1165000</v>
      </c>
      <c r="AQ226" s="83" t="n">
        <v>1042000</v>
      </c>
      <c r="AR226" s="83" t="n">
        <v>1106400</v>
      </c>
      <c r="AS226" s="83" t="n">
        <v>1062100</v>
      </c>
      <c r="AT226" s="83" t="n">
        <v>837400</v>
      </c>
      <c r="AU226" s="83" t="n">
        <v>742700</v>
      </c>
      <c r="AV226" s="83" t="n">
        <v>1053100</v>
      </c>
      <c r="AW226" s="83" t="n">
        <v>1192500</v>
      </c>
      <c r="AX226" s="83" t="n">
        <v>2145800</v>
      </c>
      <c r="AY226" s="83" t="n">
        <v>1010200</v>
      </c>
      <c r="AZ226" s="83" t="n">
        <v>744400</v>
      </c>
      <c r="BA226" s="83" t="n">
        <v>1001000</v>
      </c>
      <c r="BB226" s="83" t="n">
        <v>887100</v>
      </c>
      <c r="BC226" s="83" t="n">
        <v>1090300</v>
      </c>
      <c r="BD226" s="83" t="n">
        <v>1251900</v>
      </c>
      <c r="BE226" s="83" t="n">
        <v>3285100</v>
      </c>
      <c r="BF226" s="83" t="n">
        <v>1566500</v>
      </c>
      <c r="BG226" s="83" t="n">
        <v>1142100</v>
      </c>
      <c r="BH226" s="83" t="n">
        <v>882700</v>
      </c>
      <c r="BI226" s="83" t="n">
        <v>1244500</v>
      </c>
      <c r="BJ226" s="83" t="n">
        <v>1859700</v>
      </c>
      <c r="BK226" s="83" t="n">
        <v>1680300</v>
      </c>
      <c r="BL226" s="83" t="n">
        <v>825300</v>
      </c>
    </row>
    <row r="227" ht="18.75" customFormat="1" customHeight="1" s="83">
      <c r="A227" s="417" t="inlineStr">
        <is>
          <t>1618</t>
        </is>
      </c>
      <c r="B227" s="83">
        <f>銘柄管理!C227</f>
        <v/>
      </c>
      <c r="C227" s="83">
        <f>_xll.RssMarket("1618","出来高")</f>
        <v/>
      </c>
      <c r="D227" s="684">
        <f>C227-E227</f>
        <v/>
      </c>
      <c r="E227" s="84" t="n">
        <v>577</v>
      </c>
      <c r="F227" s="83" t="n">
        <v>1087</v>
      </c>
      <c r="G227" s="83" t="n">
        <v>639</v>
      </c>
      <c r="H227" s="83" t="n">
        <v>968</v>
      </c>
      <c r="I227" s="83" t="n">
        <v>2516</v>
      </c>
      <c r="J227" s="83" t="n">
        <v>2989</v>
      </c>
      <c r="K227" s="83" t="n">
        <v>1228</v>
      </c>
      <c r="L227" s="83" t="n">
        <v>871</v>
      </c>
      <c r="M227" s="83" t="n">
        <v>580</v>
      </c>
      <c r="N227" s="83" t="n">
        <v>445</v>
      </c>
      <c r="O227" s="83" t="n">
        <v>390</v>
      </c>
      <c r="P227" s="83" t="n">
        <v>1200</v>
      </c>
      <c r="Q227" s="83" t="n">
        <v>1162</v>
      </c>
      <c r="R227" s="83" t="n">
        <v>1622</v>
      </c>
      <c r="S227" s="83" t="n">
        <v>879</v>
      </c>
      <c r="T227" s="83" t="n">
        <v>700</v>
      </c>
      <c r="U227" s="83" t="n">
        <v>1831</v>
      </c>
      <c r="V227" s="83" t="n">
        <v>685</v>
      </c>
      <c r="W227" s="83" t="n">
        <v>2047</v>
      </c>
      <c r="X227" s="83" t="n">
        <v>987</v>
      </c>
      <c r="Y227" s="83" t="n">
        <v>1465</v>
      </c>
      <c r="Z227" s="83" t="n">
        <v>1336</v>
      </c>
      <c r="AA227" s="83" t="n">
        <v>1892</v>
      </c>
      <c r="AB227" s="83" t="n">
        <v>3278</v>
      </c>
      <c r="AC227" s="83" t="n">
        <v>3590</v>
      </c>
      <c r="AD227" s="83" t="n">
        <v>2844</v>
      </c>
      <c r="AE227" s="83" t="n">
        <v>2228</v>
      </c>
      <c r="AF227" s="83" t="n">
        <v>1558</v>
      </c>
      <c r="AG227" s="83" t="n">
        <v>4479</v>
      </c>
      <c r="AH227" s="83" t="n">
        <v>1259</v>
      </c>
      <c r="AI227" s="83" t="n">
        <v>2215</v>
      </c>
      <c r="AJ227" s="83" t="n">
        <v>2442</v>
      </c>
      <c r="AK227" s="83" t="n">
        <v>3201</v>
      </c>
      <c r="AL227" s="83" t="n">
        <v>2376</v>
      </c>
      <c r="AM227" s="83" t="n">
        <v>4246</v>
      </c>
      <c r="AN227" s="83" t="n">
        <v>2099</v>
      </c>
      <c r="AO227" s="83" t="n">
        <v>2321</v>
      </c>
      <c r="AP227" s="83" t="n">
        <v>3096</v>
      </c>
      <c r="AQ227" s="83" t="n">
        <v>1987</v>
      </c>
      <c r="AR227" s="83" t="n">
        <v>1577</v>
      </c>
      <c r="AS227" s="83" t="n">
        <v>1982</v>
      </c>
      <c r="AT227" s="83" t="n">
        <v>3528</v>
      </c>
      <c r="AU227" s="83" t="n">
        <v>6594</v>
      </c>
      <c r="AV227" s="83" t="n">
        <v>3631</v>
      </c>
      <c r="AW227" s="83" t="n">
        <v>5519</v>
      </c>
      <c r="AX227" s="83" t="n">
        <v>14348</v>
      </c>
      <c r="AY227" s="83" t="n">
        <v>1621</v>
      </c>
      <c r="AZ227" s="83" t="n">
        <v>2354</v>
      </c>
      <c r="BA227" s="83" t="n">
        <v>2567</v>
      </c>
      <c r="BB227" s="83" t="n">
        <v>9354</v>
      </c>
      <c r="BC227" s="83" t="n">
        <v>4699</v>
      </c>
      <c r="BD227" s="83" t="n">
        <v>3229</v>
      </c>
      <c r="BE227" s="83" t="n">
        <v>7737</v>
      </c>
      <c r="BF227" s="83" t="n">
        <v>5336</v>
      </c>
      <c r="BG227" s="83" t="n">
        <v>3999</v>
      </c>
      <c r="BH227" s="83" t="n">
        <v>2343</v>
      </c>
      <c r="BI227" s="83" t="n">
        <v>4186</v>
      </c>
      <c r="BJ227" s="83" t="n">
        <v>7275</v>
      </c>
      <c r="BK227" s="83" t="n">
        <v>6113</v>
      </c>
      <c r="BL227" s="83" t="n">
        <v>5268</v>
      </c>
    </row>
    <row r="228" ht="18.75" customFormat="1" customHeight="1" s="83">
      <c r="A228" s="417" t="inlineStr">
        <is>
          <t>3696</t>
        </is>
      </c>
      <c r="B228" s="83">
        <f>銘柄管理!C228</f>
        <v/>
      </c>
      <c r="C228" s="83">
        <f>_xll.RssMarket("3696","出来高")</f>
        <v/>
      </c>
      <c r="D228" s="684">
        <f>C228-E228</f>
        <v/>
      </c>
      <c r="E228" s="84" t="n">
        <v>107900</v>
      </c>
      <c r="F228" s="83" t="n">
        <v>144200</v>
      </c>
      <c r="G228" s="83" t="n">
        <v>74800</v>
      </c>
      <c r="H228" s="83" t="n">
        <v>80300</v>
      </c>
      <c r="I228" s="83" t="n">
        <v>131400</v>
      </c>
      <c r="J228" s="83" t="n">
        <v>167700</v>
      </c>
      <c r="K228" s="83" t="n">
        <v>160500</v>
      </c>
      <c r="L228" s="83" t="n">
        <v>148200</v>
      </c>
      <c r="M228" s="83" t="n">
        <v>153700</v>
      </c>
      <c r="N228" s="83" t="n">
        <v>155200</v>
      </c>
      <c r="O228" s="83" t="n">
        <v>222100</v>
      </c>
      <c r="P228" s="83" t="n">
        <v>261100</v>
      </c>
      <c r="Q228" s="83" t="n">
        <v>222500</v>
      </c>
      <c r="R228" s="83" t="n">
        <v>208300</v>
      </c>
      <c r="S228" s="83" t="n">
        <v>205900</v>
      </c>
      <c r="T228" s="83" t="n">
        <v>401500</v>
      </c>
      <c r="U228" s="83" t="n">
        <v>210800</v>
      </c>
      <c r="V228" s="83" t="n">
        <v>156000</v>
      </c>
      <c r="W228" s="83" t="n">
        <v>123800</v>
      </c>
      <c r="X228" s="83" t="n">
        <v>231600</v>
      </c>
      <c r="Y228" s="83" t="n">
        <v>99800</v>
      </c>
      <c r="Z228" s="83" t="n">
        <v>184500</v>
      </c>
      <c r="AA228" s="83" t="n">
        <v>161100</v>
      </c>
      <c r="AB228" s="83" t="n">
        <v>139800</v>
      </c>
      <c r="AC228" s="83" t="n">
        <v>183300</v>
      </c>
      <c r="AD228" s="83" t="n">
        <v>863800</v>
      </c>
      <c r="AE228" s="83" t="n">
        <v>616500</v>
      </c>
      <c r="AF228" s="83" t="n">
        <v>715300</v>
      </c>
      <c r="AG228" s="83" t="n">
        <v>1285300</v>
      </c>
      <c r="AH228" s="83" t="n">
        <v>658800</v>
      </c>
      <c r="AI228" s="83" t="n">
        <v>876900</v>
      </c>
      <c r="AJ228" s="83" t="n">
        <v>861200</v>
      </c>
      <c r="AK228" s="83" t="n">
        <v>975700</v>
      </c>
      <c r="AL228" s="83" t="n">
        <v>1418800</v>
      </c>
      <c r="AM228" s="83" t="n">
        <v>1583300</v>
      </c>
      <c r="AN228" s="83" t="n">
        <v>742700</v>
      </c>
      <c r="AO228" s="83" t="n">
        <v>805400</v>
      </c>
      <c r="AP228" s="83" t="n">
        <v>696400</v>
      </c>
      <c r="AQ228" s="83" t="n">
        <v>517800</v>
      </c>
      <c r="AR228" s="83" t="n">
        <v>723500</v>
      </c>
      <c r="AS228" s="83" t="n">
        <v>703400</v>
      </c>
      <c r="AT228" s="83" t="n">
        <v>802600</v>
      </c>
      <c r="AU228" s="83" t="n">
        <v>1808700</v>
      </c>
      <c r="AV228" s="83" t="n">
        <v>1710600</v>
      </c>
      <c r="AW228" s="83" t="n">
        <v>1292200</v>
      </c>
      <c r="AX228" s="83" t="n">
        <v>1441400</v>
      </c>
      <c r="AY228" s="83" t="n">
        <v>837700</v>
      </c>
      <c r="AZ228" s="83" t="n">
        <v>643500</v>
      </c>
      <c r="BA228" s="83" t="n">
        <v>600700</v>
      </c>
      <c r="BB228" s="83" t="n">
        <v>1189400</v>
      </c>
      <c r="BC228" s="83" t="n">
        <v>774400</v>
      </c>
      <c r="BD228" s="83" t="n">
        <v>588500</v>
      </c>
      <c r="BE228" s="83" t="n">
        <v>687900</v>
      </c>
      <c r="BF228" s="83" t="n">
        <v>639900</v>
      </c>
      <c r="BG228" s="83" t="n">
        <v>511200</v>
      </c>
      <c r="BH228" s="83" t="n">
        <v>511800</v>
      </c>
      <c r="BI228" s="83" t="n">
        <v>628000</v>
      </c>
      <c r="BJ228" s="83" t="n">
        <v>940400</v>
      </c>
      <c r="BK228" s="83" t="n">
        <v>1451900</v>
      </c>
      <c r="BL228" s="83" t="n">
        <v>1250400</v>
      </c>
    </row>
    <row r="229" ht="18.75" customFormat="1" customHeight="1" s="83">
      <c r="A229" s="417" t="inlineStr">
        <is>
          <t>4222</t>
        </is>
      </c>
      <c r="B229" s="83">
        <f>銘柄管理!C229</f>
        <v/>
      </c>
      <c r="C229" s="83">
        <f>_xll.RssMarket("4222","出来高")</f>
        <v/>
      </c>
      <c r="D229" s="684">
        <f>C229-E229</f>
        <v/>
      </c>
      <c r="E229" s="84" t="n">
        <v>313700</v>
      </c>
      <c r="F229" s="83" t="n">
        <v>120500</v>
      </c>
      <c r="G229" s="83" t="n">
        <v>243900</v>
      </c>
      <c r="H229" s="83" t="n">
        <v>197200</v>
      </c>
      <c r="I229" s="83" t="n">
        <v>198200</v>
      </c>
      <c r="J229" s="83" t="n">
        <v>231600</v>
      </c>
      <c r="K229" s="83" t="n">
        <v>298300</v>
      </c>
      <c r="L229" s="83" t="n">
        <v>383600</v>
      </c>
      <c r="M229" s="83" t="n">
        <v>255800</v>
      </c>
      <c r="N229" s="83" t="n">
        <v>140800</v>
      </c>
      <c r="O229" s="83" t="n">
        <v>153800</v>
      </c>
      <c r="P229" s="83" t="n">
        <v>221400</v>
      </c>
      <c r="Q229" s="83" t="n">
        <v>356700</v>
      </c>
      <c r="R229" s="83" t="n">
        <v>147700</v>
      </c>
      <c r="S229" s="83" t="n">
        <v>174100</v>
      </c>
      <c r="T229" s="83" t="n">
        <v>248600</v>
      </c>
      <c r="U229" s="83" t="n">
        <v>204600</v>
      </c>
      <c r="V229" s="83" t="n">
        <v>309800</v>
      </c>
      <c r="W229" s="83" t="n">
        <v>232500</v>
      </c>
      <c r="X229" s="83" t="n">
        <v>535800</v>
      </c>
      <c r="Y229" s="83" t="n">
        <v>502700</v>
      </c>
      <c r="Z229" s="83" t="n">
        <v>977600</v>
      </c>
      <c r="AA229" s="83" t="n">
        <v>1565300</v>
      </c>
      <c r="AB229" s="83" t="n">
        <v>501500</v>
      </c>
      <c r="AC229" s="83" t="n">
        <v>359500</v>
      </c>
      <c r="AD229" s="83" t="n">
        <v>1022100</v>
      </c>
      <c r="AE229" s="83" t="n">
        <v>466800</v>
      </c>
      <c r="AF229" s="83" t="n">
        <v>175000</v>
      </c>
      <c r="AG229" s="83" t="n">
        <v>217400</v>
      </c>
      <c r="AH229" s="83" t="n">
        <v>213800</v>
      </c>
      <c r="AI229" s="83" t="n">
        <v>144800</v>
      </c>
      <c r="AJ229" s="83" t="n">
        <v>195600</v>
      </c>
      <c r="AK229" s="83" t="n">
        <v>185400</v>
      </c>
      <c r="AL229" s="83" t="n">
        <v>280400</v>
      </c>
      <c r="AM229" s="83" t="n">
        <v>210000</v>
      </c>
      <c r="AN229" s="83" t="n">
        <v>271400</v>
      </c>
      <c r="AO229" s="83" t="n">
        <v>245900</v>
      </c>
      <c r="AP229" s="83" t="n">
        <v>364700</v>
      </c>
      <c r="AQ229" s="83" t="n">
        <v>261400</v>
      </c>
      <c r="AR229" s="83" t="n">
        <v>242300</v>
      </c>
      <c r="AS229" s="83" t="n">
        <v>349700</v>
      </c>
      <c r="AT229" s="83" t="n">
        <v>293000</v>
      </c>
      <c r="AU229" s="83" t="n">
        <v>160400</v>
      </c>
      <c r="AV229" s="83" t="n">
        <v>309300</v>
      </c>
      <c r="AW229" s="83" t="n">
        <v>339900</v>
      </c>
      <c r="AX229" s="83" t="n">
        <v>508500</v>
      </c>
      <c r="AY229" s="83" t="n">
        <v>174100</v>
      </c>
      <c r="AZ229" s="83" t="n">
        <v>192000</v>
      </c>
      <c r="BA229" s="83" t="n">
        <v>214800</v>
      </c>
      <c r="BB229" s="83" t="n">
        <v>310600</v>
      </c>
      <c r="BC229" s="83" t="n">
        <v>323300</v>
      </c>
      <c r="BD229" s="83" t="n">
        <v>284400</v>
      </c>
      <c r="BE229" s="83" t="n">
        <v>351200</v>
      </c>
      <c r="BF229" s="83" t="n">
        <v>662300</v>
      </c>
      <c r="BG229" s="83" t="n">
        <v>1798000</v>
      </c>
      <c r="BH229" s="83" t="n">
        <v>310200</v>
      </c>
      <c r="BI229" s="83" t="n">
        <v>430900</v>
      </c>
      <c r="BJ229" s="83" t="n">
        <v>585200</v>
      </c>
      <c r="BK229" s="83" t="n">
        <v>518300</v>
      </c>
      <c r="BL229" s="83" t="n">
        <v>176700</v>
      </c>
    </row>
    <row r="230" ht="18.75" customFormat="1" customHeight="1" s="83">
      <c r="A230" s="417" t="inlineStr">
        <is>
          <t>3563</t>
        </is>
      </c>
      <c r="B230" s="83">
        <f>銘柄管理!C230</f>
        <v/>
      </c>
      <c r="C230" s="83">
        <f>_xll.RssMarket("3563","出来高")</f>
        <v/>
      </c>
      <c r="D230" s="684">
        <f>C230-E230</f>
        <v/>
      </c>
      <c r="E230" s="83" t="n">
        <v>1214400</v>
      </c>
      <c r="F230" s="83" t="n">
        <v>1404600</v>
      </c>
      <c r="G230" s="83" t="n">
        <v>2049500</v>
      </c>
      <c r="H230" s="83" t="n">
        <v>1649700</v>
      </c>
      <c r="I230" s="83" t="n">
        <v>1042900</v>
      </c>
      <c r="J230" s="83" t="n">
        <v>846100</v>
      </c>
      <c r="K230" s="83" t="n">
        <v>929800</v>
      </c>
      <c r="L230" s="83" t="n">
        <v>770400</v>
      </c>
      <c r="M230" s="83" t="n">
        <v>778600</v>
      </c>
      <c r="N230" s="83" t="n">
        <v>1120500</v>
      </c>
      <c r="O230" s="83" t="n">
        <v>2370200</v>
      </c>
      <c r="P230" s="83" t="n">
        <v>651000</v>
      </c>
      <c r="Q230" s="83" t="n">
        <v>660500</v>
      </c>
      <c r="R230" s="83" t="n">
        <v>936700</v>
      </c>
      <c r="S230" s="83" t="n">
        <v>750200</v>
      </c>
      <c r="T230" s="83" t="n">
        <v>887900</v>
      </c>
      <c r="U230" s="83" t="n">
        <v>1536000</v>
      </c>
      <c r="V230" s="83" t="n">
        <v>689200</v>
      </c>
      <c r="W230" s="83" t="n">
        <v>967200</v>
      </c>
      <c r="X230" s="83" t="n">
        <v>738300</v>
      </c>
      <c r="Y230" s="83" t="n">
        <v>1062000</v>
      </c>
      <c r="Z230" s="83" t="n">
        <v>659200</v>
      </c>
      <c r="AA230" s="83" t="n">
        <v>1007400</v>
      </c>
      <c r="AB230" s="83" t="n">
        <v>1263900</v>
      </c>
      <c r="AC230" s="83" t="n">
        <v>1268700</v>
      </c>
      <c r="AD230" s="83" t="n">
        <v>1427700</v>
      </c>
      <c r="AE230" s="83" t="n">
        <v>1794000</v>
      </c>
      <c r="AF230" s="83" t="n">
        <v>7912400</v>
      </c>
      <c r="AG230" s="83" t="n">
        <v>1914900</v>
      </c>
      <c r="AH230" s="83" t="n">
        <v>795100</v>
      </c>
      <c r="AI230" s="83" t="n">
        <v>1044000</v>
      </c>
      <c r="AJ230" s="83" t="n">
        <v>838100</v>
      </c>
      <c r="AK230" s="83" t="n">
        <v>700900</v>
      </c>
      <c r="AL230" s="83" t="n">
        <v>544300</v>
      </c>
      <c r="AM230" s="83" t="n">
        <v>593600</v>
      </c>
      <c r="AN230" s="83" t="n">
        <v>622100</v>
      </c>
      <c r="AO230" s="83" t="n">
        <v>592500</v>
      </c>
      <c r="AP230" s="83" t="n">
        <v>650300</v>
      </c>
      <c r="AQ230" s="83" t="n">
        <v>821600</v>
      </c>
      <c r="AR230" s="83" t="n">
        <v>499500</v>
      </c>
      <c r="AS230" s="83" t="n">
        <v>498500</v>
      </c>
      <c r="AT230" s="83" t="n">
        <v>517800</v>
      </c>
      <c r="AU230" s="83" t="n">
        <v>435300</v>
      </c>
      <c r="AV230" s="83" t="n">
        <v>796600</v>
      </c>
      <c r="AW230" s="83" t="n">
        <v>754700</v>
      </c>
      <c r="AX230" s="83" t="n">
        <v>793700</v>
      </c>
      <c r="AY230" s="83" t="n">
        <v>492000</v>
      </c>
      <c r="AZ230" s="83" t="n">
        <v>523500</v>
      </c>
      <c r="BA230" s="83" t="n">
        <v>664600</v>
      </c>
      <c r="BB230" s="83" t="n">
        <v>869600</v>
      </c>
      <c r="BC230" s="83" t="n">
        <v>1401600</v>
      </c>
      <c r="BD230" s="83" t="n">
        <v>1029900</v>
      </c>
      <c r="BE230" s="83" t="n">
        <v>1375500</v>
      </c>
      <c r="BF230" s="83" t="n">
        <v>1297500</v>
      </c>
      <c r="BG230" s="83" t="n">
        <v>770700</v>
      </c>
      <c r="BH230" s="83" t="n">
        <v>971600</v>
      </c>
      <c r="BI230" s="83" t="n">
        <v>1157800</v>
      </c>
      <c r="BJ230" s="83" t="n">
        <v>1014700</v>
      </c>
      <c r="BK230" s="83" t="n">
        <v>774500</v>
      </c>
      <c r="BL230" s="83" t="n">
        <v>533700</v>
      </c>
    </row>
    <row r="231" ht="18.75" customFormat="1" customHeight="1" s="83">
      <c r="A231" s="417" t="inlineStr">
        <is>
          <t>7013</t>
        </is>
      </c>
      <c r="B231" s="83">
        <f>銘柄管理!C231</f>
        <v/>
      </c>
      <c r="C231" s="83">
        <f>_xll.RssMarket("7013","出来高")</f>
        <v/>
      </c>
      <c r="D231" s="684">
        <f>C231-E231</f>
        <v/>
      </c>
      <c r="E231" s="83" t="n">
        <v>9808800</v>
      </c>
      <c r="F231" s="83" t="n">
        <v>16515300</v>
      </c>
      <c r="G231" s="83" t="n">
        <v>18210400</v>
      </c>
      <c r="H231" s="83" t="n">
        <v>19151000</v>
      </c>
      <c r="I231" s="83" t="n">
        <v>22736900</v>
      </c>
      <c r="J231" s="83" t="n">
        <v>15452000</v>
      </c>
      <c r="K231" s="83" t="n">
        <v>16053100</v>
      </c>
      <c r="L231" s="83" t="n">
        <v>16867900</v>
      </c>
      <c r="M231" s="83" t="n">
        <v>13512700</v>
      </c>
      <c r="N231" s="83" t="n">
        <v>11346800</v>
      </c>
      <c r="O231" s="83" t="n">
        <v>17891400</v>
      </c>
      <c r="P231" s="83" t="n">
        <v>30379200</v>
      </c>
      <c r="Q231" s="83" t="n">
        <v>15719200</v>
      </c>
      <c r="R231" s="83" t="n">
        <v>15591900</v>
      </c>
      <c r="S231" s="83" t="n">
        <v>15132300</v>
      </c>
      <c r="T231" s="83" t="n">
        <v>17678100</v>
      </c>
      <c r="U231" s="83" t="n">
        <v>14069300</v>
      </c>
      <c r="V231" s="83" t="n">
        <v>19705900</v>
      </c>
      <c r="W231" s="83" t="n">
        <v>21342900</v>
      </c>
      <c r="X231" s="83" t="n">
        <v>19995200</v>
      </c>
      <c r="Y231" s="83" t="n">
        <v>20962200</v>
      </c>
      <c r="Z231" s="83" t="n">
        <v>16221200</v>
      </c>
      <c r="AA231" s="83" t="n">
        <v>21303400</v>
      </c>
      <c r="AB231" s="83" t="n">
        <v>26350700</v>
      </c>
      <c r="AC231" s="83" t="n">
        <v>20584400</v>
      </c>
      <c r="AD231" s="83" t="n">
        <v>28393100</v>
      </c>
      <c r="AE231" s="83" t="n">
        <v>42420100</v>
      </c>
      <c r="AF231" s="83" t="n">
        <v>69373000</v>
      </c>
      <c r="AG231" s="83" t="n">
        <v>25106600</v>
      </c>
      <c r="AH231" s="83" t="n">
        <v>15600000</v>
      </c>
      <c r="AI231" s="83" t="n">
        <v>21212200</v>
      </c>
      <c r="AJ231" s="83" t="n">
        <v>18091200</v>
      </c>
      <c r="AK231" s="83" t="n">
        <v>21920300</v>
      </c>
      <c r="AL231" s="83" t="n">
        <v>14535100</v>
      </c>
      <c r="AM231" s="83" t="n">
        <v>16998300</v>
      </c>
      <c r="AN231" s="83" t="n">
        <v>21936800</v>
      </c>
      <c r="AO231" s="83" t="n">
        <v>15800100</v>
      </c>
      <c r="AP231" s="83" t="n">
        <v>12843400</v>
      </c>
      <c r="AQ231" s="83" t="n">
        <v>15677700</v>
      </c>
      <c r="AR231" s="83" t="n">
        <v>16676300</v>
      </c>
      <c r="AS231" s="83" t="n">
        <v>22129800</v>
      </c>
      <c r="AT231" s="83" t="n">
        <v>13505200</v>
      </c>
      <c r="AU231" s="83" t="n">
        <v>17170500</v>
      </c>
      <c r="AV231" s="83" t="n">
        <v>17523100</v>
      </c>
      <c r="AW231" s="83" t="n">
        <v>12722400</v>
      </c>
      <c r="AX231" s="83" t="n">
        <v>20673000</v>
      </c>
      <c r="AY231" s="83" t="n">
        <v>14382000</v>
      </c>
      <c r="AZ231" s="83" t="n">
        <v>12900600</v>
      </c>
      <c r="BA231" s="83" t="n">
        <v>9182100</v>
      </c>
      <c r="BB231" s="83" t="n">
        <v>19946300</v>
      </c>
      <c r="BC231" s="83" t="n">
        <v>20471000</v>
      </c>
      <c r="BD231" s="83" t="n">
        <v>15685000</v>
      </c>
      <c r="BE231" s="83" t="n">
        <v>13829500</v>
      </c>
      <c r="BF231" s="83" t="n">
        <v>10433600</v>
      </c>
      <c r="BG231" s="83" t="n">
        <v>11214000</v>
      </c>
      <c r="BH231" s="83" t="n">
        <v>13676600</v>
      </c>
      <c r="BI231" s="83" t="n">
        <v>16531000</v>
      </c>
      <c r="BJ231" s="83" t="n">
        <v>18015100</v>
      </c>
      <c r="BK231" s="83" t="n">
        <v>13628000</v>
      </c>
      <c r="BL231" s="83" t="n">
        <v>11733900</v>
      </c>
    </row>
    <row r="232" ht="18.75" customFormat="1" customHeight="1" s="83">
      <c r="A232" s="417" t="inlineStr">
        <is>
          <t>8793</t>
        </is>
      </c>
      <c r="B232" s="83">
        <f>銘柄管理!C232</f>
        <v/>
      </c>
      <c r="C232" s="83">
        <f>_xll.RssMarket("8793","出来高")</f>
        <v/>
      </c>
      <c r="D232" s="684">
        <f>C232-E232</f>
        <v/>
      </c>
      <c r="E232" s="83" t="n">
        <v>15700</v>
      </c>
      <c r="F232" s="83" t="n">
        <v>22200</v>
      </c>
      <c r="G232" s="83" t="n">
        <v>19200</v>
      </c>
      <c r="H232" s="83" t="n">
        <v>14000</v>
      </c>
      <c r="I232" s="83" t="n">
        <v>19600</v>
      </c>
      <c r="J232" s="83" t="n">
        <v>39500</v>
      </c>
      <c r="K232" s="83" t="n">
        <v>23300</v>
      </c>
      <c r="L232" s="83" t="n">
        <v>38100</v>
      </c>
      <c r="M232" s="83" t="n">
        <v>42400</v>
      </c>
      <c r="N232" s="83" t="n">
        <v>31100</v>
      </c>
      <c r="O232" s="83" t="n">
        <v>36600</v>
      </c>
      <c r="P232" s="83" t="n">
        <v>26100</v>
      </c>
      <c r="Q232" s="83" t="n">
        <v>42900</v>
      </c>
      <c r="R232" s="83" t="n">
        <v>22400</v>
      </c>
      <c r="S232" s="83" t="n">
        <v>34300</v>
      </c>
      <c r="T232" s="83" t="n">
        <v>20600</v>
      </c>
      <c r="U232" s="83" t="n">
        <v>26900</v>
      </c>
      <c r="V232" s="83" t="n">
        <v>26400</v>
      </c>
      <c r="W232" s="83" t="n">
        <v>39400</v>
      </c>
      <c r="X232" s="83" t="n">
        <v>33700</v>
      </c>
      <c r="Y232" s="83" t="n">
        <v>29500</v>
      </c>
      <c r="Z232" s="83" t="n">
        <v>36000</v>
      </c>
      <c r="AA232" s="83" t="n">
        <v>33700</v>
      </c>
      <c r="AB232" s="83" t="n">
        <v>27800</v>
      </c>
      <c r="AC232" s="83" t="n">
        <v>19400</v>
      </c>
      <c r="AD232" s="83" t="n">
        <v>21100</v>
      </c>
      <c r="AE232" s="83" t="n">
        <v>28000</v>
      </c>
      <c r="AF232" s="83" t="n">
        <v>26700</v>
      </c>
      <c r="AG232" s="83" t="n">
        <v>51500</v>
      </c>
      <c r="AH232" s="83" t="n">
        <v>57700</v>
      </c>
      <c r="AI232" s="83" t="n">
        <v>116000</v>
      </c>
      <c r="AJ232" s="83" t="n">
        <v>50300</v>
      </c>
      <c r="AK232" s="83" t="n">
        <v>25500</v>
      </c>
      <c r="AL232" s="83" t="n">
        <v>33300</v>
      </c>
      <c r="AM232" s="83" t="n">
        <v>18300</v>
      </c>
      <c r="AN232" s="83" t="n">
        <v>19100</v>
      </c>
      <c r="AO232" s="83" t="n">
        <v>21400</v>
      </c>
      <c r="AP232" s="83" t="n">
        <v>16300</v>
      </c>
      <c r="AQ232" s="83" t="n">
        <v>17200</v>
      </c>
      <c r="AR232" s="83" t="n">
        <v>26300</v>
      </c>
      <c r="AS232" s="83" t="n">
        <v>26400</v>
      </c>
      <c r="AT232" s="83" t="n">
        <v>20700</v>
      </c>
      <c r="AU232" s="83" t="n">
        <v>16700</v>
      </c>
      <c r="AV232" s="83" t="n">
        <v>21000</v>
      </c>
      <c r="AW232" s="83" t="n">
        <v>21200</v>
      </c>
      <c r="AX232" s="83" t="n">
        <v>23300</v>
      </c>
      <c r="AY232" s="83" t="n">
        <v>19100</v>
      </c>
      <c r="AZ232" s="83" t="n">
        <v>14600</v>
      </c>
      <c r="BA232" s="83" t="n">
        <v>12100</v>
      </c>
      <c r="BB232" s="83" t="n">
        <v>31600</v>
      </c>
      <c r="BC232" s="83" t="n">
        <v>22400</v>
      </c>
      <c r="BD232" s="83" t="n">
        <v>27300</v>
      </c>
      <c r="BE232" s="83" t="n">
        <v>51700</v>
      </c>
      <c r="BF232" s="83" t="n">
        <v>100800</v>
      </c>
      <c r="BG232" s="83" t="n">
        <v>43600</v>
      </c>
      <c r="BH232" s="83" t="n">
        <v>37100</v>
      </c>
      <c r="BI232" s="83" t="n">
        <v>24100</v>
      </c>
      <c r="BJ232" s="83" t="n">
        <v>37200</v>
      </c>
      <c r="BK232" s="83" t="n">
        <v>28500</v>
      </c>
      <c r="BL232" s="83" t="n">
        <v>14000</v>
      </c>
    </row>
    <row r="233">
      <c r="A233" s="417" t="inlineStr">
        <is>
          <t>9962</t>
        </is>
      </c>
      <c r="B233" s="570">
        <f>銘柄管理!C233</f>
        <v/>
      </c>
      <c r="C233" s="570">
        <f>_xll.RssMarket("9962","出来高")</f>
        <v/>
      </c>
      <c r="D233" s="684">
        <f>C233-E233</f>
        <v/>
      </c>
      <c r="E233" s="570" t="n">
        <v>1041900</v>
      </c>
      <c r="F233" s="570" t="n">
        <v>1476000</v>
      </c>
      <c r="G233" s="570" t="n">
        <v>827800</v>
      </c>
      <c r="H233" s="570" t="n">
        <v>969900</v>
      </c>
      <c r="I233" s="570" t="n">
        <v>1520200</v>
      </c>
      <c r="J233" s="570" t="n">
        <v>2025400</v>
      </c>
      <c r="K233" s="570" t="n">
        <v>1165700</v>
      </c>
      <c r="L233" s="570" t="n">
        <v>1682000</v>
      </c>
      <c r="M233" s="570" t="n">
        <v>1667500</v>
      </c>
      <c r="N233" s="570" t="n">
        <v>911300</v>
      </c>
      <c r="O233" s="570" t="n">
        <v>1113100</v>
      </c>
      <c r="P233" s="570" t="n">
        <v>1634000</v>
      </c>
      <c r="Q233" s="570" t="n">
        <v>1597000</v>
      </c>
      <c r="R233" s="570" t="n">
        <v>1677900</v>
      </c>
      <c r="S233" s="570" t="n">
        <v>1603600</v>
      </c>
      <c r="T233" s="570" t="n">
        <v>1484100</v>
      </c>
      <c r="U233" s="570" t="n">
        <v>1260400</v>
      </c>
      <c r="V233" s="570" t="n">
        <v>1692800</v>
      </c>
      <c r="W233" s="570" t="n">
        <v>958000</v>
      </c>
      <c r="X233" s="570" t="n">
        <v>1271300</v>
      </c>
      <c r="Y233" s="570" t="n">
        <v>960500</v>
      </c>
      <c r="Z233" s="570" t="n">
        <v>1357400</v>
      </c>
      <c r="AA233" s="570" t="n">
        <v>1634000</v>
      </c>
      <c r="AB233" s="570" t="n">
        <v>1507500</v>
      </c>
      <c r="AC233" s="570" t="n">
        <v>1800900</v>
      </c>
      <c r="AD233" s="570" t="n">
        <v>1816000</v>
      </c>
      <c r="AE233" s="570" t="n">
        <v>2169000</v>
      </c>
      <c r="AF233" s="570" t="n">
        <v>2019000</v>
      </c>
      <c r="AG233" s="570" t="n">
        <v>3730100</v>
      </c>
      <c r="AH233" s="570" t="n">
        <v>2736400</v>
      </c>
      <c r="AI233" s="570" t="n">
        <v>4346700</v>
      </c>
      <c r="AJ233" s="570" t="n">
        <v>2452300</v>
      </c>
      <c r="AK233" s="570" t="n">
        <v>2863900</v>
      </c>
      <c r="AL233" s="570" t="n">
        <v>776100</v>
      </c>
      <c r="AM233" s="570" t="n">
        <v>1106400</v>
      </c>
      <c r="AN233" s="570" t="n">
        <v>927300</v>
      </c>
      <c r="AO233" s="570" t="n">
        <v>769300</v>
      </c>
      <c r="AP233" s="570" t="n">
        <v>1124200</v>
      </c>
      <c r="AQ233" s="570" t="n">
        <v>1075300</v>
      </c>
      <c r="AR233" s="570" t="n">
        <v>975700</v>
      </c>
      <c r="AS233" s="570" t="n">
        <v>1014100</v>
      </c>
      <c r="AT233" s="570" t="n">
        <v>776900</v>
      </c>
      <c r="AU233" s="570" t="n">
        <v>1125900</v>
      </c>
      <c r="AV233" s="570" t="n">
        <v>784000</v>
      </c>
      <c r="AW233" s="570" t="n">
        <v>1257800</v>
      </c>
      <c r="AX233" s="570" t="n">
        <v>1404600</v>
      </c>
      <c r="AY233" s="570" t="n">
        <v>541700</v>
      </c>
      <c r="AZ233" s="570" t="n">
        <v>744700</v>
      </c>
      <c r="BA233" s="570" t="n">
        <v>596000</v>
      </c>
      <c r="BB233" s="570" t="n">
        <v>938600</v>
      </c>
      <c r="BC233" s="570" t="n">
        <v>1068800</v>
      </c>
      <c r="BD233" s="570" t="n">
        <v>1236600</v>
      </c>
      <c r="BE233" s="570" t="n">
        <v>1301000</v>
      </c>
      <c r="BF233" s="570" t="n">
        <v>1466000</v>
      </c>
      <c r="BG233" s="570" t="n">
        <v>746000</v>
      </c>
      <c r="BH233" s="570" t="n">
        <v>881900</v>
      </c>
      <c r="BI233" s="570" t="n">
        <v>1232100</v>
      </c>
      <c r="BJ233" s="570" t="n">
        <v>1062500</v>
      </c>
      <c r="BK233" s="570" t="n">
        <v>1694600</v>
      </c>
      <c r="BL233" s="570" t="n">
        <v>1321300</v>
      </c>
    </row>
    <row r="234">
      <c r="A234" s="417" t="inlineStr">
        <is>
          <t>6762</t>
        </is>
      </c>
      <c r="B234" s="570">
        <f>銘柄管理!C234</f>
        <v/>
      </c>
      <c r="C234" s="570">
        <f>_xll.RssMarket("6762","出来高")</f>
        <v/>
      </c>
      <c r="D234" s="684">
        <f>C234-E234</f>
        <v/>
      </c>
      <c r="E234" s="570" t="n">
        <v>14902600</v>
      </c>
      <c r="F234" s="570" t="n">
        <v>18006600</v>
      </c>
      <c r="G234" s="570" t="n">
        <v>13359700</v>
      </c>
      <c r="H234" s="570" t="n">
        <v>11642300</v>
      </c>
      <c r="I234" s="570" t="n">
        <v>17479000</v>
      </c>
      <c r="J234" s="570" t="n">
        <v>19550000</v>
      </c>
      <c r="K234" s="570" t="n">
        <v>14430600</v>
      </c>
      <c r="L234" s="570" t="n">
        <v>15871800</v>
      </c>
      <c r="M234" s="570" t="n">
        <v>17890100</v>
      </c>
      <c r="N234" s="570" t="n">
        <v>18532200</v>
      </c>
      <c r="O234" s="570" t="n">
        <v>12099400</v>
      </c>
      <c r="P234" s="570" t="n">
        <v>17825900</v>
      </c>
      <c r="Q234" s="570" t="n">
        <v>23686700</v>
      </c>
      <c r="R234" s="570" t="n">
        <v>28286900</v>
      </c>
      <c r="S234" s="570" t="n">
        <v>24725800</v>
      </c>
      <c r="T234" s="570" t="n">
        <v>15673600</v>
      </c>
      <c r="U234" s="570" t="n">
        <v>20639200</v>
      </c>
      <c r="V234" s="570" t="n">
        <v>14032900</v>
      </c>
      <c r="W234" s="570" t="n">
        <v>11989200</v>
      </c>
      <c r="X234" s="570" t="n">
        <v>11053200</v>
      </c>
      <c r="Y234" s="570" t="n">
        <v>10503400</v>
      </c>
      <c r="Z234" s="570" t="n">
        <v>8178800</v>
      </c>
      <c r="AA234" s="570" t="n">
        <v>13723700</v>
      </c>
      <c r="AB234" s="570" t="n">
        <v>13646200</v>
      </c>
      <c r="AC234" s="570" t="n">
        <v>9120600</v>
      </c>
      <c r="AD234" s="570" t="n">
        <v>10967100</v>
      </c>
      <c r="AE234" s="570" t="n">
        <v>10494200</v>
      </c>
      <c r="AF234" s="570" t="n">
        <v>14299700</v>
      </c>
      <c r="AG234" s="570" t="n">
        <v>20251700</v>
      </c>
      <c r="AH234" s="570" t="n">
        <v>14435800</v>
      </c>
      <c r="AI234" s="570" t="n">
        <v>33512200</v>
      </c>
      <c r="AJ234" s="570" t="n">
        <v>14100800</v>
      </c>
      <c r="AK234" s="570" t="n">
        <v>14080800</v>
      </c>
      <c r="AL234" s="570" t="n">
        <v>13275300</v>
      </c>
      <c r="AM234" s="570" t="n">
        <v>12840800</v>
      </c>
      <c r="AN234" s="570" t="n">
        <v>17013700</v>
      </c>
      <c r="AO234" s="570" t="n">
        <v>10460000</v>
      </c>
      <c r="AP234" s="570" t="n">
        <v>14363800</v>
      </c>
      <c r="AQ234" s="570" t="n">
        <v>21676400</v>
      </c>
      <c r="AR234" s="570" t="n">
        <v>23937900</v>
      </c>
      <c r="AS234" s="570" t="n">
        <v>12784200</v>
      </c>
      <c r="AT234" s="570" t="n">
        <v>7334800</v>
      </c>
      <c r="AU234" s="570" t="n">
        <v>9500600</v>
      </c>
      <c r="AV234" s="570" t="n">
        <v>14723300</v>
      </c>
      <c r="AW234" s="570" t="n">
        <v>11463800</v>
      </c>
      <c r="AX234" s="570" t="n">
        <v>12947000</v>
      </c>
      <c r="AY234" s="570" t="n">
        <v>7377100</v>
      </c>
      <c r="AZ234" s="570" t="n">
        <v>7958300</v>
      </c>
      <c r="BA234" s="570" t="n">
        <v>13470000</v>
      </c>
      <c r="BB234" s="570" t="n">
        <v>16626000</v>
      </c>
      <c r="BC234" s="570" t="n">
        <v>10442300</v>
      </c>
      <c r="BD234" s="570" t="n">
        <v>12772200</v>
      </c>
      <c r="BE234" s="570" t="n">
        <v>12783300</v>
      </c>
      <c r="BF234" s="570" t="n">
        <v>9860700</v>
      </c>
      <c r="BG234" s="570" t="n">
        <v>6885500</v>
      </c>
      <c r="BH234" s="570" t="n">
        <v>7848500</v>
      </c>
      <c r="BI234" s="570" t="n">
        <v>8990600</v>
      </c>
      <c r="BJ234" s="570" t="n">
        <v>10668000</v>
      </c>
      <c r="BK234" s="570" t="n">
        <v>12468800</v>
      </c>
      <c r="BL234" s="570" t="n">
        <v>9550500</v>
      </c>
    </row>
    <row r="235">
      <c r="A235" s="417" t="inlineStr">
        <is>
          <t>4392</t>
        </is>
      </c>
      <c r="B235" s="570">
        <f>銘柄管理!C235</f>
        <v/>
      </c>
      <c r="C235" s="570">
        <f>_xll.RssMarket("4392","出来高")</f>
        <v/>
      </c>
      <c r="D235" s="684">
        <f>C235-E235</f>
        <v/>
      </c>
      <c r="E235" s="570" t="n">
        <v>3046700</v>
      </c>
      <c r="F235" s="570" t="n">
        <v>3014900</v>
      </c>
      <c r="G235" s="570" t="n">
        <v>1816100</v>
      </c>
      <c r="H235" s="570" t="n">
        <v>2463300</v>
      </c>
      <c r="I235" s="570" t="n">
        <v>2611900</v>
      </c>
      <c r="J235" s="570" t="n">
        <v>4106700</v>
      </c>
      <c r="K235" s="570" t="n">
        <v>9416900</v>
      </c>
      <c r="L235" s="570" t="n">
        <v>7369800</v>
      </c>
      <c r="M235" s="570" t="n">
        <v>9059000</v>
      </c>
      <c r="N235" s="570" t="n">
        <v>8577400</v>
      </c>
      <c r="O235" s="570" t="n">
        <v>5238300</v>
      </c>
      <c r="P235" s="570" t="n">
        <v>6133500</v>
      </c>
      <c r="Q235" s="570" t="n">
        <v>5097100</v>
      </c>
      <c r="R235" s="570" t="n">
        <v>12995800</v>
      </c>
      <c r="S235" s="570" t="n">
        <v>15066400</v>
      </c>
      <c r="T235" s="570" t="n">
        <v>30141100</v>
      </c>
      <c r="U235" s="570" t="n">
        <v>2155600</v>
      </c>
      <c r="V235" s="570" t="n">
        <v>16191700</v>
      </c>
      <c r="W235" s="570" t="n">
        <v>10311300</v>
      </c>
      <c r="X235" s="570" t="n">
        <v>40920100</v>
      </c>
      <c r="Y235" s="570" t="n">
        <v>216000</v>
      </c>
      <c r="Z235" s="570" t="n">
        <v>155200</v>
      </c>
      <c r="AA235" s="570" t="n">
        <v>1215800</v>
      </c>
      <c r="AB235" s="570" t="n">
        <v>20723200</v>
      </c>
      <c r="AC235" s="570" t="n">
        <v>15030000</v>
      </c>
      <c r="AD235" s="570" t="n">
        <v>28146000</v>
      </c>
      <c r="AE235" s="570" t="n">
        <v>182900</v>
      </c>
      <c r="AF235" s="570" t="n">
        <v>263500</v>
      </c>
      <c r="AG235" s="570" t="n">
        <v>127800</v>
      </c>
      <c r="AH235" s="570" t="n">
        <v>147800</v>
      </c>
      <c r="AI235" s="570" t="n">
        <v>251600</v>
      </c>
      <c r="AJ235" s="570" t="n">
        <v>313500</v>
      </c>
      <c r="AK235" s="570" t="n">
        <v>386700</v>
      </c>
      <c r="AL235" s="570" t="n">
        <v>288200</v>
      </c>
      <c r="AM235" s="570" t="n">
        <v>560900</v>
      </c>
      <c r="AN235" s="570" t="n">
        <v>510000</v>
      </c>
      <c r="AO235" s="570" t="n">
        <v>617600</v>
      </c>
      <c r="AP235" s="570" t="n">
        <v>330300</v>
      </c>
      <c r="AQ235" s="570" t="n">
        <v>64600</v>
      </c>
      <c r="AR235" s="570" t="n">
        <v>120100</v>
      </c>
      <c r="AS235" s="570" t="n">
        <v>125300</v>
      </c>
      <c r="AT235" s="570" t="n">
        <v>88900</v>
      </c>
      <c r="AU235" s="570" t="n">
        <v>108200</v>
      </c>
      <c r="AV235" s="570" t="n">
        <v>114900</v>
      </c>
      <c r="AW235" s="570" t="n">
        <v>127400</v>
      </c>
      <c r="AX235" s="570" t="n">
        <v>182000</v>
      </c>
      <c r="AY235" s="570" t="n">
        <v>97400</v>
      </c>
      <c r="AZ235" s="570" t="n">
        <v>87100</v>
      </c>
      <c r="BA235" s="570" t="n">
        <v>100600</v>
      </c>
      <c r="BB235" s="570" t="n">
        <v>164400</v>
      </c>
      <c r="BC235" s="570" t="n">
        <v>153800</v>
      </c>
      <c r="BD235" s="570" t="n">
        <v>162400</v>
      </c>
      <c r="BE235" s="570" t="n">
        <v>212900</v>
      </c>
      <c r="BF235" s="570" t="n">
        <v>141200</v>
      </c>
      <c r="BG235" s="570" t="n">
        <v>197800</v>
      </c>
      <c r="BH235" s="570" t="n">
        <v>247500</v>
      </c>
      <c r="BI235" s="570" t="n">
        <v>182400</v>
      </c>
      <c r="BJ235" s="570" t="n">
        <v>349700</v>
      </c>
      <c r="BK235" s="570" t="n">
        <v>194700</v>
      </c>
      <c r="BL235" s="570" t="n">
        <v>110000</v>
      </c>
    </row>
    <row r="236">
      <c r="A236" s="417" t="inlineStr">
        <is>
          <t>8005</t>
        </is>
      </c>
      <c r="B236" s="570">
        <f>銘柄管理!C236</f>
        <v/>
      </c>
      <c r="C236" s="570">
        <f>_xll.RssMarket("8005","出来高")</f>
        <v/>
      </c>
      <c r="D236" s="684">
        <f>C236-E236</f>
        <v/>
      </c>
      <c r="E236" s="570" t="n">
        <v>156300</v>
      </c>
      <c r="F236" s="570" t="n">
        <v>145900</v>
      </c>
      <c r="G236" s="570" t="n">
        <v>196800</v>
      </c>
      <c r="H236" s="570" t="n">
        <v>199300</v>
      </c>
      <c r="I236" s="570" t="n">
        <v>216400</v>
      </c>
      <c r="J236" s="570" t="n">
        <v>222700</v>
      </c>
      <c r="K236" s="570" t="n">
        <v>168300</v>
      </c>
      <c r="L236" s="570" t="n">
        <v>288200</v>
      </c>
      <c r="M236" s="570" t="n">
        <v>217500</v>
      </c>
      <c r="N236" s="570" t="n">
        <v>152600</v>
      </c>
      <c r="O236" s="570" t="n">
        <v>180300</v>
      </c>
      <c r="P236" s="570" t="n">
        <v>203800</v>
      </c>
      <c r="Q236" s="570" t="n">
        <v>297000</v>
      </c>
      <c r="R236" s="570" t="n">
        <v>267400</v>
      </c>
      <c r="S236" s="570" t="n">
        <v>198700</v>
      </c>
      <c r="T236" s="570" t="n">
        <v>172800</v>
      </c>
      <c r="U236" s="570" t="n">
        <v>199100</v>
      </c>
      <c r="V236" s="570" t="n">
        <v>135600</v>
      </c>
      <c r="W236" s="570" t="n">
        <v>187200</v>
      </c>
      <c r="X236" s="570" t="n">
        <v>318400</v>
      </c>
      <c r="Y236" s="570" t="n">
        <v>285900</v>
      </c>
      <c r="Z236" s="570" t="n">
        <v>402300</v>
      </c>
      <c r="AA236" s="570" t="n">
        <v>337000</v>
      </c>
      <c r="AB236" s="570" t="n">
        <v>263000</v>
      </c>
      <c r="AC236" s="570" t="n">
        <v>425400</v>
      </c>
      <c r="AD236" s="570" t="n">
        <v>677500</v>
      </c>
      <c r="AE236" s="570" t="n">
        <v>1515500</v>
      </c>
      <c r="AF236" s="570" t="n">
        <v>106100</v>
      </c>
      <c r="AG236" s="570" t="n">
        <v>182500</v>
      </c>
      <c r="AH236" s="570" t="n">
        <v>150600</v>
      </c>
      <c r="AI236" s="570" t="n">
        <v>96900</v>
      </c>
      <c r="AJ236" s="570" t="n">
        <v>135500</v>
      </c>
      <c r="AK236" s="570" t="n">
        <v>75700</v>
      </c>
      <c r="AL236" s="570" t="n">
        <v>72600</v>
      </c>
      <c r="AM236" s="570" t="n">
        <v>76800</v>
      </c>
      <c r="AN236" s="570" t="n">
        <v>70100</v>
      </c>
      <c r="AO236" s="570" t="n">
        <v>78800</v>
      </c>
      <c r="AP236" s="570" t="n">
        <v>64800</v>
      </c>
      <c r="AQ236" s="570" t="n">
        <v>66100</v>
      </c>
      <c r="AR236" s="570" t="n">
        <v>105100</v>
      </c>
      <c r="AS236" s="570" t="n">
        <v>102300</v>
      </c>
      <c r="AT236" s="570" t="n">
        <v>88800</v>
      </c>
      <c r="AU236" s="570" t="n">
        <v>82100</v>
      </c>
      <c r="AV236" s="570" t="n">
        <v>109200</v>
      </c>
      <c r="AW236" s="570" t="n">
        <v>84300</v>
      </c>
      <c r="AX236" s="570" t="n">
        <v>79400</v>
      </c>
      <c r="AY236" s="570" t="n">
        <v>49600</v>
      </c>
      <c r="AZ236" s="570" t="n">
        <v>51900</v>
      </c>
      <c r="BA236" s="570" t="n">
        <v>70100</v>
      </c>
      <c r="BB236" s="570" t="n">
        <v>89300</v>
      </c>
      <c r="BC236" s="570" t="n">
        <v>96300</v>
      </c>
      <c r="BD236" s="570" t="n">
        <v>132300</v>
      </c>
      <c r="BE236" s="570" t="n">
        <v>327200</v>
      </c>
      <c r="BF236" s="570" t="n">
        <v>457100</v>
      </c>
      <c r="BG236" s="570" t="n">
        <v>215400</v>
      </c>
      <c r="BH236" s="570" t="n">
        <v>175600</v>
      </c>
      <c r="BI236" s="570" t="n">
        <v>140200</v>
      </c>
      <c r="BJ236" s="570" t="n">
        <v>239900</v>
      </c>
      <c r="BK236" s="570" t="n">
        <v>159400</v>
      </c>
      <c r="BL236" s="570" t="n">
        <v>83800</v>
      </c>
    </row>
    <row r="237">
      <c r="A237" s="417" t="inlineStr">
        <is>
          <t>2326</t>
        </is>
      </c>
      <c r="B237" s="570">
        <f>銘柄管理!C237</f>
        <v/>
      </c>
      <c r="C237" s="570">
        <f>_xll.RssMarket("2326","出来高")</f>
        <v/>
      </c>
      <c r="D237" s="684">
        <f>C237-E237</f>
        <v/>
      </c>
      <c r="E237" s="570" t="n">
        <v>177700</v>
      </c>
      <c r="F237" s="570" t="n">
        <v>324800</v>
      </c>
      <c r="G237" s="570" t="n">
        <v>126000</v>
      </c>
      <c r="H237" s="570" t="n">
        <v>139200</v>
      </c>
      <c r="I237" s="570" t="n">
        <v>143900</v>
      </c>
      <c r="J237" s="570" t="n">
        <v>206000</v>
      </c>
      <c r="K237" s="570" t="n">
        <v>136600</v>
      </c>
      <c r="L237" s="570" t="n">
        <v>195000</v>
      </c>
      <c r="M237" s="570" t="n">
        <v>168400</v>
      </c>
      <c r="N237" s="570" t="n">
        <v>190300</v>
      </c>
      <c r="O237" s="570" t="n">
        <v>177400</v>
      </c>
      <c r="P237" s="570" t="n">
        <v>357900</v>
      </c>
      <c r="Q237" s="570" t="n">
        <v>362100</v>
      </c>
      <c r="R237" s="570" t="n">
        <v>564300</v>
      </c>
      <c r="S237" s="570" t="n">
        <v>196100</v>
      </c>
      <c r="T237" s="570" t="n">
        <v>176100</v>
      </c>
      <c r="U237" s="570" t="n">
        <v>165900</v>
      </c>
      <c r="V237" s="570" t="n">
        <v>234000</v>
      </c>
      <c r="W237" s="570" t="n">
        <v>159400</v>
      </c>
      <c r="X237" s="570" t="n">
        <v>201000</v>
      </c>
      <c r="Y237" s="570" t="n">
        <v>260000</v>
      </c>
      <c r="Z237" s="570" t="n">
        <v>345800</v>
      </c>
      <c r="AA237" s="570" t="n">
        <v>376800</v>
      </c>
      <c r="AB237" s="570" t="n">
        <v>306200</v>
      </c>
      <c r="AC237" s="570" t="n">
        <v>343500</v>
      </c>
      <c r="AD237" s="570" t="n">
        <v>620400</v>
      </c>
      <c r="AE237" s="570" t="n">
        <v>1083200</v>
      </c>
      <c r="AF237" s="570" t="n">
        <v>61200</v>
      </c>
      <c r="AG237" s="570" t="n">
        <v>317100</v>
      </c>
      <c r="AH237" s="570" t="n">
        <v>94100</v>
      </c>
      <c r="AI237" s="570" t="n">
        <v>98300</v>
      </c>
      <c r="AJ237" s="570" t="n">
        <v>73700</v>
      </c>
      <c r="AK237" s="570" t="n">
        <v>158400</v>
      </c>
      <c r="AL237" s="570" t="n">
        <v>84400</v>
      </c>
      <c r="AM237" s="570" t="n">
        <v>146700</v>
      </c>
      <c r="AN237" s="570" t="n">
        <v>141200</v>
      </c>
      <c r="AO237" s="570" t="n">
        <v>90800</v>
      </c>
      <c r="AP237" s="570" t="n">
        <v>146800</v>
      </c>
      <c r="AQ237" s="570" t="n">
        <v>157700</v>
      </c>
      <c r="AR237" s="570" t="n">
        <v>113100</v>
      </c>
      <c r="AS237" s="570" t="n">
        <v>85500</v>
      </c>
      <c r="AT237" s="570" t="n">
        <v>90200</v>
      </c>
      <c r="AU237" s="570" t="n">
        <v>106500</v>
      </c>
      <c r="AV237" s="570" t="n">
        <v>107900</v>
      </c>
      <c r="AW237" s="570" t="n">
        <v>71300</v>
      </c>
      <c r="AX237" s="570" t="n">
        <v>108500</v>
      </c>
      <c r="AY237" s="570" t="n">
        <v>45700</v>
      </c>
      <c r="AZ237" s="570" t="n">
        <v>71100</v>
      </c>
      <c r="BA237" s="570" t="n">
        <v>50400</v>
      </c>
      <c r="BB237" s="570" t="n">
        <v>115500</v>
      </c>
      <c r="BC237" s="570" t="n">
        <v>85200</v>
      </c>
      <c r="BD237" s="570" t="n">
        <v>86100</v>
      </c>
      <c r="BE237" s="570" t="n">
        <v>148200</v>
      </c>
      <c r="BF237" s="570" t="n">
        <v>110100</v>
      </c>
      <c r="BG237" s="570" t="n">
        <v>103800</v>
      </c>
      <c r="BH237" s="570" t="n">
        <v>110200</v>
      </c>
      <c r="BI237" s="570" t="n">
        <v>87300</v>
      </c>
      <c r="BJ237" s="570" t="n">
        <v>137000</v>
      </c>
      <c r="BK237" s="570" t="n">
        <v>69400</v>
      </c>
      <c r="BL237" s="570" t="n">
        <v>54200</v>
      </c>
    </row>
    <row r="238">
      <c r="A238" s="417" t="inlineStr">
        <is>
          <t>6809</t>
        </is>
      </c>
      <c r="B238" s="570">
        <f>銘柄管理!C238</f>
        <v/>
      </c>
      <c r="C238" s="570">
        <f>_xll.RssMarket("6809","出来高")</f>
        <v/>
      </c>
      <c r="D238" s="684">
        <f>C238-E238</f>
        <v/>
      </c>
      <c r="E238" s="570" t="n">
        <v>65500</v>
      </c>
      <c r="F238" s="570" t="n">
        <v>108000</v>
      </c>
      <c r="G238" s="570" t="n">
        <v>63000</v>
      </c>
      <c r="H238" s="570" t="n">
        <v>78500</v>
      </c>
      <c r="I238" s="570" t="n">
        <v>68400</v>
      </c>
      <c r="J238" s="570" t="n">
        <v>90100</v>
      </c>
      <c r="K238" s="570" t="n">
        <v>79200</v>
      </c>
      <c r="L238" s="570" t="n">
        <v>103700</v>
      </c>
      <c r="M238" s="570" t="n">
        <v>112300</v>
      </c>
      <c r="N238" s="570" t="n">
        <v>97600</v>
      </c>
      <c r="O238" s="570" t="n">
        <v>80500</v>
      </c>
      <c r="P238" s="570" t="n">
        <v>134700</v>
      </c>
      <c r="Q238" s="570" t="n">
        <v>135400</v>
      </c>
      <c r="R238" s="570" t="n">
        <v>118100</v>
      </c>
      <c r="S238" s="570" t="n">
        <v>183400</v>
      </c>
      <c r="T238" s="570" t="n">
        <v>134700</v>
      </c>
      <c r="U238" s="570" t="n">
        <v>118700</v>
      </c>
      <c r="V238" s="570" t="n">
        <v>170100</v>
      </c>
      <c r="W238" s="570" t="n">
        <v>153500</v>
      </c>
      <c r="X238" s="570" t="n">
        <v>295600</v>
      </c>
      <c r="Y238" s="570" t="n">
        <v>112500</v>
      </c>
      <c r="Z238" s="570" t="n">
        <v>94500</v>
      </c>
      <c r="AA238" s="570" t="n">
        <v>155200</v>
      </c>
      <c r="AB238" s="570" t="n">
        <v>116400</v>
      </c>
      <c r="AC238" s="570" t="n">
        <v>146700</v>
      </c>
      <c r="AD238" s="570" t="n">
        <v>228900</v>
      </c>
      <c r="AE238" s="570" t="n">
        <v>468800</v>
      </c>
      <c r="AF238" s="570" t="n">
        <v>922300</v>
      </c>
      <c r="AG238" s="570" t="n">
        <v>349700</v>
      </c>
      <c r="AH238" s="570" t="n">
        <v>176200</v>
      </c>
      <c r="AI238" s="570" t="n">
        <v>74400</v>
      </c>
      <c r="AJ238" s="570" t="n">
        <v>142200</v>
      </c>
      <c r="AK238" s="570" t="n">
        <v>121000</v>
      </c>
      <c r="AL238" s="570" t="n">
        <v>91700</v>
      </c>
      <c r="AM238" s="570" t="n">
        <v>86600</v>
      </c>
      <c r="AN238" s="570" t="n">
        <v>66600</v>
      </c>
      <c r="AO238" s="570" t="n">
        <v>100800</v>
      </c>
      <c r="AP238" s="570" t="n">
        <v>67200</v>
      </c>
      <c r="AQ238" s="570" t="n">
        <v>99000</v>
      </c>
      <c r="AR238" s="570" t="n">
        <v>55500</v>
      </c>
      <c r="AS238" s="570" t="n">
        <v>116400</v>
      </c>
      <c r="AT238" s="570" t="n">
        <v>57300</v>
      </c>
      <c r="AU238" s="570" t="n">
        <v>64900</v>
      </c>
      <c r="AV238" s="570" t="n">
        <v>83900</v>
      </c>
      <c r="AW238" s="570" t="n">
        <v>80900</v>
      </c>
      <c r="AX238" s="570" t="n">
        <v>101200</v>
      </c>
      <c r="AY238" s="570" t="n">
        <v>168400</v>
      </c>
      <c r="AZ238" s="570" t="n">
        <v>74600</v>
      </c>
      <c r="BA238" s="570" t="n">
        <v>69600</v>
      </c>
      <c r="BB238" s="570" t="n">
        <v>88500</v>
      </c>
      <c r="BC238" s="570" t="n">
        <v>135300</v>
      </c>
      <c r="BD238" s="570" t="n">
        <v>162300</v>
      </c>
      <c r="BE238" s="570" t="n">
        <v>192500</v>
      </c>
      <c r="BF238" s="570" t="n">
        <v>184200</v>
      </c>
      <c r="BG238" s="570" t="n">
        <v>151300</v>
      </c>
      <c r="BH238" s="570" t="n">
        <v>171800</v>
      </c>
      <c r="BI238" s="570" t="n">
        <v>119700</v>
      </c>
      <c r="BJ238" s="570" t="n">
        <v>269700</v>
      </c>
      <c r="BK238" s="570" t="n">
        <v>470100</v>
      </c>
      <c r="BL238" s="570" t="n">
        <v>73000</v>
      </c>
    </row>
    <row r="239">
      <c r="A239" s="417" t="inlineStr">
        <is>
          <t>3984</t>
        </is>
      </c>
      <c r="B239" s="570">
        <f>銘柄管理!C239</f>
        <v/>
      </c>
      <c r="C239" s="570">
        <f>_xll.RssMarket("3984","出来高")</f>
        <v/>
      </c>
      <c r="D239" s="684">
        <f>C239-E239</f>
        <v/>
      </c>
      <c r="E239" s="570" t="n">
        <v>95400</v>
      </c>
      <c r="F239" s="570" t="n">
        <v>120600</v>
      </c>
      <c r="G239" s="570" t="n">
        <v>61400</v>
      </c>
      <c r="H239" s="570" t="n">
        <v>73600</v>
      </c>
      <c r="I239" s="570" t="n">
        <v>51300</v>
      </c>
      <c r="J239" s="570" t="n">
        <v>117400</v>
      </c>
      <c r="K239" s="570" t="n">
        <v>137900</v>
      </c>
      <c r="L239" s="570" t="n">
        <v>135900</v>
      </c>
      <c r="M239" s="570" t="n">
        <v>282000</v>
      </c>
      <c r="N239" s="570" t="n">
        <v>208700</v>
      </c>
      <c r="O239" s="570" t="n">
        <v>135000</v>
      </c>
      <c r="P239" s="570" t="n">
        <v>175500</v>
      </c>
      <c r="Q239" s="570" t="n">
        <v>145100</v>
      </c>
      <c r="R239" s="570" t="n">
        <v>109200</v>
      </c>
      <c r="S239" s="570" t="n">
        <v>104300</v>
      </c>
      <c r="T239" s="570" t="n">
        <v>156300</v>
      </c>
      <c r="U239" s="570" t="n">
        <v>128400</v>
      </c>
      <c r="V239" s="570" t="n">
        <v>70800</v>
      </c>
      <c r="W239" s="570" t="n">
        <v>96400</v>
      </c>
      <c r="X239" s="570" t="n">
        <v>156200</v>
      </c>
      <c r="Y239" s="570" t="n">
        <v>70200</v>
      </c>
      <c r="Z239" s="570" t="n">
        <v>96000</v>
      </c>
      <c r="AA239" s="570" t="n">
        <v>96400</v>
      </c>
      <c r="AB239" s="570" t="n">
        <v>162900</v>
      </c>
      <c r="AC239" s="570" t="n">
        <v>193200</v>
      </c>
      <c r="AD239" s="570" t="n">
        <v>227500</v>
      </c>
      <c r="AE239" s="570" t="n">
        <v>228700</v>
      </c>
      <c r="AF239" s="570" t="n">
        <v>659700</v>
      </c>
      <c r="AG239" s="570" t="n">
        <v>141500</v>
      </c>
      <c r="AH239" s="570" t="n">
        <v>48700</v>
      </c>
      <c r="AI239" s="570" t="n">
        <v>70100</v>
      </c>
      <c r="AJ239" s="570" t="n">
        <v>63600</v>
      </c>
      <c r="AK239" s="570" t="n">
        <v>59600</v>
      </c>
      <c r="AL239" s="570" t="n">
        <v>80800</v>
      </c>
      <c r="AM239" s="570" t="n">
        <v>96700</v>
      </c>
      <c r="AN239" s="570" t="n">
        <v>74900</v>
      </c>
      <c r="AO239" s="570" t="n">
        <v>53500</v>
      </c>
      <c r="AP239" s="570" t="n">
        <v>81400</v>
      </c>
      <c r="AQ239" s="570" t="n">
        <v>73600</v>
      </c>
      <c r="AR239" s="570" t="n">
        <v>143100</v>
      </c>
      <c r="AS239" s="570" t="n">
        <v>80400</v>
      </c>
      <c r="AT239" s="570" t="n">
        <v>76500</v>
      </c>
      <c r="AU239" s="570" t="n">
        <v>84400</v>
      </c>
      <c r="AV239" s="570" t="n">
        <v>93000</v>
      </c>
      <c r="AW239" s="570" t="n">
        <v>82900</v>
      </c>
      <c r="AX239" s="570" t="n">
        <v>88600</v>
      </c>
      <c r="AY239" s="570" t="n">
        <v>59700</v>
      </c>
      <c r="AZ239" s="570" t="n">
        <v>47100</v>
      </c>
      <c r="BA239" s="570" t="n">
        <v>59500</v>
      </c>
      <c r="BB239" s="570" t="n">
        <v>57900</v>
      </c>
      <c r="BC239" s="570" t="n">
        <v>153300</v>
      </c>
      <c r="BD239" s="570" t="n">
        <v>123800</v>
      </c>
      <c r="BE239" s="570" t="n">
        <v>253300</v>
      </c>
      <c r="BF239" s="570" t="n">
        <v>64400</v>
      </c>
      <c r="BG239" s="570" t="n">
        <v>73300</v>
      </c>
      <c r="BH239" s="570" t="n">
        <v>54100</v>
      </c>
      <c r="BI239" s="570" t="n">
        <v>64700</v>
      </c>
      <c r="BJ239" s="570" t="n">
        <v>87600</v>
      </c>
      <c r="BK239" s="570" t="n">
        <v>131700</v>
      </c>
      <c r="BL239" s="570" t="n">
        <v>44700</v>
      </c>
    </row>
    <row r="240">
      <c r="A240" s="417" t="inlineStr">
        <is>
          <t>7609</t>
        </is>
      </c>
      <c r="B240" s="570">
        <f>銘柄管理!C240</f>
        <v/>
      </c>
      <c r="C240" s="570">
        <f>_xll.RssMarket("7609","出来高")</f>
        <v/>
      </c>
      <c r="D240" s="684">
        <f>C240-E240</f>
        <v/>
      </c>
      <c r="E240" s="570" t="n">
        <v>85000</v>
      </c>
      <c r="F240" s="570" t="n">
        <v>93500</v>
      </c>
      <c r="G240" s="570" t="n">
        <v>119700</v>
      </c>
      <c r="H240" s="570" t="n">
        <v>53900</v>
      </c>
      <c r="I240" s="570" t="n">
        <v>42100</v>
      </c>
      <c r="J240" s="570" t="n">
        <v>113900</v>
      </c>
      <c r="K240" s="570" t="n">
        <v>115400</v>
      </c>
      <c r="L240" s="570" t="n">
        <v>149300</v>
      </c>
      <c r="M240" s="570" t="n">
        <v>156700</v>
      </c>
      <c r="N240" s="570" t="n">
        <v>123500</v>
      </c>
      <c r="O240" s="570" t="n">
        <v>82200</v>
      </c>
      <c r="P240" s="570" t="n">
        <v>99000</v>
      </c>
      <c r="Q240" s="570" t="n">
        <v>112300</v>
      </c>
      <c r="R240" s="570" t="n">
        <v>86100</v>
      </c>
      <c r="S240" s="570" t="n">
        <v>111000</v>
      </c>
      <c r="T240" s="570" t="n">
        <v>142500</v>
      </c>
      <c r="U240" s="570" t="n">
        <v>111300</v>
      </c>
      <c r="V240" s="570" t="n">
        <v>117000</v>
      </c>
      <c r="W240" s="570" t="n">
        <v>130600</v>
      </c>
      <c r="X240" s="570" t="n">
        <v>140000</v>
      </c>
      <c r="Y240" s="570" t="n">
        <v>207100</v>
      </c>
      <c r="Z240" s="570" t="n">
        <v>106000</v>
      </c>
      <c r="AA240" s="570" t="n">
        <v>166300</v>
      </c>
      <c r="AB240" s="570" t="n">
        <v>120100</v>
      </c>
      <c r="AC240" s="570" t="n">
        <v>119000</v>
      </c>
      <c r="AD240" s="570" t="n">
        <v>135800</v>
      </c>
      <c r="AE240" s="570" t="n">
        <v>266000</v>
      </c>
      <c r="AF240" s="570" t="n">
        <v>694400</v>
      </c>
      <c r="AG240" s="570" t="n">
        <v>275800</v>
      </c>
      <c r="AH240" s="570" t="n">
        <v>263200</v>
      </c>
      <c r="AI240" s="570" t="n">
        <v>106200</v>
      </c>
      <c r="AJ240" s="570" t="n">
        <v>85600</v>
      </c>
      <c r="AK240" s="570" t="n">
        <v>98000</v>
      </c>
      <c r="AL240" s="570" t="n">
        <v>70400</v>
      </c>
      <c r="AM240" s="570" t="n">
        <v>75900</v>
      </c>
      <c r="AN240" s="570" t="n">
        <v>47700</v>
      </c>
      <c r="AO240" s="570" t="n">
        <v>57800</v>
      </c>
      <c r="AP240" s="570" t="n">
        <v>60300</v>
      </c>
      <c r="AQ240" s="570" t="n">
        <v>66700</v>
      </c>
      <c r="AR240" s="570" t="n">
        <v>154700</v>
      </c>
      <c r="AS240" s="570" t="n">
        <v>125500</v>
      </c>
      <c r="AT240" s="570" t="n">
        <v>79300</v>
      </c>
      <c r="AU240" s="570" t="n">
        <v>61400</v>
      </c>
      <c r="AV240" s="570" t="n">
        <v>84500</v>
      </c>
      <c r="AW240" s="570" t="n">
        <v>61000</v>
      </c>
      <c r="AX240" s="570" t="n">
        <v>64300</v>
      </c>
      <c r="AY240" s="570" t="n">
        <v>40400</v>
      </c>
      <c r="AZ240" s="570" t="n">
        <v>53600</v>
      </c>
      <c r="BA240" s="570" t="n">
        <v>41000</v>
      </c>
      <c r="BB240" s="570" t="n">
        <v>67600</v>
      </c>
      <c r="BC240" s="570" t="n">
        <v>73300</v>
      </c>
      <c r="BD240" s="570" t="n">
        <v>104800</v>
      </c>
      <c r="BE240" s="570" t="n">
        <v>77200</v>
      </c>
      <c r="BF240" s="570" t="n">
        <v>125900</v>
      </c>
      <c r="BG240" s="570" t="n">
        <v>59600</v>
      </c>
      <c r="BH240" s="570" t="n">
        <v>63500</v>
      </c>
      <c r="BI240" s="570" t="n">
        <v>65300</v>
      </c>
      <c r="BJ240" s="570" t="n">
        <v>99300</v>
      </c>
      <c r="BK240" s="570" t="n">
        <v>55400</v>
      </c>
      <c r="BL240" s="570" t="n">
        <v>36700</v>
      </c>
    </row>
    <row r="241">
      <c r="A241" s="417" t="inlineStr">
        <is>
          <t>7972</t>
        </is>
      </c>
      <c r="B241" s="570">
        <f>銘柄管理!C241</f>
        <v/>
      </c>
      <c r="C241" s="570">
        <f>_xll.RssMarket("7972","出来高")</f>
        <v/>
      </c>
      <c r="D241" s="684">
        <f>C241-E241</f>
        <v/>
      </c>
      <c r="E241" s="570" t="n">
        <v>262800</v>
      </c>
      <c r="F241" s="570" t="n">
        <v>229900</v>
      </c>
      <c r="G241" s="570" t="n">
        <v>279900</v>
      </c>
      <c r="H241" s="570" t="n">
        <v>146300</v>
      </c>
      <c r="I241" s="570" t="n">
        <v>203100</v>
      </c>
      <c r="J241" s="570" t="n">
        <v>207300</v>
      </c>
      <c r="K241" s="570" t="n">
        <v>187200</v>
      </c>
      <c r="L241" s="570" t="n">
        <v>154800</v>
      </c>
      <c r="M241" s="570" t="n">
        <v>191400</v>
      </c>
      <c r="N241" s="570" t="n">
        <v>189300</v>
      </c>
      <c r="O241" s="570" t="n">
        <v>339600</v>
      </c>
      <c r="P241" s="570" t="n">
        <v>437100</v>
      </c>
      <c r="Q241" s="570" t="n">
        <v>378200</v>
      </c>
      <c r="R241" s="570" t="n">
        <v>447200</v>
      </c>
      <c r="S241" s="570" t="n">
        <v>377800</v>
      </c>
      <c r="T241" s="570" t="n">
        <v>384500</v>
      </c>
      <c r="U241" s="570" t="n">
        <v>169400</v>
      </c>
      <c r="V241" s="570" t="n">
        <v>262100</v>
      </c>
      <c r="W241" s="570" t="n">
        <v>241200</v>
      </c>
      <c r="X241" s="570" t="n">
        <v>201800</v>
      </c>
      <c r="Y241" s="570" t="n">
        <v>202400</v>
      </c>
      <c r="Z241" s="570" t="n">
        <v>212400</v>
      </c>
      <c r="AA241" s="570" t="n">
        <v>255100</v>
      </c>
      <c r="AB241" s="570" t="n">
        <v>222600</v>
      </c>
      <c r="AC241" s="570" t="n">
        <v>335100</v>
      </c>
      <c r="AD241" s="570" t="n">
        <v>441500</v>
      </c>
      <c r="AE241" s="570" t="n">
        <v>487600</v>
      </c>
      <c r="AF241" s="570" t="n">
        <v>1111000</v>
      </c>
      <c r="AG241" s="570" t="n">
        <v>363000</v>
      </c>
      <c r="AH241" s="570" t="n">
        <v>132100</v>
      </c>
      <c r="AI241" s="570" t="n">
        <v>277900</v>
      </c>
      <c r="AJ241" s="570" t="n">
        <v>124400</v>
      </c>
      <c r="AK241" s="570" t="n">
        <v>218600</v>
      </c>
      <c r="AL241" s="570" t="n">
        <v>135600</v>
      </c>
      <c r="AM241" s="570" t="n">
        <v>108200</v>
      </c>
      <c r="AN241" s="570" t="n">
        <v>102300</v>
      </c>
      <c r="AO241" s="570" t="n">
        <v>111200</v>
      </c>
      <c r="AP241" s="570" t="n">
        <v>176300</v>
      </c>
      <c r="AQ241" s="570" t="n">
        <v>135500</v>
      </c>
      <c r="AR241" s="570" t="n">
        <v>144900</v>
      </c>
      <c r="AS241" s="570" t="n">
        <v>199400</v>
      </c>
      <c r="AT241" s="570" t="n">
        <v>132300</v>
      </c>
      <c r="AU241" s="570" t="n">
        <v>143600</v>
      </c>
      <c r="AV241" s="570" t="n">
        <v>113800</v>
      </c>
      <c r="AW241" s="570" t="n">
        <v>152000</v>
      </c>
      <c r="AX241" s="570" t="n">
        <v>148800</v>
      </c>
      <c r="AY241" s="570" t="n">
        <v>132400</v>
      </c>
      <c r="AZ241" s="570" t="n">
        <v>106600</v>
      </c>
      <c r="BA241" s="570" t="n">
        <v>109200</v>
      </c>
      <c r="BB241" s="570" t="n">
        <v>284900</v>
      </c>
      <c r="BC241" s="570" t="n">
        <v>197100</v>
      </c>
      <c r="BD241" s="570" t="n">
        <v>172300</v>
      </c>
      <c r="BE241" s="570" t="n">
        <v>181300</v>
      </c>
      <c r="BF241" s="570" t="n">
        <v>140700</v>
      </c>
      <c r="BG241" s="570" t="n">
        <v>192700</v>
      </c>
      <c r="BH241" s="570" t="n">
        <v>129700</v>
      </c>
      <c r="BI241" s="570" t="n">
        <v>152800</v>
      </c>
      <c r="BJ241" s="570" t="n">
        <v>183400</v>
      </c>
      <c r="BK241" s="570" t="n">
        <v>190300</v>
      </c>
      <c r="BL241" s="570" t="n">
        <v>118800</v>
      </c>
    </row>
    <row r="242">
      <c r="A242" s="417" t="inlineStr">
        <is>
          <t>6521</t>
        </is>
      </c>
      <c r="B242" s="570">
        <f>銘柄管理!C242</f>
        <v/>
      </c>
      <c r="C242" s="570">
        <f>_xll.RssMarket("6521","出来高")</f>
        <v/>
      </c>
      <c r="D242" s="684">
        <f>C242-E242</f>
        <v/>
      </c>
      <c r="E242" s="570" t="n">
        <v>405300</v>
      </c>
      <c r="F242" s="570" t="n">
        <v>612600</v>
      </c>
      <c r="G242" s="570" t="n">
        <v>248700</v>
      </c>
      <c r="H242" s="570" t="n">
        <v>346300</v>
      </c>
      <c r="I242" s="570" t="n">
        <v>340300</v>
      </c>
      <c r="J242" s="570" t="n">
        <v>318600</v>
      </c>
      <c r="K242" s="570" t="n">
        <v>340500</v>
      </c>
      <c r="L242" s="570" t="n">
        <v>673900</v>
      </c>
      <c r="M242" s="570" t="n">
        <v>391000</v>
      </c>
      <c r="N242" s="570" t="n">
        <v>317400</v>
      </c>
      <c r="O242" s="570" t="n">
        <v>344500</v>
      </c>
      <c r="P242" s="570" t="n">
        <v>453300</v>
      </c>
      <c r="Q242" s="570" t="n">
        <v>548800</v>
      </c>
      <c r="R242" s="570" t="n">
        <v>603000</v>
      </c>
      <c r="S242" s="570" t="n">
        <v>739900</v>
      </c>
      <c r="T242" s="570" t="n">
        <v>473900</v>
      </c>
      <c r="U242" s="570" t="n">
        <v>766100</v>
      </c>
      <c r="V242" s="570" t="n">
        <v>738000</v>
      </c>
      <c r="W242" s="570" t="n">
        <v>492400</v>
      </c>
      <c r="X242" s="570" t="n">
        <v>516300</v>
      </c>
      <c r="Y242" s="570" t="n">
        <v>1073000</v>
      </c>
      <c r="Z242" s="570" t="n">
        <v>723000</v>
      </c>
      <c r="AA242" s="570" t="n">
        <v>649600</v>
      </c>
      <c r="AB242" s="570" t="n">
        <v>643500</v>
      </c>
      <c r="AC242" s="570" t="n">
        <v>592700</v>
      </c>
      <c r="AD242" s="570" t="n">
        <v>1160100</v>
      </c>
      <c r="AE242" s="570" t="n">
        <v>1248900</v>
      </c>
      <c r="AF242" s="570" t="n">
        <v>1383100</v>
      </c>
      <c r="AG242" s="570" t="n">
        <v>802300</v>
      </c>
      <c r="AH242" s="570" t="n">
        <v>277900</v>
      </c>
      <c r="AI242" s="570" t="n">
        <v>275700</v>
      </c>
      <c r="AJ242" s="570" t="n">
        <v>308100</v>
      </c>
      <c r="AK242" s="570" t="n">
        <v>628700</v>
      </c>
      <c r="AL242" s="570" t="n">
        <v>445700</v>
      </c>
      <c r="AM242" s="570" t="n">
        <v>567900</v>
      </c>
      <c r="AN242" s="570" t="n">
        <v>969500</v>
      </c>
      <c r="AO242" s="570" t="n">
        <v>1835800</v>
      </c>
      <c r="AP242" s="570" t="n">
        <v>760800</v>
      </c>
      <c r="AQ242" s="570" t="n">
        <v>585700</v>
      </c>
      <c r="AR242" s="570" t="n">
        <v>729100</v>
      </c>
      <c r="AS242" s="570" t="n">
        <v>1782400</v>
      </c>
      <c r="AT242" s="570" t="n">
        <v>2964800</v>
      </c>
      <c r="AU242" s="570" t="n">
        <v>866200</v>
      </c>
      <c r="AV242" s="570" t="n">
        <v>647400</v>
      </c>
      <c r="AW242" s="570" t="n">
        <v>378100</v>
      </c>
      <c r="AX242" s="570" t="n">
        <v>535000</v>
      </c>
      <c r="AY242" s="570" t="n">
        <v>427900</v>
      </c>
      <c r="AZ242" s="570" t="n">
        <v>618500</v>
      </c>
      <c r="BA242" s="570" t="n">
        <v>407100</v>
      </c>
      <c r="BB242" s="570" t="n">
        <v>637000</v>
      </c>
      <c r="BC242" s="570" t="n">
        <v>411900</v>
      </c>
      <c r="BD242" s="570" t="n">
        <v>603200</v>
      </c>
      <c r="BE242" s="570" t="n">
        <v>437000</v>
      </c>
      <c r="BF242" s="570" t="n">
        <v>485900</v>
      </c>
      <c r="BG242" s="570" t="n">
        <v>617600</v>
      </c>
      <c r="BH242" s="570" t="n">
        <v>1099400</v>
      </c>
      <c r="BI242" s="570" t="n">
        <v>768500</v>
      </c>
      <c r="BJ242" s="570" t="n">
        <v>808200</v>
      </c>
      <c r="BK242" s="570" t="n">
        <v>708500</v>
      </c>
      <c r="BL242" s="570" t="n">
        <v>828800</v>
      </c>
    </row>
    <row r="243">
      <c r="A243" s="417" t="inlineStr">
        <is>
          <t>9165</t>
        </is>
      </c>
      <c r="B243" s="570">
        <f>銘柄管理!C243</f>
        <v/>
      </c>
      <c r="C243" s="570">
        <f>_xll.RssMarket("9165","出来高")</f>
        <v/>
      </c>
      <c r="D243" s="684">
        <f>C243-E243</f>
        <v/>
      </c>
      <c r="E243" s="570" t="n">
        <v>31000</v>
      </c>
      <c r="F243" s="570" t="n">
        <v>23500</v>
      </c>
      <c r="G243" s="570" t="n">
        <v>18700</v>
      </c>
      <c r="H243" s="570" t="n">
        <v>14800</v>
      </c>
      <c r="I243" s="570" t="n">
        <v>12400</v>
      </c>
      <c r="J243" s="570" t="n">
        <v>19500</v>
      </c>
      <c r="K243" s="570" t="n">
        <v>20700</v>
      </c>
      <c r="L243" s="570" t="n">
        <v>35400</v>
      </c>
      <c r="M243" s="570" t="n">
        <v>42400</v>
      </c>
      <c r="N243" s="570" t="n">
        <v>21000</v>
      </c>
      <c r="O243" s="570" t="n">
        <v>45000</v>
      </c>
      <c r="P243" s="570" t="n">
        <v>38200</v>
      </c>
      <c r="Q243" s="570" t="n">
        <v>49700</v>
      </c>
      <c r="R243" s="570" t="n">
        <v>41900</v>
      </c>
      <c r="S243" s="570" t="n">
        <v>118900</v>
      </c>
      <c r="T243" s="570" t="n">
        <v>93700</v>
      </c>
      <c r="U243" s="570" t="n">
        <v>158800</v>
      </c>
      <c r="V243" s="570" t="n">
        <v>93000</v>
      </c>
      <c r="W243" s="570" t="n">
        <v>25900</v>
      </c>
      <c r="X243" s="570" t="n">
        <v>65800</v>
      </c>
      <c r="Y243" s="570" t="n">
        <v>32100</v>
      </c>
      <c r="Z243" s="570" t="n">
        <v>41800</v>
      </c>
      <c r="AA243" s="570" t="n">
        <v>39200</v>
      </c>
      <c r="AB243" s="570" t="n">
        <v>18500</v>
      </c>
      <c r="AC243" s="570" t="n">
        <v>21700</v>
      </c>
      <c r="AD243" s="570" t="n">
        <v>59500</v>
      </c>
      <c r="AE243" s="570" t="n">
        <v>97100</v>
      </c>
      <c r="AF243" s="570" t="n">
        <v>277100</v>
      </c>
      <c r="AG243" s="570" t="n">
        <v>35500</v>
      </c>
      <c r="AH243" s="570" t="n">
        <v>9600</v>
      </c>
      <c r="AI243" s="570" t="n">
        <v>4000</v>
      </c>
      <c r="AJ243" s="570" t="n">
        <v>8000</v>
      </c>
      <c r="AK243" s="570" t="n">
        <v>8700</v>
      </c>
      <c r="AL243" s="570" t="n">
        <v>3100</v>
      </c>
      <c r="AM243" s="570" t="n">
        <v>8800</v>
      </c>
      <c r="AN243" s="570" t="n">
        <v>10200</v>
      </c>
      <c r="AO243" s="570" t="n">
        <v>3900</v>
      </c>
      <c r="AP243" s="570" t="n">
        <v>8500</v>
      </c>
      <c r="AQ243" s="570" t="n">
        <v>2300</v>
      </c>
      <c r="AR243" s="570" t="n">
        <v>12600</v>
      </c>
      <c r="AS243" s="570" t="n">
        <v>6100</v>
      </c>
      <c r="AT243" s="570" t="n">
        <v>12300</v>
      </c>
      <c r="AU243" s="570" t="n">
        <v>5900</v>
      </c>
      <c r="AV243" s="570" t="n">
        <v>8500</v>
      </c>
      <c r="AW243" s="570" t="n">
        <v>26000</v>
      </c>
      <c r="AX243" s="570" t="n">
        <v>6000</v>
      </c>
      <c r="AY243" s="570" t="n">
        <v>1700</v>
      </c>
      <c r="AZ243" s="570" t="n">
        <v>3800</v>
      </c>
      <c r="BA243" s="570" t="n">
        <v>4800</v>
      </c>
      <c r="BB243" s="570" t="n">
        <v>5700</v>
      </c>
      <c r="BC243" s="570" t="n">
        <v>2000</v>
      </c>
      <c r="BD243" s="570" t="n">
        <v>4400</v>
      </c>
      <c r="BE243" s="570" t="n">
        <v>2700</v>
      </c>
      <c r="BF243" s="570" t="n">
        <v>2400</v>
      </c>
      <c r="BG243" s="570" t="n">
        <v>2200</v>
      </c>
      <c r="BH243" s="570" t="n">
        <v>4500</v>
      </c>
      <c r="BI243" s="570" t="n">
        <v>800</v>
      </c>
      <c r="BJ243" s="570" t="n">
        <v>7000</v>
      </c>
      <c r="BK243" s="570" t="n">
        <v>10800</v>
      </c>
      <c r="BL243" s="570" t="n">
        <v>6400</v>
      </c>
    </row>
    <row r="244">
      <c r="A244" s="417" t="inlineStr">
        <is>
          <t>6902</t>
        </is>
      </c>
      <c r="B244" s="570">
        <f>銘柄管理!C244</f>
        <v/>
      </c>
      <c r="C244" s="570">
        <f>_xll.RssMarket("6902","出来高")</f>
        <v/>
      </c>
      <c r="D244" s="684">
        <f>C244-E244</f>
        <v/>
      </c>
      <c r="E244" s="570" t="n">
        <v>5402400</v>
      </c>
      <c r="F244" s="570" t="n">
        <v>14131300</v>
      </c>
      <c r="G244" s="570" t="n">
        <v>8346200</v>
      </c>
      <c r="H244" s="570" t="n">
        <v>7011600</v>
      </c>
      <c r="I244" s="570" t="n">
        <v>4906500</v>
      </c>
      <c r="J244" s="570" t="n">
        <v>9110900</v>
      </c>
      <c r="K244" s="570" t="n">
        <v>11073000</v>
      </c>
      <c r="L244" s="570" t="n">
        <v>7457200</v>
      </c>
      <c r="M244" s="570" t="n">
        <v>9215000</v>
      </c>
      <c r="N244" s="570" t="n">
        <v>10318600</v>
      </c>
      <c r="O244" s="570" t="n">
        <v>6624500</v>
      </c>
      <c r="P244" s="570" t="n">
        <v>8136900</v>
      </c>
      <c r="Q244" s="570" t="n">
        <v>7086000</v>
      </c>
      <c r="R244" s="570" t="n">
        <v>15164500</v>
      </c>
      <c r="S244" s="570" t="n">
        <v>6752200</v>
      </c>
      <c r="T244" s="570" t="n">
        <v>8515000</v>
      </c>
      <c r="U244" s="570" t="n">
        <v>8828900</v>
      </c>
      <c r="V244" s="570" t="n">
        <v>7670100</v>
      </c>
      <c r="W244" s="570" t="n">
        <v>5200800</v>
      </c>
      <c r="X244" s="570" t="n">
        <v>6774500</v>
      </c>
      <c r="Y244" s="570" t="n">
        <v>6452700</v>
      </c>
      <c r="Z244" s="570" t="n">
        <v>8048500</v>
      </c>
      <c r="AA244" s="570" t="n">
        <v>9868300</v>
      </c>
      <c r="AB244" s="570" t="n">
        <v>9570500</v>
      </c>
      <c r="AC244" s="570" t="n">
        <v>6720900</v>
      </c>
      <c r="AD244" s="570" t="n">
        <v>6711000</v>
      </c>
      <c r="AE244" s="570" t="n">
        <v>7043400</v>
      </c>
      <c r="AF244" s="570" t="n">
        <v>9299300</v>
      </c>
      <c r="AG244" s="570" t="n">
        <v>12597500</v>
      </c>
      <c r="AH244" s="570" t="n">
        <v>7821900</v>
      </c>
      <c r="AI244" s="570" t="n">
        <v>18844900</v>
      </c>
      <c r="AJ244" s="570" t="n">
        <v>25897700</v>
      </c>
      <c r="AK244" s="570" t="n">
        <v>11689500</v>
      </c>
      <c r="AL244" s="570" t="n">
        <v>5990900</v>
      </c>
      <c r="AM244" s="570" t="n">
        <v>6515500</v>
      </c>
      <c r="AN244" s="570" t="n">
        <v>4384100</v>
      </c>
      <c r="AO244" s="570" t="n">
        <v>5127700</v>
      </c>
      <c r="AP244" s="570" t="n">
        <v>6926600</v>
      </c>
      <c r="AQ244" s="570" t="n">
        <v>6138500</v>
      </c>
      <c r="AR244" s="570" t="n">
        <v>9172600</v>
      </c>
      <c r="AS244" s="570" t="n">
        <v>9168200</v>
      </c>
      <c r="AT244" s="570" t="n">
        <v>5753500</v>
      </c>
      <c r="AU244" s="570" t="n">
        <v>5465000</v>
      </c>
      <c r="AV244" s="570" t="n">
        <v>6071300</v>
      </c>
      <c r="AW244" s="570" t="n">
        <v>6679900</v>
      </c>
      <c r="AX244" s="570" t="n">
        <v>10131700</v>
      </c>
      <c r="AY244" s="570" t="n">
        <v>5065100</v>
      </c>
      <c r="AZ244" s="570" t="n">
        <v>3930600</v>
      </c>
      <c r="BA244" s="570" t="n">
        <v>4277700</v>
      </c>
      <c r="BB244" s="570" t="n">
        <v>7040500</v>
      </c>
      <c r="BC244" s="570" t="n">
        <v>10403600</v>
      </c>
      <c r="BD244" s="570" t="n">
        <v>14392900</v>
      </c>
      <c r="BE244" s="570" t="n">
        <v>8531100</v>
      </c>
      <c r="BF244" s="570" t="n">
        <v>7382700</v>
      </c>
      <c r="BG244" s="570" t="n">
        <v>5534100</v>
      </c>
      <c r="BH244" s="570" t="n">
        <v>6414000</v>
      </c>
      <c r="BI244" s="570" t="n">
        <v>5754000</v>
      </c>
      <c r="BJ244" s="570" t="n">
        <v>10721100</v>
      </c>
      <c r="BK244" s="570" t="n">
        <v>11672500</v>
      </c>
      <c r="BL244" s="570" t="n">
        <v>7089000</v>
      </c>
    </row>
    <row r="245">
      <c r="A245" s="417" t="inlineStr">
        <is>
          <t>3936</t>
        </is>
      </c>
      <c r="B245" s="570">
        <f>銘柄管理!C245</f>
        <v/>
      </c>
      <c r="C245" s="570">
        <f>_xll.RssMarket("3936","出来高")</f>
        <v/>
      </c>
      <c r="D245" s="684">
        <f>C245-E245</f>
        <v/>
      </c>
      <c r="E245" s="570" t="n">
        <v>296100</v>
      </c>
      <c r="F245" s="570" t="n">
        <v>534600</v>
      </c>
      <c r="G245" s="570" t="n">
        <v>642200</v>
      </c>
      <c r="H245" s="570" t="n">
        <v>687300</v>
      </c>
      <c r="I245" s="570" t="n">
        <v>863100</v>
      </c>
      <c r="J245" s="570" t="n">
        <v>596300</v>
      </c>
      <c r="K245" s="570" t="n">
        <v>806500</v>
      </c>
      <c r="L245" s="570" t="n">
        <v>663400</v>
      </c>
      <c r="M245" s="570" t="n">
        <v>964900</v>
      </c>
      <c r="N245" s="570" t="n">
        <v>1153900</v>
      </c>
      <c r="O245" s="570" t="n">
        <v>781700</v>
      </c>
      <c r="P245" s="570" t="n">
        <v>567500</v>
      </c>
      <c r="Q245" s="570" t="n">
        <v>1141400</v>
      </c>
      <c r="R245" s="570" t="n">
        <v>1217600</v>
      </c>
      <c r="S245" s="570" t="n">
        <v>2058000</v>
      </c>
      <c r="T245" s="570" t="n">
        <v>11958200</v>
      </c>
      <c r="U245" s="570" t="n">
        <v>561200</v>
      </c>
      <c r="V245" s="570" t="n">
        <v>1069300</v>
      </c>
      <c r="W245" s="570" t="n">
        <v>898700</v>
      </c>
      <c r="X245" s="570" t="n">
        <v>1219700</v>
      </c>
      <c r="Y245" s="570" t="n">
        <v>2458000</v>
      </c>
      <c r="Z245" s="570" t="n">
        <v>2933600</v>
      </c>
      <c r="AA245" s="570" t="n">
        <v>4595200</v>
      </c>
      <c r="AB245" s="570" t="n">
        <v>10752400</v>
      </c>
      <c r="AC245" s="570" t="n">
        <v>340000</v>
      </c>
      <c r="AD245" s="570" t="n">
        <v>1771300</v>
      </c>
      <c r="AE245" s="570" t="n">
        <v>1379800</v>
      </c>
      <c r="AF245" s="570" t="n">
        <v>1373100</v>
      </c>
      <c r="AG245" s="570" t="n">
        <v>2538500</v>
      </c>
      <c r="AH245" s="570" t="n">
        <v>2088400</v>
      </c>
      <c r="AI245" s="570" t="n">
        <v>7290100</v>
      </c>
      <c r="AJ245" s="570" t="n">
        <v>7621400</v>
      </c>
      <c r="AK245" s="570" t="n">
        <v>12909000</v>
      </c>
      <c r="AL245" s="570" t="n">
        <v>14291100</v>
      </c>
      <c r="AM245" s="570" t="n">
        <v>30770600</v>
      </c>
      <c r="AN245" s="570" t="n">
        <v>20844800</v>
      </c>
      <c r="AO245" s="570" t="n">
        <v>38993300</v>
      </c>
      <c r="AP245" s="570" t="n">
        <v>18379100</v>
      </c>
      <c r="AQ245" s="570" t="n">
        <v>2951400</v>
      </c>
      <c r="AR245" s="570" t="n">
        <v>200800</v>
      </c>
      <c r="AS245" s="570" t="n">
        <v>36500</v>
      </c>
      <c r="AT245" s="570" t="n">
        <v>14000</v>
      </c>
      <c r="AU245" s="570" t="n">
        <v>77000</v>
      </c>
      <c r="AV245" s="570" t="n">
        <v>112800</v>
      </c>
      <c r="AW245" s="570" t="n">
        <v>42500</v>
      </c>
      <c r="AX245" s="570" t="n">
        <v>34000</v>
      </c>
      <c r="AY245" s="570" t="n">
        <v>98800</v>
      </c>
      <c r="AZ245" s="570" t="n">
        <v>66500</v>
      </c>
      <c r="BA245" s="570" t="n">
        <v>65200</v>
      </c>
      <c r="BB245" s="570" t="n">
        <v>256100</v>
      </c>
      <c r="BC245" s="570" t="n">
        <v>105300</v>
      </c>
      <c r="BD245" s="570" t="n">
        <v>138000</v>
      </c>
      <c r="BE245" s="570" t="n">
        <v>206000</v>
      </c>
      <c r="BF245" s="570" t="n">
        <v>64600</v>
      </c>
      <c r="BG245" s="570" t="n">
        <v>246500</v>
      </c>
      <c r="BH245" s="570" t="n">
        <v>239900</v>
      </c>
      <c r="BI245" s="570" t="n">
        <v>117600</v>
      </c>
      <c r="BJ245" s="570" t="n">
        <v>307900</v>
      </c>
      <c r="BK245" s="570" t="n">
        <v>319300</v>
      </c>
      <c r="BL245" s="570" t="n">
        <v>306500</v>
      </c>
    </row>
    <row r="246">
      <c r="A246" s="417" t="inlineStr">
        <is>
          <t>6928</t>
        </is>
      </c>
      <c r="B246" s="570">
        <f>銘柄管理!C246</f>
        <v/>
      </c>
      <c r="C246" s="570">
        <f>_xll.RssMarket("6928","出来高")</f>
        <v/>
      </c>
      <c r="D246" s="684">
        <f>C246-E246</f>
        <v/>
      </c>
      <c r="E246" s="570" t="n">
        <v>27400</v>
      </c>
      <c r="F246" s="570" t="n">
        <v>23000</v>
      </c>
      <c r="G246" s="570" t="n">
        <v>25000</v>
      </c>
      <c r="H246" s="570" t="n">
        <v>15200</v>
      </c>
      <c r="I246" s="570" t="n">
        <v>31200</v>
      </c>
      <c r="J246" s="570" t="n">
        <v>55600</v>
      </c>
      <c r="K246" s="570" t="n">
        <v>32000</v>
      </c>
      <c r="L246" s="570" t="n">
        <v>49600</v>
      </c>
      <c r="M246" s="570" t="n">
        <v>45600</v>
      </c>
      <c r="N246" s="570" t="n">
        <v>25700</v>
      </c>
      <c r="O246" s="570" t="n">
        <v>28400</v>
      </c>
      <c r="P246" s="570" t="n">
        <v>33800</v>
      </c>
      <c r="Q246" s="570" t="n">
        <v>42900</v>
      </c>
      <c r="R246" s="570" t="n">
        <v>53400</v>
      </c>
      <c r="S246" s="570" t="n">
        <v>52900</v>
      </c>
      <c r="T246" s="570" t="n">
        <v>38800</v>
      </c>
      <c r="U246" s="570" t="n">
        <v>30400</v>
      </c>
      <c r="V246" s="570" t="n">
        <v>50700</v>
      </c>
      <c r="W246" s="570" t="n">
        <v>28800</v>
      </c>
      <c r="X246" s="570" t="n">
        <v>65400</v>
      </c>
      <c r="Y246" s="570" t="n">
        <v>68200</v>
      </c>
      <c r="Z246" s="570" t="n">
        <v>32300</v>
      </c>
      <c r="AA246" s="570" t="n">
        <v>47700</v>
      </c>
      <c r="AB246" s="570" t="n">
        <v>36400</v>
      </c>
      <c r="AC246" s="570" t="n">
        <v>50800</v>
      </c>
      <c r="AD246" s="570" t="n">
        <v>115900</v>
      </c>
      <c r="AE246" s="570" t="n">
        <v>308400</v>
      </c>
      <c r="AF246" s="570" t="n">
        <v>48000</v>
      </c>
      <c r="AG246" s="570" t="n">
        <v>57800</v>
      </c>
      <c r="AH246" s="570" t="n">
        <v>66100</v>
      </c>
      <c r="AI246" s="570" t="n">
        <v>54100</v>
      </c>
      <c r="AJ246" s="570" t="n">
        <v>22900</v>
      </c>
      <c r="AK246" s="570" t="n">
        <v>17800</v>
      </c>
      <c r="AL246" s="570" t="n">
        <v>20900</v>
      </c>
      <c r="AM246" s="570" t="n">
        <v>26800</v>
      </c>
      <c r="AN246" s="570" t="n">
        <v>22600</v>
      </c>
      <c r="AO246" s="570" t="n">
        <v>17600</v>
      </c>
      <c r="AP246" s="570" t="n">
        <v>18900</v>
      </c>
      <c r="AQ246" s="570" t="n">
        <v>24600</v>
      </c>
      <c r="AR246" s="570" t="n">
        <v>28200</v>
      </c>
      <c r="AS246" s="570" t="n">
        <v>50100</v>
      </c>
      <c r="AT246" s="570" t="n">
        <v>31300</v>
      </c>
      <c r="AU246" s="570" t="n">
        <v>14000</v>
      </c>
      <c r="AV246" s="570" t="n">
        <v>24500</v>
      </c>
      <c r="AW246" s="570" t="n">
        <v>20200</v>
      </c>
      <c r="AX246" s="570" t="n">
        <v>34600</v>
      </c>
      <c r="AY246" s="570" t="n">
        <v>31200</v>
      </c>
      <c r="AZ246" s="570" t="n">
        <v>16300</v>
      </c>
      <c r="BA246" s="570" t="n">
        <v>61500</v>
      </c>
      <c r="BB246" s="570" t="n">
        <v>38700</v>
      </c>
      <c r="BC246" s="570" t="n">
        <v>31800</v>
      </c>
      <c r="BD246" s="570" t="n">
        <v>33800</v>
      </c>
      <c r="BE246" s="570" t="n">
        <v>90900</v>
      </c>
      <c r="BF246" s="570" t="n">
        <v>20300</v>
      </c>
      <c r="BG246" s="570" t="n">
        <v>22600</v>
      </c>
      <c r="BH246" s="570" t="n">
        <v>15500</v>
      </c>
      <c r="BI246" s="570" t="n">
        <v>26300</v>
      </c>
      <c r="BJ246" s="570" t="n">
        <v>83900</v>
      </c>
      <c r="BK246" s="570" t="n">
        <v>81300</v>
      </c>
      <c r="BL246" s="570" t="n">
        <v>17500</v>
      </c>
    </row>
    <row r="247">
      <c r="A247" s="417" t="inlineStr">
        <is>
          <t>5632</t>
        </is>
      </c>
      <c r="B247" s="570">
        <f>銘柄管理!C247</f>
        <v/>
      </c>
      <c r="C247" s="570">
        <f>_xll.RssMarket("5632","出来高")</f>
        <v/>
      </c>
      <c r="D247" s="684">
        <f>C247-E247</f>
        <v/>
      </c>
      <c r="E247" s="570" t="n">
        <v>125100</v>
      </c>
      <c r="F247" s="570" t="n">
        <v>126600</v>
      </c>
      <c r="G247" s="570" t="n">
        <v>133800</v>
      </c>
      <c r="H247" s="570" t="n">
        <v>28900</v>
      </c>
      <c r="I247" s="570" t="n">
        <v>35300</v>
      </c>
      <c r="J247" s="570" t="n">
        <v>83400</v>
      </c>
      <c r="K247" s="570" t="n">
        <v>58300</v>
      </c>
      <c r="L247" s="570" t="n">
        <v>71500</v>
      </c>
      <c r="M247" s="570" t="n">
        <v>113000</v>
      </c>
      <c r="N247" s="570" t="n">
        <v>77300</v>
      </c>
      <c r="O247" s="570" t="n">
        <v>98900</v>
      </c>
      <c r="P247" s="570" t="n">
        <v>100300</v>
      </c>
      <c r="Q247" s="570" t="n">
        <v>100600</v>
      </c>
      <c r="R247" s="570" t="n">
        <v>103400</v>
      </c>
      <c r="S247" s="570" t="n">
        <v>113800</v>
      </c>
      <c r="T247" s="570" t="n">
        <v>154200</v>
      </c>
      <c r="U247" s="570" t="n">
        <v>108500</v>
      </c>
      <c r="V247" s="570" t="n">
        <v>101500</v>
      </c>
      <c r="W247" s="570" t="n">
        <v>133600</v>
      </c>
      <c r="X247" s="570" t="n">
        <v>105200</v>
      </c>
      <c r="Y247" s="570" t="n">
        <v>118500</v>
      </c>
      <c r="Z247" s="570" t="n">
        <v>205100</v>
      </c>
      <c r="AA247" s="570" t="n">
        <v>370700</v>
      </c>
      <c r="AB247" s="570" t="n">
        <v>335400</v>
      </c>
      <c r="AC247" s="570" t="n">
        <v>252400</v>
      </c>
      <c r="AD247" s="570" t="n">
        <v>108000</v>
      </c>
      <c r="AE247" s="570" t="n">
        <v>213900</v>
      </c>
      <c r="AF247" s="570" t="n">
        <v>67500</v>
      </c>
      <c r="AG247" s="570" t="n">
        <v>72200</v>
      </c>
      <c r="AH247" s="570" t="n">
        <v>73600</v>
      </c>
      <c r="AI247" s="570" t="n">
        <v>80000</v>
      </c>
      <c r="AJ247" s="570" t="n">
        <v>70600</v>
      </c>
      <c r="AK247" s="570" t="n">
        <v>69200</v>
      </c>
      <c r="AL247" s="570" t="n">
        <v>72700</v>
      </c>
      <c r="AM247" s="570" t="n">
        <v>62100</v>
      </c>
      <c r="AN247" s="570" t="n">
        <v>63700</v>
      </c>
      <c r="AO247" s="570" t="n">
        <v>48200</v>
      </c>
      <c r="AP247" s="570" t="n">
        <v>54700</v>
      </c>
      <c r="AQ247" s="570" t="n">
        <v>50000</v>
      </c>
      <c r="AR247" s="570" t="n">
        <v>60300</v>
      </c>
      <c r="AS247" s="570" t="n">
        <v>68700</v>
      </c>
      <c r="AT247" s="570" t="n">
        <v>63800</v>
      </c>
      <c r="AU247" s="570" t="n">
        <v>83100</v>
      </c>
      <c r="AV247" s="570" t="n">
        <v>74100</v>
      </c>
      <c r="AW247" s="570" t="n">
        <v>105400</v>
      </c>
      <c r="AX247" s="570" t="n">
        <v>99800</v>
      </c>
      <c r="AY247" s="570" t="n">
        <v>64300</v>
      </c>
      <c r="AZ247" s="570" t="n">
        <v>76900</v>
      </c>
      <c r="BA247" s="570" t="n">
        <v>59400</v>
      </c>
      <c r="BB247" s="570" t="n">
        <v>78900</v>
      </c>
      <c r="BC247" s="570" t="n">
        <v>100400</v>
      </c>
      <c r="BD247" s="570" t="n">
        <v>91300</v>
      </c>
      <c r="BE247" s="570" t="n">
        <v>116700</v>
      </c>
      <c r="BF247" s="570" t="n">
        <v>98100</v>
      </c>
      <c r="BG247" s="570" t="n">
        <v>75300</v>
      </c>
      <c r="BH247" s="570" t="n">
        <v>82700</v>
      </c>
      <c r="BI247" s="570" t="n">
        <v>89900</v>
      </c>
      <c r="BJ247" s="570" t="n">
        <v>176800</v>
      </c>
      <c r="BK247" s="570" t="n">
        <v>146000</v>
      </c>
      <c r="BL247" s="570" t="n">
        <v>92700</v>
      </c>
    </row>
    <row r="248">
      <c r="A248" s="417" t="inlineStr">
        <is>
          <t>6098</t>
        </is>
      </c>
      <c r="B248" s="570">
        <f>銘柄管理!C248</f>
        <v/>
      </c>
      <c r="C248" s="570">
        <f>_xll.RssMarket("6098","出来高")</f>
        <v/>
      </c>
      <c r="D248" s="684">
        <f>C248-E248</f>
        <v/>
      </c>
      <c r="E248" s="570" t="n">
        <v>2822700</v>
      </c>
      <c r="F248" s="570" t="n">
        <v>4637000</v>
      </c>
      <c r="G248" s="570" t="n">
        <v>5207500</v>
      </c>
      <c r="H248" s="570" t="n">
        <v>3628100</v>
      </c>
      <c r="I248" s="570" t="n">
        <v>2743600</v>
      </c>
      <c r="J248" s="570" t="n">
        <v>7113000</v>
      </c>
      <c r="K248" s="570" t="n">
        <v>4717800</v>
      </c>
      <c r="L248" s="570" t="n">
        <v>6072500</v>
      </c>
      <c r="M248" s="570" t="n">
        <v>4476500</v>
      </c>
      <c r="N248" s="570" t="n">
        <v>3111400</v>
      </c>
      <c r="O248" s="570" t="n">
        <v>3122600</v>
      </c>
      <c r="P248" s="570" t="n">
        <v>4746500</v>
      </c>
      <c r="Q248" s="570" t="n">
        <v>7506200</v>
      </c>
      <c r="R248" s="570" t="n">
        <v>17460900</v>
      </c>
      <c r="S248" s="570" t="n">
        <v>7644100</v>
      </c>
      <c r="T248" s="570" t="n">
        <v>5574200</v>
      </c>
      <c r="U248" s="570" t="n">
        <v>3397800</v>
      </c>
      <c r="V248" s="570" t="n">
        <v>5224200</v>
      </c>
      <c r="W248" s="570" t="n">
        <v>4791900</v>
      </c>
      <c r="X248" s="570" t="n">
        <v>8907400</v>
      </c>
      <c r="Y248" s="570" t="n">
        <v>16251100</v>
      </c>
      <c r="Z248" s="570" t="n">
        <v>21985000</v>
      </c>
      <c r="AA248" s="570" t="n">
        <v>8557900</v>
      </c>
      <c r="AB248" s="570" t="n">
        <v>7107100</v>
      </c>
      <c r="AC248" s="570" t="n">
        <v>4579200</v>
      </c>
      <c r="AD248" s="570" t="n">
        <v>4143200</v>
      </c>
      <c r="AE248" s="570" t="n">
        <v>4240800</v>
      </c>
      <c r="AF248" s="570" t="n">
        <v>7525500</v>
      </c>
      <c r="AG248" s="570" t="n">
        <v>8411200</v>
      </c>
      <c r="AH248" s="570" t="n">
        <v>3535400</v>
      </c>
      <c r="AI248" s="570" t="n">
        <v>7038100</v>
      </c>
      <c r="AJ248" s="570" t="n">
        <v>11715500</v>
      </c>
      <c r="AK248" s="570" t="n">
        <v>3826700</v>
      </c>
      <c r="AL248" s="570" t="n">
        <v>5591600</v>
      </c>
      <c r="AM248" s="570" t="n">
        <v>8410200</v>
      </c>
      <c r="AN248" s="570" t="n">
        <v>6754900</v>
      </c>
      <c r="AO248" s="570" t="n">
        <v>5620900</v>
      </c>
      <c r="AP248" s="570" t="n">
        <v>4445700</v>
      </c>
      <c r="AQ248" s="570" t="n">
        <v>6301300</v>
      </c>
      <c r="AR248" s="570" t="n">
        <v>3896400</v>
      </c>
      <c r="AS248" s="570" t="n">
        <v>4604200</v>
      </c>
      <c r="AT248" s="570" t="n">
        <v>4450500</v>
      </c>
      <c r="AU248" s="570" t="n">
        <v>4658000</v>
      </c>
      <c r="AV248" s="570" t="n">
        <v>4598700</v>
      </c>
      <c r="AW248" s="570" t="n">
        <v>5972300</v>
      </c>
      <c r="AX248" s="570" t="n">
        <v>7226300</v>
      </c>
      <c r="AY248" s="570" t="n">
        <v>3006200</v>
      </c>
      <c r="AZ248" s="570" t="n">
        <v>2722200</v>
      </c>
      <c r="BA248" s="570" t="n">
        <v>4164100</v>
      </c>
      <c r="BB248" s="570" t="n">
        <v>6708200</v>
      </c>
      <c r="BC248" s="570" t="n">
        <v>10341400</v>
      </c>
      <c r="BD248" s="570" t="n">
        <v>5989900</v>
      </c>
      <c r="BE248" s="570" t="n">
        <v>6078400</v>
      </c>
      <c r="BF248" s="570" t="n">
        <v>5746700</v>
      </c>
      <c r="BG248" s="570" t="n">
        <v>4099700</v>
      </c>
      <c r="BH248" s="570" t="n">
        <v>4694500</v>
      </c>
      <c r="BI248" s="570" t="n">
        <v>5149600</v>
      </c>
      <c r="BJ248" s="570" t="n">
        <v>5830000</v>
      </c>
      <c r="BK248" s="570" t="n">
        <v>7249300</v>
      </c>
      <c r="BL248" s="570" t="n">
        <v>3958400</v>
      </c>
    </row>
    <row r="249">
      <c r="A249" s="417" t="inlineStr">
        <is>
          <t>6361</t>
        </is>
      </c>
      <c r="B249" s="570">
        <f>銘柄管理!C249</f>
        <v/>
      </c>
      <c r="C249" s="570">
        <f>_xll.RssMarket("6361","出来高")</f>
        <v/>
      </c>
      <c r="D249" s="684">
        <f>C249-E249</f>
        <v/>
      </c>
      <c r="E249" s="570" t="n">
        <v>1870200</v>
      </c>
      <c r="F249" s="570" t="n">
        <v>5643000</v>
      </c>
      <c r="G249" s="570" t="n">
        <v>3696000</v>
      </c>
      <c r="H249" s="570" t="n">
        <v>3437000</v>
      </c>
      <c r="I249" s="570" t="n">
        <v>3206000</v>
      </c>
      <c r="J249" s="570" t="n">
        <v>2920300</v>
      </c>
      <c r="K249" s="570" t="n">
        <v>2568200</v>
      </c>
      <c r="L249" s="570" t="n">
        <v>3427500</v>
      </c>
      <c r="M249" s="570" t="n">
        <v>3192900</v>
      </c>
      <c r="N249" s="570" t="n">
        <v>1687900</v>
      </c>
      <c r="O249" s="570" t="n">
        <v>2272900</v>
      </c>
      <c r="P249" s="570" t="n">
        <v>2891700</v>
      </c>
      <c r="Q249" s="570" t="n">
        <v>4060800</v>
      </c>
      <c r="R249" s="570" t="n">
        <v>4360300</v>
      </c>
      <c r="S249" s="570" t="n">
        <v>3110500</v>
      </c>
      <c r="T249" s="570" t="n">
        <v>3544400</v>
      </c>
      <c r="U249" s="570" t="n">
        <v>3711800</v>
      </c>
      <c r="V249" s="570" t="n">
        <v>4302300</v>
      </c>
      <c r="W249" s="570" t="n">
        <v>3248800</v>
      </c>
      <c r="X249" s="570" t="n">
        <v>4155100</v>
      </c>
      <c r="Y249" s="570" t="n">
        <v>3194200</v>
      </c>
      <c r="Z249" s="570" t="n">
        <v>4428300</v>
      </c>
      <c r="AA249" s="570" t="n">
        <v>5374800</v>
      </c>
      <c r="AB249" s="570" t="n">
        <v>3227300</v>
      </c>
      <c r="AC249" s="570" t="n">
        <v>2217500</v>
      </c>
      <c r="AD249" s="570" t="n">
        <v>2567100</v>
      </c>
      <c r="AE249" s="570" t="n">
        <v>3410800</v>
      </c>
      <c r="AF249" s="570" t="n">
        <v>3325300</v>
      </c>
      <c r="AG249" s="570" t="n">
        <v>6871600</v>
      </c>
      <c r="AH249" s="570" t="n">
        <v>1790600</v>
      </c>
      <c r="AI249" s="570" t="n">
        <v>3556400</v>
      </c>
      <c r="AJ249" s="570" t="n">
        <v>4089500</v>
      </c>
      <c r="AK249" s="570" t="n">
        <v>2855200</v>
      </c>
      <c r="AL249" s="570" t="n">
        <v>2647100</v>
      </c>
      <c r="AM249" s="570" t="n">
        <v>3450000</v>
      </c>
      <c r="AN249" s="570" t="n">
        <v>4481500</v>
      </c>
      <c r="AO249" s="570" t="n">
        <v>1813400</v>
      </c>
      <c r="AP249" s="570" t="n">
        <v>2190600</v>
      </c>
      <c r="AQ249" s="570" t="n">
        <v>2076600</v>
      </c>
      <c r="AR249" s="570" t="n">
        <v>2920800</v>
      </c>
      <c r="AS249" s="570" t="n">
        <v>2891900</v>
      </c>
      <c r="AT249" s="570" t="n">
        <v>2357100</v>
      </c>
      <c r="AU249" s="570" t="n">
        <v>2015400</v>
      </c>
      <c r="AV249" s="570" t="n">
        <v>3960600</v>
      </c>
      <c r="AW249" s="570" t="n">
        <v>4075200</v>
      </c>
      <c r="AX249" s="570" t="n">
        <v>4357700</v>
      </c>
      <c r="AY249" s="570" t="n">
        <v>2001500</v>
      </c>
      <c r="AZ249" s="570" t="n">
        <v>1393200</v>
      </c>
      <c r="BA249" s="570" t="n">
        <v>1689200</v>
      </c>
      <c r="BB249" s="570" t="n">
        <v>3421900</v>
      </c>
      <c r="BC249" s="570" t="n">
        <v>3047300</v>
      </c>
      <c r="BD249" s="570" t="n">
        <v>5694300</v>
      </c>
      <c r="BE249" s="570" t="n">
        <v>4761700</v>
      </c>
      <c r="BF249" s="570" t="n">
        <v>4816600</v>
      </c>
      <c r="BG249" s="570" t="n">
        <v>2384300</v>
      </c>
      <c r="BH249" s="570" t="n">
        <v>3352000</v>
      </c>
      <c r="BI249" s="570" t="n">
        <v>2906500</v>
      </c>
      <c r="BJ249" s="570" t="n">
        <v>3542000</v>
      </c>
      <c r="BK249" s="570" t="n">
        <v>2975200</v>
      </c>
      <c r="BL249" s="570" t="n">
        <v>1920500</v>
      </c>
    </row>
    <row r="250">
      <c r="A250" s="417" t="inlineStr">
        <is>
          <t>155A</t>
        </is>
      </c>
      <c r="B250" s="570">
        <f>銘柄管理!C250</f>
        <v/>
      </c>
      <c r="C250" s="570">
        <f>_xll.RssMarket("155A","出来高")</f>
        <v/>
      </c>
      <c r="D250" s="684">
        <f>C250-E250</f>
        <v/>
      </c>
      <c r="E250" s="570" t="n">
        <v>103400</v>
      </c>
      <c r="F250" s="570" t="n">
        <v>54900</v>
      </c>
      <c r="G250" s="570" t="n">
        <v>45100</v>
      </c>
      <c r="H250" s="570" t="n">
        <v>58200</v>
      </c>
      <c r="I250" s="570" t="n">
        <v>29200</v>
      </c>
      <c r="J250" s="570" t="n">
        <v>35200</v>
      </c>
      <c r="K250" s="570" t="n">
        <v>39500</v>
      </c>
      <c r="L250" s="570" t="n">
        <v>45900</v>
      </c>
      <c r="M250" s="570" t="n">
        <v>84000</v>
      </c>
      <c r="N250" s="570" t="n">
        <v>61600</v>
      </c>
      <c r="O250" s="570" t="n">
        <v>67600</v>
      </c>
      <c r="P250" s="570" t="n">
        <v>115500</v>
      </c>
      <c r="Q250" s="570" t="n">
        <v>33400</v>
      </c>
      <c r="R250" s="570" t="n">
        <v>90300</v>
      </c>
      <c r="S250" s="570" t="n">
        <v>40000</v>
      </c>
      <c r="T250" s="570" t="n">
        <v>61700</v>
      </c>
      <c r="U250" s="570" t="n">
        <v>47800</v>
      </c>
      <c r="V250" s="570" t="n">
        <v>38200</v>
      </c>
      <c r="W250" s="570" t="n">
        <v>45800</v>
      </c>
      <c r="X250" s="570" t="n">
        <v>106000</v>
      </c>
      <c r="Y250" s="570" t="n">
        <v>183800</v>
      </c>
      <c r="Z250" s="570" t="n">
        <v>344400</v>
      </c>
      <c r="AA250" s="570" t="n">
        <v>217900</v>
      </c>
      <c r="AB250" s="570" t="n">
        <v>87900</v>
      </c>
      <c r="AC250" s="570" t="n">
        <v>61800</v>
      </c>
      <c r="AD250" s="570" t="n">
        <v>28100</v>
      </c>
      <c r="AE250" s="570" t="n">
        <v>28400</v>
      </c>
      <c r="AF250" s="570" t="n">
        <v>25600</v>
      </c>
      <c r="AG250" s="570" t="n">
        <v>22900</v>
      </c>
      <c r="AH250" s="570" t="n">
        <v>23100</v>
      </c>
      <c r="AI250" s="570" t="n">
        <v>34400</v>
      </c>
      <c r="AJ250" s="570" t="n">
        <v>30900</v>
      </c>
      <c r="AK250" s="570" t="n">
        <v>34100</v>
      </c>
      <c r="AL250" s="570" t="n">
        <v>17500</v>
      </c>
      <c r="AM250" s="570" t="n">
        <v>22500</v>
      </c>
      <c r="AN250" s="570" t="n">
        <v>25100</v>
      </c>
      <c r="AO250" s="570" t="n">
        <v>28700</v>
      </c>
      <c r="AP250" s="570" t="n">
        <v>24000</v>
      </c>
      <c r="AQ250" s="570" t="n">
        <v>25300</v>
      </c>
      <c r="AR250" s="570" t="n">
        <v>33100</v>
      </c>
      <c r="AS250" s="570" t="n">
        <v>54400</v>
      </c>
      <c r="AT250" s="570" t="n">
        <v>33700</v>
      </c>
      <c r="AU250" s="570" t="n">
        <v>110200</v>
      </c>
      <c r="AV250" s="570" t="n">
        <v>76500</v>
      </c>
      <c r="AW250" s="570" t="n">
        <v>68100</v>
      </c>
      <c r="AX250" s="570" t="n">
        <v>45800</v>
      </c>
      <c r="AY250" s="570" t="n">
        <v>24300</v>
      </c>
      <c r="AZ250" s="570" t="n">
        <v>10200</v>
      </c>
      <c r="BA250" s="570" t="n">
        <v>21700</v>
      </c>
      <c r="BB250" s="570" t="n">
        <v>44500</v>
      </c>
      <c r="BC250" s="570" t="n">
        <v>47000</v>
      </c>
      <c r="BD250" s="570" t="n">
        <v>50700</v>
      </c>
      <c r="BE250" s="570" t="n">
        <v>49100</v>
      </c>
      <c r="BF250" s="570" t="n">
        <v>37600</v>
      </c>
      <c r="BG250" s="570" t="n">
        <v>53500</v>
      </c>
      <c r="BH250" s="570" t="n">
        <v>64700</v>
      </c>
      <c r="BI250" s="570" t="n">
        <v>74800</v>
      </c>
      <c r="BJ250" s="570" t="n">
        <v>77700</v>
      </c>
      <c r="BK250" s="570" t="n">
        <v>60300</v>
      </c>
      <c r="BL250" s="570" t="n">
        <v>84700</v>
      </c>
    </row>
    <row r="251">
      <c r="A251" s="417" t="inlineStr">
        <is>
          <t>278A</t>
        </is>
      </c>
      <c r="B251" s="570">
        <f>銘柄管理!C251</f>
        <v/>
      </c>
      <c r="C251" s="570">
        <f>_xll.RssMarket("278A","出来高")</f>
        <v/>
      </c>
      <c r="D251" s="684">
        <f>C251-E251</f>
        <v/>
      </c>
      <c r="E251" s="570" t="n">
        <v>1121300</v>
      </c>
      <c r="F251" s="570" t="n">
        <v>455000</v>
      </c>
      <c r="G251" s="570" t="n">
        <v>906800</v>
      </c>
      <c r="H251" s="570" t="n">
        <v>2099300</v>
      </c>
      <c r="I251" s="570" t="n">
        <v>689500</v>
      </c>
      <c r="J251" s="570" t="n">
        <v>559500</v>
      </c>
      <c r="K251" s="570" t="n">
        <v>630800</v>
      </c>
      <c r="L251" s="570" t="n">
        <v>1250900</v>
      </c>
      <c r="M251" s="570" t="n">
        <v>1781800</v>
      </c>
      <c r="N251" s="570" t="n">
        <v>430500</v>
      </c>
      <c r="O251" s="570" t="n">
        <v>418800</v>
      </c>
      <c r="P251" s="570" t="n">
        <v>391800</v>
      </c>
      <c r="Q251" s="570" t="n">
        <v>423300</v>
      </c>
      <c r="R251" s="570" t="n">
        <v>633600</v>
      </c>
      <c r="S251" s="570" t="n">
        <v>1051000</v>
      </c>
      <c r="T251" s="570" t="n">
        <v>956500</v>
      </c>
      <c r="U251" s="570" t="n">
        <v>643500</v>
      </c>
      <c r="V251" s="570" t="n">
        <v>521900</v>
      </c>
      <c r="W251" s="570" t="n">
        <v>720600</v>
      </c>
      <c r="X251" s="570" t="n">
        <v>750600</v>
      </c>
      <c r="Y251" s="570" t="n">
        <v>1680900</v>
      </c>
      <c r="Z251" s="570" t="n">
        <v>1220200</v>
      </c>
      <c r="AA251" s="570" t="n">
        <v>2123900</v>
      </c>
      <c r="AB251" s="570" t="n">
        <v>1887300</v>
      </c>
      <c r="AC251" s="570" t="n">
        <v>4134500</v>
      </c>
      <c r="AD251" s="570" t="n">
        <v>1320900</v>
      </c>
      <c r="AE251" s="570" t="n">
        <v>1134000</v>
      </c>
      <c r="AF251" s="570" t="n">
        <v>2416200</v>
      </c>
      <c r="AG251" s="570" t="n">
        <v>2877500</v>
      </c>
      <c r="AH251" s="570" t="n">
        <v>1631300</v>
      </c>
      <c r="AI251" s="570" t="n">
        <v>2508400</v>
      </c>
      <c r="AJ251" s="570" t="n">
        <v>927900</v>
      </c>
      <c r="AK251" s="570" t="n">
        <v>846600</v>
      </c>
      <c r="AL251" s="570" t="n">
        <v>1400400</v>
      </c>
      <c r="AM251" s="570" t="n">
        <v>2371600</v>
      </c>
      <c r="AN251" s="570" t="n">
        <v>1257400</v>
      </c>
      <c r="AO251" s="570" t="n">
        <v>662900</v>
      </c>
      <c r="AP251" s="570" t="n">
        <v>744800</v>
      </c>
      <c r="AQ251" s="570" t="n">
        <v>904700</v>
      </c>
      <c r="AR251" s="570" t="n">
        <v>1875500</v>
      </c>
      <c r="AS251" s="570" t="n">
        <v>849100</v>
      </c>
      <c r="AT251" s="570" t="n">
        <v>1877000</v>
      </c>
      <c r="AU251" s="570" t="n">
        <v>749300</v>
      </c>
      <c r="AV251" s="570" t="n">
        <v>1106800</v>
      </c>
      <c r="AW251" s="570" t="n">
        <v>899500</v>
      </c>
      <c r="AX251" s="570" t="n">
        <v>535500</v>
      </c>
      <c r="AY251" s="570" t="n">
        <v>690300</v>
      </c>
      <c r="AZ251" s="570" t="n">
        <v>1371100</v>
      </c>
      <c r="BA251" s="570" t="n">
        <v>1072700</v>
      </c>
      <c r="BB251" s="570" t="n">
        <v>3536300</v>
      </c>
      <c r="BC251" s="570" t="n">
        <v>47800</v>
      </c>
      <c r="BD251" s="570" t="n">
        <v>411900</v>
      </c>
      <c r="BE251" s="570" t="n">
        <v>816300</v>
      </c>
      <c r="BF251" s="570" t="n">
        <v>1522800</v>
      </c>
      <c r="BG251" s="570" t="n">
        <v>1714300</v>
      </c>
      <c r="BH251" s="570" t="n">
        <v>2229400</v>
      </c>
      <c r="BI251" s="570" t="n">
        <v>61800</v>
      </c>
      <c r="BJ251" s="570" t="n">
        <v>169800</v>
      </c>
      <c r="BK251" s="570" t="n">
        <v>891400</v>
      </c>
      <c r="BL251" s="570" t="n">
        <v>545300</v>
      </c>
    </row>
    <row r="252">
      <c r="A252" s="417" t="inlineStr">
        <is>
          <t>300A</t>
        </is>
      </c>
      <c r="B252" s="570">
        <f>銘柄管理!C252</f>
        <v/>
      </c>
      <c r="C252" s="570">
        <f>_xll.RssMarket("300A","出来高")</f>
        <v/>
      </c>
      <c r="D252" s="684">
        <f>C252-E252</f>
        <v/>
      </c>
      <c r="E252" s="570" t="n">
        <v>3100</v>
      </c>
      <c r="F252" s="570" t="n">
        <v>13000</v>
      </c>
      <c r="G252" s="570" t="n">
        <v>18700</v>
      </c>
      <c r="H252" s="570" t="n">
        <v>5400</v>
      </c>
      <c r="I252" s="570" t="n">
        <v>10000</v>
      </c>
      <c r="J252" s="570" t="n">
        <v>22400</v>
      </c>
      <c r="K252" s="570" t="n">
        <v>19000</v>
      </c>
      <c r="L252" s="570" t="n">
        <v>7000</v>
      </c>
      <c r="M252" s="570" t="n">
        <v>12400</v>
      </c>
      <c r="N252" s="570" t="n">
        <v>7300</v>
      </c>
      <c r="O252" s="570" t="n">
        <v>16000</v>
      </c>
      <c r="P252" s="570" t="n">
        <v>9500</v>
      </c>
      <c r="Q252" s="570" t="n">
        <v>17300</v>
      </c>
      <c r="R252" s="570" t="n">
        <v>15900</v>
      </c>
      <c r="S252" s="570" t="n">
        <v>6300</v>
      </c>
      <c r="T252" s="570" t="n">
        <v>8200</v>
      </c>
      <c r="U252" s="570" t="n">
        <v>13200</v>
      </c>
      <c r="V252" s="570" t="n">
        <v>13900</v>
      </c>
      <c r="W252" s="570" t="n">
        <v>9900</v>
      </c>
      <c r="X252" s="570" t="n">
        <v>17700</v>
      </c>
      <c r="Y252" s="570" t="n">
        <v>18200</v>
      </c>
      <c r="Z252" s="570" t="n">
        <v>68300</v>
      </c>
      <c r="AA252" s="570" t="n">
        <v>101600</v>
      </c>
      <c r="AB252" s="570" t="n">
        <v>35800</v>
      </c>
      <c r="AC252" s="570" t="n">
        <v>17800</v>
      </c>
      <c r="AD252" s="570" t="n">
        <v>24600</v>
      </c>
      <c r="AE252" s="570" t="n">
        <v>19300</v>
      </c>
      <c r="AF252" s="570" t="n">
        <v>13900</v>
      </c>
      <c r="AG252" s="570" t="n">
        <v>26000</v>
      </c>
      <c r="AH252" s="570" t="n">
        <v>23600</v>
      </c>
      <c r="AI252" s="570" t="n">
        <v>24400</v>
      </c>
      <c r="AJ252" s="570" t="n">
        <v>15100</v>
      </c>
      <c r="AK252" s="570" t="n">
        <v>40400</v>
      </c>
      <c r="AL252" s="570" t="n">
        <v>20300</v>
      </c>
      <c r="AM252" s="570" t="n">
        <v>24400</v>
      </c>
      <c r="AN252" s="570" t="n">
        <v>20400</v>
      </c>
      <c r="AO252" s="570" t="n">
        <v>14000</v>
      </c>
      <c r="AP252" s="570" t="n">
        <v>12600</v>
      </c>
      <c r="AQ252" s="570" t="n">
        <v>19600</v>
      </c>
      <c r="AR252" s="570" t="n">
        <v>21000</v>
      </c>
      <c r="AS252" s="570" t="n">
        <v>27800</v>
      </c>
      <c r="AT252" s="570" t="n">
        <v>28000</v>
      </c>
      <c r="AU252" s="570" t="n">
        <v>29100</v>
      </c>
      <c r="AV252" s="570" t="n">
        <v>22100</v>
      </c>
      <c r="AW252" s="570" t="n">
        <v>18600</v>
      </c>
      <c r="AX252" s="570" t="n">
        <v>38800</v>
      </c>
      <c r="AY252" s="570" t="n">
        <v>25600</v>
      </c>
      <c r="AZ252" s="570" t="n">
        <v>26600</v>
      </c>
      <c r="BA252" s="570" t="n">
        <v>25100</v>
      </c>
      <c r="BB252" s="570" t="n">
        <v>15500</v>
      </c>
      <c r="BC252" s="570" t="n">
        <v>25400</v>
      </c>
      <c r="BD252" s="570" t="n">
        <v>35700</v>
      </c>
      <c r="BE252" s="570" t="n">
        <v>20700</v>
      </c>
      <c r="BF252" s="570" t="n">
        <v>9400</v>
      </c>
      <c r="BG252" s="570" t="n">
        <v>25400</v>
      </c>
      <c r="BH252" s="570" t="n">
        <v>14100</v>
      </c>
      <c r="BI252" s="570" t="n">
        <v>12300</v>
      </c>
      <c r="BJ252" s="570" t="n">
        <v>38500</v>
      </c>
      <c r="BK252" s="570" t="n">
        <v>13300</v>
      </c>
      <c r="BL252" s="570" t="n">
        <v>7700</v>
      </c>
    </row>
    <row r="253">
      <c r="A253" s="417" t="inlineStr">
        <is>
          <t>4776</t>
        </is>
      </c>
      <c r="B253" s="570">
        <f>銘柄管理!C253</f>
        <v/>
      </c>
      <c r="C253" s="570">
        <f>_xll.RssMarket("4776","出来高")</f>
        <v/>
      </c>
      <c r="D253" s="684">
        <f>C253-E253</f>
        <v/>
      </c>
      <c r="E253" s="570" t="n">
        <v>267700</v>
      </c>
      <c r="F253" s="570" t="n">
        <v>340500</v>
      </c>
      <c r="G253" s="570" t="n">
        <v>311500</v>
      </c>
      <c r="H253" s="570" t="n">
        <v>294200</v>
      </c>
      <c r="I253" s="570" t="n">
        <v>327000</v>
      </c>
      <c r="J253" s="570" t="n">
        <v>615300</v>
      </c>
      <c r="K253" s="570" t="n">
        <v>393900</v>
      </c>
      <c r="L253" s="570" t="n">
        <v>282700</v>
      </c>
      <c r="M253" s="570" t="n">
        <v>360900</v>
      </c>
      <c r="N253" s="570" t="n">
        <v>404600</v>
      </c>
      <c r="O253" s="570" t="n">
        <v>486700</v>
      </c>
      <c r="P253" s="570" t="n">
        <v>756200</v>
      </c>
      <c r="Q253" s="570" t="n">
        <v>746600</v>
      </c>
      <c r="R253" s="570" t="n">
        <v>586400</v>
      </c>
      <c r="S253" s="570" t="n">
        <v>336200</v>
      </c>
      <c r="T253" s="570" t="n">
        <v>332500</v>
      </c>
      <c r="U253" s="570" t="n">
        <v>617500</v>
      </c>
      <c r="V253" s="570" t="n">
        <v>427400</v>
      </c>
      <c r="W253" s="570" t="n">
        <v>727700</v>
      </c>
      <c r="X253" s="570" t="n">
        <v>614500</v>
      </c>
      <c r="Y253" s="570" t="n">
        <v>697500</v>
      </c>
      <c r="Z253" s="570" t="n">
        <v>774600</v>
      </c>
      <c r="AA253" s="570" t="n">
        <v>1779700</v>
      </c>
      <c r="AB253" s="570" t="n">
        <v>996400</v>
      </c>
      <c r="AC253" s="570" t="n">
        <v>555900</v>
      </c>
      <c r="AD253" s="570" t="n">
        <v>540800</v>
      </c>
      <c r="AE253" s="570" t="n">
        <v>621600</v>
      </c>
      <c r="AF253" s="570" t="n">
        <v>721200</v>
      </c>
      <c r="AG253" s="570" t="n">
        <v>741200</v>
      </c>
      <c r="AH253" s="570" t="n">
        <v>348000</v>
      </c>
      <c r="AI253" s="570" t="n">
        <v>1118600</v>
      </c>
      <c r="AJ253" s="570" t="n">
        <v>598300</v>
      </c>
      <c r="AK253" s="570" t="n">
        <v>372700</v>
      </c>
      <c r="AL253" s="570" t="n">
        <v>400100</v>
      </c>
      <c r="AM253" s="570" t="n">
        <v>646200</v>
      </c>
      <c r="AN253" s="570" t="n">
        <v>300800</v>
      </c>
      <c r="AO253" s="570" t="n">
        <v>539700</v>
      </c>
      <c r="AP253" s="570" t="n">
        <v>569400</v>
      </c>
      <c r="AQ253" s="570" t="n">
        <v>1129300</v>
      </c>
      <c r="AR253" s="570" t="n">
        <v>782200</v>
      </c>
      <c r="AS253" s="570" t="n">
        <v>689800</v>
      </c>
      <c r="AT253" s="570" t="n">
        <v>652800</v>
      </c>
      <c r="AU253" s="570" t="n">
        <v>478500</v>
      </c>
      <c r="AV253" s="570" t="n">
        <v>779500</v>
      </c>
      <c r="AW253" s="570" t="n">
        <v>522800</v>
      </c>
      <c r="AX253" s="570" t="n">
        <v>374000</v>
      </c>
      <c r="AY253" s="570" t="n">
        <v>375000</v>
      </c>
      <c r="AZ253" s="570" t="n">
        <v>326800</v>
      </c>
      <c r="BA253" s="570" t="n">
        <v>325300</v>
      </c>
      <c r="BB253" s="570" t="n">
        <v>483700</v>
      </c>
      <c r="BC253" s="570" t="n">
        <v>381400</v>
      </c>
      <c r="BD253" s="570" t="n">
        <v>550700</v>
      </c>
      <c r="BE253" s="570" t="n">
        <v>536700</v>
      </c>
      <c r="BF253" s="570" t="n">
        <v>439400</v>
      </c>
      <c r="BG253" s="570" t="n">
        <v>381200</v>
      </c>
      <c r="BH253" s="570" t="n">
        <v>597700</v>
      </c>
      <c r="BI253" s="570" t="n">
        <v>693300</v>
      </c>
      <c r="BJ253" s="570" t="n">
        <v>829700</v>
      </c>
      <c r="BK253" s="570" t="n">
        <v>610800</v>
      </c>
      <c r="BL253" s="570" t="n">
        <v>391600</v>
      </c>
    </row>
    <row r="254">
      <c r="A254" s="417" t="inlineStr">
        <is>
          <t>4704</t>
        </is>
      </c>
      <c r="B254" s="570">
        <f>銘柄管理!C254</f>
        <v/>
      </c>
      <c r="C254" s="570">
        <f>_xll.RssMarket("4704","出来高")</f>
        <v/>
      </c>
      <c r="D254" s="684">
        <f>C254-E254</f>
        <v/>
      </c>
      <c r="E254" s="570" t="n">
        <v>614900</v>
      </c>
      <c r="F254" s="570" t="n">
        <v>1762100</v>
      </c>
      <c r="G254" s="570" t="n">
        <v>849200</v>
      </c>
      <c r="H254" s="570" t="n">
        <v>914000</v>
      </c>
      <c r="I254" s="570" t="n">
        <v>831800</v>
      </c>
      <c r="J254" s="570" t="n">
        <v>1214800</v>
      </c>
      <c r="K254" s="570" t="n">
        <v>695700</v>
      </c>
      <c r="L254" s="570" t="n">
        <v>828400</v>
      </c>
      <c r="M254" s="570" t="n">
        <v>1157200</v>
      </c>
      <c r="N254" s="570" t="n">
        <v>2647200</v>
      </c>
      <c r="O254" s="570" t="n">
        <v>1217300</v>
      </c>
      <c r="P254" s="570" t="n">
        <v>1063300</v>
      </c>
      <c r="Q254" s="570" t="n">
        <v>1131900</v>
      </c>
      <c r="R254" s="570" t="n">
        <v>1228900</v>
      </c>
      <c r="S254" s="570" t="n">
        <v>842400</v>
      </c>
      <c r="T254" s="570" t="n">
        <v>1074600</v>
      </c>
      <c r="U254" s="570" t="n">
        <v>1342600</v>
      </c>
      <c r="V254" s="570" t="n">
        <v>1094200</v>
      </c>
      <c r="W254" s="570" t="n">
        <v>738700</v>
      </c>
      <c r="X254" s="570" t="n">
        <v>1028500</v>
      </c>
      <c r="Y254" s="570" t="n">
        <v>1367200</v>
      </c>
      <c r="Z254" s="570" t="n">
        <v>1233800</v>
      </c>
      <c r="AA254" s="570" t="n">
        <v>1500300</v>
      </c>
      <c r="AB254" s="570" t="n">
        <v>757900</v>
      </c>
      <c r="AC254" s="570" t="n">
        <v>525800</v>
      </c>
      <c r="AD254" s="570" t="n">
        <v>601400</v>
      </c>
      <c r="AE254" s="570" t="n">
        <v>686400</v>
      </c>
      <c r="AF254" s="570" t="n">
        <v>1374200</v>
      </c>
      <c r="AG254" s="570" t="n">
        <v>1178000</v>
      </c>
      <c r="AH254" s="570" t="n">
        <v>893500</v>
      </c>
      <c r="AI254" s="570" t="n">
        <v>1219300</v>
      </c>
      <c r="AJ254" s="570" t="n">
        <v>848300</v>
      </c>
      <c r="AK254" s="570" t="n">
        <v>1033200</v>
      </c>
      <c r="AL254" s="570" t="n">
        <v>959000</v>
      </c>
      <c r="AM254" s="570" t="n">
        <v>1158800</v>
      </c>
      <c r="AN254" s="570" t="n">
        <v>1031000</v>
      </c>
      <c r="AO254" s="570" t="n">
        <v>1436500</v>
      </c>
      <c r="AP254" s="570" t="n">
        <v>1741300</v>
      </c>
      <c r="AQ254" s="570" t="n">
        <v>2337100</v>
      </c>
      <c r="AR254" s="570" t="n">
        <v>5516300</v>
      </c>
      <c r="AS254" s="570" t="n">
        <v>1065600</v>
      </c>
      <c r="AT254" s="570" t="n">
        <v>911800</v>
      </c>
      <c r="AU254" s="570" t="n">
        <v>913100</v>
      </c>
      <c r="AV254" s="570" t="n">
        <v>1431900</v>
      </c>
      <c r="AW254" s="570" t="n">
        <v>927800</v>
      </c>
      <c r="AX254" s="570" t="n">
        <v>1115400</v>
      </c>
      <c r="AY254" s="570" t="n">
        <v>615900</v>
      </c>
      <c r="AZ254" s="570" t="n">
        <v>401000</v>
      </c>
      <c r="BA254" s="570" t="n">
        <v>460300</v>
      </c>
      <c r="BB254" s="570" t="n">
        <v>823000</v>
      </c>
      <c r="BC254" s="570" t="n">
        <v>825700</v>
      </c>
      <c r="BD254" s="570" t="n">
        <v>1237600</v>
      </c>
      <c r="BE254" s="570" t="n">
        <v>1258800</v>
      </c>
      <c r="BF254" s="570" t="n">
        <v>1003600</v>
      </c>
      <c r="BG254" s="570" t="n">
        <v>908300</v>
      </c>
      <c r="BH254" s="570" t="n">
        <v>1063000</v>
      </c>
      <c r="BI254" s="570" t="n">
        <v>781900</v>
      </c>
      <c r="BJ254" s="570" t="n">
        <v>1222700</v>
      </c>
      <c r="BK254" s="570" t="n">
        <v>3244200</v>
      </c>
      <c r="BL254" s="570" t="n">
        <v>913500</v>
      </c>
    </row>
    <row r="255">
      <c r="A255" s="417" t="inlineStr">
        <is>
          <t>6370</t>
        </is>
      </c>
      <c r="B255" s="570">
        <f>銘柄管理!C255</f>
        <v/>
      </c>
      <c r="C255" s="570">
        <f>_xll.RssMarket("6370","出来高")</f>
        <v/>
      </c>
      <c r="D255" s="684">
        <f>C255-E255</f>
        <v/>
      </c>
      <c r="E255" s="570" t="n">
        <v>532200</v>
      </c>
      <c r="F255" s="570" t="n">
        <v>684900</v>
      </c>
      <c r="G255" s="570" t="n">
        <v>511700</v>
      </c>
      <c r="H255" s="570" t="n">
        <v>701100</v>
      </c>
      <c r="I255" s="570" t="n">
        <v>709000</v>
      </c>
      <c r="J255" s="570" t="n">
        <v>561900</v>
      </c>
      <c r="K255" s="570" t="n">
        <v>504000</v>
      </c>
      <c r="L255" s="570" t="n">
        <v>368600</v>
      </c>
      <c r="M255" s="570" t="n">
        <v>725300</v>
      </c>
      <c r="N255" s="570" t="n">
        <v>401900</v>
      </c>
      <c r="O255" s="570" t="n">
        <v>348100</v>
      </c>
      <c r="P255" s="570" t="n">
        <v>502500</v>
      </c>
      <c r="Q255" s="570" t="n">
        <v>377300</v>
      </c>
      <c r="R255" s="570" t="n">
        <v>556400</v>
      </c>
      <c r="S255" s="570" t="n">
        <v>493800</v>
      </c>
      <c r="T255" s="570" t="n">
        <v>473600</v>
      </c>
      <c r="U255" s="570" t="n">
        <v>489100</v>
      </c>
      <c r="V255" s="570" t="n">
        <v>444600</v>
      </c>
      <c r="W255" s="570" t="n">
        <v>492500</v>
      </c>
      <c r="X255" s="570" t="n">
        <v>791300</v>
      </c>
      <c r="Y255" s="570" t="n">
        <v>815700</v>
      </c>
      <c r="Z255" s="570" t="n">
        <v>815800</v>
      </c>
      <c r="AA255" s="570" t="n">
        <v>1030400</v>
      </c>
      <c r="AB255" s="570" t="n">
        <v>845700</v>
      </c>
      <c r="AC255" s="570" t="n">
        <v>426700</v>
      </c>
      <c r="AD255" s="570" t="n">
        <v>611800</v>
      </c>
      <c r="AE255" s="570" t="n">
        <v>837400</v>
      </c>
      <c r="AF255" s="570" t="n">
        <v>914000</v>
      </c>
      <c r="AG255" s="570" t="n">
        <v>795900</v>
      </c>
      <c r="AH255" s="570" t="n">
        <v>653800</v>
      </c>
      <c r="AI255" s="570" t="n">
        <v>827500</v>
      </c>
      <c r="AJ255" s="570" t="n">
        <v>661400</v>
      </c>
      <c r="AK255" s="570" t="n">
        <v>766300</v>
      </c>
      <c r="AL255" s="570" t="n">
        <v>582900</v>
      </c>
      <c r="AM255" s="570" t="n">
        <v>534400</v>
      </c>
      <c r="AN255" s="570" t="n">
        <v>577300</v>
      </c>
      <c r="AO255" s="570" t="n">
        <v>421700</v>
      </c>
      <c r="AP255" s="570" t="n">
        <v>368500</v>
      </c>
      <c r="AQ255" s="570" t="n">
        <v>662400</v>
      </c>
      <c r="AR255" s="570" t="n">
        <v>566800</v>
      </c>
      <c r="AS255" s="570" t="n">
        <v>461700</v>
      </c>
      <c r="AT255" s="570" t="n">
        <v>627200</v>
      </c>
      <c r="AU255" s="570" t="n">
        <v>344000</v>
      </c>
      <c r="AV255" s="570" t="n">
        <v>404400</v>
      </c>
      <c r="AW255" s="570" t="n">
        <v>418600</v>
      </c>
      <c r="AX255" s="570" t="n">
        <v>470500</v>
      </c>
      <c r="AY255" s="570" t="n">
        <v>117500</v>
      </c>
      <c r="AZ255" s="570" t="n">
        <v>153700</v>
      </c>
      <c r="BA255" s="570" t="n">
        <v>273900</v>
      </c>
      <c r="BB255" s="570" t="n">
        <v>474800</v>
      </c>
      <c r="BC255" s="570" t="n">
        <v>458200</v>
      </c>
      <c r="BD255" s="570" t="n">
        <v>483500</v>
      </c>
      <c r="BE255" s="570" t="n">
        <v>566200</v>
      </c>
      <c r="BF255" s="570" t="n">
        <v>459900</v>
      </c>
      <c r="BG255" s="570" t="n">
        <v>287000</v>
      </c>
      <c r="BH255" s="570" t="n">
        <v>347300</v>
      </c>
      <c r="BI255" s="570" t="n">
        <v>454100</v>
      </c>
      <c r="BJ255" s="570" t="n">
        <v>837200</v>
      </c>
      <c r="BK255" s="570" t="n">
        <v>539800</v>
      </c>
      <c r="BL255" s="570" t="n">
        <v>367100</v>
      </c>
    </row>
    <row r="256">
      <c r="A256" s="417" t="inlineStr">
        <is>
          <t>7014</t>
        </is>
      </c>
      <c r="B256" s="570">
        <f>銘柄管理!C256</f>
        <v/>
      </c>
      <c r="C256" s="570">
        <f>_xll.RssMarket("7014","出来高")</f>
        <v/>
      </c>
      <c r="D256" s="684">
        <f>C256-E256</f>
        <v/>
      </c>
      <c r="E256" s="570" t="n">
        <v>884700</v>
      </c>
      <c r="F256" s="570" t="n">
        <v>959700</v>
      </c>
      <c r="G256" s="570" t="n">
        <v>803900</v>
      </c>
      <c r="H256" s="570" t="n">
        <v>1283000</v>
      </c>
      <c r="I256" s="570" t="n">
        <v>1306100</v>
      </c>
      <c r="J256" s="570" t="n">
        <v>1123200</v>
      </c>
      <c r="K256" s="570" t="n">
        <v>1591100</v>
      </c>
      <c r="L256" s="570" t="n">
        <v>903000</v>
      </c>
      <c r="M256" s="570" t="n">
        <v>1128800</v>
      </c>
      <c r="N256" s="570" t="n">
        <v>1314900</v>
      </c>
      <c r="O256" s="570" t="n">
        <v>1325000</v>
      </c>
      <c r="P256" s="570" t="n">
        <v>1314400</v>
      </c>
      <c r="Q256" s="570" t="n">
        <v>1615200</v>
      </c>
      <c r="R256" s="570" t="n">
        <v>1763900</v>
      </c>
      <c r="S256" s="570" t="n">
        <v>1352400</v>
      </c>
      <c r="T256" s="570" t="n">
        <v>903400</v>
      </c>
      <c r="U256" s="570" t="n">
        <v>1040400</v>
      </c>
      <c r="V256" s="570" t="n">
        <v>999800</v>
      </c>
      <c r="W256" s="570" t="n">
        <v>492500</v>
      </c>
      <c r="X256" s="570" t="n">
        <v>791300</v>
      </c>
      <c r="Y256" s="570" t="n">
        <v>815700</v>
      </c>
      <c r="Z256" s="570" t="n">
        <v>815800</v>
      </c>
      <c r="AA256" s="570" t="n">
        <v>1030400</v>
      </c>
      <c r="AB256" s="570" t="n">
        <v>845700</v>
      </c>
      <c r="AC256" s="570" t="n">
        <v>426700</v>
      </c>
      <c r="AD256" s="570" t="n">
        <v>611800</v>
      </c>
      <c r="AE256" s="570" t="n">
        <v>837400</v>
      </c>
      <c r="AF256" s="570" t="n">
        <v>914000</v>
      </c>
      <c r="AG256" s="570" t="n">
        <v>795900</v>
      </c>
      <c r="AH256" s="570" t="n">
        <v>653800</v>
      </c>
      <c r="AI256" s="570" t="n">
        <v>827500</v>
      </c>
      <c r="AJ256" s="570" t="n">
        <v>661400</v>
      </c>
      <c r="AK256" s="570" t="n">
        <v>766300</v>
      </c>
      <c r="AL256" s="570" t="n">
        <v>582900</v>
      </c>
      <c r="AM256" s="570" t="n">
        <v>534400</v>
      </c>
      <c r="AN256" s="570" t="n">
        <v>577300</v>
      </c>
      <c r="AO256" s="570" t="n">
        <v>421700</v>
      </c>
      <c r="AP256" s="570" t="n">
        <v>368500</v>
      </c>
      <c r="AQ256" s="570" t="n">
        <v>662400</v>
      </c>
      <c r="AR256" s="570" t="n">
        <v>566800</v>
      </c>
      <c r="AS256" s="570" t="n">
        <v>461700</v>
      </c>
      <c r="AT256" s="570" t="n">
        <v>627200</v>
      </c>
      <c r="AU256" s="570" t="n">
        <v>344000</v>
      </c>
      <c r="AV256" s="570" t="n">
        <v>404400</v>
      </c>
      <c r="AW256" s="570" t="n">
        <v>418600</v>
      </c>
      <c r="AX256" s="570" t="n">
        <v>470500</v>
      </c>
      <c r="AY256" s="570" t="n">
        <v>117500</v>
      </c>
      <c r="AZ256" s="570" t="n">
        <v>153700</v>
      </c>
      <c r="BA256" s="570" t="n">
        <v>273900</v>
      </c>
      <c r="BB256" s="570" t="n">
        <v>474800</v>
      </c>
      <c r="BC256" s="570" t="n">
        <v>458200</v>
      </c>
      <c r="BD256" s="570" t="n">
        <v>483500</v>
      </c>
      <c r="BE256" s="570" t="n">
        <v>566200</v>
      </c>
      <c r="BF256" s="570" t="n">
        <v>459900</v>
      </c>
      <c r="BG256" s="570" t="n">
        <v>287000</v>
      </c>
      <c r="BH256" s="570" t="n">
        <v>347300</v>
      </c>
      <c r="BI256" s="570" t="n">
        <v>454100</v>
      </c>
      <c r="BJ256" s="570" t="n">
        <v>837200</v>
      </c>
      <c r="BK256" s="570" t="n">
        <v>539800</v>
      </c>
      <c r="BL256" s="570" t="n">
        <v>367100</v>
      </c>
    </row>
    <row r="257">
      <c r="A257" s="417" t="inlineStr">
        <is>
          <t>9880</t>
        </is>
      </c>
      <c r="B257" s="570">
        <f>銘柄管理!C257</f>
        <v/>
      </c>
      <c r="C257" s="570">
        <f>_xll.RssMarket("9880","出来高")</f>
        <v/>
      </c>
      <c r="D257" s="684">
        <f>C257-E257</f>
        <v/>
      </c>
      <c r="E257" s="570" t="n">
        <v>241500</v>
      </c>
      <c r="F257" s="570" t="n">
        <v>135300</v>
      </c>
      <c r="G257" s="570" t="n">
        <v>151200</v>
      </c>
      <c r="H257" s="570" t="n">
        <v>176800</v>
      </c>
      <c r="I257" s="570" t="n">
        <v>165600</v>
      </c>
      <c r="J257" s="570" t="n">
        <v>141400</v>
      </c>
      <c r="K257" s="570" t="n">
        <v>134400</v>
      </c>
      <c r="L257" s="570" t="n">
        <v>205100</v>
      </c>
      <c r="M257" s="570" t="n">
        <v>194400</v>
      </c>
      <c r="N257" s="570" t="n">
        <v>192800</v>
      </c>
      <c r="O257" s="570" t="n">
        <v>213800</v>
      </c>
      <c r="P257" s="570" t="n">
        <v>202100</v>
      </c>
      <c r="Q257" s="570" t="n">
        <v>181100</v>
      </c>
      <c r="R257" s="570" t="n">
        <v>222600</v>
      </c>
      <c r="S257" s="570" t="n">
        <v>248200</v>
      </c>
      <c r="T257" s="570" t="n">
        <v>304900</v>
      </c>
      <c r="U257" s="570" t="n">
        <v>289800</v>
      </c>
      <c r="V257" s="570" t="n">
        <v>370600</v>
      </c>
      <c r="W257" s="570" t="n">
        <v>513400</v>
      </c>
      <c r="X257" s="570" t="n">
        <v>678700</v>
      </c>
      <c r="Y257" s="570" t="n">
        <v>575900</v>
      </c>
      <c r="Z257" s="570" t="n">
        <v>809200</v>
      </c>
      <c r="AA257" s="570" t="n">
        <v>292500</v>
      </c>
      <c r="AB257" s="570" t="n">
        <v>179300</v>
      </c>
      <c r="AC257" s="570" t="n">
        <v>310600</v>
      </c>
      <c r="AD257" s="570" t="n">
        <v>365800</v>
      </c>
      <c r="AE257" s="570" t="n">
        <v>226700</v>
      </c>
      <c r="AF257" s="570" t="n">
        <v>578800</v>
      </c>
      <c r="AG257" s="570" t="n">
        <v>130600</v>
      </c>
      <c r="AH257" s="570" t="n">
        <v>122100</v>
      </c>
      <c r="AI257" s="570" t="n">
        <v>105200</v>
      </c>
      <c r="AJ257" s="570" t="n">
        <v>148200</v>
      </c>
      <c r="AK257" s="570" t="n">
        <v>103600</v>
      </c>
      <c r="AL257" s="570" t="n">
        <v>86400</v>
      </c>
      <c r="AM257" s="570" t="n">
        <v>113300</v>
      </c>
      <c r="AN257" s="570" t="n">
        <v>86300</v>
      </c>
      <c r="AO257" s="570" t="n">
        <v>94600</v>
      </c>
      <c r="AP257" s="570" t="n">
        <v>89700</v>
      </c>
      <c r="AQ257" s="570" t="n">
        <v>176900</v>
      </c>
      <c r="AR257" s="570" t="n">
        <v>315500</v>
      </c>
      <c r="AS257" s="570" t="n">
        <v>128500</v>
      </c>
      <c r="AT257" s="570" t="n">
        <v>81900</v>
      </c>
      <c r="AU257" s="570" t="n">
        <v>110600</v>
      </c>
      <c r="AV257" s="570" t="n">
        <v>87400</v>
      </c>
      <c r="AW257" s="570" t="n">
        <v>134000</v>
      </c>
      <c r="AX257" s="570" t="n">
        <v>60700</v>
      </c>
      <c r="AY257" s="570" t="n">
        <v>43300</v>
      </c>
      <c r="AZ257" s="570" t="n">
        <v>71400</v>
      </c>
      <c r="BA257" s="570" t="n">
        <v>85300</v>
      </c>
      <c r="BB257" s="570" t="n">
        <v>96400</v>
      </c>
      <c r="BC257" s="570" t="n">
        <v>165400</v>
      </c>
      <c r="BD257" s="570" t="n">
        <v>166300</v>
      </c>
      <c r="BE257" s="570" t="n">
        <v>243400</v>
      </c>
      <c r="BF257" s="570" t="n">
        <v>677800</v>
      </c>
      <c r="BG257" s="570" t="n">
        <v>86000</v>
      </c>
      <c r="BH257" s="570" t="n">
        <v>90700</v>
      </c>
      <c r="BI257" s="570" t="n">
        <v>197100</v>
      </c>
      <c r="BJ257" s="570" t="n">
        <v>145700</v>
      </c>
      <c r="BK257" s="570" t="n">
        <v>60100</v>
      </c>
      <c r="BL257" s="570" t="n">
        <v>58700</v>
      </c>
    </row>
    <row r="258">
      <c r="A258" s="417" t="inlineStr">
        <is>
          <t>5253</t>
        </is>
      </c>
      <c r="B258" s="570">
        <f>銘柄管理!C258</f>
        <v/>
      </c>
      <c r="C258" s="570">
        <f>_xll.RssMarket("5253","出来高")</f>
        <v/>
      </c>
      <c r="D258" s="684">
        <f>C258-E258</f>
        <v/>
      </c>
      <c r="E258" s="570" t="n">
        <v>1447200</v>
      </c>
      <c r="F258" s="570" t="n">
        <v>2579100</v>
      </c>
      <c r="G258" s="570" t="n">
        <v>553200</v>
      </c>
      <c r="H258" s="570" t="n">
        <v>639100</v>
      </c>
      <c r="I258" s="570" t="n">
        <v>846500</v>
      </c>
      <c r="J258" s="570" t="n">
        <v>1937900</v>
      </c>
      <c r="K258" s="570" t="n">
        <v>1688700</v>
      </c>
      <c r="L258" s="570" t="n">
        <v>1560300</v>
      </c>
      <c r="M258" s="570" t="n">
        <v>913500</v>
      </c>
      <c r="N258" s="570" t="n">
        <v>1461700</v>
      </c>
      <c r="O258" s="570" t="n">
        <v>842800</v>
      </c>
      <c r="P258" s="570" t="n">
        <v>1012000</v>
      </c>
      <c r="Q258" s="570" t="n">
        <v>1599500</v>
      </c>
      <c r="R258" s="570" t="n">
        <v>1198400</v>
      </c>
      <c r="S258" s="570" t="n">
        <v>1500000</v>
      </c>
      <c r="T258" s="570" t="n">
        <v>1658700</v>
      </c>
      <c r="U258" s="570" t="n">
        <v>1873000</v>
      </c>
      <c r="V258" s="570" t="n">
        <v>2190200</v>
      </c>
      <c r="W258" s="570" t="n">
        <v>2305900</v>
      </c>
      <c r="X258" s="570" t="n">
        <v>1624400</v>
      </c>
      <c r="Y258" s="570" t="n">
        <v>2444700</v>
      </c>
      <c r="Z258" s="570" t="n">
        <v>2661900</v>
      </c>
      <c r="AA258" s="570" t="n">
        <v>6319700</v>
      </c>
      <c r="AB258" s="570" t="n">
        <v>1537700</v>
      </c>
      <c r="AC258" s="570" t="n">
        <v>1169500</v>
      </c>
      <c r="AD258" s="570" t="n">
        <v>764900</v>
      </c>
      <c r="AE258" s="570" t="n">
        <v>852700</v>
      </c>
      <c r="AF258" s="570" t="n">
        <v>759400</v>
      </c>
      <c r="AG258" s="570" t="n">
        <v>1156100</v>
      </c>
      <c r="AH258" s="570" t="n">
        <v>712100</v>
      </c>
      <c r="AI258" s="570" t="n">
        <v>520000</v>
      </c>
      <c r="AJ258" s="570" t="n">
        <v>658500</v>
      </c>
      <c r="AK258" s="570" t="n">
        <v>666200</v>
      </c>
      <c r="AL258" s="570" t="n">
        <v>676100</v>
      </c>
      <c r="AM258" s="570" t="n">
        <v>620100</v>
      </c>
      <c r="AN258" s="570" t="n">
        <v>531200</v>
      </c>
      <c r="AO258" s="570" t="n">
        <v>373500</v>
      </c>
      <c r="AP258" s="570" t="n">
        <v>609600</v>
      </c>
      <c r="AQ258" s="570" t="n">
        <v>709000</v>
      </c>
      <c r="AR258" s="570" t="n">
        <v>872000</v>
      </c>
      <c r="AS258" s="570" t="n">
        <v>463700</v>
      </c>
      <c r="AT258" s="570" t="n">
        <v>596000</v>
      </c>
      <c r="AU258" s="570" t="n">
        <v>631600</v>
      </c>
      <c r="AV258" s="570" t="n">
        <v>1585100</v>
      </c>
      <c r="AW258" s="570" t="n">
        <v>1465900</v>
      </c>
      <c r="AX258" s="570" t="n">
        <v>1853000</v>
      </c>
      <c r="AY258" s="570" t="n">
        <v>944800</v>
      </c>
      <c r="AZ258" s="570" t="n">
        <v>722200</v>
      </c>
      <c r="BA258" s="570" t="n">
        <v>998400</v>
      </c>
      <c r="BB258" s="570" t="n">
        <v>1415300</v>
      </c>
      <c r="BC258" s="570" t="n">
        <v>1152500</v>
      </c>
      <c r="BD258" s="570" t="n">
        <v>1423700</v>
      </c>
      <c r="BE258" s="570" t="n">
        <v>1420400</v>
      </c>
      <c r="BF258" s="570" t="n">
        <v>1325300</v>
      </c>
      <c r="BG258" s="570" t="n">
        <v>1301800</v>
      </c>
      <c r="BH258" s="570" t="n">
        <v>1243200</v>
      </c>
      <c r="BI258" s="570" t="n">
        <v>1879900</v>
      </c>
      <c r="BJ258" s="570" t="n">
        <v>5087700</v>
      </c>
      <c r="BK258" s="570" t="n">
        <v>1402700</v>
      </c>
      <c r="BL258" s="570" t="n">
        <v>899600</v>
      </c>
    </row>
    <row r="259">
      <c r="A259" s="417" t="inlineStr">
        <is>
          <t>9104</t>
        </is>
      </c>
      <c r="B259" s="570">
        <f>銘柄管理!C259</f>
        <v/>
      </c>
      <c r="C259" s="570">
        <f>_xll.RssMarket("9104","出来高")</f>
        <v/>
      </c>
      <c r="D259" s="684">
        <f>C259-E259</f>
        <v/>
      </c>
      <c r="E259" s="570" t="n">
        <v>2490100</v>
      </c>
      <c r="F259" s="570" t="n">
        <v>4248600</v>
      </c>
      <c r="G259" s="570" t="n">
        <v>3703400</v>
      </c>
      <c r="H259" s="570" t="n">
        <v>3724500</v>
      </c>
      <c r="I259" s="570" t="n">
        <v>3239900</v>
      </c>
      <c r="J259" s="570" t="n">
        <v>2554800</v>
      </c>
      <c r="K259" s="570" t="n">
        <v>2397100</v>
      </c>
      <c r="L259" s="570" t="n">
        <v>2711600</v>
      </c>
      <c r="M259" s="570" t="n">
        <v>3257400</v>
      </c>
      <c r="N259" s="570" t="n">
        <v>3680300</v>
      </c>
      <c r="O259" s="570" t="n">
        <v>2829200</v>
      </c>
      <c r="P259" s="570" t="n">
        <v>2569800</v>
      </c>
      <c r="Q259" s="570" t="n">
        <v>3334700</v>
      </c>
      <c r="R259" s="570" t="n">
        <v>4613300</v>
      </c>
      <c r="S259" s="570" t="n">
        <v>2584400</v>
      </c>
      <c r="T259" s="570" t="n">
        <v>2733700</v>
      </c>
      <c r="U259" s="570" t="n">
        <v>3054400</v>
      </c>
      <c r="V259" s="570" t="n">
        <v>2208700</v>
      </c>
      <c r="W259" s="570" t="n">
        <v>2182800</v>
      </c>
      <c r="X259" s="570" t="n">
        <v>2967900</v>
      </c>
      <c r="Y259" s="570" t="n">
        <v>2194000</v>
      </c>
      <c r="Z259" s="570" t="n">
        <v>2312700</v>
      </c>
      <c r="AA259" s="570" t="n">
        <v>2388400</v>
      </c>
      <c r="AB259" s="570" t="n">
        <v>2998100</v>
      </c>
      <c r="AC259" s="570" t="n">
        <v>2542200</v>
      </c>
      <c r="AD259" s="570" t="n">
        <v>2624200</v>
      </c>
      <c r="AE259" s="570" t="n">
        <v>3547900</v>
      </c>
      <c r="AF259" s="570" t="n">
        <v>3681700</v>
      </c>
      <c r="AG259" s="570" t="n">
        <v>4481600</v>
      </c>
      <c r="AH259" s="570" t="n">
        <v>3181100</v>
      </c>
      <c r="AI259" s="570" t="n">
        <v>7661200</v>
      </c>
      <c r="AJ259" s="570" t="n">
        <v>4200100</v>
      </c>
      <c r="AK259" s="570" t="n">
        <v>4504600</v>
      </c>
      <c r="AL259" s="570" t="n">
        <v>2819100</v>
      </c>
      <c r="AM259" s="570" t="n">
        <v>2752600</v>
      </c>
      <c r="AN259" s="570" t="n">
        <v>2322000</v>
      </c>
      <c r="AO259" s="570" t="n">
        <v>2305800</v>
      </c>
      <c r="AP259" s="570" t="n">
        <v>3467600</v>
      </c>
      <c r="AQ259" s="570" t="n">
        <v>2317900</v>
      </c>
      <c r="AR259" s="570" t="n">
        <v>3442200</v>
      </c>
      <c r="AS259" s="570" t="n">
        <v>4716800</v>
      </c>
      <c r="AT259" s="570" t="n">
        <v>3725600</v>
      </c>
      <c r="AU259" s="570" t="n">
        <v>4063300</v>
      </c>
      <c r="AV259" s="570" t="n">
        <v>5396300</v>
      </c>
      <c r="AW259" s="570" t="n">
        <v>5595300</v>
      </c>
      <c r="AX259" s="570" t="n">
        <v>10196700</v>
      </c>
      <c r="AY259" s="570" t="n">
        <v>4607500</v>
      </c>
      <c r="AZ259" s="570" t="n">
        <v>5201800</v>
      </c>
      <c r="BA259" s="570" t="n">
        <v>4470300</v>
      </c>
      <c r="BB259" s="570" t="n">
        <v>7006300</v>
      </c>
      <c r="BC259" s="570" t="n">
        <v>11491900</v>
      </c>
      <c r="BD259" s="570" t="n">
        <v>5733700</v>
      </c>
      <c r="BE259" s="570" t="n">
        <v>5120000</v>
      </c>
      <c r="BF259" s="570" t="n">
        <v>6052600</v>
      </c>
      <c r="BG259" s="570" t="n">
        <v>6889100</v>
      </c>
      <c r="BH259" s="570" t="n">
        <v>4874700</v>
      </c>
      <c r="BI259" s="570" t="n">
        <v>5787300</v>
      </c>
      <c r="BJ259" s="570" t="n">
        <v>9151800</v>
      </c>
      <c r="BK259" s="570" t="n">
        <v>15434800</v>
      </c>
      <c r="BL259" s="570" t="n">
        <v>20924500</v>
      </c>
    </row>
    <row r="260">
      <c r="A260" s="417" t="inlineStr">
        <is>
          <t>6366</t>
        </is>
      </c>
      <c r="B260" s="570">
        <f>銘柄管理!C260</f>
        <v/>
      </c>
      <c r="C260" s="570">
        <f>_xll.RssMarket("6366","出来高")</f>
        <v/>
      </c>
      <c r="D260" s="684">
        <f>C260-E260</f>
        <v/>
      </c>
      <c r="E260" s="570" t="n">
        <v>4536900</v>
      </c>
      <c r="F260" s="570" t="n">
        <v>3674900</v>
      </c>
      <c r="G260" s="570" t="n">
        <v>4742500</v>
      </c>
      <c r="H260" s="570" t="n">
        <v>6059600</v>
      </c>
      <c r="I260" s="570" t="n">
        <v>3773400</v>
      </c>
      <c r="J260" s="570" t="n">
        <v>6198200</v>
      </c>
      <c r="K260" s="570" t="n">
        <v>3403200</v>
      </c>
      <c r="L260" s="570" t="n">
        <v>4588200</v>
      </c>
      <c r="M260" s="570" t="n">
        <v>3887800</v>
      </c>
      <c r="N260" s="570" t="n">
        <v>3119800</v>
      </c>
      <c r="O260" s="570" t="n">
        <v>4870800</v>
      </c>
      <c r="P260" s="570" t="n">
        <v>4486900</v>
      </c>
      <c r="Q260" s="570" t="n">
        <v>3871000</v>
      </c>
      <c r="R260" s="570" t="n">
        <v>5356800</v>
      </c>
      <c r="S260" s="570" t="n">
        <v>5182000</v>
      </c>
      <c r="T260" s="570" t="n">
        <v>6148200</v>
      </c>
      <c r="U260" s="570" t="n">
        <v>8265700</v>
      </c>
      <c r="V260" s="570" t="n">
        <v>5960400</v>
      </c>
      <c r="W260" s="570" t="n">
        <v>4243700</v>
      </c>
      <c r="X260" s="570" t="n">
        <v>6685800</v>
      </c>
      <c r="Y260" s="570" t="n">
        <v>3519700</v>
      </c>
      <c r="Z260" s="570" t="n">
        <v>5242400</v>
      </c>
      <c r="AA260" s="570" t="n">
        <v>4850200</v>
      </c>
      <c r="AB260" s="570" t="n">
        <v>9155600</v>
      </c>
      <c r="AC260" s="570" t="n">
        <v>7739300</v>
      </c>
      <c r="AD260" s="570" t="n">
        <v>23452600</v>
      </c>
      <c r="AE260" s="570" t="n">
        <v>7876800</v>
      </c>
      <c r="AF260" s="570" t="n">
        <v>5003100</v>
      </c>
      <c r="AG260" s="570" t="n">
        <v>4266200</v>
      </c>
      <c r="AH260" s="570" t="n">
        <v>2600400</v>
      </c>
      <c r="AI260" s="570" t="n">
        <v>3912500</v>
      </c>
      <c r="AJ260" s="570" t="n">
        <v>3595300</v>
      </c>
      <c r="AK260" s="570" t="n">
        <v>5289900</v>
      </c>
      <c r="AL260" s="570" t="n">
        <v>3957600</v>
      </c>
      <c r="AM260" s="570" t="n">
        <v>4411800</v>
      </c>
      <c r="AN260" s="570" t="n">
        <v>5195100</v>
      </c>
      <c r="AO260" s="570" t="n">
        <v>7011400</v>
      </c>
      <c r="AP260" s="570" t="n">
        <v>6931500</v>
      </c>
      <c r="AQ260" s="570" t="n">
        <v>6651200</v>
      </c>
      <c r="AR260" s="570" t="n">
        <v>7639800</v>
      </c>
      <c r="AS260" s="570" t="n">
        <v>8219100</v>
      </c>
      <c r="AT260" s="570" t="n">
        <v>7141500</v>
      </c>
      <c r="AU260" s="570" t="n">
        <v>8580200</v>
      </c>
      <c r="AV260" s="570" t="n">
        <v>17029000</v>
      </c>
      <c r="AW260" s="570" t="n">
        <v>36283600</v>
      </c>
      <c r="AX260" s="570" t="n">
        <v>8507000</v>
      </c>
      <c r="AY260" s="570" t="n">
        <v>4050300</v>
      </c>
      <c r="AZ260" s="570" t="n">
        <v>5724900</v>
      </c>
      <c r="BA260" s="570" t="n">
        <v>5013700</v>
      </c>
      <c r="BB260" s="570" t="n">
        <v>12643900</v>
      </c>
      <c r="BC260" s="570" t="n">
        <v>12413000</v>
      </c>
      <c r="BD260" s="570" t="n">
        <v>7984700</v>
      </c>
      <c r="BE260" s="570" t="n">
        <v>12031000</v>
      </c>
      <c r="BF260" s="570" t="n">
        <v>12634700</v>
      </c>
      <c r="BG260" s="570" t="n">
        <v>14572100</v>
      </c>
      <c r="BH260" s="570" t="n">
        <v>8305700</v>
      </c>
      <c r="BI260" s="570" t="n">
        <v>7380800</v>
      </c>
      <c r="BJ260" s="570" t="n">
        <v>10576900</v>
      </c>
      <c r="BK260" s="570" t="n">
        <v>13279200</v>
      </c>
      <c r="BL260" s="570" t="n">
        <v>15496300</v>
      </c>
    </row>
    <row r="261">
      <c r="A261" s="417" t="inlineStr">
        <is>
          <t>6140</t>
        </is>
      </c>
      <c r="B261" s="570">
        <f>銘柄管理!C261</f>
        <v/>
      </c>
      <c r="C261" s="570">
        <f>_xll.RssMarket("6140","出来高")</f>
        <v/>
      </c>
      <c r="D261" s="684">
        <f>C261-E261</f>
        <v/>
      </c>
      <c r="E261" s="570" t="n">
        <v>590300</v>
      </c>
      <c r="F261" s="570" t="n">
        <v>563700</v>
      </c>
      <c r="G261" s="570" t="n">
        <v>498300</v>
      </c>
      <c r="H261" s="570" t="n">
        <v>524100</v>
      </c>
      <c r="I261" s="570" t="n">
        <v>500400</v>
      </c>
      <c r="J261" s="570" t="n">
        <v>479300</v>
      </c>
      <c r="K261" s="570" t="n">
        <v>539100</v>
      </c>
      <c r="L261" s="570" t="n">
        <v>640100</v>
      </c>
      <c r="M261" s="570" t="n">
        <v>744700</v>
      </c>
      <c r="N261" s="570" t="n">
        <v>606900</v>
      </c>
      <c r="O261" s="570" t="n">
        <v>413600</v>
      </c>
      <c r="P261" s="570" t="n">
        <v>558100</v>
      </c>
      <c r="Q261" s="570" t="n">
        <v>781500</v>
      </c>
      <c r="R261" s="570" t="n">
        <v>653500</v>
      </c>
      <c r="S261" s="570" t="n">
        <v>861200</v>
      </c>
      <c r="T261" s="570" t="n">
        <v>1000500</v>
      </c>
      <c r="U261" s="570" t="n">
        <v>855800</v>
      </c>
      <c r="V261" s="570" t="n">
        <v>1172400</v>
      </c>
      <c r="W261" s="570" t="n">
        <v>704400</v>
      </c>
      <c r="X261" s="570" t="n">
        <v>848900</v>
      </c>
      <c r="Y261" s="570" t="n">
        <v>1253300</v>
      </c>
      <c r="Z261" s="570" t="n">
        <v>1618700</v>
      </c>
      <c r="AA261" s="570" t="n">
        <v>1384200</v>
      </c>
      <c r="AB261" s="570" t="n">
        <v>1036700</v>
      </c>
      <c r="AC261" s="570" t="n">
        <v>1266000</v>
      </c>
      <c r="AD261" s="570" t="n">
        <v>1239600</v>
      </c>
      <c r="AE261" s="570" t="n">
        <v>901200</v>
      </c>
      <c r="AF261" s="570" t="n">
        <v>951100</v>
      </c>
      <c r="AG261" s="570" t="n">
        <v>963300</v>
      </c>
      <c r="AH261" s="570" t="n">
        <v>643700</v>
      </c>
      <c r="AI261" s="570" t="n">
        <v>758100</v>
      </c>
      <c r="AJ261" s="570" t="n">
        <v>725100</v>
      </c>
      <c r="AK261" s="570" t="n">
        <v>1009100</v>
      </c>
      <c r="AL261" s="570" t="n">
        <v>2147000</v>
      </c>
      <c r="AM261" s="570" t="n">
        <v>1437400</v>
      </c>
      <c r="AN261" s="570" t="n">
        <v>1531600</v>
      </c>
      <c r="AO261" s="570" t="n">
        <v>2301500</v>
      </c>
      <c r="AP261" s="570" t="n">
        <v>6632400</v>
      </c>
      <c r="AQ261" s="570" t="n">
        <v>6091500</v>
      </c>
      <c r="AR261" s="570" t="n">
        <v>714800</v>
      </c>
      <c r="AS261" s="570" t="n">
        <v>870000</v>
      </c>
      <c r="AT261" s="570" t="n">
        <v>657200</v>
      </c>
      <c r="AU261" s="570" t="n">
        <v>685100</v>
      </c>
      <c r="AV261" s="570" t="n">
        <v>1090500</v>
      </c>
      <c r="AW261" s="570" t="n">
        <v>849000</v>
      </c>
      <c r="AX261" s="570" t="n">
        <v>1314700</v>
      </c>
      <c r="AY261" s="570" t="n">
        <v>987100</v>
      </c>
      <c r="AZ261" s="570" t="n">
        <v>1112900</v>
      </c>
      <c r="BA261" s="570" t="n">
        <v>987700</v>
      </c>
      <c r="BB261" s="570" t="n">
        <v>793200</v>
      </c>
      <c r="BC261" s="570" t="n">
        <v>768000</v>
      </c>
      <c r="BD261" s="570" t="n">
        <v>1029600</v>
      </c>
      <c r="BE261" s="570" t="n">
        <v>1202800</v>
      </c>
      <c r="BF261" s="570" t="n">
        <v>1313700</v>
      </c>
      <c r="BG261" s="570" t="n">
        <v>1150100</v>
      </c>
      <c r="BH261" s="570" t="n">
        <v>1044600</v>
      </c>
      <c r="BI261" s="570" t="n">
        <v>1307700</v>
      </c>
      <c r="BJ261" s="570" t="n">
        <v>2223300</v>
      </c>
      <c r="BK261" s="570" t="n">
        <v>1314900</v>
      </c>
      <c r="BL261" s="570" t="n">
        <v>1459300</v>
      </c>
    </row>
    <row r="262">
      <c r="A262" s="417" t="inlineStr">
        <is>
          <t>1514</t>
        </is>
      </c>
      <c r="B262" s="570">
        <f>銘柄管理!C262</f>
        <v/>
      </c>
      <c r="C262" s="570">
        <f>_xll.RssMarket("1514","出来高")</f>
        <v/>
      </c>
      <c r="D262" s="684">
        <f>C262-E262</f>
        <v/>
      </c>
      <c r="E262" s="570" t="n">
        <v>575900</v>
      </c>
      <c r="F262" s="570" t="n">
        <v>529100</v>
      </c>
      <c r="G262" s="570" t="n">
        <v>527200</v>
      </c>
      <c r="H262" s="570" t="n">
        <v>445300</v>
      </c>
      <c r="I262" s="570" t="n">
        <v>202400</v>
      </c>
      <c r="J262" s="570" t="n">
        <v>260900</v>
      </c>
      <c r="K262" s="570" t="n">
        <v>280000</v>
      </c>
      <c r="L262" s="570" t="n">
        <v>316200</v>
      </c>
      <c r="M262" s="570" t="n">
        <v>418900</v>
      </c>
      <c r="N262" s="570" t="n">
        <v>522600</v>
      </c>
      <c r="O262" s="570" t="n">
        <v>441900</v>
      </c>
      <c r="P262" s="570" t="n">
        <v>332800</v>
      </c>
      <c r="Q262" s="570" t="n">
        <v>433500</v>
      </c>
      <c r="R262" s="570" t="n">
        <v>394800</v>
      </c>
      <c r="S262" s="570" t="n">
        <v>541100</v>
      </c>
      <c r="T262" s="570" t="n">
        <v>658900</v>
      </c>
      <c r="U262" s="570" t="n">
        <v>704600</v>
      </c>
      <c r="V262" s="570" t="n">
        <v>505600</v>
      </c>
      <c r="W262" s="570" t="n">
        <v>598100</v>
      </c>
      <c r="X262" s="570" t="n">
        <v>858000</v>
      </c>
      <c r="Y262" s="570" t="n">
        <v>603000</v>
      </c>
      <c r="Z262" s="570" t="n">
        <v>1650800</v>
      </c>
      <c r="AA262" s="570" t="n">
        <v>520300</v>
      </c>
      <c r="AB262" s="570" t="n">
        <v>555600</v>
      </c>
      <c r="AC262" s="570" t="n">
        <v>376900</v>
      </c>
      <c r="AD262" s="570" t="n">
        <v>504600</v>
      </c>
      <c r="AE262" s="570" t="n">
        <v>448700</v>
      </c>
      <c r="AF262" s="570" t="n">
        <v>428300</v>
      </c>
      <c r="AG262" s="570" t="n">
        <v>555600</v>
      </c>
      <c r="AH262" s="570" t="n">
        <v>476200</v>
      </c>
      <c r="AI262" s="570" t="n">
        <v>530800</v>
      </c>
      <c r="AJ262" s="570" t="n">
        <v>407500</v>
      </c>
      <c r="AK262" s="570" t="n">
        <v>673100</v>
      </c>
      <c r="AL262" s="570" t="n">
        <v>796400</v>
      </c>
      <c r="AM262" s="570" t="n">
        <v>1209800</v>
      </c>
      <c r="AN262" s="570" t="n">
        <v>994300</v>
      </c>
      <c r="AO262" s="570" t="n">
        <v>637900</v>
      </c>
      <c r="AP262" s="570" t="n">
        <v>1601200</v>
      </c>
      <c r="AQ262" s="570" t="n">
        <v>962100</v>
      </c>
      <c r="AR262" s="570" t="n">
        <v>2748900</v>
      </c>
      <c r="AS262" s="570" t="n">
        <v>708700</v>
      </c>
      <c r="AT262" s="570" t="n">
        <v>837300</v>
      </c>
      <c r="AU262" s="570" t="n">
        <v>1528600</v>
      </c>
      <c r="AV262" s="570" t="n">
        <v>1787500</v>
      </c>
      <c r="AW262" s="570" t="n">
        <v>1320200</v>
      </c>
      <c r="AX262" s="570" t="n">
        <v>1838700</v>
      </c>
      <c r="AY262" s="570" t="n">
        <v>1221300</v>
      </c>
      <c r="AZ262" s="570" t="n">
        <v>1368900</v>
      </c>
      <c r="BA262" s="570" t="n">
        <v>1962000</v>
      </c>
      <c r="BB262" s="570" t="n">
        <v>4453600</v>
      </c>
      <c r="BC262" s="570" t="n">
        <v>1933600</v>
      </c>
      <c r="BD262" s="570" t="n">
        <v>5369900</v>
      </c>
      <c r="BE262" s="570" t="n">
        <v>8529100</v>
      </c>
      <c r="BF262" s="570" t="n">
        <v>990700</v>
      </c>
      <c r="BG262" s="570" t="n">
        <v>945200</v>
      </c>
      <c r="BH262" s="570" t="n">
        <v>888600</v>
      </c>
      <c r="BI262" s="570" t="n">
        <v>1320700</v>
      </c>
      <c r="BJ262" s="570" t="n">
        <v>2495900</v>
      </c>
      <c r="BK262" s="570" t="n">
        <v>2458400</v>
      </c>
      <c r="BL262" s="570" t="n">
        <v>2108800</v>
      </c>
    </row>
    <row r="263">
      <c r="A263" s="417" t="inlineStr">
        <is>
          <t>5631</t>
        </is>
      </c>
      <c r="B263" s="570">
        <f>銘柄管理!C263</f>
        <v/>
      </c>
      <c r="C263" s="570">
        <f>_xll.RssMarket("5631","出来高")</f>
        <v/>
      </c>
      <c r="D263" s="684">
        <f>C263-E263</f>
        <v/>
      </c>
      <c r="E263" s="570" t="n">
        <v>730500</v>
      </c>
      <c r="F263" s="570" t="n">
        <v>1411100</v>
      </c>
      <c r="G263" s="570" t="n">
        <v>1000800</v>
      </c>
      <c r="H263" s="570" t="n">
        <v>1676600</v>
      </c>
      <c r="I263" s="570" t="n">
        <v>731700</v>
      </c>
      <c r="J263" s="570" t="n">
        <v>1130800</v>
      </c>
      <c r="K263" s="570" t="n">
        <v>1364000</v>
      </c>
      <c r="L263" s="570" t="n">
        <v>810600</v>
      </c>
      <c r="M263" s="570" t="n">
        <v>1267800</v>
      </c>
      <c r="N263" s="570" t="n">
        <v>2113400</v>
      </c>
      <c r="O263" s="570" t="n">
        <v>787700</v>
      </c>
      <c r="P263" s="570" t="n">
        <v>861300</v>
      </c>
      <c r="Q263" s="570" t="n">
        <v>1142900</v>
      </c>
      <c r="R263" s="570" t="n">
        <v>1344900</v>
      </c>
      <c r="S263" s="570" t="n">
        <v>1101300</v>
      </c>
      <c r="T263" s="570" t="n">
        <v>1042700</v>
      </c>
      <c r="U263" s="570" t="n">
        <v>765800</v>
      </c>
      <c r="V263" s="570" t="n">
        <v>1052100</v>
      </c>
      <c r="W263" s="570" t="n">
        <v>1611100</v>
      </c>
      <c r="X263" s="570" t="n">
        <v>1624600</v>
      </c>
      <c r="Y263" s="570" t="n">
        <v>1521200</v>
      </c>
      <c r="Z263" s="570" t="n">
        <v>1217400</v>
      </c>
      <c r="AA263" s="570" t="n">
        <v>1557000</v>
      </c>
      <c r="AB263" s="570" t="n">
        <v>2817500</v>
      </c>
      <c r="AC263" s="570" t="n">
        <v>1064500</v>
      </c>
      <c r="AD263" s="570" t="n">
        <v>1029200</v>
      </c>
      <c r="AE263" s="570" t="n">
        <v>977100</v>
      </c>
      <c r="AF263" s="570" t="n">
        <v>1299400</v>
      </c>
      <c r="AG263" s="570" t="n">
        <v>888700</v>
      </c>
      <c r="AH263" s="570" t="n">
        <v>946400</v>
      </c>
      <c r="AI263" s="570" t="n">
        <v>709100</v>
      </c>
      <c r="AJ263" s="570" t="n">
        <v>554100</v>
      </c>
      <c r="AK263" s="570" t="n">
        <v>714100</v>
      </c>
      <c r="AL263" s="570" t="n">
        <v>1211600</v>
      </c>
      <c r="AM263" s="570" t="n">
        <v>1134800</v>
      </c>
      <c r="AN263" s="570" t="n">
        <v>892700</v>
      </c>
      <c r="AO263" s="570" t="n">
        <v>1240800</v>
      </c>
      <c r="AP263" s="570" t="n">
        <v>571100</v>
      </c>
      <c r="AQ263" s="570" t="n">
        <v>686600</v>
      </c>
      <c r="AR263" s="570" t="n">
        <v>763500</v>
      </c>
      <c r="AS263" s="570" t="n">
        <v>1564600</v>
      </c>
      <c r="AT263" s="570" t="n">
        <v>604400</v>
      </c>
      <c r="AU263" s="570" t="n">
        <v>814400</v>
      </c>
      <c r="AV263" s="570" t="n">
        <v>1030100</v>
      </c>
      <c r="AW263" s="570" t="n">
        <v>1339700</v>
      </c>
      <c r="AX263" s="570" t="n">
        <v>1900500</v>
      </c>
      <c r="AY263" s="570" t="n">
        <v>822200</v>
      </c>
      <c r="AZ263" s="570" t="n">
        <v>992300</v>
      </c>
      <c r="BA263" s="570" t="n">
        <v>1245400</v>
      </c>
      <c r="BB263" s="570" t="n">
        <v>1368600</v>
      </c>
      <c r="BC263" s="570" t="n">
        <v>1466100</v>
      </c>
      <c r="BD263" s="570" t="n">
        <v>1364400</v>
      </c>
      <c r="BE263" s="570" t="n">
        <v>1087900</v>
      </c>
      <c r="BF263" s="570" t="n">
        <v>1218600</v>
      </c>
      <c r="BG263" s="570" t="n">
        <v>877800</v>
      </c>
      <c r="BH263" s="570" t="n">
        <v>1613900</v>
      </c>
      <c r="BI263" s="570" t="n">
        <v>1573400</v>
      </c>
      <c r="BJ263" s="570" t="n">
        <v>2049200</v>
      </c>
      <c r="BK263" s="570" t="n">
        <v>1007900</v>
      </c>
      <c r="BL263" s="570" t="n">
        <v>966800</v>
      </c>
    </row>
    <row r="264">
      <c r="A264" s="417" t="inlineStr">
        <is>
          <t>6674</t>
        </is>
      </c>
      <c r="B264" s="570">
        <f>銘柄管理!C264</f>
        <v/>
      </c>
      <c r="C264" s="570">
        <f>_xll.RssMarket("6674","出来高")</f>
        <v/>
      </c>
      <c r="D264" s="684">
        <f>C264-E264</f>
        <v/>
      </c>
      <c r="E264" s="570" t="n">
        <v>1647300</v>
      </c>
      <c r="F264" s="570" t="n">
        <v>1210900</v>
      </c>
      <c r="G264" s="570" t="n">
        <v>619300</v>
      </c>
      <c r="H264" s="570" t="n">
        <v>766500</v>
      </c>
      <c r="I264" s="570" t="n">
        <v>802200</v>
      </c>
      <c r="J264" s="570" t="n">
        <v>891800</v>
      </c>
      <c r="K264" s="570" t="n">
        <v>733900</v>
      </c>
      <c r="L264" s="570" t="n">
        <v>979000</v>
      </c>
      <c r="M264" s="570" t="n">
        <v>1202100</v>
      </c>
      <c r="N264" s="570" t="n">
        <v>981600</v>
      </c>
      <c r="O264" s="570" t="n">
        <v>1541300</v>
      </c>
      <c r="P264" s="570" t="n">
        <v>1825100</v>
      </c>
      <c r="Q264" s="570" t="n">
        <v>1817000</v>
      </c>
      <c r="R264" s="570" t="n">
        <v>977000</v>
      </c>
      <c r="S264" s="570" t="n">
        <v>733700</v>
      </c>
      <c r="T264" s="570" t="n">
        <v>736500</v>
      </c>
      <c r="U264" s="570" t="n">
        <v>506600</v>
      </c>
      <c r="V264" s="570" t="n">
        <v>738900</v>
      </c>
      <c r="W264" s="570" t="n">
        <v>759500</v>
      </c>
      <c r="X264" s="570" t="n">
        <v>800700</v>
      </c>
      <c r="Y264" s="570" t="n">
        <v>787000</v>
      </c>
      <c r="Z264" s="570" t="n">
        <v>880500</v>
      </c>
      <c r="AA264" s="570" t="n">
        <v>1301000</v>
      </c>
      <c r="AB264" s="570" t="n">
        <v>1883500</v>
      </c>
      <c r="AC264" s="570" t="n">
        <v>2288300</v>
      </c>
      <c r="AD264" s="570" t="n">
        <v>1017100</v>
      </c>
      <c r="AE264" s="570" t="n">
        <v>1039500</v>
      </c>
      <c r="AF264" s="570" t="n">
        <v>959200</v>
      </c>
      <c r="AG264" s="570" t="n">
        <v>1308400</v>
      </c>
      <c r="AH264" s="570" t="n">
        <v>905900</v>
      </c>
      <c r="AI264" s="570" t="n">
        <v>1050300</v>
      </c>
      <c r="AJ264" s="570" t="n">
        <v>963300</v>
      </c>
      <c r="AK264" s="570" t="n">
        <v>965100</v>
      </c>
      <c r="AL264" s="570" t="n">
        <v>1113900</v>
      </c>
      <c r="AM264" s="570" t="n">
        <v>1317700</v>
      </c>
      <c r="AN264" s="570" t="n">
        <v>1334900</v>
      </c>
      <c r="AO264" s="570" t="n">
        <v>1483500</v>
      </c>
      <c r="AP264" s="570" t="n">
        <v>1012600</v>
      </c>
      <c r="AQ264" s="570" t="n">
        <v>962700</v>
      </c>
      <c r="AR264" s="570" t="n">
        <v>971500</v>
      </c>
      <c r="AS264" s="570" t="n">
        <v>1143800</v>
      </c>
      <c r="AT264" s="570" t="n">
        <v>860300</v>
      </c>
      <c r="AU264" s="570" t="n">
        <v>760500</v>
      </c>
      <c r="AV264" s="570" t="n">
        <v>925800</v>
      </c>
      <c r="AW264" s="570" t="n">
        <v>658600</v>
      </c>
      <c r="AX264" s="570" t="n">
        <v>1159400</v>
      </c>
      <c r="AY264" s="570" t="n">
        <v>920500</v>
      </c>
      <c r="AZ264" s="570" t="n">
        <v>1169600</v>
      </c>
      <c r="BA264" s="570" t="n">
        <v>1261100</v>
      </c>
      <c r="BB264" s="570" t="n">
        <v>1256800</v>
      </c>
      <c r="BC264" s="570" t="n">
        <v>1386200</v>
      </c>
      <c r="BD264" s="570" t="n">
        <v>4954200</v>
      </c>
      <c r="BE264" s="570" t="n">
        <v>1693600</v>
      </c>
      <c r="BF264" s="570" t="n">
        <v>1586800</v>
      </c>
      <c r="BG264" s="570" t="n">
        <v>668100</v>
      </c>
      <c r="BH264" s="570" t="n">
        <v>710800</v>
      </c>
      <c r="BI264" s="570" t="n">
        <v>813100</v>
      </c>
      <c r="BJ264" s="570" t="n">
        <v>1364500</v>
      </c>
      <c r="BK264" s="570" t="n">
        <v>1219300</v>
      </c>
      <c r="BL264" s="570" t="n">
        <v>951600</v>
      </c>
    </row>
    <row r="265">
      <c r="A265" s="417" t="inlineStr">
        <is>
          <t>6955</t>
        </is>
      </c>
      <c r="B265" s="570">
        <f>銘柄管理!C265</f>
        <v/>
      </c>
      <c r="C265" s="570">
        <f>_xll.RssMarket("6955","出来高")</f>
        <v/>
      </c>
      <c r="D265" s="684">
        <f>C265-E265</f>
        <v/>
      </c>
      <c r="E265" s="570" t="n">
        <v>427700</v>
      </c>
      <c r="F265" s="570" t="n">
        <v>184000</v>
      </c>
      <c r="G265" s="570" t="n">
        <v>227800</v>
      </c>
      <c r="H265" s="570" t="n">
        <v>397100</v>
      </c>
      <c r="I265" s="570" t="n">
        <v>438000</v>
      </c>
      <c r="J265" s="570" t="n">
        <v>391700</v>
      </c>
      <c r="K265" s="570" t="n">
        <v>407300</v>
      </c>
      <c r="L265" s="570" t="n">
        <v>1225900</v>
      </c>
      <c r="M265" s="570" t="n">
        <v>4575900</v>
      </c>
      <c r="N265" s="570" t="n">
        <v>979300</v>
      </c>
      <c r="O265" s="570" t="n">
        <v>1712300</v>
      </c>
      <c r="P265" s="570" t="n">
        <v>1925800</v>
      </c>
      <c r="Q265" s="570" t="n">
        <v>625300</v>
      </c>
      <c r="R265" s="570" t="n">
        <v>133500</v>
      </c>
      <c r="S265" s="570" t="n">
        <v>178600</v>
      </c>
      <c r="T265" s="570" t="n">
        <v>95000</v>
      </c>
      <c r="U265" s="570" t="n">
        <v>71300</v>
      </c>
      <c r="V265" s="570" t="n">
        <v>48000</v>
      </c>
      <c r="W265" s="570" t="n">
        <v>46200</v>
      </c>
      <c r="X265" s="570" t="n">
        <v>68100</v>
      </c>
      <c r="Y265" s="570" t="n">
        <v>36300</v>
      </c>
      <c r="Z265" s="570" t="n">
        <v>40300</v>
      </c>
      <c r="AA265" s="570" t="n">
        <v>78800</v>
      </c>
      <c r="AB265" s="570" t="n">
        <v>60900</v>
      </c>
      <c r="AC265" s="570" t="n">
        <v>33100</v>
      </c>
      <c r="AD265" s="570" t="n">
        <v>55200</v>
      </c>
      <c r="AE265" s="570" t="n">
        <v>186800</v>
      </c>
      <c r="AF265" s="570" t="n">
        <v>209000</v>
      </c>
      <c r="AG265" s="570" t="n">
        <v>298400</v>
      </c>
      <c r="AH265" s="570" t="n">
        <v>45000</v>
      </c>
      <c r="AI265" s="570" t="n">
        <v>243900</v>
      </c>
      <c r="AJ265" s="570" t="n">
        <v>57500</v>
      </c>
      <c r="AK265" s="570" t="n">
        <v>69100</v>
      </c>
      <c r="AL265" s="570" t="n">
        <v>32900</v>
      </c>
      <c r="AM265" s="570" t="n">
        <v>91500</v>
      </c>
      <c r="AN265" s="570" t="n">
        <v>51900</v>
      </c>
      <c r="AO265" s="570" t="n">
        <v>77200</v>
      </c>
      <c r="AP265" s="570" t="n">
        <v>60700</v>
      </c>
      <c r="AQ265" s="570" t="n">
        <v>83600</v>
      </c>
      <c r="AR265" s="570" t="n">
        <v>77100</v>
      </c>
      <c r="AS265" s="570" t="n">
        <v>109700</v>
      </c>
      <c r="AT265" s="570" t="n">
        <v>73800</v>
      </c>
      <c r="AU265" s="570" t="n">
        <v>91200</v>
      </c>
      <c r="AV265" s="570" t="n">
        <v>138700</v>
      </c>
      <c r="AW265" s="570" t="n">
        <v>102500</v>
      </c>
      <c r="AX265" s="570" t="n">
        <v>128800</v>
      </c>
      <c r="AY265" s="570" t="n">
        <v>56000</v>
      </c>
      <c r="AZ265" s="570" t="n">
        <v>70400</v>
      </c>
      <c r="BA265" s="570" t="n">
        <v>69100</v>
      </c>
      <c r="BB265" s="570" t="n">
        <v>97600</v>
      </c>
      <c r="BC265" s="570" t="n">
        <v>62700</v>
      </c>
      <c r="BD265" s="570" t="n">
        <v>93100</v>
      </c>
      <c r="BE265" s="570" t="n">
        <v>119300</v>
      </c>
      <c r="BF265" s="570" t="n">
        <v>59700</v>
      </c>
      <c r="BG265" s="570" t="n">
        <v>258200</v>
      </c>
      <c r="BH265" s="570" t="n">
        <v>128900</v>
      </c>
      <c r="BI265" s="570" t="n">
        <v>158700</v>
      </c>
      <c r="BJ265" s="570" t="n">
        <v>442500</v>
      </c>
      <c r="BK265" s="570" t="n">
        <v>524800</v>
      </c>
      <c r="BL265" s="570" t="n">
        <v>1334200</v>
      </c>
    </row>
    <row r="266">
      <c r="A266" s="417" t="inlineStr">
        <is>
          <t>281A</t>
        </is>
      </c>
      <c r="B266" s="570">
        <f>銘柄管理!C266</f>
        <v/>
      </c>
      <c r="C266" s="570">
        <f>_xll.RssMarket("281A","出来高")</f>
        <v/>
      </c>
      <c r="D266" s="684">
        <f>C266-E266</f>
        <v/>
      </c>
      <c r="E266" s="570" t="n">
        <v>300900</v>
      </c>
      <c r="F266" s="570" t="n">
        <v>352000</v>
      </c>
      <c r="G266" s="570" t="n">
        <v>439900</v>
      </c>
      <c r="H266" s="570" t="n">
        <v>614500</v>
      </c>
      <c r="I266" s="570" t="n">
        <v>3411400</v>
      </c>
      <c r="J266" s="570" t="n">
        <v>212900</v>
      </c>
      <c r="K266" s="570" t="n">
        <v>227200</v>
      </c>
      <c r="L266" s="570" t="n">
        <v>246100</v>
      </c>
      <c r="M266" s="570" t="n">
        <v>306400</v>
      </c>
      <c r="N266" s="570" t="n">
        <v>437800</v>
      </c>
      <c r="O266" s="570" t="n">
        <v>273100</v>
      </c>
      <c r="P266" s="570" t="n">
        <v>265100</v>
      </c>
      <c r="Q266" s="570" t="n">
        <v>519300</v>
      </c>
      <c r="R266" s="570" t="n">
        <v>510200</v>
      </c>
      <c r="S266" s="570" t="n">
        <v>477700</v>
      </c>
      <c r="T266" s="570" t="n">
        <v>717900</v>
      </c>
      <c r="U266" s="570" t="n">
        <v>1158600</v>
      </c>
      <c r="V266" s="570" t="n">
        <v>556100</v>
      </c>
      <c r="W266" s="570" t="n">
        <v>568900</v>
      </c>
      <c r="X266" s="570" t="n">
        <v>662600</v>
      </c>
      <c r="Y266" s="570" t="n">
        <v>1884700</v>
      </c>
      <c r="Z266" s="570" t="n">
        <v>933800</v>
      </c>
      <c r="AA266" s="570" t="n">
        <v>831600</v>
      </c>
      <c r="AB266" s="570" t="n">
        <v>354100</v>
      </c>
      <c r="AC266" s="570" t="n">
        <v>375600</v>
      </c>
      <c r="AD266" s="570" t="n">
        <v>1037400</v>
      </c>
      <c r="AE266" s="570" t="n">
        <v>575900</v>
      </c>
      <c r="AF266" s="570" t="n">
        <v>614300</v>
      </c>
      <c r="AG266" s="570" t="n">
        <v>552000</v>
      </c>
      <c r="AH266" s="570" t="n">
        <v>570100</v>
      </c>
      <c r="AI266" s="570" t="n">
        <v>350400</v>
      </c>
      <c r="AJ266" s="570" t="n">
        <v>467900</v>
      </c>
      <c r="AK266" s="570" t="n">
        <v>1207800</v>
      </c>
      <c r="AL266" s="570" t="n">
        <v>656900</v>
      </c>
      <c r="AM266" s="570" t="n">
        <v>781200</v>
      </c>
      <c r="AN266" s="570" t="n">
        <v>1310100</v>
      </c>
      <c r="AO266" s="570" t="n">
        <v>2374900</v>
      </c>
      <c r="AP266" s="570" t="n">
        <v>2644500</v>
      </c>
      <c r="AQ266" s="570" t="n">
        <v>3003900</v>
      </c>
      <c r="AR266" s="570" t="n">
        <v>3726700</v>
      </c>
      <c r="AS266" s="570" t="n">
        <v>6250000</v>
      </c>
      <c r="AT266" s="570" t="n">
        <v>5625300</v>
      </c>
      <c r="AU266" s="570" t="n">
        <v>3634800</v>
      </c>
      <c r="AV266" s="570" t="n">
        <v>8330400</v>
      </c>
      <c r="AW266" s="570" t="n">
        <v>4102300</v>
      </c>
      <c r="AX266" s="570" t="n">
        <v>1938300</v>
      </c>
      <c r="AY266" s="570" t="n">
        <v>6037000</v>
      </c>
      <c r="AZ266" s="570" t="n">
        <v>5714300</v>
      </c>
      <c r="BA266" s="570" t="n">
        <v>3599500</v>
      </c>
      <c r="BB266" s="570" t="n">
        <v>646900</v>
      </c>
      <c r="BC266" s="570" t="n">
        <v>1015400</v>
      </c>
      <c r="BD266" s="570" t="n">
        <v>1196100</v>
      </c>
      <c r="BE266" s="570" t="n">
        <v>3047300</v>
      </c>
      <c r="BF266" s="570" t="n">
        <v>921000</v>
      </c>
      <c r="BG266" s="570" t="n">
        <v>2875200</v>
      </c>
      <c r="BH266" s="570" t="n">
        <v>3113600</v>
      </c>
      <c r="BI266" s="570" t="n">
        <v>1745700</v>
      </c>
      <c r="BJ266" s="570" t="n">
        <v>7160800</v>
      </c>
      <c r="BK266" s="570" t="n">
        <v>5301900</v>
      </c>
      <c r="BL266" s="570" t="n">
        <v>1778500</v>
      </c>
    </row>
    <row r="267">
      <c r="A267" s="417" t="inlineStr">
        <is>
          <t>6356</t>
        </is>
      </c>
      <c r="B267" s="570">
        <f>銘柄管理!C267</f>
        <v/>
      </c>
      <c r="C267" s="570">
        <f>_xll.RssMarket("6356","出来高")</f>
        <v/>
      </c>
      <c r="D267" s="684">
        <f>C267-E267</f>
        <v/>
      </c>
      <c r="E267" s="570" t="n">
        <v>282800</v>
      </c>
      <c r="F267" s="570" t="n">
        <v>261300</v>
      </c>
      <c r="G267" s="570" t="n">
        <v>362700</v>
      </c>
      <c r="H267" s="570" t="n">
        <v>1265900</v>
      </c>
      <c r="I267" s="570" t="n">
        <v>198600</v>
      </c>
      <c r="J267" s="570" t="n">
        <v>284300</v>
      </c>
      <c r="K267" s="570" t="n">
        <v>265400</v>
      </c>
      <c r="L267" s="570" t="n">
        <v>288100</v>
      </c>
      <c r="M267" s="570" t="n">
        <v>467300</v>
      </c>
      <c r="N267" s="570" t="n">
        <v>421800</v>
      </c>
      <c r="O267" s="570" t="n">
        <v>167000</v>
      </c>
      <c r="P267" s="570" t="n">
        <v>178300</v>
      </c>
      <c r="Q267" s="570" t="n">
        <v>220600</v>
      </c>
      <c r="R267" s="570" t="n">
        <v>232100</v>
      </c>
      <c r="S267" s="570" t="n">
        <v>311400</v>
      </c>
      <c r="T267" s="570" t="n">
        <v>516200</v>
      </c>
      <c r="U267" s="570" t="n">
        <v>291500</v>
      </c>
      <c r="V267" s="570" t="n">
        <v>315300</v>
      </c>
      <c r="W267" s="570" t="n">
        <v>153900</v>
      </c>
      <c r="X267" s="570" t="n">
        <v>183600</v>
      </c>
      <c r="Y267" s="570" t="n">
        <v>201800</v>
      </c>
      <c r="Z267" s="570" t="n">
        <v>369000</v>
      </c>
      <c r="AA267" s="570" t="n">
        <v>379900</v>
      </c>
      <c r="AB267" s="570" t="n">
        <v>572700</v>
      </c>
      <c r="AC267" s="570" t="n">
        <v>1067700</v>
      </c>
      <c r="AD267" s="570" t="n">
        <v>349200</v>
      </c>
      <c r="AE267" s="570" t="n">
        <v>267400</v>
      </c>
      <c r="AF267" s="570" t="n">
        <v>338400</v>
      </c>
      <c r="AG267" s="570" t="n">
        <v>293000</v>
      </c>
      <c r="AH267" s="570" t="n">
        <v>540800</v>
      </c>
      <c r="AI267" s="570" t="n">
        <v>714900</v>
      </c>
      <c r="AJ267" s="570" t="n">
        <v>1184700</v>
      </c>
      <c r="AK267" s="570" t="n">
        <v>1159400</v>
      </c>
      <c r="AL267" s="570" t="n">
        <v>6561000</v>
      </c>
      <c r="AM267" s="570" t="n">
        <v>3361100</v>
      </c>
      <c r="AN267" s="570" t="n">
        <v>292000</v>
      </c>
      <c r="AO267" s="570" t="n">
        <v>383900</v>
      </c>
      <c r="AP267" s="570" t="n">
        <v>647500</v>
      </c>
      <c r="AQ267" s="570" t="n">
        <v>495600</v>
      </c>
      <c r="AR267" s="570" t="n">
        <v>1331700</v>
      </c>
      <c r="AS267" s="570" t="n">
        <v>1287600</v>
      </c>
      <c r="AT267" s="570" t="n">
        <v>787800</v>
      </c>
      <c r="AU267" s="570" t="n">
        <v>840500</v>
      </c>
      <c r="AV267" s="570" t="n">
        <v>1012500</v>
      </c>
      <c r="AW267" s="570" t="n">
        <v>822800</v>
      </c>
      <c r="AX267" s="570" t="n">
        <v>1364600</v>
      </c>
      <c r="AY267" s="570" t="n">
        <v>627000</v>
      </c>
      <c r="AZ267" s="570" t="n">
        <v>657400</v>
      </c>
      <c r="BA267" s="570" t="n">
        <v>712800</v>
      </c>
      <c r="BB267" s="570" t="n">
        <v>1584800</v>
      </c>
      <c r="BC267" s="570" t="n">
        <v>1326400</v>
      </c>
      <c r="BD267" s="570" t="n">
        <v>1108000</v>
      </c>
      <c r="BE267" s="570" t="n">
        <v>780800</v>
      </c>
      <c r="BF267" s="570" t="n">
        <v>1843900</v>
      </c>
      <c r="BG267" s="570" t="n">
        <v>2061100</v>
      </c>
      <c r="BH267" s="570" t="n">
        <v>3071000</v>
      </c>
      <c r="BI267" s="570" t="n">
        <v>5784000</v>
      </c>
      <c r="BJ267" s="570" t="n">
        <v>12232000</v>
      </c>
      <c r="BK267" s="570" t="n">
        <v>8000900</v>
      </c>
      <c r="BL267" s="570" t="n">
        <v>15359500</v>
      </c>
    </row>
    <row r="268">
      <c r="A268" s="417" t="inlineStr">
        <is>
          <t>7711</t>
        </is>
      </c>
      <c r="B268" s="570">
        <f>銘柄管理!C268</f>
        <v/>
      </c>
      <c r="C268" s="570">
        <f>_xll.RssMarket("7711","出来高")</f>
        <v/>
      </c>
      <c r="D268" s="684">
        <f>C268-E268</f>
        <v/>
      </c>
      <c r="E268" s="570" t="n">
        <v>143700</v>
      </c>
      <c r="F268" s="570" t="n">
        <v>195100</v>
      </c>
      <c r="G268" s="570" t="n">
        <v>180200</v>
      </c>
      <c r="H268" s="570" t="n">
        <v>121900</v>
      </c>
      <c r="I268" s="570" t="n">
        <v>76600</v>
      </c>
      <c r="J268" s="570" t="n">
        <v>74600</v>
      </c>
      <c r="K268" s="570" t="n">
        <v>66200</v>
      </c>
      <c r="L268" s="570" t="n">
        <v>91100</v>
      </c>
      <c r="M268" s="570" t="n">
        <v>90800</v>
      </c>
      <c r="N268" s="570" t="n">
        <v>244500</v>
      </c>
      <c r="O268" s="570" t="n">
        <v>49500</v>
      </c>
      <c r="P268" s="570" t="n">
        <v>64400</v>
      </c>
      <c r="Q268" s="570" t="n">
        <v>75500</v>
      </c>
      <c r="R268" s="570" t="n">
        <v>39500</v>
      </c>
      <c r="S268" s="570" t="n">
        <v>73600</v>
      </c>
      <c r="T268" s="570" t="n">
        <v>161900</v>
      </c>
      <c r="U268" s="570" t="n">
        <v>102400</v>
      </c>
      <c r="V268" s="570" t="n">
        <v>72800</v>
      </c>
      <c r="W268" s="570" t="n">
        <v>45200</v>
      </c>
      <c r="X268" s="570" t="n">
        <v>115000</v>
      </c>
      <c r="Y268" s="570" t="n">
        <v>88300</v>
      </c>
      <c r="Z268" s="570" t="n">
        <v>74800</v>
      </c>
      <c r="AA268" s="570" t="n">
        <v>65800</v>
      </c>
      <c r="AB268" s="570" t="n">
        <v>101300</v>
      </c>
      <c r="AC268" s="570" t="n">
        <v>50200</v>
      </c>
      <c r="AD268" s="570" t="n">
        <v>88400</v>
      </c>
      <c r="AE268" s="570" t="n">
        <v>100800</v>
      </c>
      <c r="AF268" s="570" t="n">
        <v>136800</v>
      </c>
      <c r="AG268" s="570" t="n">
        <v>857800</v>
      </c>
      <c r="AH268" s="570" t="n">
        <v>69800</v>
      </c>
      <c r="AI268" s="570" t="n">
        <v>78100</v>
      </c>
      <c r="AJ268" s="570" t="n">
        <v>59000</v>
      </c>
      <c r="AK268" s="570" t="n">
        <v>101200</v>
      </c>
      <c r="AL268" s="570" t="n">
        <v>103200</v>
      </c>
      <c r="AM268" s="570" t="n">
        <v>263800</v>
      </c>
      <c r="AN268" s="570" t="n">
        <v>142300</v>
      </c>
      <c r="AO268" s="570" t="n">
        <v>134800</v>
      </c>
      <c r="AP268" s="570" t="n">
        <v>81300</v>
      </c>
      <c r="AQ268" s="570" t="n">
        <v>43800</v>
      </c>
      <c r="AR268" s="570" t="n">
        <v>132700</v>
      </c>
      <c r="AS268" s="570" t="n">
        <v>91300</v>
      </c>
      <c r="AT268" s="570" t="n">
        <v>66000</v>
      </c>
      <c r="AU268" s="570" t="n">
        <v>77700</v>
      </c>
      <c r="AV268" s="570" t="n">
        <v>121400</v>
      </c>
      <c r="AW268" s="570" t="n">
        <v>91900</v>
      </c>
      <c r="AX268" s="570" t="n">
        <v>136100</v>
      </c>
      <c r="AY268" s="570" t="n">
        <v>84700</v>
      </c>
      <c r="AZ268" s="570" t="n">
        <v>67700</v>
      </c>
      <c r="BA268" s="570" t="n">
        <v>48800</v>
      </c>
      <c r="BB268" s="570" t="n">
        <v>98100</v>
      </c>
      <c r="BC268" s="570" t="n">
        <v>78900</v>
      </c>
      <c r="BD268" s="570" t="n">
        <v>86400</v>
      </c>
      <c r="BE268" s="570" t="n">
        <v>71300</v>
      </c>
      <c r="BF268" s="570" t="n">
        <v>77500</v>
      </c>
      <c r="BG268" s="570" t="n">
        <v>92100</v>
      </c>
      <c r="BH268" s="570" t="n">
        <v>106600</v>
      </c>
      <c r="BI268" s="570" t="n">
        <v>94400</v>
      </c>
      <c r="BJ268" s="570" t="n">
        <v>173900</v>
      </c>
      <c r="BK268" s="570" t="n">
        <v>128200</v>
      </c>
      <c r="BL268" s="570" t="n">
        <v>128100</v>
      </c>
    </row>
    <row r="269">
      <c r="A269" s="417" t="inlineStr">
        <is>
          <t>6376</t>
        </is>
      </c>
      <c r="B269" s="570">
        <f>銘柄管理!C269</f>
        <v/>
      </c>
      <c r="C269" s="570">
        <f>_xll.RssMarket("6376","出来高")</f>
        <v/>
      </c>
      <c r="D269" s="684">
        <f>C269-E269</f>
        <v/>
      </c>
      <c r="E269" s="570" t="n">
        <v>379600</v>
      </c>
      <c r="F269" s="570" t="n">
        <v>743300</v>
      </c>
      <c r="G269" s="570" t="n">
        <v>549200</v>
      </c>
      <c r="H269" s="570" t="n">
        <v>723000</v>
      </c>
      <c r="I269" s="570" t="n">
        <v>704000</v>
      </c>
      <c r="J269" s="570" t="n">
        <v>670000</v>
      </c>
      <c r="K269" s="570" t="n">
        <v>451200</v>
      </c>
      <c r="L269" s="570" t="n">
        <v>828700</v>
      </c>
      <c r="M269" s="570" t="n">
        <v>682700</v>
      </c>
      <c r="N269" s="570" t="n">
        <v>372400</v>
      </c>
      <c r="O269" s="570" t="n">
        <v>382300</v>
      </c>
      <c r="P269" s="570" t="n">
        <v>524200</v>
      </c>
      <c r="Q269" s="570" t="n">
        <v>386900</v>
      </c>
      <c r="R269" s="570" t="n">
        <v>1444700</v>
      </c>
      <c r="S269" s="570" t="n">
        <v>364400</v>
      </c>
      <c r="T269" s="570" t="n">
        <v>502000</v>
      </c>
      <c r="U269" s="570" t="n">
        <v>851000</v>
      </c>
      <c r="V269" s="570" t="n">
        <v>506700</v>
      </c>
      <c r="W269" s="570" t="n">
        <v>446100</v>
      </c>
      <c r="X269" s="570" t="n">
        <v>407700</v>
      </c>
      <c r="Y269" s="570" t="n">
        <v>514000</v>
      </c>
      <c r="Z269" s="570" t="n">
        <v>1019800</v>
      </c>
      <c r="AA269" s="570" t="n">
        <v>677400</v>
      </c>
      <c r="AB269" s="570" t="n">
        <v>275500</v>
      </c>
      <c r="AC269" s="570" t="n">
        <v>178300</v>
      </c>
      <c r="AD269" s="570" t="n">
        <v>253200</v>
      </c>
      <c r="AE269" s="570" t="n">
        <v>232700</v>
      </c>
      <c r="AF269" s="570" t="n">
        <v>289900</v>
      </c>
      <c r="AG269" s="570" t="n">
        <v>344100</v>
      </c>
      <c r="AH269" s="570" t="n">
        <v>216900</v>
      </c>
      <c r="AI269" s="570" t="n">
        <v>226300</v>
      </c>
      <c r="AJ269" s="570" t="n">
        <v>307700</v>
      </c>
      <c r="AK269" s="570" t="n">
        <v>456600</v>
      </c>
      <c r="AL269" s="570" t="n">
        <v>508300</v>
      </c>
      <c r="AM269" s="570" t="n">
        <v>233000</v>
      </c>
      <c r="AN269" s="570" t="n">
        <v>562100</v>
      </c>
      <c r="AO269" s="570" t="n">
        <v>299500</v>
      </c>
      <c r="AP269" s="570" t="n">
        <v>193900</v>
      </c>
      <c r="AQ269" s="570" t="n">
        <v>282800</v>
      </c>
      <c r="AR269" s="570" t="n">
        <v>289500</v>
      </c>
      <c r="AS269" s="570" t="n">
        <v>252500</v>
      </c>
      <c r="AT269" s="570" t="n">
        <v>296800</v>
      </c>
      <c r="AU269" s="570" t="n">
        <v>221600</v>
      </c>
      <c r="AV269" s="570" t="n">
        <v>325100</v>
      </c>
      <c r="AW269" s="570" t="n">
        <v>229600</v>
      </c>
      <c r="AX269" s="570" t="n">
        <v>332000</v>
      </c>
      <c r="AY269" s="570" t="n">
        <v>237500</v>
      </c>
      <c r="AZ269" s="570" t="n">
        <v>309100</v>
      </c>
      <c r="BA269" s="570" t="n">
        <v>230600</v>
      </c>
      <c r="BB269" s="570" t="n">
        <v>389600</v>
      </c>
      <c r="BC269" s="570" t="n">
        <v>503000</v>
      </c>
      <c r="BD269" s="570" t="n">
        <v>627500</v>
      </c>
      <c r="BE269" s="570" t="n">
        <v>732200</v>
      </c>
      <c r="BF269" s="570" t="n">
        <v>651400</v>
      </c>
      <c r="BG269" s="570" t="n">
        <v>206100</v>
      </c>
      <c r="BH269" s="570" t="n">
        <v>199900</v>
      </c>
      <c r="BI269" s="570" t="n">
        <v>277600</v>
      </c>
      <c r="BJ269" s="570" t="n">
        <v>299200</v>
      </c>
      <c r="BK269" s="570" t="n">
        <v>227400</v>
      </c>
      <c r="BL269" s="570" t="n">
        <v>255400</v>
      </c>
    </row>
    <row r="270">
      <c r="A270" s="417" t="inlineStr">
        <is>
          <t>9115</t>
        </is>
      </c>
      <c r="B270" s="570">
        <f>銘柄管理!C270</f>
        <v/>
      </c>
      <c r="C270" s="570">
        <f>_xll.RssMarket("9115","出来高")</f>
        <v/>
      </c>
      <c r="D270" s="684">
        <f>C270-E270</f>
        <v/>
      </c>
      <c r="E270" s="570" t="n">
        <v>36900</v>
      </c>
      <c r="F270" s="570" t="n">
        <v>32800</v>
      </c>
      <c r="G270" s="570" t="n">
        <v>47000</v>
      </c>
      <c r="H270" s="570" t="n">
        <v>49000</v>
      </c>
      <c r="I270" s="570" t="n">
        <v>35400</v>
      </c>
      <c r="J270" s="570" t="n">
        <v>55800</v>
      </c>
      <c r="K270" s="570" t="n">
        <v>37600</v>
      </c>
      <c r="L270" s="570" t="n">
        <v>31000</v>
      </c>
      <c r="M270" s="570" t="n">
        <v>30100</v>
      </c>
      <c r="N270" s="570" t="n">
        <v>39400</v>
      </c>
      <c r="O270" s="570" t="n">
        <v>76800</v>
      </c>
      <c r="P270" s="570" t="n">
        <v>33100</v>
      </c>
      <c r="Q270" s="570" t="n">
        <v>40300</v>
      </c>
      <c r="R270" s="570" t="n">
        <v>20700</v>
      </c>
      <c r="S270" s="570" t="n">
        <v>31100</v>
      </c>
      <c r="T270" s="570" t="n">
        <v>11000</v>
      </c>
      <c r="U270" s="570" t="n">
        <v>29300</v>
      </c>
      <c r="V270" s="570" t="n">
        <v>25900</v>
      </c>
      <c r="W270" s="570" t="n">
        <v>18100</v>
      </c>
      <c r="X270" s="570" t="n">
        <v>20900</v>
      </c>
      <c r="Y270" s="570" t="n">
        <v>81000</v>
      </c>
      <c r="Z270" s="570" t="n">
        <v>14100</v>
      </c>
      <c r="AA270" s="570" t="n">
        <v>45500</v>
      </c>
      <c r="AB270" s="570" t="n">
        <v>38400</v>
      </c>
      <c r="AC270" s="570" t="n">
        <v>39000</v>
      </c>
      <c r="AD270" s="570" t="n">
        <v>20600</v>
      </c>
      <c r="AE270" s="570" t="n">
        <v>33100</v>
      </c>
      <c r="AF270" s="570" t="n">
        <v>61100</v>
      </c>
      <c r="AG270" s="570" t="n">
        <v>111800</v>
      </c>
      <c r="AH270" s="570" t="n">
        <v>93600</v>
      </c>
      <c r="AI270" s="570" t="n">
        <v>55300</v>
      </c>
      <c r="AJ270" s="570" t="n">
        <v>159900</v>
      </c>
      <c r="AK270" s="570" t="n">
        <v>70100</v>
      </c>
      <c r="AL270" s="570" t="n">
        <v>120900</v>
      </c>
      <c r="AM270" s="570" t="n">
        <v>72700</v>
      </c>
      <c r="AN270" s="570" t="n">
        <v>56800</v>
      </c>
      <c r="AO270" s="570" t="n">
        <v>73300</v>
      </c>
      <c r="AP270" s="570" t="n">
        <v>130700</v>
      </c>
      <c r="AQ270" s="570" t="n">
        <v>66700</v>
      </c>
      <c r="AR270" s="570" t="n">
        <v>82800</v>
      </c>
      <c r="AS270" s="570" t="n">
        <v>187400</v>
      </c>
      <c r="AT270" s="570" t="n">
        <v>238800</v>
      </c>
      <c r="AU270" s="570" t="n">
        <v>359400</v>
      </c>
      <c r="AV270" s="570" t="n">
        <v>320300</v>
      </c>
      <c r="AW270" s="570" t="n">
        <v>430800</v>
      </c>
      <c r="AX270" s="570" t="n">
        <v>211600</v>
      </c>
      <c r="AY270" s="570" t="n">
        <v>256900</v>
      </c>
      <c r="AZ270" s="570" t="n">
        <v>758900</v>
      </c>
      <c r="BA270" s="570" t="n">
        <v>305700</v>
      </c>
      <c r="BB270" s="570" t="n">
        <v>881600</v>
      </c>
      <c r="BC270" s="570" t="n">
        <v>406100</v>
      </c>
      <c r="BD270" s="570" t="n">
        <v>402300</v>
      </c>
      <c r="BE270" s="570" t="n">
        <v>941800</v>
      </c>
      <c r="BF270" s="570" t="n">
        <v>581600</v>
      </c>
      <c r="BG270" s="570" t="n">
        <v>1035600</v>
      </c>
      <c r="BH270" s="570" t="n">
        <v>2133100</v>
      </c>
      <c r="BI270" s="570" t="n">
        <v>2913600</v>
      </c>
      <c r="BJ270" s="570" t="n">
        <v>3550900</v>
      </c>
      <c r="BK270" s="570" t="n">
        <v>3660200</v>
      </c>
      <c r="BL270" s="570" t="n">
        <v>1329300</v>
      </c>
    </row>
    <row r="271">
      <c r="A271" s="417" t="inlineStr">
        <is>
          <t>3864</t>
        </is>
      </c>
      <c r="B271" s="570">
        <f>銘柄管理!C271</f>
        <v/>
      </c>
      <c r="C271" s="570">
        <f>_xll.RssMarket("3864","出来高")</f>
        <v/>
      </c>
      <c r="D271" s="684">
        <f>C271-E271</f>
        <v/>
      </c>
      <c r="E271" s="570" t="n">
        <v>118100</v>
      </c>
      <c r="F271" s="570" t="n">
        <v>152400</v>
      </c>
      <c r="G271" s="570" t="n">
        <v>253100</v>
      </c>
      <c r="H271" s="570" t="n">
        <v>126500</v>
      </c>
      <c r="I271" s="570" t="n">
        <v>150500</v>
      </c>
      <c r="J271" s="570" t="n">
        <v>129500</v>
      </c>
      <c r="K271" s="570" t="n">
        <v>187800</v>
      </c>
      <c r="L271" s="570" t="n">
        <v>186900</v>
      </c>
      <c r="M271" s="570" t="n">
        <v>239900</v>
      </c>
      <c r="N271" s="570" t="n">
        <v>103000</v>
      </c>
      <c r="O271" s="570" t="n">
        <v>194100</v>
      </c>
      <c r="P271" s="570" t="n">
        <v>197600</v>
      </c>
      <c r="Q271" s="570" t="n">
        <v>181600</v>
      </c>
      <c r="R271" s="570" t="n">
        <v>177600</v>
      </c>
      <c r="S271" s="570" t="n">
        <v>203300</v>
      </c>
      <c r="T271" s="570" t="n">
        <v>344200</v>
      </c>
      <c r="U271" s="570" t="n">
        <v>402800</v>
      </c>
      <c r="V271" s="570" t="n">
        <v>418100</v>
      </c>
      <c r="W271" s="570" t="n">
        <v>288500</v>
      </c>
      <c r="X271" s="570" t="n">
        <v>165700</v>
      </c>
      <c r="Y271" s="570" t="n">
        <v>365800</v>
      </c>
      <c r="Z271" s="570" t="n">
        <v>368900</v>
      </c>
      <c r="AA271" s="570" t="n">
        <v>730100</v>
      </c>
      <c r="AB271" s="570" t="n">
        <v>252700</v>
      </c>
      <c r="AC271" s="570" t="n">
        <v>118200</v>
      </c>
      <c r="AD271" s="570" t="n">
        <v>216000</v>
      </c>
      <c r="AE271" s="570" t="n">
        <v>161300</v>
      </c>
      <c r="AF271" s="570" t="n">
        <v>271600</v>
      </c>
      <c r="AG271" s="570" t="n">
        <v>208900</v>
      </c>
      <c r="AH271" s="570" t="n">
        <v>168200</v>
      </c>
      <c r="AI271" s="570" t="n">
        <v>205800</v>
      </c>
      <c r="AJ271" s="570" t="n">
        <v>221000</v>
      </c>
      <c r="AK271" s="570" t="n">
        <v>656700</v>
      </c>
      <c r="AL271" s="570" t="n">
        <v>260300</v>
      </c>
      <c r="AM271" s="570" t="n">
        <v>223600</v>
      </c>
      <c r="AN271" s="570" t="n">
        <v>245600</v>
      </c>
      <c r="AO271" s="570" t="n">
        <v>282800</v>
      </c>
      <c r="AP271" s="570" t="n">
        <v>378400</v>
      </c>
      <c r="AQ271" s="570" t="n">
        <v>351200</v>
      </c>
      <c r="AR271" s="570" t="n">
        <v>385600</v>
      </c>
      <c r="AS271" s="570" t="n">
        <v>283600</v>
      </c>
      <c r="AT271" s="570" t="n">
        <v>124000</v>
      </c>
      <c r="AU271" s="570" t="n">
        <v>287100</v>
      </c>
      <c r="AV271" s="570" t="n">
        <v>185600</v>
      </c>
      <c r="AW271" s="570" t="n">
        <v>244300</v>
      </c>
      <c r="AX271" s="570" t="n">
        <v>201400</v>
      </c>
      <c r="AY271" s="570" t="n">
        <v>166300</v>
      </c>
      <c r="AZ271" s="570" t="n">
        <v>120300</v>
      </c>
      <c r="BA271" s="570" t="n">
        <v>149800</v>
      </c>
      <c r="BB271" s="570" t="n">
        <v>232600</v>
      </c>
      <c r="BC271" s="570" t="n">
        <v>149600</v>
      </c>
      <c r="BD271" s="570" t="n">
        <v>151400</v>
      </c>
      <c r="BE271" s="570" t="n">
        <v>270300</v>
      </c>
      <c r="BF271" s="570" t="n">
        <v>286100</v>
      </c>
      <c r="BG271" s="570" t="n">
        <v>186400</v>
      </c>
      <c r="BH271" s="570" t="n">
        <v>240800</v>
      </c>
      <c r="BI271" s="570" t="n">
        <v>145000</v>
      </c>
      <c r="BJ271" s="570" t="n">
        <v>397200</v>
      </c>
      <c r="BK271" s="570" t="n">
        <v>321300</v>
      </c>
      <c r="BL271" s="570" t="n">
        <v>124900</v>
      </c>
    </row>
    <row r="272">
      <c r="A272" s="417" t="inlineStr">
        <is>
          <t>6997</t>
        </is>
      </c>
      <c r="B272" s="570">
        <f>銘柄管理!C272</f>
        <v/>
      </c>
      <c r="C272" s="570">
        <f>_xll.RssMarket("6997","出来高")</f>
        <v/>
      </c>
      <c r="D272" s="684">
        <f>C272-E272</f>
        <v/>
      </c>
      <c r="E272" s="570" t="n">
        <v>1595400</v>
      </c>
      <c r="F272" s="570" t="n">
        <v>1553000</v>
      </c>
      <c r="G272" s="570" t="n">
        <v>2435500</v>
      </c>
      <c r="H272" s="570" t="n">
        <v>1138700</v>
      </c>
      <c r="I272" s="570" t="n">
        <v>1247100</v>
      </c>
      <c r="J272" s="570" t="n">
        <v>1795700</v>
      </c>
      <c r="K272" s="570" t="n">
        <v>1649100</v>
      </c>
      <c r="L272" s="570" t="n">
        <v>1359000</v>
      </c>
      <c r="M272" s="570" t="n">
        <v>1804100</v>
      </c>
      <c r="N272" s="570" t="n">
        <v>1442800</v>
      </c>
      <c r="O272" s="570" t="n">
        <v>1291200</v>
      </c>
      <c r="P272" s="570" t="n">
        <v>2333100</v>
      </c>
      <c r="Q272" s="570" t="n">
        <v>3239900</v>
      </c>
      <c r="R272" s="570" t="n">
        <v>2453900</v>
      </c>
      <c r="S272" s="570" t="n">
        <v>2223900</v>
      </c>
      <c r="T272" s="570" t="n">
        <v>1714800</v>
      </c>
      <c r="U272" s="570" t="n">
        <v>1168700</v>
      </c>
      <c r="V272" s="570" t="n">
        <v>2192100</v>
      </c>
      <c r="W272" s="570" t="n">
        <v>841800</v>
      </c>
      <c r="X272" s="570" t="n">
        <v>717100</v>
      </c>
      <c r="Y272" s="570" t="n">
        <v>1164000</v>
      </c>
      <c r="Z272" s="570" t="n">
        <v>1004100</v>
      </c>
      <c r="AA272" s="570" t="n">
        <v>1608000</v>
      </c>
      <c r="AB272" s="570" t="n">
        <v>1043000</v>
      </c>
      <c r="AC272" s="570" t="n">
        <v>548800</v>
      </c>
      <c r="AD272" s="570" t="n">
        <v>540600</v>
      </c>
      <c r="AE272" s="570" t="n">
        <v>970400</v>
      </c>
      <c r="AF272" s="570" t="n">
        <v>1252600</v>
      </c>
      <c r="AG272" s="570" t="n">
        <v>1097100</v>
      </c>
      <c r="AH272" s="570" t="n">
        <v>619700</v>
      </c>
      <c r="AI272" s="570" t="n">
        <v>1261600</v>
      </c>
      <c r="AJ272" s="570" t="n">
        <v>724800</v>
      </c>
      <c r="AK272" s="570" t="n">
        <v>996100</v>
      </c>
      <c r="AL272" s="570" t="n">
        <v>971400</v>
      </c>
      <c r="AM272" s="570" t="n">
        <v>1177100</v>
      </c>
      <c r="AN272" s="570" t="n">
        <v>754500</v>
      </c>
      <c r="AO272" s="570" t="n">
        <v>1045000</v>
      </c>
      <c r="AP272" s="570" t="n">
        <v>1301900</v>
      </c>
      <c r="AQ272" s="570" t="n">
        <v>1257900</v>
      </c>
      <c r="AR272" s="570" t="n">
        <v>1142300</v>
      </c>
      <c r="AS272" s="570" t="n">
        <v>947900</v>
      </c>
      <c r="AT272" s="570" t="n">
        <v>896900</v>
      </c>
      <c r="AU272" s="570" t="n">
        <v>498100</v>
      </c>
      <c r="AV272" s="570" t="n">
        <v>447100</v>
      </c>
      <c r="AW272" s="570" t="n">
        <v>373700</v>
      </c>
      <c r="AX272" s="570" t="n">
        <v>572200</v>
      </c>
      <c r="AY272" s="570" t="n">
        <v>199000</v>
      </c>
      <c r="AZ272" s="570" t="n">
        <v>200200</v>
      </c>
      <c r="BA272" s="570" t="n">
        <v>190300</v>
      </c>
      <c r="BB272" s="570" t="n">
        <v>345600</v>
      </c>
      <c r="BC272" s="570" t="n">
        <v>346500</v>
      </c>
      <c r="BD272" s="570" t="n">
        <v>399500</v>
      </c>
      <c r="BE272" s="570" t="n">
        <v>1029700</v>
      </c>
      <c r="BF272" s="570" t="n">
        <v>201700</v>
      </c>
      <c r="BG272" s="570" t="n">
        <v>160500</v>
      </c>
      <c r="BH272" s="570" t="n">
        <v>194300</v>
      </c>
      <c r="BI272" s="570" t="n">
        <v>289500</v>
      </c>
      <c r="BJ272" s="570" t="n">
        <v>454600</v>
      </c>
      <c r="BK272" s="570" t="n">
        <v>360500</v>
      </c>
      <c r="BL272" s="570" t="n">
        <v>258900</v>
      </c>
    </row>
    <row r="273">
      <c r="A273" s="417" t="inlineStr">
        <is>
          <t>4544</t>
        </is>
      </c>
      <c r="B273" s="570">
        <f>銘柄管理!C273</f>
        <v/>
      </c>
      <c r="C273" s="570">
        <f>_xll.RssMarket("4544","出来高")</f>
        <v/>
      </c>
      <c r="D273" s="684">
        <f>C273-E273</f>
        <v/>
      </c>
      <c r="E273" s="570" t="n">
        <v>191900</v>
      </c>
      <c r="F273" s="570" t="n">
        <v>195800</v>
      </c>
      <c r="G273" s="570" t="n">
        <v>388800</v>
      </c>
      <c r="H273" s="570" t="n">
        <v>302800</v>
      </c>
      <c r="I273" s="570" t="n">
        <v>210200</v>
      </c>
      <c r="J273" s="570" t="n">
        <v>347900</v>
      </c>
      <c r="K273" s="570" t="n">
        <v>221700</v>
      </c>
      <c r="L273" s="570" t="n">
        <v>353100</v>
      </c>
      <c r="M273" s="570" t="n">
        <v>223600</v>
      </c>
      <c r="N273" s="570" t="n">
        <v>240700</v>
      </c>
      <c r="O273" s="570" t="n">
        <v>288600</v>
      </c>
      <c r="P273" s="570" t="n">
        <v>469100</v>
      </c>
      <c r="Q273" s="570" t="n">
        <v>278300</v>
      </c>
      <c r="R273" s="570" t="n">
        <v>403800</v>
      </c>
      <c r="S273" s="570" t="n">
        <v>262300</v>
      </c>
      <c r="T273" s="570" t="n">
        <v>245800</v>
      </c>
      <c r="U273" s="570" t="n">
        <v>204300</v>
      </c>
      <c r="V273" s="570" t="n">
        <v>185000</v>
      </c>
      <c r="W273" s="570" t="n">
        <v>332000</v>
      </c>
      <c r="X273" s="570" t="n">
        <v>258400</v>
      </c>
      <c r="Y273" s="570" t="n">
        <v>307700</v>
      </c>
      <c r="Z273" s="570" t="n">
        <v>308600</v>
      </c>
      <c r="AA273" s="570" t="n">
        <v>412500</v>
      </c>
      <c r="AB273" s="570" t="n">
        <v>421800</v>
      </c>
      <c r="AC273" s="570" t="n">
        <v>276200</v>
      </c>
      <c r="AD273" s="570" t="n">
        <v>188900</v>
      </c>
      <c r="AE273" s="570" t="n">
        <v>194600</v>
      </c>
      <c r="AF273" s="570" t="n">
        <v>263300</v>
      </c>
      <c r="AG273" s="570" t="n">
        <v>259300</v>
      </c>
      <c r="AH273" s="570" t="n">
        <v>121500</v>
      </c>
      <c r="AI273" s="570" t="n">
        <v>246900</v>
      </c>
      <c r="AJ273" s="570" t="n">
        <v>446500</v>
      </c>
      <c r="AK273" s="570" t="n">
        <v>363500</v>
      </c>
      <c r="AL273" s="570" t="n">
        <v>305500</v>
      </c>
      <c r="AM273" s="570" t="n">
        <v>309200</v>
      </c>
      <c r="AN273" s="570" t="n">
        <v>347900</v>
      </c>
      <c r="AO273" s="570" t="n">
        <v>210200</v>
      </c>
      <c r="AP273" s="570" t="n">
        <v>97500</v>
      </c>
      <c r="AQ273" s="570" t="n">
        <v>170100</v>
      </c>
      <c r="AR273" s="570" t="n">
        <v>164200</v>
      </c>
      <c r="AS273" s="570" t="n">
        <v>190100</v>
      </c>
      <c r="AT273" s="570" t="n">
        <v>212900</v>
      </c>
      <c r="AU273" s="570" t="n">
        <v>211600</v>
      </c>
      <c r="AV273" s="570" t="n">
        <v>204100</v>
      </c>
      <c r="AW273" s="570" t="n">
        <v>183000</v>
      </c>
      <c r="AX273" s="570" t="n">
        <v>217900</v>
      </c>
      <c r="AY273" s="570" t="n">
        <v>134200</v>
      </c>
      <c r="AZ273" s="570" t="n">
        <v>150800</v>
      </c>
      <c r="BA273" s="570" t="n">
        <v>143300</v>
      </c>
      <c r="BB273" s="570" t="n">
        <v>127800</v>
      </c>
      <c r="BC273" s="570" t="n">
        <v>190500</v>
      </c>
      <c r="BD273" s="570" t="n">
        <v>220000</v>
      </c>
      <c r="BE273" s="570" t="n">
        <v>313900</v>
      </c>
      <c r="BF273" s="570" t="n">
        <v>454200</v>
      </c>
      <c r="BG273" s="570" t="n">
        <v>380800</v>
      </c>
      <c r="BH273" s="570" t="n">
        <v>262300</v>
      </c>
      <c r="BI273" s="570" t="n">
        <v>270000</v>
      </c>
      <c r="BJ273" s="570" t="n">
        <v>436300</v>
      </c>
      <c r="BK273" s="570" t="n">
        <v>282400</v>
      </c>
      <c r="BL273" s="570" t="n">
        <v>126200</v>
      </c>
    </row>
    <row r="274">
      <c r="A274" s="417" t="inlineStr">
        <is>
          <t>6848</t>
        </is>
      </c>
      <c r="B274" s="570">
        <f>銘柄管理!C274</f>
        <v/>
      </c>
      <c r="C274" s="570">
        <f>_xll.RssMarket("6848","出来高")</f>
        <v/>
      </c>
      <c r="D274" s="684">
        <f>C274-E274</f>
        <v/>
      </c>
      <c r="E274" s="570" t="n">
        <v>12500</v>
      </c>
      <c r="F274" s="570" t="n">
        <v>3200</v>
      </c>
      <c r="G274" s="570" t="n">
        <v>6000</v>
      </c>
      <c r="H274" s="570" t="n">
        <v>3800</v>
      </c>
      <c r="I274" s="570" t="n">
        <v>2700</v>
      </c>
      <c r="J274" s="570" t="n">
        <v>4800</v>
      </c>
      <c r="K274" s="570" t="n">
        <v>5500</v>
      </c>
      <c r="L274" s="570" t="n">
        <v>11400</v>
      </c>
      <c r="M274" s="570" t="n">
        <v>3500</v>
      </c>
      <c r="N274" s="570" t="n">
        <v>2800</v>
      </c>
      <c r="O274" s="570" t="n">
        <v>5800</v>
      </c>
      <c r="P274" s="570" t="n">
        <v>5600</v>
      </c>
      <c r="Q274" s="570" t="n">
        <v>3800</v>
      </c>
      <c r="R274" s="570" t="n">
        <v>2600</v>
      </c>
      <c r="S274" s="570" t="n">
        <v>2500</v>
      </c>
      <c r="T274" s="570" t="n">
        <v>2900</v>
      </c>
      <c r="U274" s="570" t="n">
        <v>6100</v>
      </c>
      <c r="V274" s="570" t="n">
        <v>5500</v>
      </c>
      <c r="W274" s="570" t="n">
        <v>4900</v>
      </c>
      <c r="X274" s="570" t="n">
        <v>11400</v>
      </c>
      <c r="Y274" s="570" t="n">
        <v>800</v>
      </c>
      <c r="Z274" s="570" t="n">
        <v>6600</v>
      </c>
      <c r="AA274" s="570" t="n">
        <v>7100</v>
      </c>
      <c r="AB274" s="570" t="n">
        <v>3600</v>
      </c>
      <c r="AC274" s="570" t="n">
        <v>1700</v>
      </c>
      <c r="AD274" s="570" t="n">
        <v>4100</v>
      </c>
      <c r="AE274" s="570" t="n">
        <v>4300</v>
      </c>
      <c r="AF274" s="570" t="n">
        <v>2100</v>
      </c>
      <c r="AG274" s="570" t="n">
        <v>3300</v>
      </c>
      <c r="AH274" s="570" t="n">
        <v>3100</v>
      </c>
      <c r="AI274" s="570" t="n">
        <v>3000</v>
      </c>
      <c r="AJ274" s="570" t="n">
        <v>1500</v>
      </c>
      <c r="AK274" s="570" t="n">
        <v>3000</v>
      </c>
      <c r="AL274" s="570" t="n">
        <v>6200</v>
      </c>
      <c r="AM274" s="570" t="n">
        <v>4300</v>
      </c>
      <c r="AN274" s="570" t="n">
        <v>2200</v>
      </c>
      <c r="AO274" s="570" t="n">
        <v>1700</v>
      </c>
      <c r="AP274" s="570" t="n">
        <v>4200</v>
      </c>
      <c r="AQ274" s="570" t="n">
        <v>1500</v>
      </c>
      <c r="AR274" s="570" t="n">
        <v>5200</v>
      </c>
      <c r="AS274" s="570" t="n">
        <v>2600</v>
      </c>
      <c r="AT274" s="570" t="n">
        <v>1500</v>
      </c>
      <c r="AU274" s="570" t="n">
        <v>1200</v>
      </c>
      <c r="AV274" s="570" t="n">
        <v>3900</v>
      </c>
      <c r="AW274" s="570" t="n">
        <v>1500</v>
      </c>
      <c r="AX274" s="570" t="n">
        <v>3900</v>
      </c>
      <c r="AY274" s="570" t="n">
        <v>1900</v>
      </c>
      <c r="AZ274" s="570" t="n">
        <v>6400</v>
      </c>
      <c r="BA274" s="570" t="n">
        <v>1700</v>
      </c>
      <c r="BB274" s="570" t="n">
        <v>2600</v>
      </c>
      <c r="BC274" s="570" t="n">
        <v>4500</v>
      </c>
      <c r="BD274" s="570" t="n">
        <v>2000</v>
      </c>
      <c r="BE274" s="570" t="n">
        <v>6900</v>
      </c>
      <c r="BF274" s="570" t="n">
        <v>1600</v>
      </c>
      <c r="BG274" s="570" t="n">
        <v>2300</v>
      </c>
      <c r="BH274" s="570" t="n">
        <v>3800</v>
      </c>
      <c r="BI274" s="570" t="n">
        <v>4400</v>
      </c>
      <c r="BJ274" s="570" t="n">
        <v>9900</v>
      </c>
      <c r="BK274" s="570" t="n">
        <v>5100</v>
      </c>
      <c r="BL274" s="570" t="n">
        <v>5100</v>
      </c>
    </row>
    <row r="275">
      <c r="A275" s="417" t="inlineStr">
        <is>
          <t>5702</t>
        </is>
      </c>
      <c r="B275" s="570">
        <f>銘柄管理!C275</f>
        <v/>
      </c>
      <c r="C275" s="570">
        <f>_xll.RssMarket("5702","出来高")</f>
        <v/>
      </c>
      <c r="D275" s="684">
        <f>C275-E275</f>
        <v/>
      </c>
      <c r="E275" s="570" t="n">
        <v>200000</v>
      </c>
      <c r="F275" s="570" t="n">
        <v>302800</v>
      </c>
      <c r="G275" s="570" t="n">
        <v>187000</v>
      </c>
      <c r="H275" s="570" t="n">
        <v>308800</v>
      </c>
      <c r="I275" s="570" t="n">
        <v>341400</v>
      </c>
      <c r="J275" s="570" t="n">
        <v>220700</v>
      </c>
      <c r="K275" s="570" t="n">
        <v>210500</v>
      </c>
      <c r="L275" s="570" t="n">
        <v>290500</v>
      </c>
      <c r="M275" s="570" t="n">
        <v>337200</v>
      </c>
      <c r="N275" s="570" t="n">
        <v>242300</v>
      </c>
      <c r="O275" s="570" t="n">
        <v>234100</v>
      </c>
      <c r="P275" s="570" t="n">
        <v>304900</v>
      </c>
      <c r="Q275" s="570" t="n">
        <v>279200</v>
      </c>
      <c r="R275" s="570" t="n">
        <v>262200</v>
      </c>
      <c r="S275" s="570" t="n">
        <v>285000</v>
      </c>
      <c r="T275" s="570" t="n">
        <v>347600</v>
      </c>
      <c r="U275" s="570" t="n">
        <v>295400</v>
      </c>
      <c r="V275" s="570" t="n">
        <v>380200</v>
      </c>
      <c r="W275" s="570" t="n">
        <v>320500</v>
      </c>
      <c r="X275" s="570" t="n">
        <v>281300</v>
      </c>
      <c r="Y275" s="570" t="n">
        <v>384800</v>
      </c>
      <c r="Z275" s="570" t="n">
        <v>410800</v>
      </c>
      <c r="AA275" s="570" t="n">
        <v>611800</v>
      </c>
      <c r="AB275" s="570" t="n">
        <v>1315400</v>
      </c>
      <c r="AC275" s="570" t="n">
        <v>208000</v>
      </c>
      <c r="AD275" s="570" t="n">
        <v>253300</v>
      </c>
      <c r="AE275" s="570" t="n">
        <v>209400</v>
      </c>
      <c r="AF275" s="570" t="n">
        <v>396600</v>
      </c>
      <c r="AG275" s="570" t="n">
        <v>264500</v>
      </c>
      <c r="AH275" s="570" t="n">
        <v>250700</v>
      </c>
      <c r="AI275" s="570" t="n">
        <v>350600</v>
      </c>
      <c r="AJ275" s="570" t="n">
        <v>210600</v>
      </c>
      <c r="AK275" s="570" t="n">
        <v>161500</v>
      </c>
      <c r="AL275" s="570" t="n">
        <v>164300</v>
      </c>
      <c r="AM275" s="570" t="n">
        <v>200200</v>
      </c>
      <c r="AN275" s="570" t="n">
        <v>179400</v>
      </c>
      <c r="AO275" s="570" t="n">
        <v>220300</v>
      </c>
      <c r="AP275" s="570" t="n">
        <v>152300</v>
      </c>
      <c r="AQ275" s="570" t="n">
        <v>138500</v>
      </c>
      <c r="AR275" s="570" t="n">
        <v>165800</v>
      </c>
      <c r="AS275" s="570" t="n">
        <v>238100</v>
      </c>
      <c r="AT275" s="570" t="n">
        <v>435900</v>
      </c>
      <c r="AU275" s="570" t="n">
        <v>204600</v>
      </c>
      <c r="AV275" s="570" t="n">
        <v>230700</v>
      </c>
      <c r="AW275" s="570" t="n">
        <v>204600</v>
      </c>
      <c r="AX275" s="570" t="n">
        <v>399600</v>
      </c>
      <c r="AY275" s="570" t="n">
        <v>203800</v>
      </c>
      <c r="AZ275" s="570" t="n">
        <v>271100</v>
      </c>
      <c r="BA275" s="570" t="n">
        <v>177500</v>
      </c>
      <c r="BB275" s="570" t="n">
        <v>343200</v>
      </c>
      <c r="BC275" s="570" t="n">
        <v>490800</v>
      </c>
      <c r="BD275" s="570" t="n">
        <v>1328500</v>
      </c>
      <c r="BE275" s="570" t="n">
        <v>711500</v>
      </c>
      <c r="BF275" s="570" t="n">
        <v>237000</v>
      </c>
      <c r="BG275" s="570" t="n">
        <v>129200</v>
      </c>
      <c r="BH275" s="570" t="n">
        <v>142800</v>
      </c>
      <c r="BI275" s="570" t="n">
        <v>151500</v>
      </c>
      <c r="BJ275" s="570" t="n">
        <v>258800</v>
      </c>
      <c r="BK275" s="570" t="n">
        <v>156800</v>
      </c>
      <c r="BL275" s="570" t="n">
        <v>130600</v>
      </c>
    </row>
    <row r="276">
      <c r="A276" s="417" t="inlineStr">
        <is>
          <t>7952</t>
        </is>
      </c>
      <c r="B276" s="570">
        <f>銘柄管理!C276</f>
        <v/>
      </c>
      <c r="C276" s="570">
        <f>_xll.RssMarket("7952","出来高")</f>
        <v/>
      </c>
      <c r="D276" s="684">
        <f>C276-E276</f>
        <v/>
      </c>
      <c r="E276" s="570" t="n">
        <v>10200</v>
      </c>
      <c r="F276" s="570" t="n">
        <v>54600</v>
      </c>
      <c r="G276" s="570" t="n">
        <v>27800</v>
      </c>
      <c r="H276" s="570" t="n">
        <v>38900</v>
      </c>
      <c r="I276" s="570" t="n">
        <v>22600</v>
      </c>
      <c r="J276" s="570" t="n">
        <v>13500</v>
      </c>
      <c r="K276" s="570" t="n">
        <v>32600</v>
      </c>
      <c r="L276" s="570" t="n">
        <v>21000</v>
      </c>
      <c r="M276" s="570" t="n">
        <v>60000</v>
      </c>
      <c r="N276" s="570" t="n">
        <v>14700</v>
      </c>
      <c r="O276" s="570" t="n">
        <v>29700</v>
      </c>
      <c r="P276" s="570" t="n">
        <v>10600</v>
      </c>
      <c r="Q276" s="570" t="n">
        <v>29400</v>
      </c>
      <c r="R276" s="570" t="n">
        <v>27800</v>
      </c>
      <c r="S276" s="570" t="n">
        <v>44500</v>
      </c>
      <c r="T276" s="570" t="n">
        <v>13500</v>
      </c>
      <c r="U276" s="570" t="n">
        <v>17600</v>
      </c>
      <c r="V276" s="570" t="n">
        <v>8700</v>
      </c>
      <c r="W276" s="570" t="n">
        <v>17900</v>
      </c>
      <c r="X276" s="570" t="n">
        <v>39500</v>
      </c>
      <c r="Y276" s="570" t="n">
        <v>19800</v>
      </c>
      <c r="Z276" s="570" t="n">
        <v>31000</v>
      </c>
      <c r="AA276" s="570" t="n">
        <v>77300</v>
      </c>
      <c r="AB276" s="570" t="n">
        <v>22500</v>
      </c>
      <c r="AC276" s="570" t="n">
        <v>27900</v>
      </c>
      <c r="AD276" s="570" t="n">
        <v>42500</v>
      </c>
      <c r="AE276" s="570" t="n">
        <v>30700</v>
      </c>
      <c r="AF276" s="570" t="n">
        <v>28300</v>
      </c>
      <c r="AG276" s="570" t="n">
        <v>9700</v>
      </c>
      <c r="AH276" s="570" t="n">
        <v>19300</v>
      </c>
      <c r="AI276" s="570" t="n">
        <v>19400</v>
      </c>
      <c r="AJ276" s="570" t="n">
        <v>7300</v>
      </c>
      <c r="AK276" s="570" t="n">
        <v>14200</v>
      </c>
      <c r="AL276" s="570" t="n">
        <v>18000</v>
      </c>
      <c r="AM276" s="570" t="n">
        <v>19900</v>
      </c>
      <c r="AN276" s="570" t="n">
        <v>15300</v>
      </c>
      <c r="AO276" s="570" t="n">
        <v>6800</v>
      </c>
      <c r="AP276" s="570" t="n">
        <v>6500</v>
      </c>
      <c r="AQ276" s="570" t="n">
        <v>17600</v>
      </c>
      <c r="AR276" s="570" t="n">
        <v>42700</v>
      </c>
      <c r="AS276" s="570" t="n">
        <v>12500</v>
      </c>
      <c r="AT276" s="570" t="n">
        <v>11300</v>
      </c>
      <c r="AU276" s="570" t="n">
        <v>11900</v>
      </c>
      <c r="AV276" s="570" t="n">
        <v>31900</v>
      </c>
      <c r="AW276" s="570" t="n">
        <v>15500</v>
      </c>
      <c r="AX276" s="570" t="n">
        <v>14200</v>
      </c>
      <c r="AY276" s="570" t="n">
        <v>17700</v>
      </c>
      <c r="AZ276" s="570" t="n">
        <v>21900</v>
      </c>
      <c r="BA276" s="570" t="n">
        <v>39700</v>
      </c>
      <c r="BB276" s="570" t="n">
        <v>54100</v>
      </c>
      <c r="BC276" s="570" t="n">
        <v>54600</v>
      </c>
      <c r="BD276" s="570" t="n">
        <v>39800</v>
      </c>
      <c r="BE276" s="570" t="n">
        <v>51200</v>
      </c>
      <c r="BF276" s="570" t="n">
        <v>46700</v>
      </c>
      <c r="BG276" s="570" t="n">
        <v>17700</v>
      </c>
      <c r="BH276" s="570" t="n">
        <v>17000</v>
      </c>
      <c r="BI276" s="570" t="n">
        <v>13100</v>
      </c>
      <c r="BJ276" s="570" t="n">
        <v>23200</v>
      </c>
      <c r="BK276" s="570" t="n">
        <v>21300</v>
      </c>
      <c r="BL276" s="570" t="n">
        <v>11700</v>
      </c>
    </row>
    <row r="277">
      <c r="A277" s="417" t="inlineStr">
        <is>
          <t>3002</t>
        </is>
      </c>
      <c r="B277" s="570">
        <f>銘柄管理!C277</f>
        <v/>
      </c>
      <c r="C277" s="570">
        <f>_xll.RssMarket("3002","出来高")</f>
        <v/>
      </c>
      <c r="D277" s="684">
        <f>C277-E277</f>
        <v/>
      </c>
      <c r="E277" s="570" t="n">
        <v>120200</v>
      </c>
      <c r="F277" s="570" t="n">
        <v>150200</v>
      </c>
      <c r="G277" s="570" t="n">
        <v>154600</v>
      </c>
      <c r="H277" s="570" t="n">
        <v>150300</v>
      </c>
      <c r="I277" s="570" t="n">
        <v>120900</v>
      </c>
      <c r="J277" s="570" t="n">
        <v>394200</v>
      </c>
      <c r="K277" s="570" t="n">
        <v>142000</v>
      </c>
      <c r="L277" s="570" t="n">
        <v>260200</v>
      </c>
      <c r="M277" s="570" t="n">
        <v>199500</v>
      </c>
      <c r="N277" s="570" t="n">
        <v>118500</v>
      </c>
      <c r="O277" s="570" t="n">
        <v>103100</v>
      </c>
      <c r="P277" s="570" t="n">
        <v>128000</v>
      </c>
      <c r="Q277" s="570" t="n">
        <v>208600</v>
      </c>
      <c r="R277" s="570" t="n">
        <v>202700</v>
      </c>
      <c r="S277" s="570" t="n">
        <v>192700</v>
      </c>
      <c r="T277" s="570" t="n">
        <v>230500</v>
      </c>
      <c r="U277" s="570" t="n">
        <v>146200</v>
      </c>
      <c r="V277" s="570" t="n">
        <v>156400</v>
      </c>
      <c r="W277" s="570" t="n">
        <v>142000</v>
      </c>
      <c r="X277" s="570" t="n">
        <v>251300</v>
      </c>
      <c r="Y277" s="570" t="n">
        <v>314300</v>
      </c>
      <c r="Z277" s="570" t="n">
        <v>303500</v>
      </c>
      <c r="AA277" s="570" t="n">
        <v>347900</v>
      </c>
      <c r="AB277" s="570" t="n">
        <v>569600</v>
      </c>
      <c r="AC277" s="570" t="n">
        <v>202200</v>
      </c>
      <c r="AD277" s="570" t="n">
        <v>218800</v>
      </c>
      <c r="AE277" s="570" t="n">
        <v>127400</v>
      </c>
      <c r="AF277" s="570" t="n">
        <v>305300</v>
      </c>
      <c r="AG277" s="570" t="n">
        <v>234500</v>
      </c>
      <c r="AH277" s="570" t="n">
        <v>259100</v>
      </c>
      <c r="AI277" s="570" t="n">
        <v>312500</v>
      </c>
      <c r="AJ277" s="570" t="n">
        <v>361000</v>
      </c>
      <c r="AK277" s="570" t="n">
        <v>229100</v>
      </c>
      <c r="AL277" s="570" t="n">
        <v>155700</v>
      </c>
      <c r="AM277" s="570" t="n">
        <v>275400</v>
      </c>
      <c r="AN277" s="570" t="n">
        <v>265800</v>
      </c>
      <c r="AO277" s="570" t="n">
        <v>283500</v>
      </c>
      <c r="AP277" s="570" t="n">
        <v>137000</v>
      </c>
      <c r="AQ277" s="570" t="n">
        <v>196400</v>
      </c>
      <c r="AR277" s="570" t="n">
        <v>167500</v>
      </c>
      <c r="AS277" s="570" t="n">
        <v>220300</v>
      </c>
      <c r="AT277" s="570" t="n">
        <v>162800</v>
      </c>
      <c r="AU277" s="570" t="n">
        <v>185200</v>
      </c>
      <c r="AV277" s="570" t="n">
        <v>166100</v>
      </c>
      <c r="AW277" s="570" t="n">
        <v>207300</v>
      </c>
      <c r="AX277" s="570" t="n">
        <v>216400</v>
      </c>
      <c r="AY277" s="570" t="n">
        <v>263900</v>
      </c>
      <c r="AZ277" s="570" t="n">
        <v>138200</v>
      </c>
      <c r="BA277" s="570" t="n">
        <v>194900</v>
      </c>
      <c r="BB277" s="570" t="n">
        <v>291600</v>
      </c>
      <c r="BC277" s="570" t="n">
        <v>371200</v>
      </c>
      <c r="BD277" s="570" t="n">
        <v>555000</v>
      </c>
      <c r="BE277" s="570" t="n">
        <v>894600</v>
      </c>
      <c r="BF277" s="570" t="n">
        <v>574900</v>
      </c>
      <c r="BG277" s="570" t="n">
        <v>457300</v>
      </c>
      <c r="BH277" s="570" t="n">
        <v>524100</v>
      </c>
      <c r="BI277" s="570" t="n">
        <v>347300</v>
      </c>
      <c r="BJ277" s="570" t="n">
        <v>532400</v>
      </c>
      <c r="BK277" s="570" t="n">
        <v>457800</v>
      </c>
      <c r="BL277" s="570" t="n">
        <v>215300</v>
      </c>
    </row>
    <row r="278">
      <c r="A278" s="417" t="inlineStr">
        <is>
          <t>8871</t>
        </is>
      </c>
      <c r="B278" s="570">
        <f>銘柄管理!C278</f>
        <v/>
      </c>
      <c r="C278" s="570">
        <f>_xll.RssMarket("8871","出来高")</f>
        <v/>
      </c>
      <c r="D278" s="684">
        <f>C278-E278</f>
        <v/>
      </c>
      <c r="E278" s="570" t="n">
        <v>37500</v>
      </c>
      <c r="F278" s="570" t="n">
        <v>48200</v>
      </c>
      <c r="G278" s="570" t="n">
        <v>37200</v>
      </c>
      <c r="H278" s="570" t="n">
        <v>23900</v>
      </c>
      <c r="I278" s="570" t="n">
        <v>33600</v>
      </c>
      <c r="J278" s="570" t="n">
        <v>30300</v>
      </c>
      <c r="K278" s="570" t="n">
        <v>35300</v>
      </c>
      <c r="L278" s="570" t="n">
        <v>32900</v>
      </c>
      <c r="M278" s="570" t="n">
        <v>53000</v>
      </c>
      <c r="N278" s="570" t="n">
        <v>60500</v>
      </c>
      <c r="O278" s="570" t="n">
        <v>52900</v>
      </c>
      <c r="P278" s="570" t="n">
        <v>43800</v>
      </c>
      <c r="Q278" s="570" t="n">
        <v>54200</v>
      </c>
      <c r="R278" s="570" t="n">
        <v>54900</v>
      </c>
      <c r="S278" s="570" t="n">
        <v>38700</v>
      </c>
      <c r="T278" s="570" t="n">
        <v>43800</v>
      </c>
      <c r="U278" s="570" t="n">
        <v>40400</v>
      </c>
      <c r="V278" s="570" t="n">
        <v>37700</v>
      </c>
      <c r="W278" s="570" t="n">
        <v>56700</v>
      </c>
      <c r="X278" s="570" t="n">
        <v>36900</v>
      </c>
      <c r="Y278" s="570" t="n">
        <v>90400</v>
      </c>
      <c r="Z278" s="570" t="n">
        <v>86000</v>
      </c>
      <c r="AA278" s="570" t="n">
        <v>147400</v>
      </c>
      <c r="AB278" s="570" t="n">
        <v>46800</v>
      </c>
      <c r="AC278" s="570" t="n">
        <v>35600</v>
      </c>
      <c r="AD278" s="570" t="n">
        <v>14000</v>
      </c>
      <c r="AE278" s="570" t="n">
        <v>14700</v>
      </c>
      <c r="AF278" s="570" t="n">
        <v>17600</v>
      </c>
      <c r="AG278" s="570" t="n">
        <v>17500</v>
      </c>
      <c r="AH278" s="570" t="n">
        <v>20000</v>
      </c>
      <c r="AI278" s="570" t="n">
        <v>25900</v>
      </c>
      <c r="AJ278" s="570" t="n">
        <v>36200</v>
      </c>
      <c r="AK278" s="570" t="n">
        <v>66200</v>
      </c>
      <c r="AL278" s="570" t="n">
        <v>15800</v>
      </c>
      <c r="AM278" s="570" t="n">
        <v>22600</v>
      </c>
      <c r="AN278" s="570" t="n">
        <v>34600</v>
      </c>
      <c r="AO278" s="570" t="n">
        <v>13900</v>
      </c>
      <c r="AP278" s="570" t="n">
        <v>18800</v>
      </c>
      <c r="AQ278" s="570" t="n">
        <v>31400</v>
      </c>
      <c r="AR278" s="570" t="n">
        <v>22700</v>
      </c>
      <c r="AS278" s="570" t="n">
        <v>18100</v>
      </c>
      <c r="AT278" s="570" t="n">
        <v>20600</v>
      </c>
      <c r="AU278" s="570" t="n">
        <v>14300</v>
      </c>
      <c r="AV278" s="570" t="n">
        <v>30400</v>
      </c>
      <c r="AW278" s="570" t="n">
        <v>28800</v>
      </c>
      <c r="AX278" s="570" t="n">
        <v>27000</v>
      </c>
      <c r="AY278" s="570" t="n">
        <v>23300</v>
      </c>
      <c r="AZ278" s="570" t="n">
        <v>17400</v>
      </c>
      <c r="BA278" s="570" t="n">
        <v>22300</v>
      </c>
      <c r="BB278" s="570" t="n">
        <v>34600</v>
      </c>
      <c r="BC278" s="570" t="n">
        <v>19300</v>
      </c>
      <c r="BD278" s="570" t="n">
        <v>32300</v>
      </c>
      <c r="BE278" s="570" t="n">
        <v>43000</v>
      </c>
      <c r="BF278" s="570" t="n">
        <v>40100</v>
      </c>
      <c r="BG278" s="570" t="n">
        <v>20700</v>
      </c>
      <c r="BH278" s="570" t="n">
        <v>28800</v>
      </c>
      <c r="BI278" s="570" t="n">
        <v>17100</v>
      </c>
      <c r="BJ278" s="570" t="n">
        <v>46800</v>
      </c>
      <c r="BK278" s="570" t="n">
        <v>22800</v>
      </c>
      <c r="BL278" s="570" t="n">
        <v>10800</v>
      </c>
    </row>
    <row r="279">
      <c r="A279" s="417" t="inlineStr">
        <is>
          <t>6918</t>
        </is>
      </c>
      <c r="B279" s="570">
        <f>銘柄管理!C279</f>
        <v/>
      </c>
      <c r="C279" s="570">
        <f>_xll.RssMarket("6918","出来高")</f>
        <v/>
      </c>
      <c r="D279" s="684">
        <f>C279-E279</f>
        <v/>
      </c>
      <c r="E279" s="570" t="n">
        <v>35600</v>
      </c>
      <c r="F279" s="570" t="n">
        <v>26800</v>
      </c>
      <c r="G279" s="570" t="n">
        <v>39500</v>
      </c>
      <c r="H279" s="570" t="n">
        <v>26700</v>
      </c>
      <c r="I279" s="570" t="n">
        <v>22200</v>
      </c>
      <c r="J279" s="570" t="n">
        <v>29800</v>
      </c>
      <c r="K279" s="570" t="n">
        <v>27800</v>
      </c>
      <c r="L279" s="570" t="n">
        <v>46900</v>
      </c>
      <c r="M279" s="570" t="n">
        <v>39500</v>
      </c>
      <c r="N279" s="570" t="n">
        <v>25000</v>
      </c>
      <c r="O279" s="570" t="n">
        <v>34100</v>
      </c>
      <c r="P279" s="570" t="n">
        <v>35200</v>
      </c>
      <c r="Q279" s="570" t="n">
        <v>25900</v>
      </c>
      <c r="R279" s="570" t="n">
        <v>19100</v>
      </c>
      <c r="S279" s="570" t="n">
        <v>42800</v>
      </c>
      <c r="T279" s="570" t="n">
        <v>19500</v>
      </c>
      <c r="U279" s="570" t="n">
        <v>16300</v>
      </c>
      <c r="V279" s="570" t="n">
        <v>29800</v>
      </c>
      <c r="W279" s="570" t="n">
        <v>14100</v>
      </c>
      <c r="X279" s="570" t="n">
        <v>19700</v>
      </c>
      <c r="Y279" s="570" t="n">
        <v>45900</v>
      </c>
      <c r="Z279" s="570" t="n">
        <v>53100</v>
      </c>
      <c r="AA279" s="570" t="n">
        <v>76800</v>
      </c>
      <c r="AB279" s="570" t="n">
        <v>60400</v>
      </c>
      <c r="AC279" s="570" t="n">
        <v>24500</v>
      </c>
      <c r="AD279" s="570" t="n">
        <v>47800</v>
      </c>
      <c r="AE279" s="570" t="n">
        <v>93600</v>
      </c>
      <c r="AF279" s="570" t="n">
        <v>23800</v>
      </c>
      <c r="AG279" s="570" t="n">
        <v>60400</v>
      </c>
      <c r="AH279" s="570" t="n">
        <v>38900</v>
      </c>
      <c r="AI279" s="570" t="n">
        <v>12000</v>
      </c>
      <c r="AJ279" s="570" t="n">
        <v>17200</v>
      </c>
      <c r="AK279" s="570" t="n">
        <v>47000</v>
      </c>
      <c r="AL279" s="570" t="n">
        <v>18500</v>
      </c>
      <c r="AM279" s="570" t="n">
        <v>20000</v>
      </c>
      <c r="AN279" s="570" t="n">
        <v>41600</v>
      </c>
      <c r="AO279" s="570" t="n">
        <v>36100</v>
      </c>
      <c r="AP279" s="570" t="n">
        <v>30000</v>
      </c>
      <c r="AQ279" s="570" t="n">
        <v>21600</v>
      </c>
      <c r="AR279" s="570" t="n">
        <v>5500</v>
      </c>
      <c r="AS279" s="570" t="n">
        <v>19000</v>
      </c>
      <c r="AT279" s="570" t="n">
        <v>26200</v>
      </c>
      <c r="AU279" s="570" t="n">
        <v>27700</v>
      </c>
      <c r="AV279" s="570" t="n">
        <v>12800</v>
      </c>
      <c r="AW279" s="570" t="n">
        <v>17400</v>
      </c>
      <c r="AX279" s="570" t="n">
        <v>15700</v>
      </c>
      <c r="AY279" s="570" t="n">
        <v>5200</v>
      </c>
      <c r="AZ279" s="570" t="n">
        <v>6900</v>
      </c>
      <c r="BA279" s="570" t="n">
        <v>10300</v>
      </c>
      <c r="BB279" s="570" t="n">
        <v>26400</v>
      </c>
      <c r="BC279" s="570" t="n">
        <v>16000</v>
      </c>
      <c r="BD279" s="570" t="n">
        <v>14100</v>
      </c>
      <c r="BE279" s="570" t="n">
        <v>14200</v>
      </c>
      <c r="BF279" s="570" t="n">
        <v>9700</v>
      </c>
      <c r="BG279" s="570" t="n">
        <v>15200</v>
      </c>
      <c r="BH279" s="570" t="n">
        <v>18600</v>
      </c>
      <c r="BI279" s="570" t="n">
        <v>16700</v>
      </c>
      <c r="BJ279" s="570" t="n">
        <v>25700</v>
      </c>
      <c r="BK279" s="570" t="n">
        <v>13300</v>
      </c>
      <c r="BL279" s="570" t="n">
        <v>13200</v>
      </c>
    </row>
    <row r="280">
      <c r="A280" s="417" t="inlineStr">
        <is>
          <t>6488</t>
        </is>
      </c>
      <c r="B280" s="570">
        <f>銘柄管理!C280</f>
        <v/>
      </c>
      <c r="C280" s="570">
        <f>_xll.RssMarket("6488","出来高")</f>
        <v/>
      </c>
      <c r="D280" s="684">
        <f>C280-E280</f>
        <v/>
      </c>
      <c r="E280" s="570" t="n">
        <v>8700</v>
      </c>
      <c r="F280" s="570" t="n">
        <v>7100</v>
      </c>
      <c r="G280" s="570" t="n">
        <v>5300</v>
      </c>
      <c r="H280" s="570" t="n">
        <v>1400</v>
      </c>
      <c r="I280" s="570" t="n">
        <v>4000</v>
      </c>
      <c r="J280" s="570" t="n">
        <v>5300</v>
      </c>
      <c r="K280" s="570" t="n">
        <v>5400</v>
      </c>
      <c r="L280" s="570" t="n">
        <v>9100</v>
      </c>
      <c r="M280" s="570" t="n">
        <v>1700</v>
      </c>
      <c r="N280" s="570" t="n">
        <v>2900</v>
      </c>
      <c r="O280" s="570" t="n">
        <v>3800</v>
      </c>
      <c r="P280" s="570" t="n">
        <v>3200</v>
      </c>
      <c r="Q280" s="570" t="n">
        <v>5600</v>
      </c>
      <c r="R280" s="570" t="n">
        <v>3600</v>
      </c>
      <c r="S280" s="570" t="n">
        <v>14700</v>
      </c>
      <c r="T280" s="570" t="n">
        <v>2100</v>
      </c>
      <c r="U280" s="570" t="n">
        <v>4000</v>
      </c>
      <c r="V280" s="570" t="n">
        <v>6700</v>
      </c>
      <c r="W280" s="570" t="n">
        <v>3300</v>
      </c>
      <c r="X280" s="570" t="n">
        <v>3600</v>
      </c>
      <c r="Y280" s="570" t="n">
        <v>7100</v>
      </c>
      <c r="Z280" s="570" t="n">
        <v>13400</v>
      </c>
      <c r="AA280" s="570" t="n">
        <v>17400</v>
      </c>
      <c r="AB280" s="570" t="n">
        <v>12700</v>
      </c>
      <c r="AC280" s="570" t="n">
        <v>800</v>
      </c>
      <c r="AD280" s="570" t="n">
        <v>1900</v>
      </c>
      <c r="AE280" s="570" t="n">
        <v>2900</v>
      </c>
      <c r="AF280" s="570" t="n">
        <v>3500</v>
      </c>
      <c r="AG280" s="570" t="n">
        <v>4400</v>
      </c>
      <c r="AH280" s="570" t="n">
        <v>4600</v>
      </c>
      <c r="AI280" s="570" t="n">
        <v>400</v>
      </c>
      <c r="AJ280" s="570" t="n">
        <v>1200</v>
      </c>
      <c r="AK280" s="570" t="n">
        <v>5300</v>
      </c>
      <c r="AL280" s="570" t="n">
        <v>2800</v>
      </c>
      <c r="AM280" s="570" t="n">
        <v>600</v>
      </c>
      <c r="AN280" s="570" t="n">
        <v>8900</v>
      </c>
      <c r="AO280" s="570" t="n">
        <v>800</v>
      </c>
      <c r="AP280" s="570" t="n">
        <v>2100</v>
      </c>
      <c r="AQ280" s="570" t="n">
        <v>3000</v>
      </c>
      <c r="AR280" s="570" t="n">
        <v>18600</v>
      </c>
      <c r="AS280" s="570" t="n">
        <v>800</v>
      </c>
      <c r="AT280" s="570" t="n">
        <v>2000</v>
      </c>
      <c r="AU280" s="570" t="n">
        <v>1900</v>
      </c>
      <c r="AV280" s="570" t="n">
        <v>2300</v>
      </c>
      <c r="AW280" s="570" t="n">
        <v>1100</v>
      </c>
      <c r="AX280" s="570" t="n">
        <v>31200</v>
      </c>
      <c r="AY280" s="570" t="n">
        <v>4800</v>
      </c>
      <c r="AZ280" s="570" t="n">
        <v>5900</v>
      </c>
      <c r="BA280" s="570" t="n">
        <v>7100</v>
      </c>
      <c r="BB280" s="570" t="n">
        <v>2100</v>
      </c>
      <c r="BC280" s="570" t="n">
        <v>3000</v>
      </c>
      <c r="BD280" s="570" t="n">
        <v>1500</v>
      </c>
      <c r="BE280" s="570" t="n">
        <v>15500</v>
      </c>
      <c r="BF280" s="570" t="n">
        <v>8400</v>
      </c>
      <c r="BG280" s="570" t="n">
        <v>2700</v>
      </c>
      <c r="BH280" s="570" t="n">
        <v>5600</v>
      </c>
      <c r="BI280" s="570" t="n">
        <v>4100</v>
      </c>
      <c r="BJ280" s="570" t="n">
        <v>17100</v>
      </c>
      <c r="BK280" s="570" t="n">
        <v>7400</v>
      </c>
      <c r="BL280" s="570" t="n">
        <v>34700</v>
      </c>
    </row>
    <row r="281">
      <c r="A281" s="417" t="inlineStr">
        <is>
          <t>8007</t>
        </is>
      </c>
      <c r="B281" s="570">
        <f>銘柄管理!C281</f>
        <v/>
      </c>
      <c r="C281" s="570">
        <f>_xll.RssMarket("8007","出来高")</f>
        <v/>
      </c>
      <c r="D281" s="684">
        <f>C281-E281</f>
        <v/>
      </c>
      <c r="E281" s="570" t="n">
        <v>93200</v>
      </c>
      <c r="F281" s="570" t="n">
        <v>99000</v>
      </c>
      <c r="G281" s="570" t="n">
        <v>92600</v>
      </c>
      <c r="H281" s="570" t="n">
        <v>208400</v>
      </c>
      <c r="I281" s="570" t="n">
        <v>184600</v>
      </c>
      <c r="J281" s="570" t="n">
        <v>78500</v>
      </c>
      <c r="K281" s="570" t="n">
        <v>94300</v>
      </c>
      <c r="L281" s="570" t="n">
        <v>84600</v>
      </c>
      <c r="M281" s="570" t="n">
        <v>119100</v>
      </c>
      <c r="N281" s="570" t="n">
        <v>110100</v>
      </c>
      <c r="O281" s="570" t="n">
        <v>97200</v>
      </c>
      <c r="P281" s="570" t="n">
        <v>166700</v>
      </c>
      <c r="Q281" s="570" t="n">
        <v>213600</v>
      </c>
      <c r="R281" s="570" t="n">
        <v>95000</v>
      </c>
      <c r="S281" s="570" t="n">
        <v>92400</v>
      </c>
      <c r="T281" s="570" t="n">
        <v>77500</v>
      </c>
      <c r="U281" s="570" t="n">
        <v>149800</v>
      </c>
      <c r="V281" s="570" t="n">
        <v>93800</v>
      </c>
      <c r="W281" s="570" t="n">
        <v>111400</v>
      </c>
      <c r="X281" s="570" t="n">
        <v>225900</v>
      </c>
      <c r="Y281" s="570" t="n">
        <v>253700</v>
      </c>
      <c r="Z281" s="570" t="n">
        <v>260500</v>
      </c>
      <c r="AA281" s="570" t="n">
        <v>504500</v>
      </c>
      <c r="AB281" s="570" t="n">
        <v>995500</v>
      </c>
      <c r="AC281" s="570" t="n">
        <v>670900</v>
      </c>
      <c r="AD281" s="570" t="n">
        <v>141100</v>
      </c>
      <c r="AE281" s="570" t="n">
        <v>127000</v>
      </c>
      <c r="AF281" s="570" t="n">
        <v>79700</v>
      </c>
      <c r="AG281" s="570" t="n">
        <v>65800</v>
      </c>
      <c r="AH281" s="570" t="n">
        <v>63800</v>
      </c>
      <c r="AI281" s="570" t="n">
        <v>86600</v>
      </c>
      <c r="AJ281" s="570" t="n">
        <v>97500</v>
      </c>
      <c r="AK281" s="570" t="n">
        <v>139400</v>
      </c>
      <c r="AL281" s="570" t="n">
        <v>110300</v>
      </c>
      <c r="AM281" s="570" t="n">
        <v>130000</v>
      </c>
      <c r="AN281" s="570" t="n">
        <v>192000</v>
      </c>
      <c r="AO281" s="570" t="n">
        <v>164800</v>
      </c>
      <c r="AP281" s="570" t="n">
        <v>214200</v>
      </c>
      <c r="AQ281" s="570" t="n">
        <v>83900</v>
      </c>
      <c r="AR281" s="570" t="n">
        <v>63900</v>
      </c>
      <c r="AS281" s="570" t="n">
        <v>72100</v>
      </c>
      <c r="AT281" s="570" t="n">
        <v>79300</v>
      </c>
      <c r="AU281" s="570" t="n">
        <v>82100</v>
      </c>
      <c r="AV281" s="570" t="n">
        <v>71400</v>
      </c>
      <c r="AW281" s="570" t="n">
        <v>68500</v>
      </c>
      <c r="AX281" s="570" t="n">
        <v>65100</v>
      </c>
      <c r="AY281" s="570" t="n">
        <v>56900</v>
      </c>
      <c r="AZ281" s="570" t="n">
        <v>40900</v>
      </c>
      <c r="BA281" s="570" t="n">
        <v>37400</v>
      </c>
      <c r="BB281" s="570" t="n">
        <v>77700</v>
      </c>
      <c r="BC281" s="570" t="n">
        <v>81000</v>
      </c>
      <c r="BD281" s="570" t="n">
        <v>151500</v>
      </c>
      <c r="BE281" s="570" t="n">
        <v>179600</v>
      </c>
      <c r="BF281" s="570" t="n">
        <v>173800</v>
      </c>
      <c r="BG281" s="570" t="n">
        <v>146400</v>
      </c>
      <c r="BH281" s="570" t="n">
        <v>97000</v>
      </c>
      <c r="BI281" s="570" t="n">
        <v>99400</v>
      </c>
      <c r="BJ281" s="570" t="n">
        <v>246900</v>
      </c>
      <c r="BK281" s="570" t="n">
        <v>181400</v>
      </c>
      <c r="BL281" s="570" t="n">
        <v>111200</v>
      </c>
    </row>
    <row r="282">
      <c r="A282" s="417" t="inlineStr">
        <is>
          <t>4218</t>
        </is>
      </c>
      <c r="B282" s="570">
        <f>銘柄管理!C282</f>
        <v/>
      </c>
      <c r="C282" s="570">
        <f>_xll.RssMarket("4218","出来高")</f>
        <v/>
      </c>
      <c r="D282" s="684">
        <f>C282-E282</f>
        <v/>
      </c>
      <c r="E282" s="570" t="n">
        <v>21700</v>
      </c>
      <c r="F282" s="570" t="n">
        <v>52300</v>
      </c>
      <c r="G282" s="570" t="n">
        <v>16900</v>
      </c>
      <c r="H282" s="570" t="n">
        <v>13500</v>
      </c>
      <c r="I282" s="570" t="n">
        <v>10700</v>
      </c>
      <c r="J282" s="570" t="n">
        <v>21200</v>
      </c>
      <c r="K282" s="570" t="n">
        <v>18500</v>
      </c>
      <c r="L282" s="570" t="n">
        <v>18900</v>
      </c>
      <c r="M282" s="570" t="n">
        <v>28700</v>
      </c>
      <c r="N282" s="570" t="n">
        <v>10400</v>
      </c>
      <c r="O282" s="570" t="n">
        <v>20300</v>
      </c>
      <c r="P282" s="570" t="n">
        <v>22500</v>
      </c>
      <c r="Q282" s="570" t="n">
        <v>33000</v>
      </c>
      <c r="R282" s="570" t="n">
        <v>16000</v>
      </c>
      <c r="S282" s="570" t="n">
        <v>20800</v>
      </c>
      <c r="T282" s="570" t="n">
        <v>9900</v>
      </c>
      <c r="U282" s="570" t="n">
        <v>16200</v>
      </c>
      <c r="V282" s="570" t="n">
        <v>9400</v>
      </c>
      <c r="W282" s="570" t="n">
        <v>8800</v>
      </c>
      <c r="X282" s="570" t="n">
        <v>20700</v>
      </c>
      <c r="Y282" s="570" t="n">
        <v>32400</v>
      </c>
      <c r="Z282" s="570" t="n">
        <v>36000</v>
      </c>
      <c r="AA282" s="570" t="n">
        <v>33000</v>
      </c>
      <c r="AB282" s="570" t="n">
        <v>42000</v>
      </c>
      <c r="AC282" s="570" t="n">
        <v>12400</v>
      </c>
      <c r="AD282" s="570" t="n">
        <v>8700</v>
      </c>
      <c r="AE282" s="570" t="n">
        <v>14500</v>
      </c>
      <c r="AF282" s="570" t="n">
        <v>25000</v>
      </c>
      <c r="AG282" s="570" t="n">
        <v>12200</v>
      </c>
      <c r="AH282" s="570" t="n">
        <v>16700</v>
      </c>
      <c r="AI282" s="570" t="n">
        <v>21000</v>
      </c>
      <c r="AJ282" s="570" t="n">
        <v>20500</v>
      </c>
      <c r="AK282" s="570" t="n">
        <v>29000</v>
      </c>
      <c r="AL282" s="570" t="n">
        <v>29700</v>
      </c>
      <c r="AM282" s="570" t="n">
        <v>27000</v>
      </c>
      <c r="AN282" s="570" t="n">
        <v>22600</v>
      </c>
      <c r="AO282" s="570" t="n">
        <v>18200</v>
      </c>
      <c r="AP282" s="570" t="n">
        <v>13700</v>
      </c>
      <c r="AQ282" s="570" t="n">
        <v>9700</v>
      </c>
      <c r="AR282" s="570" t="n">
        <v>14500</v>
      </c>
      <c r="AS282" s="570" t="n">
        <v>14900</v>
      </c>
      <c r="AT282" s="570" t="n">
        <v>17800</v>
      </c>
      <c r="AU282" s="570" t="n">
        <v>14200</v>
      </c>
      <c r="AV282" s="570" t="n">
        <v>19600</v>
      </c>
      <c r="AW282" s="570" t="n">
        <v>26900</v>
      </c>
      <c r="AX282" s="570" t="n">
        <v>44300</v>
      </c>
      <c r="AY282" s="570" t="n">
        <v>27300</v>
      </c>
      <c r="AZ282" s="570" t="n">
        <v>12500</v>
      </c>
      <c r="BA282" s="570" t="n">
        <v>14300</v>
      </c>
      <c r="BB282" s="570" t="n">
        <v>13700</v>
      </c>
      <c r="BC282" s="570" t="n">
        <v>21300</v>
      </c>
      <c r="BD282" s="570" t="n">
        <v>23300</v>
      </c>
      <c r="BE282" s="570" t="n">
        <v>35200</v>
      </c>
      <c r="BF282" s="570" t="n">
        <v>54600</v>
      </c>
      <c r="BG282" s="570" t="n">
        <v>22900</v>
      </c>
      <c r="BH282" s="570" t="n">
        <v>22700</v>
      </c>
      <c r="BI282" s="570" t="n">
        <v>21500</v>
      </c>
      <c r="BJ282" s="570" t="n">
        <v>54900</v>
      </c>
      <c r="BK282" s="570" t="n">
        <v>23500</v>
      </c>
      <c r="BL282" s="570" t="n">
        <v>19000</v>
      </c>
    </row>
    <row r="283">
      <c r="A283" s="417" t="inlineStr">
        <is>
          <t>7735</t>
        </is>
      </c>
      <c r="B283" s="570">
        <f>銘柄管理!C283</f>
        <v/>
      </c>
      <c r="C283" s="570">
        <f>_xll.RssMarket("7735","出来高")</f>
        <v/>
      </c>
      <c r="D283" s="684">
        <f>C283-E283</f>
        <v/>
      </c>
      <c r="E283" s="570" t="n">
        <v>2544200</v>
      </c>
      <c r="F283" s="570" t="n">
        <v>3777500</v>
      </c>
      <c r="G283" s="570" t="n">
        <v>4061800</v>
      </c>
      <c r="H283" s="570" t="n">
        <v>2431400</v>
      </c>
      <c r="I283" s="570" t="n">
        <v>3407300</v>
      </c>
      <c r="J283" s="570" t="n">
        <v>3457600</v>
      </c>
      <c r="K283" s="570" t="n">
        <v>2463400</v>
      </c>
      <c r="L283" s="570" t="n">
        <v>4607000</v>
      </c>
      <c r="M283" s="570" t="n">
        <v>2387100</v>
      </c>
      <c r="N283" s="570" t="n">
        <v>2322300</v>
      </c>
      <c r="O283" s="570" t="n">
        <v>2664200</v>
      </c>
      <c r="P283" s="570" t="n">
        <v>4984700</v>
      </c>
      <c r="Q283" s="570" t="n">
        <v>2562700</v>
      </c>
      <c r="R283" s="570" t="n">
        <v>3399100</v>
      </c>
      <c r="S283" s="570" t="n">
        <v>1835200</v>
      </c>
      <c r="T283" s="570" t="n">
        <v>3065000</v>
      </c>
      <c r="U283" s="570" t="n">
        <v>2190400</v>
      </c>
      <c r="V283" s="570" t="n">
        <v>1935200</v>
      </c>
      <c r="W283" s="570" t="n">
        <v>2575000</v>
      </c>
      <c r="X283" s="570" t="n">
        <v>2035000</v>
      </c>
      <c r="Y283" s="570" t="n">
        <v>2201300</v>
      </c>
      <c r="Z283" s="570" t="n">
        <v>2438400</v>
      </c>
      <c r="AA283" s="570" t="n">
        <v>3181900</v>
      </c>
      <c r="AB283" s="570" t="n">
        <v>6055300</v>
      </c>
      <c r="AC283" s="570" t="n">
        <v>2359000</v>
      </c>
      <c r="AD283" s="570" t="n">
        <v>1566300</v>
      </c>
      <c r="AE283" s="570" t="n">
        <v>1802900</v>
      </c>
      <c r="AF283" s="570" t="n">
        <v>2098900</v>
      </c>
      <c r="AG283" s="570" t="n">
        <v>2915500</v>
      </c>
      <c r="AH283" s="570" t="n">
        <v>1902200</v>
      </c>
      <c r="AI283" s="570" t="n">
        <v>1565000</v>
      </c>
      <c r="AJ283" s="570" t="n">
        <v>1906400</v>
      </c>
      <c r="AK283" s="570" t="n">
        <v>1991900</v>
      </c>
      <c r="AL283" s="570" t="n">
        <v>1634000</v>
      </c>
      <c r="AM283" s="570" t="n">
        <v>2201900</v>
      </c>
      <c r="AN283" s="570" t="n">
        <v>2212500</v>
      </c>
      <c r="AO283" s="570" t="n">
        <v>1531300</v>
      </c>
      <c r="AP283" s="570" t="n">
        <v>1700400</v>
      </c>
      <c r="AQ283" s="570" t="n">
        <v>2542600</v>
      </c>
      <c r="AR283" s="570" t="n">
        <v>2684200</v>
      </c>
      <c r="AS283" s="570" t="n">
        <v>2390200</v>
      </c>
      <c r="AT283" s="570" t="n">
        <v>2226400</v>
      </c>
      <c r="AU283" s="570" t="n">
        <v>1954700</v>
      </c>
      <c r="AV283" s="570" t="n">
        <v>2872200</v>
      </c>
      <c r="AW283" s="570" t="n">
        <v>2102900</v>
      </c>
      <c r="AX283" s="570" t="n">
        <v>2935400</v>
      </c>
      <c r="AY283" s="570" t="n">
        <v>1946100</v>
      </c>
      <c r="AZ283" s="570" t="n">
        <v>2333000</v>
      </c>
      <c r="BA283" s="570" t="n">
        <v>1179500</v>
      </c>
      <c r="BB283" s="570" t="n">
        <v>2004800</v>
      </c>
      <c r="BC283" s="570" t="n">
        <v>1955500</v>
      </c>
      <c r="BD283" s="570" t="n">
        <v>2247700</v>
      </c>
      <c r="BE283" s="570" t="n">
        <v>2135500</v>
      </c>
      <c r="BF283" s="570" t="n">
        <v>846500</v>
      </c>
      <c r="BG283" s="570" t="n">
        <v>751300</v>
      </c>
      <c r="BH283" s="570" t="n">
        <v>1021200</v>
      </c>
      <c r="BI283" s="570" t="n">
        <v>804700</v>
      </c>
      <c r="BJ283" s="570" t="n">
        <v>1071000</v>
      </c>
      <c r="BK283" s="570" t="n">
        <v>1526700</v>
      </c>
      <c r="BL283" s="570" t="n">
        <v>1069700</v>
      </c>
    </row>
    <row r="284">
      <c r="A284" s="417" t="inlineStr">
        <is>
          <t>3905</t>
        </is>
      </c>
      <c r="B284" s="570">
        <f>銘柄管理!C284</f>
        <v/>
      </c>
      <c r="C284" s="570">
        <f>_xll.RssMarket("3905","出来高")</f>
        <v/>
      </c>
      <c r="D284" s="684">
        <f>C284-E284</f>
        <v/>
      </c>
      <c r="E284" s="570" t="n">
        <v>2336800</v>
      </c>
      <c r="F284" s="570" t="n">
        <v>3950300</v>
      </c>
      <c r="G284" s="570" t="n">
        <v>2076400</v>
      </c>
      <c r="H284" s="570" t="n">
        <v>1545200</v>
      </c>
      <c r="I284" s="570" t="n">
        <v>2267300</v>
      </c>
      <c r="J284" s="570" t="n">
        <v>1771100</v>
      </c>
      <c r="K284" s="570" t="n">
        <v>2285700</v>
      </c>
      <c r="L284" s="570" t="n">
        <v>2153700</v>
      </c>
      <c r="M284" s="570" t="n">
        <v>4368600</v>
      </c>
      <c r="N284" s="570" t="n">
        <v>4374300</v>
      </c>
      <c r="O284" s="570" t="n">
        <v>10269200</v>
      </c>
      <c r="P284" s="570" t="n">
        <v>810000</v>
      </c>
      <c r="Q284" s="570" t="n">
        <v>3431100</v>
      </c>
      <c r="R284" s="570" t="n">
        <v>3273500</v>
      </c>
      <c r="S284" s="570" t="n">
        <v>5679600</v>
      </c>
      <c r="T284" s="570" t="n">
        <v>3305100</v>
      </c>
      <c r="U284" s="570" t="n">
        <v>10639300</v>
      </c>
      <c r="V284" s="570" t="n">
        <v>5125700</v>
      </c>
      <c r="W284" s="570" t="n">
        <v>4489500</v>
      </c>
      <c r="X284" s="570" t="n">
        <v>5101700</v>
      </c>
      <c r="Y284" s="570" t="n">
        <v>1262000</v>
      </c>
      <c r="Z284" s="570" t="n">
        <v>208200</v>
      </c>
      <c r="AA284" s="570" t="n">
        <v>2238800</v>
      </c>
      <c r="AB284" s="570" t="n">
        <v>1153000</v>
      </c>
      <c r="AC284" s="570" t="n">
        <v>1438900</v>
      </c>
      <c r="AD284" s="570" t="n">
        <v>3375500</v>
      </c>
      <c r="AE284" s="570" t="n">
        <v>10237600</v>
      </c>
      <c r="AF284" s="570" t="n">
        <v>4014200</v>
      </c>
      <c r="AG284" s="570" t="n">
        <v>1407100</v>
      </c>
      <c r="AH284" s="570" t="n">
        <v>414200</v>
      </c>
      <c r="AI284" s="570" t="n">
        <v>264200</v>
      </c>
      <c r="AJ284" s="570" t="n">
        <v>205100</v>
      </c>
      <c r="AK284" s="570" t="n">
        <v>317600</v>
      </c>
      <c r="AL284" s="570" t="n">
        <v>323900</v>
      </c>
      <c r="AM284" s="570" t="n">
        <v>456700</v>
      </c>
      <c r="AN284" s="570" t="n">
        <v>686200</v>
      </c>
      <c r="AO284" s="570" t="n">
        <v>1372400</v>
      </c>
      <c r="AP284" s="570" t="n">
        <v>1527700</v>
      </c>
      <c r="AQ284" s="570" t="n">
        <v>1587400</v>
      </c>
      <c r="AR284" s="570" t="n">
        <v>4128900</v>
      </c>
      <c r="AS284" s="570" t="n">
        <v>534000</v>
      </c>
      <c r="AT284" s="570" t="n">
        <v>488700</v>
      </c>
      <c r="AU284" s="570" t="n">
        <v>230100</v>
      </c>
      <c r="AV284" s="570" t="n">
        <v>443700</v>
      </c>
      <c r="AW284" s="570" t="n">
        <v>359200</v>
      </c>
      <c r="AX284" s="570" t="n">
        <v>753800</v>
      </c>
      <c r="AY284" s="570" t="n">
        <v>305100</v>
      </c>
      <c r="AZ284" s="570" t="n">
        <v>302300</v>
      </c>
      <c r="BA284" s="570" t="n">
        <v>472700</v>
      </c>
      <c r="BB284" s="570" t="n">
        <v>307000</v>
      </c>
      <c r="BC284" s="570" t="n">
        <v>440600</v>
      </c>
      <c r="BD284" s="570" t="n">
        <v>459400</v>
      </c>
      <c r="BE284" s="570" t="n">
        <v>407500</v>
      </c>
      <c r="BF284" s="570" t="n">
        <v>299200</v>
      </c>
      <c r="BG284" s="570" t="n">
        <v>357900</v>
      </c>
      <c r="BH284" s="570" t="n">
        <v>676800</v>
      </c>
      <c r="BI284" s="570" t="n">
        <v>490200</v>
      </c>
      <c r="BJ284" s="570" t="n">
        <v>1005100</v>
      </c>
      <c r="BK284" s="570" t="n">
        <v>370200</v>
      </c>
      <c r="BL284" s="570" t="n">
        <v>583200</v>
      </c>
    </row>
    <row r="285">
      <c r="A285" s="417" t="inlineStr">
        <is>
          <t>3397</t>
        </is>
      </c>
      <c r="B285" s="570">
        <f>銘柄管理!C285</f>
        <v/>
      </c>
      <c r="C285" s="570">
        <f>_xll.RssMarket("3397","出来高")</f>
        <v/>
      </c>
      <c r="D285" s="684">
        <f>C285-E285</f>
        <v/>
      </c>
      <c r="E285" s="570" t="n">
        <v>453100</v>
      </c>
      <c r="F285" s="570" t="n">
        <v>547700</v>
      </c>
      <c r="G285" s="570" t="n">
        <v>907400</v>
      </c>
      <c r="H285" s="570" t="n">
        <v>688400</v>
      </c>
      <c r="I285" s="570" t="n">
        <v>358900</v>
      </c>
      <c r="J285" s="570" t="n">
        <v>493500</v>
      </c>
      <c r="K285" s="570" t="n">
        <v>340900</v>
      </c>
      <c r="L285" s="570" t="n">
        <v>315600</v>
      </c>
      <c r="M285" s="570" t="n">
        <v>390100</v>
      </c>
      <c r="N285" s="570" t="n">
        <v>319700</v>
      </c>
      <c r="O285" s="570" t="n">
        <v>302800</v>
      </c>
      <c r="P285" s="570" t="n">
        <v>290800</v>
      </c>
      <c r="Q285" s="570" t="n">
        <v>384800</v>
      </c>
      <c r="R285" s="570" t="n">
        <v>386800</v>
      </c>
      <c r="S285" s="570" t="n">
        <v>286500</v>
      </c>
      <c r="T285" s="570" t="n">
        <v>497800</v>
      </c>
      <c r="U285" s="570" t="n">
        <v>310600</v>
      </c>
      <c r="V285" s="570" t="n">
        <v>221100</v>
      </c>
      <c r="W285" s="570" t="n">
        <v>358900</v>
      </c>
      <c r="X285" s="570" t="n">
        <v>296300</v>
      </c>
      <c r="Y285" s="570" t="n">
        <v>315700</v>
      </c>
      <c r="Z285" s="570" t="n">
        <v>484600</v>
      </c>
      <c r="AA285" s="570" t="n">
        <v>1221800</v>
      </c>
      <c r="AB285" s="570" t="n">
        <v>421800</v>
      </c>
      <c r="AC285" s="570" t="n">
        <v>261600</v>
      </c>
      <c r="AD285" s="570" t="n">
        <v>276400</v>
      </c>
      <c r="AE285" s="570" t="n">
        <v>315600</v>
      </c>
      <c r="AF285" s="570" t="n">
        <v>315100</v>
      </c>
      <c r="AG285" s="570" t="n">
        <v>358800</v>
      </c>
      <c r="AH285" s="570" t="n">
        <v>303500</v>
      </c>
      <c r="AI285" s="570" t="n">
        <v>371300</v>
      </c>
      <c r="AJ285" s="570" t="n">
        <v>208200</v>
      </c>
      <c r="AK285" s="570" t="n">
        <v>242600</v>
      </c>
      <c r="AL285" s="570" t="n">
        <v>262200</v>
      </c>
      <c r="AM285" s="570" t="n">
        <v>220400</v>
      </c>
      <c r="AN285" s="570" t="n">
        <v>184400</v>
      </c>
      <c r="AO285" s="570" t="n">
        <v>199400</v>
      </c>
      <c r="AP285" s="570" t="n">
        <v>165700</v>
      </c>
      <c r="AQ285" s="570" t="n">
        <v>302400</v>
      </c>
      <c r="AR285" s="570" t="n">
        <v>264200</v>
      </c>
      <c r="AS285" s="570" t="n">
        <v>225700</v>
      </c>
      <c r="AT285" s="570" t="n">
        <v>258400</v>
      </c>
      <c r="AU285" s="570" t="n">
        <v>264400</v>
      </c>
      <c r="AV285" s="570" t="n">
        <v>334200</v>
      </c>
      <c r="AW285" s="570" t="n">
        <v>307600</v>
      </c>
      <c r="AX285" s="570" t="n">
        <v>239500</v>
      </c>
      <c r="AY285" s="570" t="n">
        <v>195800</v>
      </c>
      <c r="AZ285" s="570" t="n">
        <v>219400</v>
      </c>
      <c r="BA285" s="570" t="n">
        <v>307200</v>
      </c>
      <c r="BB285" s="570" t="n">
        <v>298700</v>
      </c>
      <c r="BC285" s="570" t="n">
        <v>463400</v>
      </c>
      <c r="BD285" s="570" t="n">
        <v>328900</v>
      </c>
      <c r="BE285" s="570" t="n">
        <v>607000</v>
      </c>
      <c r="BF285" s="570" t="n">
        <v>1214200</v>
      </c>
      <c r="BG285" s="570" t="n">
        <v>377800</v>
      </c>
      <c r="BH285" s="570" t="n">
        <v>352900</v>
      </c>
      <c r="BI285" s="570" t="n">
        <v>346900</v>
      </c>
      <c r="BJ285" s="570" t="n">
        <v>372800</v>
      </c>
      <c r="BK285" s="570" t="n">
        <v>248800</v>
      </c>
      <c r="BL285" s="570" t="n">
        <v>236900</v>
      </c>
    </row>
    <row r="286">
      <c r="A286" s="417" t="inlineStr">
        <is>
          <t>7270</t>
        </is>
      </c>
      <c r="B286" s="570">
        <f>銘柄管理!C286</f>
        <v/>
      </c>
      <c r="C286" s="570">
        <f>_xll.RssMarket("7270","出来高")</f>
        <v/>
      </c>
      <c r="D286" s="684">
        <f>C286-E286</f>
        <v/>
      </c>
      <c r="E286" s="570" t="n">
        <v>3960600</v>
      </c>
      <c r="F286" s="570" t="n">
        <v>8465900</v>
      </c>
      <c r="G286" s="570" t="n">
        <v>4006800</v>
      </c>
      <c r="H286" s="570" t="n">
        <v>4323900</v>
      </c>
      <c r="I286" s="570" t="n">
        <v>3742900</v>
      </c>
      <c r="J286" s="570" t="n">
        <v>4481200</v>
      </c>
      <c r="K286" s="570" t="n">
        <v>4194500</v>
      </c>
      <c r="L286" s="570" t="n">
        <v>4577600</v>
      </c>
      <c r="M286" s="570" t="n">
        <v>5206600</v>
      </c>
      <c r="N286" s="570" t="n">
        <v>3541800</v>
      </c>
      <c r="O286" s="570" t="n">
        <v>3891200</v>
      </c>
      <c r="P286" s="570" t="n">
        <v>4327100</v>
      </c>
      <c r="Q286" s="570" t="n">
        <v>5157700</v>
      </c>
      <c r="R286" s="570" t="n">
        <v>12101700</v>
      </c>
      <c r="S286" s="570" t="n">
        <v>4350700</v>
      </c>
      <c r="T286" s="570" t="n">
        <v>4428600</v>
      </c>
      <c r="U286" s="570" t="n">
        <v>2865500</v>
      </c>
      <c r="V286" s="570" t="n">
        <v>4287200</v>
      </c>
      <c r="W286" s="570" t="n">
        <v>4250900</v>
      </c>
      <c r="X286" s="570" t="n">
        <v>3676600</v>
      </c>
      <c r="Y286" s="570" t="n">
        <v>4511300</v>
      </c>
      <c r="Z286" s="570" t="n">
        <v>7555900</v>
      </c>
      <c r="AA286" s="570" t="n">
        <v>18708400</v>
      </c>
      <c r="AB286" s="570" t="n">
        <v>5088500</v>
      </c>
      <c r="AC286" s="570" t="n">
        <v>4376700</v>
      </c>
      <c r="AD286" s="570" t="n">
        <v>4789700</v>
      </c>
      <c r="AE286" s="570" t="n">
        <v>7079200</v>
      </c>
      <c r="AF286" s="570" t="n">
        <v>4523700</v>
      </c>
      <c r="AG286" s="570" t="n">
        <v>5656100</v>
      </c>
      <c r="AH286" s="570" t="n">
        <v>3566700</v>
      </c>
      <c r="AI286" s="570" t="n">
        <v>5538800</v>
      </c>
      <c r="AJ286" s="570" t="n">
        <v>3912000</v>
      </c>
      <c r="AK286" s="570" t="n">
        <v>3259800</v>
      </c>
      <c r="AL286" s="570" t="n">
        <v>3520800</v>
      </c>
      <c r="AM286" s="570" t="n">
        <v>3638400</v>
      </c>
      <c r="AN286" s="570" t="n">
        <v>2997300</v>
      </c>
      <c r="AO286" s="570" t="n">
        <v>3468200</v>
      </c>
      <c r="AP286" s="570" t="n">
        <v>3149000</v>
      </c>
      <c r="AQ286" s="570" t="n">
        <v>2905900</v>
      </c>
      <c r="AR286" s="570" t="n">
        <v>3507400</v>
      </c>
      <c r="AS286" s="570" t="n">
        <v>3732800</v>
      </c>
      <c r="AT286" s="570" t="n">
        <v>3070700</v>
      </c>
      <c r="AU286" s="570" t="n">
        <v>2421000</v>
      </c>
      <c r="AV286" s="570" t="n">
        <v>3346600</v>
      </c>
      <c r="AW286" s="570" t="n">
        <v>3343600</v>
      </c>
      <c r="AX286" s="570" t="n">
        <v>3992500</v>
      </c>
      <c r="AY286" s="570" t="n">
        <v>2328600</v>
      </c>
      <c r="AZ286" s="570" t="n">
        <v>1745900</v>
      </c>
      <c r="BA286" s="570" t="n">
        <v>2326500</v>
      </c>
      <c r="BB286" s="570" t="n">
        <v>3651600</v>
      </c>
      <c r="BC286" s="570" t="n">
        <v>3223400</v>
      </c>
      <c r="BD286" s="570" t="n">
        <v>3833900</v>
      </c>
      <c r="BE286" s="570" t="n">
        <v>3982000</v>
      </c>
      <c r="BF286" s="570" t="n">
        <v>3910500</v>
      </c>
      <c r="BG286" s="570" t="n">
        <v>3262700</v>
      </c>
      <c r="BH286" s="570" t="n">
        <v>4096700</v>
      </c>
      <c r="BI286" s="570" t="n">
        <v>4394400</v>
      </c>
      <c r="BJ286" s="570" t="n">
        <v>5143900</v>
      </c>
      <c r="BK286" s="570" t="n">
        <v>5491900</v>
      </c>
      <c r="BL286" s="570" t="n">
        <v>2896400</v>
      </c>
    </row>
    <row r="287">
      <c r="A287" s="417" t="inlineStr">
        <is>
          <t>6736</t>
        </is>
      </c>
      <c r="B287" s="570">
        <f>銘柄管理!C287</f>
        <v/>
      </c>
      <c r="C287" s="570">
        <f>_xll.RssMarket("6736","出来高")</f>
        <v/>
      </c>
      <c r="D287" s="684">
        <f>C287-E287</f>
        <v/>
      </c>
      <c r="E287" s="570" t="n">
        <v>15200</v>
      </c>
      <c r="F287" s="570" t="n">
        <v>22200</v>
      </c>
      <c r="G287" s="570" t="n">
        <v>18600</v>
      </c>
      <c r="H287" s="570" t="n">
        <v>15500</v>
      </c>
      <c r="I287" s="570" t="n">
        <v>15900</v>
      </c>
      <c r="J287" s="570" t="n">
        <v>16300</v>
      </c>
      <c r="K287" s="570" t="n">
        <v>26700</v>
      </c>
      <c r="L287" s="570" t="n">
        <v>38300</v>
      </c>
      <c r="M287" s="570" t="n">
        <v>22900</v>
      </c>
      <c r="N287" s="570" t="n">
        <v>17100</v>
      </c>
      <c r="O287" s="570" t="n">
        <v>25000</v>
      </c>
      <c r="P287" s="570" t="n">
        <v>16100</v>
      </c>
      <c r="Q287" s="570" t="n">
        <v>42200</v>
      </c>
      <c r="R287" s="570" t="n">
        <v>44000</v>
      </c>
      <c r="S287" s="570" t="n">
        <v>36400</v>
      </c>
      <c r="T287" s="570" t="n">
        <v>25900</v>
      </c>
      <c r="U287" s="570" t="n">
        <v>20200</v>
      </c>
      <c r="V287" s="570" t="n">
        <v>32100</v>
      </c>
      <c r="W287" s="570" t="n">
        <v>60800</v>
      </c>
      <c r="X287" s="570" t="n">
        <v>52300</v>
      </c>
      <c r="Y287" s="570" t="n">
        <v>83400</v>
      </c>
      <c r="Z287" s="570" t="n">
        <v>60000</v>
      </c>
      <c r="AA287" s="570" t="n">
        <v>26500</v>
      </c>
      <c r="AB287" s="570" t="n">
        <v>19400</v>
      </c>
      <c r="AC287" s="570" t="n">
        <v>40800</v>
      </c>
      <c r="AD287" s="570" t="n">
        <v>63900</v>
      </c>
      <c r="AE287" s="570" t="n">
        <v>17200</v>
      </c>
      <c r="AF287" s="570" t="n">
        <v>27100</v>
      </c>
      <c r="AG287" s="570" t="n">
        <v>14800</v>
      </c>
      <c r="AH287" s="570" t="n">
        <v>26400</v>
      </c>
      <c r="AI287" s="570" t="n">
        <v>59600</v>
      </c>
      <c r="AJ287" s="570" t="n">
        <v>31500</v>
      </c>
      <c r="AK287" s="570" t="n">
        <v>48100</v>
      </c>
      <c r="AL287" s="570" t="n">
        <v>27100</v>
      </c>
      <c r="AM287" s="570" t="n">
        <v>36100</v>
      </c>
      <c r="AN287" s="570" t="n">
        <v>70300</v>
      </c>
      <c r="AO287" s="570" t="n">
        <v>26500</v>
      </c>
      <c r="AP287" s="570" t="n">
        <v>47300</v>
      </c>
      <c r="AQ287" s="570" t="n">
        <v>91700</v>
      </c>
      <c r="AR287" s="570" t="n">
        <v>58300</v>
      </c>
      <c r="AS287" s="570" t="n">
        <v>112100</v>
      </c>
      <c r="AT287" s="570" t="n">
        <v>78600</v>
      </c>
      <c r="AU287" s="570" t="n">
        <v>109100</v>
      </c>
      <c r="AV287" s="570" t="n">
        <v>67700</v>
      </c>
      <c r="AW287" s="570" t="n">
        <v>59700</v>
      </c>
      <c r="AX287" s="570" t="n">
        <v>87000</v>
      </c>
      <c r="AY287" s="570" t="n">
        <v>19200</v>
      </c>
      <c r="AZ287" s="570" t="n">
        <v>24800</v>
      </c>
      <c r="BA287" s="570" t="n">
        <v>35000</v>
      </c>
      <c r="BB287" s="570" t="n">
        <v>54700</v>
      </c>
      <c r="BC287" s="570" t="n">
        <v>64100</v>
      </c>
      <c r="BD287" s="570" t="n">
        <v>61200</v>
      </c>
      <c r="BE287" s="570" t="n">
        <v>58900</v>
      </c>
      <c r="BF287" s="570" t="n">
        <v>76500</v>
      </c>
      <c r="BG287" s="570" t="n">
        <v>72900</v>
      </c>
      <c r="BH287" s="570" t="n">
        <v>95200</v>
      </c>
      <c r="BI287" s="570" t="n">
        <v>34600</v>
      </c>
      <c r="BJ287" s="570" t="n">
        <v>76800</v>
      </c>
      <c r="BK287" s="570" t="n">
        <v>44000</v>
      </c>
      <c r="BL287" s="570" t="n">
        <v>33000</v>
      </c>
    </row>
    <row r="288">
      <c r="A288" s="417" t="inlineStr">
        <is>
          <t>2933</t>
        </is>
      </c>
      <c r="B288" s="570">
        <f>銘柄管理!C288</f>
        <v/>
      </c>
      <c r="C288" s="570">
        <f>_xll.RssMarket("2933","出来高")</f>
        <v/>
      </c>
      <c r="D288" s="684">
        <f>C288-E288</f>
        <v/>
      </c>
      <c r="E288" s="570" t="n">
        <v>22200</v>
      </c>
      <c r="F288" s="570" t="n">
        <v>33800</v>
      </c>
      <c r="G288" s="570" t="n">
        <v>24700</v>
      </c>
      <c r="H288" s="570" t="n">
        <v>24600</v>
      </c>
      <c r="I288" s="570" t="n">
        <v>13400</v>
      </c>
      <c r="J288" s="570" t="n">
        <v>35700</v>
      </c>
      <c r="K288" s="570" t="n">
        <v>21700</v>
      </c>
      <c r="L288" s="570" t="n">
        <v>27300</v>
      </c>
      <c r="M288" s="570" t="n">
        <v>33800</v>
      </c>
      <c r="N288" s="570" t="n">
        <v>21500</v>
      </c>
      <c r="O288" s="570" t="n">
        <v>15700</v>
      </c>
      <c r="P288" s="570" t="n">
        <v>29300</v>
      </c>
      <c r="Q288" s="570" t="n">
        <v>45600</v>
      </c>
      <c r="R288" s="570" t="n">
        <v>17400</v>
      </c>
      <c r="S288" s="570" t="n">
        <v>26200</v>
      </c>
      <c r="T288" s="570" t="n">
        <v>17900</v>
      </c>
      <c r="U288" s="570" t="n">
        <v>23000</v>
      </c>
      <c r="V288" s="570" t="n">
        <v>17300</v>
      </c>
      <c r="W288" s="570" t="n">
        <v>16800</v>
      </c>
      <c r="X288" s="570" t="n">
        <v>22100</v>
      </c>
      <c r="Y288" s="570" t="n">
        <v>20800</v>
      </c>
      <c r="Z288" s="570" t="n">
        <v>48000</v>
      </c>
      <c r="AA288" s="570" t="n">
        <v>23800</v>
      </c>
      <c r="AB288" s="570" t="n">
        <v>12400</v>
      </c>
      <c r="AC288" s="570" t="n">
        <v>13900</v>
      </c>
      <c r="AD288" s="570" t="n">
        <v>12200</v>
      </c>
      <c r="AE288" s="570" t="n">
        <v>21500</v>
      </c>
      <c r="AF288" s="570" t="n">
        <v>36900</v>
      </c>
      <c r="AG288" s="570" t="n">
        <v>14700</v>
      </c>
      <c r="AH288" s="570" t="n">
        <v>19700</v>
      </c>
      <c r="AI288" s="570" t="n">
        <v>26800</v>
      </c>
      <c r="AJ288" s="570" t="n">
        <v>27900</v>
      </c>
      <c r="AK288" s="570" t="n">
        <v>36200</v>
      </c>
      <c r="AL288" s="570" t="n">
        <v>18000</v>
      </c>
      <c r="AM288" s="570" t="n">
        <v>37400</v>
      </c>
      <c r="AN288" s="570" t="n">
        <v>29300</v>
      </c>
      <c r="AO288" s="570" t="n">
        <v>21400</v>
      </c>
      <c r="AP288" s="570" t="n">
        <v>18000</v>
      </c>
      <c r="AQ288" s="570" t="n">
        <v>16700</v>
      </c>
      <c r="AR288" s="570" t="n">
        <v>15700</v>
      </c>
      <c r="AS288" s="570" t="n">
        <v>16700</v>
      </c>
      <c r="AT288" s="570" t="n">
        <v>17500</v>
      </c>
      <c r="AU288" s="570" t="n">
        <v>18100</v>
      </c>
      <c r="AV288" s="570" t="n">
        <v>12700</v>
      </c>
      <c r="AW288" s="570" t="n">
        <v>15500</v>
      </c>
      <c r="AX288" s="570" t="n">
        <v>23100</v>
      </c>
      <c r="AY288" s="570" t="n">
        <v>17400</v>
      </c>
      <c r="AZ288" s="570" t="n">
        <v>16500</v>
      </c>
      <c r="BA288" s="570" t="n">
        <v>17700</v>
      </c>
      <c r="BB288" s="570" t="n">
        <v>18400</v>
      </c>
      <c r="BC288" s="570" t="n">
        <v>28100</v>
      </c>
      <c r="BD288" s="570" t="n">
        <v>29600</v>
      </c>
      <c r="BE288" s="570" t="n">
        <v>46500</v>
      </c>
      <c r="BF288" s="570" t="n">
        <v>42900</v>
      </c>
      <c r="BG288" s="570" t="n">
        <v>37900</v>
      </c>
      <c r="BH288" s="570" t="n">
        <v>25000</v>
      </c>
      <c r="BI288" s="570" t="n">
        <v>21200</v>
      </c>
      <c r="BJ288" s="570" t="n">
        <v>43100</v>
      </c>
      <c r="BK288" s="570" t="n">
        <v>23600</v>
      </c>
      <c r="BL288" s="570" t="n">
        <v>21500</v>
      </c>
    </row>
    <row r="289">
      <c r="A289" s="417" t="inlineStr">
        <is>
          <t>4047</t>
        </is>
      </c>
      <c r="B289" s="570">
        <f>銘柄管理!C289</f>
        <v/>
      </c>
      <c r="C289" s="570">
        <f>_xll.RssMarket("4047","出来高")</f>
        <v/>
      </c>
      <c r="D289" s="684">
        <f>C289-E289</f>
        <v/>
      </c>
      <c r="E289" s="570" t="n">
        <v>1059700</v>
      </c>
      <c r="F289" s="570" t="n">
        <v>944300</v>
      </c>
      <c r="G289" s="570" t="n">
        <v>678400</v>
      </c>
      <c r="H289" s="570" t="n">
        <v>953400</v>
      </c>
      <c r="I289" s="570" t="n">
        <v>916000</v>
      </c>
      <c r="J289" s="570" t="n">
        <v>1633300</v>
      </c>
      <c r="K289" s="570" t="n">
        <v>1146900</v>
      </c>
      <c r="L289" s="570" t="n">
        <v>1639900</v>
      </c>
      <c r="M289" s="570" t="n">
        <v>1629200</v>
      </c>
      <c r="N289" s="570" t="n">
        <v>2697600</v>
      </c>
      <c r="O289" s="570" t="n">
        <v>1784000</v>
      </c>
      <c r="P289" s="570" t="n">
        <v>953900</v>
      </c>
      <c r="Q289" s="570" t="n">
        <v>836000</v>
      </c>
      <c r="R289" s="570" t="n">
        <v>956800</v>
      </c>
      <c r="S289" s="570" t="n">
        <v>919400</v>
      </c>
      <c r="T289" s="570" t="n">
        <v>1331700</v>
      </c>
      <c r="U289" s="570" t="n">
        <v>1463500</v>
      </c>
      <c r="V289" s="570" t="n">
        <v>1172600</v>
      </c>
      <c r="W289" s="570" t="n">
        <v>1184100</v>
      </c>
      <c r="X289" s="570" t="n">
        <v>1156400</v>
      </c>
      <c r="Y289" s="570" t="n">
        <v>3289100</v>
      </c>
      <c r="Z289" s="570" t="n">
        <v>202100</v>
      </c>
      <c r="AA289" s="570" t="n">
        <v>906100</v>
      </c>
      <c r="AB289" s="570" t="n">
        <v>583500</v>
      </c>
      <c r="AC289" s="570" t="n">
        <v>721900</v>
      </c>
      <c r="AD289" s="570" t="n">
        <v>537800</v>
      </c>
      <c r="AE289" s="570" t="n">
        <v>453700</v>
      </c>
      <c r="AF289" s="570" t="n">
        <v>380500</v>
      </c>
      <c r="AG289" s="570" t="n">
        <v>453300</v>
      </c>
      <c r="AH289" s="570" t="n">
        <v>182500</v>
      </c>
      <c r="AI289" s="570" t="n">
        <v>164100</v>
      </c>
      <c r="AJ289" s="570" t="n">
        <v>205200</v>
      </c>
      <c r="AK289" s="570" t="n">
        <v>154900</v>
      </c>
      <c r="AL289" s="570" t="n">
        <v>129600</v>
      </c>
      <c r="AM289" s="570" t="n">
        <v>260800</v>
      </c>
      <c r="AN289" s="570" t="n">
        <v>169100</v>
      </c>
      <c r="AO289" s="570" t="n">
        <v>185100</v>
      </c>
      <c r="AP289" s="570" t="n">
        <v>160800</v>
      </c>
      <c r="AQ289" s="570" t="n">
        <v>161200</v>
      </c>
      <c r="AR289" s="570" t="n">
        <v>230100</v>
      </c>
      <c r="AS289" s="570" t="n">
        <v>371000</v>
      </c>
      <c r="AT289" s="570" t="n">
        <v>445800</v>
      </c>
      <c r="AU289" s="570" t="n">
        <v>342400</v>
      </c>
      <c r="AV289" s="570" t="n">
        <v>278100</v>
      </c>
      <c r="AW289" s="570" t="n">
        <v>510400</v>
      </c>
      <c r="AX289" s="570" t="n">
        <v>564300</v>
      </c>
      <c r="AY289" s="570" t="n">
        <v>255400</v>
      </c>
      <c r="AZ289" s="570" t="n">
        <v>379100</v>
      </c>
      <c r="BA289" s="570" t="n">
        <v>211300</v>
      </c>
      <c r="BB289" s="570" t="n">
        <v>279200</v>
      </c>
      <c r="BC289" s="570" t="n">
        <v>227600</v>
      </c>
      <c r="BD289" s="570" t="n">
        <v>255000</v>
      </c>
      <c r="BE289" s="570" t="n">
        <v>387800</v>
      </c>
      <c r="BF289" s="570" t="n">
        <v>413400</v>
      </c>
      <c r="BG289" s="570" t="n">
        <v>545900</v>
      </c>
      <c r="BH289" s="570" t="n">
        <v>332400</v>
      </c>
      <c r="BI289" s="570" t="n">
        <v>382800</v>
      </c>
      <c r="BJ289" s="570" t="n">
        <v>548800</v>
      </c>
      <c r="BK289" s="570" t="n">
        <v>587800</v>
      </c>
      <c r="BL289" s="570" t="n">
        <v>392600</v>
      </c>
    </row>
    <row r="290">
      <c r="A290" s="417" t="inlineStr">
        <is>
          <t>6482</t>
        </is>
      </c>
      <c r="B290" s="570">
        <f>銘柄管理!C290</f>
        <v/>
      </c>
      <c r="C290" s="570">
        <f>_xll.RssMarket("6482","出来高")</f>
        <v/>
      </c>
      <c r="D290" s="684">
        <f>C290-E290</f>
        <v/>
      </c>
      <c r="E290" s="570" t="n">
        <v>56800</v>
      </c>
      <c r="F290" s="570" t="n">
        <v>45300</v>
      </c>
      <c r="G290" s="570" t="n">
        <v>69700</v>
      </c>
      <c r="H290" s="570" t="n">
        <v>155300</v>
      </c>
      <c r="I290" s="570" t="n">
        <v>83600</v>
      </c>
      <c r="J290" s="570" t="n">
        <v>52000</v>
      </c>
      <c r="K290" s="570" t="n">
        <v>64400</v>
      </c>
      <c r="L290" s="570" t="n">
        <v>53500</v>
      </c>
      <c r="M290" s="570" t="n">
        <v>76000</v>
      </c>
      <c r="N290" s="570" t="n">
        <v>54000</v>
      </c>
      <c r="O290" s="570" t="n">
        <v>77800</v>
      </c>
      <c r="P290" s="570" t="n">
        <v>62800</v>
      </c>
      <c r="Q290" s="570" t="n">
        <v>118300</v>
      </c>
      <c r="R290" s="570" t="n">
        <v>86300</v>
      </c>
      <c r="S290" s="570" t="n">
        <v>120700</v>
      </c>
      <c r="T290" s="570" t="n">
        <v>145300</v>
      </c>
      <c r="U290" s="570" t="n">
        <v>50700</v>
      </c>
      <c r="V290" s="570" t="n">
        <v>94600</v>
      </c>
      <c r="W290" s="570" t="n">
        <v>40700</v>
      </c>
      <c r="X290" s="570" t="n">
        <v>110300</v>
      </c>
      <c r="Y290" s="570" t="n">
        <v>99100</v>
      </c>
      <c r="Z290" s="570" t="n">
        <v>77200</v>
      </c>
      <c r="AA290" s="570" t="n">
        <v>57900</v>
      </c>
      <c r="AB290" s="570" t="n">
        <v>82400</v>
      </c>
      <c r="AC290" s="570" t="n">
        <v>50300</v>
      </c>
      <c r="AD290" s="570" t="n">
        <v>154200</v>
      </c>
      <c r="AE290" s="570" t="n">
        <v>103600</v>
      </c>
      <c r="AF290" s="570" t="n">
        <v>47200</v>
      </c>
      <c r="AG290" s="570" t="n">
        <v>74100</v>
      </c>
      <c r="AH290" s="570" t="n">
        <v>68900</v>
      </c>
      <c r="AI290" s="570" t="n">
        <v>53200</v>
      </c>
      <c r="AJ290" s="570" t="n">
        <v>59500</v>
      </c>
      <c r="AK290" s="570" t="n">
        <v>104400</v>
      </c>
      <c r="AL290" s="570" t="n">
        <v>40500</v>
      </c>
      <c r="AM290" s="570" t="n">
        <v>65500</v>
      </c>
      <c r="AN290" s="570" t="n">
        <v>35500</v>
      </c>
      <c r="AO290" s="570" t="n">
        <v>41300</v>
      </c>
      <c r="AP290" s="570" t="n">
        <v>28200</v>
      </c>
      <c r="AQ290" s="570" t="n">
        <v>40200</v>
      </c>
      <c r="AR290" s="570" t="n">
        <v>33900</v>
      </c>
      <c r="AS290" s="570" t="n">
        <v>32400</v>
      </c>
      <c r="AT290" s="570" t="n">
        <v>41900</v>
      </c>
      <c r="AU290" s="570" t="n">
        <v>38200</v>
      </c>
      <c r="AV290" s="570" t="n">
        <v>54500</v>
      </c>
      <c r="AW290" s="570" t="n">
        <v>55900</v>
      </c>
      <c r="AX290" s="570" t="n">
        <v>70200</v>
      </c>
      <c r="AY290" s="570" t="n">
        <v>37400</v>
      </c>
      <c r="AZ290" s="570" t="n">
        <v>39700</v>
      </c>
      <c r="BA290" s="570" t="n">
        <v>15800</v>
      </c>
      <c r="BB290" s="570" t="n">
        <v>44700</v>
      </c>
      <c r="BC290" s="570" t="n">
        <v>137800</v>
      </c>
      <c r="BD290" s="570" t="n">
        <v>111200</v>
      </c>
      <c r="BE290" s="570" t="n">
        <v>78500</v>
      </c>
      <c r="BF290" s="570" t="n">
        <v>108900</v>
      </c>
      <c r="BG290" s="570" t="n">
        <v>62500</v>
      </c>
      <c r="BH290" s="570" t="n">
        <v>88800</v>
      </c>
      <c r="BI290" s="570" t="n">
        <v>60800</v>
      </c>
      <c r="BJ290" s="570" t="n">
        <v>239100</v>
      </c>
      <c r="BK290" s="570" t="n">
        <v>242600</v>
      </c>
      <c r="BL290" s="570" t="n">
        <v>56000</v>
      </c>
    </row>
    <row r="291">
      <c r="A291" s="417" t="inlineStr">
        <is>
          <t>6706</t>
        </is>
      </c>
      <c r="B291" s="570">
        <f>銘柄管理!C291</f>
        <v/>
      </c>
      <c r="C291" s="570">
        <f>_xll.RssMarket("6706","出来高")</f>
        <v/>
      </c>
      <c r="D291" s="684">
        <f>C291-E291</f>
        <v/>
      </c>
      <c r="E291" s="570" t="n">
        <v>43600</v>
      </c>
      <c r="F291" s="570" t="n">
        <v>23900</v>
      </c>
      <c r="G291" s="570" t="n">
        <v>25900</v>
      </c>
      <c r="H291" s="570" t="n">
        <v>34000</v>
      </c>
      <c r="I291" s="570" t="n">
        <v>30000</v>
      </c>
      <c r="J291" s="570" t="n">
        <v>30100</v>
      </c>
      <c r="K291" s="570" t="n">
        <v>121100</v>
      </c>
      <c r="L291" s="570" t="n">
        <v>58400</v>
      </c>
      <c r="M291" s="570" t="n">
        <v>49500</v>
      </c>
      <c r="N291" s="570" t="n">
        <v>22900</v>
      </c>
      <c r="O291" s="570" t="n">
        <v>19400</v>
      </c>
      <c r="P291" s="570" t="n">
        <v>28000</v>
      </c>
      <c r="Q291" s="570" t="n">
        <v>25900</v>
      </c>
      <c r="R291" s="570" t="n">
        <v>25500</v>
      </c>
      <c r="S291" s="570" t="n">
        <v>26800</v>
      </c>
      <c r="T291" s="570" t="n">
        <v>18800</v>
      </c>
      <c r="U291" s="570" t="n">
        <v>28700</v>
      </c>
      <c r="V291" s="570" t="n">
        <v>20700</v>
      </c>
      <c r="W291" s="570" t="n">
        <v>16600</v>
      </c>
      <c r="X291" s="570" t="n">
        <v>54000</v>
      </c>
      <c r="Y291" s="570" t="n">
        <v>78600</v>
      </c>
      <c r="Z291" s="570" t="n">
        <v>68600</v>
      </c>
      <c r="AA291" s="570" t="n">
        <v>61900</v>
      </c>
      <c r="AB291" s="570" t="n">
        <v>28100</v>
      </c>
      <c r="AC291" s="570" t="n">
        <v>19400</v>
      </c>
      <c r="AD291" s="570" t="n">
        <v>32500</v>
      </c>
      <c r="AE291" s="570" t="n">
        <v>31800</v>
      </c>
      <c r="AF291" s="570" t="n">
        <v>23900</v>
      </c>
      <c r="AG291" s="570" t="n">
        <v>46700</v>
      </c>
      <c r="AH291" s="570" t="n">
        <v>51800</v>
      </c>
      <c r="AI291" s="570" t="n">
        <v>22900</v>
      </c>
      <c r="AJ291" s="570" t="n">
        <v>30000</v>
      </c>
      <c r="AK291" s="570" t="n">
        <v>15700</v>
      </c>
      <c r="AL291" s="570" t="n">
        <v>16900</v>
      </c>
      <c r="AM291" s="570" t="n">
        <v>38700</v>
      </c>
      <c r="AN291" s="570" t="n">
        <v>44400</v>
      </c>
      <c r="AO291" s="570" t="n">
        <v>31300</v>
      </c>
      <c r="AP291" s="570" t="n">
        <v>31400</v>
      </c>
      <c r="AQ291" s="570" t="n">
        <v>26400</v>
      </c>
      <c r="AR291" s="570" t="n">
        <v>22200</v>
      </c>
      <c r="AS291" s="570" t="n">
        <v>28900</v>
      </c>
      <c r="AT291" s="570" t="n">
        <v>50300</v>
      </c>
      <c r="AU291" s="570" t="n">
        <v>37500</v>
      </c>
      <c r="AV291" s="570" t="n">
        <v>21900</v>
      </c>
      <c r="AW291" s="570" t="n">
        <v>25200</v>
      </c>
      <c r="AX291" s="570" t="n">
        <v>28600</v>
      </c>
      <c r="AY291" s="570" t="n">
        <v>16000</v>
      </c>
      <c r="AZ291" s="570" t="n">
        <v>14300</v>
      </c>
      <c r="BA291" s="570" t="n">
        <v>9800</v>
      </c>
      <c r="BB291" s="570" t="n">
        <v>20000</v>
      </c>
      <c r="BC291" s="570" t="n">
        <v>21500</v>
      </c>
      <c r="BD291" s="570" t="n">
        <v>22900</v>
      </c>
      <c r="BE291" s="570" t="n">
        <v>51100</v>
      </c>
      <c r="BF291" s="570" t="n">
        <v>34000</v>
      </c>
      <c r="BG291" s="570" t="n">
        <v>20000</v>
      </c>
      <c r="BH291" s="570" t="n">
        <v>31500</v>
      </c>
      <c r="BI291" s="570" t="n">
        <v>21800</v>
      </c>
      <c r="BJ291" s="570" t="n">
        <v>44400</v>
      </c>
      <c r="BK291" s="570" t="n">
        <v>123200</v>
      </c>
      <c r="BL291" s="570" t="n">
        <v>31000</v>
      </c>
    </row>
    <row r="292">
      <c r="A292" s="417" t="inlineStr">
        <is>
          <t>8141</t>
        </is>
      </c>
      <c r="B292" s="570">
        <f>銘柄管理!C292</f>
        <v/>
      </c>
      <c r="C292" s="570">
        <f>_xll.RssMarket("8141","出来高")</f>
        <v/>
      </c>
      <c r="D292" s="684">
        <f>C292-E292</f>
        <v/>
      </c>
      <c r="E292" s="570" t="n">
        <v>200500</v>
      </c>
      <c r="F292" s="570" t="n">
        <v>331200</v>
      </c>
      <c r="G292" s="570" t="n">
        <v>217800</v>
      </c>
      <c r="H292" s="570" t="n">
        <v>280500</v>
      </c>
      <c r="I292" s="570" t="n">
        <v>254200</v>
      </c>
      <c r="J292" s="570" t="n">
        <v>233900</v>
      </c>
      <c r="K292" s="570" t="n">
        <v>175100</v>
      </c>
      <c r="L292" s="570" t="n">
        <v>659800</v>
      </c>
      <c r="M292" s="570" t="n">
        <v>485100</v>
      </c>
      <c r="N292" s="570" t="n">
        <v>327500</v>
      </c>
      <c r="O292" s="570" t="n">
        <v>441900</v>
      </c>
      <c r="P292" s="570" t="n">
        <v>722600</v>
      </c>
      <c r="Q292" s="570" t="n">
        <v>910500</v>
      </c>
      <c r="R292" s="570" t="n">
        <v>810400</v>
      </c>
      <c r="S292" s="570" t="n">
        <v>923500</v>
      </c>
      <c r="T292" s="570" t="n">
        <v>1593800</v>
      </c>
      <c r="U292" s="570" t="n">
        <v>1206200</v>
      </c>
      <c r="V292" s="570" t="n">
        <v>747200</v>
      </c>
      <c r="W292" s="570" t="n">
        <v>991700</v>
      </c>
      <c r="X292" s="570" t="n">
        <v>1032900</v>
      </c>
      <c r="Y292" s="570" t="n">
        <v>1057000</v>
      </c>
      <c r="Z292" s="570" t="n">
        <v>2677200</v>
      </c>
      <c r="AA292" s="570" t="n">
        <v>391000</v>
      </c>
      <c r="AB292" s="570" t="n">
        <v>328500</v>
      </c>
      <c r="AC292" s="570" t="n">
        <v>929500</v>
      </c>
      <c r="AD292" s="570" t="n">
        <v>221400</v>
      </c>
      <c r="AE292" s="570" t="n">
        <v>372600</v>
      </c>
      <c r="AF292" s="570" t="n">
        <v>289800</v>
      </c>
      <c r="AG292" s="570" t="n">
        <v>341500</v>
      </c>
      <c r="AH292" s="570" t="n">
        <v>215600</v>
      </c>
      <c r="AI292" s="570" t="n">
        <v>397900</v>
      </c>
      <c r="AJ292" s="570" t="n">
        <v>198200</v>
      </c>
      <c r="AK292" s="570" t="n">
        <v>147000</v>
      </c>
      <c r="AL292" s="570" t="n">
        <v>152600</v>
      </c>
      <c r="AM292" s="570" t="n">
        <v>283100</v>
      </c>
      <c r="AN292" s="570" t="n">
        <v>296700</v>
      </c>
      <c r="AO292" s="570" t="n">
        <v>243000</v>
      </c>
      <c r="AP292" s="570" t="n">
        <v>444500</v>
      </c>
      <c r="AQ292" s="570" t="n">
        <v>223800</v>
      </c>
      <c r="AR292" s="570" t="n">
        <v>228900</v>
      </c>
      <c r="AS292" s="570" t="n">
        <v>271300</v>
      </c>
      <c r="AT292" s="570" t="n">
        <v>432700</v>
      </c>
      <c r="AU292" s="570" t="n">
        <v>201600</v>
      </c>
      <c r="AV292" s="570" t="n">
        <v>132600</v>
      </c>
      <c r="AW292" s="570" t="n">
        <v>126500</v>
      </c>
      <c r="AX292" s="570" t="n">
        <v>164900</v>
      </c>
      <c r="AY292" s="570" t="n">
        <v>180800</v>
      </c>
      <c r="AZ292" s="570" t="n">
        <v>95800</v>
      </c>
      <c r="BA292" s="570" t="n">
        <v>256100</v>
      </c>
      <c r="BB292" s="570" t="n">
        <v>129600</v>
      </c>
      <c r="BC292" s="570" t="n">
        <v>159800</v>
      </c>
      <c r="BD292" s="570" t="n">
        <v>241100</v>
      </c>
      <c r="BE292" s="570" t="n">
        <v>406600</v>
      </c>
      <c r="BF292" s="570" t="n">
        <v>307600</v>
      </c>
      <c r="BG292" s="570" t="n">
        <v>706800</v>
      </c>
      <c r="BH292" s="570" t="n">
        <v>879500</v>
      </c>
      <c r="BI292" s="570" t="n">
        <v>54200</v>
      </c>
      <c r="BJ292" s="570" t="n">
        <v>122600</v>
      </c>
      <c r="BK292" s="570" t="n">
        <v>133100</v>
      </c>
      <c r="BL292" s="570" t="n">
        <v>34700</v>
      </c>
    </row>
    <row r="293">
      <c r="A293" s="417" t="inlineStr">
        <is>
          <t>8344</t>
        </is>
      </c>
      <c r="B293" s="570">
        <f>銘柄管理!C293</f>
        <v/>
      </c>
      <c r="C293" s="570">
        <f>_xll.RssMarket("8344","出来高")</f>
        <v/>
      </c>
      <c r="D293" s="684">
        <f>C293-E293</f>
        <v/>
      </c>
      <c r="E293" s="570" t="n">
        <v>84700</v>
      </c>
      <c r="F293" s="570" t="n">
        <v>172400</v>
      </c>
      <c r="G293" s="570" t="n">
        <v>112400</v>
      </c>
      <c r="H293" s="570" t="n">
        <v>143900</v>
      </c>
      <c r="I293" s="570" t="n">
        <v>104600</v>
      </c>
      <c r="J293" s="570" t="n">
        <v>207100</v>
      </c>
      <c r="K293" s="570" t="n">
        <v>146300</v>
      </c>
      <c r="L293" s="570" t="n">
        <v>234500</v>
      </c>
      <c r="M293" s="570" t="n">
        <v>100100</v>
      </c>
      <c r="N293" s="570" t="n">
        <v>60600</v>
      </c>
      <c r="O293" s="570" t="n">
        <v>99600</v>
      </c>
      <c r="P293" s="570" t="n">
        <v>91700</v>
      </c>
      <c r="Q293" s="570" t="n">
        <v>102700</v>
      </c>
      <c r="R293" s="570" t="n">
        <v>101000</v>
      </c>
      <c r="S293" s="570" t="n">
        <v>112100</v>
      </c>
      <c r="T293" s="570" t="n">
        <v>125500</v>
      </c>
      <c r="U293" s="570" t="n">
        <v>123600</v>
      </c>
      <c r="V293" s="570" t="n">
        <v>124000</v>
      </c>
      <c r="W293" s="570" t="n">
        <v>121000</v>
      </c>
      <c r="X293" s="570" t="n">
        <v>162600</v>
      </c>
      <c r="Y293" s="570" t="n">
        <v>216600</v>
      </c>
      <c r="Z293" s="570" t="n">
        <v>397800</v>
      </c>
      <c r="AA293" s="570" t="n">
        <v>144000</v>
      </c>
      <c r="AB293" s="570" t="n">
        <v>136900</v>
      </c>
      <c r="AC293" s="570" t="n">
        <v>105100</v>
      </c>
      <c r="AD293" s="570" t="n">
        <v>84500</v>
      </c>
      <c r="AE293" s="570" t="n">
        <v>79800</v>
      </c>
      <c r="AF293" s="570" t="n">
        <v>142100</v>
      </c>
      <c r="AG293" s="570" t="n">
        <v>126500</v>
      </c>
      <c r="AH293" s="570" t="n">
        <v>69800</v>
      </c>
      <c r="AI293" s="570" t="n">
        <v>96100</v>
      </c>
      <c r="AJ293" s="570" t="n">
        <v>109400</v>
      </c>
      <c r="AK293" s="570" t="n">
        <v>86700</v>
      </c>
      <c r="AL293" s="570" t="n">
        <v>81500</v>
      </c>
      <c r="AM293" s="570" t="n">
        <v>91100</v>
      </c>
      <c r="AN293" s="570" t="n">
        <v>105400</v>
      </c>
      <c r="AO293" s="570" t="n">
        <v>78600</v>
      </c>
      <c r="AP293" s="570" t="n">
        <v>121500</v>
      </c>
      <c r="AQ293" s="570" t="n">
        <v>149300</v>
      </c>
      <c r="AR293" s="570" t="n">
        <v>86900</v>
      </c>
      <c r="AS293" s="570" t="n">
        <v>97200</v>
      </c>
      <c r="AT293" s="570" t="n">
        <v>69900</v>
      </c>
      <c r="AU293" s="570" t="n">
        <v>67400</v>
      </c>
      <c r="AV293" s="570" t="n">
        <v>88100</v>
      </c>
      <c r="AW293" s="570" t="n">
        <v>71200</v>
      </c>
      <c r="AX293" s="570" t="n">
        <v>81900</v>
      </c>
      <c r="AY293" s="570" t="n">
        <v>68400</v>
      </c>
      <c r="AZ293" s="570" t="n">
        <v>52400</v>
      </c>
      <c r="BA293" s="570" t="n">
        <v>77600</v>
      </c>
      <c r="BB293" s="570" t="n">
        <v>93400</v>
      </c>
      <c r="BC293" s="570" t="n">
        <v>132600</v>
      </c>
      <c r="BD293" s="570" t="n">
        <v>99700</v>
      </c>
      <c r="BE293" s="570" t="n">
        <v>143100</v>
      </c>
      <c r="BF293" s="570" t="n">
        <v>183600</v>
      </c>
      <c r="BG293" s="570" t="n">
        <v>90900</v>
      </c>
      <c r="BH293" s="570" t="n">
        <v>105500</v>
      </c>
      <c r="BI293" s="570" t="n">
        <v>80800</v>
      </c>
      <c r="BJ293" s="570" t="n">
        <v>126900</v>
      </c>
      <c r="BK293" s="570" t="n">
        <v>86500</v>
      </c>
      <c r="BL293" s="570" t="n">
        <v>90400</v>
      </c>
    </row>
    <row r="294">
      <c r="A294" s="417" t="inlineStr">
        <is>
          <t>7414</t>
        </is>
      </c>
      <c r="B294" s="570">
        <f>銘柄管理!C294</f>
        <v/>
      </c>
      <c r="C294" s="570">
        <f>_xll.RssMarket("7414","出来高")</f>
        <v/>
      </c>
      <c r="D294" s="684">
        <f>C294-E294</f>
        <v/>
      </c>
      <c r="E294" s="570" t="n">
        <v>70900</v>
      </c>
      <c r="F294" s="570" t="n">
        <v>105700</v>
      </c>
      <c r="G294" s="570" t="n">
        <v>39000</v>
      </c>
      <c r="H294" s="570" t="n">
        <v>49200</v>
      </c>
      <c r="I294" s="570" t="n">
        <v>33100</v>
      </c>
      <c r="J294" s="570" t="n">
        <v>79300</v>
      </c>
      <c r="K294" s="570" t="n">
        <v>71000</v>
      </c>
      <c r="L294" s="570" t="n">
        <v>72100</v>
      </c>
      <c r="M294" s="570" t="n">
        <v>49800</v>
      </c>
      <c r="N294" s="570" t="n">
        <v>59700</v>
      </c>
      <c r="O294" s="570" t="n">
        <v>57000</v>
      </c>
      <c r="P294" s="570" t="n">
        <v>108700</v>
      </c>
      <c r="Q294" s="570" t="n">
        <v>310700</v>
      </c>
      <c r="R294" s="570" t="n">
        <v>56000</v>
      </c>
      <c r="S294" s="570" t="n">
        <v>62800</v>
      </c>
      <c r="T294" s="570" t="n">
        <v>65000</v>
      </c>
      <c r="U294" s="570" t="n">
        <v>108600</v>
      </c>
      <c r="V294" s="570" t="n">
        <v>73700</v>
      </c>
      <c r="W294" s="570" t="n">
        <v>79000</v>
      </c>
      <c r="X294" s="570" t="n">
        <v>117200</v>
      </c>
      <c r="Y294" s="570" t="n">
        <v>74100</v>
      </c>
      <c r="Z294" s="570" t="n">
        <v>152300</v>
      </c>
      <c r="AA294" s="570" t="n">
        <v>158500</v>
      </c>
      <c r="AB294" s="570" t="n">
        <v>108800</v>
      </c>
      <c r="AC294" s="570" t="n">
        <v>27100</v>
      </c>
      <c r="AD294" s="570" t="n">
        <v>55400</v>
      </c>
      <c r="AE294" s="570" t="n">
        <v>42600</v>
      </c>
      <c r="AF294" s="570" t="n">
        <v>35000</v>
      </c>
      <c r="AG294" s="570" t="n">
        <v>67800</v>
      </c>
      <c r="AH294" s="570" t="n">
        <v>40600</v>
      </c>
      <c r="AI294" s="570" t="n">
        <v>53300</v>
      </c>
      <c r="AJ294" s="570" t="n">
        <v>54300</v>
      </c>
      <c r="AK294" s="570" t="n">
        <v>52600</v>
      </c>
      <c r="AL294" s="570" t="n">
        <v>62400</v>
      </c>
      <c r="AM294" s="570" t="n">
        <v>55600</v>
      </c>
      <c r="AN294" s="570" t="n">
        <v>31500</v>
      </c>
      <c r="AO294" s="570" t="n">
        <v>37000</v>
      </c>
      <c r="AP294" s="570" t="n">
        <v>58100</v>
      </c>
      <c r="AQ294" s="570" t="n">
        <v>29200</v>
      </c>
      <c r="AR294" s="570" t="n">
        <v>49800</v>
      </c>
      <c r="AS294" s="570" t="n">
        <v>45800</v>
      </c>
      <c r="AT294" s="570" t="n">
        <v>27600</v>
      </c>
      <c r="AU294" s="570" t="n">
        <v>63900</v>
      </c>
      <c r="AV294" s="570" t="n">
        <v>32500</v>
      </c>
      <c r="AW294" s="570" t="n">
        <v>39100</v>
      </c>
      <c r="AX294" s="570" t="n">
        <v>52800</v>
      </c>
      <c r="AY294" s="570" t="n">
        <v>164400</v>
      </c>
      <c r="AZ294" s="570" t="n">
        <v>20900</v>
      </c>
      <c r="BA294" s="570" t="n">
        <v>20700</v>
      </c>
      <c r="BB294" s="570" t="n">
        <v>37600</v>
      </c>
      <c r="BC294" s="570" t="n">
        <v>102200</v>
      </c>
      <c r="BD294" s="570" t="n">
        <v>49400</v>
      </c>
      <c r="BE294" s="570" t="n">
        <v>91800</v>
      </c>
      <c r="BF294" s="570" t="n">
        <v>107500</v>
      </c>
      <c r="BG294" s="570" t="n">
        <v>51800</v>
      </c>
      <c r="BH294" s="570" t="n">
        <v>45000</v>
      </c>
      <c r="BI294" s="570" t="n">
        <v>26100</v>
      </c>
      <c r="BJ294" s="570" t="n">
        <v>74600</v>
      </c>
      <c r="BK294" s="570" t="n">
        <v>53500</v>
      </c>
      <c r="BL294" s="570" t="n">
        <v>35700</v>
      </c>
    </row>
    <row r="295">
      <c r="A295" s="417" t="inlineStr">
        <is>
          <t>6407</t>
        </is>
      </c>
      <c r="B295" s="570">
        <f>銘柄管理!C295</f>
        <v/>
      </c>
      <c r="C295" s="570">
        <f>_xll.RssMarket("6407","出来高")</f>
        <v/>
      </c>
      <c r="D295" s="684">
        <f>C295-E295</f>
        <v/>
      </c>
      <c r="E295" s="570" t="n">
        <v>670900</v>
      </c>
      <c r="F295" s="570" t="n">
        <v>1041100</v>
      </c>
      <c r="G295" s="570" t="n">
        <v>1038000</v>
      </c>
      <c r="H295" s="570" t="n">
        <v>460000</v>
      </c>
      <c r="I295" s="570" t="n">
        <v>845300</v>
      </c>
      <c r="J295" s="570" t="n">
        <v>1169400</v>
      </c>
      <c r="K295" s="570" t="n">
        <v>634400</v>
      </c>
      <c r="L295" s="570" t="n">
        <v>891700</v>
      </c>
      <c r="M295" s="570" t="n">
        <v>722200</v>
      </c>
      <c r="N295" s="570" t="n">
        <v>534600</v>
      </c>
      <c r="O295" s="570" t="n">
        <v>550600</v>
      </c>
      <c r="P295" s="570" t="n">
        <v>889900</v>
      </c>
      <c r="Q295" s="570" t="n">
        <v>655200</v>
      </c>
      <c r="R295" s="570" t="n">
        <v>951800</v>
      </c>
      <c r="S295" s="570" t="n">
        <v>463000</v>
      </c>
      <c r="T295" s="570" t="n">
        <v>432800</v>
      </c>
      <c r="U295" s="570" t="n">
        <v>1132100</v>
      </c>
      <c r="V295" s="570" t="n">
        <v>1395200</v>
      </c>
      <c r="W295" s="570" t="n">
        <v>810100</v>
      </c>
      <c r="X295" s="570" t="n">
        <v>1148500</v>
      </c>
      <c r="Y295" s="570" t="n">
        <v>1125600</v>
      </c>
      <c r="Z295" s="570" t="n">
        <v>1627400</v>
      </c>
      <c r="AA295" s="570" t="n">
        <v>1024100</v>
      </c>
      <c r="AB295" s="570" t="n">
        <v>778800</v>
      </c>
      <c r="AC295" s="570" t="n">
        <v>574900</v>
      </c>
      <c r="AD295" s="570" t="n">
        <v>713100</v>
      </c>
      <c r="AE295" s="570" t="n">
        <v>619700</v>
      </c>
      <c r="AF295" s="570" t="n">
        <v>572000</v>
      </c>
      <c r="AG295" s="570" t="n">
        <v>881100</v>
      </c>
      <c r="AH295" s="570" t="n">
        <v>226900</v>
      </c>
      <c r="AI295" s="570" t="n">
        <v>768200</v>
      </c>
      <c r="AJ295" s="570" t="n">
        <v>411400</v>
      </c>
      <c r="AK295" s="570" t="n">
        <v>587000</v>
      </c>
      <c r="AL295" s="570" t="n">
        <v>267200</v>
      </c>
      <c r="AM295" s="570" t="n">
        <v>462900</v>
      </c>
      <c r="AN295" s="570" t="n">
        <v>543300</v>
      </c>
      <c r="AO295" s="570" t="n">
        <v>355900</v>
      </c>
      <c r="AP295" s="570" t="n">
        <v>264300</v>
      </c>
      <c r="AQ295" s="570" t="n">
        <v>346000</v>
      </c>
      <c r="AR295" s="570" t="n">
        <v>534800</v>
      </c>
      <c r="AS295" s="570" t="n">
        <v>602200</v>
      </c>
      <c r="AT295" s="570" t="n">
        <v>457300</v>
      </c>
      <c r="AU295" s="570" t="n">
        <v>1806000</v>
      </c>
      <c r="AV295" s="570" t="n">
        <v>1148200</v>
      </c>
      <c r="AW295" s="570" t="n">
        <v>561200</v>
      </c>
      <c r="AX295" s="570" t="n">
        <v>786100</v>
      </c>
      <c r="AY295" s="570" t="n">
        <v>298400</v>
      </c>
      <c r="AZ295" s="570" t="n">
        <v>418200</v>
      </c>
      <c r="BA295" s="570" t="n">
        <v>800700</v>
      </c>
      <c r="BB295" s="570" t="n">
        <v>763100</v>
      </c>
      <c r="BC295" s="570" t="n">
        <v>743800</v>
      </c>
      <c r="BD295" s="570" t="n">
        <v>694700</v>
      </c>
      <c r="BE295" s="570" t="n">
        <v>602200</v>
      </c>
      <c r="BF295" s="570" t="n">
        <v>572400</v>
      </c>
      <c r="BG295" s="570" t="n">
        <v>461600</v>
      </c>
      <c r="BH295" s="570" t="n">
        <v>737500</v>
      </c>
      <c r="BI295" s="570" t="n">
        <v>512700</v>
      </c>
      <c r="BJ295" s="570" t="n">
        <v>496200</v>
      </c>
      <c r="BK295" s="570" t="n">
        <v>507600</v>
      </c>
      <c r="BL295" s="570" t="n">
        <v>684000</v>
      </c>
    </row>
    <row r="296">
      <c r="A296" s="417" t="inlineStr">
        <is>
          <t>7048</t>
        </is>
      </c>
      <c r="B296" s="570">
        <f>銘柄管理!C296</f>
        <v/>
      </c>
      <c r="C296" s="570">
        <f>_xll.RssMarket("7048","出来高")</f>
        <v/>
      </c>
      <c r="D296" s="684">
        <f>C296-E296</f>
        <v/>
      </c>
      <c r="E296" s="570" t="n">
        <v>1223400</v>
      </c>
      <c r="F296" s="570" t="n">
        <v>883500</v>
      </c>
      <c r="G296" s="570" t="n">
        <v>1377600</v>
      </c>
      <c r="H296" s="570" t="n">
        <v>234600</v>
      </c>
      <c r="I296" s="570" t="n">
        <v>674300</v>
      </c>
      <c r="J296" s="570" t="n">
        <v>143300</v>
      </c>
      <c r="K296" s="570" t="n">
        <v>149100</v>
      </c>
      <c r="L296" s="570" t="n">
        <v>262900</v>
      </c>
      <c r="M296" s="570" t="n">
        <v>98200</v>
      </c>
      <c r="N296" s="570" t="n">
        <v>204600</v>
      </c>
      <c r="O296" s="570" t="n">
        <v>162300</v>
      </c>
      <c r="P296" s="570" t="n">
        <v>94400</v>
      </c>
      <c r="Q296" s="570" t="n">
        <v>115000</v>
      </c>
      <c r="R296" s="570" t="n">
        <v>94800</v>
      </c>
      <c r="S296" s="570" t="n">
        <v>111500</v>
      </c>
      <c r="T296" s="570" t="n">
        <v>144700</v>
      </c>
      <c r="U296" s="570" t="n">
        <v>322300</v>
      </c>
      <c r="V296" s="570" t="n">
        <v>103900</v>
      </c>
      <c r="W296" s="570" t="n">
        <v>59400</v>
      </c>
      <c r="X296" s="570" t="n">
        <v>247100</v>
      </c>
      <c r="Y296" s="570" t="n">
        <v>134500</v>
      </c>
      <c r="Z296" s="570" t="n">
        <v>226800</v>
      </c>
      <c r="AA296" s="570" t="n">
        <v>535400</v>
      </c>
      <c r="AB296" s="570" t="n">
        <v>131500</v>
      </c>
      <c r="AC296" s="570" t="n">
        <v>96700</v>
      </c>
      <c r="AD296" s="570" t="n">
        <v>140900</v>
      </c>
      <c r="AE296" s="570" t="n">
        <v>112500</v>
      </c>
      <c r="AF296" s="570" t="n">
        <v>41100</v>
      </c>
      <c r="AG296" s="570" t="n">
        <v>57500</v>
      </c>
      <c r="AH296" s="570" t="n">
        <v>75600</v>
      </c>
      <c r="AI296" s="570" t="n">
        <v>100200</v>
      </c>
      <c r="AJ296" s="570" t="n">
        <v>126200</v>
      </c>
      <c r="AK296" s="570" t="n">
        <v>150000</v>
      </c>
      <c r="AL296" s="570" t="n">
        <v>218600</v>
      </c>
      <c r="AM296" s="570" t="n">
        <v>262300</v>
      </c>
      <c r="AN296" s="570" t="n">
        <v>179100</v>
      </c>
      <c r="AO296" s="570" t="n">
        <v>168700</v>
      </c>
      <c r="AP296" s="570" t="n">
        <v>162200</v>
      </c>
      <c r="AQ296" s="570" t="n">
        <v>432800</v>
      </c>
      <c r="AR296" s="570" t="n">
        <v>93600</v>
      </c>
      <c r="AS296" s="570" t="n">
        <v>204500</v>
      </c>
      <c r="AT296" s="570" t="n">
        <v>151000</v>
      </c>
      <c r="AU296" s="570" t="n">
        <v>140500</v>
      </c>
      <c r="AV296" s="570" t="n">
        <v>276300</v>
      </c>
      <c r="AW296" s="570" t="n">
        <v>205100</v>
      </c>
      <c r="AX296" s="570" t="n">
        <v>266500</v>
      </c>
      <c r="AY296" s="570" t="n">
        <v>101600</v>
      </c>
      <c r="AZ296" s="570" t="n">
        <v>164700</v>
      </c>
      <c r="BA296" s="570" t="n">
        <v>105900</v>
      </c>
      <c r="BB296" s="570" t="n">
        <v>223300</v>
      </c>
      <c r="BC296" s="570" t="n">
        <v>248400</v>
      </c>
      <c r="BD296" s="570" t="n">
        <v>119500</v>
      </c>
      <c r="BE296" s="570" t="n">
        <v>269800</v>
      </c>
      <c r="BF296" s="570" t="n">
        <v>267300</v>
      </c>
      <c r="BG296" s="570" t="n">
        <v>236500</v>
      </c>
      <c r="BH296" s="570" t="n">
        <v>250300</v>
      </c>
      <c r="BI296" s="570" t="n">
        <v>174900</v>
      </c>
      <c r="BJ296" s="570" t="n">
        <v>280400</v>
      </c>
      <c r="BK296" s="570" t="n">
        <v>431900</v>
      </c>
      <c r="BL296" s="570" t="n">
        <v>86800</v>
      </c>
    </row>
    <row r="297">
      <c r="A297" s="417" t="inlineStr">
        <is>
          <t>1808</t>
        </is>
      </c>
      <c r="B297" s="570">
        <f>銘柄管理!C297</f>
        <v/>
      </c>
      <c r="C297" s="570">
        <f>_xll.RssMarket("1808","出来高")</f>
        <v/>
      </c>
      <c r="D297" s="684">
        <f>C297-E297</f>
        <v/>
      </c>
      <c r="E297" s="570" t="n">
        <v>1200300</v>
      </c>
      <c r="F297" s="570" t="n">
        <v>3079200</v>
      </c>
      <c r="G297" s="570" t="n">
        <v>1067600</v>
      </c>
      <c r="H297" s="570" t="n">
        <v>1091500</v>
      </c>
      <c r="I297" s="570" t="n">
        <v>947300</v>
      </c>
      <c r="J297" s="570" t="n">
        <v>1777300</v>
      </c>
      <c r="K297" s="570" t="n">
        <v>1167600</v>
      </c>
      <c r="L297" s="570" t="n">
        <v>1261800</v>
      </c>
      <c r="M297" s="570" t="n">
        <v>843500</v>
      </c>
      <c r="N297" s="570" t="n">
        <v>710000</v>
      </c>
      <c r="O297" s="570" t="n">
        <v>643300</v>
      </c>
      <c r="P297" s="570" t="n">
        <v>661400</v>
      </c>
      <c r="Q297" s="570" t="n">
        <v>868400</v>
      </c>
      <c r="R297" s="570" t="n">
        <v>1193600</v>
      </c>
      <c r="S297" s="570" t="n">
        <v>653800</v>
      </c>
      <c r="T297" s="570" t="n">
        <v>696200</v>
      </c>
      <c r="U297" s="570" t="n">
        <v>1051400</v>
      </c>
      <c r="V297" s="570" t="n">
        <v>932100</v>
      </c>
      <c r="W297" s="570" t="n">
        <v>1082200</v>
      </c>
      <c r="X297" s="570" t="n">
        <v>1708300</v>
      </c>
      <c r="Y297" s="570" t="n">
        <v>1560500</v>
      </c>
      <c r="Z297" s="570" t="n">
        <v>2216100</v>
      </c>
      <c r="AA297" s="570" t="n">
        <v>1224400</v>
      </c>
      <c r="AB297" s="570" t="n">
        <v>1122900</v>
      </c>
      <c r="AC297" s="570" t="n">
        <v>955400</v>
      </c>
      <c r="AD297" s="570" t="n">
        <v>1199500</v>
      </c>
      <c r="AE297" s="570" t="n">
        <v>978100</v>
      </c>
      <c r="AF297" s="570" t="n">
        <v>864800</v>
      </c>
      <c r="AG297" s="570" t="n">
        <v>1639300</v>
      </c>
      <c r="AH297" s="570" t="n">
        <v>788300</v>
      </c>
      <c r="AI297" s="570" t="n">
        <v>1640200</v>
      </c>
      <c r="AJ297" s="570" t="n">
        <v>1110300</v>
      </c>
      <c r="AK297" s="570" t="n">
        <v>1015100</v>
      </c>
      <c r="AL297" s="570" t="n">
        <v>825900</v>
      </c>
      <c r="AM297" s="570" t="n">
        <v>644500</v>
      </c>
      <c r="AN297" s="570" t="n">
        <v>966800</v>
      </c>
      <c r="AO297" s="570" t="n">
        <v>1241200</v>
      </c>
      <c r="AP297" s="570" t="n">
        <v>1160400</v>
      </c>
      <c r="AQ297" s="570" t="n">
        <v>943300</v>
      </c>
      <c r="AR297" s="570" t="n">
        <v>1448700</v>
      </c>
      <c r="AS297" s="570" t="n">
        <v>1502500</v>
      </c>
      <c r="AT297" s="570" t="n">
        <v>2441900</v>
      </c>
      <c r="AU297" s="570" t="n">
        <v>1032100</v>
      </c>
      <c r="AV297" s="570" t="n">
        <v>780500</v>
      </c>
      <c r="AW297" s="570" t="n">
        <v>749800</v>
      </c>
      <c r="AX297" s="570" t="n">
        <v>816000</v>
      </c>
      <c r="AY297" s="570" t="n">
        <v>566700</v>
      </c>
      <c r="AZ297" s="570" t="n">
        <v>430200</v>
      </c>
      <c r="BA297" s="570" t="n">
        <v>668100</v>
      </c>
      <c r="BB297" s="570" t="n">
        <v>728800</v>
      </c>
      <c r="BC297" s="570" t="n">
        <v>783000</v>
      </c>
      <c r="BD297" s="570" t="n">
        <v>810100</v>
      </c>
      <c r="BE297" s="570" t="n">
        <v>843200</v>
      </c>
      <c r="BF297" s="570" t="n">
        <v>881300</v>
      </c>
      <c r="BG297" s="570" t="n">
        <v>986800</v>
      </c>
      <c r="BH297" s="570" t="n">
        <v>1048400</v>
      </c>
      <c r="BI297" s="570" t="n">
        <v>696500</v>
      </c>
      <c r="BJ297" s="570" t="n">
        <v>998600</v>
      </c>
      <c r="BK297" s="570" t="n">
        <v>1337700</v>
      </c>
      <c r="BL297" s="570" t="n">
        <v>611800</v>
      </c>
    </row>
    <row r="298">
      <c r="A298" s="417" t="inlineStr">
        <is>
          <t>4208</t>
        </is>
      </c>
      <c r="B298" s="570">
        <f>銘柄管理!C298</f>
        <v/>
      </c>
      <c r="C298" s="570">
        <f>_xll.RssMarket("4208","出来高")</f>
        <v/>
      </c>
      <c r="D298" s="684">
        <f>C298-E298</f>
        <v/>
      </c>
      <c r="E298" s="570" t="n">
        <v>727300</v>
      </c>
      <c r="F298" s="570" t="n">
        <v>1425300</v>
      </c>
      <c r="G298" s="570" t="n">
        <v>1298600</v>
      </c>
      <c r="H298" s="570" t="n">
        <v>582200</v>
      </c>
      <c r="I298" s="570" t="n">
        <v>871300</v>
      </c>
      <c r="J298" s="570" t="n">
        <v>963600</v>
      </c>
      <c r="K298" s="570" t="n">
        <v>858100</v>
      </c>
      <c r="L298" s="570" t="n">
        <v>1180000</v>
      </c>
      <c r="M298" s="570" t="n">
        <v>1332500</v>
      </c>
      <c r="N298" s="570" t="n">
        <v>1015700</v>
      </c>
      <c r="O298" s="570" t="n">
        <v>788500</v>
      </c>
      <c r="P298" s="570" t="n">
        <v>1035600</v>
      </c>
      <c r="Q298" s="570" t="n">
        <v>1217200</v>
      </c>
      <c r="R298" s="570" t="n">
        <v>1325300</v>
      </c>
      <c r="S298" s="570" t="n">
        <v>1572200</v>
      </c>
      <c r="T298" s="570" t="n">
        <v>1298900</v>
      </c>
      <c r="U298" s="570" t="n">
        <v>1424500</v>
      </c>
      <c r="V298" s="570" t="n">
        <v>1791400</v>
      </c>
      <c r="W298" s="570" t="n">
        <v>4846200</v>
      </c>
      <c r="X298" s="570" t="n">
        <v>7261500</v>
      </c>
      <c r="Y298" s="570" t="n">
        <v>1305200</v>
      </c>
      <c r="Z298" s="570" t="n">
        <v>1224000</v>
      </c>
      <c r="AA298" s="570" t="n">
        <v>1569300</v>
      </c>
      <c r="AB298" s="570" t="n">
        <v>2259100</v>
      </c>
      <c r="AC298" s="570" t="n">
        <v>1280900</v>
      </c>
      <c r="AD298" s="570" t="n">
        <v>1188600</v>
      </c>
      <c r="AE298" s="570" t="n">
        <v>622000</v>
      </c>
      <c r="AF298" s="570" t="n">
        <v>767900</v>
      </c>
      <c r="AG298" s="570" t="n">
        <v>757500</v>
      </c>
      <c r="AH298" s="570" t="n">
        <v>702000</v>
      </c>
      <c r="AI298" s="570" t="n">
        <v>827000</v>
      </c>
      <c r="AJ298" s="570" t="n">
        <v>600000</v>
      </c>
      <c r="AK298" s="570" t="n">
        <v>623200</v>
      </c>
      <c r="AL298" s="570" t="n">
        <v>671900</v>
      </c>
      <c r="AM298" s="570" t="n">
        <v>1058300</v>
      </c>
      <c r="AN298" s="570" t="n">
        <v>798300</v>
      </c>
      <c r="AO298" s="570" t="n">
        <v>547300</v>
      </c>
      <c r="AP298" s="570" t="n">
        <v>631900</v>
      </c>
      <c r="AQ298" s="570" t="n">
        <v>540000</v>
      </c>
      <c r="AR298" s="570" t="n">
        <v>489000</v>
      </c>
      <c r="AS298" s="570" t="n">
        <v>572500</v>
      </c>
      <c r="AT298" s="570" t="n">
        <v>785600</v>
      </c>
      <c r="AU298" s="570" t="n">
        <v>913300</v>
      </c>
      <c r="AV298" s="570" t="n">
        <v>629400</v>
      </c>
      <c r="AW298" s="570" t="n">
        <v>954100</v>
      </c>
      <c r="AX298" s="570" t="n">
        <v>1005500</v>
      </c>
      <c r="AY298" s="570" t="n">
        <v>722000</v>
      </c>
      <c r="AZ298" s="570" t="n">
        <v>493100</v>
      </c>
      <c r="BA298" s="570" t="n">
        <v>567700</v>
      </c>
      <c r="BB298" s="570" t="n">
        <v>618400</v>
      </c>
      <c r="BC298" s="570" t="n">
        <v>794000</v>
      </c>
      <c r="BD298" s="570" t="n">
        <v>890000</v>
      </c>
      <c r="BE298" s="570" t="n">
        <v>897700</v>
      </c>
      <c r="BF298" s="570" t="n">
        <v>915000</v>
      </c>
      <c r="BG298" s="570" t="n">
        <v>713000</v>
      </c>
      <c r="BH298" s="570" t="n">
        <v>693500</v>
      </c>
      <c r="BI298" s="570" t="n">
        <v>603400</v>
      </c>
      <c r="BJ298" s="570" t="n">
        <v>1253200</v>
      </c>
      <c r="BK298" s="570" t="n">
        <v>964400</v>
      </c>
      <c r="BL298" s="570" t="n">
        <v>672100</v>
      </c>
    </row>
    <row r="299">
      <c r="A299" s="417" t="inlineStr">
        <is>
          <t>186A</t>
        </is>
      </c>
      <c r="B299" s="570">
        <f>銘柄管理!C299</f>
        <v/>
      </c>
      <c r="C299" s="570">
        <f>_xll.RssMarket("186A","出来高")</f>
        <v/>
      </c>
      <c r="D299" s="684">
        <f>C299-E299</f>
        <v/>
      </c>
      <c r="E299" s="570" t="n">
        <v>9996100</v>
      </c>
      <c r="F299" s="570" t="n">
        <v>12934700</v>
      </c>
      <c r="G299" s="570" t="n">
        <v>8716800</v>
      </c>
      <c r="H299" s="570" t="n">
        <v>13573100</v>
      </c>
      <c r="I299" s="570" t="n">
        <v>20516900</v>
      </c>
      <c r="J299" s="570" t="n">
        <v>12034200</v>
      </c>
      <c r="K299" s="570" t="n">
        <v>8562000</v>
      </c>
      <c r="L299" s="570" t="n">
        <v>11702800</v>
      </c>
      <c r="M299" s="570" t="n">
        <v>14903700</v>
      </c>
      <c r="N299" s="570" t="n">
        <v>18113200</v>
      </c>
      <c r="O299" s="570" t="n">
        <v>15820200</v>
      </c>
      <c r="P299" s="570" t="n">
        <v>16856200</v>
      </c>
      <c r="Q299" s="570" t="n">
        <v>19546400</v>
      </c>
      <c r="R299" s="570" t="n">
        <v>26320900</v>
      </c>
      <c r="S299" s="570" t="n">
        <v>37132000</v>
      </c>
      <c r="T299" s="570" t="n">
        <v>30912200</v>
      </c>
      <c r="U299" s="570" t="n">
        <v>32097300</v>
      </c>
      <c r="V299" s="570" t="n">
        <v>13576500</v>
      </c>
      <c r="W299" s="570" t="n">
        <v>14630200</v>
      </c>
      <c r="X299" s="570" t="n">
        <v>23922500</v>
      </c>
      <c r="Y299" s="570" t="n">
        <v>18431300</v>
      </c>
      <c r="Z299" s="570" t="n">
        <v>12315100</v>
      </c>
      <c r="AA299" s="570" t="n">
        <v>16135100</v>
      </c>
      <c r="AB299" s="570" t="n">
        <v>10892700</v>
      </c>
      <c r="AC299" s="570" t="n">
        <v>9776600</v>
      </c>
      <c r="AD299" s="570" t="n">
        <v>14351300</v>
      </c>
      <c r="AE299" s="570" t="n">
        <v>12917900</v>
      </c>
      <c r="AF299" s="570" t="n">
        <v>10202200</v>
      </c>
      <c r="AG299" s="570" t="n">
        <v>6010300</v>
      </c>
      <c r="AH299" s="570" t="n">
        <v>4738600</v>
      </c>
      <c r="AI299" s="570" t="n">
        <v>4196300</v>
      </c>
      <c r="AJ299" s="570" t="n">
        <v>5328400</v>
      </c>
      <c r="AK299" s="570" t="n">
        <v>5469400</v>
      </c>
      <c r="AL299" s="570" t="n">
        <v>6888600</v>
      </c>
      <c r="AM299" s="570" t="n">
        <v>6121700</v>
      </c>
      <c r="AN299" s="570" t="n">
        <v>6547800</v>
      </c>
      <c r="AO299" s="570" t="n">
        <v>9052500</v>
      </c>
      <c r="AP299" s="570" t="n">
        <v>12110300</v>
      </c>
      <c r="AQ299" s="570" t="n">
        <v>6477600</v>
      </c>
      <c r="AR299" s="570" t="n">
        <v>7380400</v>
      </c>
      <c r="AS299" s="570" t="n">
        <v>10235400</v>
      </c>
      <c r="AT299" s="570" t="n">
        <v>14518100</v>
      </c>
      <c r="AU299" s="570" t="n">
        <v>10149600</v>
      </c>
      <c r="AV299" s="570" t="n">
        <v>23205100</v>
      </c>
      <c r="AW299" s="570" t="n">
        <v>11091700</v>
      </c>
      <c r="AX299" s="570" t="n">
        <v>8480300</v>
      </c>
      <c r="AY299" s="570" t="n">
        <v>6173800</v>
      </c>
      <c r="AZ299" s="570" t="n">
        <v>8913600</v>
      </c>
      <c r="BA299" s="570" t="n">
        <v>7989900</v>
      </c>
      <c r="BB299" s="570" t="n">
        <v>16016800</v>
      </c>
      <c r="BC299" s="570" t="n">
        <v>4106600</v>
      </c>
      <c r="BD299" s="570" t="n">
        <v>4348500</v>
      </c>
      <c r="BE299" s="570" t="n">
        <v>5264500</v>
      </c>
      <c r="BF299" s="570" t="n">
        <v>3212300</v>
      </c>
      <c r="BG299" s="570" t="n">
        <v>4045100</v>
      </c>
      <c r="BH299" s="570" t="n">
        <v>5957600</v>
      </c>
      <c r="BI299" s="570" t="n">
        <v>5780600</v>
      </c>
      <c r="BJ299" s="570" t="n">
        <v>6683900</v>
      </c>
      <c r="BK299" s="570" t="n">
        <v>8161400</v>
      </c>
      <c r="BL299" s="570" t="n">
        <v>10135700</v>
      </c>
    </row>
    <row r="300">
      <c r="A300" s="417" t="inlineStr">
        <is>
          <t>6965</t>
        </is>
      </c>
      <c r="B300" s="570">
        <f>銘柄管理!C300</f>
        <v/>
      </c>
      <c r="C300" s="570">
        <f>_xll.RssMarket("6965","出来高")</f>
        <v/>
      </c>
      <c r="D300" s="684">
        <f>C300-E300</f>
        <v/>
      </c>
      <c r="E300" s="570" t="n">
        <v>3516600</v>
      </c>
      <c r="F300" s="570" t="n">
        <v>3891900</v>
      </c>
      <c r="G300" s="570" t="n">
        <v>3875000</v>
      </c>
      <c r="H300" s="570" t="n">
        <v>4570500</v>
      </c>
      <c r="I300" s="570" t="n">
        <v>4325400</v>
      </c>
      <c r="J300" s="570" t="n">
        <v>5982700</v>
      </c>
      <c r="K300" s="570" t="n">
        <v>5388600</v>
      </c>
      <c r="L300" s="570" t="n">
        <v>8846200</v>
      </c>
      <c r="M300" s="570" t="n">
        <v>7028700</v>
      </c>
      <c r="N300" s="570" t="n">
        <v>4571500</v>
      </c>
      <c r="O300" s="570" t="n">
        <v>4202200</v>
      </c>
      <c r="P300" s="570" t="n">
        <v>4671500</v>
      </c>
      <c r="Q300" s="570" t="n">
        <v>6016300</v>
      </c>
      <c r="R300" s="570" t="n">
        <v>7291600</v>
      </c>
      <c r="S300" s="570" t="n">
        <v>5710400</v>
      </c>
      <c r="T300" s="570" t="n">
        <v>8443200</v>
      </c>
      <c r="U300" s="570" t="n">
        <v>6394400</v>
      </c>
      <c r="V300" s="570" t="n">
        <v>6305900</v>
      </c>
      <c r="W300" s="570" t="n">
        <v>5097200</v>
      </c>
      <c r="X300" s="570" t="n">
        <v>5349500</v>
      </c>
      <c r="Y300" s="570" t="n">
        <v>8911300</v>
      </c>
      <c r="Z300" s="570" t="n">
        <v>15774000</v>
      </c>
      <c r="AA300" s="570" t="n">
        <v>7842200</v>
      </c>
      <c r="AB300" s="570" t="n">
        <v>4349300</v>
      </c>
      <c r="AC300" s="570" t="n">
        <v>4178000</v>
      </c>
      <c r="AD300" s="570" t="n">
        <v>3855200</v>
      </c>
      <c r="AE300" s="570" t="n">
        <v>3925900</v>
      </c>
      <c r="AF300" s="570" t="n">
        <v>4758200</v>
      </c>
      <c r="AG300" s="570" t="n">
        <v>6268100</v>
      </c>
      <c r="AH300" s="570" t="n">
        <v>1991100</v>
      </c>
      <c r="AI300" s="570" t="n">
        <v>2942400</v>
      </c>
      <c r="AJ300" s="570" t="n">
        <v>5456200</v>
      </c>
      <c r="AK300" s="570" t="n">
        <v>5309500</v>
      </c>
      <c r="AL300" s="570" t="n">
        <v>1762100</v>
      </c>
      <c r="AM300" s="570" t="n">
        <v>2384500</v>
      </c>
      <c r="AN300" s="570" t="n">
        <v>1767900</v>
      </c>
      <c r="AO300" s="570" t="n">
        <v>1789000</v>
      </c>
      <c r="AP300" s="570" t="n">
        <v>2093700</v>
      </c>
      <c r="AQ300" s="570" t="n">
        <v>2087400</v>
      </c>
      <c r="AR300" s="570" t="n">
        <v>2878300</v>
      </c>
      <c r="AS300" s="570" t="n">
        <v>3100100</v>
      </c>
      <c r="AT300" s="570" t="n">
        <v>2515900</v>
      </c>
      <c r="AU300" s="570" t="n">
        <v>2687600</v>
      </c>
      <c r="AV300" s="570" t="n">
        <v>2423200</v>
      </c>
      <c r="AW300" s="570" t="n">
        <v>2620700</v>
      </c>
      <c r="AX300" s="570" t="n">
        <v>3251000</v>
      </c>
      <c r="AY300" s="570" t="n">
        <v>1643000</v>
      </c>
      <c r="AZ300" s="570" t="n">
        <v>1864400</v>
      </c>
      <c r="BA300" s="570" t="n">
        <v>1665000</v>
      </c>
      <c r="BB300" s="570" t="n">
        <v>3115800</v>
      </c>
      <c r="BC300" s="570" t="n">
        <v>2692900</v>
      </c>
      <c r="BD300" s="570" t="n">
        <v>3580000</v>
      </c>
      <c r="BE300" s="570" t="n">
        <v>2995500</v>
      </c>
      <c r="BF300" s="570" t="n">
        <v>3443000</v>
      </c>
      <c r="BG300" s="570" t="n">
        <v>4385800</v>
      </c>
      <c r="BH300" s="570" t="n">
        <v>4140500</v>
      </c>
      <c r="BI300" s="570" t="n">
        <v>4080500</v>
      </c>
      <c r="BJ300" s="570" t="n">
        <v>6359300</v>
      </c>
      <c r="BK300" s="570" t="n">
        <v>5091600</v>
      </c>
      <c r="BL300" s="570" t="n">
        <v>4245000</v>
      </c>
    </row>
    <row r="301">
      <c r="A301" s="417" t="inlineStr">
        <is>
          <t>6331</t>
        </is>
      </c>
      <c r="B301" s="570">
        <f>銘柄管理!C301</f>
        <v/>
      </c>
      <c r="C301" s="570">
        <f>_xll.RssMarket("6331","出来高")</f>
        <v/>
      </c>
      <c r="D301" s="684">
        <f>C301-E301</f>
        <v/>
      </c>
      <c r="E301" s="570" t="n">
        <v>163600</v>
      </c>
      <c r="F301" s="570" t="n">
        <v>110400</v>
      </c>
      <c r="G301" s="570" t="n">
        <v>154000</v>
      </c>
      <c r="H301" s="570" t="n">
        <v>266000</v>
      </c>
      <c r="I301" s="570" t="n">
        <v>187500</v>
      </c>
      <c r="J301" s="570" t="n">
        <v>180800</v>
      </c>
      <c r="K301" s="570" t="n">
        <v>189100</v>
      </c>
      <c r="L301" s="570" t="n">
        <v>304700</v>
      </c>
      <c r="M301" s="570" t="n">
        <v>189900</v>
      </c>
      <c r="N301" s="570" t="n">
        <v>329800</v>
      </c>
      <c r="O301" s="570" t="n">
        <v>470800</v>
      </c>
      <c r="P301" s="570" t="n">
        <v>498700</v>
      </c>
      <c r="Q301" s="570" t="n">
        <v>252100</v>
      </c>
      <c r="R301" s="570" t="n">
        <v>152200</v>
      </c>
      <c r="S301" s="570" t="n">
        <v>282400</v>
      </c>
      <c r="T301" s="570" t="n">
        <v>259000</v>
      </c>
      <c r="U301" s="570" t="n">
        <v>198000</v>
      </c>
      <c r="V301" s="570" t="n">
        <v>219000</v>
      </c>
      <c r="W301" s="570" t="n">
        <v>273600</v>
      </c>
      <c r="X301" s="570" t="n">
        <v>357500</v>
      </c>
      <c r="Y301" s="570" t="n">
        <v>426100</v>
      </c>
      <c r="Z301" s="570" t="n">
        <v>945300</v>
      </c>
      <c r="AA301" s="570" t="n">
        <v>816000</v>
      </c>
      <c r="AB301" s="570" t="n">
        <v>219700</v>
      </c>
      <c r="AC301" s="570" t="n">
        <v>187100</v>
      </c>
      <c r="AD301" s="570" t="n">
        <v>239700</v>
      </c>
      <c r="AE301" s="570" t="n">
        <v>121700</v>
      </c>
      <c r="AF301" s="570" t="n">
        <v>178800</v>
      </c>
      <c r="AG301" s="570" t="n">
        <v>197000</v>
      </c>
      <c r="AH301" s="570" t="n">
        <v>280000</v>
      </c>
      <c r="AI301" s="570" t="n">
        <v>222700</v>
      </c>
      <c r="AJ301" s="570" t="n">
        <v>205200</v>
      </c>
      <c r="AK301" s="570" t="n">
        <v>315400</v>
      </c>
      <c r="AL301" s="570" t="n">
        <v>261300</v>
      </c>
      <c r="AM301" s="570" t="n">
        <v>346100</v>
      </c>
      <c r="AN301" s="570" t="n">
        <v>205000</v>
      </c>
      <c r="AO301" s="570" t="n">
        <v>134600</v>
      </c>
      <c r="AP301" s="570" t="n">
        <v>122100</v>
      </c>
      <c r="AQ301" s="570" t="n">
        <v>146900</v>
      </c>
      <c r="AR301" s="570" t="n">
        <v>190200</v>
      </c>
      <c r="AS301" s="570" t="n">
        <v>241600</v>
      </c>
      <c r="AT301" s="570" t="n">
        <v>206300</v>
      </c>
      <c r="AU301" s="570" t="n">
        <v>243500</v>
      </c>
      <c r="AV301" s="570" t="n">
        <v>230800</v>
      </c>
      <c r="AW301" s="570" t="n">
        <v>205100</v>
      </c>
      <c r="AX301" s="570" t="n">
        <v>253200</v>
      </c>
      <c r="AY301" s="570" t="n">
        <v>148300</v>
      </c>
      <c r="AZ301" s="570" t="n">
        <v>106200</v>
      </c>
      <c r="BA301" s="570" t="n">
        <v>134900</v>
      </c>
      <c r="BB301" s="570" t="n">
        <v>256400</v>
      </c>
      <c r="BC301" s="570" t="n">
        <v>213900</v>
      </c>
      <c r="BD301" s="570" t="n">
        <v>368300</v>
      </c>
      <c r="BE301" s="570" t="n">
        <v>307900</v>
      </c>
      <c r="BF301" s="570" t="n">
        <v>228100</v>
      </c>
      <c r="BG301" s="570" t="n">
        <v>179400</v>
      </c>
      <c r="BH301" s="570" t="n">
        <v>208300</v>
      </c>
      <c r="BI301" s="570" t="n">
        <v>215500</v>
      </c>
      <c r="BJ301" s="570" t="n">
        <v>350900</v>
      </c>
      <c r="BK301" s="570" t="n">
        <v>283600</v>
      </c>
      <c r="BL301" s="570" t="n">
        <v>288500</v>
      </c>
    </row>
    <row r="302">
      <c r="A302" s="417" t="inlineStr">
        <is>
          <t>7741</t>
        </is>
      </c>
      <c r="B302" s="570">
        <f>銘柄管理!C302</f>
        <v/>
      </c>
      <c r="C302" s="570">
        <f>_xll.RssMarket("7741","出来高")</f>
        <v/>
      </c>
      <c r="D302" s="684" t="n"/>
      <c r="E302" s="570" t="n">
        <v>718700</v>
      </c>
      <c r="F302" s="570" t="n">
        <v>1231700</v>
      </c>
      <c r="G302" s="570" t="n">
        <v>1113200</v>
      </c>
      <c r="H302" s="570" t="n">
        <v>833200</v>
      </c>
      <c r="I302" s="570" t="n">
        <v>964700</v>
      </c>
      <c r="J302" s="570" t="n">
        <v>1790900</v>
      </c>
      <c r="K302" s="570" t="n">
        <v>936500</v>
      </c>
      <c r="L302" s="570" t="n">
        <v>894600</v>
      </c>
      <c r="M302" s="570" t="n">
        <v>936500</v>
      </c>
      <c r="N302" s="570" t="n">
        <v>714800</v>
      </c>
      <c r="O302" s="570" t="n">
        <v>1078800</v>
      </c>
      <c r="P302" s="570" t="n">
        <v>1092900</v>
      </c>
      <c r="Q302" s="570" t="n">
        <v>894500</v>
      </c>
      <c r="R302" s="570" t="n">
        <v>1751300</v>
      </c>
      <c r="S302" s="570" t="n">
        <v>930100</v>
      </c>
      <c r="T302" s="570" t="n">
        <v>1399000</v>
      </c>
      <c r="U302" s="570" t="n">
        <v>956600</v>
      </c>
      <c r="V302" s="570" t="n">
        <v>1071500</v>
      </c>
      <c r="W302" s="570" t="n">
        <v>744300</v>
      </c>
      <c r="X302" s="570" t="n">
        <v>976100</v>
      </c>
      <c r="Y302" s="570" t="n">
        <v>1029300</v>
      </c>
      <c r="Z302" s="570" t="n">
        <v>677600</v>
      </c>
      <c r="AA302" s="570" t="n">
        <v>1111800</v>
      </c>
      <c r="AB302" s="570" t="n">
        <v>934500</v>
      </c>
      <c r="AC302" s="570" t="n">
        <v>814400</v>
      </c>
      <c r="AD302" s="570" t="n">
        <v>1110000</v>
      </c>
      <c r="AE302" s="570" t="n">
        <v>1231300</v>
      </c>
      <c r="AF302" s="570" t="n">
        <v>1207200</v>
      </c>
      <c r="AG302" s="570" t="n">
        <v>2802900</v>
      </c>
      <c r="AH302" s="570" t="n">
        <v>1140500</v>
      </c>
      <c r="AI302" s="570" t="n">
        <v>3573900</v>
      </c>
      <c r="AJ302" s="570" t="n">
        <v>952900</v>
      </c>
      <c r="AK302" s="570" t="n">
        <v>950500</v>
      </c>
      <c r="AL302" s="570" t="n">
        <v>772600</v>
      </c>
      <c r="AM302" s="570" t="n">
        <v>899100</v>
      </c>
      <c r="AN302" s="570" t="n">
        <v>914500</v>
      </c>
      <c r="AO302" s="570" t="n">
        <v>1089700</v>
      </c>
      <c r="AP302" s="570" t="n">
        <v>897300</v>
      </c>
      <c r="AQ302" s="570" t="n">
        <v>1161300</v>
      </c>
      <c r="AR302" s="570" t="n">
        <v>1130400</v>
      </c>
      <c r="AS302" s="570" t="n">
        <v>1094200</v>
      </c>
      <c r="AT302" s="570" t="n">
        <v>733200</v>
      </c>
      <c r="AU302" s="570" t="n">
        <v>793200</v>
      </c>
      <c r="AV302" s="570" t="n">
        <v>1167400</v>
      </c>
      <c r="AW302" s="570" t="n">
        <v>1076500</v>
      </c>
      <c r="AX302" s="570" t="n">
        <v>1226500</v>
      </c>
      <c r="AY302" s="570" t="n">
        <v>863200</v>
      </c>
      <c r="AZ302" s="570" t="n">
        <v>688000</v>
      </c>
      <c r="BA302" s="570" t="n">
        <v>683900</v>
      </c>
      <c r="BB302" s="570" t="n">
        <v>1101700</v>
      </c>
      <c r="BC302" s="570" t="n">
        <v>1107600</v>
      </c>
      <c r="BD302" s="570" t="n">
        <v>1037800</v>
      </c>
      <c r="BE302" s="570" t="n">
        <v>1241800</v>
      </c>
      <c r="BF302" s="570" t="n">
        <v>1324700</v>
      </c>
      <c r="BG302" s="570" t="n">
        <v>888900</v>
      </c>
      <c r="BH302" s="570" t="n">
        <v>991500</v>
      </c>
      <c r="BI302" s="570" t="n">
        <v>1238200</v>
      </c>
      <c r="BJ302" s="570" t="n">
        <v>994800</v>
      </c>
      <c r="BK302" s="570" t="n">
        <v>1333300</v>
      </c>
      <c r="BL302" s="570" t="n">
        <v>1057500</v>
      </c>
    </row>
    <row r="303">
      <c r="A303" s="419" t="n"/>
      <c r="D303" s="684">
        <f>C303-E303</f>
        <v/>
      </c>
    </row>
    <row r="304">
      <c r="A304" s="419" t="n"/>
      <c r="D304" s="684">
        <f>C304-E304</f>
        <v/>
      </c>
    </row>
    <row r="305">
      <c r="A305" s="419" t="n"/>
      <c r="D305" s="684">
        <f>C305-E305</f>
        <v/>
      </c>
    </row>
    <row r="306">
      <c r="A306" s="419" t="n"/>
      <c r="D306" s="684">
        <f>C306-E306</f>
        <v/>
      </c>
    </row>
    <row r="307">
      <c r="A307" s="419" t="n"/>
      <c r="D307" s="684">
        <f>C307-E307</f>
        <v/>
      </c>
    </row>
    <row r="308">
      <c r="A308" s="419" t="n"/>
      <c r="D308" s="684">
        <f>C308-E308</f>
        <v/>
      </c>
    </row>
    <row r="309">
      <c r="A309" s="419" t="n"/>
      <c r="D309" s="684">
        <f>C309-E309</f>
        <v/>
      </c>
    </row>
    <row r="310">
      <c r="A310" s="419" t="n"/>
      <c r="D310" s="684">
        <f>C310-E310</f>
        <v/>
      </c>
    </row>
    <row r="311">
      <c r="A311" s="419" t="n"/>
      <c r="D311" s="684">
        <f>C311-E311</f>
        <v/>
      </c>
    </row>
    <row r="312">
      <c r="A312" s="419" t="n"/>
      <c r="D312" s="684">
        <f>C312-E312</f>
        <v/>
      </c>
    </row>
    <row r="313">
      <c r="A313" s="419" t="n"/>
      <c r="D313" s="684">
        <f>C313-E313</f>
        <v/>
      </c>
    </row>
    <row r="314">
      <c r="A314" s="419" t="n"/>
      <c r="D314" s="684">
        <f>C314-E314</f>
        <v/>
      </c>
    </row>
    <row r="315">
      <c r="A315" s="419" t="n"/>
      <c r="D315" s="684">
        <f>C315-E315</f>
        <v/>
      </c>
    </row>
    <row r="316">
      <c r="A316" s="419" t="n"/>
      <c r="D316" s="684">
        <f>C316-E316</f>
        <v/>
      </c>
    </row>
    <row r="317">
      <c r="A317" s="419" t="n"/>
      <c r="D317" s="684">
        <f>C317-E317</f>
        <v/>
      </c>
    </row>
    <row r="318">
      <c r="A318" s="419" t="n"/>
      <c r="D318" s="684">
        <f>C318-E318</f>
        <v/>
      </c>
    </row>
    <row r="319">
      <c r="A319" s="419" t="n"/>
      <c r="D319" s="684">
        <f>C319-E319</f>
        <v/>
      </c>
    </row>
    <row r="320">
      <c r="A320" s="419" t="n"/>
      <c r="D320" s="684">
        <f>C320-E320</f>
        <v/>
      </c>
    </row>
    <row r="321">
      <c r="A321" s="419" t="n"/>
      <c r="D321" s="684">
        <f>C321-E321</f>
        <v/>
      </c>
    </row>
    <row r="322">
      <c r="A322" s="419" t="n"/>
      <c r="D322" s="684">
        <f>C322-E322</f>
        <v/>
      </c>
    </row>
    <row r="323">
      <c r="A323" s="419" t="n"/>
      <c r="D323" s="684">
        <f>C323-E323</f>
        <v/>
      </c>
    </row>
    <row r="324">
      <c r="A324" s="419" t="n"/>
      <c r="D324" s="684">
        <f>C324-E324</f>
        <v/>
      </c>
    </row>
    <row r="325">
      <c r="A325" s="419" t="n"/>
      <c r="D325" s="684">
        <f>C325-E325</f>
        <v/>
      </c>
    </row>
    <row r="326">
      <c r="A326" s="419" t="n"/>
      <c r="D326" s="684">
        <f>C326-E326</f>
        <v/>
      </c>
    </row>
    <row r="327">
      <c r="A327" s="419" t="n"/>
      <c r="D327" s="684">
        <f>C327-E327</f>
        <v/>
      </c>
    </row>
    <row r="328">
      <c r="A328" s="419" t="n"/>
      <c r="D328" s="684">
        <f>C328-E328</f>
        <v/>
      </c>
    </row>
    <row r="329">
      <c r="A329" s="419" t="n"/>
      <c r="D329" s="684">
        <f>C329-E329</f>
        <v/>
      </c>
    </row>
    <row r="330">
      <c r="A330" s="419" t="n"/>
      <c r="D330" s="684">
        <f>C330-E330</f>
        <v/>
      </c>
    </row>
    <row r="331">
      <c r="A331" s="419" t="n"/>
      <c r="D331" s="684">
        <f>C331-E331</f>
        <v/>
      </c>
    </row>
    <row r="332">
      <c r="A332" s="419" t="n"/>
      <c r="D332" s="684">
        <f>C332-E332</f>
        <v/>
      </c>
    </row>
    <row r="333">
      <c r="A333" s="419" t="n"/>
      <c r="D333" s="684">
        <f>C333-E333</f>
        <v/>
      </c>
    </row>
    <row r="334">
      <c r="A334" s="419" t="n"/>
      <c r="D334" s="684">
        <f>C334-E334</f>
        <v/>
      </c>
    </row>
    <row r="335">
      <c r="A335" s="419" t="n"/>
      <c r="D335" s="684">
        <f>C335-E335</f>
        <v/>
      </c>
    </row>
    <row r="336">
      <c r="A336" s="419" t="n"/>
      <c r="D336" s="684">
        <f>C336-E336</f>
        <v/>
      </c>
    </row>
    <row r="337">
      <c r="A337" s="419" t="n"/>
      <c r="D337" s="684">
        <f>C337-E337</f>
        <v/>
      </c>
    </row>
    <row r="338">
      <c r="A338" s="419" t="n"/>
      <c r="D338" s="684">
        <f>C338-E338</f>
        <v/>
      </c>
    </row>
    <row r="339">
      <c r="A339" s="419" t="n"/>
      <c r="D339" s="684">
        <f>C339-E339</f>
        <v/>
      </c>
    </row>
    <row r="340">
      <c r="A340" s="419" t="n"/>
      <c r="D340" s="684">
        <f>C340-E340</f>
        <v/>
      </c>
    </row>
    <row r="341">
      <c r="A341" s="419" t="n"/>
      <c r="D341" s="684">
        <f>C341-E341</f>
        <v/>
      </c>
    </row>
    <row r="342">
      <c r="A342" s="419" t="n"/>
      <c r="D342" s="684">
        <f>C342-E342</f>
        <v/>
      </c>
    </row>
    <row r="343">
      <c r="A343" s="419" t="n"/>
      <c r="D343" s="684">
        <f>C343-E343</f>
        <v/>
      </c>
    </row>
    <row r="344">
      <c r="A344" s="419" t="n"/>
      <c r="D344" s="684">
        <f>C344-E344</f>
        <v/>
      </c>
    </row>
    <row r="345">
      <c r="A345" s="419" t="n"/>
      <c r="D345" s="684">
        <f>C345-E345</f>
        <v/>
      </c>
    </row>
    <row r="346">
      <c r="A346" s="419" t="n"/>
      <c r="D346" s="684">
        <f>C346-E346</f>
        <v/>
      </c>
    </row>
    <row r="347">
      <c r="A347" s="419" t="n"/>
      <c r="D347" s="684">
        <f>C347-E347</f>
        <v/>
      </c>
    </row>
    <row r="348">
      <c r="A348" s="419" t="n"/>
      <c r="D348" s="684">
        <f>C348-E348</f>
        <v/>
      </c>
    </row>
    <row r="349">
      <c r="A349" s="419" t="n"/>
      <c r="D349" s="684">
        <f>C349-E349</f>
        <v/>
      </c>
    </row>
    <row r="350">
      <c r="A350" s="419" t="n"/>
      <c r="D350" s="684">
        <f>C350-E350</f>
        <v/>
      </c>
    </row>
    <row r="351">
      <c r="A351" s="419" t="n"/>
      <c r="D351" s="684">
        <f>C351-E351</f>
        <v/>
      </c>
    </row>
    <row r="352">
      <c r="A352" s="419" t="n"/>
      <c r="D352" s="684">
        <f>C352-E352</f>
        <v/>
      </c>
    </row>
    <row r="353">
      <c r="A353" s="419" t="n"/>
      <c r="D353" s="684">
        <f>C353-E353</f>
        <v/>
      </c>
    </row>
    <row r="354">
      <c r="A354" s="419" t="n"/>
      <c r="D354" s="684">
        <f>C354-E354</f>
        <v/>
      </c>
    </row>
    <row r="355">
      <c r="A355" s="419" t="n"/>
      <c r="D355" s="684">
        <f>C355-E355</f>
        <v/>
      </c>
    </row>
    <row r="356">
      <c r="A356" s="419" t="n"/>
      <c r="D356" s="684">
        <f>C356-E356</f>
        <v/>
      </c>
    </row>
    <row r="357">
      <c r="A357" s="419" t="n"/>
      <c r="D357" s="684">
        <f>C357-E357</f>
        <v/>
      </c>
    </row>
    <row r="358">
      <c r="A358" s="419" t="n"/>
      <c r="D358" s="684">
        <f>C358-E358</f>
        <v/>
      </c>
    </row>
    <row r="359">
      <c r="A359" s="419" t="n"/>
      <c r="D359" s="684">
        <f>C359-E359</f>
        <v/>
      </c>
    </row>
    <row r="360">
      <c r="A360" s="419" t="n"/>
      <c r="D360" s="684">
        <f>C360-E360</f>
        <v/>
      </c>
    </row>
    <row r="361">
      <c r="A361" s="419" t="n"/>
      <c r="D361" s="684">
        <f>C361-E361</f>
        <v/>
      </c>
    </row>
    <row r="362">
      <c r="A362" s="419" t="n"/>
      <c r="D362" s="684">
        <f>C362-E362</f>
        <v/>
      </c>
    </row>
    <row r="363">
      <c r="A363" s="419" t="n"/>
      <c r="D363" s="684">
        <f>C363-E363</f>
        <v/>
      </c>
    </row>
    <row r="364">
      <c r="A364" s="419" t="n"/>
      <c r="D364" s="684">
        <f>C364-E364</f>
        <v/>
      </c>
    </row>
    <row r="365">
      <c r="A365" s="419" t="n"/>
      <c r="D365" s="684">
        <f>C365-E365</f>
        <v/>
      </c>
    </row>
    <row r="366">
      <c r="A366" s="419" t="n"/>
      <c r="D366" s="684">
        <f>C366-E366</f>
        <v/>
      </c>
    </row>
    <row r="367">
      <c r="A367" s="419" t="n"/>
      <c r="D367" s="684">
        <f>C367-E367</f>
        <v/>
      </c>
    </row>
    <row r="368">
      <c r="A368" s="419" t="n"/>
      <c r="D368" s="684">
        <f>C368-E368</f>
        <v/>
      </c>
    </row>
    <row r="369">
      <c r="A369" s="419" t="n"/>
      <c r="D369" s="684">
        <f>C369-E369</f>
        <v/>
      </c>
    </row>
    <row r="370">
      <c r="A370" s="419" t="n"/>
      <c r="D370" s="684">
        <f>C370-E370</f>
        <v/>
      </c>
    </row>
    <row r="371">
      <c r="A371" s="419" t="n"/>
      <c r="D371" s="684">
        <f>C371-E371</f>
        <v/>
      </c>
    </row>
    <row r="372">
      <c r="A372" s="419" t="n"/>
      <c r="D372" s="684">
        <f>C372-E372</f>
        <v/>
      </c>
    </row>
    <row r="373">
      <c r="A373" s="419" t="n"/>
      <c r="D373" s="684">
        <f>C373-E373</f>
        <v/>
      </c>
    </row>
    <row r="374">
      <c r="A374" s="419" t="n"/>
      <c r="D374" s="684">
        <f>C374-E374</f>
        <v/>
      </c>
    </row>
    <row r="375">
      <c r="A375" s="419" t="n"/>
      <c r="D375" s="684">
        <f>C375-E375</f>
        <v/>
      </c>
    </row>
    <row r="376">
      <c r="A376" s="419" t="n"/>
      <c r="D376" s="684">
        <f>C376-E376</f>
        <v/>
      </c>
    </row>
    <row r="377">
      <c r="A377" s="419" t="n"/>
      <c r="D377" s="684">
        <f>C377-E377</f>
        <v/>
      </c>
    </row>
    <row r="378">
      <c r="A378" s="419" t="n"/>
      <c r="D378" s="684">
        <f>C378-E378</f>
        <v/>
      </c>
    </row>
    <row r="379">
      <c r="A379" s="419" t="n"/>
      <c r="D379" s="684">
        <f>C379-E379</f>
        <v/>
      </c>
    </row>
    <row r="380">
      <c r="A380" s="419" t="n"/>
      <c r="D380" s="684">
        <f>C380-E380</f>
        <v/>
      </c>
    </row>
    <row r="381">
      <c r="A381" s="419" t="n"/>
      <c r="D381" s="684">
        <f>C381-E381</f>
        <v/>
      </c>
    </row>
    <row r="382">
      <c r="A382" s="419" t="n"/>
      <c r="D382" s="684">
        <f>C382-E382</f>
        <v/>
      </c>
    </row>
    <row r="383">
      <c r="A383" s="419" t="n"/>
      <c r="D383" s="684">
        <f>C383-E383</f>
        <v/>
      </c>
    </row>
    <row r="384">
      <c r="A384" s="419" t="n"/>
      <c r="D384" s="684">
        <f>C384-E384</f>
        <v/>
      </c>
    </row>
    <row r="385">
      <c r="A385" s="419" t="n"/>
      <c r="D385" s="684">
        <f>C385-E385</f>
        <v/>
      </c>
    </row>
    <row r="386">
      <c r="A386" s="419" t="n"/>
      <c r="D386" s="684">
        <f>C386-E386</f>
        <v/>
      </c>
    </row>
    <row r="387">
      <c r="A387" s="419" t="n"/>
      <c r="D387" s="684">
        <f>C387-E387</f>
        <v/>
      </c>
    </row>
    <row r="388">
      <c r="A388" s="419" t="n"/>
      <c r="D388" s="684">
        <f>C388-E388</f>
        <v/>
      </c>
    </row>
    <row r="389">
      <c r="A389" s="419" t="n"/>
      <c r="D389" s="684">
        <f>C389-E389</f>
        <v/>
      </c>
    </row>
    <row r="390">
      <c r="A390" s="419" t="n"/>
      <c r="D390" s="684">
        <f>C390-E390</f>
        <v/>
      </c>
    </row>
    <row r="391">
      <c r="A391" s="419" t="n"/>
      <c r="D391" s="684">
        <f>C391-E391</f>
        <v/>
      </c>
    </row>
    <row r="392">
      <c r="A392" s="419" t="n"/>
      <c r="D392" s="684">
        <f>C392-E392</f>
        <v/>
      </c>
    </row>
    <row r="393">
      <c r="A393" s="419" t="n"/>
      <c r="D393" s="684">
        <f>C393-E393</f>
        <v/>
      </c>
    </row>
    <row r="394">
      <c r="A394" s="419" t="n"/>
      <c r="D394" s="684">
        <f>C394-E394</f>
        <v/>
      </c>
    </row>
    <row r="395">
      <c r="A395" s="419" t="n"/>
      <c r="D395" s="684">
        <f>C395-E395</f>
        <v/>
      </c>
    </row>
    <row r="396">
      <c r="A396" s="419" t="n"/>
      <c r="D396" s="684">
        <f>C396-E396</f>
        <v/>
      </c>
    </row>
    <row r="397">
      <c r="A397" s="419" t="n"/>
      <c r="D397" s="684">
        <f>C397-E397</f>
        <v/>
      </c>
    </row>
    <row r="398">
      <c r="A398" s="419" t="n"/>
      <c r="D398" s="684">
        <f>C398-E398</f>
        <v/>
      </c>
    </row>
    <row r="399">
      <c r="A399" s="419" t="n"/>
      <c r="D399" s="684">
        <f>C399-E399</f>
        <v/>
      </c>
    </row>
    <row r="400">
      <c r="A400" s="419" t="n"/>
      <c r="D400" s="684">
        <f>C400-E400</f>
        <v/>
      </c>
    </row>
    <row r="401">
      <c r="A401" s="419" t="n"/>
      <c r="D401" s="684">
        <f>C401-E401</f>
        <v/>
      </c>
    </row>
    <row r="402">
      <c r="A402" s="419" t="n"/>
      <c r="D402" s="684">
        <f>C402-E402</f>
        <v/>
      </c>
    </row>
    <row r="403">
      <c r="A403" s="419" t="n"/>
      <c r="D403" s="684">
        <f>C403-E403</f>
        <v/>
      </c>
    </row>
    <row r="404">
      <c r="A404" s="419" t="n"/>
      <c r="D404" s="684">
        <f>C404-E404</f>
        <v/>
      </c>
    </row>
    <row r="405">
      <c r="A405" s="419" t="n"/>
      <c r="D405" s="684">
        <f>C405-E405</f>
        <v/>
      </c>
    </row>
    <row r="406">
      <c r="A406" s="419" t="n"/>
      <c r="D406" s="684">
        <f>C406-E406</f>
        <v/>
      </c>
    </row>
    <row r="407">
      <c r="A407" s="419" t="n"/>
      <c r="D407" s="684">
        <f>C407-E407</f>
        <v/>
      </c>
    </row>
    <row r="408">
      <c r="A408" s="419" t="n"/>
      <c r="D408" s="684">
        <f>C408-E408</f>
        <v/>
      </c>
    </row>
    <row r="409">
      <c r="A409" s="419" t="n"/>
      <c r="D409" s="684">
        <f>C409-E409</f>
        <v/>
      </c>
    </row>
    <row r="410">
      <c r="A410" s="419" t="n"/>
      <c r="D410" s="684">
        <f>C410-E410</f>
        <v/>
      </c>
    </row>
    <row r="411">
      <c r="A411" s="419" t="n"/>
      <c r="D411" s="684">
        <f>C411-E411</f>
        <v/>
      </c>
    </row>
    <row r="412">
      <c r="A412" s="419" t="n"/>
      <c r="D412" s="684">
        <f>C412-E412</f>
        <v/>
      </c>
    </row>
    <row r="413">
      <c r="A413" s="419" t="n"/>
      <c r="D413" s="684">
        <f>C413-E413</f>
        <v/>
      </c>
    </row>
    <row r="414">
      <c r="A414" s="419" t="n"/>
      <c r="D414" s="684">
        <f>C414-E414</f>
        <v/>
      </c>
    </row>
    <row r="415">
      <c r="A415" s="419" t="n"/>
      <c r="D415" s="684">
        <f>C415-E415</f>
        <v/>
      </c>
    </row>
    <row r="416">
      <c r="A416" s="419" t="n"/>
      <c r="D416" s="684">
        <f>C416-E416</f>
        <v/>
      </c>
    </row>
    <row r="417">
      <c r="A417" s="419" t="n"/>
      <c r="D417" s="684">
        <f>C417-E417</f>
        <v/>
      </c>
    </row>
    <row r="418">
      <c r="A418" s="419" t="n"/>
      <c r="D418" s="684">
        <f>C418-E418</f>
        <v/>
      </c>
    </row>
    <row r="419">
      <c r="A419" s="419" t="n"/>
      <c r="D419" s="684">
        <f>C419-E419</f>
        <v/>
      </c>
    </row>
    <row r="420">
      <c r="A420" s="419" t="n"/>
      <c r="D420" s="684">
        <f>C420-E420</f>
        <v/>
      </c>
    </row>
    <row r="421">
      <c r="A421" s="419" t="n"/>
      <c r="D421" s="684">
        <f>C421-E421</f>
        <v/>
      </c>
    </row>
    <row r="422">
      <c r="A422" s="419" t="n"/>
      <c r="D422" s="684">
        <f>C422-E422</f>
        <v/>
      </c>
    </row>
    <row r="423">
      <c r="A423" s="419" t="n"/>
      <c r="D423" s="684">
        <f>C423-E423</f>
        <v/>
      </c>
    </row>
    <row r="424">
      <c r="A424" s="419" t="n"/>
      <c r="D424" s="684">
        <f>C424-E424</f>
        <v/>
      </c>
    </row>
    <row r="425">
      <c r="A425" s="419" t="n"/>
      <c r="D425" s="684">
        <f>C425-E425</f>
        <v/>
      </c>
    </row>
    <row r="426">
      <c r="A426" s="419" t="n"/>
      <c r="D426" s="684">
        <f>C426-E426</f>
        <v/>
      </c>
    </row>
    <row r="427">
      <c r="A427" s="419" t="n"/>
      <c r="D427" s="684">
        <f>C427-E427</f>
        <v/>
      </c>
    </row>
    <row r="428">
      <c r="A428" s="419" t="n"/>
      <c r="D428" s="684">
        <f>C428-E428</f>
        <v/>
      </c>
    </row>
    <row r="429">
      <c r="A429" s="419" t="n"/>
      <c r="D429" s="684">
        <f>C429-E429</f>
        <v/>
      </c>
    </row>
    <row r="430">
      <c r="A430" s="419" t="n"/>
      <c r="D430" s="684">
        <f>C430-E430</f>
        <v/>
      </c>
    </row>
    <row r="431">
      <c r="A431" s="419" t="n"/>
      <c r="D431" s="684">
        <f>C431-E431</f>
        <v/>
      </c>
    </row>
    <row r="432">
      <c r="A432" s="419" t="n"/>
      <c r="D432" s="684">
        <f>C432-E432</f>
        <v/>
      </c>
    </row>
    <row r="433">
      <c r="A433" s="419" t="n"/>
      <c r="D433" s="684">
        <f>C433-E433</f>
        <v/>
      </c>
    </row>
    <row r="434">
      <c r="A434" s="419" t="n"/>
      <c r="D434" s="684">
        <f>C434-E434</f>
        <v/>
      </c>
    </row>
    <row r="435">
      <c r="A435" s="419" t="n"/>
      <c r="D435" s="684">
        <f>C435-E435</f>
        <v/>
      </c>
    </row>
    <row r="436">
      <c r="A436" s="419" t="n"/>
      <c r="D436" s="684">
        <f>C436-E436</f>
        <v/>
      </c>
    </row>
    <row r="437">
      <c r="A437" s="419" t="n"/>
      <c r="D437" s="684">
        <f>C437-E437</f>
        <v/>
      </c>
    </row>
    <row r="438">
      <c r="A438" s="419" t="n"/>
      <c r="D438" s="684">
        <f>C438-E438</f>
        <v/>
      </c>
    </row>
    <row r="439">
      <c r="A439" s="419" t="n"/>
      <c r="D439" s="684">
        <f>C439-E439</f>
        <v/>
      </c>
    </row>
    <row r="440">
      <c r="A440" s="419" t="n"/>
      <c r="D440" s="684">
        <f>C440-E440</f>
        <v/>
      </c>
    </row>
    <row r="441">
      <c r="A441" s="419" t="n"/>
      <c r="D441" s="684">
        <f>C441-E441</f>
        <v/>
      </c>
    </row>
    <row r="442">
      <c r="A442" s="419" t="n"/>
      <c r="D442" s="684">
        <f>C442-E442</f>
        <v/>
      </c>
    </row>
    <row r="443">
      <c r="A443" s="419" t="n"/>
      <c r="D443" s="684">
        <f>C443-E443</f>
        <v/>
      </c>
    </row>
    <row r="444">
      <c r="A444" s="419" t="n"/>
      <c r="D444" s="684">
        <f>C444-E444</f>
        <v/>
      </c>
    </row>
    <row r="445">
      <c r="A445" s="419" t="n"/>
      <c r="D445" s="684">
        <f>C445-E445</f>
        <v/>
      </c>
    </row>
    <row r="446">
      <c r="A446" s="419" t="n"/>
      <c r="D446" s="684">
        <f>C446-E446</f>
        <v/>
      </c>
    </row>
    <row r="447">
      <c r="A447" s="419" t="n"/>
      <c r="D447" s="684">
        <f>C447-E447</f>
        <v/>
      </c>
    </row>
    <row r="448">
      <c r="A448" s="419" t="n"/>
      <c r="D448" s="684">
        <f>C448-E448</f>
        <v/>
      </c>
    </row>
    <row r="449">
      <c r="A449" s="419" t="n"/>
      <c r="D449" s="684">
        <f>C449-E449</f>
        <v/>
      </c>
    </row>
    <row r="450">
      <c r="A450" s="419" t="n"/>
      <c r="D450" s="684">
        <f>C450-E450</f>
        <v/>
      </c>
    </row>
    <row r="451">
      <c r="A451" s="419" t="n"/>
      <c r="D451" s="684">
        <f>C451-E451</f>
        <v/>
      </c>
    </row>
    <row r="452">
      <c r="A452" s="419" t="n"/>
      <c r="D452" s="684">
        <f>C452-E452</f>
        <v/>
      </c>
    </row>
    <row r="453">
      <c r="A453" s="419" t="n"/>
      <c r="D453" s="684">
        <f>C453-E453</f>
        <v/>
      </c>
    </row>
    <row r="454">
      <c r="A454" s="419" t="n"/>
      <c r="D454" s="684">
        <f>C454-E454</f>
        <v/>
      </c>
    </row>
    <row r="455">
      <c r="A455" s="419" t="n"/>
      <c r="D455" s="684">
        <f>C455-E455</f>
        <v/>
      </c>
    </row>
    <row r="456">
      <c r="A456" s="419" t="n"/>
      <c r="D456" s="684">
        <f>C456-E456</f>
        <v/>
      </c>
    </row>
    <row r="457">
      <c r="A457" s="419" t="n"/>
      <c r="D457" s="684">
        <f>C457-E457</f>
        <v/>
      </c>
    </row>
    <row r="458">
      <c r="A458" s="419" t="n"/>
      <c r="D458" s="684">
        <f>C458-E458</f>
        <v/>
      </c>
    </row>
    <row r="459">
      <c r="A459" s="419" t="n"/>
      <c r="D459" s="684">
        <f>C459-E459</f>
        <v/>
      </c>
    </row>
    <row r="460">
      <c r="A460" s="419" t="n"/>
      <c r="D460" s="684">
        <f>C460-E460</f>
        <v/>
      </c>
    </row>
    <row r="461">
      <c r="A461" s="419" t="n"/>
      <c r="D461" s="684">
        <f>C461-E461</f>
        <v/>
      </c>
    </row>
    <row r="462">
      <c r="A462" s="419" t="n"/>
      <c r="D462" s="684">
        <f>C462-E462</f>
        <v/>
      </c>
    </row>
    <row r="463">
      <c r="A463" s="419" t="n"/>
      <c r="D463" s="684">
        <f>C463-E463</f>
        <v/>
      </c>
    </row>
    <row r="464">
      <c r="A464" s="419" t="n"/>
      <c r="D464" s="684">
        <f>C464-E464</f>
        <v/>
      </c>
    </row>
    <row r="465">
      <c r="A465" s="419" t="n"/>
      <c r="D465" s="684">
        <f>C465-E465</f>
        <v/>
      </c>
    </row>
    <row r="466">
      <c r="A466" s="419" t="n"/>
      <c r="D466" s="684">
        <f>C466-E466</f>
        <v/>
      </c>
    </row>
    <row r="467">
      <c r="A467" s="419" t="n"/>
      <c r="D467" s="684">
        <f>C467-E467</f>
        <v/>
      </c>
    </row>
    <row r="468">
      <c r="A468" s="419" t="n"/>
      <c r="D468" s="684">
        <f>C468-E468</f>
        <v/>
      </c>
    </row>
    <row r="469">
      <c r="A469" s="419" t="n"/>
      <c r="D469" s="684">
        <f>C469-E469</f>
        <v/>
      </c>
    </row>
    <row r="470">
      <c r="A470" s="419" t="n"/>
      <c r="D470" s="684">
        <f>C470-E470</f>
        <v/>
      </c>
    </row>
    <row r="471">
      <c r="A471" s="419" t="n"/>
      <c r="D471" s="684">
        <f>C471-E471</f>
        <v/>
      </c>
    </row>
    <row r="472">
      <c r="A472" s="419" t="n"/>
      <c r="D472" s="684">
        <f>C472-E472</f>
        <v/>
      </c>
    </row>
    <row r="473">
      <c r="A473" s="419" t="n"/>
      <c r="D473" s="684">
        <f>C473-E473</f>
        <v/>
      </c>
    </row>
    <row r="474">
      <c r="A474" s="419" t="n"/>
      <c r="D474" s="684">
        <f>C474-E474</f>
        <v/>
      </c>
    </row>
    <row r="475">
      <c r="A475" s="419" t="n"/>
      <c r="D475" s="684">
        <f>C475-E475</f>
        <v/>
      </c>
    </row>
    <row r="476">
      <c r="A476" s="419" t="n"/>
      <c r="D476" s="684">
        <f>C476-E476</f>
        <v/>
      </c>
    </row>
    <row r="477">
      <c r="A477" s="419" t="n"/>
      <c r="D477" s="684">
        <f>C477-E477</f>
        <v/>
      </c>
    </row>
    <row r="478">
      <c r="A478" s="419" t="n"/>
      <c r="D478" s="684">
        <f>C478-E478</f>
        <v/>
      </c>
    </row>
    <row r="479">
      <c r="A479" s="419" t="n"/>
      <c r="D479" s="684">
        <f>C479-E479</f>
        <v/>
      </c>
    </row>
    <row r="480">
      <c r="A480" s="419" t="n"/>
      <c r="D480" s="684">
        <f>C480-E480</f>
        <v/>
      </c>
    </row>
    <row r="481">
      <c r="A481" s="419" t="n"/>
      <c r="D481" s="684">
        <f>C481-E481</f>
        <v/>
      </c>
    </row>
    <row r="482">
      <c r="A482" s="419" t="n"/>
      <c r="D482" s="684">
        <f>C482-E482</f>
        <v/>
      </c>
    </row>
    <row r="483">
      <c r="A483" s="419" t="n"/>
      <c r="D483" s="684">
        <f>C483-E483</f>
        <v/>
      </c>
    </row>
    <row r="484">
      <c r="A484" s="419" t="n"/>
      <c r="D484" s="684">
        <f>C484-E484</f>
        <v/>
      </c>
    </row>
    <row r="485">
      <c r="A485" s="419" t="n"/>
      <c r="D485" s="684">
        <f>C485-E485</f>
        <v/>
      </c>
    </row>
    <row r="486">
      <c r="A486" s="419" t="n"/>
      <c r="D486" s="684">
        <f>C486-E486</f>
        <v/>
      </c>
    </row>
    <row r="487">
      <c r="A487" s="419" t="n"/>
      <c r="D487" s="684">
        <f>C487-E487</f>
        <v/>
      </c>
    </row>
    <row r="488">
      <c r="A488" s="419" t="n"/>
      <c r="D488" s="684">
        <f>C488-E488</f>
        <v/>
      </c>
    </row>
    <row r="489">
      <c r="A489" s="419" t="n"/>
      <c r="D489" s="684">
        <f>C489-E489</f>
        <v/>
      </c>
    </row>
    <row r="490">
      <c r="A490" s="419" t="n"/>
      <c r="D490" s="684">
        <f>C490-E490</f>
        <v/>
      </c>
    </row>
    <row r="491">
      <c r="A491" s="419" t="n"/>
      <c r="D491" s="684">
        <f>C491-E491</f>
        <v/>
      </c>
    </row>
    <row r="492">
      <c r="A492" s="419" t="n"/>
      <c r="D492" s="684">
        <f>C492-E492</f>
        <v/>
      </c>
    </row>
    <row r="493">
      <c r="A493" s="419" t="n"/>
      <c r="D493" s="684">
        <f>C493-E493</f>
        <v/>
      </c>
    </row>
    <row r="494">
      <c r="A494" s="419" t="n"/>
      <c r="D494" s="684">
        <f>C494-E494</f>
        <v/>
      </c>
    </row>
    <row r="495">
      <c r="A495" s="419" t="n"/>
      <c r="D495" s="684">
        <f>C495-E495</f>
        <v/>
      </c>
    </row>
    <row r="496">
      <c r="A496" s="419" t="n"/>
      <c r="D496" s="684">
        <f>C496-E496</f>
        <v/>
      </c>
    </row>
    <row r="497">
      <c r="A497" s="419" t="n"/>
      <c r="D497" s="684">
        <f>C497-E497</f>
        <v/>
      </c>
    </row>
    <row r="498">
      <c r="A498" s="419" t="n"/>
      <c r="D498" s="684">
        <f>C498-E498</f>
        <v/>
      </c>
    </row>
    <row r="499">
      <c r="A499" s="419" t="n"/>
      <c r="D499" s="684">
        <f>C499-E499</f>
        <v/>
      </c>
    </row>
    <row r="500">
      <c r="A500" s="419" t="n"/>
      <c r="D500" s="684">
        <f>C500-E500</f>
        <v/>
      </c>
    </row>
    <row r="501">
      <c r="A501" s="419" t="n"/>
      <c r="D501" s="684">
        <f>C501-E501</f>
        <v/>
      </c>
    </row>
    <row r="502">
      <c r="A502" s="419" t="n"/>
      <c r="D502" s="684">
        <f>C502-E502</f>
        <v/>
      </c>
    </row>
    <row r="503">
      <c r="A503" s="419" t="n"/>
      <c r="D503" s="684">
        <f>C503-E503</f>
        <v/>
      </c>
    </row>
    <row r="504">
      <c r="A504" s="419" t="n"/>
      <c r="D504" s="684">
        <f>C504-E504</f>
        <v/>
      </c>
    </row>
    <row r="505">
      <c r="A505" s="419" t="n"/>
      <c r="D505" s="684">
        <f>C505-E505</f>
        <v/>
      </c>
    </row>
    <row r="506">
      <c r="D506" s="684">
        <f>C506-E506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fhLA0gyDGaEmFLpS/04iCA==" formatRows="1" sort="1" spinCount="100000" hashValue="/VPi7B+Yx4vDcJGZ0yN+Polhcu8LVezmOpG1qDlxoQ3mYy2D+h6uP5Lj1aBp7PHdphGqS+giUzbtOsXVj2Ofnw=="/>
  <mergeCells count="1">
    <mergeCell ref="A1:BL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0">
    <tabColor theme="9" tint="-0.249977111117893"/>
    <outlinePr summaryBelow="1" summaryRight="1"/>
    <pageSetUpPr/>
  </sheetPr>
  <dimension ref="A1:U204"/>
  <sheetViews>
    <sheetView showGridLines="0" workbookViewId="0">
      <pane ySplit="1" topLeftCell="A2" activePane="bottomLeft" state="frozen"/>
      <selection activeCell="C162" sqref="C162"/>
      <selection pane="bottomLeft" activeCell="O39" sqref="O39"/>
    </sheetView>
  </sheetViews>
  <sheetFormatPr baseColWidth="8" defaultRowHeight="13.5"/>
  <cols>
    <col width="12.5" customWidth="1" style="570" min="1" max="1"/>
    <col width="15" customWidth="1" style="570" min="2" max="2"/>
    <col width="19.25" customWidth="1" style="570" min="3" max="3"/>
    <col width="17.625" customWidth="1" style="570" min="4" max="4"/>
    <col width="9.125" customWidth="1" style="570" min="5" max="5"/>
    <col width="18.375" customWidth="1" style="570" min="6" max="6"/>
    <col width="11.625" customWidth="1" style="570" min="7" max="10"/>
    <col width="9.125" customWidth="1" style="570" min="11" max="11"/>
    <col width="15.875" customWidth="1" style="570" min="12" max="12"/>
    <col width="15" customWidth="1" style="570" min="13" max="13"/>
    <col width="10.625" customWidth="1" style="570" min="14" max="14"/>
    <col width="17.5" customWidth="1" style="570" min="15" max="15"/>
    <col width="10.625" customWidth="1" style="570" min="16" max="19"/>
    <col width="11.625" bestFit="1" customWidth="1" style="570" min="20" max="22"/>
    <col width="13" customWidth="1" style="570" min="23" max="23"/>
    <col width="21.25" customWidth="1" style="570" min="24" max="24"/>
    <col width="9" customWidth="1" style="570" min="25" max="25"/>
    <col width="11.5" bestFit="1" customWidth="1" style="570" min="26" max="26"/>
    <col width="9" customWidth="1" style="570" min="27" max="16384"/>
  </cols>
  <sheetData>
    <row r="1" ht="42" customHeight="1" s="574">
      <c r="A1" s="330" t="inlineStr">
        <is>
          <t>コード →</t>
        </is>
      </c>
      <c r="B1" s="331" t="inlineStr">
        <is>
          <t>7741</t>
        </is>
      </c>
      <c r="C1" s="334">
        <f t="array" ref="C1">IF(B1="","",_xll.RssMarket(B1,"銘柄名称"))</f>
        <v/>
      </c>
      <c r="D1" s="258" t="inlineStr">
        <is>
          <t>→ 株探(過去データ)</t>
        </is>
      </c>
      <c r="E1" s="225" t="inlineStr">
        <is>
          <t>→</t>
        </is>
      </c>
      <c r="F1" s="226" t="n"/>
      <c r="G1" s="225" t="n"/>
      <c r="J1" s="227" t="inlineStr">
        <is>
          <t>本数</t>
        </is>
      </c>
      <c r="K1" s="228" t="n">
        <v>80</v>
      </c>
      <c r="L1" s="229" t="inlineStr">
        <is>
          <t>開始日(YYYYMMDD)</t>
        </is>
      </c>
      <c r="M1" s="259" t="n">
        <v>20260303</v>
      </c>
    </row>
    <row r="2" ht="24" customHeight="1" s="574">
      <c r="B2" s="333" t="inlineStr">
        <is>
          <t>銘柄名称</t>
        </is>
      </c>
      <c r="C2" s="328" t="inlineStr">
        <is>
          <t>市場名称</t>
        </is>
      </c>
      <c r="D2" s="230" t="inlineStr">
        <is>
          <t>日付</t>
        </is>
      </c>
      <c r="E2" s="230" t="inlineStr">
        <is>
          <t>時刻</t>
        </is>
      </c>
      <c r="F2" s="230" t="inlineStr">
        <is>
          <t>出来高</t>
        </is>
      </c>
      <c r="G2" s="230" t="inlineStr">
        <is>
          <t>始値</t>
        </is>
      </c>
      <c r="H2" s="230" t="inlineStr">
        <is>
          <t>高値</t>
        </is>
      </c>
      <c r="I2" s="230" t="inlineStr">
        <is>
          <t>安値</t>
        </is>
      </c>
      <c r="J2" s="231" t="inlineStr">
        <is>
          <t>終値</t>
        </is>
      </c>
      <c r="K2" s="220" t="inlineStr">
        <is>
          <t>移動平均1</t>
        </is>
      </c>
      <c r="L2" s="220" t="inlineStr">
        <is>
          <t>移動平均2</t>
        </is>
      </c>
    </row>
    <row r="3" ht="17.25" customHeight="1" s="574">
      <c r="A3">
        <f>_xll.RssChartPast(B2:J2,B1,"D",$M$1,$K$1)</f>
        <v/>
      </c>
      <c r="B3" s="253" t="inlineStr">
        <is>
          <t>ＨＯＹＡ</t>
        </is>
      </c>
      <c r="C3" s="329" t="inlineStr">
        <is>
          <t>東証</t>
        </is>
      </c>
      <c r="D3" s="248" t="inlineStr">
        <is>
          <t>2026/03/03</t>
        </is>
      </c>
      <c r="E3" s="232" t="inlineStr"/>
      <c r="F3" s="232" t="n">
        <v>1115000</v>
      </c>
      <c r="G3" s="232" t="n">
        <v>27910</v>
      </c>
      <c r="H3" s="232" t="n">
        <v>28530</v>
      </c>
      <c r="I3" s="232" t="n">
        <v>27730</v>
      </c>
      <c r="J3" s="233" t="n">
        <v>28310</v>
      </c>
    </row>
    <row r="4" ht="17.25" customHeight="1" s="574">
      <c r="A4" s="570" t="n"/>
      <c r="B4" s="332" t="n"/>
      <c r="C4" s="249" t="n"/>
      <c r="D4" s="249" t="inlineStr">
        <is>
          <t>2026/03/04</t>
        </is>
      </c>
      <c r="E4" s="234" t="inlineStr"/>
      <c r="F4" s="234" t="n">
        <v>1248600</v>
      </c>
      <c r="G4" s="234" t="n">
        <v>27435</v>
      </c>
      <c r="H4" s="234" t="n">
        <v>27990</v>
      </c>
      <c r="I4" s="234" t="n">
        <v>27020</v>
      </c>
      <c r="J4" s="235" t="n">
        <v>27415</v>
      </c>
    </row>
    <row r="5" ht="17.25" customHeight="1" s="574">
      <c r="B5" s="253" t="n"/>
      <c r="C5" s="248" t="n"/>
      <c r="D5" s="248" t="inlineStr">
        <is>
          <t>2026/03/05</t>
        </is>
      </c>
      <c r="E5" s="232" t="inlineStr"/>
      <c r="F5" s="232" t="n">
        <v>1346500</v>
      </c>
      <c r="G5" s="232" t="n">
        <v>28235</v>
      </c>
      <c r="H5" s="232" t="n">
        <v>28665</v>
      </c>
      <c r="I5" s="232" t="n">
        <v>28035</v>
      </c>
      <c r="J5" s="233" t="n">
        <v>28140</v>
      </c>
      <c r="L5" s="2" t="n"/>
      <c r="M5" s="2" t="n"/>
      <c r="N5" s="3" t="n"/>
      <c r="O5" s="3" t="n"/>
      <c r="P5" s="3" t="n"/>
      <c r="Q5" s="3" t="n"/>
      <c r="R5" s="3" t="n"/>
      <c r="S5" s="2" t="n"/>
      <c r="T5" s="2" t="n"/>
      <c r="U5" s="2" t="n"/>
    </row>
    <row r="6" ht="17.25" customHeight="1" s="574">
      <c r="B6" s="254" t="n"/>
      <c r="C6" s="249" t="n"/>
      <c r="D6" s="249" t="inlineStr">
        <is>
          <t>2026/03/06</t>
        </is>
      </c>
      <c r="E6" s="234" t="inlineStr"/>
      <c r="F6" s="234" t="n">
        <v>955600</v>
      </c>
      <c r="G6" s="234" t="n">
        <v>27810</v>
      </c>
      <c r="H6" s="234" t="n">
        <v>28510</v>
      </c>
      <c r="I6" s="234" t="n">
        <v>27670</v>
      </c>
      <c r="J6" s="235" t="n">
        <v>28510</v>
      </c>
      <c r="L6" s="2" t="n"/>
      <c r="M6" s="2" t="n"/>
      <c r="N6" s="3" t="n"/>
      <c r="O6" s="3" t="n"/>
      <c r="P6" s="3" t="n"/>
      <c r="Q6" s="3" t="n"/>
      <c r="R6" s="3" t="n"/>
      <c r="S6" s="2" t="n"/>
      <c r="T6" s="2" t="n"/>
      <c r="U6" s="2" t="n"/>
    </row>
    <row r="7" ht="17.25" customHeight="1" s="574">
      <c r="B7" s="253" t="n"/>
      <c r="C7" s="248" t="n"/>
      <c r="D7" s="248" t="inlineStr">
        <is>
          <t>2026/03/09</t>
        </is>
      </c>
      <c r="E7" s="232" t="inlineStr"/>
      <c r="F7" s="232" t="n">
        <v>1130900</v>
      </c>
      <c r="G7" s="232" t="n">
        <v>26400</v>
      </c>
      <c r="H7" s="232" t="n">
        <v>26980</v>
      </c>
      <c r="I7" s="232" t="n">
        <v>26335</v>
      </c>
      <c r="J7" s="233" t="n">
        <v>26765</v>
      </c>
      <c r="L7" s="2" t="n"/>
      <c r="M7" s="2" t="n"/>
      <c r="N7" s="3" t="n"/>
      <c r="O7" s="3" t="n"/>
      <c r="P7" s="3" t="n"/>
      <c r="Q7" s="3" t="n"/>
      <c r="R7" s="3" t="n"/>
      <c r="S7" s="2" t="n"/>
      <c r="T7" s="2" t="n"/>
      <c r="U7" s="2" t="n"/>
    </row>
    <row r="8" ht="17.25" customHeight="1" s="574">
      <c r="B8" s="254" t="n"/>
      <c r="C8" s="249" t="n"/>
      <c r="D8" s="249" t="inlineStr">
        <is>
          <t>2026/03/10</t>
        </is>
      </c>
      <c r="E8" s="234" t="inlineStr"/>
      <c r="F8" s="234" t="n">
        <v>1179400</v>
      </c>
      <c r="G8" s="234" t="n">
        <v>27265</v>
      </c>
      <c r="H8" s="234" t="n">
        <v>27565</v>
      </c>
      <c r="I8" s="234" t="n">
        <v>27090</v>
      </c>
      <c r="J8" s="235" t="n">
        <v>27445</v>
      </c>
      <c r="L8" s="2" t="n"/>
      <c r="M8" s="2" t="n"/>
      <c r="N8" s="3" t="n"/>
      <c r="O8" s="3" t="n"/>
      <c r="P8" s="3" t="n"/>
      <c r="Q8" s="3" t="n"/>
      <c r="R8" s="3" t="n"/>
      <c r="S8" s="2" t="n"/>
      <c r="T8" s="2" t="n"/>
      <c r="U8" s="2" t="n"/>
    </row>
    <row r="9" ht="17.25" customHeight="1" s="574">
      <c r="B9" s="253" t="n"/>
      <c r="C9" s="248" t="n"/>
      <c r="D9" s="248" t="inlineStr">
        <is>
          <t>2026/03/11</t>
        </is>
      </c>
      <c r="E9" s="232" t="inlineStr"/>
      <c r="F9" s="232" t="n">
        <v>838000</v>
      </c>
      <c r="G9" s="232" t="n">
        <v>27660</v>
      </c>
      <c r="H9" s="232" t="n">
        <v>28205</v>
      </c>
      <c r="I9" s="232" t="n">
        <v>27580</v>
      </c>
      <c r="J9" s="233" t="n">
        <v>27775</v>
      </c>
      <c r="L9" s="2" t="n"/>
      <c r="M9" s="2" t="n"/>
      <c r="N9" s="3" t="n"/>
      <c r="O9" s="3" t="n"/>
      <c r="P9" s="3" t="n"/>
      <c r="Q9" s="3" t="n"/>
      <c r="R9" s="3" t="n"/>
      <c r="S9" s="2" t="n"/>
      <c r="T9" s="2" t="n"/>
      <c r="U9" s="2" t="n"/>
    </row>
    <row r="10" ht="17.25" customHeight="1" s="574">
      <c r="B10" s="254" t="n"/>
      <c r="C10" s="249" t="n"/>
      <c r="D10" s="249" t="inlineStr">
        <is>
          <t>2026/03/12</t>
        </is>
      </c>
      <c r="E10" s="234" t="inlineStr"/>
      <c r="F10" s="234" t="n">
        <v>912500</v>
      </c>
      <c r="G10" s="234" t="n">
        <v>27455</v>
      </c>
      <c r="H10" s="234" t="n">
        <v>27845</v>
      </c>
      <c r="I10" s="234" t="n">
        <v>27305</v>
      </c>
      <c r="J10" s="235" t="n">
        <v>27705</v>
      </c>
      <c r="M10" s="3" t="n"/>
      <c r="N10" s="3" t="n"/>
      <c r="O10" s="3" t="n"/>
      <c r="P10" s="3" t="n"/>
      <c r="Q10" s="3" t="n"/>
      <c r="R10" s="2" t="n"/>
      <c r="S10" s="2" t="n"/>
      <c r="T10" s="2" t="n"/>
      <c r="U10" s="2" t="n"/>
    </row>
    <row r="11" ht="17.25" customHeight="1" s="574">
      <c r="B11" s="253" t="n"/>
      <c r="C11" s="248" t="n"/>
      <c r="D11" s="248" t="inlineStr">
        <is>
          <t>2026/03/13</t>
        </is>
      </c>
      <c r="E11" s="232" t="inlineStr"/>
      <c r="F11" s="232" t="n">
        <v>978300</v>
      </c>
      <c r="G11" s="232" t="n">
        <v>27105</v>
      </c>
      <c r="H11" s="232" t="n">
        <v>27955</v>
      </c>
      <c r="I11" s="232" t="n">
        <v>27105</v>
      </c>
      <c r="J11" s="233" t="n">
        <v>27765</v>
      </c>
      <c r="M11" s="3" t="n"/>
      <c r="N11" s="3" t="n"/>
      <c r="O11" s="3" t="n"/>
      <c r="P11" s="3" t="n"/>
      <c r="Q11" s="3" t="n"/>
      <c r="R11" s="2" t="n"/>
      <c r="S11" s="2" t="n"/>
      <c r="T11" s="2" t="n"/>
      <c r="U11" s="2" t="n"/>
    </row>
    <row r="12" ht="17.25" customHeight="1" s="574">
      <c r="B12" s="254" t="n"/>
      <c r="C12" s="249" t="n"/>
      <c r="D12" s="249" t="inlineStr">
        <is>
          <t>2026/03/16</t>
        </is>
      </c>
      <c r="E12" s="234" t="inlineStr"/>
      <c r="F12" s="234" t="n">
        <v>808400</v>
      </c>
      <c r="G12" s="234" t="n">
        <v>27490</v>
      </c>
      <c r="H12" s="234" t="n">
        <v>27710</v>
      </c>
      <c r="I12" s="234" t="n">
        <v>27045</v>
      </c>
      <c r="J12" s="235" t="n">
        <v>27570</v>
      </c>
      <c r="M12" s="3" t="n"/>
      <c r="N12" s="3" t="n"/>
      <c r="O12" s="3" t="n"/>
      <c r="P12" s="3" t="n"/>
      <c r="Q12" s="3" t="n"/>
      <c r="R12" s="2" t="n"/>
      <c r="S12" s="2" t="n"/>
      <c r="T12" s="2" t="n"/>
      <c r="U12" s="2" t="n"/>
    </row>
    <row r="13" ht="17.25" customHeight="1" s="574">
      <c r="B13" s="253" t="n"/>
      <c r="C13" s="248" t="n"/>
      <c r="D13" s="248" t="inlineStr">
        <is>
          <t>2026/03/17</t>
        </is>
      </c>
      <c r="E13" s="232" t="inlineStr"/>
      <c r="F13" s="232" t="n">
        <v>657600</v>
      </c>
      <c r="G13" s="232" t="n">
        <v>28040</v>
      </c>
      <c r="H13" s="232" t="n">
        <v>28200</v>
      </c>
      <c r="I13" s="232" t="n">
        <v>27640</v>
      </c>
      <c r="J13" s="233" t="n">
        <v>27680</v>
      </c>
      <c r="M13" s="3" t="n"/>
      <c r="N13" s="3" t="n"/>
      <c r="O13" s="3" t="n"/>
      <c r="P13" s="3" t="n"/>
      <c r="Q13" s="3" t="n"/>
      <c r="R13" s="2" t="n"/>
      <c r="S13" s="2" t="n"/>
      <c r="T13" s="2" t="n"/>
      <c r="U13" s="2" t="n"/>
    </row>
    <row r="14" ht="17.25" customHeight="1" s="574">
      <c r="B14" s="254" t="n"/>
      <c r="C14" s="249" t="n"/>
      <c r="D14" s="249" t="inlineStr">
        <is>
          <t>2026/03/18</t>
        </is>
      </c>
      <c r="E14" s="234" t="inlineStr"/>
      <c r="F14" s="234" t="n">
        <v>1057500</v>
      </c>
      <c r="G14" s="234" t="n">
        <v>27800</v>
      </c>
      <c r="H14" s="234" t="n">
        <v>28450</v>
      </c>
      <c r="I14" s="234" t="n">
        <v>27730</v>
      </c>
      <c r="J14" s="235" t="n">
        <v>28150</v>
      </c>
      <c r="M14" s="3" t="n"/>
      <c r="N14" s="3" t="n"/>
      <c r="O14" s="3" t="n"/>
      <c r="P14" s="3" t="n"/>
      <c r="Q14" s="3" t="n"/>
      <c r="R14" s="2" t="n"/>
      <c r="S14" s="2" t="n"/>
      <c r="T14" s="2" t="n"/>
      <c r="U14" s="2" t="n"/>
    </row>
    <row r="15" ht="17.25" customHeight="1" s="574">
      <c r="A15" s="685" t="n"/>
      <c r="B15" s="255" t="n"/>
      <c r="C15" s="250" t="n"/>
      <c r="D15" s="250" t="inlineStr">
        <is>
          <t>2026/03/19</t>
        </is>
      </c>
      <c r="E15" s="236" t="inlineStr"/>
      <c r="F15" s="236" t="n">
        <v>1333300</v>
      </c>
      <c r="G15" s="237" t="n">
        <v>27705</v>
      </c>
      <c r="H15" s="237" t="n">
        <v>27885</v>
      </c>
      <c r="I15" s="237" t="n">
        <v>27520</v>
      </c>
      <c r="J15" s="238" t="n">
        <v>27800</v>
      </c>
      <c r="K15" s="224" t="n"/>
      <c r="M15" s="3" t="n"/>
      <c r="N15" s="3" t="n"/>
      <c r="O15" s="3" t="n"/>
      <c r="P15" s="3" t="n"/>
      <c r="Q15" s="3" t="n"/>
      <c r="R15" s="2" t="n"/>
      <c r="S15" s="2" t="n"/>
      <c r="T15" s="2" t="n"/>
      <c r="U15" s="2" t="n"/>
    </row>
    <row r="16" ht="17.25" customHeight="1" s="574">
      <c r="A16" s="685" t="n"/>
      <c r="B16" s="256" t="n"/>
      <c r="C16" s="251" t="n"/>
      <c r="D16" s="251" t="inlineStr">
        <is>
          <t>2026/03/23</t>
        </is>
      </c>
      <c r="E16" s="239" t="inlineStr"/>
      <c r="F16" s="239" t="n">
        <v>994800</v>
      </c>
      <c r="G16" s="240" t="n">
        <v>27300</v>
      </c>
      <c r="H16" s="240" t="n">
        <v>27490</v>
      </c>
      <c r="I16" s="240" t="n">
        <v>26870</v>
      </c>
      <c r="J16" s="241" t="n">
        <v>27265</v>
      </c>
      <c r="K16" s="223" t="n"/>
      <c r="M16" s="3" t="n"/>
      <c r="N16" s="3" t="n"/>
      <c r="O16" s="3" t="n"/>
      <c r="P16" s="3" t="n"/>
      <c r="Q16" s="3" t="n"/>
      <c r="R16" s="2" t="n"/>
      <c r="S16" s="2" t="n"/>
      <c r="T16" s="2" t="n"/>
      <c r="U16" s="2" t="n"/>
    </row>
    <row r="17" ht="17.25" customHeight="1" s="574">
      <c r="A17" s="685" t="n"/>
      <c r="B17" s="255" t="n"/>
      <c r="C17" s="250" t="n"/>
      <c r="D17" s="250" t="inlineStr">
        <is>
          <t>2026/03/24</t>
        </is>
      </c>
      <c r="E17" s="236" t="inlineStr"/>
      <c r="F17" s="236" t="n">
        <v>1238200</v>
      </c>
      <c r="G17" s="237" t="n">
        <v>28500</v>
      </c>
      <c r="H17" s="237" t="n">
        <v>28540</v>
      </c>
      <c r="I17" s="237" t="n">
        <v>27825</v>
      </c>
      <c r="J17" s="238" t="n">
        <v>28235</v>
      </c>
      <c r="K17" s="224" t="n"/>
      <c r="M17" s="3" t="n"/>
      <c r="N17" s="3" t="n"/>
      <c r="O17" s="3" t="n"/>
      <c r="P17" s="3" t="n"/>
      <c r="Q17" s="3" t="n"/>
      <c r="R17" s="2" t="n"/>
      <c r="S17" s="2" t="n"/>
      <c r="T17" s="2" t="n"/>
      <c r="U17" s="2" t="n"/>
    </row>
    <row r="18" ht="17.25" customHeight="1" s="574">
      <c r="A18" s="686" t="n"/>
      <c r="B18" s="256" t="n"/>
      <c r="C18" s="251" t="n"/>
      <c r="D18" s="251" t="inlineStr">
        <is>
          <t>2026/03/25</t>
        </is>
      </c>
      <c r="E18" s="239" t="inlineStr"/>
      <c r="F18" s="239" t="n">
        <v>991500</v>
      </c>
      <c r="G18" s="240" t="n">
        <v>28665</v>
      </c>
      <c r="H18" s="240" t="n">
        <v>28720</v>
      </c>
      <c r="I18" s="240" t="n">
        <v>28105</v>
      </c>
      <c r="J18" s="241" t="n">
        <v>28420</v>
      </c>
      <c r="M18" s="3" t="n"/>
      <c r="N18" s="3" t="n"/>
      <c r="O18" s="3" t="n"/>
      <c r="P18" s="3" t="n"/>
      <c r="Q18" s="3" t="n"/>
      <c r="R18" s="2" t="n"/>
      <c r="S18" s="2" t="n"/>
      <c r="T18" s="2" t="n"/>
      <c r="U18" s="2" t="n"/>
    </row>
    <row r="19" ht="17.25" customHeight="1" s="574">
      <c r="A19" s="686" t="n"/>
      <c r="B19" s="255" t="n"/>
      <c r="C19" s="250" t="n"/>
      <c r="D19" s="250" t="inlineStr">
        <is>
          <t>2026/03/26</t>
        </is>
      </c>
      <c r="E19" s="236" t="inlineStr"/>
      <c r="F19" s="236" t="n">
        <v>888900</v>
      </c>
      <c r="G19" s="237" t="n">
        <v>28200</v>
      </c>
      <c r="H19" s="237" t="n">
        <v>28280</v>
      </c>
      <c r="I19" s="237" t="n">
        <v>27645</v>
      </c>
      <c r="J19" s="238" t="n">
        <v>28090</v>
      </c>
      <c r="M19" s="3" t="n"/>
      <c r="N19" s="3" t="n"/>
      <c r="O19" s="3" t="n"/>
      <c r="P19" s="3" t="n"/>
      <c r="Q19" s="3" t="n"/>
      <c r="R19" s="2" t="n"/>
      <c r="S19" s="2" t="n"/>
      <c r="T19" s="2" t="n"/>
      <c r="U19" s="2" t="n"/>
    </row>
    <row r="20" ht="17.25" customHeight="1" s="574">
      <c r="A20" s="686" t="n"/>
      <c r="B20" s="256" t="n"/>
      <c r="C20" s="251" t="n"/>
      <c r="D20" s="251" t="inlineStr">
        <is>
          <t>2026/03/27</t>
        </is>
      </c>
      <c r="E20" s="239" t="inlineStr"/>
      <c r="F20" s="239" t="n">
        <v>1324700</v>
      </c>
      <c r="G20" s="240" t="n">
        <v>27600</v>
      </c>
      <c r="H20" s="240" t="n">
        <v>27780</v>
      </c>
      <c r="I20" s="240" t="n">
        <v>27015</v>
      </c>
      <c r="J20" s="241" t="n">
        <v>27280</v>
      </c>
      <c r="M20" s="3" t="n"/>
      <c r="N20" s="3" t="n"/>
      <c r="O20" s="3" t="n"/>
      <c r="P20" s="3" t="n"/>
      <c r="Q20" s="3" t="n"/>
      <c r="R20" s="2" t="n"/>
      <c r="S20" s="2" t="n"/>
      <c r="T20" s="2" t="n"/>
      <c r="U20" s="2" t="n"/>
    </row>
    <row r="21" ht="17.25" customHeight="1" s="574">
      <c r="A21" s="69" t="n"/>
      <c r="B21" s="255" t="n"/>
      <c r="C21" s="250" t="n"/>
      <c r="D21" s="250" t="inlineStr">
        <is>
          <t>2026/03/30</t>
        </is>
      </c>
      <c r="E21" s="236" t="inlineStr"/>
      <c r="F21" s="236" t="n">
        <v>1241800</v>
      </c>
      <c r="G21" s="237" t="n">
        <v>26165</v>
      </c>
      <c r="H21" s="237" t="n">
        <v>27025</v>
      </c>
      <c r="I21" s="237" t="n">
        <v>26000</v>
      </c>
      <c r="J21" s="238" t="n">
        <v>27025</v>
      </c>
      <c r="M21" s="3" t="n"/>
      <c r="N21" s="3" t="n"/>
      <c r="O21" s="3" t="n"/>
      <c r="P21" s="3" t="n"/>
      <c r="Q21" s="3" t="n"/>
      <c r="R21" s="2" t="n"/>
      <c r="S21" s="2" t="n"/>
      <c r="T21" s="2" t="n"/>
      <c r="U21" s="2" t="n"/>
    </row>
    <row r="22" ht="17.25" customHeight="1" s="574">
      <c r="A22" s="69" t="n"/>
      <c r="B22" s="256" t="n"/>
      <c r="C22" s="251" t="n"/>
      <c r="D22" s="251" t="inlineStr">
        <is>
          <t>2026/03/31</t>
        </is>
      </c>
      <c r="E22" s="239" t="inlineStr"/>
      <c r="F22" s="239" t="n">
        <v>1037800</v>
      </c>
      <c r="G22" s="240" t="n">
        <v>26525</v>
      </c>
      <c r="H22" s="240" t="n">
        <v>27215</v>
      </c>
      <c r="I22" s="240" t="n">
        <v>26350</v>
      </c>
      <c r="J22" s="241" t="n">
        <v>26550</v>
      </c>
      <c r="M22" s="3" t="n"/>
      <c r="O22" s="3" t="n"/>
      <c r="P22" s="3" t="n"/>
      <c r="Q22" s="3" t="n"/>
      <c r="R22" s="2" t="n"/>
      <c r="S22" s="2" t="n"/>
      <c r="T22" s="2" t="n"/>
      <c r="U22" s="2" t="n"/>
    </row>
    <row r="23" ht="17.25" customHeight="1" s="574">
      <c r="A23" s="69" t="n"/>
      <c r="B23" s="255" t="n"/>
      <c r="C23" s="250" t="n"/>
      <c r="D23" s="250" t="inlineStr">
        <is>
          <t>2026/04/01</t>
        </is>
      </c>
      <c r="E23" s="236" t="inlineStr"/>
      <c r="F23" s="242" t="n">
        <v>1107600</v>
      </c>
      <c r="G23" s="237" t="n">
        <v>27310</v>
      </c>
      <c r="H23" s="237" t="n">
        <v>27620</v>
      </c>
      <c r="I23" s="237" t="n">
        <v>27080</v>
      </c>
      <c r="J23" s="238" t="n">
        <v>27600</v>
      </c>
      <c r="M23" s="3" t="n"/>
      <c r="N23" s="3" t="n"/>
      <c r="O23" s="3" t="n"/>
      <c r="P23" s="3" t="n"/>
      <c r="Q23" s="3" t="n"/>
      <c r="R23" s="2" t="n"/>
      <c r="S23" s="2" t="n"/>
      <c r="T23" s="2" t="n"/>
      <c r="U23" s="2" t="n"/>
    </row>
    <row r="24" ht="17.25" customHeight="1" s="574">
      <c r="A24" s="69" t="n"/>
      <c r="B24" s="256" t="n"/>
      <c r="C24" s="251" t="n"/>
      <c r="D24" s="251" t="inlineStr">
        <is>
          <t>2026/04/02</t>
        </is>
      </c>
      <c r="E24" s="239" t="inlineStr"/>
      <c r="F24" s="243" t="n">
        <v>1101700</v>
      </c>
      <c r="G24" s="240" t="n">
        <v>27975</v>
      </c>
      <c r="H24" s="240" t="n">
        <v>28185</v>
      </c>
      <c r="I24" s="240" t="n">
        <v>27215</v>
      </c>
      <c r="J24" s="241" t="n">
        <v>27320</v>
      </c>
      <c r="M24" s="3" t="n"/>
      <c r="N24" s="3" t="n"/>
      <c r="O24" s="3" t="n"/>
      <c r="P24" s="3" t="n"/>
      <c r="Q24" s="3" t="n"/>
      <c r="R24" s="2" t="n"/>
      <c r="S24" s="2" t="n"/>
      <c r="T24" s="2" t="n"/>
      <c r="U24" s="2" t="n"/>
    </row>
    <row r="25" ht="17.25" customHeight="1" s="574">
      <c r="A25" s="69" t="n"/>
      <c r="B25" s="255" t="n"/>
      <c r="C25" s="250" t="n"/>
      <c r="D25" s="250" t="inlineStr">
        <is>
          <t>2026/04/03</t>
        </is>
      </c>
      <c r="E25" s="236" t="inlineStr"/>
      <c r="F25" s="236" t="n">
        <v>683900</v>
      </c>
      <c r="G25" s="237" t="n">
        <v>27610</v>
      </c>
      <c r="H25" s="237" t="n">
        <v>27945</v>
      </c>
      <c r="I25" s="237" t="n">
        <v>27485</v>
      </c>
      <c r="J25" s="238" t="n">
        <v>27575</v>
      </c>
      <c r="M25" s="3" t="n"/>
      <c r="N25" s="3" t="n"/>
      <c r="O25" s="3" t="n"/>
      <c r="P25" s="3" t="n"/>
      <c r="Q25" s="3" t="n"/>
      <c r="R25" s="2" t="n"/>
      <c r="S25" s="2" t="n"/>
      <c r="T25" s="2" t="n"/>
      <c r="U25" s="2" t="n"/>
    </row>
    <row r="26" ht="17.25" customHeight="1" s="574">
      <c r="A26" s="69" t="n"/>
      <c r="B26" s="256" t="n"/>
      <c r="C26" s="251" t="n"/>
      <c r="D26" s="251" t="inlineStr">
        <is>
          <t>2026/04/06</t>
        </is>
      </c>
      <c r="E26" s="239" t="inlineStr"/>
      <c r="F26" s="243" t="n">
        <v>688000</v>
      </c>
      <c r="G26" s="240" t="n">
        <v>27700</v>
      </c>
      <c r="H26" s="240" t="n">
        <v>28495</v>
      </c>
      <c r="I26" s="240" t="n">
        <v>27700</v>
      </c>
      <c r="J26" s="241" t="n">
        <v>27960</v>
      </c>
      <c r="M26" s="3" t="n"/>
      <c r="N26" s="3" t="n"/>
      <c r="O26" s="221" t="n"/>
      <c r="P26" s="3" t="n"/>
      <c r="Q26" s="3" t="n"/>
      <c r="R26" s="2" t="n"/>
      <c r="S26" s="2" t="n"/>
      <c r="T26" s="2" t="n"/>
      <c r="U26" s="2" t="n"/>
    </row>
    <row r="27" ht="17.25" customHeight="1" s="574">
      <c r="A27" s="69" t="n"/>
      <c r="B27" s="255" t="n"/>
      <c r="C27" s="250" t="n"/>
      <c r="D27" s="250" t="inlineStr">
        <is>
          <t>2026/04/07</t>
        </is>
      </c>
      <c r="E27" s="236" t="inlineStr"/>
      <c r="F27" s="242" t="n">
        <v>863200</v>
      </c>
      <c r="G27" s="237" t="n">
        <v>28275</v>
      </c>
      <c r="H27" s="237" t="n">
        <v>28440</v>
      </c>
      <c r="I27" s="237" t="n">
        <v>28005</v>
      </c>
      <c r="J27" s="238" t="n">
        <v>28005</v>
      </c>
      <c r="M27" s="3" t="n"/>
      <c r="N27" s="3" t="n"/>
      <c r="O27" s="3" t="n"/>
      <c r="P27" s="3" t="n"/>
      <c r="Q27" s="3" t="n"/>
      <c r="R27" s="2" t="n"/>
      <c r="S27" s="2" t="n"/>
      <c r="T27" s="2" t="n"/>
      <c r="U27" s="2" t="n"/>
    </row>
    <row r="28" ht="17.25" customHeight="1" s="574">
      <c r="A28" s="69" t="n"/>
      <c r="B28" s="256" t="n"/>
      <c r="C28" s="251" t="n"/>
      <c r="D28" s="251" t="inlineStr">
        <is>
          <t>2026/04/08</t>
        </is>
      </c>
      <c r="E28" s="239" t="inlineStr"/>
      <c r="F28" s="243" t="n">
        <v>1226500</v>
      </c>
      <c r="G28" s="240" t="n">
        <v>29255</v>
      </c>
      <c r="H28" s="240" t="n">
        <v>29400</v>
      </c>
      <c r="I28" s="240" t="n">
        <v>28725</v>
      </c>
      <c r="J28" s="241" t="n">
        <v>28755</v>
      </c>
      <c r="M28" s="3" t="n"/>
      <c r="N28" s="3" t="n"/>
      <c r="O28" s="3" t="n"/>
      <c r="P28" s="3" t="n"/>
      <c r="Q28" s="3" t="n"/>
      <c r="R28" s="2" t="n"/>
      <c r="S28" s="2" t="n"/>
      <c r="T28" s="2" t="n"/>
      <c r="U28" s="2" t="n"/>
    </row>
    <row r="29" ht="17.25" customHeight="1" s="574">
      <c r="A29" s="69" t="n"/>
      <c r="B29" s="255" t="n"/>
      <c r="C29" s="250" t="n"/>
      <c r="D29" s="250" t="inlineStr">
        <is>
          <t>2026/04/09</t>
        </is>
      </c>
      <c r="E29" s="236" t="inlineStr"/>
      <c r="F29" s="236" t="n">
        <v>1076500</v>
      </c>
      <c r="G29" s="237" t="n">
        <v>28955</v>
      </c>
      <c r="H29" s="237" t="n">
        <v>29360</v>
      </c>
      <c r="I29" s="237" t="n">
        <v>28900</v>
      </c>
      <c r="J29" s="238" t="n">
        <v>28985</v>
      </c>
      <c r="M29" s="3" t="n"/>
      <c r="N29" s="3" t="n"/>
      <c r="O29" s="3" t="n"/>
      <c r="P29" s="3" t="n"/>
      <c r="Q29" s="3" t="n"/>
      <c r="R29" s="2" t="n"/>
      <c r="S29" s="2" t="n"/>
      <c r="T29" s="2" t="n"/>
      <c r="U29" s="2" t="n"/>
    </row>
    <row r="30" ht="17.25" customHeight="1" s="574">
      <c r="A30" s="69" t="n"/>
      <c r="B30" s="256" t="n"/>
      <c r="C30" s="251" t="n"/>
      <c r="D30" s="251" t="inlineStr">
        <is>
          <t>2026/04/10</t>
        </is>
      </c>
      <c r="E30" s="239" t="inlineStr"/>
      <c r="F30" s="239" t="n">
        <v>1167400</v>
      </c>
      <c r="G30" s="240" t="n">
        <v>28985</v>
      </c>
      <c r="H30" s="240" t="n">
        <v>30030</v>
      </c>
      <c r="I30" s="240" t="n">
        <v>28925</v>
      </c>
      <c r="J30" s="241" t="n">
        <v>29490</v>
      </c>
      <c r="M30" s="3" t="n"/>
      <c r="N30" s="3" t="n"/>
      <c r="O30" s="3" t="n"/>
      <c r="P30" s="3" t="n"/>
      <c r="Q30" s="3" t="n"/>
      <c r="R30" s="2" t="n"/>
      <c r="S30" s="2" t="n"/>
      <c r="T30" s="2" t="n"/>
      <c r="U30" s="2" t="n"/>
    </row>
    <row r="31" ht="17.25" customHeight="1" s="574">
      <c r="A31" s="69" t="n"/>
      <c r="B31" s="255" t="n"/>
      <c r="C31" s="250" t="n"/>
      <c r="D31" s="250" t="inlineStr">
        <is>
          <t>2026/04/13</t>
        </is>
      </c>
      <c r="E31" s="236" t="inlineStr"/>
      <c r="F31" s="242" t="n">
        <v>793200</v>
      </c>
      <c r="G31" s="237" t="n">
        <v>29265</v>
      </c>
      <c r="H31" s="237" t="n">
        <v>29390</v>
      </c>
      <c r="I31" s="237" t="n">
        <v>28965</v>
      </c>
      <c r="J31" s="238" t="n">
        <v>29170</v>
      </c>
      <c r="M31" s="3" t="n"/>
      <c r="N31" s="3" t="n"/>
      <c r="O31" s="3" t="n"/>
      <c r="P31" s="3" t="n"/>
      <c r="Q31" s="3" t="n"/>
      <c r="R31" s="2" t="n"/>
      <c r="S31" s="2" t="n"/>
      <c r="T31" s="2" t="n"/>
      <c r="U31" s="2" t="n"/>
    </row>
    <row r="32" ht="17.25" customHeight="1" s="574">
      <c r="A32" s="69" t="n"/>
      <c r="B32" s="256" t="n"/>
      <c r="C32" s="251" t="n"/>
      <c r="D32" s="251" t="inlineStr">
        <is>
          <t>2026/04/14</t>
        </is>
      </c>
      <c r="E32" s="239" t="inlineStr"/>
      <c r="F32" s="243" t="n">
        <v>733200</v>
      </c>
      <c r="G32" s="240" t="n">
        <v>29670</v>
      </c>
      <c r="H32" s="240" t="n">
        <v>29770</v>
      </c>
      <c r="I32" s="240" t="n">
        <v>29205</v>
      </c>
      <c r="J32" s="241" t="n">
        <v>29400</v>
      </c>
      <c r="N32" s="3" t="n"/>
      <c r="O32" s="3" t="n"/>
      <c r="P32" s="3" t="n"/>
      <c r="Q32" s="3" t="n"/>
      <c r="R32" s="3" t="n"/>
      <c r="S32" s="2" t="n"/>
      <c r="T32" s="2" t="n"/>
      <c r="U32" s="2" t="n"/>
    </row>
    <row r="33" ht="17.25" customHeight="1" s="574">
      <c r="A33" s="69" t="n"/>
      <c r="B33" s="255" t="n"/>
      <c r="C33" s="250" t="n"/>
      <c r="D33" s="250" t="inlineStr">
        <is>
          <t>2026/04/15</t>
        </is>
      </c>
      <c r="E33" s="236" t="inlineStr"/>
      <c r="F33" s="242" t="n">
        <v>1094200</v>
      </c>
      <c r="G33" s="237" t="n">
        <v>29770</v>
      </c>
      <c r="H33" s="237" t="n">
        <v>30400</v>
      </c>
      <c r="I33" s="237" t="n">
        <v>29620</v>
      </c>
      <c r="J33" s="238" t="n">
        <v>30030</v>
      </c>
      <c r="N33" s="3" t="n"/>
      <c r="O33" s="3" t="n"/>
      <c r="P33" s="3" t="n"/>
      <c r="Q33" s="3" t="n"/>
      <c r="R33" s="3" t="n"/>
      <c r="S33" s="2" t="n"/>
      <c r="T33" s="2" t="n"/>
      <c r="U33" s="2" t="n"/>
    </row>
    <row r="34" ht="17.25" customHeight="1" s="574">
      <c r="A34" s="69" t="n"/>
      <c r="B34" s="256" t="n"/>
      <c r="C34" s="251" t="n"/>
      <c r="D34" s="251" t="inlineStr">
        <is>
          <t>2026/04/16</t>
        </is>
      </c>
      <c r="E34" s="239" t="inlineStr"/>
      <c r="F34" s="239" t="n">
        <v>1130400</v>
      </c>
      <c r="G34" s="240" t="n">
        <v>29770</v>
      </c>
      <c r="H34" s="240" t="n">
        <v>30030</v>
      </c>
      <c r="I34" s="240" t="n">
        <v>29405</v>
      </c>
      <c r="J34" s="241" t="n">
        <v>30000</v>
      </c>
      <c r="N34" s="3" t="n"/>
      <c r="O34" s="3" t="n"/>
      <c r="P34" s="3" t="n"/>
      <c r="Q34" s="3" t="n"/>
      <c r="R34" s="3" t="n"/>
      <c r="S34" s="2" t="n"/>
      <c r="T34" s="2" t="n"/>
      <c r="U34" s="2" t="n"/>
    </row>
    <row r="35" ht="17.25" customHeight="1" s="574">
      <c r="A35" s="69" t="n"/>
      <c r="B35" s="255" t="n"/>
      <c r="C35" s="250" t="n"/>
      <c r="D35" s="250" t="inlineStr">
        <is>
          <t>2026/04/17</t>
        </is>
      </c>
      <c r="E35" s="236" t="inlineStr"/>
      <c r="F35" s="236" t="n">
        <v>1161300</v>
      </c>
      <c r="G35" s="237" t="n">
        <v>29495</v>
      </c>
      <c r="H35" s="237" t="n">
        <v>29840</v>
      </c>
      <c r="I35" s="237" t="n">
        <v>28995</v>
      </c>
      <c r="J35" s="238" t="n">
        <v>28995</v>
      </c>
      <c r="N35" s="3" t="n"/>
      <c r="O35" s="3" t="n"/>
      <c r="P35" s="3" t="n"/>
      <c r="Q35" s="3" t="n"/>
      <c r="R35" s="3" t="n"/>
      <c r="S35" s="2" t="n"/>
      <c r="T35" s="2" t="n"/>
      <c r="U35" s="2" t="n"/>
    </row>
    <row r="36" ht="17.25" customHeight="1" s="574">
      <c r="A36" s="69" t="n"/>
      <c r="B36" s="256" t="n"/>
      <c r="C36" s="251" t="n"/>
      <c r="D36" s="251" t="inlineStr">
        <is>
          <t>2026/04/20</t>
        </is>
      </c>
      <c r="E36" s="239" t="inlineStr"/>
      <c r="F36" s="243" t="n">
        <v>897300</v>
      </c>
      <c r="G36" s="240" t="n">
        <v>29495</v>
      </c>
      <c r="H36" s="240" t="n">
        <v>29795</v>
      </c>
      <c r="I36" s="240" t="n">
        <v>29290</v>
      </c>
      <c r="J36" s="241" t="n">
        <v>29645</v>
      </c>
      <c r="N36" s="3" t="n"/>
      <c r="O36" s="3" t="n"/>
      <c r="P36" s="3" t="n"/>
      <c r="Q36" s="3" t="n"/>
      <c r="R36" s="3" t="n"/>
      <c r="S36" s="2" t="n"/>
      <c r="T36" s="2" t="n"/>
      <c r="U36" s="2" t="n"/>
    </row>
    <row r="37" ht="17.25" customHeight="1" s="574">
      <c r="A37" s="69" t="n"/>
      <c r="B37" s="255" t="n"/>
      <c r="C37" s="250" t="n"/>
      <c r="D37" s="250" t="inlineStr">
        <is>
          <t>2026/04/21</t>
        </is>
      </c>
      <c r="E37" s="236" t="inlineStr"/>
      <c r="F37" s="242" t="n">
        <v>1089700</v>
      </c>
      <c r="G37" s="237" t="n">
        <v>29465</v>
      </c>
      <c r="H37" s="237" t="n">
        <v>29555</v>
      </c>
      <c r="I37" s="237" t="n">
        <v>28970</v>
      </c>
      <c r="J37" s="238" t="n">
        <v>28970</v>
      </c>
      <c r="N37" s="3" t="n"/>
      <c r="O37" s="3" t="n"/>
      <c r="P37" s="3" t="n"/>
      <c r="Q37" s="3" t="n"/>
      <c r="R37" s="3" t="n"/>
      <c r="S37" s="2" t="n"/>
      <c r="T37" s="2" t="n"/>
      <c r="U37" s="2" t="n"/>
    </row>
    <row r="38" ht="17.25" customHeight="1" s="574">
      <c r="A38" s="69" t="n"/>
      <c r="B38" s="256" t="n"/>
      <c r="C38" s="251" t="n"/>
      <c r="D38" s="251" t="inlineStr">
        <is>
          <t>2026/04/22</t>
        </is>
      </c>
      <c r="E38" s="239" t="inlineStr"/>
      <c r="F38" s="243" t="n">
        <v>914500</v>
      </c>
      <c r="G38" s="240" t="n">
        <v>29090</v>
      </c>
      <c r="H38" s="240" t="n">
        <v>29185</v>
      </c>
      <c r="I38" s="240" t="n">
        <v>28625</v>
      </c>
      <c r="J38" s="241" t="n">
        <v>28675</v>
      </c>
      <c r="N38" s="3" t="n"/>
      <c r="O38" s="3" t="n"/>
      <c r="P38" s="3" t="n"/>
      <c r="Q38" s="3" t="n"/>
      <c r="R38" s="3" t="n"/>
      <c r="S38" s="2" t="n"/>
      <c r="T38" s="2" t="n"/>
      <c r="U38" s="2" t="n"/>
    </row>
    <row r="39" ht="17.25" customHeight="1" s="574">
      <c r="A39" s="69" t="n"/>
      <c r="B39" s="255" t="n"/>
      <c r="C39" s="250" t="n"/>
      <c r="D39" s="250" t="inlineStr">
        <is>
          <t>2026/04/23</t>
        </is>
      </c>
      <c r="E39" s="236" t="inlineStr"/>
      <c r="F39" s="236" t="n">
        <v>899100</v>
      </c>
      <c r="G39" s="237" t="n">
        <v>28590</v>
      </c>
      <c r="H39" s="237" t="n">
        <v>28700</v>
      </c>
      <c r="I39" s="237" t="n">
        <v>28180</v>
      </c>
      <c r="J39" s="238" t="n">
        <v>28495</v>
      </c>
      <c r="N39" s="3" t="n"/>
      <c r="O39" s="3" t="n"/>
      <c r="P39" s="3" t="n"/>
      <c r="Q39" s="3" t="n"/>
      <c r="R39" s="3" t="n"/>
      <c r="S39" s="2" t="n"/>
      <c r="T39" s="2" t="n"/>
      <c r="U39" s="2" t="n"/>
    </row>
    <row r="40" ht="17.25" customHeight="1" s="574">
      <c r="A40" s="69" t="n"/>
      <c r="B40" s="256" t="n"/>
      <c r="C40" s="251" t="n"/>
      <c r="D40" s="251" t="inlineStr">
        <is>
          <t>2026/04/24</t>
        </is>
      </c>
      <c r="E40" s="239" t="inlineStr"/>
      <c r="F40" s="243" t="n">
        <v>772600</v>
      </c>
      <c r="G40" s="240" t="n">
        <v>28310</v>
      </c>
      <c r="H40" s="240" t="n">
        <v>28670</v>
      </c>
      <c r="I40" s="240" t="n">
        <v>28300</v>
      </c>
      <c r="J40" s="241" t="n">
        <v>28590</v>
      </c>
      <c r="N40" s="3" t="n"/>
      <c r="O40" s="3" t="n"/>
      <c r="P40" s="3" t="n"/>
      <c r="Q40" s="3" t="n"/>
      <c r="R40" s="3" t="n"/>
      <c r="S40" s="2" t="n"/>
      <c r="T40" s="2" t="n"/>
      <c r="U40" s="2" t="n"/>
    </row>
    <row r="41" ht="17.25" customHeight="1" s="574">
      <c r="A41" s="69" t="n"/>
      <c r="B41" s="255" t="n"/>
      <c r="C41" s="250" t="n"/>
      <c r="D41" s="250" t="inlineStr">
        <is>
          <t>2026/04/27</t>
        </is>
      </c>
      <c r="E41" s="236" t="inlineStr"/>
      <c r="F41" s="242" t="n">
        <v>950500</v>
      </c>
      <c r="G41" s="237" t="n">
        <v>28900</v>
      </c>
      <c r="H41" s="237" t="n">
        <v>29260</v>
      </c>
      <c r="I41" s="237" t="n">
        <v>28785</v>
      </c>
      <c r="J41" s="238" t="n">
        <v>28940</v>
      </c>
      <c r="N41" s="3" t="n"/>
      <c r="O41" s="3" t="n"/>
      <c r="P41" s="3" t="n"/>
      <c r="Q41" s="3" t="n"/>
      <c r="R41" s="3" t="n"/>
      <c r="S41" s="2" t="n"/>
      <c r="T41" s="2" t="n"/>
      <c r="U41" s="2" t="n"/>
    </row>
    <row r="42" ht="17.25" customHeight="1" s="574">
      <c r="A42" s="69" t="n"/>
      <c r="B42" s="256" t="n"/>
      <c r="C42" s="251" t="n"/>
      <c r="D42" s="251" t="inlineStr">
        <is>
          <t>2026/04/28</t>
        </is>
      </c>
      <c r="E42" s="239" t="inlineStr"/>
      <c r="F42" s="243" t="n">
        <v>952900</v>
      </c>
      <c r="G42" s="240" t="n">
        <v>29320</v>
      </c>
      <c r="H42" s="240" t="n">
        <v>29380</v>
      </c>
      <c r="I42" s="240" t="n">
        <v>28945</v>
      </c>
      <c r="J42" s="241" t="n">
        <v>29305</v>
      </c>
      <c r="N42" s="3" t="n"/>
      <c r="O42" s="3" t="n"/>
      <c r="P42" s="3" t="n"/>
      <c r="Q42" s="3" t="n"/>
      <c r="R42" s="3" t="n"/>
      <c r="S42" s="2" t="n"/>
      <c r="T42" s="2" t="n"/>
      <c r="U42" s="2" t="n"/>
    </row>
    <row r="43" ht="17.25" customHeight="1" s="574">
      <c r="A43" s="69" t="n"/>
      <c r="B43" s="255" t="n"/>
      <c r="C43" s="250" t="n"/>
      <c r="D43" s="250" t="inlineStr">
        <is>
          <t>2026/04/30</t>
        </is>
      </c>
      <c r="E43" s="236" t="inlineStr"/>
      <c r="F43" s="236" t="n">
        <v>3573900</v>
      </c>
      <c r="G43" s="237" t="n">
        <v>29130</v>
      </c>
      <c r="H43" s="237" t="n">
        <v>29700</v>
      </c>
      <c r="I43" s="237" t="n">
        <v>27665</v>
      </c>
      <c r="J43" s="238" t="n">
        <v>29100</v>
      </c>
      <c r="N43" s="3" t="n"/>
      <c r="O43" s="3" t="n"/>
      <c r="P43" s="3" t="n"/>
      <c r="Q43" s="3" t="n"/>
      <c r="R43" s="3" t="n"/>
      <c r="S43" s="2" t="n"/>
      <c r="T43" s="2" t="n"/>
      <c r="U43" s="2" t="n"/>
    </row>
    <row r="44" ht="17.25" customHeight="1" s="574">
      <c r="A44" s="69" t="n"/>
      <c r="B44" s="256" t="n"/>
      <c r="C44" s="251" t="n"/>
      <c r="D44" s="251" t="inlineStr">
        <is>
          <t>2026/05/01</t>
        </is>
      </c>
      <c r="E44" s="239" t="inlineStr"/>
      <c r="F44" s="239" t="n">
        <v>1140500</v>
      </c>
      <c r="G44" s="240" t="n">
        <v>29200</v>
      </c>
      <c r="H44" s="240" t="n">
        <v>29200</v>
      </c>
      <c r="I44" s="240" t="n">
        <v>27750</v>
      </c>
      <c r="J44" s="241" t="n">
        <v>27830</v>
      </c>
      <c r="N44" s="3" t="n"/>
      <c r="O44" s="3" t="n"/>
      <c r="P44" s="3" t="n"/>
      <c r="Q44" s="3" t="n"/>
      <c r="R44" s="3" t="n"/>
      <c r="S44" s="2" t="n"/>
      <c r="T44" s="2" t="n"/>
      <c r="U44" s="2" t="n"/>
    </row>
    <row r="45" ht="15.75" customHeight="1" s="574">
      <c r="A45" s="69" t="n"/>
      <c r="B45" s="255" t="n"/>
      <c r="C45" s="250" t="n"/>
      <c r="D45" s="250" t="inlineStr">
        <is>
          <t>2026/05/07</t>
        </is>
      </c>
      <c r="E45" s="236" t="inlineStr"/>
      <c r="F45" s="242" t="n">
        <v>2802900</v>
      </c>
      <c r="G45" s="237" t="n">
        <v>28275</v>
      </c>
      <c r="H45" s="237" t="n">
        <v>28345</v>
      </c>
      <c r="I45" s="237" t="n">
        <v>26805</v>
      </c>
      <c r="J45" s="238" t="n">
        <v>27510</v>
      </c>
      <c r="N45" s="3" t="n"/>
      <c r="O45" s="3" t="n"/>
      <c r="P45" s="3" t="n"/>
      <c r="Q45" s="3" t="n"/>
      <c r="R45" s="3" t="n"/>
      <c r="S45" s="2" t="n"/>
      <c r="T45" s="2" t="n"/>
      <c r="U45" s="2" t="n"/>
    </row>
    <row r="46" ht="15.75" customHeight="1" s="574">
      <c r="A46" s="69" t="n"/>
      <c r="B46" s="256" t="n"/>
      <c r="C46" s="251" t="n"/>
      <c r="D46" s="251" t="inlineStr">
        <is>
          <t>2026/05/08</t>
        </is>
      </c>
      <c r="E46" s="239" t="inlineStr"/>
      <c r="F46" s="243" t="n">
        <v>1207200</v>
      </c>
      <c r="G46" s="240" t="n">
        <v>27410</v>
      </c>
      <c r="H46" s="240" t="n">
        <v>27940</v>
      </c>
      <c r="I46" s="240" t="n">
        <v>27405</v>
      </c>
      <c r="J46" s="241" t="n">
        <v>27470</v>
      </c>
      <c r="N46" s="3" t="n"/>
      <c r="O46" s="3" t="n"/>
      <c r="P46" s="3" t="n"/>
      <c r="Q46" s="3" t="n"/>
      <c r="R46" s="3" t="n"/>
      <c r="S46" s="2" t="n"/>
      <c r="T46" s="2" t="n"/>
      <c r="U46" s="2" t="n"/>
    </row>
    <row r="47" ht="15.75" customHeight="1" s="574">
      <c r="A47" s="69" t="n"/>
      <c r="B47" s="255" t="n"/>
      <c r="C47" s="250" t="n"/>
      <c r="D47" s="250" t="inlineStr">
        <is>
          <t>2026/05/11</t>
        </is>
      </c>
      <c r="E47" s="236" t="inlineStr"/>
      <c r="F47" s="242" t="n">
        <v>1231300</v>
      </c>
      <c r="G47" s="237" t="n">
        <v>27360</v>
      </c>
      <c r="H47" s="237" t="n">
        <v>27585</v>
      </c>
      <c r="I47" s="237" t="n">
        <v>27050</v>
      </c>
      <c r="J47" s="238" t="n">
        <v>27235</v>
      </c>
      <c r="N47" s="3" t="n"/>
      <c r="O47" s="3" t="n"/>
      <c r="P47" s="3" t="n"/>
      <c r="Q47" s="3" t="n"/>
      <c r="R47" s="3" t="n"/>
      <c r="S47" s="2" t="n"/>
      <c r="T47" s="2" t="n"/>
      <c r="U47" s="2" t="n"/>
    </row>
    <row r="48" ht="15.75" customHeight="1" s="574">
      <c r="A48" s="69" t="n"/>
      <c r="B48" s="256" t="n"/>
      <c r="C48" s="251" t="n"/>
      <c r="D48" s="251" t="inlineStr">
        <is>
          <t>2026/05/12</t>
        </is>
      </c>
      <c r="E48" s="239" t="inlineStr"/>
      <c r="F48" s="239" t="n">
        <v>1110000</v>
      </c>
      <c r="G48" s="240" t="n">
        <v>27270</v>
      </c>
      <c r="H48" s="240" t="n">
        <v>27870</v>
      </c>
      <c r="I48" s="240" t="n">
        <v>27220</v>
      </c>
      <c r="J48" s="241" t="n">
        <v>27285</v>
      </c>
      <c r="N48" s="3" t="n"/>
      <c r="O48" s="3" t="n"/>
      <c r="P48" s="3" t="n"/>
      <c r="Q48" s="3" t="n"/>
      <c r="R48" s="3" t="n"/>
      <c r="S48" s="2" t="n"/>
      <c r="T48" s="2" t="n"/>
      <c r="U48" s="2" t="n"/>
    </row>
    <row r="49" ht="15.75" customHeight="1" s="574">
      <c r="A49" s="69" t="n"/>
      <c r="B49" s="255" t="n"/>
      <c r="C49" s="250" t="n"/>
      <c r="D49" s="250" t="inlineStr">
        <is>
          <t>2026/05/13</t>
        </is>
      </c>
      <c r="E49" s="236" t="inlineStr"/>
      <c r="F49" s="242" t="n">
        <v>814400</v>
      </c>
      <c r="G49" s="237" t="n">
        <v>27370</v>
      </c>
      <c r="H49" s="237" t="n">
        <v>27825</v>
      </c>
      <c r="I49" s="237" t="n">
        <v>27300</v>
      </c>
      <c r="J49" s="238" t="n">
        <v>27680</v>
      </c>
      <c r="N49" s="3" t="n"/>
      <c r="O49" s="3" t="n"/>
      <c r="P49" s="3" t="n"/>
      <c r="Q49" s="3" t="n"/>
      <c r="R49" s="3" t="n"/>
      <c r="S49" s="2" t="n"/>
      <c r="T49" s="2" t="n"/>
      <c r="U49" s="2" t="n"/>
    </row>
    <row r="50" ht="15.75" customHeight="1" s="574">
      <c r="A50" s="69" t="n"/>
      <c r="B50" s="256" t="n"/>
      <c r="C50" s="251" t="n"/>
      <c r="D50" s="251" t="inlineStr">
        <is>
          <t>2026/05/14</t>
        </is>
      </c>
      <c r="E50" s="239" t="inlineStr"/>
      <c r="F50" s="239" t="n">
        <v>934500</v>
      </c>
      <c r="G50" s="240" t="n">
        <v>27870</v>
      </c>
      <c r="H50" s="240" t="n">
        <v>28135</v>
      </c>
      <c r="I50" s="240" t="n">
        <v>27380</v>
      </c>
      <c r="J50" s="241" t="n">
        <v>27670</v>
      </c>
      <c r="N50" s="3" t="n"/>
      <c r="O50" s="3" t="n"/>
      <c r="P50" s="3" t="n"/>
      <c r="Q50" s="3" t="n"/>
      <c r="R50" s="3" t="n"/>
      <c r="S50" s="2" t="n"/>
      <c r="T50" s="2" t="n"/>
      <c r="U50" s="2" t="n"/>
    </row>
    <row r="51" ht="15.75" customHeight="1" s="574">
      <c r="A51" s="69" t="n"/>
      <c r="B51" s="255" t="n"/>
      <c r="C51" s="250" t="n"/>
      <c r="D51" s="250" t="inlineStr">
        <is>
          <t>2026/05/15</t>
        </is>
      </c>
      <c r="E51" s="236" t="inlineStr"/>
      <c r="F51" s="242" t="n">
        <v>1111800</v>
      </c>
      <c r="G51" s="237" t="n">
        <v>27740</v>
      </c>
      <c r="H51" s="237" t="n">
        <v>28465</v>
      </c>
      <c r="I51" s="237" t="n">
        <v>27630</v>
      </c>
      <c r="J51" s="238" t="n">
        <v>28005</v>
      </c>
      <c r="N51" s="3" t="n"/>
      <c r="O51" s="3" t="n"/>
      <c r="P51" s="3" t="n"/>
      <c r="Q51" s="3" t="n"/>
      <c r="R51" s="3" t="n"/>
      <c r="S51" s="2" t="n"/>
      <c r="T51" s="2" t="n"/>
      <c r="U51" s="2" t="n"/>
    </row>
    <row r="52" ht="15.75" customHeight="1" s="574">
      <c r="A52" s="69" t="n"/>
      <c r="B52" s="256" t="n"/>
      <c r="C52" s="251" t="n"/>
      <c r="D52" s="251" t="inlineStr">
        <is>
          <t>2026/05/18</t>
        </is>
      </c>
      <c r="E52" s="239" t="inlineStr"/>
      <c r="F52" s="243" t="n">
        <v>677600</v>
      </c>
      <c r="G52" s="240" t="n">
        <v>27900</v>
      </c>
      <c r="H52" s="240" t="n">
        <v>28050</v>
      </c>
      <c r="I52" s="240" t="n">
        <v>27255</v>
      </c>
      <c r="J52" s="241" t="n">
        <v>27725</v>
      </c>
      <c r="N52" s="3" t="n"/>
      <c r="O52" s="3" t="n"/>
      <c r="P52" s="3" t="n"/>
      <c r="Q52" s="3" t="n"/>
      <c r="R52" s="3" t="n"/>
      <c r="S52" s="2" t="n"/>
      <c r="T52" s="2" t="n"/>
      <c r="U52" s="2" t="n"/>
    </row>
    <row r="53" ht="15.75" customHeight="1" s="574">
      <c r="A53" s="69" t="n"/>
      <c r="B53" s="255" t="n"/>
      <c r="C53" s="250" t="n"/>
      <c r="D53" s="250" t="inlineStr">
        <is>
          <t>2026/05/19</t>
        </is>
      </c>
      <c r="E53" s="236" t="inlineStr"/>
      <c r="F53" s="242" t="n">
        <v>1029300</v>
      </c>
      <c r="G53" s="237" t="n">
        <v>27700</v>
      </c>
      <c r="H53" s="237" t="n">
        <v>27700</v>
      </c>
      <c r="I53" s="237" t="n">
        <v>26705</v>
      </c>
      <c r="J53" s="238" t="n">
        <v>26895</v>
      </c>
      <c r="N53" s="3" t="n"/>
      <c r="O53" s="3" t="n"/>
      <c r="P53" s="3" t="n"/>
      <c r="Q53" s="3" t="n"/>
      <c r="R53" s="3" t="n"/>
      <c r="S53" s="2" t="n"/>
      <c r="T53" s="2" t="n"/>
      <c r="U53" s="2" t="n"/>
    </row>
    <row r="54" ht="15.75" customHeight="1" s="574">
      <c r="A54" s="69" t="n"/>
      <c r="B54" s="256" t="n"/>
      <c r="C54" s="251" t="n"/>
      <c r="D54" s="251" t="inlineStr">
        <is>
          <t>2026/05/20</t>
        </is>
      </c>
      <c r="E54" s="239" t="inlineStr"/>
      <c r="F54" s="243" t="n">
        <v>976100</v>
      </c>
      <c r="G54" s="240" t="n">
        <v>26945</v>
      </c>
      <c r="H54" s="240" t="n">
        <v>26970</v>
      </c>
      <c r="I54" s="240" t="n">
        <v>26220</v>
      </c>
      <c r="J54" s="241" t="n">
        <v>26500</v>
      </c>
      <c r="N54" s="3" t="n"/>
      <c r="O54" s="3" t="n"/>
      <c r="P54" s="3" t="n"/>
      <c r="Q54" s="3" t="n"/>
      <c r="R54" s="3" t="n"/>
      <c r="S54" s="2" t="n"/>
      <c r="T54" s="2" t="n"/>
      <c r="U54" s="2" t="n"/>
    </row>
    <row r="55" ht="15.75" customHeight="1" s="574">
      <c r="A55" s="69" t="n"/>
      <c r="B55" s="255" t="n"/>
      <c r="C55" s="250" t="n"/>
      <c r="D55" s="250" t="inlineStr">
        <is>
          <t>2026/05/21</t>
        </is>
      </c>
      <c r="E55" s="236" t="inlineStr"/>
      <c r="F55" s="242" t="n">
        <v>744300</v>
      </c>
      <c r="G55" s="237" t="n">
        <v>26900</v>
      </c>
      <c r="H55" s="237" t="n">
        <v>27130</v>
      </c>
      <c r="I55" s="237" t="n">
        <v>26580</v>
      </c>
      <c r="J55" s="238" t="n">
        <v>26580</v>
      </c>
      <c r="N55" s="3" t="n"/>
      <c r="O55" s="3" t="n"/>
      <c r="P55" s="3" t="n"/>
      <c r="Q55" s="3" t="n"/>
      <c r="R55" s="3" t="n"/>
      <c r="S55" s="2" t="n"/>
      <c r="T55" s="2" t="n"/>
      <c r="U55" s="2" t="n"/>
    </row>
    <row r="56" ht="15.75" customHeight="1" s="574">
      <c r="A56" s="69" t="n"/>
      <c r="B56" s="256" t="n"/>
      <c r="C56" s="251" t="n"/>
      <c r="D56" s="251" t="inlineStr">
        <is>
          <t>2026/05/22</t>
        </is>
      </c>
      <c r="E56" s="239" t="inlineStr"/>
      <c r="F56" s="243" t="n">
        <v>1071500</v>
      </c>
      <c r="G56" s="240" t="n">
        <v>26620</v>
      </c>
      <c r="H56" s="240" t="n">
        <v>26885</v>
      </c>
      <c r="I56" s="240" t="n">
        <v>26225</v>
      </c>
      <c r="J56" s="241" t="n">
        <v>26225</v>
      </c>
      <c r="N56" s="3" t="n"/>
      <c r="O56" s="3" t="n"/>
      <c r="P56" s="3" t="n"/>
      <c r="Q56" s="3" t="n"/>
      <c r="R56" s="3" t="n"/>
      <c r="S56" s="2" t="n"/>
      <c r="T56" s="2" t="n"/>
      <c r="U56" s="2" t="n"/>
    </row>
    <row r="57" ht="15.75" customHeight="1" s="574">
      <c r="A57" s="69" t="n"/>
      <c r="B57" s="255" t="n"/>
      <c r="C57" s="250" t="n"/>
      <c r="D57" s="250" t="inlineStr">
        <is>
          <t>2026/05/25</t>
        </is>
      </c>
      <c r="E57" s="236" t="inlineStr"/>
      <c r="F57" s="242" t="n">
        <v>956600</v>
      </c>
      <c r="G57" s="237" t="n">
        <v>26055</v>
      </c>
      <c r="H57" s="237" t="n">
        <v>26455</v>
      </c>
      <c r="I57" s="237" t="n">
        <v>25870</v>
      </c>
      <c r="J57" s="238" t="n">
        <v>26300</v>
      </c>
      <c r="N57" s="3" t="n"/>
      <c r="O57" s="3" t="n"/>
      <c r="P57" s="3" t="n"/>
      <c r="Q57" s="3" t="n"/>
      <c r="R57" s="3" t="n"/>
      <c r="S57" s="2" t="n"/>
      <c r="T57" s="2" t="n"/>
      <c r="U57" s="2" t="n"/>
    </row>
    <row r="58" ht="15.75" customHeight="1" s="574">
      <c r="A58" s="69" t="n"/>
      <c r="B58" s="256" t="n"/>
      <c r="C58" s="251" t="n"/>
      <c r="D58" s="251" t="inlineStr">
        <is>
          <t>2026/05/26</t>
        </is>
      </c>
      <c r="E58" s="239" t="inlineStr"/>
      <c r="F58" s="243" t="n">
        <v>1011500</v>
      </c>
      <c r="G58" s="240" t="n">
        <v>26285</v>
      </c>
      <c r="H58" s="240" t="n">
        <v>26570</v>
      </c>
      <c r="I58" s="240" t="n">
        <v>25970</v>
      </c>
      <c r="J58" s="241" t="n">
        <v>25970</v>
      </c>
      <c r="N58" s="3" t="n"/>
      <c r="O58" s="3" t="n"/>
      <c r="P58" s="3" t="n"/>
      <c r="Q58" s="3" t="n"/>
      <c r="R58" s="3" t="n"/>
      <c r="S58" s="2" t="n"/>
      <c r="T58" s="2" t="n"/>
      <c r="U58" s="2" t="n"/>
    </row>
    <row r="59" ht="15.75" customHeight="1" s="574">
      <c r="A59" s="69" t="n"/>
      <c r="B59" s="255" t="n"/>
      <c r="C59" s="250" t="n"/>
      <c r="D59" s="250" t="inlineStr">
        <is>
          <t>2026/05/27</t>
        </is>
      </c>
      <c r="E59" s="236" t="inlineStr"/>
      <c r="F59" s="242" t="n">
        <v>1399000</v>
      </c>
      <c r="G59" s="237" t="n">
        <v>27220</v>
      </c>
      <c r="H59" s="237" t="n">
        <v>27835</v>
      </c>
      <c r="I59" s="237" t="n">
        <v>27025</v>
      </c>
      <c r="J59" s="238" t="n">
        <v>27195</v>
      </c>
      <c r="N59" s="3" t="n"/>
      <c r="O59" s="3" t="n"/>
      <c r="P59" s="3" t="n"/>
      <c r="Q59" s="3" t="n"/>
      <c r="R59" s="3" t="n"/>
      <c r="S59" s="2" t="n"/>
      <c r="T59" s="2" t="n"/>
      <c r="U59" s="2" t="n"/>
    </row>
    <row r="60" ht="15.75" customHeight="1" s="574">
      <c r="A60" s="69" t="n"/>
      <c r="B60" s="256" t="n"/>
      <c r="C60" s="251" t="n"/>
      <c r="D60" s="251" t="inlineStr">
        <is>
          <t>2026/05/28</t>
        </is>
      </c>
      <c r="E60" s="239" t="inlineStr"/>
      <c r="F60" s="243" t="n">
        <v>930100</v>
      </c>
      <c r="G60" s="240" t="n">
        <v>27080</v>
      </c>
      <c r="H60" s="240" t="n">
        <v>27400</v>
      </c>
      <c r="I60" s="240" t="n">
        <v>26740</v>
      </c>
      <c r="J60" s="241" t="n">
        <v>26970</v>
      </c>
      <c r="N60" s="3" t="n"/>
      <c r="O60" s="3" t="n"/>
      <c r="P60" s="3" t="n"/>
      <c r="Q60" s="3" t="n"/>
      <c r="R60" s="3" t="n"/>
      <c r="S60" s="2" t="n"/>
      <c r="T60" s="2" t="n"/>
      <c r="U60" s="2" t="n"/>
    </row>
    <row r="61" ht="15.75" customHeight="1" s="574">
      <c r="A61" s="69" t="n"/>
      <c r="B61" s="255" t="n"/>
      <c r="C61" s="250" t="n"/>
      <c r="D61" s="250" t="inlineStr">
        <is>
          <t>2026/05/29</t>
        </is>
      </c>
      <c r="E61" s="236" t="inlineStr"/>
      <c r="F61" s="242" t="n">
        <v>1751300</v>
      </c>
      <c r="G61" s="237" t="n">
        <v>27020</v>
      </c>
      <c r="H61" s="237" t="n">
        <v>27510</v>
      </c>
      <c r="I61" s="237" t="n">
        <v>26985</v>
      </c>
      <c r="J61" s="238" t="n">
        <v>27080</v>
      </c>
      <c r="N61" s="3" t="n"/>
      <c r="O61" s="3" t="n"/>
      <c r="P61" s="3" t="n"/>
      <c r="Q61" s="3" t="n"/>
      <c r="R61" s="3" t="n"/>
      <c r="S61" s="2" t="n"/>
      <c r="T61" s="2" t="n"/>
      <c r="U61" s="2" t="n"/>
    </row>
    <row r="62" ht="15.75" customHeight="1" s="574">
      <c r="A62" s="69" t="n"/>
      <c r="B62" s="256" t="n"/>
      <c r="C62" s="251" t="n"/>
      <c r="D62" s="251" t="inlineStr">
        <is>
          <t>2026/06/01</t>
        </is>
      </c>
      <c r="E62" s="239" t="inlineStr"/>
      <c r="F62" s="243" t="n">
        <v>841300</v>
      </c>
      <c r="G62" s="240" t="n">
        <v>26950</v>
      </c>
      <c r="H62" s="240" t="n">
        <v>27150</v>
      </c>
      <c r="I62" s="240" t="n">
        <v>26275</v>
      </c>
      <c r="J62" s="241" t="n">
        <v>26440</v>
      </c>
      <c r="N62" s="3" t="n"/>
      <c r="O62" s="3" t="n"/>
      <c r="P62" s="3" t="n"/>
      <c r="Q62" s="3" t="n"/>
      <c r="R62" s="3" t="n"/>
      <c r="S62" s="2" t="n"/>
      <c r="T62" s="2" t="n"/>
      <c r="U62" s="2" t="n"/>
    </row>
    <row r="63" ht="15.75" customHeight="1" s="574">
      <c r="A63" s="69" t="n"/>
      <c r="B63" s="257" t="n"/>
      <c r="C63" s="252" t="n"/>
      <c r="D63" s="252" t="inlineStr">
        <is>
          <t>2026/06/02</t>
        </is>
      </c>
      <c r="E63" s="244" t="inlineStr"/>
      <c r="F63" s="245" t="n">
        <v>894500</v>
      </c>
      <c r="G63" s="246" t="n">
        <v>26175</v>
      </c>
      <c r="H63" s="246" t="n">
        <v>26385</v>
      </c>
      <c r="I63" s="246" t="n">
        <v>25990</v>
      </c>
      <c r="J63" s="247" t="n">
        <v>26305</v>
      </c>
      <c r="N63" s="3" t="n"/>
      <c r="O63" s="3" t="n"/>
      <c r="P63" s="3" t="n"/>
      <c r="Q63" s="3" t="n"/>
      <c r="R63" s="3" t="n"/>
      <c r="S63" s="2" t="n"/>
      <c r="T63" s="2" t="n"/>
      <c r="U63" s="2" t="n"/>
    </row>
    <row r="64">
      <c r="A64" s="69" t="n"/>
      <c r="B64" s="3" t="n"/>
      <c r="C64" s="3" t="n"/>
      <c r="D64" s="3" t="inlineStr">
        <is>
          <t>2026/06/03</t>
        </is>
      </c>
      <c r="E64" s="3" t="inlineStr"/>
      <c r="F64" s="570" t="n">
        <v>1092900</v>
      </c>
      <c r="G64" s="2" t="n">
        <v>26500</v>
      </c>
      <c r="H64" s="2" t="n">
        <v>27575</v>
      </c>
      <c r="I64" s="2" t="n">
        <v>26360</v>
      </c>
      <c r="J64" s="2" t="n">
        <v>27495</v>
      </c>
      <c r="N64" s="3" t="n"/>
      <c r="O64" s="3" t="n"/>
      <c r="P64" s="3" t="n"/>
      <c r="Q64" s="3" t="n"/>
      <c r="R64" s="3" t="n"/>
      <c r="S64" s="2" t="n"/>
      <c r="T64" s="2" t="n"/>
      <c r="U64" s="2" t="n"/>
    </row>
    <row r="65">
      <c r="A65" s="69" t="n"/>
      <c r="B65" s="3" t="n"/>
      <c r="C65" s="3" t="n"/>
      <c r="D65" s="3" t="inlineStr">
        <is>
          <t>2026/06/04</t>
        </is>
      </c>
      <c r="E65" s="3" t="inlineStr"/>
      <c r="F65" s="570" t="n">
        <v>1078800</v>
      </c>
      <c r="G65" s="2" t="n">
        <v>27480</v>
      </c>
      <c r="H65" s="2" t="n">
        <v>27495</v>
      </c>
      <c r="I65" s="2" t="n">
        <v>26280</v>
      </c>
      <c r="J65" s="2" t="n">
        <v>26430</v>
      </c>
      <c r="N65" s="3" t="n"/>
      <c r="O65" s="3" t="n"/>
      <c r="P65" s="3" t="n"/>
      <c r="Q65" s="3" t="n"/>
      <c r="R65" s="3" t="n"/>
      <c r="S65" s="2" t="n"/>
      <c r="T65" s="2" t="n"/>
      <c r="U65" s="2" t="n"/>
    </row>
    <row r="66">
      <c r="A66" s="69" t="n"/>
      <c r="B66" s="3" t="n"/>
      <c r="C66" s="3" t="n"/>
      <c r="D66" s="3" t="inlineStr">
        <is>
          <t>2026/06/05</t>
        </is>
      </c>
      <c r="E66" s="3" t="inlineStr"/>
      <c r="F66" s="570" t="n">
        <v>714800</v>
      </c>
      <c r="G66" s="2" t="n">
        <v>26290</v>
      </c>
      <c r="H66" s="2" t="n">
        <v>26395</v>
      </c>
      <c r="I66" s="2" t="n">
        <v>26155</v>
      </c>
      <c r="J66" s="2" t="n">
        <v>26340</v>
      </c>
      <c r="N66" s="3" t="n"/>
      <c r="O66" s="3" t="n"/>
      <c r="P66" s="3" t="n"/>
      <c r="Q66" s="3" t="n"/>
      <c r="R66" s="3" t="n"/>
      <c r="S66" s="2" t="n"/>
      <c r="T66" s="2" t="n"/>
      <c r="U66" s="2" t="n"/>
    </row>
    <row r="67">
      <c r="A67" s="69" t="n"/>
      <c r="B67" s="3" t="n"/>
      <c r="C67" s="3" t="n"/>
      <c r="D67" s="3" t="inlineStr">
        <is>
          <t>2026/06/08</t>
        </is>
      </c>
      <c r="E67" s="3" t="inlineStr"/>
      <c r="F67" s="570" t="n">
        <v>936500</v>
      </c>
      <c r="G67" s="2" t="n">
        <v>25400</v>
      </c>
      <c r="H67" s="2" t="n">
        <v>25800</v>
      </c>
      <c r="I67" s="2" t="n">
        <v>25100</v>
      </c>
      <c r="J67" s="2" t="n">
        <v>25280</v>
      </c>
      <c r="N67" s="3" t="n"/>
      <c r="O67" s="3" t="n"/>
      <c r="P67" s="3" t="n"/>
      <c r="Q67" s="3" t="n"/>
      <c r="R67" s="3" t="n"/>
      <c r="S67" s="2" t="n"/>
      <c r="T67" s="2" t="n"/>
      <c r="U67" s="2" t="n"/>
    </row>
    <row r="68">
      <c r="A68" s="69" t="n"/>
      <c r="B68" s="3" t="n"/>
      <c r="C68" s="3" t="n"/>
      <c r="D68" s="3" t="inlineStr">
        <is>
          <t>2026/06/09</t>
        </is>
      </c>
      <c r="E68" s="3" t="inlineStr"/>
      <c r="F68" s="570" t="n">
        <v>971500</v>
      </c>
      <c r="G68" s="2" t="n">
        <v>25595</v>
      </c>
      <c r="H68" s="2" t="n">
        <v>25895</v>
      </c>
      <c r="I68" s="2" t="n">
        <v>25350</v>
      </c>
      <c r="J68" s="2" t="n">
        <v>25605</v>
      </c>
      <c r="N68" s="3" t="n"/>
      <c r="O68" s="3" t="n"/>
      <c r="P68" s="3" t="n"/>
      <c r="Q68" s="3" t="n"/>
      <c r="R68" s="3" t="n"/>
      <c r="S68" s="2" t="n"/>
      <c r="T68" s="2" t="n"/>
      <c r="U68" s="2" t="n"/>
    </row>
    <row r="69">
      <c r="A69" s="69" t="n"/>
      <c r="B69" s="3" t="n"/>
      <c r="C69" s="3" t="n"/>
      <c r="D69" s="3" t="inlineStr">
        <is>
          <t>2026/06/10</t>
        </is>
      </c>
      <c r="E69" s="3" t="inlineStr"/>
      <c r="F69" s="570" t="n">
        <v>894600</v>
      </c>
      <c r="G69" s="2" t="n">
        <v>25420</v>
      </c>
      <c r="H69" s="2" t="n">
        <v>25750</v>
      </c>
      <c r="I69" s="2" t="n">
        <v>25265</v>
      </c>
      <c r="J69" s="2" t="n">
        <v>25710</v>
      </c>
      <c r="N69" s="3" t="n"/>
      <c r="O69" s="3" t="n"/>
      <c r="P69" s="3" t="n"/>
      <c r="Q69" s="3" t="n"/>
      <c r="R69" s="3" t="n"/>
      <c r="S69" s="2" t="n"/>
      <c r="T69" s="2" t="n"/>
      <c r="U69" s="2" t="n"/>
    </row>
    <row r="70">
      <c r="A70" s="69" t="n"/>
      <c r="B70" s="325" t="n"/>
      <c r="C70" s="325" t="n"/>
      <c r="D70" s="325" t="inlineStr">
        <is>
          <t>2026/06/11</t>
        </is>
      </c>
      <c r="E70" s="325" t="inlineStr"/>
      <c r="F70" s="326" t="n">
        <v>936500</v>
      </c>
      <c r="G70" s="327" t="n">
        <v>25300</v>
      </c>
      <c r="H70" s="327" t="n">
        <v>25920</v>
      </c>
      <c r="I70" s="327" t="n">
        <v>25165</v>
      </c>
      <c r="J70" s="327" t="n">
        <v>25650</v>
      </c>
      <c r="N70" s="3" t="n"/>
      <c r="O70" s="3" t="n"/>
      <c r="P70" s="3" t="n"/>
      <c r="Q70" s="3" t="n"/>
      <c r="R70" s="3" t="n"/>
      <c r="S70" s="2" t="n"/>
      <c r="T70" s="2" t="n"/>
      <c r="U70" s="2" t="n"/>
    </row>
    <row r="71">
      <c r="A71" s="69" t="n"/>
      <c r="B71" s="325" t="n"/>
      <c r="C71" s="325" t="n"/>
      <c r="D71" s="325" t="inlineStr">
        <is>
          <t>2026/06/12</t>
        </is>
      </c>
      <c r="E71" s="325" t="inlineStr"/>
      <c r="F71" s="326" t="n">
        <v>1790900</v>
      </c>
      <c r="G71" s="327" t="n">
        <v>26420</v>
      </c>
      <c r="H71" s="327" t="n">
        <v>26545</v>
      </c>
      <c r="I71" s="327" t="n">
        <v>25965</v>
      </c>
      <c r="J71" s="327" t="n">
        <v>26420</v>
      </c>
      <c r="N71" s="3" t="n"/>
      <c r="O71" s="3" t="n"/>
      <c r="P71" s="3" t="n"/>
      <c r="Q71" s="3" t="n"/>
      <c r="R71" s="3" t="n"/>
      <c r="S71" s="2" t="n"/>
      <c r="T71" s="2" t="n"/>
      <c r="U71" s="2" t="n"/>
    </row>
    <row r="72">
      <c r="A72" s="69" t="n"/>
      <c r="B72" s="325" t="n"/>
      <c r="C72" s="325" t="n"/>
      <c r="D72" s="325" t="inlineStr">
        <is>
          <t>2026/06/15</t>
        </is>
      </c>
      <c r="E72" s="325" t="inlineStr"/>
      <c r="F72" s="326" t="n">
        <v>652900</v>
      </c>
      <c r="G72" s="327" t="n">
        <v>26945</v>
      </c>
      <c r="H72" s="327" t="n">
        <v>26975</v>
      </c>
      <c r="I72" s="327" t="n">
        <v>26445</v>
      </c>
      <c r="J72" s="327" t="n">
        <v>26630</v>
      </c>
      <c r="N72" s="3" t="n"/>
      <c r="O72" s="3" t="n"/>
      <c r="P72" s="3" t="n"/>
      <c r="Q72" s="3" t="n"/>
      <c r="R72" s="3" t="n"/>
      <c r="S72" s="2" t="n"/>
      <c r="T72" s="2" t="n"/>
      <c r="U72" s="2" t="n"/>
    </row>
    <row r="73">
      <c r="A73" s="69" t="n"/>
      <c r="B73" s="325" t="n"/>
      <c r="C73" s="325" t="n"/>
      <c r="D73" s="325" t="inlineStr">
        <is>
          <t>2026/06/16</t>
        </is>
      </c>
      <c r="E73" s="325" t="inlineStr"/>
      <c r="F73" s="326" t="n">
        <v>964700</v>
      </c>
      <c r="G73" s="327" t="n">
        <v>26590</v>
      </c>
      <c r="H73" s="327" t="n">
        <v>27255</v>
      </c>
      <c r="I73" s="327" t="n">
        <v>26510</v>
      </c>
      <c r="J73" s="327" t="n">
        <v>27065</v>
      </c>
      <c r="N73" s="3" t="n"/>
      <c r="O73" s="3" t="n"/>
      <c r="P73" s="3" t="n"/>
      <c r="Q73" s="3" t="n"/>
      <c r="R73" s="3" t="n"/>
      <c r="S73" s="2" t="n"/>
      <c r="T73" s="2" t="n"/>
      <c r="U73" s="2" t="n"/>
    </row>
    <row r="74">
      <c r="A74" s="69" t="n"/>
      <c r="B74" s="325" t="n"/>
      <c r="C74" s="325" t="n"/>
      <c r="D74" s="325" t="inlineStr">
        <is>
          <t>2026/06/17</t>
        </is>
      </c>
      <c r="E74" s="325" t="inlineStr"/>
      <c r="F74" s="326" t="n">
        <v>833200</v>
      </c>
      <c r="G74" s="327" t="n">
        <v>27025</v>
      </c>
      <c r="H74" s="327" t="n">
        <v>27685</v>
      </c>
      <c r="I74" s="327" t="n">
        <v>26900</v>
      </c>
      <c r="J74" s="327" t="n">
        <v>27620</v>
      </c>
      <c r="N74" s="3" t="n"/>
      <c r="O74" s="3" t="n"/>
      <c r="P74" s="3" t="n"/>
      <c r="Q74" s="3" t="n"/>
      <c r="R74" s="3" t="n"/>
      <c r="S74" s="2" t="n"/>
      <c r="T74" s="2" t="n"/>
      <c r="U74" s="2" t="n"/>
    </row>
    <row r="75">
      <c r="A75" s="69" t="n"/>
      <c r="B75" s="325" t="n"/>
      <c r="C75" s="325" t="n"/>
      <c r="D75" s="325" t="inlineStr">
        <is>
          <t>2026/06/18</t>
        </is>
      </c>
      <c r="E75" s="325" t="inlineStr"/>
      <c r="F75" s="326" t="n">
        <v>1113200</v>
      </c>
      <c r="G75" s="327" t="n">
        <v>28000</v>
      </c>
      <c r="H75" s="327" t="n">
        <v>28720</v>
      </c>
      <c r="I75" s="327" t="n">
        <v>27770</v>
      </c>
      <c r="J75" s="327" t="n">
        <v>28515</v>
      </c>
      <c r="N75" s="3" t="n"/>
      <c r="O75" s="3" t="n"/>
      <c r="P75" s="3" t="n"/>
      <c r="Q75" s="3" t="n"/>
      <c r="R75" s="3" t="n"/>
      <c r="S75" s="2" t="n"/>
      <c r="T75" s="2" t="n"/>
      <c r="U75" s="2" t="n"/>
    </row>
    <row r="76">
      <c r="A76" s="69" t="n"/>
      <c r="B76" s="325" t="n"/>
      <c r="C76" s="325" t="n"/>
      <c r="D76" s="325" t="inlineStr">
        <is>
          <t>2026/06/19</t>
        </is>
      </c>
      <c r="E76" s="325" t="inlineStr"/>
      <c r="F76" s="326" t="n">
        <v>1231700</v>
      </c>
      <c r="G76" s="327" t="n">
        <v>28865</v>
      </c>
      <c r="H76" s="327" t="n">
        <v>28880</v>
      </c>
      <c r="I76" s="327" t="n">
        <v>27035</v>
      </c>
      <c r="J76" s="327" t="n">
        <v>27245</v>
      </c>
      <c r="N76" s="3" t="n"/>
      <c r="O76" s="3" t="n"/>
      <c r="P76" s="3" t="n"/>
      <c r="Q76" s="3" t="n"/>
      <c r="R76" s="3" t="n"/>
      <c r="S76" s="2" t="n"/>
      <c r="T76" s="2" t="n"/>
      <c r="U76" s="2" t="n"/>
    </row>
    <row r="77">
      <c r="A77" s="69" t="n"/>
      <c r="B77" s="325" t="inlineStr">
        <is>
          <t>--------</t>
        </is>
      </c>
      <c r="C77" s="325" t="inlineStr">
        <is>
          <t>--------</t>
        </is>
      </c>
      <c r="D77" s="325" t="inlineStr">
        <is>
          <t>--------</t>
        </is>
      </c>
      <c r="E77" s="325" t="inlineStr">
        <is>
          <t>--------</t>
        </is>
      </c>
      <c r="F77" s="325" t="inlineStr">
        <is>
          <t>--------</t>
        </is>
      </c>
      <c r="G77" s="327" t="inlineStr">
        <is>
          <t>--------</t>
        </is>
      </c>
      <c r="H77" s="327" t="inlineStr">
        <is>
          <t>--------</t>
        </is>
      </c>
      <c r="I77" s="327" t="inlineStr">
        <is>
          <t>--------</t>
        </is>
      </c>
      <c r="J77" s="327" t="inlineStr">
        <is>
          <t>--------</t>
        </is>
      </c>
      <c r="N77" s="3" t="n"/>
      <c r="O77" s="3" t="n"/>
      <c r="P77" s="3" t="n"/>
      <c r="Q77" s="3" t="n"/>
      <c r="R77" s="3" t="n"/>
      <c r="S77" s="2" t="n"/>
      <c r="T77" s="2" t="n"/>
      <c r="U77" s="2" t="n"/>
    </row>
    <row r="78">
      <c r="A78" s="69" t="n"/>
      <c r="B78" s="325" t="n"/>
      <c r="C78" s="325" t="n"/>
      <c r="D78" s="325" t="n"/>
      <c r="E78" s="325" t="n"/>
      <c r="F78" s="326" t="n"/>
      <c r="G78" s="327" t="n"/>
      <c r="H78" s="327" t="n"/>
      <c r="I78" s="327" t="n"/>
      <c r="J78" s="327" t="n"/>
      <c r="N78" s="3" t="n"/>
      <c r="O78" s="3" t="n"/>
      <c r="P78" s="3" t="n"/>
      <c r="Q78" s="3" t="n"/>
      <c r="R78" s="3" t="n"/>
      <c r="S78" s="2" t="n"/>
      <c r="T78" s="2" t="n"/>
      <c r="U78" s="2" t="n"/>
    </row>
    <row r="79">
      <c r="A79" s="69" t="n"/>
      <c r="B79" s="3" t="n"/>
      <c r="C79" s="3" t="n"/>
      <c r="D79" s="3" t="n"/>
      <c r="E79" s="3" t="n"/>
      <c r="G79" s="2" t="n"/>
      <c r="H79" s="2" t="n"/>
      <c r="I79" s="2" t="n"/>
      <c r="J79" s="2" t="n"/>
      <c r="N79" s="3" t="n"/>
      <c r="O79" s="3" t="n"/>
      <c r="P79" s="3" t="n"/>
      <c r="Q79" s="3" t="n"/>
      <c r="R79" s="3" t="n"/>
      <c r="S79" s="2" t="n"/>
      <c r="T79" s="2" t="n"/>
      <c r="U79" s="2" t="n"/>
    </row>
    <row r="80">
      <c r="A80" s="69" t="n"/>
      <c r="B80" s="3" t="n"/>
      <c r="C80" s="3" t="n"/>
      <c r="D80" s="3" t="n"/>
      <c r="E80" s="3" t="n"/>
      <c r="G80" s="2" t="n"/>
      <c r="H80" s="2" t="n"/>
      <c r="I80" s="2" t="n"/>
      <c r="J80" s="2" t="n"/>
      <c r="N80" s="3" t="n"/>
      <c r="O80" s="3" t="n"/>
      <c r="P80" s="3" t="n"/>
      <c r="Q80" s="3" t="n"/>
      <c r="R80" s="3" t="n"/>
      <c r="S80" s="2" t="n"/>
      <c r="T80" s="2" t="n"/>
      <c r="U80" s="2" t="n"/>
    </row>
    <row r="81">
      <c r="A81" s="69" t="n"/>
      <c r="B81" s="3" t="n"/>
      <c r="C81" s="3" t="n"/>
      <c r="D81" s="3" t="n"/>
      <c r="E81" s="3" t="n"/>
      <c r="G81" s="2" t="n"/>
      <c r="H81" s="2" t="n"/>
      <c r="I81" s="2" t="n"/>
      <c r="J81" s="2" t="n"/>
      <c r="N81" s="3" t="n"/>
      <c r="O81" s="3" t="n"/>
      <c r="P81" s="3" t="n"/>
      <c r="Q81" s="3" t="n"/>
      <c r="R81" s="3" t="n"/>
      <c r="S81" s="2" t="n"/>
      <c r="T81" s="2" t="n"/>
      <c r="U81" s="2" t="n"/>
    </row>
    <row r="82">
      <c r="A82" s="69" t="n"/>
      <c r="B82" s="3" t="n"/>
      <c r="C82" s="3" t="n"/>
      <c r="D82" s="3" t="n"/>
      <c r="E82" s="3" t="n"/>
      <c r="G82" s="2" t="n"/>
      <c r="H82" s="2" t="n"/>
      <c r="I82" s="2" t="n"/>
      <c r="J82" s="2" t="n"/>
      <c r="N82" s="3" t="n"/>
      <c r="O82" s="3" t="n"/>
      <c r="P82" s="3" t="n"/>
      <c r="Q82" s="3" t="n"/>
      <c r="R82" s="3" t="n"/>
      <c r="S82" s="2" t="n"/>
      <c r="T82" s="2" t="n"/>
      <c r="U82" s="2" t="n"/>
    </row>
    <row r="83">
      <c r="A83" s="69" t="n"/>
      <c r="B83" s="3" t="n"/>
      <c r="C83" s="3" t="n"/>
      <c r="D83" s="3" t="n"/>
      <c r="E83" s="3" t="n"/>
      <c r="F83" s="3" t="n"/>
      <c r="G83" s="2" t="n"/>
      <c r="H83" s="2" t="n"/>
      <c r="I83" s="2" t="n"/>
      <c r="J83" s="2" t="n"/>
      <c r="N83" s="3" t="n"/>
      <c r="O83" s="3" t="n"/>
      <c r="P83" s="3" t="n"/>
      <c r="Q83" s="3" t="n"/>
      <c r="R83" s="3" t="n"/>
      <c r="S83" s="2" t="n"/>
      <c r="T83" s="2" t="n"/>
      <c r="U83" s="2" t="n"/>
    </row>
    <row r="84">
      <c r="A84" s="69" t="n"/>
      <c r="B84" s="3" t="n"/>
      <c r="C84" s="3" t="n"/>
      <c r="D84" s="3" t="n"/>
      <c r="E84" s="3" t="n"/>
      <c r="G84" s="2" t="n"/>
      <c r="H84" s="2" t="n"/>
      <c r="I84" s="2" t="n"/>
      <c r="J84" s="2" t="n"/>
      <c r="N84" s="3" t="n"/>
      <c r="O84" s="3" t="n"/>
      <c r="P84" s="3" t="n"/>
      <c r="Q84" s="3" t="n"/>
      <c r="R84" s="3" t="n"/>
      <c r="S84" s="2" t="n"/>
      <c r="T84" s="2" t="n"/>
      <c r="U84" s="2" t="n"/>
    </row>
    <row r="85">
      <c r="A85" s="69" t="n"/>
      <c r="B85" s="3" t="n"/>
      <c r="C85" s="3" t="n"/>
      <c r="D85" s="3" t="n"/>
      <c r="E85" s="3" t="n"/>
      <c r="G85" s="2" t="n"/>
      <c r="H85" s="2" t="n"/>
      <c r="I85" s="2" t="n"/>
      <c r="J85" s="2" t="n"/>
      <c r="N85" s="3" t="n"/>
      <c r="O85" s="3" t="n"/>
      <c r="P85" s="3" t="n"/>
      <c r="Q85" s="3" t="n"/>
      <c r="R85" s="3" t="n"/>
      <c r="S85" s="2" t="n"/>
      <c r="T85" s="2" t="n"/>
      <c r="U85" s="2" t="n"/>
    </row>
    <row r="86">
      <c r="A86" s="69" t="n"/>
      <c r="B86" s="3" t="n"/>
      <c r="C86" s="3" t="n"/>
      <c r="D86" s="3" t="n"/>
      <c r="E86" s="3" t="n"/>
      <c r="F86" s="3" t="n"/>
      <c r="G86" s="2" t="n"/>
      <c r="H86" s="2" t="n"/>
      <c r="I86" s="2" t="n"/>
      <c r="J86" s="2" t="n"/>
      <c r="N86" s="3" t="n"/>
      <c r="O86" s="3" t="n"/>
      <c r="P86" s="3" t="n"/>
      <c r="Q86" s="3" t="n"/>
      <c r="R86" s="3" t="n"/>
      <c r="S86" s="2" t="n"/>
      <c r="T86" s="2" t="n"/>
      <c r="U86" s="2" t="n"/>
    </row>
    <row r="87">
      <c r="A87" s="69" t="n"/>
      <c r="B87" s="3" t="n"/>
      <c r="C87" s="3" t="n"/>
      <c r="D87" s="3" t="n"/>
      <c r="E87" s="3" t="n"/>
      <c r="F87" s="3" t="n"/>
      <c r="G87" s="2" t="n"/>
      <c r="H87" s="2" t="n"/>
      <c r="I87" s="2" t="n"/>
      <c r="J87" s="2" t="n"/>
      <c r="N87" s="3" t="n"/>
      <c r="O87" s="3" t="n"/>
      <c r="P87" s="3" t="n"/>
      <c r="Q87" s="3" t="n"/>
      <c r="R87" s="3" t="n"/>
      <c r="S87" s="2" t="n"/>
      <c r="T87" s="2" t="n"/>
      <c r="U87" s="2" t="n"/>
    </row>
    <row r="88">
      <c r="A88" s="69" t="n"/>
      <c r="B88" s="3" t="n"/>
      <c r="C88" s="3" t="n"/>
      <c r="D88" s="3" t="n"/>
      <c r="E88" s="3" t="n"/>
      <c r="G88" s="2" t="n"/>
      <c r="H88" s="2" t="n"/>
      <c r="I88" s="2" t="n"/>
      <c r="J88" s="2" t="n"/>
      <c r="N88" s="3" t="n"/>
      <c r="O88" s="3" t="n"/>
      <c r="P88" s="3" t="n"/>
      <c r="Q88" s="3" t="n"/>
      <c r="R88" s="3" t="n"/>
      <c r="S88" s="2" t="n"/>
      <c r="T88" s="2" t="n"/>
      <c r="U88" s="2" t="n"/>
    </row>
    <row r="89">
      <c r="A89" s="69" t="n"/>
      <c r="B89" s="3" t="n"/>
      <c r="C89" s="3" t="n"/>
      <c r="D89" s="3" t="n"/>
      <c r="E89" s="3" t="n"/>
      <c r="G89" s="2" t="n"/>
      <c r="H89" s="2" t="n"/>
      <c r="I89" s="2" t="n"/>
      <c r="J89" s="2" t="n"/>
      <c r="N89" s="3" t="n"/>
      <c r="O89" s="3" t="n"/>
      <c r="P89" s="3" t="n"/>
      <c r="Q89" s="3" t="n"/>
      <c r="R89" s="3" t="n"/>
      <c r="S89" s="2" t="n"/>
      <c r="T89" s="2" t="n"/>
      <c r="U89" s="2" t="n"/>
    </row>
    <row r="90">
      <c r="A90" s="69" t="n"/>
      <c r="B90" s="3" t="n"/>
      <c r="C90" s="3" t="n"/>
      <c r="D90" s="3" t="n"/>
      <c r="E90" s="3" t="n"/>
      <c r="F90" s="3" t="n"/>
      <c r="G90" s="2" t="n"/>
      <c r="H90" s="2" t="n"/>
      <c r="I90" s="2" t="n"/>
      <c r="J90" s="2" t="n"/>
      <c r="N90" s="3" t="n"/>
      <c r="O90" s="3" t="n"/>
      <c r="P90" s="3" t="n"/>
      <c r="Q90" s="3" t="n"/>
      <c r="R90" s="3" t="n"/>
      <c r="S90" s="2" t="n"/>
      <c r="T90" s="2" t="n"/>
      <c r="U90" s="2" t="n"/>
    </row>
    <row r="91">
      <c r="A91" s="69" t="n"/>
      <c r="B91" s="3" t="n"/>
      <c r="C91" s="3" t="n"/>
      <c r="D91" s="3" t="n"/>
      <c r="E91" s="3" t="n"/>
      <c r="G91" s="2" t="n"/>
      <c r="H91" s="2" t="n"/>
      <c r="I91" s="2" t="n"/>
      <c r="J91" s="2" t="n"/>
      <c r="N91" s="3" t="n"/>
      <c r="O91" s="3" t="n"/>
      <c r="P91" s="3" t="n"/>
      <c r="Q91" s="3" t="n"/>
      <c r="R91" s="3" t="n"/>
      <c r="S91" s="2" t="n"/>
      <c r="T91" s="2" t="n"/>
      <c r="U91" s="2" t="n"/>
    </row>
    <row r="92">
      <c r="A92" s="69" t="n"/>
      <c r="B92" s="3" t="n"/>
      <c r="C92" s="3" t="n"/>
      <c r="D92" s="3" t="n"/>
      <c r="E92" s="3" t="n"/>
      <c r="G92" s="2" t="n"/>
      <c r="H92" s="2" t="n"/>
      <c r="I92" s="2" t="n"/>
      <c r="J92" s="2" t="n"/>
      <c r="N92" s="3" t="n"/>
      <c r="O92" s="3" t="n"/>
      <c r="P92" s="3" t="n"/>
      <c r="Q92" s="3" t="n"/>
      <c r="R92" s="3" t="n"/>
      <c r="S92" s="2" t="n"/>
      <c r="T92" s="2" t="n"/>
      <c r="U92" s="2" t="n"/>
    </row>
    <row r="93">
      <c r="A93" s="69" t="n"/>
      <c r="B93" s="3" t="n"/>
      <c r="C93" s="3" t="n"/>
      <c r="D93" s="3" t="n"/>
      <c r="E93" s="3" t="n"/>
      <c r="F93" s="3" t="n"/>
      <c r="G93" s="2" t="n"/>
      <c r="H93" s="2" t="n"/>
      <c r="I93" s="2" t="n"/>
      <c r="J93" s="2" t="n"/>
      <c r="N93" s="3" t="n"/>
      <c r="O93" s="3" t="n"/>
      <c r="P93" s="3" t="n"/>
      <c r="Q93" s="3" t="n"/>
      <c r="R93" s="3" t="n"/>
      <c r="S93" s="2" t="n"/>
      <c r="T93" s="2" t="n"/>
      <c r="U93" s="2" t="n"/>
    </row>
    <row r="94">
      <c r="A94" s="69" t="n"/>
      <c r="B94" s="3" t="n"/>
      <c r="C94" s="3" t="n"/>
      <c r="D94" s="3" t="n"/>
      <c r="E94" s="3" t="n"/>
      <c r="F94" s="3" t="n"/>
      <c r="G94" s="2" t="n"/>
      <c r="H94" s="2" t="n"/>
      <c r="I94" s="2" t="n"/>
      <c r="J94" s="2" t="n"/>
      <c r="N94" s="3" t="n"/>
      <c r="O94" s="3" t="n"/>
      <c r="P94" s="3" t="n"/>
      <c r="Q94" s="3" t="n"/>
      <c r="R94" s="3" t="n"/>
      <c r="S94" s="2" t="n"/>
      <c r="T94" s="2" t="n"/>
      <c r="U94" s="2" t="n"/>
    </row>
    <row r="95">
      <c r="A95" s="69" t="n"/>
      <c r="B95" s="3" t="n"/>
      <c r="C95" s="3" t="n"/>
      <c r="D95" s="3" t="n"/>
      <c r="E95" s="3" t="n"/>
      <c r="F95" s="3" t="n"/>
      <c r="G95" s="2" t="n"/>
      <c r="H95" s="2" t="n"/>
      <c r="I95" s="2" t="n"/>
      <c r="J95" s="2" t="n"/>
      <c r="N95" s="3" t="n"/>
      <c r="O95" s="3" t="n"/>
      <c r="P95" s="3" t="n"/>
      <c r="Q95" s="3" t="n"/>
      <c r="R95" s="3" t="n"/>
      <c r="S95" s="2" t="n"/>
      <c r="T95" s="2" t="n"/>
      <c r="U95" s="2" t="n"/>
    </row>
    <row r="96">
      <c r="A96" s="69" t="n"/>
      <c r="B96" s="3" t="n"/>
      <c r="C96" s="3" t="n"/>
      <c r="D96" s="3" t="n"/>
      <c r="E96" s="3" t="n"/>
      <c r="G96" s="2" t="n"/>
      <c r="H96" s="2" t="n"/>
      <c r="I96" s="2" t="n"/>
      <c r="J96" s="2" t="n"/>
      <c r="N96" s="3" t="n"/>
      <c r="O96" s="3" t="n"/>
      <c r="P96" s="3" t="n"/>
      <c r="Q96" s="3" t="n"/>
      <c r="R96" s="3" t="n"/>
      <c r="S96" s="2" t="n"/>
      <c r="T96" s="2" t="n"/>
      <c r="U96" s="2" t="n"/>
    </row>
    <row r="97">
      <c r="A97" s="69" t="n"/>
      <c r="B97" s="3" t="n"/>
      <c r="C97" s="3" t="n"/>
      <c r="D97" s="3" t="n"/>
      <c r="E97" s="3" t="n"/>
      <c r="F97" s="3" t="n"/>
      <c r="G97" s="2" t="n"/>
      <c r="H97" s="2" t="n"/>
      <c r="I97" s="2" t="n"/>
      <c r="J97" s="2" t="n"/>
      <c r="N97" s="3" t="n"/>
      <c r="O97" s="3" t="n"/>
      <c r="P97" s="3" t="n"/>
      <c r="Q97" s="3" t="n"/>
      <c r="R97" s="3" t="n"/>
      <c r="S97" s="2" t="n"/>
      <c r="T97" s="2" t="n"/>
      <c r="U97" s="2" t="n"/>
    </row>
    <row r="98">
      <c r="A98" s="69" t="n"/>
      <c r="B98" s="3" t="n"/>
      <c r="C98" s="3" t="n"/>
      <c r="D98" s="3" t="n"/>
      <c r="E98" s="3" t="n"/>
      <c r="G98" s="2" t="n"/>
      <c r="H98" s="2" t="n"/>
      <c r="I98" s="2" t="n"/>
      <c r="J98" s="2" t="n"/>
      <c r="N98" s="3" t="n"/>
      <c r="O98" s="3" t="n"/>
      <c r="P98" s="3" t="n"/>
      <c r="Q98" s="3" t="n"/>
      <c r="R98" s="3" t="n"/>
      <c r="S98" s="2" t="n"/>
      <c r="T98" s="2" t="n"/>
      <c r="U98" s="2" t="n"/>
    </row>
    <row r="99">
      <c r="A99" s="69" t="n"/>
      <c r="B99" s="3" t="n"/>
      <c r="C99" s="3" t="n"/>
      <c r="D99" s="3" t="n"/>
      <c r="E99" s="3" t="n"/>
      <c r="G99" s="2" t="n"/>
      <c r="H99" s="2" t="n"/>
      <c r="I99" s="2" t="n"/>
      <c r="J99" s="2" t="n"/>
      <c r="N99" s="3" t="n"/>
      <c r="O99" s="3" t="n"/>
      <c r="P99" s="3" t="n"/>
      <c r="Q99" s="3" t="n"/>
      <c r="R99" s="3" t="n"/>
      <c r="S99" s="2" t="n"/>
      <c r="T99" s="2" t="n"/>
      <c r="U99" s="2" t="n"/>
    </row>
    <row r="100">
      <c r="A100" s="69" t="n"/>
      <c r="B100" s="3" t="n"/>
      <c r="C100" s="3" t="n"/>
      <c r="D100" s="3" t="n"/>
      <c r="E100" s="3" t="n"/>
      <c r="G100" s="2" t="n"/>
      <c r="H100" s="2" t="n"/>
      <c r="I100" s="2" t="n"/>
      <c r="J100" s="2" t="n"/>
      <c r="N100" s="3" t="n"/>
      <c r="O100" s="3" t="n"/>
      <c r="P100" s="3" t="n"/>
      <c r="Q100" s="3" t="n"/>
      <c r="R100" s="3" t="n"/>
      <c r="S100" s="2" t="n"/>
      <c r="T100" s="2" t="n"/>
      <c r="U100" s="2" t="n"/>
    </row>
    <row r="101">
      <c r="A101" s="69" t="n"/>
      <c r="B101" s="3" t="n"/>
      <c r="C101" s="3" t="n"/>
      <c r="D101" s="3" t="n"/>
      <c r="E101" s="3" t="n"/>
      <c r="F101" s="3" t="n"/>
      <c r="G101" s="2" t="n"/>
      <c r="H101" s="2" t="n"/>
      <c r="I101" s="2" t="n"/>
      <c r="J101" s="2" t="n"/>
      <c r="N101" s="3" t="n"/>
      <c r="O101" s="3" t="n"/>
      <c r="P101" s="3" t="n"/>
      <c r="Q101" s="3" t="n"/>
      <c r="R101" s="3" t="n"/>
      <c r="S101" s="2" t="n"/>
      <c r="T101" s="2" t="n"/>
      <c r="U101" s="2" t="n"/>
    </row>
    <row r="102">
      <c r="A102" s="69" t="n"/>
      <c r="B102" s="3" t="n"/>
      <c r="C102" s="3" t="n"/>
      <c r="D102" s="3" t="n"/>
      <c r="E102" s="3" t="n"/>
      <c r="F102" s="3" t="n"/>
      <c r="G102" s="2" t="n"/>
      <c r="H102" s="2" t="n"/>
      <c r="I102" s="2" t="n"/>
      <c r="J102" s="2" t="n"/>
      <c r="N102" s="3" t="n"/>
      <c r="O102" s="3" t="n"/>
      <c r="P102" s="3" t="n"/>
      <c r="Q102" s="3" t="n"/>
      <c r="R102" s="3" t="n"/>
      <c r="S102" s="2" t="n"/>
      <c r="T102" s="2" t="n"/>
      <c r="U102" s="2" t="n"/>
    </row>
    <row r="103">
      <c r="A103" s="69" t="n"/>
      <c r="B103" s="3" t="n"/>
      <c r="C103" s="3" t="n"/>
      <c r="D103" s="3" t="n"/>
      <c r="E103" s="3" t="n"/>
      <c r="G103" s="2" t="n"/>
      <c r="H103" s="2" t="n"/>
      <c r="I103" s="2" t="n"/>
      <c r="J103" s="2" t="n"/>
      <c r="N103" s="3" t="n"/>
      <c r="O103" s="3" t="n"/>
      <c r="P103" s="3" t="n"/>
      <c r="Q103" s="3" t="n"/>
      <c r="R103" s="3" t="n"/>
      <c r="S103" s="2" t="n"/>
      <c r="T103" s="2" t="n"/>
      <c r="U103" s="2" t="n"/>
    </row>
    <row r="104">
      <c r="A104" s="69" t="n"/>
      <c r="B104" s="3" t="n"/>
      <c r="C104" s="3" t="n"/>
      <c r="D104" s="3" t="n"/>
      <c r="E104" s="3" t="n"/>
      <c r="G104" s="2" t="n"/>
      <c r="H104" s="2" t="n"/>
      <c r="I104" s="2" t="n"/>
      <c r="J104" s="2" t="n"/>
      <c r="N104" s="3" t="n"/>
      <c r="O104" s="3" t="n"/>
      <c r="P104" s="3" t="n"/>
      <c r="Q104" s="3" t="n"/>
      <c r="R104" s="3" t="n"/>
      <c r="S104" s="2" t="n"/>
      <c r="T104" s="2" t="n"/>
      <c r="U104" s="2" t="n"/>
    </row>
    <row r="105">
      <c r="A105" s="69" t="n"/>
      <c r="B105" s="3" t="n"/>
      <c r="C105" s="3" t="n"/>
      <c r="D105" s="3" t="n"/>
      <c r="E105" s="3" t="n"/>
      <c r="G105" s="2" t="n"/>
      <c r="H105" s="2" t="n"/>
      <c r="I105" s="2" t="n"/>
      <c r="J105" s="2" t="n"/>
      <c r="N105" s="3" t="n"/>
      <c r="O105" s="3" t="n"/>
      <c r="P105" s="3" t="n"/>
      <c r="Q105" s="3" t="n"/>
      <c r="R105" s="3" t="n"/>
      <c r="S105" s="2" t="n"/>
      <c r="T105" s="2" t="n"/>
      <c r="U105" s="2" t="n"/>
    </row>
    <row r="106">
      <c r="A106" s="69" t="n"/>
      <c r="B106" s="3" t="n"/>
      <c r="C106" s="3" t="n"/>
      <c r="D106" s="3" t="n"/>
      <c r="E106" s="3" t="n"/>
      <c r="G106" s="2" t="n"/>
      <c r="H106" s="2" t="n"/>
      <c r="I106" s="2" t="n"/>
      <c r="J106" s="2" t="n"/>
      <c r="N106" s="3" t="n"/>
      <c r="O106" s="3" t="n"/>
      <c r="P106" s="3" t="n"/>
      <c r="Q106" s="3" t="n"/>
      <c r="R106" s="3" t="n"/>
      <c r="S106" s="2" t="n"/>
      <c r="T106" s="2" t="n"/>
      <c r="U106" s="2" t="n"/>
    </row>
    <row r="107">
      <c r="A107" s="69" t="n"/>
      <c r="B107" s="3" t="n"/>
      <c r="C107" s="3" t="n"/>
      <c r="D107" s="3" t="n"/>
      <c r="E107" s="3" t="n"/>
      <c r="G107" s="2" t="n"/>
      <c r="H107" s="2" t="n"/>
      <c r="I107" s="2" t="n"/>
      <c r="J107" s="2" t="n"/>
      <c r="N107" s="3" t="n"/>
      <c r="O107" s="3" t="n"/>
      <c r="P107" s="3" t="n"/>
      <c r="Q107" s="3" t="n"/>
      <c r="R107" s="3" t="n"/>
      <c r="S107" s="2" t="n"/>
      <c r="T107" s="2" t="n"/>
      <c r="U107" s="2" t="n"/>
    </row>
    <row r="108">
      <c r="A108" s="69" t="n"/>
      <c r="B108" s="3" t="n"/>
      <c r="C108" s="3" t="n"/>
      <c r="D108" s="3" t="n"/>
      <c r="E108" s="3" t="n"/>
      <c r="F108" s="3" t="n"/>
      <c r="G108" s="2" t="n"/>
      <c r="H108" s="2" t="n"/>
      <c r="I108" s="2" t="n"/>
      <c r="J108" s="2" t="n"/>
      <c r="N108" s="3" t="n"/>
      <c r="O108" s="3" t="n"/>
      <c r="P108" s="3" t="n"/>
      <c r="Q108" s="3" t="n"/>
      <c r="R108" s="3" t="n"/>
      <c r="S108" s="2" t="n"/>
      <c r="T108" s="2" t="n"/>
      <c r="U108" s="2" t="n"/>
    </row>
    <row r="109">
      <c r="A109" s="69" t="n"/>
      <c r="B109" s="3" t="n"/>
      <c r="C109" s="3" t="n"/>
      <c r="D109" s="3" t="n"/>
      <c r="E109" s="3" t="n"/>
      <c r="G109" s="2" t="n"/>
      <c r="H109" s="2" t="n"/>
      <c r="I109" s="2" t="n"/>
      <c r="J109" s="2" t="n"/>
      <c r="N109" s="3" t="n"/>
      <c r="O109" s="3" t="n"/>
      <c r="P109" s="3" t="n"/>
      <c r="Q109" s="3" t="n"/>
      <c r="R109" s="3" t="n"/>
      <c r="S109" s="2" t="n"/>
      <c r="T109" s="2" t="n"/>
      <c r="U109" s="2" t="n"/>
    </row>
    <row r="110">
      <c r="A110" s="69" t="n"/>
      <c r="B110" s="3" t="n"/>
      <c r="C110" s="3" t="n"/>
      <c r="D110" s="3" t="n"/>
      <c r="E110" s="3" t="n"/>
      <c r="G110" s="2" t="n"/>
      <c r="H110" s="2" t="n"/>
      <c r="I110" s="2" t="n"/>
      <c r="J110" s="2" t="n"/>
      <c r="N110" s="3" t="n"/>
      <c r="O110" s="3" t="n"/>
      <c r="P110" s="3" t="n"/>
      <c r="Q110" s="3" t="n"/>
      <c r="R110" s="3" t="n"/>
      <c r="S110" s="2" t="n"/>
      <c r="T110" s="2" t="n"/>
      <c r="U110" s="2" t="n"/>
    </row>
    <row r="111">
      <c r="A111" s="69" t="n"/>
      <c r="B111" s="3" t="n"/>
      <c r="C111" s="3" t="n"/>
      <c r="D111" s="3" t="n"/>
      <c r="E111" s="3" t="n"/>
      <c r="G111" s="2" t="n"/>
      <c r="H111" s="2" t="n"/>
      <c r="I111" s="2" t="n"/>
      <c r="J111" s="2" t="n"/>
      <c r="N111" s="3" t="n"/>
      <c r="O111" s="3" t="n"/>
      <c r="P111" s="3" t="n"/>
      <c r="Q111" s="3" t="n"/>
      <c r="R111" s="3" t="n"/>
      <c r="S111" s="2" t="n"/>
      <c r="T111" s="2" t="n"/>
      <c r="U111" s="2" t="n"/>
    </row>
    <row r="112">
      <c r="A112" s="69" t="n"/>
      <c r="B112" s="3" t="n"/>
      <c r="C112" s="3" t="n"/>
      <c r="D112" s="3" t="n"/>
      <c r="E112" s="3" t="n"/>
      <c r="G112" s="2" t="n"/>
      <c r="H112" s="2" t="n"/>
      <c r="I112" s="2" t="n"/>
      <c r="J112" s="2" t="n"/>
      <c r="N112" s="3" t="n"/>
      <c r="O112" s="3" t="n"/>
      <c r="P112" s="3" t="n"/>
      <c r="Q112" s="3" t="n"/>
      <c r="R112" s="3" t="n"/>
      <c r="S112" s="2" t="n"/>
      <c r="T112" s="2" t="n"/>
      <c r="U112" s="2" t="n"/>
    </row>
    <row r="113">
      <c r="A113" s="69" t="n"/>
      <c r="B113" s="3" t="n"/>
      <c r="C113" s="3" t="n"/>
      <c r="D113" s="3" t="n"/>
      <c r="E113" s="3" t="n"/>
      <c r="F113" s="3" t="n"/>
      <c r="G113" s="2" t="n"/>
      <c r="H113" s="2" t="n"/>
      <c r="I113" s="2" t="n"/>
      <c r="J113" s="2" t="n"/>
      <c r="N113" s="3" t="n"/>
      <c r="O113" s="3" t="n"/>
      <c r="P113" s="3" t="n"/>
      <c r="Q113" s="3" t="n"/>
      <c r="R113" s="3" t="n"/>
      <c r="S113" s="2" t="n"/>
      <c r="T113" s="2" t="n"/>
      <c r="U113" s="2" t="n"/>
    </row>
    <row r="114">
      <c r="A114" s="69" t="n"/>
      <c r="B114" s="3" t="n"/>
      <c r="C114" s="3" t="n"/>
      <c r="D114" s="3" t="n"/>
      <c r="E114" s="3" t="n"/>
      <c r="G114" s="2" t="n"/>
      <c r="H114" s="2" t="n"/>
      <c r="I114" s="2" t="n"/>
      <c r="J114" s="2" t="n"/>
      <c r="N114" s="3" t="n"/>
      <c r="O114" s="3" t="n"/>
      <c r="P114" s="3" t="n"/>
      <c r="Q114" s="3" t="n"/>
      <c r="R114" s="3" t="n"/>
      <c r="S114" s="2" t="n"/>
      <c r="T114" s="2" t="n"/>
      <c r="U114" s="2" t="n"/>
    </row>
    <row r="115">
      <c r="A115" s="69" t="n"/>
      <c r="B115" s="3" t="n"/>
      <c r="C115" s="3" t="n"/>
      <c r="D115" s="3" t="n"/>
      <c r="E115" s="3" t="n"/>
      <c r="F115" s="3" t="n"/>
      <c r="G115" s="2" t="n"/>
      <c r="H115" s="2" t="n"/>
      <c r="I115" s="2" t="n"/>
      <c r="J115" s="2" t="n"/>
      <c r="N115" s="3" t="n"/>
      <c r="O115" s="3" t="n"/>
      <c r="P115" s="3" t="n"/>
      <c r="Q115" s="3" t="n"/>
      <c r="R115" s="3" t="n"/>
      <c r="S115" s="2" t="n"/>
      <c r="T115" s="2" t="n"/>
      <c r="U115" s="2" t="n"/>
    </row>
    <row r="116">
      <c r="A116" s="69" t="n"/>
      <c r="B116" s="3" t="n"/>
      <c r="C116" s="3" t="n"/>
      <c r="D116" s="3" t="n"/>
      <c r="E116" s="3" t="n"/>
      <c r="G116" s="2" t="n"/>
      <c r="H116" s="2" t="n"/>
      <c r="I116" s="2" t="n"/>
      <c r="J116" s="2" t="n"/>
      <c r="N116" s="3" t="n"/>
      <c r="O116" s="3" t="n"/>
      <c r="P116" s="3" t="n"/>
      <c r="Q116" s="3" t="n"/>
      <c r="R116" s="3" t="n"/>
      <c r="S116" s="2" t="n"/>
      <c r="T116" s="2" t="n"/>
      <c r="U116" s="2" t="n"/>
    </row>
    <row r="117">
      <c r="A117" s="69" t="n"/>
      <c r="B117" s="3" t="n"/>
      <c r="C117" s="3" t="n"/>
      <c r="D117" s="3" t="n"/>
      <c r="E117" s="3" t="n"/>
      <c r="F117" s="3" t="n"/>
      <c r="G117" s="2" t="n"/>
      <c r="H117" s="2" t="n"/>
      <c r="I117" s="2" t="n"/>
      <c r="J117" s="2" t="n"/>
      <c r="N117" s="3" t="n"/>
      <c r="O117" s="3" t="n"/>
      <c r="P117" s="3" t="n"/>
      <c r="Q117" s="3" t="n"/>
      <c r="R117" s="3" t="n"/>
      <c r="S117" s="2" t="n"/>
      <c r="T117" s="2" t="n"/>
      <c r="U117" s="2" t="n"/>
    </row>
    <row r="118">
      <c r="A118" s="69" t="n"/>
      <c r="B118" s="3" t="n"/>
      <c r="C118" s="3" t="n"/>
      <c r="D118" s="3" t="n"/>
      <c r="E118" s="3" t="n"/>
      <c r="F118" s="3" t="n"/>
      <c r="G118" s="2" t="n"/>
      <c r="H118" s="2" t="n"/>
      <c r="I118" s="2" t="n"/>
      <c r="J118" s="2" t="n"/>
      <c r="N118" s="3" t="n"/>
      <c r="O118" s="3" t="n"/>
      <c r="P118" s="3" t="n"/>
      <c r="Q118" s="3" t="n"/>
      <c r="R118" s="3" t="n"/>
      <c r="S118" s="2" t="n"/>
      <c r="T118" s="2" t="n"/>
      <c r="U118" s="2" t="n"/>
    </row>
    <row r="119">
      <c r="A119" s="69" t="n"/>
      <c r="B119" s="3" t="n"/>
      <c r="C119" s="3" t="n"/>
      <c r="D119" s="3" t="n"/>
      <c r="E119" s="3" t="n"/>
      <c r="F119" s="3" t="n"/>
      <c r="G119" s="2" t="n"/>
      <c r="H119" s="2" t="n"/>
      <c r="I119" s="2" t="n"/>
      <c r="J119" s="2" t="n"/>
      <c r="N119" s="3" t="n"/>
      <c r="O119" s="3" t="n"/>
      <c r="P119" s="3" t="n"/>
      <c r="Q119" s="3" t="n"/>
      <c r="R119" s="3" t="n"/>
      <c r="S119" s="2" t="n"/>
      <c r="T119" s="2" t="n"/>
      <c r="U119" s="2" t="n"/>
    </row>
    <row r="120">
      <c r="A120" s="69" t="n"/>
      <c r="B120" s="3" t="n"/>
      <c r="C120" s="3" t="n"/>
      <c r="D120" s="3" t="n"/>
      <c r="E120" s="3" t="n"/>
      <c r="G120" s="2" t="n"/>
      <c r="H120" s="2" t="n"/>
      <c r="I120" s="2" t="n"/>
      <c r="J120" s="2" t="n"/>
      <c r="N120" s="3" t="n"/>
      <c r="O120" s="3" t="n"/>
      <c r="P120" s="3" t="n"/>
      <c r="Q120" s="3" t="n"/>
      <c r="R120" s="3" t="n"/>
      <c r="S120" s="2" t="n"/>
      <c r="T120" s="2" t="n"/>
      <c r="U120" s="2" t="n"/>
    </row>
    <row r="121">
      <c r="A121" s="69" t="n"/>
      <c r="B121" s="3" t="n"/>
      <c r="C121" s="3" t="n"/>
      <c r="D121" s="3" t="n"/>
      <c r="E121" s="3" t="n"/>
      <c r="G121" s="2" t="n"/>
      <c r="H121" s="2" t="n"/>
      <c r="I121" s="2" t="n"/>
      <c r="J121" s="2" t="n"/>
      <c r="N121" s="3" t="n"/>
      <c r="O121" s="3" t="n"/>
      <c r="P121" s="3" t="n"/>
      <c r="Q121" s="3" t="n"/>
      <c r="R121" s="3" t="n"/>
      <c r="S121" s="2" t="n"/>
      <c r="T121" s="2" t="n"/>
      <c r="U121" s="2" t="n"/>
    </row>
    <row r="122">
      <c r="A122" s="69" t="n"/>
      <c r="B122" s="3" t="n"/>
      <c r="C122" s="3" t="n"/>
      <c r="D122" s="3" t="n"/>
      <c r="E122" s="3" t="n"/>
      <c r="F122" s="3" t="n"/>
      <c r="G122" s="2" t="n"/>
      <c r="H122" s="2" t="n"/>
      <c r="I122" s="2" t="n"/>
      <c r="J122" s="2" t="n"/>
      <c r="N122" s="3" t="n"/>
      <c r="O122" s="3" t="n"/>
      <c r="P122" s="3" t="n"/>
      <c r="Q122" s="3" t="n"/>
      <c r="R122" s="3" t="n"/>
      <c r="S122" s="2" t="n"/>
      <c r="T122" s="2" t="n"/>
      <c r="U122" s="2" t="n"/>
    </row>
    <row r="123">
      <c r="A123" s="69" t="n"/>
      <c r="B123" s="3" t="n"/>
      <c r="C123" s="3" t="n"/>
      <c r="D123" s="3" t="n"/>
      <c r="E123" s="3" t="n"/>
      <c r="F123" s="3" t="n"/>
      <c r="G123" s="2" t="n"/>
      <c r="H123" s="2" t="n"/>
      <c r="I123" s="2" t="n"/>
      <c r="J123" s="2" t="n"/>
      <c r="N123" s="3" t="n"/>
      <c r="O123" s="3" t="n"/>
      <c r="P123" s="3" t="n"/>
      <c r="Q123" s="3" t="n"/>
      <c r="R123" s="3" t="n"/>
      <c r="S123" s="2" t="n"/>
      <c r="T123" s="2" t="n"/>
      <c r="U123" s="2" t="n"/>
    </row>
    <row r="124">
      <c r="A124" s="69" t="n"/>
      <c r="B124" s="3" t="n"/>
      <c r="C124" s="3" t="n"/>
      <c r="D124" s="3" t="n"/>
      <c r="E124" s="3" t="n"/>
      <c r="F124" s="3" t="n"/>
      <c r="G124" s="2" t="n"/>
      <c r="H124" s="2" t="n"/>
      <c r="I124" s="2" t="n"/>
      <c r="J124" s="2" t="n"/>
      <c r="N124" s="3" t="n"/>
      <c r="O124" s="3" t="n"/>
      <c r="P124" s="3" t="n"/>
      <c r="Q124" s="3" t="n"/>
      <c r="R124" s="3" t="n"/>
      <c r="S124" s="2" t="n"/>
      <c r="T124" s="2" t="n"/>
      <c r="U124" s="2" t="n"/>
    </row>
    <row r="125">
      <c r="A125" s="69" t="n"/>
      <c r="B125" s="3" t="n"/>
      <c r="C125" s="3" t="n"/>
      <c r="D125" s="3" t="n"/>
      <c r="E125" s="3" t="n"/>
      <c r="F125" s="3" t="n"/>
      <c r="G125" s="2" t="n"/>
      <c r="H125" s="2" t="n"/>
      <c r="I125" s="2" t="n"/>
      <c r="J125" s="2" t="n"/>
      <c r="N125" s="3" t="n"/>
      <c r="O125" s="3" t="n"/>
      <c r="P125" s="3" t="n"/>
      <c r="Q125" s="3" t="n"/>
      <c r="R125" s="3" t="n"/>
      <c r="S125" s="2" t="n"/>
      <c r="T125" s="2" t="n"/>
      <c r="U125" s="2" t="n"/>
    </row>
    <row r="126">
      <c r="A126" s="69" t="n"/>
      <c r="B126" s="3" t="n"/>
      <c r="C126" s="3" t="n"/>
      <c r="D126" s="3" t="n"/>
      <c r="E126" s="3" t="n"/>
      <c r="G126" s="2" t="n"/>
      <c r="H126" s="2" t="n"/>
      <c r="I126" s="2" t="n"/>
      <c r="J126" s="2" t="n"/>
      <c r="N126" s="3" t="n"/>
      <c r="O126" s="3" t="n"/>
      <c r="P126" s="3" t="n"/>
      <c r="Q126" s="3" t="n"/>
      <c r="R126" s="3" t="n"/>
      <c r="S126" s="2" t="n"/>
      <c r="T126" s="2" t="n"/>
      <c r="U126" s="2" t="n"/>
    </row>
    <row r="127">
      <c r="A127" s="69" t="n"/>
      <c r="B127" s="3" t="n"/>
      <c r="C127" s="3" t="n"/>
      <c r="D127" s="3" t="n"/>
      <c r="E127" s="3" t="n"/>
      <c r="G127" s="2" t="n"/>
      <c r="H127" s="2" t="n"/>
      <c r="I127" s="2" t="n"/>
      <c r="J127" s="2" t="n"/>
      <c r="N127" s="3" t="n"/>
      <c r="O127" s="3" t="n"/>
      <c r="P127" s="3" t="n"/>
      <c r="Q127" s="3" t="n"/>
      <c r="R127" s="3" t="n"/>
      <c r="S127" s="2" t="n"/>
      <c r="T127" s="2" t="n"/>
      <c r="U127" s="2" t="n"/>
    </row>
    <row r="128">
      <c r="A128" s="69" t="n"/>
      <c r="B128" s="3" t="n"/>
      <c r="C128" s="3" t="n"/>
      <c r="D128" s="3" t="n"/>
      <c r="E128" s="3" t="n"/>
      <c r="F128" s="3" t="n"/>
      <c r="G128" s="2" t="n"/>
      <c r="H128" s="2" t="n"/>
      <c r="I128" s="2" t="n"/>
      <c r="J128" s="2" t="n"/>
      <c r="N128" s="3" t="n"/>
      <c r="O128" s="3" t="n"/>
      <c r="P128" s="3" t="n"/>
      <c r="Q128" s="3" t="n"/>
      <c r="R128" s="3" t="n"/>
      <c r="S128" s="2" t="n"/>
      <c r="T128" s="2" t="n"/>
      <c r="U128" s="2" t="n"/>
    </row>
    <row r="129">
      <c r="A129" s="69" t="n"/>
      <c r="B129" s="3" t="n"/>
      <c r="C129" s="3" t="n"/>
      <c r="D129" s="3" t="n"/>
      <c r="E129" s="3" t="n"/>
      <c r="F129" s="3" t="n"/>
      <c r="G129" s="2" t="n"/>
      <c r="H129" s="2" t="n"/>
      <c r="I129" s="2" t="n"/>
      <c r="J129" s="2" t="n"/>
      <c r="N129" s="3" t="n"/>
      <c r="O129" s="3" t="n"/>
      <c r="P129" s="3" t="n"/>
      <c r="Q129" s="3" t="n"/>
      <c r="R129" s="3" t="n"/>
      <c r="S129" s="2" t="n"/>
      <c r="T129" s="2" t="n"/>
      <c r="U129" s="2" t="n"/>
    </row>
    <row r="130">
      <c r="A130" s="69" t="n"/>
      <c r="B130" s="3" t="n"/>
      <c r="C130" s="3" t="n"/>
      <c r="D130" s="3" t="n"/>
      <c r="E130" s="3" t="n"/>
      <c r="G130" s="2" t="n"/>
      <c r="H130" s="2" t="n"/>
      <c r="I130" s="2" t="n"/>
      <c r="J130" s="2" t="n"/>
      <c r="N130" s="3" t="n"/>
      <c r="O130" s="3" t="n"/>
      <c r="P130" s="3" t="n"/>
      <c r="Q130" s="3" t="n"/>
      <c r="R130" s="3" t="n"/>
      <c r="S130" s="2" t="n"/>
      <c r="T130" s="2" t="n"/>
      <c r="U130" s="2" t="n"/>
    </row>
    <row r="131">
      <c r="A131" s="69" t="n"/>
      <c r="B131" s="3" t="n"/>
      <c r="C131" s="3" t="n"/>
      <c r="D131" s="3" t="n"/>
      <c r="E131" s="3" t="n"/>
      <c r="G131" s="2" t="n"/>
      <c r="H131" s="2" t="n"/>
      <c r="I131" s="2" t="n"/>
      <c r="J131" s="2" t="n"/>
      <c r="N131" s="3" t="n"/>
      <c r="O131" s="3" t="n"/>
      <c r="P131" s="3" t="n"/>
      <c r="Q131" s="3" t="n"/>
      <c r="R131" s="3" t="n"/>
      <c r="S131" s="2" t="n"/>
      <c r="T131" s="2" t="n"/>
      <c r="U131" s="2" t="n"/>
    </row>
    <row r="132">
      <c r="A132" s="69" t="n"/>
      <c r="B132" s="3" t="n"/>
      <c r="C132" s="3" t="n"/>
      <c r="D132" s="3" t="n"/>
      <c r="E132" s="3" t="n"/>
      <c r="G132" s="2" t="n"/>
      <c r="H132" s="2" t="n"/>
      <c r="I132" s="2" t="n"/>
      <c r="J132" s="2" t="n"/>
      <c r="N132" s="3" t="n"/>
      <c r="O132" s="3" t="n"/>
      <c r="P132" s="3" t="n"/>
      <c r="Q132" s="3" t="n"/>
      <c r="R132" s="3" t="n"/>
      <c r="S132" s="2" t="n"/>
      <c r="T132" s="2" t="n"/>
      <c r="U132" s="2" t="n"/>
    </row>
    <row r="133">
      <c r="A133" s="69" t="n"/>
      <c r="B133" s="3" t="n"/>
      <c r="C133" s="3" t="n"/>
      <c r="D133" s="3" t="n"/>
      <c r="E133" s="3" t="n"/>
      <c r="F133" s="3" t="n"/>
      <c r="G133" s="2" t="n"/>
      <c r="H133" s="2" t="n"/>
      <c r="I133" s="2" t="n"/>
      <c r="J133" s="2" t="n"/>
      <c r="N133" s="3" t="n"/>
      <c r="O133" s="3" t="n"/>
      <c r="P133" s="3" t="n"/>
      <c r="Q133" s="3" t="n"/>
      <c r="R133" s="3" t="n"/>
      <c r="S133" s="2" t="n"/>
      <c r="T133" s="2" t="n"/>
      <c r="U133" s="2" t="n"/>
    </row>
    <row r="134">
      <c r="A134" s="69" t="n"/>
      <c r="B134" s="3" t="n"/>
      <c r="C134" s="3" t="n"/>
      <c r="D134" s="3" t="n"/>
      <c r="E134" s="3" t="n"/>
      <c r="G134" s="2" t="n"/>
      <c r="H134" s="2" t="n"/>
      <c r="I134" s="2" t="n"/>
      <c r="J134" s="2" t="n"/>
      <c r="N134" s="3" t="n"/>
      <c r="O134" s="3" t="n"/>
      <c r="P134" s="3" t="n"/>
      <c r="Q134" s="3" t="n"/>
      <c r="R134" s="3" t="n"/>
      <c r="S134" s="2" t="n"/>
      <c r="T134" s="2" t="n"/>
      <c r="U134" s="2" t="n"/>
    </row>
    <row r="135">
      <c r="A135" s="69" t="n"/>
      <c r="B135" s="3" t="n"/>
      <c r="C135" s="3" t="n"/>
      <c r="D135" s="3" t="n"/>
      <c r="E135" s="3" t="n"/>
      <c r="G135" s="2" t="n"/>
      <c r="H135" s="2" t="n"/>
      <c r="I135" s="2" t="n"/>
      <c r="J135" s="2" t="n"/>
      <c r="N135" s="3" t="n"/>
      <c r="O135" s="3" t="n"/>
      <c r="P135" s="3" t="n"/>
      <c r="Q135" s="3" t="n"/>
      <c r="R135" s="3" t="n"/>
      <c r="S135" s="2" t="n"/>
      <c r="T135" s="2" t="n"/>
      <c r="U135" s="2" t="n"/>
    </row>
    <row r="136">
      <c r="A136" s="69" t="n"/>
      <c r="B136" s="3" t="n"/>
      <c r="C136" s="3" t="n"/>
      <c r="D136" s="3" t="n"/>
      <c r="E136" s="3" t="n"/>
      <c r="G136" s="2" t="n"/>
      <c r="H136" s="2" t="n"/>
      <c r="I136" s="2" t="n"/>
      <c r="J136" s="2" t="n"/>
      <c r="N136" s="3" t="n"/>
      <c r="O136" s="3" t="n"/>
      <c r="P136" s="3" t="n"/>
      <c r="Q136" s="3" t="n"/>
      <c r="R136" s="3" t="n"/>
      <c r="S136" s="2" t="n"/>
      <c r="T136" s="2" t="n"/>
      <c r="U136" s="2" t="n"/>
    </row>
    <row r="137">
      <c r="A137" s="69" t="n"/>
      <c r="B137" s="3" t="n"/>
      <c r="C137" s="3" t="n"/>
      <c r="D137" s="3" t="n"/>
      <c r="E137" s="3" t="n"/>
      <c r="G137" s="2" t="n"/>
      <c r="H137" s="2" t="n"/>
      <c r="I137" s="2" t="n"/>
      <c r="J137" s="2" t="n"/>
      <c r="N137" s="3" t="n"/>
      <c r="O137" s="3" t="n"/>
      <c r="P137" s="3" t="n"/>
      <c r="Q137" s="3" t="n"/>
      <c r="R137" s="3" t="n"/>
      <c r="S137" s="2" t="n"/>
      <c r="T137" s="2" t="n"/>
      <c r="U137" s="2" t="n"/>
    </row>
    <row r="138">
      <c r="A138" s="69" t="n"/>
      <c r="B138" s="3" t="n"/>
      <c r="C138" s="3" t="n"/>
      <c r="D138" s="3" t="n"/>
      <c r="E138" s="3" t="n"/>
      <c r="F138" s="3" t="n"/>
      <c r="G138" s="2" t="n"/>
      <c r="H138" s="2" t="n"/>
      <c r="I138" s="2" t="n"/>
      <c r="J138" s="2" t="n"/>
      <c r="N138" s="3" t="n"/>
      <c r="O138" s="3" t="n"/>
      <c r="P138" s="3" t="n"/>
      <c r="Q138" s="3" t="n"/>
      <c r="R138" s="3" t="n"/>
      <c r="S138" s="2" t="n"/>
      <c r="T138" s="2" t="n"/>
      <c r="U138" s="2" t="n"/>
    </row>
    <row r="139">
      <c r="A139" s="69" t="n"/>
      <c r="B139" s="3" t="n"/>
      <c r="C139" s="3" t="n"/>
      <c r="D139" s="3" t="n"/>
      <c r="E139" s="3" t="n"/>
      <c r="G139" s="2" t="n"/>
      <c r="H139" s="2" t="n"/>
      <c r="I139" s="2" t="n"/>
      <c r="J139" s="2" t="n"/>
      <c r="N139" s="3" t="n"/>
      <c r="O139" s="3" t="n"/>
      <c r="P139" s="3" t="n"/>
      <c r="Q139" s="3" t="n"/>
      <c r="R139" s="3" t="n"/>
      <c r="S139" s="2" t="n"/>
      <c r="T139" s="2" t="n"/>
      <c r="U139" s="2" t="n"/>
    </row>
    <row r="140">
      <c r="A140" s="69" t="n"/>
      <c r="B140" s="3" t="n"/>
      <c r="C140" s="3" t="n"/>
      <c r="D140" s="3" t="n"/>
      <c r="E140" s="3" t="n"/>
      <c r="F140" s="3" t="n"/>
      <c r="G140" s="2" t="n"/>
      <c r="H140" s="2" t="n"/>
      <c r="I140" s="2" t="n"/>
      <c r="J140" s="2" t="n"/>
      <c r="N140" s="3" t="n"/>
      <c r="O140" s="3" t="n"/>
      <c r="P140" s="3" t="n"/>
      <c r="Q140" s="3" t="n"/>
      <c r="R140" s="3" t="n"/>
      <c r="S140" s="2" t="n"/>
      <c r="T140" s="2" t="n"/>
      <c r="U140" s="2" t="n"/>
    </row>
    <row r="141">
      <c r="A141" s="69" t="n"/>
      <c r="B141" s="3" t="n"/>
      <c r="C141" s="3" t="n"/>
      <c r="D141" s="3" t="n"/>
      <c r="E141" s="3" t="n"/>
      <c r="F141" s="3" t="n"/>
      <c r="G141" s="2" t="n"/>
      <c r="H141" s="2" t="n"/>
      <c r="I141" s="2" t="n"/>
      <c r="J141" s="2" t="n"/>
      <c r="N141" s="3" t="n"/>
      <c r="O141" s="3" t="n"/>
      <c r="P141" s="3" t="n"/>
      <c r="Q141" s="3" t="n"/>
      <c r="R141" s="3" t="n"/>
      <c r="S141" s="2" t="n"/>
      <c r="T141" s="2" t="n"/>
      <c r="U141" s="2" t="n"/>
    </row>
    <row r="142">
      <c r="A142" s="69" t="n"/>
      <c r="B142" s="3" t="n"/>
      <c r="C142" s="3" t="n"/>
      <c r="D142" s="3" t="n"/>
      <c r="E142" s="3" t="n"/>
      <c r="F142" s="3" t="n"/>
      <c r="G142" s="2" t="n"/>
      <c r="H142" s="2" t="n"/>
      <c r="I142" s="2" t="n"/>
      <c r="J142" s="2" t="n"/>
      <c r="N142" s="3" t="n"/>
      <c r="O142" s="3" t="n"/>
      <c r="P142" s="3" t="n"/>
      <c r="Q142" s="3" t="n"/>
      <c r="R142" s="3" t="n"/>
      <c r="S142" s="2" t="n"/>
      <c r="T142" s="2" t="n"/>
      <c r="U142" s="2" t="n"/>
    </row>
    <row r="143">
      <c r="A143" s="69" t="n"/>
      <c r="B143" s="3" t="n"/>
      <c r="C143" s="3" t="n"/>
      <c r="D143" s="3" t="n"/>
      <c r="E143" s="3" t="n"/>
      <c r="F143" s="3" t="n"/>
      <c r="G143" s="2" t="n"/>
      <c r="H143" s="2" t="n"/>
      <c r="I143" s="2" t="n"/>
      <c r="J143" s="2" t="n"/>
      <c r="N143" s="3" t="n"/>
      <c r="O143" s="3" t="n"/>
      <c r="P143" s="3" t="n"/>
      <c r="Q143" s="3" t="n"/>
      <c r="R143" s="3" t="n"/>
      <c r="S143" s="2" t="n"/>
      <c r="T143" s="2" t="n"/>
      <c r="U143" s="2" t="n"/>
    </row>
    <row r="144">
      <c r="A144" s="69" t="n"/>
      <c r="B144" s="3" t="n"/>
      <c r="C144" s="3" t="n"/>
      <c r="D144" s="3" t="n"/>
      <c r="E144" s="3" t="n"/>
      <c r="F144" s="3" t="n"/>
      <c r="G144" s="2" t="n"/>
      <c r="H144" s="2" t="n"/>
      <c r="I144" s="2" t="n"/>
      <c r="J144" s="2" t="n"/>
      <c r="N144" s="3" t="n"/>
      <c r="O144" s="3" t="n"/>
      <c r="P144" s="3" t="n"/>
      <c r="Q144" s="3" t="n"/>
      <c r="R144" s="3" t="n"/>
      <c r="S144" s="2" t="n"/>
      <c r="T144" s="2" t="n"/>
      <c r="U144" s="2" t="n"/>
    </row>
    <row r="145">
      <c r="A145" s="69" t="n"/>
      <c r="B145" s="3" t="n"/>
      <c r="C145" s="3" t="n"/>
      <c r="D145" s="3" t="n"/>
      <c r="E145" s="3" t="n"/>
      <c r="F145" s="3" t="n"/>
      <c r="G145" s="2" t="n"/>
      <c r="H145" s="2" t="n"/>
      <c r="I145" s="2" t="n"/>
      <c r="J145" s="2" t="n"/>
      <c r="N145" s="3" t="n"/>
      <c r="O145" s="3" t="n"/>
      <c r="P145" s="3" t="n"/>
      <c r="Q145" s="3" t="n"/>
      <c r="R145" s="3" t="n"/>
      <c r="S145" s="2" t="n"/>
      <c r="T145" s="2" t="n"/>
      <c r="U145" s="2" t="n"/>
    </row>
    <row r="146">
      <c r="A146" s="69" t="n"/>
      <c r="B146" s="3" t="n"/>
      <c r="C146" s="3" t="n"/>
      <c r="D146" s="3" t="n"/>
      <c r="E146" s="3" t="n"/>
      <c r="G146" s="2" t="n"/>
      <c r="H146" s="2" t="n"/>
      <c r="I146" s="2" t="n"/>
      <c r="J146" s="2" t="n"/>
      <c r="N146" s="3" t="n"/>
      <c r="O146" s="3" t="n"/>
      <c r="P146" s="3" t="n"/>
      <c r="Q146" s="3" t="n"/>
      <c r="R146" s="3" t="n"/>
      <c r="S146" s="2" t="n"/>
      <c r="T146" s="2" t="n"/>
      <c r="U146" s="2" t="n"/>
    </row>
    <row r="147">
      <c r="A147" s="69" t="n"/>
      <c r="B147" s="3" t="n"/>
      <c r="C147" s="3" t="n"/>
      <c r="D147" s="3" t="n"/>
      <c r="E147" s="3" t="n"/>
      <c r="F147" s="3" t="n"/>
      <c r="G147" s="2" t="n"/>
      <c r="H147" s="2" t="n"/>
      <c r="I147" s="2" t="n"/>
      <c r="J147" s="2" t="n"/>
      <c r="N147" s="3" t="n"/>
      <c r="O147" s="3" t="n"/>
      <c r="P147" s="3" t="n"/>
      <c r="Q147" s="3" t="n"/>
      <c r="R147" s="3" t="n"/>
      <c r="S147" s="2" t="n"/>
      <c r="T147" s="2" t="n"/>
      <c r="U147" s="2" t="n"/>
    </row>
    <row r="148">
      <c r="A148" s="69" t="n"/>
      <c r="B148" s="3" t="n"/>
      <c r="C148" s="3" t="n"/>
      <c r="D148" s="3" t="n"/>
      <c r="E148" s="3" t="n"/>
      <c r="F148" s="3" t="n"/>
      <c r="G148" s="2" t="n"/>
      <c r="H148" s="2" t="n"/>
      <c r="I148" s="2" t="n"/>
      <c r="J148" s="2" t="n"/>
      <c r="N148" s="3" t="n"/>
      <c r="O148" s="3" t="n"/>
      <c r="P148" s="3" t="n"/>
      <c r="Q148" s="3" t="n"/>
      <c r="R148" s="3" t="n"/>
      <c r="S148" s="2" t="n"/>
      <c r="T148" s="2" t="n"/>
      <c r="U148" s="2" t="n"/>
    </row>
    <row r="149">
      <c r="A149" s="69" t="n"/>
      <c r="B149" s="3" t="n"/>
      <c r="C149" s="3" t="n"/>
      <c r="D149" s="3" t="n"/>
      <c r="E149" s="3" t="n"/>
      <c r="G149" s="2" t="n"/>
      <c r="H149" s="2" t="n"/>
      <c r="I149" s="2" t="n"/>
      <c r="J149" s="2" t="n"/>
      <c r="N149" s="3" t="n"/>
      <c r="O149" s="3" t="n"/>
      <c r="P149" s="3" t="n"/>
      <c r="Q149" s="3" t="n"/>
      <c r="R149" s="3" t="n"/>
      <c r="S149" s="2" t="n"/>
      <c r="T149" s="2" t="n"/>
      <c r="U149" s="2" t="n"/>
    </row>
    <row r="150">
      <c r="A150" s="69" t="n"/>
      <c r="B150" s="3" t="n"/>
      <c r="C150" s="3" t="n"/>
      <c r="D150" s="3" t="n"/>
      <c r="E150" s="3" t="n"/>
      <c r="G150" s="2" t="n"/>
      <c r="H150" s="2" t="n"/>
      <c r="I150" s="2" t="n"/>
      <c r="J150" s="2" t="n"/>
      <c r="N150" s="3" t="n"/>
      <c r="O150" s="3" t="n"/>
      <c r="P150" s="3" t="n"/>
      <c r="Q150" s="3" t="n"/>
      <c r="R150" s="3" t="n"/>
      <c r="S150" s="2" t="n"/>
      <c r="T150" s="2" t="n"/>
      <c r="U150" s="2" t="n"/>
    </row>
    <row r="151">
      <c r="A151" s="69" t="n"/>
      <c r="B151" s="3" t="n"/>
      <c r="C151" s="3" t="n"/>
      <c r="D151" s="3" t="n"/>
      <c r="E151" s="3" t="n"/>
      <c r="G151" s="2" t="n"/>
      <c r="H151" s="2" t="n"/>
      <c r="I151" s="2" t="n"/>
      <c r="J151" s="2" t="n"/>
      <c r="N151" s="3" t="n"/>
      <c r="O151" s="3" t="n"/>
      <c r="P151" s="3" t="n"/>
      <c r="Q151" s="3" t="n"/>
      <c r="R151" s="3" t="n"/>
      <c r="S151" s="2" t="n"/>
      <c r="T151" s="2" t="n"/>
      <c r="U151" s="2" t="n"/>
    </row>
    <row r="152">
      <c r="A152" s="69" t="n"/>
      <c r="B152" s="3" t="n"/>
      <c r="C152" s="3" t="n"/>
      <c r="D152" s="3" t="n"/>
      <c r="E152" s="3" t="n"/>
      <c r="G152" s="2" t="n"/>
      <c r="H152" s="2" t="n"/>
      <c r="I152" s="2" t="n"/>
      <c r="J152" s="2" t="n"/>
      <c r="N152" s="3" t="n"/>
      <c r="O152" s="3" t="n"/>
      <c r="P152" s="3" t="n"/>
      <c r="Q152" s="3" t="n"/>
      <c r="R152" s="3" t="n"/>
      <c r="S152" s="2" t="n"/>
      <c r="T152" s="2" t="n"/>
      <c r="U152" s="2" t="n"/>
    </row>
    <row r="153">
      <c r="A153" s="69" t="n"/>
      <c r="B153" s="3" t="n"/>
      <c r="C153" s="3" t="n"/>
      <c r="D153" s="3" t="n"/>
      <c r="E153" s="3" t="n"/>
      <c r="F153" s="3" t="n"/>
      <c r="G153" s="2" t="n"/>
      <c r="H153" s="2" t="n"/>
      <c r="I153" s="2" t="n"/>
      <c r="J153" s="2" t="n"/>
      <c r="N153" s="3" t="n"/>
      <c r="O153" s="3" t="n"/>
      <c r="P153" s="3" t="n"/>
      <c r="Q153" s="3" t="n"/>
      <c r="R153" s="3" t="n"/>
      <c r="S153" s="2" t="n"/>
      <c r="T153" s="2" t="n"/>
      <c r="U153" s="2" t="n"/>
    </row>
    <row r="154">
      <c r="A154" s="69" t="n"/>
      <c r="B154" s="3" t="n"/>
      <c r="C154" s="3" t="n"/>
      <c r="D154" s="3" t="n"/>
      <c r="E154" s="3" t="n"/>
      <c r="F154" s="3" t="n"/>
      <c r="G154" s="2" t="n"/>
      <c r="H154" s="2" t="n"/>
      <c r="I154" s="2" t="n"/>
      <c r="J154" s="2" t="n"/>
      <c r="N154" s="3" t="n"/>
      <c r="O154" s="3" t="n"/>
      <c r="P154" s="3" t="n"/>
      <c r="Q154" s="3" t="n"/>
      <c r="R154" s="3" t="n"/>
      <c r="S154" s="2" t="n"/>
      <c r="T154" s="2" t="n"/>
      <c r="U154" s="2" t="n"/>
    </row>
    <row r="155">
      <c r="A155" s="69" t="n"/>
      <c r="B155" s="3" t="n"/>
      <c r="C155" s="3" t="n"/>
      <c r="D155" s="3" t="n"/>
      <c r="E155" s="3" t="n"/>
      <c r="G155" s="2" t="n"/>
      <c r="H155" s="2" t="n"/>
      <c r="I155" s="2" t="n"/>
      <c r="J155" s="2" t="n"/>
      <c r="N155" s="3" t="n"/>
      <c r="O155" s="3" t="n"/>
      <c r="P155" s="3" t="n"/>
      <c r="Q155" s="3" t="n"/>
      <c r="R155" s="3" t="n"/>
      <c r="S155" s="2" t="n"/>
      <c r="T155" s="2" t="n"/>
      <c r="U155" s="2" t="n"/>
    </row>
    <row r="156">
      <c r="A156" s="69" t="n"/>
      <c r="B156" s="3" t="n"/>
      <c r="C156" s="3" t="n"/>
      <c r="D156" s="3" t="n"/>
      <c r="E156" s="3" t="n"/>
      <c r="G156" s="2" t="n"/>
      <c r="H156" s="2" t="n"/>
      <c r="I156" s="2" t="n"/>
      <c r="J156" s="2" t="n"/>
      <c r="N156" s="3" t="n"/>
      <c r="O156" s="3" t="n"/>
      <c r="P156" s="3" t="n"/>
      <c r="Q156" s="3" t="n"/>
      <c r="R156" s="3" t="n"/>
      <c r="S156" s="2" t="n"/>
      <c r="T156" s="2" t="n"/>
      <c r="U156" s="2" t="n"/>
    </row>
    <row r="157">
      <c r="A157" s="69" t="n"/>
      <c r="B157" s="3" t="n"/>
      <c r="C157" s="3" t="n"/>
      <c r="D157" s="3" t="n"/>
      <c r="E157" s="3" t="n"/>
      <c r="G157" s="2" t="n"/>
      <c r="H157" s="2" t="n"/>
      <c r="I157" s="2" t="n"/>
      <c r="J157" s="2" t="n"/>
      <c r="N157" s="3" t="n"/>
      <c r="O157" s="3" t="n"/>
      <c r="P157" s="3" t="n"/>
      <c r="Q157" s="3" t="n"/>
      <c r="R157" s="3" t="n"/>
      <c r="S157" s="2" t="n"/>
      <c r="T157" s="2" t="n"/>
      <c r="U157" s="2" t="n"/>
    </row>
    <row r="158">
      <c r="A158" s="69" t="n"/>
      <c r="B158" s="3" t="n"/>
      <c r="C158" s="3" t="n"/>
      <c r="D158" s="3" t="n"/>
      <c r="E158" s="3" t="n"/>
      <c r="G158" s="2" t="n"/>
      <c r="H158" s="2" t="n"/>
      <c r="I158" s="2" t="n"/>
      <c r="J158" s="2" t="n"/>
      <c r="N158" s="3" t="n"/>
      <c r="O158" s="3" t="n"/>
      <c r="P158" s="3" t="n"/>
      <c r="Q158" s="3" t="n"/>
      <c r="R158" s="3" t="n"/>
      <c r="S158" s="2" t="n"/>
      <c r="T158" s="2" t="n"/>
      <c r="U158" s="2" t="n"/>
    </row>
    <row r="159">
      <c r="A159" s="69" t="n"/>
      <c r="B159" s="3" t="n"/>
      <c r="C159" s="3" t="n"/>
      <c r="D159" s="3" t="n"/>
      <c r="E159" s="3" t="n"/>
      <c r="G159" s="2" t="n"/>
      <c r="H159" s="2" t="n"/>
      <c r="I159" s="2" t="n"/>
      <c r="J159" s="2" t="n"/>
      <c r="N159" s="3" t="n"/>
      <c r="O159" s="3" t="n"/>
      <c r="P159" s="3" t="n"/>
      <c r="Q159" s="3" t="n"/>
      <c r="R159" s="3" t="n"/>
      <c r="S159" s="2" t="n"/>
      <c r="T159" s="2" t="n"/>
      <c r="U159" s="2" t="n"/>
    </row>
    <row r="160">
      <c r="A160" s="69" t="n"/>
      <c r="B160" s="3" t="n"/>
      <c r="C160" s="3" t="n"/>
      <c r="D160" s="3" t="n"/>
      <c r="E160" s="3" t="n"/>
      <c r="G160" s="2" t="n"/>
      <c r="H160" s="2" t="n"/>
      <c r="I160" s="2" t="n"/>
      <c r="J160" s="2" t="n"/>
      <c r="N160" s="3" t="n"/>
      <c r="O160" s="3" t="n"/>
      <c r="P160" s="3" t="n"/>
      <c r="Q160" s="3" t="n"/>
      <c r="R160" s="3" t="n"/>
      <c r="S160" s="2" t="n"/>
      <c r="T160" s="2" t="n"/>
      <c r="U160" s="2" t="n"/>
    </row>
    <row r="161">
      <c r="A161" s="69" t="n"/>
      <c r="B161" s="3" t="n"/>
      <c r="C161" s="3" t="n"/>
      <c r="D161" s="3" t="n"/>
      <c r="E161" s="3" t="n"/>
      <c r="G161" s="2" t="n"/>
      <c r="H161" s="2" t="n"/>
      <c r="I161" s="2" t="n"/>
      <c r="J161" s="2" t="n"/>
      <c r="N161" s="3" t="n"/>
      <c r="O161" s="3" t="n"/>
      <c r="P161" s="3" t="n"/>
      <c r="Q161" s="3" t="n"/>
      <c r="R161" s="3" t="n"/>
      <c r="S161" s="2" t="n"/>
      <c r="T161" s="2" t="n"/>
      <c r="U161" s="2" t="n"/>
    </row>
    <row r="162">
      <c r="A162" s="69" t="n"/>
      <c r="B162" s="3" t="n"/>
      <c r="C162" s="3" t="n"/>
      <c r="D162" s="3" t="n"/>
      <c r="E162" s="3" t="n"/>
      <c r="G162" s="2" t="n"/>
      <c r="H162" s="2" t="n"/>
      <c r="I162" s="2" t="n"/>
      <c r="J162" s="2" t="n"/>
      <c r="N162" s="3" t="n"/>
      <c r="O162" s="3" t="n"/>
      <c r="P162" s="3" t="n"/>
      <c r="Q162" s="3" t="n"/>
      <c r="R162" s="3" t="n"/>
      <c r="S162" s="2" t="n"/>
      <c r="T162" s="2" t="n"/>
      <c r="U162" s="2" t="n"/>
    </row>
    <row r="163">
      <c r="A163" s="69" t="n"/>
      <c r="B163" s="3" t="n"/>
      <c r="C163" s="3" t="n"/>
      <c r="D163" s="3" t="n"/>
      <c r="E163" s="3" t="n"/>
      <c r="G163" s="2" t="n"/>
      <c r="H163" s="2" t="n"/>
      <c r="I163" s="2" t="n"/>
      <c r="J163" s="2" t="n"/>
      <c r="N163" s="3" t="n"/>
      <c r="O163" s="3" t="n"/>
      <c r="P163" s="3" t="n"/>
      <c r="Q163" s="3" t="n"/>
      <c r="R163" s="3" t="n"/>
      <c r="S163" s="2" t="n"/>
      <c r="T163" s="2" t="n"/>
      <c r="U163" s="2" t="n"/>
    </row>
    <row r="164">
      <c r="A164" s="69" t="n"/>
      <c r="B164" s="3" t="n"/>
      <c r="C164" s="3" t="n"/>
      <c r="D164" s="3" t="n"/>
      <c r="E164" s="3" t="n"/>
      <c r="G164" s="2" t="n"/>
      <c r="H164" s="2" t="n"/>
      <c r="I164" s="2" t="n"/>
      <c r="J164" s="2" t="n"/>
      <c r="N164" s="3" t="n"/>
      <c r="O164" s="3" t="n"/>
      <c r="P164" s="3" t="n"/>
      <c r="Q164" s="3" t="n"/>
      <c r="R164" s="3" t="n"/>
      <c r="S164" s="2" t="n"/>
      <c r="T164" s="2" t="n"/>
      <c r="U164" s="2" t="n"/>
    </row>
    <row r="165">
      <c r="A165" s="69" t="n"/>
      <c r="B165" s="3" t="n"/>
      <c r="C165" s="3" t="n"/>
      <c r="D165" s="3" t="n"/>
      <c r="E165" s="3" t="n"/>
      <c r="G165" s="2" t="n"/>
      <c r="H165" s="2" t="n"/>
      <c r="I165" s="2" t="n"/>
      <c r="J165" s="2" t="n"/>
      <c r="N165" s="3" t="n"/>
      <c r="O165" s="3" t="n"/>
      <c r="P165" s="3" t="n"/>
      <c r="Q165" s="3" t="n"/>
      <c r="R165" s="3" t="n"/>
      <c r="S165" s="2" t="n"/>
      <c r="T165" s="2" t="n"/>
      <c r="U165" s="2" t="n"/>
    </row>
    <row r="166">
      <c r="A166" s="69" t="n"/>
      <c r="B166" s="3" t="n"/>
      <c r="C166" s="3" t="n"/>
      <c r="D166" s="3" t="n"/>
      <c r="E166" s="3" t="n"/>
      <c r="G166" s="2" t="n"/>
      <c r="H166" s="2" t="n"/>
      <c r="I166" s="2" t="n"/>
      <c r="J166" s="2" t="n"/>
      <c r="N166" s="3" t="n"/>
      <c r="O166" s="3" t="n"/>
      <c r="P166" s="3" t="n"/>
      <c r="Q166" s="3" t="n"/>
      <c r="R166" s="3" t="n"/>
      <c r="S166" s="2" t="n"/>
      <c r="T166" s="2" t="n"/>
      <c r="U166" s="2" t="n"/>
    </row>
    <row r="167">
      <c r="A167" s="69" t="n"/>
      <c r="B167" s="3" t="n"/>
      <c r="C167" s="3" t="n"/>
      <c r="D167" s="3" t="n"/>
      <c r="E167" s="3" t="n"/>
      <c r="G167" s="2" t="n"/>
      <c r="H167" s="2" t="n"/>
      <c r="I167" s="2" t="n"/>
      <c r="J167" s="2" t="n"/>
      <c r="N167" s="3" t="n"/>
      <c r="O167" s="3" t="n"/>
      <c r="P167" s="3" t="n"/>
      <c r="Q167" s="3" t="n"/>
      <c r="R167" s="3" t="n"/>
      <c r="S167" s="2" t="n"/>
      <c r="T167" s="2" t="n"/>
      <c r="U167" s="2" t="n"/>
    </row>
    <row r="168">
      <c r="A168" s="69" t="n"/>
      <c r="B168" s="3" t="n"/>
      <c r="C168" s="3" t="n"/>
      <c r="D168" s="3" t="n"/>
      <c r="E168" s="3" t="n"/>
      <c r="G168" s="2" t="n"/>
      <c r="H168" s="2" t="n"/>
      <c r="I168" s="2" t="n"/>
      <c r="J168" s="2" t="n"/>
      <c r="N168" s="3" t="n"/>
      <c r="O168" s="3" t="n"/>
      <c r="P168" s="3" t="n"/>
      <c r="Q168" s="3" t="n"/>
      <c r="R168" s="3" t="n"/>
      <c r="S168" s="2" t="n"/>
      <c r="T168" s="2" t="n"/>
      <c r="U168" s="2" t="n"/>
    </row>
    <row r="169">
      <c r="A169" s="69" t="n"/>
      <c r="B169" s="3" t="n"/>
      <c r="C169" s="3" t="n"/>
      <c r="D169" s="3" t="n"/>
      <c r="E169" s="3" t="n"/>
      <c r="G169" s="2" t="n"/>
      <c r="H169" s="2" t="n"/>
      <c r="I169" s="2" t="n"/>
      <c r="J169" s="2" t="n"/>
      <c r="N169" s="3" t="n"/>
      <c r="O169" s="3" t="n"/>
      <c r="P169" s="3" t="n"/>
      <c r="Q169" s="3" t="n"/>
      <c r="R169" s="3" t="n"/>
      <c r="S169" s="2" t="n"/>
      <c r="T169" s="2" t="n"/>
      <c r="U169" s="2" t="n"/>
    </row>
    <row r="170">
      <c r="A170" s="69" t="n"/>
      <c r="B170" s="3" t="n"/>
      <c r="C170" s="3" t="n"/>
      <c r="D170" s="3" t="n"/>
      <c r="E170" s="3" t="n"/>
      <c r="G170" s="2" t="n"/>
      <c r="H170" s="2" t="n"/>
      <c r="I170" s="2" t="n"/>
      <c r="J170" s="2" t="n"/>
      <c r="N170" s="3" t="n"/>
      <c r="O170" s="3" t="n"/>
      <c r="P170" s="3" t="n"/>
      <c r="Q170" s="3" t="n"/>
      <c r="R170" s="3" t="n"/>
      <c r="S170" s="2" t="n"/>
      <c r="T170" s="2" t="n"/>
      <c r="U170" s="2" t="n"/>
    </row>
    <row r="171">
      <c r="A171" s="69" t="n"/>
      <c r="B171" s="3" t="n"/>
      <c r="C171" s="3" t="n"/>
      <c r="D171" s="3" t="n"/>
      <c r="E171" s="3" t="n"/>
      <c r="G171" s="2" t="n"/>
      <c r="H171" s="2" t="n"/>
      <c r="I171" s="2" t="n"/>
      <c r="J171" s="2" t="n"/>
      <c r="N171" s="3" t="n"/>
      <c r="O171" s="3" t="n"/>
      <c r="P171" s="3" t="n"/>
      <c r="Q171" s="3" t="n"/>
      <c r="R171" s="3" t="n"/>
      <c r="S171" s="2" t="n"/>
      <c r="T171" s="2" t="n"/>
      <c r="U171" s="2" t="n"/>
    </row>
    <row r="172">
      <c r="A172" s="69" t="n"/>
      <c r="B172" s="3" t="n"/>
      <c r="C172" s="3" t="n"/>
      <c r="D172" s="3" t="n"/>
      <c r="E172" s="3" t="n"/>
      <c r="G172" s="2" t="n"/>
      <c r="H172" s="2" t="n"/>
      <c r="I172" s="2" t="n"/>
      <c r="J172" s="2" t="n"/>
      <c r="N172" s="3" t="n"/>
      <c r="O172" s="3" t="n"/>
      <c r="P172" s="3" t="n"/>
      <c r="Q172" s="3" t="n"/>
      <c r="R172" s="3" t="n"/>
      <c r="S172" s="2" t="n"/>
      <c r="T172" s="2" t="n"/>
      <c r="U172" s="2" t="n"/>
    </row>
    <row r="173">
      <c r="A173" s="69" t="n"/>
      <c r="B173" s="3" t="n"/>
      <c r="C173" s="3" t="n"/>
      <c r="D173" s="3" t="n"/>
      <c r="E173" s="3" t="n"/>
      <c r="G173" s="2" t="n"/>
      <c r="H173" s="2" t="n"/>
      <c r="I173" s="2" t="n"/>
      <c r="J173" s="2" t="n"/>
      <c r="N173" s="3" t="n"/>
      <c r="O173" s="3" t="n"/>
      <c r="P173" s="3" t="n"/>
      <c r="Q173" s="3" t="n"/>
      <c r="R173" s="3" t="n"/>
      <c r="S173" s="2" t="n"/>
      <c r="T173" s="2" t="n"/>
      <c r="U173" s="2" t="n"/>
    </row>
    <row r="174">
      <c r="A174" s="69" t="n"/>
      <c r="B174" s="3" t="n"/>
      <c r="C174" s="3" t="n"/>
      <c r="D174" s="3" t="n"/>
      <c r="E174" s="3" t="n"/>
      <c r="G174" s="2" t="n"/>
      <c r="H174" s="2" t="n"/>
      <c r="I174" s="2" t="n"/>
      <c r="J174" s="2" t="n"/>
      <c r="N174" s="3" t="n"/>
      <c r="O174" s="3" t="n"/>
      <c r="P174" s="3" t="n"/>
      <c r="Q174" s="3" t="n"/>
      <c r="R174" s="3" t="n"/>
      <c r="S174" s="2" t="n"/>
      <c r="T174" s="2" t="n"/>
      <c r="U174" s="2" t="n"/>
    </row>
    <row r="175">
      <c r="A175" s="69" t="n"/>
      <c r="B175" s="3" t="n"/>
      <c r="C175" s="3" t="n"/>
      <c r="D175" s="3" t="n"/>
      <c r="E175" s="3" t="n"/>
      <c r="G175" s="2" t="n"/>
      <c r="H175" s="2" t="n"/>
      <c r="I175" s="2" t="n"/>
      <c r="J175" s="2" t="n"/>
      <c r="N175" s="3" t="n"/>
      <c r="O175" s="3" t="n"/>
      <c r="P175" s="3" t="n"/>
      <c r="Q175" s="3" t="n"/>
      <c r="R175" s="3" t="n"/>
      <c r="S175" s="2" t="n"/>
      <c r="T175" s="2" t="n"/>
      <c r="U175" s="2" t="n"/>
    </row>
    <row r="176">
      <c r="A176" s="69" t="n"/>
      <c r="B176" s="3" t="n"/>
      <c r="C176" s="3" t="n"/>
      <c r="D176" s="3" t="n"/>
      <c r="E176" s="3" t="n"/>
      <c r="G176" s="2" t="n"/>
      <c r="H176" s="2" t="n"/>
      <c r="I176" s="2" t="n"/>
      <c r="J176" s="2" t="n"/>
      <c r="N176" s="3" t="n"/>
      <c r="O176" s="3" t="n"/>
      <c r="P176" s="3" t="n"/>
      <c r="Q176" s="3" t="n"/>
      <c r="R176" s="3" t="n"/>
      <c r="S176" s="2" t="n"/>
      <c r="T176" s="2" t="n"/>
      <c r="U176" s="2" t="n"/>
    </row>
    <row r="177">
      <c r="A177" s="69" t="n"/>
      <c r="B177" s="3" t="n"/>
      <c r="C177" s="3" t="n"/>
      <c r="D177" s="3" t="n"/>
      <c r="E177" s="3" t="n"/>
      <c r="G177" s="2" t="n"/>
      <c r="H177" s="2" t="n"/>
      <c r="I177" s="2" t="n"/>
      <c r="J177" s="2" t="n"/>
      <c r="N177" s="3" t="n"/>
      <c r="O177" s="3" t="n"/>
      <c r="P177" s="3" t="n"/>
      <c r="Q177" s="3" t="n"/>
      <c r="R177" s="3" t="n"/>
      <c r="S177" s="2" t="n"/>
      <c r="T177" s="2" t="n"/>
      <c r="U177" s="2" t="n"/>
    </row>
    <row r="178">
      <c r="A178" s="69" t="n"/>
      <c r="B178" s="3" t="n"/>
      <c r="C178" s="3" t="n"/>
      <c r="D178" s="3" t="n"/>
      <c r="E178" s="3" t="n"/>
      <c r="G178" s="2" t="n"/>
      <c r="H178" s="2" t="n"/>
      <c r="I178" s="2" t="n"/>
      <c r="J178" s="2" t="n"/>
      <c r="N178" s="3" t="n"/>
      <c r="O178" s="3" t="n"/>
      <c r="P178" s="3" t="n"/>
      <c r="Q178" s="3" t="n"/>
      <c r="R178" s="3" t="n"/>
      <c r="S178" s="2" t="n"/>
      <c r="T178" s="2" t="n"/>
      <c r="U178" s="2" t="n"/>
    </row>
    <row r="179">
      <c r="A179" s="69" t="n"/>
      <c r="B179" s="3" t="n"/>
      <c r="C179" s="3" t="n"/>
      <c r="D179" s="3" t="n"/>
      <c r="E179" s="3" t="n"/>
      <c r="G179" s="2" t="n"/>
      <c r="H179" s="2" t="n"/>
      <c r="I179" s="2" t="n"/>
      <c r="J179" s="2" t="n"/>
      <c r="N179" s="3" t="n"/>
      <c r="O179" s="3" t="n"/>
      <c r="P179" s="3" t="n"/>
      <c r="Q179" s="3" t="n"/>
      <c r="R179" s="3" t="n"/>
      <c r="S179" s="2" t="n"/>
      <c r="T179" s="2" t="n"/>
      <c r="U179" s="2" t="n"/>
    </row>
    <row r="180">
      <c r="A180" s="69" t="n"/>
      <c r="B180" s="3" t="n"/>
      <c r="C180" s="3" t="n"/>
      <c r="D180" s="3" t="n"/>
      <c r="E180" s="3" t="n"/>
      <c r="G180" s="2" t="n"/>
      <c r="H180" s="2" t="n"/>
      <c r="I180" s="2" t="n"/>
      <c r="J180" s="2" t="n"/>
      <c r="N180" s="3" t="n"/>
      <c r="O180" s="3" t="n"/>
      <c r="P180" s="3" t="n"/>
      <c r="Q180" s="3" t="n"/>
      <c r="R180" s="3" t="n"/>
      <c r="S180" s="2" t="n"/>
      <c r="T180" s="2" t="n"/>
      <c r="U180" s="2" t="n"/>
    </row>
    <row r="181">
      <c r="A181" s="69" t="n"/>
      <c r="B181" s="3" t="n"/>
      <c r="C181" s="3" t="n"/>
      <c r="D181" s="3" t="n"/>
      <c r="E181" s="3" t="n"/>
      <c r="G181" s="2" t="n"/>
      <c r="H181" s="2" t="n"/>
      <c r="I181" s="2" t="n"/>
      <c r="J181" s="2" t="n"/>
      <c r="N181" s="3" t="n"/>
      <c r="O181" s="3" t="n"/>
      <c r="P181" s="3" t="n"/>
      <c r="Q181" s="3" t="n"/>
      <c r="R181" s="3" t="n"/>
      <c r="S181" s="2" t="n"/>
      <c r="T181" s="2" t="n"/>
      <c r="U181" s="2" t="n"/>
    </row>
    <row r="182">
      <c r="A182" s="69" t="n"/>
      <c r="B182" s="3" t="n"/>
      <c r="C182" s="3" t="n"/>
      <c r="D182" s="3" t="n"/>
      <c r="E182" s="3" t="n"/>
      <c r="G182" s="2" t="n"/>
      <c r="H182" s="2" t="n"/>
      <c r="I182" s="2" t="n"/>
      <c r="J182" s="2" t="n"/>
      <c r="N182" s="3" t="n"/>
      <c r="O182" s="3" t="n"/>
      <c r="P182" s="3" t="n"/>
      <c r="Q182" s="3" t="n"/>
      <c r="R182" s="3" t="n"/>
      <c r="S182" s="2" t="n"/>
      <c r="T182" s="2" t="n"/>
      <c r="U182" s="2" t="n"/>
    </row>
    <row r="183">
      <c r="A183" s="69" t="n"/>
      <c r="B183" s="3" t="n"/>
      <c r="C183" s="3" t="n"/>
      <c r="D183" s="3" t="n"/>
      <c r="E183" s="3" t="n"/>
      <c r="G183" s="2" t="n"/>
      <c r="H183" s="2" t="n"/>
      <c r="I183" s="2" t="n"/>
      <c r="J183" s="2" t="n"/>
      <c r="N183" s="3" t="n"/>
      <c r="O183" s="3" t="n"/>
      <c r="P183" s="3" t="n"/>
      <c r="Q183" s="3" t="n"/>
      <c r="R183" s="3" t="n"/>
      <c r="S183" s="2" t="n"/>
      <c r="T183" s="2" t="n"/>
      <c r="U183" s="2" t="n"/>
    </row>
    <row r="184">
      <c r="A184" s="69" t="n"/>
      <c r="B184" s="3" t="n"/>
      <c r="C184" s="3" t="n"/>
      <c r="D184" s="3" t="n"/>
      <c r="E184" s="3" t="n"/>
      <c r="G184" s="2" t="n"/>
      <c r="H184" s="2" t="n"/>
      <c r="I184" s="2" t="n"/>
      <c r="J184" s="2" t="n"/>
      <c r="N184" s="3" t="n"/>
      <c r="O184" s="3" t="n"/>
      <c r="P184" s="3" t="n"/>
      <c r="Q184" s="3" t="n"/>
      <c r="R184" s="3" t="n"/>
      <c r="S184" s="2" t="n"/>
      <c r="T184" s="2" t="n"/>
      <c r="U184" s="2" t="n"/>
    </row>
    <row r="185">
      <c r="A185" s="69" t="n"/>
      <c r="B185" s="3" t="n"/>
      <c r="C185" s="3" t="n"/>
      <c r="D185" s="3" t="n"/>
      <c r="E185" s="3" t="n"/>
      <c r="G185" s="2" t="n"/>
      <c r="H185" s="2" t="n"/>
      <c r="I185" s="2" t="n"/>
      <c r="J185" s="2" t="n"/>
      <c r="N185" s="3" t="n"/>
      <c r="O185" s="3" t="n"/>
      <c r="P185" s="3" t="n"/>
      <c r="Q185" s="3" t="n"/>
      <c r="R185" s="3" t="n"/>
      <c r="S185" s="2" t="n"/>
      <c r="T185" s="2" t="n"/>
      <c r="U185" s="2" t="n"/>
    </row>
    <row r="186">
      <c r="A186" s="69" t="n"/>
      <c r="B186" s="3" t="n"/>
      <c r="C186" s="3" t="n"/>
      <c r="D186" s="3" t="n"/>
      <c r="E186" s="3" t="n"/>
      <c r="G186" s="2" t="n"/>
      <c r="H186" s="2" t="n"/>
      <c r="I186" s="2" t="n"/>
      <c r="J186" s="2" t="n"/>
      <c r="N186" s="3" t="n"/>
      <c r="O186" s="3" t="n"/>
      <c r="P186" s="3" t="n"/>
      <c r="Q186" s="3" t="n"/>
      <c r="R186" s="3" t="n"/>
      <c r="S186" s="2" t="n"/>
      <c r="T186" s="2" t="n"/>
      <c r="U186" s="2" t="n"/>
    </row>
    <row r="187">
      <c r="A187" s="69" t="n"/>
      <c r="B187" s="3" t="n"/>
      <c r="C187" s="3" t="n"/>
      <c r="D187" s="3" t="n"/>
      <c r="E187" s="3" t="n"/>
      <c r="G187" s="2" t="n"/>
      <c r="H187" s="2" t="n"/>
      <c r="I187" s="2" t="n"/>
      <c r="J187" s="2" t="n"/>
      <c r="N187" s="3" t="n"/>
      <c r="O187" s="3" t="n"/>
      <c r="P187" s="3" t="n"/>
      <c r="Q187" s="3" t="n"/>
      <c r="R187" s="3" t="n"/>
      <c r="S187" s="2" t="n"/>
      <c r="T187" s="2" t="n"/>
      <c r="U187" s="2" t="n"/>
    </row>
    <row r="188">
      <c r="A188" s="69" t="n"/>
      <c r="B188" s="3" t="n"/>
      <c r="C188" s="3" t="n"/>
      <c r="D188" s="3" t="n"/>
      <c r="E188" s="3" t="n"/>
      <c r="G188" s="2" t="n"/>
      <c r="H188" s="2" t="n"/>
      <c r="I188" s="2" t="n"/>
      <c r="J188" s="2" t="n"/>
      <c r="N188" s="3" t="n"/>
      <c r="O188" s="3" t="n"/>
      <c r="P188" s="3" t="n"/>
      <c r="Q188" s="3" t="n"/>
      <c r="R188" s="3" t="n"/>
      <c r="S188" s="2" t="n"/>
      <c r="T188" s="2" t="n"/>
      <c r="U188" s="2" t="n"/>
    </row>
    <row r="189">
      <c r="A189" s="69" t="n"/>
      <c r="B189" s="3" t="n"/>
      <c r="C189" s="3" t="n"/>
      <c r="D189" s="3" t="n"/>
      <c r="E189" s="3" t="n"/>
      <c r="G189" s="2" t="n"/>
      <c r="H189" s="2" t="n"/>
      <c r="I189" s="2" t="n"/>
      <c r="J189" s="2" t="n"/>
      <c r="N189" s="3" t="n"/>
      <c r="O189" s="3" t="n"/>
      <c r="P189" s="3" t="n"/>
      <c r="Q189" s="3" t="n"/>
      <c r="R189" s="3" t="n"/>
      <c r="S189" s="2" t="n"/>
      <c r="T189" s="2" t="n"/>
      <c r="U189" s="2" t="n"/>
    </row>
    <row r="190">
      <c r="A190" s="69" t="n"/>
      <c r="B190" s="3" t="n"/>
      <c r="C190" s="3" t="n"/>
      <c r="D190" s="3" t="n"/>
      <c r="E190" s="3" t="n"/>
      <c r="G190" s="2" t="n"/>
      <c r="H190" s="2" t="n"/>
      <c r="I190" s="2" t="n"/>
      <c r="J190" s="2" t="n"/>
      <c r="N190" s="3" t="n"/>
      <c r="O190" s="3" t="n"/>
      <c r="P190" s="3" t="n"/>
      <c r="Q190" s="3" t="n"/>
      <c r="R190" s="3" t="n"/>
      <c r="S190" s="2" t="n"/>
      <c r="T190" s="2" t="n"/>
      <c r="U190" s="2" t="n"/>
    </row>
    <row r="191">
      <c r="A191" s="69" t="n"/>
      <c r="B191" s="3" t="n"/>
      <c r="C191" s="3" t="n"/>
      <c r="D191" s="3" t="n"/>
      <c r="E191" s="3" t="n"/>
      <c r="G191" s="2" t="n"/>
      <c r="H191" s="2" t="n"/>
      <c r="I191" s="2" t="n"/>
      <c r="J191" s="2" t="n"/>
      <c r="N191" s="3" t="n"/>
      <c r="O191" s="3" t="n"/>
      <c r="P191" s="3" t="n"/>
      <c r="Q191" s="3" t="n"/>
      <c r="R191" s="3" t="n"/>
      <c r="S191" s="2" t="n"/>
      <c r="T191" s="2" t="n"/>
      <c r="U191" s="2" t="n"/>
    </row>
    <row r="192">
      <c r="A192" s="69" t="n"/>
      <c r="B192" s="3" t="n"/>
      <c r="C192" s="3" t="n"/>
      <c r="D192" s="3" t="n"/>
      <c r="E192" s="3" t="n"/>
      <c r="G192" s="2" t="n"/>
      <c r="H192" s="2" t="n"/>
      <c r="I192" s="2" t="n"/>
      <c r="J192" s="2" t="n"/>
      <c r="N192" s="3" t="n"/>
      <c r="O192" s="3" t="n"/>
      <c r="P192" s="3" t="n"/>
      <c r="Q192" s="3" t="n"/>
      <c r="R192" s="3" t="n"/>
      <c r="S192" s="2" t="n"/>
      <c r="T192" s="2" t="n"/>
      <c r="U192" s="2" t="n"/>
    </row>
    <row r="193">
      <c r="A193" s="69" t="n"/>
      <c r="B193" s="3" t="n"/>
      <c r="C193" s="3" t="n"/>
      <c r="D193" s="3" t="n"/>
      <c r="E193" s="3" t="n"/>
      <c r="G193" s="2" t="n"/>
      <c r="H193" s="2" t="n"/>
      <c r="I193" s="2" t="n"/>
      <c r="J193" s="2" t="n"/>
      <c r="N193" s="3" t="n"/>
      <c r="O193" s="3" t="n"/>
      <c r="P193" s="3" t="n"/>
      <c r="Q193" s="3" t="n"/>
      <c r="R193" s="3" t="n"/>
      <c r="S193" s="2" t="n"/>
      <c r="T193" s="2" t="n"/>
      <c r="U193" s="2" t="n"/>
    </row>
    <row r="194">
      <c r="A194" s="69" t="n"/>
      <c r="B194" s="3" t="n"/>
      <c r="C194" s="3" t="n"/>
      <c r="D194" s="3" t="n"/>
      <c r="E194" s="3" t="n"/>
      <c r="G194" s="2" t="n"/>
      <c r="H194" s="2" t="n"/>
      <c r="I194" s="2" t="n"/>
      <c r="J194" s="2" t="n"/>
      <c r="N194" s="3" t="n"/>
      <c r="O194" s="3" t="n"/>
      <c r="P194" s="3" t="n"/>
      <c r="Q194" s="3" t="n"/>
      <c r="R194" s="3" t="n"/>
      <c r="S194" s="2" t="n"/>
      <c r="T194" s="2" t="n"/>
      <c r="U194" s="2" t="n"/>
    </row>
    <row r="195">
      <c r="A195" s="69" t="n"/>
      <c r="B195" s="3" t="n"/>
      <c r="C195" s="3" t="n"/>
      <c r="D195" s="3" t="n"/>
      <c r="E195" s="3" t="n"/>
      <c r="G195" s="2" t="n"/>
      <c r="H195" s="2" t="n"/>
      <c r="I195" s="2" t="n"/>
      <c r="J195" s="2" t="n"/>
      <c r="N195" s="3" t="n"/>
      <c r="O195" s="3" t="n"/>
      <c r="P195" s="3" t="n"/>
      <c r="Q195" s="3" t="n"/>
      <c r="R195" s="3" t="n"/>
      <c r="S195" s="2" t="n"/>
      <c r="T195" s="2" t="n"/>
      <c r="U195" s="2" t="n"/>
    </row>
    <row r="196">
      <c r="A196" s="69" t="n"/>
      <c r="B196" s="3" t="n"/>
      <c r="C196" s="3" t="n"/>
      <c r="D196" s="3" t="n"/>
      <c r="E196" s="3" t="n"/>
      <c r="G196" s="2" t="n"/>
      <c r="H196" s="2" t="n"/>
      <c r="I196" s="2" t="n"/>
      <c r="J196" s="2" t="n"/>
      <c r="N196" s="3" t="n"/>
      <c r="O196" s="3" t="n"/>
      <c r="P196" s="3" t="n"/>
      <c r="Q196" s="3" t="n"/>
      <c r="R196" s="3" t="n"/>
      <c r="S196" s="2" t="n"/>
      <c r="T196" s="2" t="n"/>
      <c r="U196" s="2" t="n"/>
    </row>
    <row r="197">
      <c r="A197" s="69" t="n"/>
      <c r="B197" s="3" t="n"/>
      <c r="C197" s="3" t="n"/>
      <c r="D197" s="3" t="n"/>
      <c r="E197" s="3" t="n"/>
      <c r="G197" s="2" t="n"/>
      <c r="H197" s="2" t="n"/>
      <c r="I197" s="2" t="n"/>
      <c r="J197" s="2" t="n"/>
      <c r="N197" s="3" t="n"/>
      <c r="O197" s="3" t="n"/>
      <c r="P197" s="3" t="n"/>
      <c r="Q197" s="3" t="n"/>
      <c r="R197" s="3" t="n"/>
      <c r="S197" s="2" t="n"/>
      <c r="T197" s="2" t="n"/>
      <c r="U197" s="2" t="n"/>
    </row>
    <row r="198">
      <c r="A198" s="69" t="n"/>
      <c r="B198" s="3" t="n"/>
      <c r="C198" s="3" t="n"/>
      <c r="D198" s="3" t="n"/>
      <c r="E198" s="3" t="n"/>
      <c r="G198" s="2" t="n"/>
      <c r="H198" s="2" t="n"/>
      <c r="I198" s="2" t="n"/>
      <c r="J198" s="2" t="n"/>
      <c r="N198" s="3" t="n"/>
      <c r="O198" s="3" t="n"/>
      <c r="P198" s="3" t="n"/>
      <c r="Q198" s="3" t="n"/>
      <c r="R198" s="3" t="n"/>
      <c r="S198" s="2" t="n"/>
      <c r="T198" s="2" t="n"/>
      <c r="U198" s="2" t="n"/>
    </row>
    <row r="199">
      <c r="A199" s="69" t="n"/>
      <c r="B199" s="3" t="n"/>
      <c r="C199" s="3" t="n"/>
      <c r="D199" s="3" t="n"/>
      <c r="E199" s="3" t="n"/>
      <c r="G199" s="2" t="n"/>
      <c r="H199" s="2" t="n"/>
      <c r="I199" s="2" t="n"/>
      <c r="J199" s="2" t="n"/>
      <c r="N199" s="3" t="n"/>
      <c r="O199" s="3" t="n"/>
      <c r="P199" s="3" t="n"/>
      <c r="Q199" s="3" t="n"/>
      <c r="R199" s="3" t="n"/>
      <c r="S199" s="2" t="n"/>
      <c r="T199" s="2" t="n"/>
      <c r="U199" s="2" t="n"/>
    </row>
    <row r="200">
      <c r="A200" s="69" t="n"/>
      <c r="B200" s="3" t="n"/>
      <c r="C200" s="3" t="n"/>
      <c r="D200" s="3" t="n"/>
      <c r="E200" s="3" t="n"/>
      <c r="G200" s="2" t="n"/>
      <c r="H200" s="2" t="n"/>
      <c r="I200" s="2" t="n"/>
      <c r="J200" s="2" t="n"/>
      <c r="K200" s="3" t="n"/>
      <c r="N200" s="3" t="n"/>
      <c r="O200" s="3" t="n"/>
      <c r="P200" s="3" t="n"/>
      <c r="Q200" s="3" t="n"/>
      <c r="R200" s="3" t="n"/>
      <c r="S200" s="2" t="n"/>
      <c r="T200" s="2" t="n"/>
      <c r="U200" s="2" t="n"/>
    </row>
    <row r="201">
      <c r="A201" s="69" t="n"/>
      <c r="B201" s="3" t="n"/>
      <c r="C201" s="3" t="n"/>
      <c r="D201" s="3" t="n"/>
      <c r="E201" s="3" t="n"/>
      <c r="G201" s="2" t="n"/>
      <c r="H201" s="2" t="n"/>
      <c r="I201" s="2" t="n"/>
      <c r="J201" s="2" t="n"/>
      <c r="N201" s="3" t="n"/>
      <c r="O201" s="3" t="n"/>
      <c r="P201" s="3" t="n"/>
      <c r="Q201" s="3" t="n"/>
      <c r="R201" s="3" t="n"/>
      <c r="S201" s="2" t="n"/>
      <c r="T201" s="2" t="n"/>
      <c r="U201" s="2" t="n"/>
    </row>
    <row r="202">
      <c r="A202" s="69" t="n"/>
      <c r="B202" s="3" t="n"/>
      <c r="C202" s="3" t="n"/>
      <c r="D202" s="3" t="n"/>
      <c r="E202" s="3" t="n"/>
      <c r="G202" s="2" t="n"/>
      <c r="H202" s="2" t="n"/>
      <c r="I202" s="2" t="n"/>
      <c r="J202" s="2" t="n"/>
      <c r="N202" s="3" t="n"/>
      <c r="O202" s="3" t="n"/>
      <c r="P202" s="3" t="n"/>
      <c r="Q202" s="3" t="n"/>
      <c r="R202" s="3" t="n"/>
      <c r="S202" s="2" t="n"/>
      <c r="T202" s="2" t="n"/>
      <c r="U202" s="2" t="n"/>
    </row>
    <row r="203">
      <c r="A203" s="69" t="n"/>
      <c r="B203" s="3" t="n"/>
      <c r="C203" s="3" t="n"/>
      <c r="D203" s="3" t="n"/>
      <c r="E203" s="3" t="n"/>
      <c r="G203" s="2" t="n"/>
      <c r="H203" s="2" t="n"/>
      <c r="I203" s="2" t="n"/>
      <c r="J203" s="2" t="n"/>
      <c r="N203" s="3" t="n"/>
      <c r="O203" s="3" t="n"/>
      <c r="P203" s="3" t="n"/>
      <c r="Q203" s="3" t="n"/>
      <c r="R203" s="3" t="n"/>
      <c r="S203" s="2" t="n"/>
      <c r="T203" s="2" t="n"/>
      <c r="U203" s="2" t="n"/>
    </row>
    <row r="204">
      <c r="A204" s="69" t="n"/>
      <c r="B204" s="3" t="n"/>
      <c r="C204" s="3" t="n"/>
      <c r="D204" s="3" t="n"/>
      <c r="E204" s="3" t="n"/>
      <c r="G204" s="2" t="n"/>
      <c r="H204" s="2" t="n"/>
      <c r="I204" s="2" t="n"/>
      <c r="J204" s="2" t="n"/>
      <c r="N204" s="3" t="n"/>
      <c r="O204" s="3" t="n"/>
      <c r="P204" s="3" t="n"/>
      <c r="Q204" s="3" t="n"/>
      <c r="R204" s="3" t="n"/>
      <c r="S204" s="2" t="n"/>
      <c r="T204" s="2" t="n"/>
      <c r="U204" s="2" t="n"/>
    </row>
  </sheetData>
  <pageMargins left="0.7" right="0.7" top="0.75" bottom="0.75" header="0.3" footer="0.3"/>
  <pageSetup orientation="landscape" paperSize="9" horizontalDpi="0" verticalDpi="0"/>
</worksheet>
</file>

<file path=xl/worksheets/sheet14.xml><?xml version="1.0" encoding="utf-8"?>
<worksheet xmlns="http://schemas.openxmlformats.org/spreadsheetml/2006/main">
  <sheetPr codeName="Sheet9">
    <tabColor rgb="FFC00000"/>
    <outlinePr summaryBelow="1" summaryRight="1"/>
    <pageSetUpPr/>
  </sheetPr>
  <dimension ref="A1:S66"/>
  <sheetViews>
    <sheetView showGridLines="0" topLeftCell="B1" workbookViewId="0">
      <selection activeCell="G43" sqref="G43"/>
    </sheetView>
  </sheetViews>
  <sheetFormatPr baseColWidth="8" defaultRowHeight="17.25"/>
  <cols>
    <col width="34.125" bestFit="1" customWidth="1" style="261" min="1" max="1"/>
    <col width="44.375" bestFit="1" customWidth="1" style="261" min="2" max="2"/>
    <col width="42.75" customWidth="1" style="261" min="3" max="3"/>
    <col width="103.875" bestFit="1" customWidth="1" style="261" min="4" max="4"/>
    <col width="37.625" customWidth="1" style="261" min="5" max="5"/>
    <col width="12" customWidth="1" style="261" min="6" max="6"/>
    <col width="9" customWidth="1" style="261" min="7" max="12"/>
    <col width="11.875" bestFit="1" customWidth="1" style="261" min="13" max="13"/>
    <col width="9" customWidth="1" style="261" min="14" max="16384"/>
  </cols>
  <sheetData>
    <row r="1" ht="90" customHeight="1" s="574" thickBot="1">
      <c r="A1" s="260" t="inlineStr">
        <is>
          <t>「発注可」の設定は毎回確認</t>
        </is>
      </c>
      <c r="B1" s="378" t="inlineStr">
        <is>
          <t>発注可をON（毎回必要）　　　　　　　■スイング決済ルール</t>
        </is>
      </c>
      <c r="G1" s="362" t="n"/>
      <c r="H1" s="262" t="n"/>
      <c r="I1" s="262" t="n"/>
    </row>
    <row r="2" ht="18" customHeight="1" s="574" thickBot="1">
      <c r="B2" s="263" t="inlineStr">
        <is>
          <t>項目</t>
        </is>
      </c>
      <c r="C2" s="263" t="inlineStr">
        <is>
          <t>設定値</t>
        </is>
      </c>
      <c r="D2" s="263" t="inlineStr">
        <is>
          <t>説明</t>
        </is>
      </c>
      <c r="E2" s="375" t="inlineStr">
        <is>
          <t>シートNo</t>
        </is>
      </c>
      <c r="F2" s="261">
        <f>_xll.RssMarginPositionList($F$3:$N$3)</f>
        <v/>
      </c>
    </row>
    <row r="3">
      <c r="B3" s="264" t="inlineStr">
        <is>
          <t>銘柄コード</t>
        </is>
      </c>
      <c r="C3" s="265" t="n"/>
      <c r="D3" s="373" t="inlineStr">
        <is>
          <t>4桁銘柄コード（青字＝手入力）</t>
        </is>
      </c>
      <c r="E3" s="376" t="n">
        <v>1</v>
      </c>
      <c r="F3" s="261" t="inlineStr">
        <is>
          <t>銘柄コード</t>
        </is>
      </c>
      <c r="G3" s="261" t="inlineStr">
        <is>
          <t>銘柄名称</t>
        </is>
      </c>
      <c r="H3" s="261" t="inlineStr">
        <is>
          <t>建玉数量</t>
        </is>
      </c>
      <c r="I3" s="261" t="inlineStr">
        <is>
          <t>建値</t>
        </is>
      </c>
      <c r="J3" s="261" t="inlineStr">
        <is>
          <t>前日比</t>
        </is>
      </c>
      <c r="K3" s="261" t="inlineStr">
        <is>
          <t>信用区分</t>
        </is>
      </c>
      <c r="L3" s="261" t="inlineStr">
        <is>
          <t>口座区分</t>
        </is>
      </c>
      <c r="M3" s="261" t="inlineStr">
        <is>
          <t>建玉No</t>
        </is>
      </c>
      <c r="N3" s="261" t="inlineStr">
        <is>
          <t>評価損益</t>
        </is>
      </c>
    </row>
    <row r="4" ht="18" customHeight="1" s="574" thickBot="1">
      <c r="B4" s="266" t="inlineStr">
        <is>
          <t>銘柄名</t>
        </is>
      </c>
      <c r="C4" s="267">
        <f t="array" ref="C4">_xll.RssMarket(C3,"銘柄名称")</f>
        <v/>
      </c>
      <c r="D4" s="374" t="inlineStr">
        <is>
          <t>自動取得</t>
        </is>
      </c>
      <c r="E4" s="377" t="inlineStr">
        <is>
          <t>（重複防止用）</t>
        </is>
      </c>
      <c r="F4" s="323" t="n">
        <v>4676</v>
      </c>
      <c r="G4" s="323" t="inlineStr">
        <is>
          <t>フジ・メディア・ＨＤ</t>
        </is>
      </c>
      <c r="H4" s="323" t="n">
        <v>100</v>
      </c>
      <c r="I4" s="323" t="n">
        <v>4100</v>
      </c>
      <c r="J4" s="323" t="n">
        <v>102</v>
      </c>
      <c r="K4" s="323" t="inlineStr">
        <is>
          <t>一般</t>
        </is>
      </c>
      <c r="L4" s="323" t="inlineStr">
        <is>
          <t>特定</t>
        </is>
      </c>
      <c r="M4" s="323" t="n"/>
      <c r="N4" s="323" t="n"/>
      <c r="O4" s="323" t="n"/>
      <c r="P4" s="323" t="n"/>
      <c r="Q4" s="323" t="n"/>
      <c r="R4" s="323" t="n"/>
      <c r="S4" s="323" t="n"/>
    </row>
    <row r="5">
      <c r="B5" s="266" t="inlineStr">
        <is>
          <t>市場</t>
        </is>
      </c>
      <c r="C5" s="267">
        <f t="array" ref="C5">_xll.RssMarket(C3,"市場部名称")</f>
        <v/>
      </c>
      <c r="D5" s="268" t="inlineStr">
        <is>
          <t>自動取得</t>
        </is>
      </c>
      <c r="F5" s="323" t="n">
        <v>6178</v>
      </c>
      <c r="G5" s="323" t="inlineStr">
        <is>
          <t>日本郵政</t>
        </is>
      </c>
      <c r="H5" s="323" t="n">
        <v>100</v>
      </c>
      <c r="I5" s="323" t="n">
        <v>2256.9</v>
      </c>
      <c r="J5" s="323" t="n">
        <v>-13</v>
      </c>
      <c r="K5" s="323" t="inlineStr">
        <is>
          <t>一般</t>
        </is>
      </c>
      <c r="L5" s="323" t="inlineStr">
        <is>
          <t>特定</t>
        </is>
      </c>
      <c r="M5" s="323" t="n"/>
      <c r="N5" s="323" t="n"/>
      <c r="O5" s="323" t="n"/>
      <c r="P5" s="323" t="n"/>
      <c r="Q5" s="323" t="n"/>
      <c r="R5" s="323" t="n"/>
      <c r="S5" s="323" t="n"/>
    </row>
    <row r="6">
      <c r="B6" s="266" t="inlineStr">
        <is>
          <t>口座区分</t>
        </is>
      </c>
      <c r="C6" s="269" t="n">
        <v>0</v>
      </c>
      <c r="D6" s="268" t="inlineStr">
        <is>
          <t>0：特定口座　1：一般口座</t>
        </is>
      </c>
      <c r="F6" s="323" t="inlineStr">
        <is>
          <t>--------</t>
        </is>
      </c>
      <c r="G6" s="323" t="inlineStr">
        <is>
          <t>--------</t>
        </is>
      </c>
      <c r="H6" s="323" t="inlineStr">
        <is>
          <t>--------</t>
        </is>
      </c>
      <c r="I6" s="323" t="inlineStr">
        <is>
          <t>--------</t>
        </is>
      </c>
      <c r="J6" s="323" t="inlineStr">
        <is>
          <t>--------</t>
        </is>
      </c>
      <c r="K6" s="323" t="inlineStr">
        <is>
          <t>--------</t>
        </is>
      </c>
      <c r="L6" s="323" t="inlineStr">
        <is>
          <t>--------</t>
        </is>
      </c>
      <c r="M6" s="323" t="inlineStr">
        <is>
          <t>--------</t>
        </is>
      </c>
      <c r="N6" s="323" t="inlineStr">
        <is>
          <t>--------</t>
        </is>
      </c>
      <c r="O6" s="323" t="n"/>
      <c r="P6" s="323" t="n"/>
      <c r="Q6" s="323" t="n"/>
      <c r="R6" s="323" t="n"/>
      <c r="S6" s="323" t="n"/>
    </row>
    <row r="7">
      <c r="B7" s="266" t="inlineStr">
        <is>
          <t>購入株数</t>
        </is>
      </c>
      <c r="C7" s="269" t="n">
        <v>100</v>
      </c>
      <c r="D7" s="268" t="inlineStr">
        <is>
          <t>買い建てする株数（青字＝手入力）</t>
        </is>
      </c>
      <c r="F7" s="323" t="n"/>
      <c r="G7" s="323" t="n"/>
      <c r="H7" s="323" t="n"/>
      <c r="I7" s="323" t="n"/>
      <c r="J7" s="323" t="n"/>
      <c r="K7" s="323" t="n"/>
      <c r="L7" s="323" t="n"/>
      <c r="M7" s="323" t="n"/>
      <c r="N7" s="323" t="n"/>
    </row>
    <row r="8">
      <c r="B8" s="270" t="inlineStr">
        <is>
          <t>■信用区分</t>
        </is>
      </c>
      <c r="C8" s="271" t="n"/>
      <c r="D8" s="272" t="n"/>
      <c r="F8" s="323" t="n"/>
      <c r="G8" s="323" t="n"/>
      <c r="H8" s="323" t="n"/>
      <c r="I8" s="323" t="n"/>
      <c r="J8" s="323" t="n"/>
      <c r="K8" s="323" t="n"/>
      <c r="L8" s="323" t="n"/>
      <c r="M8" s="323" t="n"/>
      <c r="N8" s="323" t="n"/>
    </row>
    <row r="9" ht="18" customHeight="1" s="574" thickBot="1">
      <c r="B9" s="270" t="inlineStr">
        <is>
          <t>信用区分</t>
        </is>
      </c>
      <c r="C9" s="269" t="n">
        <v>4164</v>
      </c>
      <c r="D9" s="268" t="inlineStr">
        <is>
          <t xml:space="preserve">　2：.無期限（スイング向け）　1：一般信用（１日・）　0：制度信用（6ヶ月）</t>
        </is>
      </c>
      <c r="F9" s="323" t="n"/>
      <c r="G9" s="323" t="n"/>
      <c r="H9" s="323" t="n"/>
      <c r="I9" s="323" t="n"/>
      <c r="J9" s="323" t="n"/>
      <c r="K9" s="323" t="n"/>
      <c r="L9" s="323" t="n"/>
      <c r="M9" s="323" t="n"/>
      <c r="N9" s="323" t="n"/>
    </row>
    <row r="10">
      <c r="B10" s="266" t="inlineStr">
        <is>
          <t>建値（建単価）</t>
        </is>
      </c>
      <c r="C10" s="687">
        <f>IFERROR(INDEX(I4:I104,MATCH(C3,F4:F104,0)),"")</f>
        <v/>
      </c>
      <c r="D10" s="268" t="inlineStr">
        <is>
          <t>信用建玉一覧から取得</t>
        </is>
      </c>
      <c r="E10" s="363" t="n"/>
      <c r="F10" s="364" t="inlineStr">
        <is>
          <t>時間</t>
        </is>
      </c>
      <c r="G10" s="364" t="inlineStr">
        <is>
          <t>やること</t>
        </is>
      </c>
      <c r="H10" s="364" t="n"/>
      <c r="I10" s="364" t="n"/>
      <c r="J10" s="364" t="n"/>
      <c r="K10" s="365" t="n"/>
    </row>
    <row r="11">
      <c r="B11" s="266" t="inlineStr">
        <is>
          <t>建日</t>
        </is>
      </c>
      <c r="C11" s="688" t="n">
        <v>46169</v>
      </c>
      <c r="D11" s="268" t="inlineStr">
        <is>
          <t>信用建玉一覧から取得</t>
        </is>
      </c>
      <c r="E11" s="366" t="n"/>
      <c r="F11" s="367" t="inlineStr">
        <is>
          <t>朝一番</t>
        </is>
      </c>
      <c r="G11" s="367" t="inlineStr">
        <is>
          <t>マーケットスピード起動</t>
        </is>
      </c>
      <c r="H11" s="367" t="n"/>
      <c r="I11" s="367" t="n"/>
      <c r="J11" s="367" t="n"/>
      <c r="K11" s="368" t="n"/>
      <c r="L11" s="323" t="n"/>
      <c r="M11" s="323" t="n"/>
      <c r="N11" s="323" t="n"/>
      <c r="O11" s="323" t="n"/>
      <c r="P11" s="323" t="n"/>
    </row>
    <row r="12">
      <c r="B12" s="266" t="inlineStr">
        <is>
          <t>建玉市場</t>
        </is>
      </c>
      <c r="C12" s="274">
        <f>IFERROR(INDEX(K4:K104,MATCH(C3,F4:F104,0)),"")</f>
        <v/>
      </c>
      <c r="D12" s="268" t="inlineStr">
        <is>
          <t>信用建玉一覧から取得</t>
        </is>
      </c>
      <c r="E12" s="366" t="n"/>
      <c r="F12" s="367" t="inlineStr">
        <is>
          <t>必ず</t>
        </is>
      </c>
      <c r="G12" s="367" t="inlineStr">
        <is>
          <t>発注可をON（毎回必要）</t>
        </is>
      </c>
      <c r="H12" s="367" t="n"/>
      <c r="I12" s="367" t="n"/>
      <c r="J12" s="367" t="n"/>
      <c r="K12" s="369" t="n"/>
    </row>
    <row r="13">
      <c r="B13" s="266" t="inlineStr">
        <is>
          <t>建玉市場区分</t>
        </is>
      </c>
      <c r="C13" s="274">
        <f>IFERROR(IF(ISNUMBER(SEARCH("東証",C5)),"1",IF(ISNUMBER(SEARCH("JAX",C5)),"5",IF(ISNUMBER(SEARCH("JNX",C5)),"4",IF(ISNUMBER(SEARCH("Chi",C5)),"6","1")))),"1")</f>
        <v/>
      </c>
      <c r="D13" s="268" t="inlineStr">
        <is>
          <t>市場名を区分コードに変換</t>
        </is>
      </c>
      <c r="E13" s="366" t="n"/>
      <c r="F13" s="367" t="inlineStr">
        <is>
          <t>そのまま放置</t>
        </is>
      </c>
      <c r="G13" s="367" t="inlineStr">
        <is>
          <t>Excelを開いたまま → 自動発注・自動決済</t>
        </is>
      </c>
      <c r="H13" s="367" t="n"/>
      <c r="I13" s="367" t="n"/>
      <c r="J13" s="367" t="n"/>
      <c r="K13" s="369" t="n"/>
    </row>
    <row r="14" ht="18" customHeight="1" s="574" thickBot="1">
      <c r="B14" s="266" t="inlineStr">
        <is>
          <t>保有株数</t>
        </is>
      </c>
      <c r="C14" s="274">
        <f>IFERROR(INDEX(H4:H104,MATCH(C3,F4:F104,0)),"")</f>
        <v/>
      </c>
      <c r="D14" s="268" t="inlineStr">
        <is>
          <t>信用建玉一覧から取得</t>
        </is>
      </c>
      <c r="E14" s="370" t="n"/>
      <c r="F14" s="371" t="n"/>
      <c r="G14" s="371" t="n"/>
      <c r="H14" s="371" t="n"/>
      <c r="I14" s="371" t="n"/>
      <c r="J14" s="371" t="n"/>
      <c r="K14" s="372" t="n"/>
    </row>
    <row r="15">
      <c r="B15" s="275" t="n"/>
      <c r="C15" s="271" t="n"/>
      <c r="D15" s="272" t="n"/>
    </row>
    <row r="16">
      <c r="B16" s="276" t="inlineStr">
        <is>
          <t>■決済パラメータ設定（青字＝手入力）</t>
        </is>
      </c>
      <c r="C16" s="271" t="n"/>
      <c r="D16" s="272" t="n"/>
    </row>
    <row r="17">
      <c r="B17" s="266" t="inlineStr">
        <is>
          <t>ストップロス%</t>
        </is>
      </c>
      <c r="C17" s="689" t="n">
        <v>4</v>
      </c>
      <c r="D17" s="268" t="inlineStr">
        <is>
          <t>建値からの損切り％</t>
        </is>
      </c>
    </row>
    <row r="18">
      <c r="B18" s="266" t="inlineStr">
        <is>
          <t>利確%</t>
        </is>
      </c>
      <c r="C18" s="689" t="n">
        <v>8</v>
      </c>
      <c r="D18" s="268" t="inlineStr">
        <is>
          <t>建値からの利確％</t>
        </is>
      </c>
    </row>
    <row r="19">
      <c r="B19" s="266" t="inlineStr">
        <is>
          <t>トレーリング開始%</t>
        </is>
      </c>
      <c r="C19" s="689" t="n">
        <v>5</v>
      </c>
      <c r="D19" s="268" t="inlineStr">
        <is>
          <t>建値から＋％到達でトレーリング開始</t>
        </is>
      </c>
    </row>
    <row r="20">
      <c r="B20" s="266" t="inlineStr">
        <is>
          <t>トレーリング幅%</t>
        </is>
      </c>
      <c r="C20" s="689" t="n">
        <v>3</v>
      </c>
      <c r="D20" s="268" t="inlineStr">
        <is>
          <t>高値からの引き下げ％（ストップ発動）</t>
        </is>
      </c>
    </row>
    <row r="21">
      <c r="B21" s="266" t="inlineStr">
        <is>
          <t>最大保有日数</t>
        </is>
      </c>
      <c r="C21" s="690" t="n">
        <v>10</v>
      </c>
      <c r="D21" s="268" t="inlineStr">
        <is>
          <t>建日からN日後に強制決済</t>
        </is>
      </c>
    </row>
    <row r="22">
      <c r="B22" s="266" t="inlineStr">
        <is>
          <t>GU率上限%</t>
        </is>
      </c>
      <c r="C22" s="689" t="n">
        <v>3</v>
      </c>
      <c r="D22" s="268" t="inlineStr">
        <is>
          <t>この%超のGUは見送り（例：3%超なら過熱と判断）</t>
        </is>
      </c>
    </row>
    <row r="23">
      <c r="B23" s="266" t="inlineStr">
        <is>
          <t>VWAP比較</t>
        </is>
      </c>
      <c r="C23" s="691" t="n">
        <v>1</v>
      </c>
      <c r="D23" s="268" t="inlineStr">
        <is>
          <t>1：始値＞VWAPの時のみエントリー可（0：無効）</t>
        </is>
      </c>
      <c r="E23" s="261" t="inlineStr">
        <is>
          <t>C23（VWAP比較）を1に戻すかどうか判断</t>
        </is>
      </c>
    </row>
    <row r="24">
      <c r="B24" s="275" t="n"/>
      <c r="C24" s="271" t="n"/>
      <c r="D24" s="272" t="n"/>
    </row>
    <row r="25">
      <c r="B25" s="280" t="inlineStr">
        <is>
          <t>■監視情報（自動更新）</t>
        </is>
      </c>
      <c r="C25" s="271" t="n"/>
      <c r="D25" s="272" t="n"/>
    </row>
    <row r="26">
      <c r="B26" s="266" t="inlineStr">
        <is>
          <t>現在値</t>
        </is>
      </c>
      <c r="C26" s="281">
        <f t="array" ref="C26">IFERROR(_xll.RssMarket(C3,"現在値"),"")</f>
        <v/>
      </c>
      <c r="D26" s="268" t="inlineStr">
        <is>
          <t>RSS自動取得</t>
        </is>
      </c>
    </row>
    <row r="27">
      <c r="B27" s="266" t="inlineStr">
        <is>
          <t>保有日数</t>
        </is>
      </c>
      <c r="C27" s="692" t="n">
        <v>0</v>
      </c>
      <c r="D27" s="268" t="inlineStr">
        <is>
          <t>建日からの経過日数</t>
        </is>
      </c>
    </row>
    <row r="28">
      <c r="B28" s="266" t="inlineStr">
        <is>
          <t>含山益率</t>
        </is>
      </c>
      <c r="C28" s="693">
        <f>IFERROR(IF(C10="","",(C26-C10)/C10*100),"")</f>
        <v/>
      </c>
      <c r="D28" s="268" t="inlineStr">
        <is>
          <t>（現在値−建値）÷建値×100</t>
        </is>
      </c>
    </row>
    <row r="29">
      <c r="B29" s="266" t="inlineStr">
        <is>
          <t>高値記録（VBA）</t>
        </is>
      </c>
      <c r="C29" s="284" t="n">
        <v>0</v>
      </c>
      <c r="D29" s="268" t="inlineStr">
        <is>
          <t>VBAマクロが自動更新</t>
        </is>
      </c>
    </row>
    <row r="30">
      <c r="B30" s="266" t="inlineStr">
        <is>
          <t>トレーリングフラグ（VBA）</t>
        </is>
      </c>
      <c r="C30" s="285" t="n">
        <v>0</v>
      </c>
      <c r="D30" s="268" t="inlineStr">
        <is>
          <t>0：トレーリング未開始、1：トレーリング中（VBA自動更新）</t>
        </is>
      </c>
    </row>
    <row r="31">
      <c r="B31" s="266" t="inlineStr">
        <is>
          <t>始値</t>
        </is>
      </c>
      <c r="C31" s="284">
        <f t="array" ref="C31">_xll.RssMarket(C3,"始値")</f>
        <v/>
      </c>
      <c r="D31" s="268" t="inlineStr">
        <is>
          <t>RSS自動取得</t>
        </is>
      </c>
    </row>
    <row r="32">
      <c r="B32" s="266" t="inlineStr">
        <is>
          <t>GU率</t>
        </is>
      </c>
      <c r="C32" s="694">
        <f t="array" ref="C32">IFERROR(IF(_xll.RssMarket(C3,"前日終値")=0,0,(C31-_xll.RssMarket(C3,"前日終値"))/_xll.RssMarket(C3,"前日終値")*100),0)</f>
        <v/>
      </c>
      <c r="D32" s="268" t="inlineStr">
        <is>
          <t>（始値−前日終値）÷前日終値×100</t>
        </is>
      </c>
    </row>
    <row r="33">
      <c r="B33" s="266" t="inlineStr">
        <is>
          <t>VWAP</t>
        </is>
      </c>
      <c r="C33" s="695">
        <f t="array" ref="C33">_xll.RssMarket(C3,"出来高加重平均")</f>
        <v/>
      </c>
      <c r="D33" s="268" t="inlineStr">
        <is>
          <t>RSS自動取得</t>
        </is>
      </c>
    </row>
    <row r="34">
      <c r="B34" s="266" t="inlineStr">
        <is>
          <t>エントリー判定</t>
        </is>
      </c>
      <c r="C34" s="288">
        <f>IF(AND(C32&lt;=C22, IF(C23=1, C31&gt;C33, TRUE)), "✓エントリー可", "⚠ 見送り")</f>
        <v/>
      </c>
      <c r="D34" s="268" t="inlineStr">
        <is>
          <t>GU率≦上限％　かつ　始値＞VWAP（VWAP比較＝1の時）</t>
        </is>
      </c>
    </row>
    <row r="35">
      <c r="B35" s="289" t="inlineStr">
        <is>
          <t>■決済条件判定</t>
        </is>
      </c>
      <c r="C35" s="271" t="n"/>
      <c r="D35" s="272" t="n"/>
    </row>
    <row r="36">
      <c r="B36" s="266" t="inlineStr">
        <is>
          <t>ストップロス価格</t>
        </is>
      </c>
      <c r="C36" s="281">
        <f>IFERROR(IF(C10="","",ROUNDDOWN(C10*(1-C17*0.01),0)),"")</f>
        <v/>
      </c>
      <c r="D36" s="268" t="inlineStr">
        <is>
          <t>建値×（1−ストップロス％）</t>
        </is>
      </c>
    </row>
    <row r="37">
      <c r="B37" s="266" t="inlineStr">
        <is>
          <t>利確価格</t>
        </is>
      </c>
      <c r="C37" s="281">
        <f>IFERROR(IF(C10="","",ROUNDDOWN(C10*(1+C18*0.01),0)),"")</f>
        <v/>
      </c>
      <c r="D37" s="268" t="inlineStr">
        <is>
          <t>建値×（1＋利確％）</t>
        </is>
      </c>
    </row>
    <row r="38">
      <c r="B38" s="266" t="inlineStr">
        <is>
          <t>トレーリング開始価格</t>
        </is>
      </c>
      <c r="C38" s="281">
        <f>IFERROR(IF(C10="","",ROUNDDOWN(C10*(1+C19*0.01),0)),"")</f>
        <v/>
      </c>
      <c r="D38" s="268" t="inlineStr">
        <is>
          <t>建値×（1＋トレーリング開始％）</t>
        </is>
      </c>
    </row>
    <row r="39">
      <c r="B39" s="266" t="inlineStr">
        <is>
          <t>トレーリングストップ価格</t>
        </is>
      </c>
      <c r="C39" s="290">
        <f>IFERROR(IF(C29="","",ROUNDDOWN(C29*(1-C20*0.01),0)),"")</f>
        <v/>
      </c>
      <c r="D39" s="268" t="inlineStr">
        <is>
          <t>高値記録×（1−トレーリング幅％） VBA高値が入れば自動計算</t>
        </is>
      </c>
    </row>
    <row r="40">
      <c r="B40" s="266" t="inlineStr">
        <is>
          <t>決済期限日</t>
        </is>
      </c>
      <c r="C40" s="696">
        <f>IFERROR(IF(C11="","",C11+C21),"")</f>
        <v/>
      </c>
      <c r="D40" s="268" t="inlineStr">
        <is>
          <t>建日＋N日</t>
        </is>
      </c>
    </row>
    <row r="41">
      <c r="B41" s="275" t="n"/>
      <c r="C41" s="271" t="n"/>
      <c r="D41" s="272" t="n"/>
    </row>
    <row r="42">
      <c r="B42" s="276" t="inlineStr">
        <is>
          <t>■トリガー判定</t>
        </is>
      </c>
      <c r="C42" s="271" t="n"/>
      <c r="D42" s="272" t="n"/>
    </row>
    <row r="43">
      <c r="B43" s="266" t="inlineStr">
        <is>
          <t>トリガーフェーズ</t>
        </is>
      </c>
      <c r="C43" s="292">
        <f>IF(C30=1,"フェーズ２（トレーリング中）","フェーズ１（通常監視中）")</f>
        <v/>
      </c>
      <c r="D43" s="268" t="inlineStr">
        <is>
          <t>VBAがフェーズを切り替え</t>
        </is>
      </c>
    </row>
    <row r="44" ht="18.75" customHeight="1" s="574">
      <c r="B44" s="266" t="inlineStr">
        <is>
          <t>決済トリガー</t>
        </is>
      </c>
      <c r="C44" s="293" t="n">
        <v>0</v>
      </c>
      <c r="D44" s="268" t="inlineStr">
        <is>
          <t>①利確+6% ②ストップロス-4% ③日数期限 ④トレーリング発動　一つでも成立で１</t>
        </is>
      </c>
    </row>
    <row r="45">
      <c r="B45" s="266" t="inlineStr">
        <is>
          <t>決済事由</t>
        </is>
      </c>
      <c r="C45" s="292" t="n"/>
      <c r="D45" s="268" t="inlineStr">
        <is>
          <t>決済事由をテキストで表示</t>
        </is>
      </c>
    </row>
    <row r="46">
      <c r="B46" s="275" t="n"/>
      <c r="C46" s="271" t="n"/>
      <c r="D46" s="272" t="n"/>
    </row>
    <row r="47">
      <c r="B47" s="289" t="inlineStr">
        <is>
          <t>■発注情報</t>
        </is>
      </c>
      <c r="C47" s="271" t="n"/>
      <c r="D47" s="272" t="n"/>
    </row>
    <row r="48">
      <c r="B48" s="266" t="inlineStr">
        <is>
          <t>発注ID</t>
        </is>
      </c>
      <c r="C48" s="274">
        <f>IFERROR(C3&amp;"2"&amp;C13&amp;LEFT(C14,1)&amp;IF(C10=INT(C10),RIGHT(C10,2),RIGHT(C10*10,2))&amp;E3,"")</f>
        <v/>
      </c>
      <c r="D48" s="268" t="inlineStr">
        <is>
          <t>コード+市場区分+株数先頭+建値末尾2桁</t>
        </is>
      </c>
    </row>
    <row r="49">
      <c r="B49" s="266" t="inlineStr">
        <is>
          <t>RSS決済注文</t>
        </is>
      </c>
      <c r="C49" s="292">
        <f t="array" ref="C49">IFERROR(_xll.RssMarginCloseOrder(C48,C44,C3,1,0,1,4,C14,0,,1,,C6,TEXT(C11,"yyyymmdd"),C10,C13),"")</f>
        <v/>
      </c>
      <c r="D49" s="268" t="inlineStr">
        <is>
          <t>RssMarginCloseOrder（発注ID,トリガー,コード,...）</t>
        </is>
      </c>
    </row>
    <row r="50">
      <c r="B50" s="275" t="n"/>
      <c r="C50" s="271" t="n"/>
      <c r="D50" s="272" t="n"/>
    </row>
    <row r="51">
      <c r="B51" s="270" t="inlineStr">
        <is>
          <t>■エントリー（買い建て）</t>
        </is>
      </c>
      <c r="C51" s="271" t="n"/>
      <c r="D51" s="272" t="n"/>
    </row>
    <row r="52">
      <c r="B52" s="266" t="inlineStr">
        <is>
          <t>購入株数</t>
        </is>
      </c>
      <c r="C52" s="294">
        <f>C7</f>
        <v/>
      </c>
      <c r="D52" s="268" t="inlineStr">
        <is>
          <t>買い建てする株数（青字＝手入力）</t>
        </is>
      </c>
    </row>
    <row r="53">
      <c r="B53" s="295" t="inlineStr">
        <is>
          <t>エントリー時刻（参考）</t>
        </is>
      </c>
      <c r="C53" s="697" t="n">
        <v>0.3888888888888889</v>
      </c>
      <c r="D53" s="296" t="inlineStr">
        <is>
          <t>参考表示のみ。時刻制御なし・条件成立時に即発注</t>
        </is>
      </c>
      <c r="E53" s="261" t="inlineStr">
        <is>
          <t>末尾の番号（現在3）は手動で戻す必要があります → 翌日は1に戻す</t>
        </is>
      </c>
    </row>
    <row r="54" ht="18.75" customHeight="1" s="574">
      <c r="B54" s="266" t="inlineStr">
        <is>
          <t>エントリートリガー</t>
        </is>
      </c>
      <c r="C54" s="293" t="n">
        <v>1</v>
      </c>
      <c r="D54" s="268" t="inlineStr">
        <is>
          <t>GU率≦上限%　かつ　始値&gt;VWAP（C22=1の時）　かつ　未建玉の時に1</t>
        </is>
      </c>
    </row>
    <row r="55">
      <c r="B55" s="266" t="inlineStr">
        <is>
          <t>発注ID（買い）</t>
        </is>
      </c>
      <c r="C55" s="380">
        <f>IFERROR(C3 &amp; TEXT(TODAY(),"mmdd") &amp; E3, "")</f>
        <v/>
      </c>
      <c r="D55" s="268" t="inlineStr">
        <is>
          <t>銘柄コード＋TODAY("mmdd")＋連番（例：570305191）</t>
        </is>
      </c>
    </row>
    <row r="56" ht="18" customHeight="1" s="574" thickBot="1">
      <c r="B56" s="297" t="inlineStr">
        <is>
          <t>RSS買い注文</t>
        </is>
      </c>
      <c r="C56" s="379">
        <f>IFERROR(_xll.RssMarginOpenOrder(C55, C54, C3, 3, 0, 1, C9, C7, 0,, 1,, C6), "")</f>
        <v/>
      </c>
      <c r="D56" s="298" t="n">
        <v>8142</v>
      </c>
    </row>
    <row r="57">
      <c r="B57" s="404" t="inlineStr">
        <is>
          <t>指値価格</t>
        </is>
      </c>
      <c r="C57" s="406" t="n">
        <v>4164</v>
      </c>
      <c r="D57" s="405" t="inlineStr">
        <is>
          <t>価格で買い注文　今より下の価格</t>
        </is>
      </c>
    </row>
    <row r="58">
      <c r="B58" s="400" t="inlineStr">
        <is>
          <t>逆指値価格</t>
        </is>
      </c>
      <c r="C58" s="407" t="n"/>
      <c r="D58" s="401" t="inlineStr">
        <is>
          <t>この価格に達したら買い注文を入れる　今より上の価格</t>
        </is>
      </c>
    </row>
    <row r="59">
      <c r="B59" s="266" t="n"/>
      <c r="C59" s="380" t="n"/>
      <c r="D59" s="268" t="n"/>
    </row>
    <row r="61">
      <c r="B61" s="402" t="n"/>
      <c r="C61" s="403" t="n"/>
      <c r="D61" s="311" t="n"/>
    </row>
    <row r="62">
      <c r="B62" s="402" t="n"/>
      <c r="C62" s="403" t="n"/>
      <c r="D62" s="311" t="n"/>
    </row>
    <row r="63">
      <c r="E63" s="261" t="inlineStr">
        <is>
          <t>C55の末尾を "9" → "1" に戻す</t>
        </is>
      </c>
    </row>
    <row r="64">
      <c r="E64" s="261">
        <f>IFERROR(C3 &amp; TEXT(TODAY(),"mmdd") &amp; "1", "")</f>
        <v/>
      </c>
    </row>
    <row r="65">
      <c r="E65" s="261" t="inlineStr">
        <is>
          <t>明日（5/19）になれば 570305191 になり、毎日自動リセットされます。</t>
        </is>
      </c>
    </row>
    <row r="66">
      <c r="E66" s="261" t="inlineStr">
        <is>
          <t>あとは何もしなくていいです。</t>
        </is>
      </c>
    </row>
  </sheetData>
  <conditionalFormatting sqref="C34">
    <cfRule type="containsText" priority="1" operator="containsText" dxfId="5" text="エントリー可">
      <formula>NOT(ISERROR(SEARCH("エントリー可",C34)))</formula>
    </cfRule>
    <cfRule type="containsText" priority="2" operator="containsText" dxfId="4" text="見送り">
      <formula>NOT(ISERROR(SEARCH("見送り",C34)))</formula>
    </cfRule>
  </conditionalFormatting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1">
    <tabColor rgb="FFC00000"/>
    <outlinePr summaryBelow="1" summaryRight="1"/>
    <pageSetUpPr/>
  </sheetPr>
  <dimension ref="A1:E53"/>
  <sheetViews>
    <sheetView topLeftCell="A7" workbookViewId="0">
      <selection activeCell="K35" sqref="K35"/>
    </sheetView>
  </sheetViews>
  <sheetFormatPr baseColWidth="8" defaultRowHeight="17.25"/>
  <cols>
    <col width="72.125" customWidth="1" style="322" min="1" max="1"/>
    <col width="9" customWidth="1" style="261" min="2" max="2"/>
    <col width="53.375" bestFit="1" customWidth="1" style="261" min="3" max="3"/>
    <col width="9" customWidth="1" style="261" min="4" max="4"/>
    <col width="15.25" customWidth="1" style="261" min="5" max="5"/>
    <col width="9" customWidth="1" style="261" min="6" max="16384"/>
  </cols>
  <sheetData>
    <row r="1" ht="21" customHeight="1" s="574">
      <c r="A1" s="299" t="inlineStr">
        <is>
          <t>スイング自動売買システム　取扱説明書</t>
        </is>
      </c>
    </row>
    <row r="2">
      <c r="A2" s="300" t="inlineStr">
        <is>
          <t>対象シート：スイング決済　／　対応ツール：楽天RSS＋マーケットスピード</t>
        </is>
      </c>
    </row>
    <row r="4" ht="48" customHeight="1" s="574">
      <c r="A4" s="301" t="inlineStr">
        <is>
          <t>━━━━━━━━━━━━━━━━━━━━━━━━━━━━━━━━━━</t>
        </is>
      </c>
    </row>
    <row r="5">
      <c r="A5" s="302" t="inlineStr">
        <is>
          <t>【１】起動前の準備チェックリスト</t>
        </is>
      </c>
      <c r="C5" s="303" t="n"/>
    </row>
    <row r="6">
      <c r="A6" s="304" t="inlineStr">
        <is>
          <t>□ マーケットスピードを起動してログイン済みか</t>
        </is>
      </c>
    </row>
    <row r="7">
      <c r="A7" s="304" t="inlineStr">
        <is>
          <t>□ マーケットスピードの「RSS発注」→「発注可」に切り替えているか</t>
        </is>
      </c>
    </row>
    <row r="8" ht="35.25" customHeight="1" s="574">
      <c r="A8" s="304" t="inlineStr">
        <is>
          <t>□ このExcelファイルを起動後、各シートの1行目が「配信中」になっているか</t>
        </is>
      </c>
      <c r="D8" s="261" t="inlineStr">
        <is>
          <t>　</t>
        </is>
      </c>
    </row>
    <row r="9" ht="39" customHeight="1" s="574">
      <c r="A9" s="305" t="inlineStr">
        <is>
          <t>□ 他のExcelファイルを同時に開いていないか（開くと発注不可に切り替わる）</t>
        </is>
      </c>
    </row>
    <row r="10" ht="35.25" customHeight="1" s="574">
      <c r="A10" s="306" t="inlineStr">
        <is>
          <t>□ 取引暗証番号の入力は不要（マーケットスピードのログインで認証済み）</t>
        </is>
      </c>
    </row>
    <row r="12">
      <c r="A12" s="307" t="inlineStr">
        <is>
          <t>【２】パラメータ設定（スイング決済シート）</t>
        </is>
      </c>
    </row>
    <row r="13">
      <c r="A13" s="308" t="inlineStr">
        <is>
          <t>セル</t>
        </is>
      </c>
      <c r="B13" s="309" t="inlineStr">
        <is>
          <t>項目</t>
        </is>
      </c>
      <c r="C13" s="309" t="inlineStr">
        <is>
          <t>内容・目安</t>
        </is>
      </c>
      <c r="D13" s="309" t="inlineStr">
        <is>
          <t>備考</t>
        </is>
      </c>
    </row>
    <row r="14">
      <c r="A14" s="310" t="inlineStr">
        <is>
          <t>C3</t>
        </is>
      </c>
      <c r="B14" s="311" t="inlineStr">
        <is>
          <t>銘柄コード</t>
        </is>
      </c>
      <c r="C14" s="311" t="inlineStr">
        <is>
          <t>4桁の銘柄コードを入力</t>
        </is>
      </c>
      <c r="D14" s="312" t="inlineStr">
        <is>
          <t>例：1570（NF日経レバ）</t>
        </is>
      </c>
    </row>
    <row r="15">
      <c r="A15" s="310" t="inlineStr">
        <is>
          <t>C6</t>
        </is>
      </c>
      <c r="B15" s="311" t="inlineStr">
        <is>
          <t>口座区分</t>
        </is>
      </c>
      <c r="C15" s="311" t="inlineStr">
        <is>
          <t>0：特定口座　1：一般口座</t>
        </is>
      </c>
      <c r="D15" s="312" t="inlineStr">
        <is>
          <t>通常は0（特定口座）</t>
        </is>
      </c>
    </row>
    <row r="16">
      <c r="A16" s="310" t="inlineStr">
        <is>
          <t>C7</t>
        </is>
      </c>
      <c r="B16" s="311" t="inlineStr">
        <is>
          <t>購入株数</t>
        </is>
      </c>
      <c r="C16" s="311" t="inlineStr">
        <is>
          <t>買い建てする株数</t>
        </is>
      </c>
      <c r="D16" s="312" t="inlineStr">
        <is>
          <t>例：100株</t>
        </is>
      </c>
    </row>
    <row r="17">
      <c r="A17" s="310" t="inlineStr">
        <is>
          <t>C9</t>
        </is>
      </c>
      <c r="B17" s="311" t="inlineStr">
        <is>
          <t>信用区分</t>
        </is>
      </c>
      <c r="C17" s="311" t="inlineStr">
        <is>
          <t>1：一般信用（無期限・スイング向き）　0：制度信用（6ヶ月）</t>
        </is>
      </c>
      <c r="D17" s="313" t="inlineStr">
        <is>
          <t>スイングなら　1推奨</t>
        </is>
      </c>
    </row>
    <row r="18">
      <c r="A18" s="310" t="inlineStr">
        <is>
          <t>C17</t>
        </is>
      </c>
      <c r="B18" s="311" t="inlineStr">
        <is>
          <t>利確%</t>
        </is>
      </c>
      <c r="C18" s="311" t="inlineStr">
        <is>
          <t>建値からこの%以上上昇したら利確決済</t>
        </is>
      </c>
      <c r="D18" s="312" t="inlineStr">
        <is>
          <t>目安：5～8%　現在：6%</t>
        </is>
      </c>
    </row>
    <row r="19">
      <c r="A19" s="310" t="inlineStr">
        <is>
          <t>C16</t>
        </is>
      </c>
      <c r="B19" s="311" t="inlineStr">
        <is>
          <t>ストップロス%</t>
        </is>
      </c>
      <c r="C19" s="311" t="inlineStr">
        <is>
          <t>建値からこの%以上下落したら損切り決済</t>
        </is>
      </c>
      <c r="D19" s="312" t="inlineStr">
        <is>
          <t>目安：3～5%　現在：4%</t>
        </is>
      </c>
    </row>
    <row r="20">
      <c r="A20" s="310" t="inlineStr">
        <is>
          <t>C18</t>
        </is>
      </c>
      <c r="B20" s="311" t="inlineStr">
        <is>
          <t>トレーリング開始%</t>
        </is>
      </c>
      <c r="C20" s="311" t="inlineStr">
        <is>
          <t>建値からこの%に達したらトレーリング開始</t>
        </is>
      </c>
      <c r="D20" s="312" t="inlineStr">
        <is>
          <t>目安：3～5%　現在：5%</t>
        </is>
      </c>
    </row>
    <row r="21">
      <c r="A21" s="310" t="inlineStr">
        <is>
          <t>C19</t>
        </is>
      </c>
      <c r="B21" s="311" t="inlineStr">
        <is>
          <t>トレーリング幅%</t>
        </is>
      </c>
      <c r="C21" s="311" t="inlineStr">
        <is>
          <t>高値からこの%下落でストップ発動</t>
        </is>
      </c>
      <c r="D21" s="312" t="inlineStr">
        <is>
          <t>目安：2～4%　現在：3%</t>
        </is>
      </c>
    </row>
    <row r="22">
      <c r="A22" s="310" t="inlineStr">
        <is>
          <t>C20</t>
        </is>
      </c>
      <c r="B22" s="311" t="inlineStr">
        <is>
          <t>最大保有日数</t>
        </is>
      </c>
      <c r="C22" s="311" t="inlineStr">
        <is>
          <t>建日からこの日数を超えたら強制決済</t>
        </is>
      </c>
      <c r="D22" s="312" t="inlineStr">
        <is>
          <t>目安：5～10日　現在：7日</t>
        </is>
      </c>
    </row>
    <row r="23">
      <c r="A23" s="310" t="inlineStr">
        <is>
          <t>C21</t>
        </is>
      </c>
      <c r="B23" s="311" t="inlineStr">
        <is>
          <t>GU率上限%</t>
        </is>
      </c>
      <c r="C23" s="311" t="inlineStr">
        <is>
          <t>この%を超えるGUの日はエントリーしない</t>
        </is>
      </c>
      <c r="D23" s="312" t="inlineStr">
        <is>
          <t>目安：2～4%　現在：3%</t>
        </is>
      </c>
    </row>
    <row r="24">
      <c r="A24" s="310" t="inlineStr">
        <is>
          <t>C22</t>
        </is>
      </c>
      <c r="B24" s="311" t="inlineStr">
        <is>
          <t>VWAP比較</t>
        </is>
      </c>
      <c r="C24" s="311" t="inlineStr">
        <is>
          <t>1：始値＞VWAPの日のみエントリー　0：フィルターなし</t>
        </is>
      </c>
      <c r="D24" s="313" t="inlineStr">
        <is>
          <t>1推奨（涵益安定）</t>
        </is>
      </c>
    </row>
    <row r="26">
      <c r="A26" s="314" t="inlineStr">
        <is>
          <t>【３】注文の仕組み（自動売買の流れ）</t>
        </is>
      </c>
    </row>
    <row r="27">
      <c r="A27" s="315" t="inlineStr">
        <is>
          <t>▶ エントリー（買い建て）の流れ</t>
        </is>
      </c>
    </row>
    <row r="28">
      <c r="A28" s="304" t="inlineStr">
        <is>
          <t xml:space="preserve">　① RSSが小处情報を常時監視（現在値・VWAP・始値・GU率）</t>
        </is>
      </c>
    </row>
    <row r="29">
      <c r="A29" s="304" t="inlineStr">
        <is>
          <t xml:space="preserve">　② 「GU率≤3%」かつ「始値＞VWAP」かつ「未建玉」の3条件が全て成立</t>
        </is>
      </c>
    </row>
    <row r="30">
      <c r="A30" s="304" t="inlineStr">
        <is>
          <t xml:space="preserve">　③ C54エントリートリガーが「1」に変わり、C56が自動発注</t>
        </is>
      </c>
    </row>
    <row r="31">
      <c r="A31" s="304" t="inlineStr">
        <is>
          <t xml:space="preserve">　④ 約定後、信用建玉一覧に建値・建日・株数が自動反映（動作済みの場合）</t>
        </is>
      </c>
    </row>
    <row r="33">
      <c r="A33" s="316" t="inlineStr">
        <is>
          <t>▶ 保有中の監視（VBAマクロが5秒ごと自動実行）</t>
        </is>
      </c>
    </row>
    <row r="34" ht="39" customHeight="1" s="574">
      <c r="A34" s="304" t="inlineStr">
        <is>
          <t xml:space="preserve">　・ 建値+5%に達した瞬間 → C30トレーリングフラグが「1」に変わりトレーリング開始</t>
        </is>
      </c>
    </row>
    <row r="35" ht="39" customHeight="1" s="574">
      <c r="A35" s="304" t="inlineStr">
        <is>
          <t xml:space="preserve">　・ 高値を更新するたびに → C29高値記録が切り上がり、C39ストップ価格も自動上昇</t>
        </is>
      </c>
    </row>
    <row r="37">
      <c r="A37" s="317" t="inlineStr">
        <is>
          <t>▶ 決済の流れ（下記のどれか1つが発動した時点で自動決済）</t>
        </is>
      </c>
    </row>
    <row r="38">
      <c r="A38" s="308" t="inlineStr">
        <is>
          <t>条件</t>
        </is>
      </c>
      <c r="B38" s="309" t="inlineStr">
        <is>
          <t>発動価格</t>
        </is>
      </c>
      <c r="C38" s="309" t="inlineStr">
        <is>
          <t>备考</t>
        </is>
      </c>
    </row>
    <row r="39">
      <c r="A39" s="304" t="inlineStr">
        <is>
          <t>①利確</t>
        </is>
      </c>
      <c r="B39" s="311" t="inlineStr">
        <is>
          <t>建値 × 1.06以上</t>
        </is>
      </c>
      <c r="C39" s="311" t="inlineStr">
        <is>
          <t>全フェーズ共通。成行決済</t>
        </is>
      </c>
    </row>
    <row r="40">
      <c r="A40" s="304" t="inlineStr">
        <is>
          <t>②ストップロス</t>
        </is>
      </c>
      <c r="B40" s="311" t="inlineStr">
        <is>
          <t>建値 × 0.96以下</t>
        </is>
      </c>
      <c r="C40" s="311" t="inlineStr">
        <is>
          <t>トレーリング開始前・後共通。成行決済</t>
        </is>
      </c>
    </row>
    <row r="41">
      <c r="A41" s="304" t="inlineStr">
        <is>
          <t>③トレーリングストップ</t>
        </is>
      </c>
      <c r="B41" s="318" t="inlineStr">
        <is>
          <t>高値 × 0.97以下（+5%到達後）</t>
        </is>
      </c>
      <c r="C41" s="318" t="inlineStr">
        <is>
          <t>VBAが高値を追従。建値+5%到達後に有効</t>
        </is>
      </c>
      <c r="D41" s="318" t="n"/>
      <c r="E41" s="318" t="n"/>
    </row>
    <row r="42">
      <c r="A42" s="304" t="inlineStr">
        <is>
          <t>④日数期限</t>
        </is>
      </c>
      <c r="B42" s="311" t="inlineStr">
        <is>
          <t>建日から7日経過</t>
        </is>
      </c>
      <c r="C42" s="311" t="inlineStr">
        <is>
          <t>上記どれも発動しない時の安全網</t>
        </is>
      </c>
    </row>
    <row r="44">
      <c r="A44" s="307" t="inlineStr">
        <is>
          <t>【４】決済後のリセット手順（必須！）</t>
        </is>
      </c>
    </row>
    <row r="45" ht="58.5" customHeight="1" s="574">
      <c r="A45" s="319" t="inlineStr">
        <is>
          <t>決済後は必ず「リセットボタン」を押してください。押さないと次回の建玉時に高値記録・トレーリングフラグが残ったままになり、誤発注の原因になります。</t>
        </is>
      </c>
    </row>
    <row r="46">
      <c r="A46" s="304" t="inlineStr">
        <is>
          <t xml:space="preserve">　手順：Alt+F8 → 「ResetSwingTracking」を選択 → 実行</t>
        </is>
      </c>
    </row>
    <row r="47" ht="39" customHeight="1" s="574">
      <c r="A47" s="304" t="inlineStr">
        <is>
          <t xml:space="preserve">　またはスイング決済シートの「リセットボタン」をクリックすると同じ効果があります。</t>
        </is>
      </c>
    </row>
    <row r="49">
      <c r="A49" s="320" t="inlineStr">
        <is>
          <t>【５】注意事項</t>
        </is>
      </c>
    </row>
    <row r="50" ht="39" customHeight="1" s="574">
      <c r="A50" s="321" t="inlineStr">
        <is>
          <t>① 他のExcelファイルを起動すると発注「発注不可」に切り替わる（楽天RSSの仕様）</t>
        </is>
      </c>
    </row>
    <row r="51">
      <c r="A51" s="304" t="inlineStr">
        <is>
          <t>② 銘柄コード（C3）の変更は必ず平日取引時間外（9:00～15:30以外）に行う</t>
        </is>
      </c>
    </row>
    <row r="52" ht="39" customHeight="1" s="574">
      <c r="A52" s="304" t="inlineStr">
        <is>
          <t>③ VBAマクロ「CheckSwingTrailing」が動いているか確認（C29：高値記録が定期的に変化するか確認）</t>
        </is>
      </c>
    </row>
    <row r="53" ht="39" customHeight="1" s="574">
      <c r="A53" s="304" t="inlineStr">
        <is>
          <t>④ このシートは1銘柄専用。複数銘柄を管理する場合はシートをコピーして「スイング決済2」等の名前で追加</t>
        </is>
      </c>
    </row>
  </sheetData>
  <pageMargins left="0.7" right="0.7" top="0.75" bottom="0.75" header="0.3" footer="0.3"/>
  <pageSetup orientation="landscape" paperSize="9" fitToWidth="0" horizontalDpi="0" verticalDpi="0"/>
</worksheet>
</file>

<file path=xl/worksheets/sheet16.xml><?xml version="1.0" encoding="utf-8"?>
<worksheet xmlns="http://schemas.openxmlformats.org/spreadsheetml/2006/main">
  <sheetPr codeName="Sheet17">
    <outlinePr summaryBelow="1" summaryRight="1"/>
    <pageSetUpPr/>
  </sheetPr>
  <dimension ref="A1:X499"/>
  <sheetViews>
    <sheetView zoomScale="95" zoomScaleNormal="95" workbookViewId="0">
      <selection activeCell="E18" sqref="E18"/>
    </sheetView>
  </sheetViews>
  <sheetFormatPr baseColWidth="8" defaultRowHeight="13.5"/>
  <cols>
    <col width="6.625" customWidth="1" style="570" min="1" max="1"/>
    <col width="8.625" customWidth="1" style="570" min="2" max="2"/>
    <col width="11.625" customWidth="1" style="570" min="3" max="3"/>
    <col width="18.625" customWidth="1" style="570" min="4" max="4"/>
    <col width="10.625" customWidth="1" style="570" min="5" max="5"/>
    <col width="10.625" customWidth="1" style="427" min="6" max="6"/>
    <col width="8.625" customWidth="1" style="570" min="7" max="7"/>
    <col width="10.625" customWidth="1" style="570" min="8" max="11"/>
    <col width="10.625" bestFit="1" customWidth="1" style="570" min="12" max="12"/>
    <col width="12.625" customWidth="1" style="570" min="13" max="14"/>
    <col width="28.875" bestFit="1" customWidth="1" style="570" min="15" max="15"/>
    <col width="12.625" customWidth="1" style="570" min="16" max="17"/>
    <col width="14.625" customWidth="1" style="570" min="18" max="19"/>
    <col width="10.625" customWidth="1" style="570" min="20" max="22"/>
    <col width="8.625" customWidth="1" style="570" min="23" max="23"/>
    <col width="16.625" customWidth="1" style="570" min="24" max="24"/>
    <col width="9" customWidth="1" style="570" min="25" max="16384"/>
  </cols>
  <sheetData>
    <row r="1" ht="35.1" customHeight="1" s="574">
      <c r="A1" s="593" t="inlineStr">
        <is>
          <t>打ち出のこづち　トレード管理シート</t>
        </is>
      </c>
      <c r="B1" s="570" t="n"/>
      <c r="C1" s="570" t="n"/>
      <c r="D1" s="570" t="n"/>
      <c r="E1" s="570" t="n"/>
      <c r="F1" s="570" t="n"/>
      <c r="G1" s="570" t="n"/>
      <c r="H1" s="570" t="n"/>
      <c r="I1" s="570" t="n"/>
      <c r="J1" s="570" t="n"/>
      <c r="K1" s="570" t="n"/>
      <c r="L1" s="570" t="n"/>
      <c r="M1" s="570" t="n"/>
      <c r="N1" s="570" t="n"/>
      <c r="O1" s="570" t="n"/>
      <c r="P1" s="570" t="n"/>
      <c r="Q1" s="570" t="n"/>
      <c r="R1" s="570" t="n"/>
      <c r="S1" s="570" t="n"/>
      <c r="T1" s="570" t="n"/>
      <c r="U1" s="570" t="n"/>
      <c r="V1" s="570" t="n"/>
      <c r="W1" s="570" t="n"/>
      <c r="X1" s="570" t="n"/>
    </row>
    <row r="2" ht="20.1" customHeight="1" s="574">
      <c r="A2" s="107" t="inlineStr">
        <is>
          <t>保有銘柄数：</t>
        </is>
      </c>
      <c r="B2" s="108">
        <f>SUMIF(S4:S77,"📌保有中",K4:K77)</f>
        <v/>
      </c>
      <c r="C2" s="108" t="n"/>
      <c r="D2" s="107">
        <f>SUM(V4:V77)</f>
        <v/>
      </c>
      <c r="E2" s="108">
        <f>SUM(V4:V77)</f>
        <v/>
      </c>
      <c r="F2" s="424">
        <f>COUNTIF(S4:S77,"🟢利確推奨")&amp;"件"</f>
        <v/>
      </c>
      <c r="G2" s="107">
        <f>COUNTIF(S4:S77,"??利確推奨")&amp;"件"</f>
        <v/>
      </c>
      <c r="H2" s="107" t="inlineStr">
        <is>
          <t>損切推奨：</t>
        </is>
      </c>
      <c r="I2" s="107" t="n"/>
      <c r="J2" s="107">
        <f>COUNTIF(S4:S77,"🔴損切推奨")&amp;"件"</f>
        <v/>
      </c>
      <c r="K2" s="107">
        <f>COUNTIF(S4:S77,"??損切推奨")&amp;"件"</f>
        <v/>
      </c>
      <c r="L2" s="107" t="n"/>
      <c r="M2" s="107" t="n"/>
      <c r="N2" s="107" t="n"/>
      <c r="O2" s="107" t="n"/>
      <c r="P2" s="107" t="n"/>
      <c r="Q2" s="107" t="n"/>
      <c r="R2" s="107" t="n"/>
      <c r="S2" s="459" t="n"/>
      <c r="T2" s="107" t="n"/>
      <c r="U2" s="107" t="n"/>
      <c r="V2" s="107" t="n"/>
      <c r="W2" s="107" t="n"/>
      <c r="X2" s="107" t="n"/>
    </row>
    <row r="3" ht="35.1" customHeight="1" s="574">
      <c r="A3" s="109" t="inlineStr">
        <is>
          <t>株探</t>
        </is>
      </c>
      <c r="B3" s="109" t="inlineStr">
        <is>
          <t>コード</t>
        </is>
      </c>
      <c r="C3" s="109" t="inlineStr">
        <is>
          <t>売買</t>
        </is>
      </c>
      <c r="D3" s="109" t="inlineStr">
        <is>
          <t>銘柄</t>
        </is>
      </c>
      <c r="E3" s="109" t="inlineStr">
        <is>
          <t>購入日</t>
        </is>
      </c>
      <c r="F3" s="425" t="inlineStr">
        <is>
          <t>購入価格</t>
        </is>
      </c>
      <c r="G3" s="109" t="inlineStr">
        <is>
          <t>購入数量</t>
        </is>
      </c>
      <c r="H3" s="109" t="inlineStr">
        <is>
          <t>現在値</t>
        </is>
      </c>
      <c r="I3" s="109" t="inlineStr">
        <is>
          <t>VWAP</t>
        </is>
      </c>
      <c r="J3" s="109" t="inlineStr">
        <is>
          <t>前日差</t>
        </is>
      </c>
      <c r="K3" s="109" t="inlineStr">
        <is>
          <t>利益</t>
        </is>
      </c>
      <c r="L3" s="109" t="inlineStr">
        <is>
          <t>利益率</t>
        </is>
      </c>
      <c r="M3" s="422" t="inlineStr">
        <is>
          <t>利確(買:+6% / 売:-6%)</t>
        </is>
      </c>
      <c r="N3" s="423" t="inlineStr">
        <is>
          <t>損切(買:-4% / 売:+4%)</t>
        </is>
      </c>
      <c r="O3" s="110" t="inlineStr">
        <is>
          <t>判断</t>
        </is>
      </c>
      <c r="P3" s="109" t="inlineStr">
        <is>
          <t>直近10日高値</t>
        </is>
      </c>
      <c r="Q3" s="109" t="inlineStr">
        <is>
          <t>直近10日安値</t>
        </is>
      </c>
      <c r="R3" s="109" t="inlineStr">
        <is>
          <t>トレーリングSTOP</t>
        </is>
      </c>
      <c r="S3" s="460" t="inlineStr">
        <is>
          <t>ステータス</t>
        </is>
      </c>
      <c r="T3" s="109" t="inlineStr">
        <is>
          <t>売却日</t>
        </is>
      </c>
      <c r="U3" s="109" t="inlineStr">
        <is>
          <t>売却価格</t>
        </is>
      </c>
      <c r="V3" s="109" t="inlineStr">
        <is>
          <t>確定損益</t>
        </is>
      </c>
      <c r="W3" s="109" t="inlineStr">
        <is>
          <t>保有日数</t>
        </is>
      </c>
      <c r="X3" s="109" t="inlineStr">
        <is>
          <t>備考</t>
        </is>
      </c>
    </row>
    <row r="4" ht="17.25" customHeight="1" s="574">
      <c r="A4" s="408">
        <f>HYPERLINK("https://kabutan.jp/stock/?code="&amp;TEXT(B4,"0000"),"株探")</f>
        <v/>
      </c>
      <c r="B4" s="111" t="n">
        <v>5844</v>
      </c>
      <c r="C4" s="421" t="inlineStr">
        <is>
          <t>買</t>
        </is>
      </c>
      <c r="D4" s="111">
        <f t="array" ref="D4">_xll.RssMarket(B4, "銘柄名称")</f>
        <v/>
      </c>
      <c r="E4" s="698" t="n">
        <v>46188</v>
      </c>
      <c r="F4" s="426" t="n">
        <v>4579</v>
      </c>
      <c r="G4" s="113" t="n">
        <v>100</v>
      </c>
      <c r="H4" s="111">
        <f t="array" ref="H4">_xll.RssMarket($B$4, "現在値")</f>
        <v/>
      </c>
      <c r="I4" s="111">
        <f t="array" ref="I4">_xll.RssMarket($B$4, "出来高加重平均")</f>
        <v/>
      </c>
      <c r="J4" s="111">
        <f t="array" ref="J4">_xll.RssMarket($B4, "前日比")</f>
        <v/>
      </c>
      <c r="K4" s="113">
        <f>IF(OR(F4="",G4="",H4=""),"",IF(C4="売",(F4-H4)*G4,(H4-F4)*G4))</f>
        <v/>
      </c>
      <c r="L4" s="114">
        <f>IF(OR(F4="",H4=""),"",IF(C4="売",(F4-H4)/F4,(H4-F4)/F4))</f>
        <v/>
      </c>
      <c r="M4" s="113">
        <f>IF(F4="","",IF(C4="売",F4*0.94,F4*1.06))</f>
        <v/>
      </c>
      <c r="N4" s="113">
        <f>IF(F4="","",IF(C4="売",F4*1.04,F4*0.96))</f>
        <v/>
      </c>
      <c r="O4" s="113">
        <f>IF(B4="","",IF(H4="","保有中",IF(C4="売",IF(H4&lt;=M4,"🟢利確推奨",IF(H4&lt;=F4*0.95,"🟡利確&amp;TR STOP検討",IF(H4&gt;=N4,"🔴損切推奨",IF(H4&gt;=F4*1.035,"🔴損切間近",IF(H4&gt;=F4*1.03,"⚠️+3%注意","保持継続"))))),IF(H4&gt;=M4,"🟢利確推奨",IF(H4&gt;=F4*1.05,"🟡利確&amp;TR STOP検討",IF(H4&lt;=N4,"🔴損切推奨",IF(H4&lt;=F4*0.965,"🔴損切間近",IF(H4&lt;=F4*0.97,"⚠️-3%注意","保持継続"))))))))</f>
        <v/>
      </c>
      <c r="P4" s="113">
        <f t="array" ref="P4">IF(B4="","",IFERROR(MAX(OFFSET(高値!$E$6,MATCH(TEXT(B4,"0"),TEXT(銘柄管理!$B$6:$B$305,"0"),0)-1,0,1,10)),""))</f>
        <v/>
      </c>
      <c r="Q4" s="113">
        <f t="array" ref="Q4">IF(B4="","",IFERROR(MIN(OFFSET(安値!$E$6,MATCH(TEXT(B4,"0"),TEXT(銘柄管理!$B$6:$B$305,"0"),0)-1,0,1,10)),""))</f>
        <v/>
      </c>
      <c r="R4" s="113">
        <f>IF(P4="","",ROUND(P4*0.97,0))</f>
        <v/>
      </c>
      <c r="S4" s="461">
        <f>IF(B4="","",IF(T4&lt;&gt;"","✅売却済",IF(H4="","📌保有中",IF(C4="売",IF(H4&lt;=M4,"🟢利確推奨",IF(H4&gt;=N4,"🔴損切推奨",IF(H4&gt;=R4,"⚠️STOP推奨","📌保有中"))),IF(H4&gt;=M4,"🟢利確推奨",IF(H4&lt;=N4,"🔴損切推奨",IF(H4&lt;=R4,"⚠️STOP推奨","📌保有中")))))))</f>
        <v/>
      </c>
      <c r="T4" s="111" t="n"/>
      <c r="U4" s="111" t="n"/>
      <c r="V4" s="113">
        <f>IF(OR(F4="",G4="",U4=""),"",IF(C4="売",(F4-U4)*G4,(U4-F4)*G4))</f>
        <v/>
      </c>
      <c r="W4" s="699">
        <f>IF(OR(E4="",B4=""),"",IF(T4&lt;&gt;"",T4-E4,TODAY()-E4))</f>
        <v/>
      </c>
      <c r="X4" s="111" t="n"/>
    </row>
    <row r="5" ht="17.25" customHeight="1" s="574">
      <c r="A5" s="408">
        <f>HYPERLINK("https://kabutan.jp/stock/?code="&amp;TEXT(B5,"0000"),"株探")</f>
        <v/>
      </c>
      <c r="B5" s="111" t="n">
        <v>4676</v>
      </c>
      <c r="C5" s="421" t="inlineStr">
        <is>
          <t>買</t>
        </is>
      </c>
      <c r="D5" s="111">
        <f t="array" ref="D5">_xll.RssMarket(B5, "銘柄名称")</f>
        <v/>
      </c>
      <c r="E5" s="698" t="n">
        <v>46188</v>
      </c>
      <c r="F5" s="426" t="n">
        <v>4104</v>
      </c>
      <c r="G5" s="113" t="n">
        <v>100</v>
      </c>
      <c r="H5" s="111">
        <f t="array" ref="H5">_xll.RssMarket(B5, "現在値")</f>
        <v/>
      </c>
      <c r="I5" s="111">
        <f t="array" ref="I5">_xll.RssMarket($B$4, "出来高加重平均")</f>
        <v/>
      </c>
      <c r="J5" s="111">
        <f t="array" ref="J5">_xll.RssMarket($B5, "前日比")</f>
        <v/>
      </c>
      <c r="K5" s="113">
        <f>IF(OR(F5="",G5="",H5=""),"",IF(C5="売",(F5-H5)*G5,(H5-F5)*G5))</f>
        <v/>
      </c>
      <c r="L5" s="114">
        <f>IF(OR(F5="",H5=""),"",IF(C5="売",(F5-H5)/F5,(H5-F5)/F5))</f>
        <v/>
      </c>
      <c r="M5" s="113">
        <f>IF(F5="","",IF(C5="売",F5*0.94,F5*1.06))</f>
        <v/>
      </c>
      <c r="N5" s="113">
        <f>IF(F5="","",IF(C5="売",F5*1.04,F5*0.96))</f>
        <v/>
      </c>
      <c r="O5" s="113">
        <f>IF(B5="","",IF(H5="","保有中",IF(C5="売",IF(H5&lt;=M5,"🟢利確推奨",IF(H5&lt;=F5*0.95,"🟡利確&amp;TR STOP検討",IF(H5&gt;=N5,"🔴損切推奨",IF(H5&gt;=F5*1.035,"🔴損切間近",IF(H5&gt;=F5*1.03,"⚠️+3%注意","保持継続"))))),IF(H5&gt;=M5,"🟢利確推奨",IF(H5&gt;=F5*1.05,"🟡利確&amp;TR STOP検討",IF(H5&lt;=N5,"🔴損切推奨",IF(H5&lt;=F5*0.965,"🔴損切間近",IF(H5&lt;=F5*0.97,"⚠️-3%注意","保持継続"))))))))</f>
        <v/>
      </c>
      <c r="P5" s="113">
        <f t="array" ref="P5">IF(B5="","",IFERROR(MAX(OFFSET(高値!$E$6,MATCH(TEXT(B5,"0"),TEXT(銘柄管理!$B$6:$B$305,"0"),0)-1,0,1,10)),""))</f>
        <v/>
      </c>
      <c r="Q5" s="113">
        <f t="array" ref="Q5">IF(B5="","",IFERROR(MIN(OFFSET(安値!$E$6,MATCH(TEXT(B5,"0"),TEXT(銘柄管理!$B$6:$B$305,"0"),0)-1,0,1,10)),""))</f>
        <v/>
      </c>
      <c r="R5" s="113">
        <f>IF(P5="","",ROUND(P5*0.97,0))</f>
        <v/>
      </c>
      <c r="S5" s="461">
        <f>IF(B5="","",IF(T5&lt;&gt;"","✅売却済",IF(H5="","📌保有中",IF(C5="売",IF(H5&lt;=M5,"🟢利確推奨",IF(H5&gt;=N5,"🔴損切推奨",IF(H5&gt;=R5,"⚠️STOP推奨","📌保有中"))),IF(H5&gt;=M5,"🟢利確推奨",IF(H5&lt;=N5,"🔴損切推奨",IF(H5&lt;=R5,"⚠️STOP推奨","📌保有中")))))))</f>
        <v/>
      </c>
      <c r="T5" s="111" t="n"/>
      <c r="U5" s="111" t="n"/>
      <c r="V5" s="113">
        <f>IF(OR(F5="",G5="",U5=""),"",IF(C5="売",(F5-U5)*G5,(U5-F5)*G5))</f>
        <v/>
      </c>
      <c r="W5" s="699">
        <f>IF(OR(E5="",B5=""),"",IF(T5&lt;&gt;"",T5-E5,TODAY()-E5))</f>
        <v/>
      </c>
      <c r="X5" s="111" t="n"/>
    </row>
    <row r="6" ht="17.25" customHeight="1" s="574">
      <c r="A6" s="408">
        <f>HYPERLINK("https://kabutan.jp/stock/?code="&amp;TEXT(B6,"0000"),"株探")</f>
        <v/>
      </c>
      <c r="B6" s="111" t="n">
        <v>6178</v>
      </c>
      <c r="C6" s="115" t="inlineStr">
        <is>
          <t>売</t>
        </is>
      </c>
      <c r="D6" s="111">
        <f t="array" ref="D6">_xll.RssMarket(B6, "銘柄名称")</f>
        <v/>
      </c>
      <c r="E6" s="698" t="n">
        <v>46157</v>
      </c>
      <c r="F6" s="426" t="n">
        <v>2221</v>
      </c>
      <c r="G6" s="113" t="n">
        <v>100</v>
      </c>
      <c r="H6" s="111">
        <f t="array" ref="H6">_xll.RssMarket(B6, "現在値")</f>
        <v/>
      </c>
      <c r="I6" s="111">
        <f t="array" ref="I6">_xll.RssMarket($B$4, "出来高加重平均")</f>
        <v/>
      </c>
      <c r="J6" s="111">
        <f t="array" ref="J6">_xll.RssMarket($B6, "前日比")</f>
        <v/>
      </c>
      <c r="K6" s="113">
        <f>IF(OR(F6="",G6="",H6=""),"",IF(C6="売",(F6-H6)*G6,(H6-F6)*G6))</f>
        <v/>
      </c>
      <c r="L6" s="114">
        <f>IF(OR(F6="",H6=""),"",IF(C6="売",(F6-H6)/F6,(H6-F6)/F6))</f>
        <v/>
      </c>
      <c r="M6" s="113">
        <f>IF(F6="","",IF(C6="売",F6*0.94,F6*1.06))</f>
        <v/>
      </c>
      <c r="N6" s="113">
        <f>IF(F6="","",IF(C6="売",F6*1.04,F6*0.96))</f>
        <v/>
      </c>
      <c r="O6" s="113">
        <f>IF(B6="","",IF(H6="","保有中",IF(C6="売",IF(H6&lt;=M6,"🟢利確推奨",IF(H6&lt;=F6*0.95,"🟡利確&amp;TR STOP検討",IF(H6&gt;=N6,"🔴損切推奨",IF(H6&gt;=F6*1.035,"🔴損切間近",IF(H6&gt;=F6*1.03,"⚠️+3%注意","保持継続"))))),IF(H6&gt;=M6,"🟢利確推奨",IF(H6&gt;=F6*1.05,"🟡利確&amp;TR STOP検討",IF(H6&lt;=N6,"🔴損切推奨",IF(H6&lt;=F6*0.965,"🔴損切間近",IF(H6&lt;=F6*0.97,"⚠️-3%注意","保持継続"))))))))</f>
        <v/>
      </c>
      <c r="P6" s="113">
        <f t="array" ref="P6">IF(B6="","",IFERROR(MAX(OFFSET(高値!$E$6,MATCH(TEXT(B6,"0"),TEXT(銘柄管理!$B$6:$B$305,"0"),0)-1,0,1,10)),""))</f>
        <v/>
      </c>
      <c r="Q6" s="113">
        <f t="array" ref="Q6">IF(B6="","",IFERROR(MIN(OFFSET(安値!$E$6,MATCH(TEXT(B6,"0"),TEXT(銘柄管理!$B$6:$B$305,"0"),0)-1,0,1,10)),""))</f>
        <v/>
      </c>
      <c r="R6" s="113">
        <f>IF(P6="","",ROUND(P6*0.97,0))</f>
        <v/>
      </c>
      <c r="S6" s="461">
        <f>IF(B6="","",IF(T6&lt;&gt;"","✅売却済",IF(H6="","📌保有中",IF(C6="売",IF(H6&lt;=M6,"🟢利確推奨",IF(H6&gt;=N6,"🔴損切推奨",IF(H6&gt;=R6,"⚠️STOP推奨","📌保有中"))),IF(H6&gt;=M6,"🟢利確推奨",IF(H6&lt;=N6,"🔴損切推奨",IF(H6&lt;=R6,"⚠️STOP推奨","📌保有中")))))))</f>
        <v/>
      </c>
      <c r="T6" s="111" t="n"/>
      <c r="U6" s="111" t="n"/>
      <c r="V6" s="113">
        <f>IF(OR(F6="",G6="",U6=""),"",IF(C6="売",(F6-U6)*G6,(U6-F6)*G6))</f>
        <v/>
      </c>
      <c r="W6" s="699">
        <f>IF(OR(E6="",B6=""),"",IF(T6&lt;&gt;"",T6-E6,TODAY()-E6))</f>
        <v/>
      </c>
      <c r="X6" s="111" t="n"/>
    </row>
    <row r="7" ht="17.25" customHeight="1" s="574">
      <c r="A7" s="408">
        <f>HYPERLINK("https://kabutan.jp/stock/?code="&amp;TEXT(B7,"0000"),"株探")</f>
        <v/>
      </c>
      <c r="B7" s="111" t="n"/>
      <c r="C7" s="115" t="n"/>
      <c r="D7" s="111">
        <f t="array" ref="D7">_xll.RssMarket(B7, "銘柄名称")</f>
        <v/>
      </c>
      <c r="E7" s="698" t="n"/>
      <c r="F7" s="426" t="n"/>
      <c r="G7" s="111" t="n"/>
      <c r="H7" s="113">
        <f t="array" ref="H7">IF(B7="","",_xll.RssMarket(B7,"現在値"))</f>
        <v/>
      </c>
      <c r="I7" s="113">
        <f t="array" ref="I7">_xll.RssMarket(B7, "出来高加重平均")</f>
        <v/>
      </c>
      <c r="J7" s="113">
        <f t="array" ref="J7">_xll.RssMarket(B7, "前日比")</f>
        <v/>
      </c>
      <c r="K7" s="113">
        <f>IF(OR(F7="",G7="",H7=""),"",IF(C7="売",(F7-H7)*G7,(H7-F7)*G7))</f>
        <v/>
      </c>
      <c r="L7" s="114">
        <f>IF(OR(F7="",H7=""),"",IF(C7="売",(F7-H7)/F7,(H7-F7)/F7))</f>
        <v/>
      </c>
      <c r="M7" s="113">
        <f>IF(F7="","",IF(C7="売",F7*0.94,F7*1.06))</f>
        <v/>
      </c>
      <c r="N7" s="113">
        <f>IF(F7="","",IF(C7="売",F7*1.04,F7*0.96))</f>
        <v/>
      </c>
      <c r="O7" s="113">
        <f>IF(B7="","",IF(H7="","保有中",IF(C7="売",IF(H7&lt;=M7,"🟢利確推奨",IF(H7&lt;=F7*0.95,"🟡利確&amp;TR STOP検討",IF(H7&gt;=N7,"🔴損切推奨",IF(H7&gt;=F7*1.035,"🔴損切間近",IF(H7&gt;=F7*1.03,"⚠️+3%注意","保持継続"))))),IF(H7&gt;=M7,"🟢利確推奨",IF(H7&gt;=F7*1.05,"🟡利確&amp;TR STOP検討",IF(H7&lt;=N7,"🔴損切推奨",IF(H7&lt;=F7*0.965,"🔴損切間近",IF(H7&lt;=F7*0.97,"⚠️-3%注意","保持継続"))))))))</f>
        <v/>
      </c>
      <c r="P7" s="113">
        <f t="array" ref="P7">IF(B7="","",IFERROR(MAX(OFFSET(高値!$E$6,MATCH(TEXT(B7,"0"),TEXT(銘柄管理!$B$6:$B$305,"0"),0)-1,0,1,10)),""))</f>
        <v/>
      </c>
      <c r="Q7" s="113">
        <f t="array" ref="Q7">IF(B7="","",IFERROR(MIN(OFFSET(安値!$E$6,MATCH(TEXT(B7,"0"),TEXT(銘柄管理!$B$6:$B$305,"0"),0)-1,0,1,10)),""))</f>
        <v/>
      </c>
      <c r="R7" s="113">
        <f>IF(P7="","",ROUND(P7*0.97,0))</f>
        <v/>
      </c>
      <c r="S7" s="461">
        <f>IF(B7="","",IF(T7&lt;&gt;"","✅売却済",IF(H7="","📌保有中",IF(C7="売",IF(H7&lt;=M7,"🟢利確推奨",IF(H7&gt;=N7,"🔴損切推奨",IF(H7&gt;=R7,"⚠️STOP推奨","📌保有中"))),IF(H7&gt;=M7,"🟢利確推奨",IF(H7&lt;=N7,"🔴損切推奨",IF(H7&lt;=R7,"⚠️STOP推奨","📌保有中")))))))</f>
        <v/>
      </c>
      <c r="T7" s="111" t="n"/>
      <c r="U7" s="111" t="n"/>
      <c r="V7" s="113">
        <f>IF(OR(F7="",G7="",U7=""),"",IF(C7="売",(F7-U7)*G7,(U7-F7)*G7))</f>
        <v/>
      </c>
      <c r="W7" s="699">
        <f>IF(OR(E7="",B7=""),"",IF(T7&lt;&gt;"",T7-E7,TODAY()-E7))</f>
        <v/>
      </c>
      <c r="X7" s="111" t="n"/>
    </row>
    <row r="8" ht="17.25" customHeight="1" s="574">
      <c r="A8" s="408">
        <f>HYPERLINK("https://kabutan.jp/stock/?code="&amp;TEXT(B8,"0000"),"株探")</f>
        <v/>
      </c>
      <c r="B8" s="111" t="n"/>
      <c r="C8" s="115" t="n"/>
      <c r="D8" s="111">
        <f t="array" ref="D8">_xll.RssMarket(B8, "銘柄名称")</f>
        <v/>
      </c>
      <c r="E8" s="698" t="n"/>
      <c r="F8" s="426" t="n"/>
      <c r="G8" s="111" t="n"/>
      <c r="H8" s="113">
        <f t="array" ref="H8">IF(B8="","",_xll.RssMarket(B8,"現在値"))</f>
        <v/>
      </c>
      <c r="I8" s="113">
        <f t="array" ref="I8">_xll.RssMarket(B8, "出来高加重平均")</f>
        <v/>
      </c>
      <c r="J8" s="113">
        <f t="array" ref="J8">_xll.RssMarket(B8, "前日比")</f>
        <v/>
      </c>
      <c r="K8" s="113">
        <f>IF(OR(F8="",G8="",H8=""),"",IF(C8="売",(F8-H8)*G8,(H8-F8)*G8))</f>
        <v/>
      </c>
      <c r="L8" s="114">
        <f>IF(OR(F8="",H8=""),"",IF(C8="売",(F8-H8)/F8,(H8-F8)/F8))</f>
        <v/>
      </c>
      <c r="M8" s="113">
        <f>IF(F8="","",IF(C8="売",F8*0.94,F8*1.06))</f>
        <v/>
      </c>
      <c r="N8" s="113">
        <f>IF(F8="","",IF(C8="売",F8*1.04,F8*0.96))</f>
        <v/>
      </c>
      <c r="O8" s="113">
        <f>IF(B8="","",IF(H8="","保有中",IF(C8="売",IF(H8&lt;=M8,"🟢利確推奨",IF(H8&lt;=F8*0.95,"🟡利確&amp;TR STOP検討",IF(H8&gt;=N8,"🔴損切推奨",IF(H8&gt;=F8*1.035,"🔴損切間近",IF(H8&gt;=F8*1.03,"⚠️+3%注意","保持継続"))))),IF(H8&gt;=M8,"🟢利確推奨",IF(H8&gt;=F8*1.05,"🟡利確&amp;TR STOP検討",IF(H8&lt;=N8,"🔴損切推奨",IF(H8&lt;=F8*0.965,"🔴損切間近",IF(H8&lt;=F8*0.97,"⚠️-3%注意","保持継続"))))))))</f>
        <v/>
      </c>
      <c r="P8" s="113">
        <f t="array" ref="P8">IF(B8="","",IFERROR(MAX(OFFSET(高値!$E$6,MATCH(TEXT(B8,"0"),TEXT(銘柄管理!$B$6:$B$305,"0"),0)-1,0,1,10)),""))</f>
        <v/>
      </c>
      <c r="Q8" s="113">
        <f t="array" ref="Q8">IF(B8="","",IFERROR(MIN(OFFSET(安値!$E$6,MATCH(TEXT(B8,"0"),TEXT(銘柄管理!$B$6:$B$305,"0"),0)-1,0,1,10)),""))</f>
        <v/>
      </c>
      <c r="R8" s="113">
        <f>IF(P8="","",ROUND(P8*0.97,0))</f>
        <v/>
      </c>
      <c r="S8" s="461">
        <f>IF(B8="","",IF(T8&lt;&gt;"","✅売却済",IF(H8="","📌保有中",IF(C8="売",IF(H8&lt;=M8,"🟢利確推奨",IF(H8&gt;=N8,"🔴損切推奨",IF(H8&gt;=R8,"⚠️STOP推奨","📌保有中"))),IF(H8&gt;=M8,"🟢利確推奨",IF(H8&lt;=N8,"🔴損切推奨",IF(H8&lt;=R8,"⚠️STOP推奨","📌保有中")))))))</f>
        <v/>
      </c>
      <c r="T8" s="111" t="n"/>
      <c r="U8" s="111" t="n"/>
      <c r="V8" s="113">
        <f>IF(OR(F8="",G8="",U8=""),"",IF(C8="売",(F8-U8)*G8,(U8-F8)*G8))</f>
        <v/>
      </c>
      <c r="W8" s="699">
        <f>IF(OR(E8="",B8=""),"",IF(T8&lt;&gt;"",T8-E8,TODAY()-E8))</f>
        <v/>
      </c>
      <c r="X8" s="111" t="n"/>
    </row>
    <row r="9" ht="17.25" customHeight="1" s="574">
      <c r="A9" s="408">
        <f>HYPERLINK("https://kabutan.jp/stock/?code="&amp;TEXT(B9,"0000"),"株探")</f>
        <v/>
      </c>
      <c r="B9" s="111" t="n"/>
      <c r="C9" s="115" t="n"/>
      <c r="D9" s="111">
        <f t="array" ref="D9">_xll.RssMarket(B9, "銘柄名称")</f>
        <v/>
      </c>
      <c r="E9" s="698" t="n"/>
      <c r="F9" s="426" t="n"/>
      <c r="G9" s="111" t="n"/>
      <c r="H9" s="113">
        <f t="array" ref="H9">IF(B9="","",_xll.RssMarket(B9,"現在値"))</f>
        <v/>
      </c>
      <c r="I9" s="113">
        <f t="array" ref="I9">_xll.RssMarket(B9, "出来高加重平均")</f>
        <v/>
      </c>
      <c r="J9" s="113">
        <f t="array" ref="J9">_xll.RssMarket(B9, "前日比")</f>
        <v/>
      </c>
      <c r="K9" s="113">
        <f>IF(OR(F9="",G9="",H9=""),"",IF(C9="売",(F9-H9)*G9,(H9-F9)*G9))</f>
        <v/>
      </c>
      <c r="L9" s="114">
        <f>IF(OR(F9="",H9=""),"",IF(C9="売",(F9-H9)/F9,(H9-F9)/F9))</f>
        <v/>
      </c>
      <c r="M9" s="113">
        <f>IF(F9="","",IF(C9="売",F9*0.94,F9*1.06))</f>
        <v/>
      </c>
      <c r="N9" s="113">
        <f>IF(F9="","",IF(C9="売",F9*1.04,F9*0.96))</f>
        <v/>
      </c>
      <c r="O9" s="113">
        <f>IF(B9="","",IF(H9="","保有中",IF(C9="売",IF(H9&lt;=M9,"🟢利確推奨",IF(H9&lt;=F9*0.95,"🟡利確&amp;TR STOP検討",IF(H9&gt;=N9,"🔴損切推奨",IF(H9&gt;=F9*1.035,"🔴損切間近",IF(H9&gt;=F9*1.03,"⚠️+3%注意","保持継続"))))),IF(H9&gt;=M9,"🟢利確推奨",IF(H9&gt;=F9*1.05,"🟡利確&amp;TR STOP検討",IF(H9&lt;=N9,"🔴損切推奨",IF(H9&lt;=F9*0.965,"🔴損切間近",IF(H9&lt;=F9*0.97,"⚠️-3%注意","保持継続"))))))))</f>
        <v/>
      </c>
      <c r="P9" s="113">
        <f t="array" ref="P9">IF(B9="","",IFERROR(MAX(OFFSET(高値!$E$6,MATCH(TEXT(B9,"0"),TEXT(銘柄管理!$B$6:$B$305,"0"),0)-1,0,1,10)),""))</f>
        <v/>
      </c>
      <c r="Q9" s="113">
        <f t="array" ref="Q9">IF(B9="","",IFERROR(MIN(OFFSET(安値!$E$6,MATCH(TEXT(B9,"0"),TEXT(銘柄管理!$B$6:$B$305,"0"),0)-1,0,1,10)),""))</f>
        <v/>
      </c>
      <c r="R9" s="113">
        <f>IF(P9="","",ROUND(P9*0.97,0))</f>
        <v/>
      </c>
      <c r="S9" s="461">
        <f>IF(B9="","",IF(T9&lt;&gt;"","✅売却済",IF(H9="","📌保有中",IF(C9="売",IF(H9&lt;=M9,"🟢利確推奨",IF(H9&gt;=N9,"🔴損切推奨",IF(H9&gt;=R9,"⚠️STOP推奨","📌保有中"))),IF(H9&gt;=M9,"🟢利確推奨",IF(H9&lt;=N9,"🔴損切推奨",IF(H9&lt;=R9,"⚠️STOP推奨","📌保有中")))))))</f>
        <v/>
      </c>
      <c r="T9" s="111" t="n"/>
      <c r="U9" s="111" t="n"/>
      <c r="V9" s="113">
        <f>IF(OR(F9="",G9="",U9=""),"",IF(C9="売",(F9-U9)*G9,(U9-F9)*G9))</f>
        <v/>
      </c>
      <c r="W9" s="699">
        <f>IF(OR(E9="",B9=""),"",IF(T9&lt;&gt;"",T9-E9,TODAY()-E9))</f>
        <v/>
      </c>
      <c r="X9" s="111" t="n"/>
    </row>
    <row r="10" ht="17.25" customHeight="1" s="574">
      <c r="A10" s="408">
        <f>HYPERLINK("https://kabutan.jp/stock/?code="&amp;TEXT(B10,"0000"),"株探")</f>
        <v/>
      </c>
      <c r="B10" s="111" t="n"/>
      <c r="C10" s="115" t="n"/>
      <c r="D10" s="111">
        <f t="array" ref="D10">_xll.RssMarket(B10, "銘柄名称")</f>
        <v/>
      </c>
      <c r="E10" s="698" t="n"/>
      <c r="F10" s="426" t="n"/>
      <c r="G10" s="111" t="n"/>
      <c r="H10" s="113">
        <f t="array" ref="H10">IF(B10="","",_xll.RssMarket(B10,"現在値"))</f>
        <v/>
      </c>
      <c r="I10" s="113">
        <f t="array" ref="I10">_xll.RssMarket(B10, "出来高加重平均")</f>
        <v/>
      </c>
      <c r="J10" s="113">
        <f t="array" ref="J10">_xll.RssMarket(B10, "前日比")</f>
        <v/>
      </c>
      <c r="K10" s="113">
        <f>IF(OR(F10="",G10="",H10=""),"",IF(C10="売",(F10-H10)*G10,(H10-F10)*G10))</f>
        <v/>
      </c>
      <c r="L10" s="114">
        <f>IF(OR(F10="",H10=""),"",IF(C10="売",(F10-H10)/F10,(H10-F10)/F10))</f>
        <v/>
      </c>
      <c r="M10" s="113">
        <f>IF(F10="","",IF(C10="売",F10*0.94,F10*1.06))</f>
        <v/>
      </c>
      <c r="N10" s="113">
        <f>IF(F10="","",IF(C10="売",F10*1.04,F10*0.96))</f>
        <v/>
      </c>
      <c r="O10" s="113">
        <f>IF(B10="","",IF(H10="","保有中",IF(C10="売",IF(H10&lt;=M10,"🟢利確推奨",IF(H10&lt;=F10*0.95,"🟡利確&amp;TR STOP検討",IF(H10&gt;=N10,"🔴損切推奨",IF(H10&gt;=F10*1.035,"🔴損切間近",IF(H10&gt;=F10*1.03,"⚠️+3%注意","保持継続"))))),IF(H10&gt;=M10,"🟢利確推奨",IF(H10&gt;=F10*1.05,"🟡利確&amp;TR STOP検討",IF(H10&lt;=N10,"🔴損切推奨",IF(H10&lt;=F10*0.965,"🔴損切間近",IF(H10&lt;=F10*0.97,"⚠️-3%注意","保持継続"))))))))</f>
        <v/>
      </c>
      <c r="P10" s="113">
        <f t="array" ref="P10">IF(B10="","",IFERROR(MAX(OFFSET(高値!$E$6,MATCH(TEXT(B10,"0"),TEXT(銘柄管理!$B$6:$B$305,"0"),0)-1,0,1,10)),""))</f>
        <v/>
      </c>
      <c r="Q10" s="113">
        <f t="array" ref="Q10">IF(B10="","",IFERROR(MIN(OFFSET(安値!$E$6,MATCH(TEXT(B10,"0"),TEXT(銘柄管理!$B$6:$B$305,"0"),0)-1,0,1,10)),""))</f>
        <v/>
      </c>
      <c r="R10" s="113">
        <f>IF(P10="","",ROUND(P10*0.97,0))</f>
        <v/>
      </c>
      <c r="S10" s="461">
        <f>IF(B10="","",IF(T10&lt;&gt;"","✅売却済",IF(H10="","📌保有中",IF(C10="売",IF(H10&lt;=M10,"🟢利確推奨",IF(H10&gt;=N10,"🔴損切推奨",IF(H10&gt;=R10,"⚠️STOP推奨","📌保有中"))),IF(H10&gt;=M10,"🟢利確推奨",IF(H10&lt;=N10,"🔴損切推奨",IF(H10&lt;=R10,"⚠️STOP推奨","📌保有中")))))))</f>
        <v/>
      </c>
      <c r="T10" s="111" t="n"/>
      <c r="U10" s="111" t="n"/>
      <c r="V10" s="113">
        <f>IF(OR(F10="",G10="",U10=""),"",IF(C10="売",(F10-U10)*G10,(U10-F10)*G10))</f>
        <v/>
      </c>
      <c r="W10" s="699">
        <f>IF(OR(E10="",B10=""),"",IF(T10&lt;&gt;"",T10-E10,TODAY()-E10))</f>
        <v/>
      </c>
      <c r="X10" s="111" t="n"/>
    </row>
    <row r="11" ht="17.25" customHeight="1" s="574">
      <c r="A11" s="408">
        <f>HYPERLINK("https://kabutan.jp/stock/?code="&amp;TEXT(B11,"0000"),"株探")</f>
        <v/>
      </c>
      <c r="B11" s="111" t="n"/>
      <c r="C11" s="115" t="n"/>
      <c r="D11" s="111">
        <f t="array" ref="D11">_xll.RssMarket(B11, "銘柄名称")</f>
        <v/>
      </c>
      <c r="E11" s="698" t="n"/>
      <c r="F11" s="426" t="n"/>
      <c r="G11" s="111" t="n"/>
      <c r="H11" s="113">
        <f t="array" ref="H11">IF(B11="","",_xll.RssMarket(B11,"現在値"))</f>
        <v/>
      </c>
      <c r="I11" s="113">
        <f t="array" ref="I11">_xll.RssMarket(B11, "出来高加重平均")</f>
        <v/>
      </c>
      <c r="J11" s="113">
        <f t="array" ref="J11">_xll.RssMarket(B11, "前日比")</f>
        <v/>
      </c>
      <c r="K11" s="113">
        <f>IF(OR(F11="",G11="",H11=""),"",IF(C11="売",(F11-H11)*G11,(H11-F11)*G11))</f>
        <v/>
      </c>
      <c r="L11" s="114">
        <f>IF(OR(F11="",H11=""),"",IF(C11="売",(F11-H11)/F11,(H11-F11)/F11))</f>
        <v/>
      </c>
      <c r="M11" s="113">
        <f>IF(F11="","",IF(C11="売",F11*0.94,F11*1.06))</f>
        <v/>
      </c>
      <c r="N11" s="113">
        <f>IF(F11="","",IF(C11="売",F11*1.04,F11*0.96))</f>
        <v/>
      </c>
      <c r="O11" s="113">
        <f>IF(B11="","",IF(H11="","保有中",IF(C11="売",IF(H11&lt;=M11,"🟢利確推奨",IF(H11&lt;=F11*0.95,"🟡利確&amp;TR STOP検討",IF(H11&gt;=N11,"🔴損切推奨",IF(H11&gt;=F11*1.035,"🔴損切間近",IF(H11&gt;=F11*1.03,"⚠️+3%注意","保持継続"))))),IF(H11&gt;=M11,"🟢利確推奨",IF(H11&gt;=F11*1.05,"🟡利確&amp;TR STOP検討",IF(H11&lt;=N11,"🔴損切推奨",IF(H11&lt;=F11*0.965,"🔴損切間近",IF(H11&lt;=F11*0.97,"⚠️-3%注意","保持継続"))))))))</f>
        <v/>
      </c>
      <c r="P11" s="113">
        <f t="array" ref="P11">IF(B11="","",IFERROR(MAX(OFFSET(高値!$E$6,MATCH(TEXT(B11,"0"),TEXT(銘柄管理!$B$6:$B$305,"0"),0)-1,0,1,10)),""))</f>
        <v/>
      </c>
      <c r="Q11" s="113">
        <f t="array" ref="Q11">IF(B11="","",IFERROR(MIN(OFFSET(安値!$E$6,MATCH(TEXT(B11,"0"),TEXT(銘柄管理!$B$6:$B$305,"0"),0)-1,0,1,10)),""))</f>
        <v/>
      </c>
      <c r="R11" s="113">
        <f>IF(P11="","",ROUND(P11*0.97,0))</f>
        <v/>
      </c>
      <c r="S11" s="461">
        <f>IF(B11="","",IF(T11&lt;&gt;"","✅売却済",IF(H11="","📌保有中",IF(C11="売",IF(H11&lt;=M11,"🟢利確推奨",IF(H11&gt;=N11,"🔴損切推奨",IF(H11&gt;=R11,"⚠️STOP推奨","📌保有中"))),IF(H11&gt;=M11,"🟢利確推奨",IF(H11&lt;=N11,"🔴損切推奨",IF(H11&lt;=R11,"⚠️STOP推奨","📌保有中")))))))</f>
        <v/>
      </c>
      <c r="T11" s="111" t="n"/>
      <c r="U11" s="111" t="n"/>
      <c r="V11" s="113">
        <f>IF(OR(F11="",G11="",U11=""),"",IF(C11="売",(F11-U11)*G11,(U11-F11)*G11))</f>
        <v/>
      </c>
      <c r="W11" s="699">
        <f>IF(OR(E11="",B11=""),"",IF(T11&lt;&gt;"",T11-E11,TODAY()-E11))</f>
        <v/>
      </c>
      <c r="X11" s="111" t="n"/>
    </row>
    <row r="12" ht="17.25" customHeight="1" s="574">
      <c r="A12" s="408">
        <f>HYPERLINK("https://kabutan.jp/stock/?code="&amp;TEXT(B12,"0000"),"株探")</f>
        <v/>
      </c>
      <c r="B12" s="111" t="n"/>
      <c r="C12" s="115" t="n"/>
      <c r="D12" s="111">
        <f t="array" ref="D12">_xll.RssMarket(B12, "銘柄名称")</f>
        <v/>
      </c>
      <c r="E12" s="698" t="n"/>
      <c r="F12" s="426" t="n"/>
      <c r="G12" s="111" t="n"/>
      <c r="H12" s="113">
        <f t="array" ref="H12">IF(B12="","",_xll.RssMarket(B12,"現在値"))</f>
        <v/>
      </c>
      <c r="I12" s="113">
        <f t="array" ref="I12">_xll.RssMarket(B12, "出来高加重平均")</f>
        <v/>
      </c>
      <c r="J12" s="113">
        <f t="array" ref="J12">_xll.RssMarket(B12, "前日比")</f>
        <v/>
      </c>
      <c r="K12" s="113">
        <f>IF(OR(F12="",G12="",H12=""),"",IF(C12="売",(F12-H12)*G12,(H12-F12)*G12))</f>
        <v/>
      </c>
      <c r="L12" s="114">
        <f>IF(OR(F12="",H12=""),"",IF(C12="売",(F12-H12)/F12,(H12-F12)/F12))</f>
        <v/>
      </c>
      <c r="M12" s="113">
        <f>IF(F12="","",IF(C12="売",F12*0.94,F12*1.06))</f>
        <v/>
      </c>
      <c r="N12" s="113">
        <f>IF(F12="","",IF(C12="売",F12*1.04,F12*0.96))</f>
        <v/>
      </c>
      <c r="O12" s="113">
        <f>IF(B12="","",IF(H12="","保有中",IF(C12="売",IF(H12&lt;=M12,"🟢利確推奨",IF(H12&lt;=F12*0.95,"🟡利確&amp;TR STOP検討",IF(H12&gt;=N12,"🔴損切推奨",IF(H12&gt;=F12*1.035,"🔴損切間近",IF(H12&gt;=F12*1.03,"⚠️+3%注意","保持継続"))))),IF(H12&gt;=M12,"🟢利確推奨",IF(H12&gt;=F12*1.05,"🟡利確&amp;TR STOP検討",IF(H12&lt;=N12,"🔴損切推奨",IF(H12&lt;=F12*0.965,"🔴損切間近",IF(H12&lt;=F12*0.97,"⚠️-3%注意","保持継続"))))))))</f>
        <v/>
      </c>
      <c r="P12" s="113">
        <f t="array" ref="P12">IF(B12="","",IFERROR(MAX(OFFSET(高値!$E$6,MATCH(TEXT(B12,"0"),TEXT(銘柄管理!$B$6:$B$305,"0"),0)-1,0,1,10)),""))</f>
        <v/>
      </c>
      <c r="Q12" s="113">
        <f t="array" ref="Q12">IF(B12="","",IFERROR(MIN(OFFSET(安値!$E$6,MATCH(TEXT(B12,"0"),TEXT(銘柄管理!$B$6:$B$305,"0"),0)-1,0,1,10)),""))</f>
        <v/>
      </c>
      <c r="R12" s="113">
        <f>IF(P12="","",ROUND(P12*0.97,0))</f>
        <v/>
      </c>
      <c r="S12" s="461">
        <f>IF(B12="","",IF(T12&lt;&gt;"","✅売却済",IF(H12="","📌保有中",IF(C12="売",IF(H12&lt;=M12,"🟢利確推奨",IF(H12&gt;=N12,"🔴損切推奨",IF(H12&gt;=R12,"⚠️STOP推奨","📌保有中"))),IF(H12&gt;=M12,"🟢利確推奨",IF(H12&lt;=N12,"🔴損切推奨",IF(H12&lt;=R12,"⚠️STOP推奨","📌保有中")))))))</f>
        <v/>
      </c>
      <c r="T12" s="111" t="n"/>
      <c r="U12" s="111" t="n"/>
      <c r="V12" s="113">
        <f>IF(OR(F12="",G12="",U12=""),"",IF(C12="売",(F12-U12)*G12,(U12-F12)*G12))</f>
        <v/>
      </c>
      <c r="W12" s="699">
        <f>IF(OR(E12="",B12=""),"",IF(T12&lt;&gt;"",T12-E12,TODAY()-E12))</f>
        <v/>
      </c>
      <c r="X12" s="111" t="n"/>
    </row>
    <row r="13" ht="17.25" customHeight="1" s="574">
      <c r="A13" s="408">
        <f>HYPERLINK("https://kabutan.jp/stock/?code="&amp;TEXT(B13,"0000"),"株探")</f>
        <v/>
      </c>
      <c r="B13" s="111" t="n"/>
      <c r="C13" s="115" t="n"/>
      <c r="D13" s="111">
        <f t="array" ref="D13">_xll.RssMarket(B13, "銘柄名称")</f>
        <v/>
      </c>
      <c r="E13" s="698" t="n"/>
      <c r="F13" s="426" t="n"/>
      <c r="G13" s="111" t="n"/>
      <c r="H13" s="113">
        <f t="array" ref="H13">IF(B13="","",_xll.RssMarket(B13,"現在値"))</f>
        <v/>
      </c>
      <c r="I13" s="113">
        <f t="array" ref="I13">_xll.RssMarket(B13, "出来高加重平均")</f>
        <v/>
      </c>
      <c r="J13" s="113">
        <f t="array" ref="J13">_xll.RssMarket(B13, "前日比")</f>
        <v/>
      </c>
      <c r="K13" s="113">
        <f>IF(OR(F13="",G13="",H13=""),"",IF(C13="売",(F13-H13)*G13,(H13-F13)*G13))</f>
        <v/>
      </c>
      <c r="L13" s="114">
        <f>IF(OR(F13="",H13=""),"",IF(C13="売",(F13-H13)/F13,(H13-F13)/F13))</f>
        <v/>
      </c>
      <c r="M13" s="113">
        <f>IF(F13="","",IF(C13="売",F13*0.94,F13*1.06))</f>
        <v/>
      </c>
      <c r="N13" s="113">
        <f>IF(F13="","",IF(C13="売",F13*1.04,F13*0.96))</f>
        <v/>
      </c>
      <c r="O13" s="113">
        <f>IF(B13="","",IF(H13="","保有中",IF(C13="売",IF(H13&lt;=M13,"🟢利確推奨",IF(H13&lt;=F13*0.95,"🟡利確&amp;TR STOP検討",IF(H13&gt;=N13,"🔴損切推奨",IF(H13&gt;=F13*1.035,"🔴損切間近",IF(H13&gt;=F13*1.03,"⚠️+3%注意","保持継続"))))),IF(H13&gt;=M13,"🟢利確推奨",IF(H13&gt;=F13*1.05,"🟡利確&amp;TR STOP検討",IF(H13&lt;=N13,"🔴損切推奨",IF(H13&lt;=F13*0.965,"🔴損切間近",IF(H13&lt;=F13*0.97,"⚠️-3%注意","保持継続"))))))))</f>
        <v/>
      </c>
      <c r="P13" s="113">
        <f t="array" ref="P13">IF(B13="","",IFERROR(MAX(OFFSET(高値!$E$6,MATCH(TEXT(B13,"0"),TEXT(銘柄管理!$B$6:$B$305,"0"),0)-1,0,1,10)),""))</f>
        <v/>
      </c>
      <c r="Q13" s="113">
        <f t="array" ref="Q13">IF(B13="","",IFERROR(MIN(OFFSET(安値!$E$6,MATCH(TEXT(B13,"0"),TEXT(銘柄管理!$B$6:$B$305,"0"),0)-1,0,1,10)),""))</f>
        <v/>
      </c>
      <c r="R13" s="113">
        <f>IF(P13="","",ROUND(P13*0.97,0))</f>
        <v/>
      </c>
      <c r="S13" s="461">
        <f>IF(B13="","",IF(T13&lt;&gt;"","✅売却済",IF(H13="","📌保有中",IF(C13="売",IF(H13&lt;=M13,"🟢利確推奨",IF(H13&gt;=N13,"🔴損切推奨",IF(H13&gt;=R13,"⚠️STOP推奨","📌保有中"))),IF(H13&gt;=M13,"🟢利確推奨",IF(H13&lt;=N13,"🔴損切推奨",IF(H13&lt;=R13,"⚠️STOP推奨","📌保有中")))))))</f>
        <v/>
      </c>
      <c r="T13" s="111" t="n"/>
      <c r="U13" s="111" t="n"/>
      <c r="V13" s="113">
        <f>IF(OR(F13="",G13="",U13=""),"",IF(C13="売",(F13-U13)*G13,(U13-F13)*G13))</f>
        <v/>
      </c>
      <c r="W13" s="699">
        <f>IF(OR(E13="",B13=""),"",IF(T13&lt;&gt;"",T13-E13,TODAY()-E13))</f>
        <v/>
      </c>
      <c r="X13" s="111" t="n"/>
    </row>
    <row r="14" ht="17.25" customHeight="1" s="574">
      <c r="A14" s="408">
        <f>HYPERLINK("https://kabutan.jp/stock/?code="&amp;TEXT(B14,"0000"),"株探")</f>
        <v/>
      </c>
      <c r="B14" s="111" t="n"/>
      <c r="C14" s="115" t="n"/>
      <c r="D14" s="111">
        <f t="array" ref="D14">_xll.RssMarket(B14, "銘柄名称")</f>
        <v/>
      </c>
      <c r="E14" s="698" t="n"/>
      <c r="F14" s="426" t="n"/>
      <c r="G14" s="111" t="n"/>
      <c r="H14" s="113">
        <f t="array" ref="H14">IF(B14="","",_xll.RssMarket(B14,"現在値"))</f>
        <v/>
      </c>
      <c r="I14" s="113">
        <f t="array" ref="I14">_xll.RssMarket(B14, "出来高加重平均")</f>
        <v/>
      </c>
      <c r="J14" s="113">
        <f t="array" ref="J14">_xll.RssMarket(B14, "前日比")</f>
        <v/>
      </c>
      <c r="K14" s="113">
        <f>IF(OR(F14="",G14="",H14=""),"",IF(C14="売",(F14-H14)*G14,(H14-F14)*G14))</f>
        <v/>
      </c>
      <c r="L14" s="114">
        <f>IF(OR(F14="",H14=""),"",IF(C14="売",(F14-H14)/F14,(H14-F14)/F14))</f>
        <v/>
      </c>
      <c r="M14" s="113">
        <f>IF(F14="","",IF(C14="売",F14*0.94,F14*1.06))</f>
        <v/>
      </c>
      <c r="N14" s="113">
        <f>IF(F14="","",IF(C14="売",F14*1.04,F14*0.96))</f>
        <v/>
      </c>
      <c r="O14" s="113">
        <f>IF(B14="","",IF(H14="","保有中",IF(C14="売",IF(H14&lt;=M14,"🟢利確推奨",IF(H14&lt;=F14*0.95,"🟡利確&amp;TR STOP検討",IF(H14&gt;=N14,"🔴損切推奨",IF(H14&gt;=F14*1.035,"🔴損切間近",IF(H14&gt;=F14*1.03,"⚠️+3%注意","保持継続"))))),IF(H14&gt;=M14,"🟢利確推奨",IF(H14&gt;=F14*1.05,"🟡利確&amp;TR STOP検討",IF(H14&lt;=N14,"🔴損切推奨",IF(H14&lt;=F14*0.965,"🔴損切間近",IF(H14&lt;=F14*0.97,"⚠️-3%注意","保持継続"))))))))</f>
        <v/>
      </c>
      <c r="P14" s="113">
        <f t="array" ref="P14">IF(B14="","",IFERROR(MAX(OFFSET(高値!$E$6,MATCH(TEXT(B14,"0"),TEXT(銘柄管理!$B$6:$B$305,"0"),0)-1,0,1,10)),""))</f>
        <v/>
      </c>
      <c r="Q14" s="113">
        <f t="array" ref="Q14">IF(B14="","",IFERROR(MIN(OFFSET(安値!$E$6,MATCH(TEXT(B14,"0"),TEXT(銘柄管理!$B$6:$B$305,"0"),0)-1,0,1,10)),""))</f>
        <v/>
      </c>
      <c r="R14" s="113">
        <f>IF(P14="","",ROUND(P14*0.97,0))</f>
        <v/>
      </c>
      <c r="S14" s="461">
        <f>IF(B14="","",IF(T14&lt;&gt;"","✅売却済",IF(H14="","📌保有中",IF(C14="売",IF(H14&lt;=M14,"🟢利確推奨",IF(H14&gt;=N14,"🔴損切推奨",IF(H14&gt;=R14,"⚠️STOP推奨","📌保有中"))),IF(H14&gt;=M14,"🟢利確推奨",IF(H14&lt;=N14,"🔴損切推奨",IF(H14&lt;=R14,"⚠️STOP推奨","📌保有中")))))))</f>
        <v/>
      </c>
      <c r="T14" s="111" t="n"/>
      <c r="U14" s="111" t="n"/>
      <c r="V14" s="113">
        <f>IF(OR(F14="",G14="",U14=""),"",IF(C14="売",(F14-U14)*G14,(U14-F14)*G14))</f>
        <v/>
      </c>
      <c r="W14" s="699">
        <f>IF(OR(E14="",B14=""),"",IF(T14&lt;&gt;"",T14-E14,TODAY()-E14))</f>
        <v/>
      </c>
      <c r="X14" s="111" t="n"/>
    </row>
    <row r="15" ht="17.25" customHeight="1" s="574">
      <c r="A15" s="408">
        <f>HYPERLINK("https://kabutan.jp/stock/?code="&amp;TEXT(B15,"0000"),"株探")</f>
        <v/>
      </c>
      <c r="B15" s="111" t="n"/>
      <c r="C15" s="115" t="n"/>
      <c r="D15" s="111">
        <f t="array" ref="D15">_xll.RssMarket(B15, "銘柄名称")</f>
        <v/>
      </c>
      <c r="E15" s="698" t="n"/>
      <c r="F15" s="426" t="n"/>
      <c r="G15" s="111" t="n"/>
      <c r="H15" s="113">
        <f t="array" ref="H15">IF(B15="","",_xll.RssMarket(B15,"現在値"))</f>
        <v/>
      </c>
      <c r="I15" s="113">
        <f t="array" ref="I15">_xll.RssMarket(B15, "出来高加重平均")</f>
        <v/>
      </c>
      <c r="J15" s="113">
        <f t="array" ref="J15">_xll.RssMarket(B15, "前日比")</f>
        <v/>
      </c>
      <c r="K15" s="113">
        <f>IF(OR(F15="",G15="",H15=""),"",IF(C15="売",(F15-H15)*G15,(H15-F15)*G15))</f>
        <v/>
      </c>
      <c r="L15" s="114">
        <f>IF(OR(F15="",H15=""),"",IF(C15="売",(F15-H15)/F15,(H15-F15)/F15))</f>
        <v/>
      </c>
      <c r="M15" s="113">
        <f>IF(F15="","",IF(C15="売",F15*0.94,F15*1.06))</f>
        <v/>
      </c>
      <c r="N15" s="113">
        <f>IF(F15="","",IF(C15="売",F15*1.04,F15*0.96))</f>
        <v/>
      </c>
      <c r="O15" s="113">
        <f>IF(B15="","",IF(H15="","保有中",IF(C15="売",IF(H15&lt;=M15,"🟢利確推奨",IF(H15&lt;=F15*0.95,"🟡利確&amp;TR STOP検討",IF(H15&gt;=N15,"🔴損切推奨",IF(H15&gt;=F15*1.035,"🔴損切間近",IF(H15&gt;=F15*1.03,"⚠️+3%注意","保持継続"))))),IF(H15&gt;=M15,"🟢利確推奨",IF(H15&gt;=F15*1.05,"🟡利確&amp;TR STOP検討",IF(H15&lt;=N15,"🔴損切推奨",IF(H15&lt;=F15*0.965,"🔴損切間近",IF(H15&lt;=F15*0.97,"⚠️-3%注意","保持継続"))))))))</f>
        <v/>
      </c>
      <c r="P15" s="113">
        <f t="array" ref="P15">IF(B15="","",IFERROR(MAX(OFFSET(高値!$E$6,MATCH(TEXT(B15,"0"),TEXT(銘柄管理!$B$6:$B$305,"0"),0)-1,0,1,10)),""))</f>
        <v/>
      </c>
      <c r="Q15" s="113">
        <f t="array" ref="Q15">IF(B15="","",IFERROR(MIN(OFFSET(安値!$E$6,MATCH(TEXT(B15,"0"),TEXT(銘柄管理!$B$6:$B$305,"0"),0)-1,0,1,10)),""))</f>
        <v/>
      </c>
      <c r="R15" s="113">
        <f>IF(P15="","",ROUND(P15*0.97,0))</f>
        <v/>
      </c>
      <c r="S15" s="461">
        <f>IF(B15="","",IF(T15&lt;&gt;"","✅売却済",IF(H15="","📌保有中",IF(C15="売",IF(H15&lt;=M15,"🟢利確推奨",IF(H15&gt;=N15,"🔴損切推奨",IF(H15&gt;=R15,"⚠️STOP推奨","📌保有中"))),IF(H15&gt;=M15,"🟢利確推奨",IF(H15&lt;=N15,"🔴損切推奨",IF(H15&lt;=R15,"⚠️STOP推奨","📌保有中")))))))</f>
        <v/>
      </c>
      <c r="T15" s="111" t="n"/>
      <c r="U15" s="111" t="n"/>
      <c r="V15" s="113">
        <f>IF(OR(F15="",G15="",U15=""),"",IF(C15="売",(F15-U15)*G15,(U15-F15)*G15))</f>
        <v/>
      </c>
      <c r="W15" s="699">
        <f>IF(OR(E15="",B15=""),"",IF(T15&lt;&gt;"",T15-E15,TODAY()-E15))</f>
        <v/>
      </c>
      <c r="X15" s="111" t="n"/>
    </row>
    <row r="16" ht="17.25" customHeight="1" s="574">
      <c r="A16" s="408">
        <f>HYPERLINK("https://kabutan.jp/stock/?code="&amp;TEXT(B16,"0000"),"株探")</f>
        <v/>
      </c>
      <c r="B16" s="111" t="n"/>
      <c r="C16" s="115" t="n"/>
      <c r="D16" s="111">
        <f t="array" ref="D16">_xll.RssMarket(B16, "銘柄名称")</f>
        <v/>
      </c>
      <c r="E16" s="698" t="n"/>
      <c r="F16" s="426" t="n"/>
      <c r="G16" s="111" t="n"/>
      <c r="H16" s="113">
        <f t="array" ref="H16">IF(B16="","",_xll.RssMarket(B16,"現在値"))</f>
        <v/>
      </c>
      <c r="I16" s="113">
        <f t="array" ref="I16">_xll.RssMarket(B16, "出来高加重平均")</f>
        <v/>
      </c>
      <c r="J16" s="113">
        <f t="array" ref="J16">_xll.RssMarket(B16, "前日比")</f>
        <v/>
      </c>
      <c r="K16" s="113">
        <f>IF(OR(F16="",G16="",H16=""),"",IF(C16="売",(F16-H16)*G16,(H16-F16)*G16))</f>
        <v/>
      </c>
      <c r="L16" s="114">
        <f>IF(OR(F16="",H16=""),"",IF(C16="売",(F16-H16)/F16,(H16-F16)/F16))</f>
        <v/>
      </c>
      <c r="M16" s="113">
        <f>IF(F16="","",IF(C16="売",F16*0.94,F16*1.06))</f>
        <v/>
      </c>
      <c r="N16" s="113">
        <f>IF(F16="","",IF(C16="売",F16*1.04,F16*0.96))</f>
        <v/>
      </c>
      <c r="O16" s="113">
        <f>IF(B16="","",IF(H16="","保有中",IF(C16="売",IF(H16&lt;=M16,"🟢利確推奨",IF(H16&lt;=F16*0.95,"🟡利確&amp;TR STOP検討",IF(H16&gt;=N16,"🔴損切推奨",IF(H16&gt;=F16*1.035,"🔴損切間近",IF(H16&gt;=F16*1.03,"⚠️+3%注意","保持継続"))))),IF(H16&gt;=M16,"🟢利確推奨",IF(H16&gt;=F16*1.05,"🟡利確&amp;TR STOP検討",IF(H16&lt;=N16,"🔴損切推奨",IF(H16&lt;=F16*0.965,"🔴損切間近",IF(H16&lt;=F16*0.97,"⚠️-3%注意","保持継続"))))))))</f>
        <v/>
      </c>
      <c r="P16" s="113">
        <f t="array" ref="P16">IF(B16="","",IFERROR(MAX(OFFSET(高値!$E$6,MATCH(TEXT(B16,"0"),TEXT(銘柄管理!$B$6:$B$305,"0"),0)-1,0,1,10)),""))</f>
        <v/>
      </c>
      <c r="Q16" s="113">
        <f t="array" ref="Q16">IF(B16="","",IFERROR(MIN(OFFSET(安値!$E$6,MATCH(TEXT(B16,"0"),TEXT(銘柄管理!$B$6:$B$305,"0"),0)-1,0,1,10)),""))</f>
        <v/>
      </c>
      <c r="R16" s="113">
        <f>IF(P16="","",ROUND(P16*0.97,0))</f>
        <v/>
      </c>
      <c r="S16" s="461">
        <f>IF(B16="","",IF(T16&lt;&gt;"","✅売却済",IF(H16="","📌保有中",IF(C16="売",IF(H16&lt;=M16,"🟢利確推奨",IF(H16&gt;=N16,"🔴損切推奨",IF(H16&gt;=R16,"⚠️STOP推奨","📌保有中"))),IF(H16&gt;=M16,"🟢利確推奨",IF(H16&lt;=N16,"🔴損切推奨",IF(H16&lt;=R16,"⚠️STOP推奨","📌保有中")))))))</f>
        <v/>
      </c>
      <c r="T16" s="111" t="n"/>
      <c r="U16" s="111" t="n"/>
      <c r="V16" s="113">
        <f>IF(OR(F16="",G16="",U16=""),"",IF(C16="売",(F16-U16)*G16,(U16-F16)*G16))</f>
        <v/>
      </c>
      <c r="W16" s="699">
        <f>IF(OR(E16="",B16=""),"",IF(T16&lt;&gt;"",T16-E16,TODAY()-E16))</f>
        <v/>
      </c>
      <c r="X16" s="111" t="n"/>
    </row>
    <row r="17" ht="17.25" customHeight="1" s="574">
      <c r="A17" s="408">
        <f>HYPERLINK("https://kabutan.jp/stock/?code="&amp;TEXT(B17,"0000"),"株探")</f>
        <v/>
      </c>
      <c r="B17" s="111" t="n"/>
      <c r="C17" s="115" t="n"/>
      <c r="D17" s="111">
        <f t="array" ref="D17">_xll.RssMarket(B17, "銘柄名称")</f>
        <v/>
      </c>
      <c r="E17" s="698" t="n"/>
      <c r="F17" s="426" t="n"/>
      <c r="G17" s="111" t="n"/>
      <c r="H17" s="113">
        <f t="array" ref="H17">IF(B17="","",_xll.RssMarket(B17,"現在値"))</f>
        <v/>
      </c>
      <c r="I17" s="113">
        <f t="array" ref="I17">_xll.RssMarket(B17, "出来高加重平均")</f>
        <v/>
      </c>
      <c r="J17" s="113">
        <f t="array" ref="J17">_xll.RssMarket(B17, "前日比")</f>
        <v/>
      </c>
      <c r="K17" s="113">
        <f>IF(OR(F17="",G17="",H17=""),"",IF(C17="売",(F17-H17)*G17,(H17-F17)*G17))</f>
        <v/>
      </c>
      <c r="L17" s="114">
        <f>IF(OR(F17="",H17=""),"",IF(C17="売",(F17-H17)/F17,(H17-F17)/F17))</f>
        <v/>
      </c>
      <c r="M17" s="113">
        <f>IF(F17="","",IF(C17="売",F17*0.94,F17*1.06))</f>
        <v/>
      </c>
      <c r="N17" s="113">
        <f>IF(F17="","",IF(C17="売",F17*1.04,F17*0.96))</f>
        <v/>
      </c>
      <c r="O17" s="113">
        <f>IF(B17="","",IF(H17="","保有中",IF(C17="売",IF(H17&lt;=M17,"🟢利確推奨",IF(H17&lt;=F17*0.95,"🟡利確&amp;TR STOP検討",IF(H17&gt;=N17,"🔴損切推奨",IF(H17&gt;=F17*1.035,"🔴損切間近",IF(H17&gt;=F17*1.03,"⚠️+3%注意","保持継続"))))),IF(H17&gt;=M17,"🟢利確推奨",IF(H17&gt;=F17*1.05,"🟡利確&amp;TR STOP検討",IF(H17&lt;=N17,"🔴損切推奨",IF(H17&lt;=F17*0.965,"🔴損切間近",IF(H17&lt;=F17*0.97,"⚠️-3%注意","保持継続"))))))))</f>
        <v/>
      </c>
      <c r="P17" s="113">
        <f t="array" ref="P17">IF(B17="","",IFERROR(MAX(OFFSET(高値!$E$6,MATCH(TEXT(B17,"0"),TEXT(銘柄管理!$B$6:$B$305,"0"),0)-1,0,1,10)),""))</f>
        <v/>
      </c>
      <c r="Q17" s="113">
        <f t="array" ref="Q17">IF(B17="","",IFERROR(MIN(OFFSET(安値!$E$6,MATCH(TEXT(B17,"0"),TEXT(銘柄管理!$B$6:$B$305,"0"),0)-1,0,1,10)),""))</f>
        <v/>
      </c>
      <c r="R17" s="113">
        <f>IF(P17="","",ROUND(P17*0.97,0))</f>
        <v/>
      </c>
      <c r="S17" s="461">
        <f>IF(B17="","",IF(T17&lt;&gt;"","✅売却済",IF(H17="","📌保有中",IF(C17="売",IF(H17&lt;=M17,"🟢利確推奨",IF(H17&gt;=N17,"🔴損切推奨",IF(H17&gt;=R17,"⚠️STOP推奨","📌保有中"))),IF(H17&gt;=M17,"🟢利確推奨",IF(H17&lt;=N17,"🔴損切推奨",IF(H17&lt;=R17,"⚠️STOP推奨","📌保有中")))))))</f>
        <v/>
      </c>
      <c r="T17" s="111" t="n"/>
      <c r="U17" s="111" t="n"/>
      <c r="V17" s="113">
        <f>IF(OR(F17="",G17="",U17=""),"",IF(C17="売",(F17-U17)*G17,(U17-F17)*G17))</f>
        <v/>
      </c>
      <c r="W17" s="699">
        <f>IF(OR(E17="",B17=""),"",IF(T17&lt;&gt;"",T17-E17,TODAY()-E17))</f>
        <v/>
      </c>
      <c r="X17" s="111" t="n"/>
    </row>
    <row r="18" ht="17.25" customHeight="1" s="574">
      <c r="A18" s="408">
        <f>HYPERLINK("https://kabutan.jp/stock/?code="&amp;TEXT(B18,"0000"),"株探")</f>
        <v/>
      </c>
      <c r="B18" s="111" t="n"/>
      <c r="C18" s="115" t="n"/>
      <c r="D18" s="111">
        <f t="array" ref="D18">_xll.RssMarket(B18, "銘柄名称")</f>
        <v/>
      </c>
      <c r="E18" s="698" t="n"/>
      <c r="F18" s="426" t="n"/>
      <c r="G18" s="111" t="n"/>
      <c r="H18" s="113">
        <f t="array" ref="H18">IF(B18="","",_xll.RssMarket(B18,"現在値"))</f>
        <v/>
      </c>
      <c r="I18" s="113">
        <f t="array" ref="I18">_xll.RssMarket(B18, "出来高加重平均")</f>
        <v/>
      </c>
      <c r="J18" s="113">
        <f t="array" ref="J18">_xll.RssMarket(B18, "前日比")</f>
        <v/>
      </c>
      <c r="K18" s="113">
        <f>IF(OR(F18="",G18="",H18=""),"",IF(C18="売",(F18-H18)*G18,(H18-F18)*G18))</f>
        <v/>
      </c>
      <c r="L18" s="114">
        <f>IF(OR(F18="",H18=""),"",IF(C18="売",(F18-H18)/F18,(H18-F18)/F18))</f>
        <v/>
      </c>
      <c r="M18" s="113">
        <f>IF(F18="","",IF(C18="売",F18*0.94,F18*1.06))</f>
        <v/>
      </c>
      <c r="N18" s="113">
        <f>IF(F18="","",IF(C18="売",F18*1.04,F18*0.96))</f>
        <v/>
      </c>
      <c r="O18" s="113">
        <f>IF(B18="","",IF(H18="","保有中",IF(C18="売",IF(H18&lt;=M18,"🟢利確推奨",IF(H18&lt;=F18*0.95,"🟡利確&amp;TR STOP検討",IF(H18&gt;=N18,"🔴損切推奨",IF(H18&gt;=F18*1.035,"🔴損切間近",IF(H18&gt;=F18*1.03,"⚠️+3%注意","保持継続"))))),IF(H18&gt;=M18,"🟢利確推奨",IF(H18&gt;=F18*1.05,"🟡利確&amp;TR STOP検討",IF(H18&lt;=N18,"🔴損切推奨",IF(H18&lt;=F18*0.965,"🔴損切間近",IF(H18&lt;=F18*0.97,"⚠️-3%注意","保持継続"))))))))</f>
        <v/>
      </c>
      <c r="P18" s="113">
        <f t="array" ref="P18">IF(B18="","",IFERROR(MAX(OFFSET(高値!$E$6,MATCH(TEXT(B18,"0"),TEXT(銘柄管理!$B$6:$B$305,"0"),0)-1,0,1,10)),""))</f>
        <v/>
      </c>
      <c r="Q18" s="113">
        <f t="array" ref="Q18">IF(B18="","",IFERROR(MIN(OFFSET(安値!$E$6,MATCH(TEXT(B18,"0"),TEXT(銘柄管理!$B$6:$B$305,"0"),0)-1,0,1,10)),""))</f>
        <v/>
      </c>
      <c r="R18" s="113">
        <f>IF(P18="","",ROUND(P18*0.97,0))</f>
        <v/>
      </c>
      <c r="S18" s="461">
        <f>IF(B18="","",IF(T18&lt;&gt;"","✅売却済",IF(H18="","📌保有中",IF(C18="売",IF(H18&lt;=M18,"🟢利確推奨",IF(H18&gt;=N18,"🔴損切推奨",IF(H18&gt;=R18,"⚠️STOP推奨","📌保有中"))),IF(H18&gt;=M18,"🟢利確推奨",IF(H18&lt;=N18,"🔴損切推奨",IF(H18&lt;=R18,"⚠️STOP推奨","📌保有中")))))))</f>
        <v/>
      </c>
      <c r="T18" s="111" t="n"/>
      <c r="U18" s="111" t="n"/>
      <c r="V18" s="113">
        <f>IF(OR(F18="",G18="",U18=""),"",IF(C18="売",(F18-U18)*G18,(U18-F18)*G18))</f>
        <v/>
      </c>
      <c r="W18" s="699">
        <f>IF(OR(E18="",B18=""),"",IF(T18&lt;&gt;"",T18-E18,TODAY()-E18))</f>
        <v/>
      </c>
      <c r="X18" s="111" t="n"/>
    </row>
    <row r="19" ht="17.25" customHeight="1" s="574">
      <c r="A19" s="408">
        <f>HYPERLINK("https://kabutan.jp/stock/?code="&amp;TEXT(B19,"0000"),"株探")</f>
        <v/>
      </c>
      <c r="B19" s="111" t="n"/>
      <c r="C19" s="115" t="n"/>
      <c r="D19" s="111">
        <f t="array" ref="D19">_xll.RssMarket(B19, "銘柄名称")</f>
        <v/>
      </c>
      <c r="E19" s="698" t="n"/>
      <c r="F19" s="426" t="n"/>
      <c r="G19" s="111" t="n"/>
      <c r="H19" s="113">
        <f t="array" ref="H19">IF(B19="","",_xll.RssMarket(B19,"現在値"))</f>
        <v/>
      </c>
      <c r="I19" s="113">
        <f t="array" ref="I19">_xll.RssMarket(B19, "出来高加重平均")</f>
        <v/>
      </c>
      <c r="J19" s="113">
        <f t="array" ref="J19">_xll.RssMarket(B19, "前日比")</f>
        <v/>
      </c>
      <c r="K19" s="113">
        <f>IF(OR(F19="",G19="",H19=""),"",IF(C19="売",(F19-H19)*G19,(H19-F19)*G19))</f>
        <v/>
      </c>
      <c r="L19" s="114">
        <f>IF(OR(F19="",H19=""),"",IF(C19="売",(F19-H19)/F19,(H19-F19)/F19))</f>
        <v/>
      </c>
      <c r="M19" s="113">
        <f>IF(F19="","",IF(C19="売",F19*0.94,F19*1.06))</f>
        <v/>
      </c>
      <c r="N19" s="113">
        <f>IF(F19="","",IF(C19="売",F19*1.04,F19*0.96))</f>
        <v/>
      </c>
      <c r="O19" s="113">
        <f>IF(B19="","",IF(H19="","保有中",IF(C19="売",IF(H19&lt;=M19,"🟢利確推奨",IF(H19&lt;=F19*0.95,"🟡利確&amp;TR STOP検討",IF(H19&gt;=N19,"🔴損切推奨",IF(H19&gt;=F19*1.035,"🔴損切間近",IF(H19&gt;=F19*1.03,"⚠️+3%注意","保持継続"))))),IF(H19&gt;=M19,"🟢利確推奨",IF(H19&gt;=F19*1.05,"🟡利確&amp;TR STOP検討",IF(H19&lt;=N19,"🔴損切推奨",IF(H19&lt;=F19*0.965,"🔴損切間近",IF(H19&lt;=F19*0.97,"⚠️-3%注意","保持継続"))))))))</f>
        <v/>
      </c>
      <c r="P19" s="113">
        <f t="array" ref="P19">IF(B19="","",IFERROR(MAX(OFFSET(高値!$E$6,MATCH(TEXT(B19,"0"),TEXT(銘柄管理!$B$6:$B$305,"0"),0)-1,0,1,10)),""))</f>
        <v/>
      </c>
      <c r="Q19" s="113">
        <f t="array" ref="Q19">IF(B19="","",IFERROR(MIN(OFFSET(安値!$E$6,MATCH(TEXT(B19,"0"),TEXT(銘柄管理!$B$6:$B$305,"0"),0)-1,0,1,10)),""))</f>
        <v/>
      </c>
      <c r="R19" s="113">
        <f>IF(P19="","",ROUND(P19*0.97,0))</f>
        <v/>
      </c>
      <c r="S19" s="461">
        <f>IF(B19="","",IF(T19&lt;&gt;"","✅売却済",IF(H19="","📌保有中",IF(C19="売",IF(H19&lt;=M19,"🟢利確推奨",IF(H19&gt;=N19,"🔴損切推奨",IF(H19&gt;=R19,"⚠️STOP推奨","📌保有中"))),IF(H19&gt;=M19,"🟢利確推奨",IF(H19&lt;=N19,"🔴損切推奨",IF(H19&lt;=R19,"⚠️STOP推奨","📌保有中")))))))</f>
        <v/>
      </c>
      <c r="T19" s="111" t="n"/>
      <c r="U19" s="111" t="n"/>
      <c r="V19" s="113">
        <f>IF(OR(F19="",G19="",U19=""),"",IF(C19="売",(F19-U19)*G19,(U19-F19)*G19))</f>
        <v/>
      </c>
      <c r="W19" s="699">
        <f>IF(OR(E19="",B19=""),"",IF(T19&lt;&gt;"",T19-E19,TODAY()-E19))</f>
        <v/>
      </c>
      <c r="X19" s="111" t="n"/>
    </row>
    <row r="20" ht="17.25" customHeight="1" s="574">
      <c r="A20" s="408">
        <f>HYPERLINK("https://kabutan.jp/stock/?code="&amp;TEXT(B20,"0000"),"株探")</f>
        <v/>
      </c>
      <c r="B20" s="111" t="n"/>
      <c r="C20" s="115" t="n"/>
      <c r="D20" s="111">
        <f t="array" ref="D20">_xll.RssMarket(B20, "銘柄名称")</f>
        <v/>
      </c>
      <c r="E20" s="698" t="n"/>
      <c r="F20" s="426" t="n"/>
      <c r="G20" s="111" t="n"/>
      <c r="H20" s="113">
        <f t="array" ref="H20">IF(B20="","",_xll.RssMarket(B20,"現在値"))</f>
        <v/>
      </c>
      <c r="I20" s="113">
        <f t="array" ref="I20">_xll.RssMarket(B20, "出来高加重平均")</f>
        <v/>
      </c>
      <c r="J20" s="113">
        <f t="array" ref="J20">_xll.RssMarket(B20, "前日比")</f>
        <v/>
      </c>
      <c r="K20" s="113">
        <f>IF(OR(F20="",G20="",H20=""),"",IF(C20="売",(F20-H20)*G20,(H20-F20)*G20))</f>
        <v/>
      </c>
      <c r="L20" s="114">
        <f>IF(OR(F20="",H20=""),"",IF(C20="売",(F20-H20)/F20,(H20-F20)/F20))</f>
        <v/>
      </c>
      <c r="M20" s="113">
        <f>IF(F20="","",IF(C20="売",F20*0.94,F20*1.06))</f>
        <v/>
      </c>
      <c r="N20" s="113">
        <f>IF(F20="","",IF(C20="売",F20*1.04,F20*0.96))</f>
        <v/>
      </c>
      <c r="O20" s="113">
        <f>IF(B20="","",IF(H20="","保有中",IF(C20="売",IF(H20&lt;=M20,"🟢利確推奨",IF(H20&lt;=F20*0.95,"🟡利確&amp;TR STOP検討",IF(H20&gt;=N20,"🔴損切推奨",IF(H20&gt;=F20*1.035,"🔴損切間近",IF(H20&gt;=F20*1.03,"⚠️+3%注意","保持継続"))))),IF(H20&gt;=M20,"🟢利確推奨",IF(H20&gt;=F20*1.05,"🟡利確&amp;TR STOP検討",IF(H20&lt;=N20,"🔴損切推奨",IF(H20&lt;=F20*0.965,"🔴損切間近",IF(H20&lt;=F20*0.97,"⚠️-3%注意","保持継続"))))))))</f>
        <v/>
      </c>
      <c r="P20" s="113">
        <f t="array" ref="P20">IF(B20="","",IFERROR(MAX(OFFSET(高値!$E$6,MATCH(TEXT(B20,"0"),TEXT(銘柄管理!$B$6:$B$305,"0"),0)-1,0,1,10)),""))</f>
        <v/>
      </c>
      <c r="Q20" s="113">
        <f t="array" ref="Q20">IF(B20="","",IFERROR(MIN(OFFSET(安値!$E$6,MATCH(TEXT(B20,"0"),TEXT(銘柄管理!$B$6:$B$305,"0"),0)-1,0,1,10)),""))</f>
        <v/>
      </c>
      <c r="R20" s="113">
        <f>IF(P20="","",ROUND(P20*0.97,0))</f>
        <v/>
      </c>
      <c r="S20" s="461">
        <f>IF(B20="","",IF(T20&lt;&gt;"","✅売却済",IF(H20="","📌保有中",IF(C20="売",IF(H20&lt;=M20,"🟢利確推奨",IF(H20&gt;=N20,"🔴損切推奨",IF(H20&gt;=R20,"⚠️STOP推奨","📌保有中"))),IF(H20&gt;=M20,"🟢利確推奨",IF(H20&lt;=N20,"🔴損切推奨",IF(H20&lt;=R20,"⚠️STOP推奨","📌保有中")))))))</f>
        <v/>
      </c>
      <c r="T20" s="111" t="n"/>
      <c r="U20" s="111" t="n"/>
      <c r="V20" s="113">
        <f>IF(OR(F20="",G20="",U20=""),"",IF(C20="売",(F20-U20)*G20,(U20-F20)*G20))</f>
        <v/>
      </c>
      <c r="W20" s="699">
        <f>IF(OR(E20="",B20=""),"",IF(T20&lt;&gt;"",T20-E20,TODAY()-E20))</f>
        <v/>
      </c>
      <c r="X20" s="111" t="n"/>
    </row>
    <row r="21" ht="17.25" customHeight="1" s="574">
      <c r="A21" s="408">
        <f>HYPERLINK("https://kabutan.jp/stock/?code="&amp;TEXT(B21,"0000"),"株探")</f>
        <v/>
      </c>
      <c r="B21" s="111" t="n"/>
      <c r="C21" s="115" t="n"/>
      <c r="D21" s="111">
        <f t="array" ref="D21">_xll.RssMarket(B21, "銘柄名称")</f>
        <v/>
      </c>
      <c r="E21" s="698" t="n"/>
      <c r="F21" s="426" t="n"/>
      <c r="G21" s="111" t="n"/>
      <c r="H21" s="113">
        <f t="array" ref="H21">IF(B21="","",_xll.RssMarket(B21,"現在値"))</f>
        <v/>
      </c>
      <c r="I21" s="113">
        <f t="array" ref="I21">_xll.RssMarket(B21, "出来高加重平均")</f>
        <v/>
      </c>
      <c r="J21" s="113">
        <f t="array" ref="J21">_xll.RssMarket(B21, "前日比")</f>
        <v/>
      </c>
      <c r="K21" s="113">
        <f>IF(OR(F21="",G21="",H21=""),"",IF(C21="売",(F21-H21)*G21,(H21-F21)*G21))</f>
        <v/>
      </c>
      <c r="L21" s="114">
        <f>IF(OR(F21="",H21=""),"",IF(C21="売",(F21-H21)/F21,(H21-F21)/F21))</f>
        <v/>
      </c>
      <c r="M21" s="113">
        <f>IF(F21="","",IF(C21="売",F21*0.94,F21*1.06))</f>
        <v/>
      </c>
      <c r="N21" s="113">
        <f>IF(F21="","",IF(C21="売",F21*1.04,F21*0.96))</f>
        <v/>
      </c>
      <c r="O21" s="113">
        <f>IF(B21="","",IF(H21="","保有中",IF(C21="売",IF(H21&lt;=M21,"🟢利確推奨",IF(H21&lt;=F21*0.95,"🟡利確&amp;TR STOP検討",IF(H21&gt;=N21,"🔴損切推奨",IF(H21&gt;=F21*1.035,"🔴損切間近",IF(H21&gt;=F21*1.03,"⚠️+3%注意","保持継続"))))),IF(H21&gt;=M21,"🟢利確推奨",IF(H21&gt;=F21*1.05,"🟡利確&amp;TR STOP検討",IF(H21&lt;=N21,"🔴損切推奨",IF(H21&lt;=F21*0.965,"🔴損切間近",IF(H21&lt;=F21*0.97,"⚠️-3%注意","保持継続"))))))))</f>
        <v/>
      </c>
      <c r="P21" s="113">
        <f t="array" ref="P21">IF(B21="","",IFERROR(MAX(OFFSET(高値!$E$6,MATCH(TEXT(B21,"0"),TEXT(銘柄管理!$B$6:$B$305,"0"),0)-1,0,1,10)),""))</f>
        <v/>
      </c>
      <c r="Q21" s="113">
        <f t="array" ref="Q21">IF(B21="","",IFERROR(MIN(OFFSET(安値!$E$6,MATCH(TEXT(B21,"0"),TEXT(銘柄管理!$B$6:$B$305,"0"),0)-1,0,1,10)),""))</f>
        <v/>
      </c>
      <c r="R21" s="113">
        <f>IF(P21="","",ROUND(P21*0.97,0))</f>
        <v/>
      </c>
      <c r="S21" s="461">
        <f>IF(B21="","",IF(T21&lt;&gt;"","✅売却済",IF(H21="","📌保有中",IF(C21="売",IF(H21&lt;=M21,"🟢利確推奨",IF(H21&gt;=N21,"🔴損切推奨",IF(H21&gt;=R21,"⚠️STOP推奨","📌保有中"))),IF(H21&gt;=M21,"🟢利確推奨",IF(H21&lt;=N21,"🔴損切推奨",IF(H21&lt;=R21,"⚠️STOP推奨","📌保有中")))))))</f>
        <v/>
      </c>
      <c r="T21" s="111" t="n"/>
      <c r="U21" s="111" t="n"/>
      <c r="V21" s="113">
        <f>IF(OR(F21="",G21="",U21=""),"",IF(C21="売",(F21-U21)*G21,(U21-F21)*G21))</f>
        <v/>
      </c>
      <c r="W21" s="699">
        <f>IF(OR(E21="",B21=""),"",IF(T21&lt;&gt;"",T21-E21,TODAY()-E21))</f>
        <v/>
      </c>
      <c r="X21" s="111" t="n"/>
    </row>
    <row r="22" ht="17.25" customHeight="1" s="574">
      <c r="A22" s="408">
        <f>HYPERLINK("https://kabutan.jp/stock/?code="&amp;TEXT(B22,"0000"),"株探")</f>
        <v/>
      </c>
      <c r="B22" s="111" t="n"/>
      <c r="C22" s="115" t="n"/>
      <c r="D22" s="111">
        <f t="array" ref="D22">_xll.RssMarket(B22, "銘柄名称")</f>
        <v/>
      </c>
      <c r="E22" s="698" t="n"/>
      <c r="F22" s="426" t="n"/>
      <c r="G22" s="111" t="n"/>
      <c r="H22" s="113">
        <f t="array" ref="H22">IF(B22="","",_xll.RssMarket(B22,"現在値"))</f>
        <v/>
      </c>
      <c r="I22" s="113">
        <f t="array" ref="I22">_xll.RssMarket(B22, "出来高加重平均")</f>
        <v/>
      </c>
      <c r="J22" s="113">
        <f t="array" ref="J22">_xll.RssMarket(B22, "前日比")</f>
        <v/>
      </c>
      <c r="K22" s="113">
        <f>IF(OR(F22="",G22="",H22=""),"",IF(C22="売",(F22-H22)*G22,(H22-F22)*G22))</f>
        <v/>
      </c>
      <c r="L22" s="114">
        <f>IF(OR(F22="",H22=""),"",IF(C22="売",(F22-H22)/F22,(H22-F22)/F22))</f>
        <v/>
      </c>
      <c r="M22" s="113">
        <f>IF(F22="","",IF(C22="売",F22*0.94,F22*1.06))</f>
        <v/>
      </c>
      <c r="N22" s="113">
        <f>IF(F22="","",IF(C22="売",F22*1.04,F22*0.96))</f>
        <v/>
      </c>
      <c r="O22" s="113">
        <f>IF(B22="","",IF(H22="","保有中",IF(C22="売",IF(H22&lt;=M22,"🟢利確推奨",IF(H22&lt;=F22*0.95,"🟡利確&amp;TR STOP検討",IF(H22&gt;=N22,"🔴損切推奨",IF(H22&gt;=F22*1.035,"🔴損切間近",IF(H22&gt;=F22*1.03,"⚠️+3%注意","保持継続"))))),IF(H22&gt;=M22,"🟢利確推奨",IF(H22&gt;=F22*1.05,"🟡利確&amp;TR STOP検討",IF(H22&lt;=N22,"🔴損切推奨",IF(H22&lt;=F22*0.965,"🔴損切間近",IF(H22&lt;=F22*0.97,"⚠️-3%注意","保持継続"))))))))</f>
        <v/>
      </c>
      <c r="P22" s="113">
        <f t="array" ref="P22">IF(B22="","",IFERROR(MAX(OFFSET(高値!$E$6,MATCH(TEXT(B22,"0"),TEXT(銘柄管理!$B$6:$B$305,"0"),0)-1,0,1,10)),""))</f>
        <v/>
      </c>
      <c r="Q22" s="113">
        <f t="array" ref="Q22">IF(B22="","",IFERROR(MIN(OFFSET(安値!$E$6,MATCH(TEXT(B22,"0"),TEXT(銘柄管理!$B$6:$B$305,"0"),0)-1,0,1,10)),""))</f>
        <v/>
      </c>
      <c r="R22" s="113">
        <f>IF(P22="","",ROUND(P22*0.97,0))</f>
        <v/>
      </c>
      <c r="S22" s="461">
        <f>IF(B22="","",IF(T22&lt;&gt;"","✅売却済",IF(H22="","📌保有中",IF(C22="売",IF(H22&lt;=M22,"🟢利確推奨",IF(H22&gt;=N22,"🔴損切推奨",IF(H22&gt;=R22,"⚠️STOP推奨","📌保有中"))),IF(H22&gt;=M22,"🟢利確推奨",IF(H22&lt;=N22,"🔴損切推奨",IF(H22&lt;=R22,"⚠️STOP推奨","📌保有中")))))))</f>
        <v/>
      </c>
      <c r="T22" s="111" t="n"/>
      <c r="U22" s="111" t="n"/>
      <c r="V22" s="113">
        <f>IF(OR(F22="",G22="",U22=""),"",IF(C22="売",(F22-U22)*G22,(U22-F22)*G22))</f>
        <v/>
      </c>
      <c r="W22" s="699">
        <f>IF(OR(E22="",B22=""),"",IF(T22&lt;&gt;"",T22-E22,TODAY()-E22))</f>
        <v/>
      </c>
      <c r="X22" s="111" t="n"/>
    </row>
    <row r="23" ht="17.25" customHeight="1" s="574">
      <c r="A23" s="408">
        <f>HYPERLINK("https://kabutan.jp/stock/?code="&amp;TEXT(B23,"0000"),"株探")</f>
        <v/>
      </c>
      <c r="B23" s="111" t="n"/>
      <c r="C23" s="115" t="n"/>
      <c r="D23" s="111">
        <f t="array" ref="D23">_xll.RssMarket(B23, "銘柄名称")</f>
        <v/>
      </c>
      <c r="E23" s="698" t="n"/>
      <c r="F23" s="426" t="n"/>
      <c r="G23" s="111" t="n"/>
      <c r="H23" s="113">
        <f t="array" ref="H23">IF(B23="","",_xll.RssMarket(B23,"現在値"))</f>
        <v/>
      </c>
      <c r="I23" s="113">
        <f t="array" ref="I23">_xll.RssMarket(B23, "出来高加重平均")</f>
        <v/>
      </c>
      <c r="J23" s="113">
        <f t="array" ref="J23">_xll.RssMarket(B23, "前日比")</f>
        <v/>
      </c>
      <c r="K23" s="113">
        <f>IF(OR(F23="",G23="",H23=""),"",IF(C23="売",(F23-H23)*G23,(H23-F23)*G23))</f>
        <v/>
      </c>
      <c r="L23" s="114">
        <f>IF(OR(F23="",H23=""),"",IF(C23="売",(F23-H23)/F23,(H23-F23)/F23))</f>
        <v/>
      </c>
      <c r="M23" s="113">
        <f>IF(F23="","",IF(C23="売",F23*0.94,F23*1.06))</f>
        <v/>
      </c>
      <c r="N23" s="113">
        <f>IF(F23="","",IF(C23="売",F23*1.04,F23*0.96))</f>
        <v/>
      </c>
      <c r="O23" s="113">
        <f>IF(B23="","",IF(H23="","保有中",IF(C23="売",IF(H23&lt;=M23,"🟢利確推奨",IF(H23&lt;=F23*0.95,"🟡利確&amp;TR STOP検討",IF(H23&gt;=N23,"🔴損切推奨",IF(H23&gt;=F23*1.035,"🔴損切間近",IF(H23&gt;=F23*1.03,"⚠️+3%注意","保持継続"))))),IF(H23&gt;=M23,"🟢利確推奨",IF(H23&gt;=F23*1.05,"🟡利確&amp;TR STOP検討",IF(H23&lt;=N23,"🔴損切推奨",IF(H23&lt;=F23*0.965,"🔴損切間近",IF(H23&lt;=F23*0.97,"⚠️-3%注意","保持継続"))))))))</f>
        <v/>
      </c>
      <c r="P23" s="113">
        <f t="array" ref="P23">IF(B23="","",IFERROR(MAX(OFFSET(高値!$E$6,MATCH(TEXT(B23,"0"),TEXT(銘柄管理!$B$6:$B$305,"0"),0)-1,0,1,10)),""))</f>
        <v/>
      </c>
      <c r="Q23" s="113">
        <f t="array" ref="Q23">IF(B23="","",IFERROR(MIN(OFFSET(安値!$E$6,MATCH(TEXT(B23,"0"),TEXT(銘柄管理!$B$6:$B$305,"0"),0)-1,0,1,10)),""))</f>
        <v/>
      </c>
      <c r="R23" s="113">
        <f>IF(P23="","",ROUND(P23*0.97,0))</f>
        <v/>
      </c>
      <c r="S23" s="461">
        <f>IF(B23="","",IF(T23&lt;&gt;"","✅売却済",IF(H23="","📌保有中",IF(C23="売",IF(H23&lt;=M23,"🟢利確推奨",IF(H23&gt;=N23,"🔴損切推奨",IF(H23&gt;=R23,"⚠️STOP推奨","📌保有中"))),IF(H23&gt;=M23,"🟢利確推奨",IF(H23&lt;=N23,"🔴損切推奨",IF(H23&lt;=R23,"⚠️STOP推奨","📌保有中")))))))</f>
        <v/>
      </c>
      <c r="T23" s="111" t="n"/>
      <c r="U23" s="111" t="n"/>
      <c r="V23" s="113">
        <f>IF(OR(F23="",G23="",U23=""),"",IF(C23="売",(F23-U23)*G23,(U23-F23)*G23))</f>
        <v/>
      </c>
      <c r="W23" s="699">
        <f>IF(OR(E23="",B23=""),"",IF(T23&lt;&gt;"",T23-E23,TODAY()-E23))</f>
        <v/>
      </c>
      <c r="X23" s="111" t="n"/>
    </row>
    <row r="24" ht="17.25" customHeight="1" s="574">
      <c r="A24" s="408">
        <f>HYPERLINK("https://kabutan.jp/stock/?code="&amp;TEXT(B24,"0000"),"株探")</f>
        <v/>
      </c>
      <c r="B24" s="111" t="n"/>
      <c r="C24" s="115" t="n"/>
      <c r="D24" s="111">
        <f t="array" ref="D24">_xll.RssMarket(B24, "銘柄名称")</f>
        <v/>
      </c>
      <c r="E24" s="698" t="n"/>
      <c r="F24" s="426" t="n"/>
      <c r="G24" s="111" t="n"/>
      <c r="H24" s="113">
        <f t="array" ref="H24">IF(B24="","",_xll.RssMarket(B24,"現在値"))</f>
        <v/>
      </c>
      <c r="I24" s="113">
        <f t="array" ref="I24">_xll.RssMarket(B24, "出来高加重平均")</f>
        <v/>
      </c>
      <c r="J24" s="113">
        <f t="array" ref="J24">_xll.RssMarket(B24, "前日比")</f>
        <v/>
      </c>
      <c r="K24" s="113">
        <f>IF(OR(F24="",G24="",H24=""),"",IF(C24="売",(F24-H24)*G24,(H24-F24)*G24))</f>
        <v/>
      </c>
      <c r="L24" s="114">
        <f>IF(OR(F24="",H24=""),"",IF(C24="売",(F24-H24)/F24,(H24-F24)/F24))</f>
        <v/>
      </c>
      <c r="M24" s="113">
        <f>IF(F24="","",IF(C24="売",F24*0.94,F24*1.06))</f>
        <v/>
      </c>
      <c r="N24" s="113">
        <f>IF(F24="","",IF(C24="売",F24*1.04,F24*0.96))</f>
        <v/>
      </c>
      <c r="O24" s="113">
        <f>IF(B24="","",IF(H24="","保有中",IF(C24="売",IF(H24&lt;=M24,"🟢利確推奨",IF(H24&lt;=F24*0.95,"🟡利確&amp;TR STOP検討",IF(H24&gt;=N24,"🔴損切推奨",IF(H24&gt;=F24*1.035,"🔴損切間近",IF(H24&gt;=F24*1.03,"⚠️+3%注意","保持継続"))))),IF(H24&gt;=M24,"🟢利確推奨",IF(H24&gt;=F24*1.05,"🟡利確&amp;TR STOP検討",IF(H24&lt;=N24,"🔴損切推奨",IF(H24&lt;=F24*0.965,"🔴損切間近",IF(H24&lt;=F24*0.97,"⚠️-3%注意","保持継続"))))))))</f>
        <v/>
      </c>
      <c r="P24" s="113">
        <f t="array" ref="P24">IF(B24="","",IFERROR(MAX(OFFSET(高値!$E$6,MATCH(TEXT(B24,"0"),TEXT(銘柄管理!$B$6:$B$305,"0"),0)-1,0,1,10)),""))</f>
        <v/>
      </c>
      <c r="Q24" s="113">
        <f t="array" ref="Q24">IF(B24="","",IFERROR(MIN(OFFSET(安値!$E$6,MATCH(TEXT(B24,"0"),TEXT(銘柄管理!$B$6:$B$305,"0"),0)-1,0,1,10)),""))</f>
        <v/>
      </c>
      <c r="R24" s="113">
        <f>IF(P24="","",ROUND(P24*0.97,0))</f>
        <v/>
      </c>
      <c r="S24" s="461">
        <f>IF(B24="","",IF(T24&lt;&gt;"","✅売却済",IF(H24="","📌保有中",IF(C24="売",IF(H24&lt;=M24,"🟢利確推奨",IF(H24&gt;=N24,"🔴損切推奨",IF(H24&gt;=R24,"⚠️STOP推奨","📌保有中"))),IF(H24&gt;=M24,"🟢利確推奨",IF(H24&lt;=N24,"🔴損切推奨",IF(H24&lt;=R24,"⚠️STOP推奨","📌保有中")))))))</f>
        <v/>
      </c>
      <c r="T24" s="111" t="n"/>
      <c r="U24" s="111" t="n"/>
      <c r="V24" s="113">
        <f>IF(OR(F24="",G24="",U24=""),"",IF(C24="売",(F24-U24)*G24,(U24-F24)*G24))</f>
        <v/>
      </c>
      <c r="W24" s="699">
        <f>IF(OR(E24="",B24=""),"",IF(T24&lt;&gt;"",T24-E24,TODAY()-E24))</f>
        <v/>
      </c>
      <c r="X24" s="111" t="n"/>
    </row>
    <row r="25" ht="17.25" customHeight="1" s="574">
      <c r="A25" s="408">
        <f>HYPERLINK("https://kabutan.jp/stock/?code="&amp;TEXT(B25,"0000"),"株探")</f>
        <v/>
      </c>
      <c r="B25" s="111" t="n"/>
      <c r="C25" s="115" t="n"/>
      <c r="D25" s="111">
        <f t="array" ref="D25">_xll.RssMarket(B25, "銘柄名称")</f>
        <v/>
      </c>
      <c r="E25" s="698" t="n"/>
      <c r="F25" s="426" t="n"/>
      <c r="G25" s="111" t="n"/>
      <c r="H25" s="113">
        <f t="array" ref="H25">IF(B25="","",_xll.RssMarket(B25,"現在値"))</f>
        <v/>
      </c>
      <c r="I25" s="113">
        <f t="array" ref="I25">_xll.RssMarket(B25, "出来高加重平均")</f>
        <v/>
      </c>
      <c r="J25" s="113">
        <f t="array" ref="J25">_xll.RssMarket(B25, "前日比")</f>
        <v/>
      </c>
      <c r="K25" s="113">
        <f>IF(OR(F25="",G25="",H25=""),"",IF(C25="売",(F25-H25)*G25,(H25-F25)*G25))</f>
        <v/>
      </c>
      <c r="L25" s="114">
        <f>IF(OR(F25="",H25=""),"",IF(C25="売",(F25-H25)/F25,(H25-F25)/F25))</f>
        <v/>
      </c>
      <c r="M25" s="113">
        <f>IF(F25="","",IF(C25="売",F25*0.94,F25*1.06))</f>
        <v/>
      </c>
      <c r="N25" s="113">
        <f>IF(F25="","",IF(C25="売",F25*1.04,F25*0.96))</f>
        <v/>
      </c>
      <c r="O25" s="113">
        <f>IF(B25="","",IF(H25="","保有中",IF(C25="売",IF(H25&lt;=M25,"🟢利確推奨",IF(H25&lt;=F25*0.95,"🟡利確&amp;TR STOP検討",IF(H25&gt;=N25,"🔴損切推奨",IF(H25&gt;=F25*1.035,"🔴損切間近",IF(H25&gt;=F25*1.03,"⚠️+3%注意","保持継続"))))),IF(H25&gt;=M25,"🟢利確推奨",IF(H25&gt;=F25*1.05,"🟡利確&amp;TR STOP検討",IF(H25&lt;=N25,"🔴損切推奨",IF(H25&lt;=F25*0.965,"🔴損切間近",IF(H25&lt;=F25*0.97,"⚠️-3%注意","保持継続"))))))))</f>
        <v/>
      </c>
      <c r="P25" s="113">
        <f t="array" ref="P25">IF(B25="","",IFERROR(MAX(OFFSET(高値!$E$6,MATCH(TEXT(B25,"0"),TEXT(銘柄管理!$B$6:$B$305,"0"),0)-1,0,1,10)),""))</f>
        <v/>
      </c>
      <c r="Q25" s="113">
        <f t="array" ref="Q25">IF(B25="","",IFERROR(MIN(OFFSET(安値!$E$6,MATCH(TEXT(B25,"0"),TEXT(銘柄管理!$B$6:$B$305,"0"),0)-1,0,1,10)),""))</f>
        <v/>
      </c>
      <c r="R25" s="113">
        <f>IF(P25="","",ROUND(P25*0.97,0))</f>
        <v/>
      </c>
      <c r="S25" s="461">
        <f>IF(B25="","",IF(T25&lt;&gt;"","✅売却済",IF(H25="","📌保有中",IF(C25="売",IF(H25&lt;=M25,"🟢利確推奨",IF(H25&gt;=N25,"🔴損切推奨",IF(H25&gt;=R25,"⚠️STOP推奨","📌保有中"))),IF(H25&gt;=M25,"🟢利確推奨",IF(H25&lt;=N25,"🔴損切推奨",IF(H25&lt;=R25,"⚠️STOP推奨","📌保有中")))))))</f>
        <v/>
      </c>
      <c r="T25" s="111" t="n"/>
      <c r="U25" s="111" t="n"/>
      <c r="V25" s="113">
        <f>IF(OR(F25="",G25="",U25=""),"",IF(C25="売",(F25-U25)*G25,(U25-F25)*G25))</f>
        <v/>
      </c>
      <c r="W25" s="699">
        <f>IF(OR(E25="",B25=""),"",IF(T25&lt;&gt;"",T25-E25,TODAY()-E25))</f>
        <v/>
      </c>
      <c r="X25" s="111" t="n"/>
    </row>
    <row r="26" ht="17.25" customHeight="1" s="574">
      <c r="A26" s="408">
        <f>HYPERLINK("https://kabutan.jp/stock/?code="&amp;TEXT(B26,"0000"),"株探")</f>
        <v/>
      </c>
      <c r="B26" s="111" t="n"/>
      <c r="C26" s="115" t="n"/>
      <c r="D26" s="111">
        <f t="array" ref="D26">_xll.RssMarket(B26, "銘柄名称")</f>
        <v/>
      </c>
      <c r="E26" s="698" t="n"/>
      <c r="F26" s="426" t="n"/>
      <c r="G26" s="111" t="n"/>
      <c r="H26" s="113">
        <f t="array" ref="H26">IF(B26="","",_xll.RssMarket(B26,"現在値"))</f>
        <v/>
      </c>
      <c r="I26" s="113">
        <f t="array" ref="I26">_xll.RssMarket(B26, "出来高加重平均")</f>
        <v/>
      </c>
      <c r="J26" s="113">
        <f t="array" ref="J26">_xll.RssMarket(B26, "前日比")</f>
        <v/>
      </c>
      <c r="K26" s="113">
        <f>IF(OR(F26="",G26="",H26=""),"",IF(C26="売",(F26-H26)*G26,(H26-F26)*G26))</f>
        <v/>
      </c>
      <c r="L26" s="114">
        <f>IF(OR(F26="",H26=""),"",IF(C26="売",(F26-H26)/F26,(H26-F26)/F26))</f>
        <v/>
      </c>
      <c r="M26" s="113">
        <f>IF(F26="","",IF(C26="売",F26*0.94,F26*1.06))</f>
        <v/>
      </c>
      <c r="N26" s="113">
        <f>IF(F26="","",IF(C26="売",F26*1.04,F26*0.96))</f>
        <v/>
      </c>
      <c r="O26" s="113">
        <f>IF(B26="","",IF(H26="","保有中",IF(C26="売",IF(H26&lt;=M26,"🟢利確推奨",IF(H26&lt;=F26*0.95,"🟡利確&amp;TR STOP検討",IF(H26&gt;=N26,"🔴損切推奨",IF(H26&gt;=F26*1.035,"🔴損切間近",IF(H26&gt;=F26*1.03,"⚠️+3%注意","保持継続"))))),IF(H26&gt;=M26,"🟢利確推奨",IF(H26&gt;=F26*1.05,"🟡利確&amp;TR STOP検討",IF(H26&lt;=N26,"🔴損切推奨",IF(H26&lt;=F26*0.965,"🔴損切間近",IF(H26&lt;=F26*0.97,"⚠️-3%注意","保持継続"))))))))</f>
        <v/>
      </c>
      <c r="P26" s="113">
        <f t="array" ref="P26">IF(B26="","",IFERROR(MAX(OFFSET(高値!$E$6,MATCH(TEXT(B26,"0"),TEXT(銘柄管理!$B$6:$B$305,"0"),0)-1,0,1,10)),""))</f>
        <v/>
      </c>
      <c r="Q26" s="113">
        <f t="array" ref="Q26">IF(B26="","",IFERROR(MIN(OFFSET(安値!$E$6,MATCH(TEXT(B26,"0"),TEXT(銘柄管理!$B$6:$B$305,"0"),0)-1,0,1,10)),""))</f>
        <v/>
      </c>
      <c r="R26" s="113">
        <f>IF(P26="","",ROUND(P26*0.97,0))</f>
        <v/>
      </c>
      <c r="S26" s="461">
        <f>IF(B26="","",IF(T26&lt;&gt;"","✅売却済",IF(H26="","📌保有中",IF(C26="売",IF(H26&lt;=M26,"🟢利確推奨",IF(H26&gt;=N26,"🔴損切推奨",IF(H26&gt;=R26,"⚠️STOP推奨","📌保有中"))),IF(H26&gt;=M26,"🟢利確推奨",IF(H26&lt;=N26,"🔴損切推奨",IF(H26&lt;=R26,"⚠️STOP推奨","📌保有中")))))))</f>
        <v/>
      </c>
      <c r="T26" s="111" t="n"/>
      <c r="U26" s="111" t="n"/>
      <c r="V26" s="113">
        <f>IF(OR(F26="",G26="",U26=""),"",IF(C26="売",(F26-U26)*G26,(U26-F26)*G26))</f>
        <v/>
      </c>
      <c r="W26" s="699">
        <f>IF(OR(E26="",B26=""),"",IF(T26&lt;&gt;"",T26-E26,TODAY()-E26))</f>
        <v/>
      </c>
      <c r="X26" s="111" t="n"/>
    </row>
    <row r="27" ht="17.25" customHeight="1" s="574">
      <c r="A27" s="408">
        <f>HYPERLINK("https://kabutan.jp/stock/?code="&amp;TEXT(B27,"0000"),"株探")</f>
        <v/>
      </c>
      <c r="B27" s="111" t="n"/>
      <c r="C27" s="115" t="n"/>
      <c r="D27" s="111">
        <f t="array" ref="D27">IF(B27="","",_xll.RssMarket(B27,"銘柄名称"))</f>
        <v/>
      </c>
      <c r="E27" s="698" t="n"/>
      <c r="F27" s="426" t="n"/>
      <c r="G27" s="111" t="n"/>
      <c r="H27" s="113">
        <f t="array" ref="H27">IF(B27="","",_xll.RssMarket(B27,"現在値"))</f>
        <v/>
      </c>
      <c r="I27" s="113">
        <f t="array" ref="I27">_xll.RssMarket(B27, "出来高加重平均")</f>
        <v/>
      </c>
      <c r="J27" s="113">
        <f t="array" ref="J27">_xll.RssMarket(B27, "前日比")</f>
        <v/>
      </c>
      <c r="K27" s="113">
        <f>IF(OR(F27="",G27="",H27=""),"",IF(C27="売",(F27-H27)*G27,(H27-F27)*G27))</f>
        <v/>
      </c>
      <c r="L27" s="114">
        <f>IF(OR(F27="",H27=""),"",IF(C27="売",(F27-H27)/F27,(H27-F27)/F27))</f>
        <v/>
      </c>
      <c r="M27" s="113">
        <f>IF(F27="","",IF(C27="売",F27*0.94,F27*1.06))</f>
        <v/>
      </c>
      <c r="N27" s="113">
        <f>IF(F27="","",IF(C27="売",F27*1.04,F27*0.96))</f>
        <v/>
      </c>
      <c r="O27" s="113">
        <f>IF(B27="","",IF(H27="","保有中",IF(C27="売",IF(H27&lt;=M27,"🟢利確推奨",IF(H27&lt;=F27*0.95,"🟡利確&amp;TR STOP検討",IF(H27&gt;=N27,"🔴損切推奨",IF(H27&gt;=F27*1.035,"🔴損切間近",IF(H27&gt;=F27*1.03,"⚠️+3%注意","保持継続"))))),IF(H27&gt;=M27,"🟢利確推奨",IF(H27&gt;=F27*1.05,"🟡利確&amp;TR STOP検討",IF(H27&lt;=N27,"🔴損切推奨",IF(H27&lt;=F27*0.965,"🔴損切間近",IF(H27&lt;=F27*0.97,"⚠️-3%注意","保持継続"))))))))</f>
        <v/>
      </c>
      <c r="P27" s="113">
        <f t="array" ref="P27">IF(B27="","",IFERROR(MAX(OFFSET(高値!$E$6,MATCH(TEXT(B27,"0"),TEXT(銘柄管理!$B$6:$B$305,"0"),0)-1,0,1,10)),""))</f>
        <v/>
      </c>
      <c r="Q27" s="113">
        <f t="array" ref="Q27">IF(B27="","",IFERROR(MIN(OFFSET(安値!$E$6,MATCH(TEXT(B27,"0"),TEXT(銘柄管理!$B$6:$B$305,"0"),0)-1,0,1,10)),""))</f>
        <v/>
      </c>
      <c r="R27" s="113">
        <f>IF(P27="","",ROUND(P27*0.97,0))</f>
        <v/>
      </c>
      <c r="S27" s="461">
        <f>IF(B27="","",IF(T27&lt;&gt;"","✅売却済",IF(H27="","📌保有中",IF(C27="売",IF(H27&lt;=M27,"🟢利確推奨",IF(H27&gt;=N27,"🔴損切推奨",IF(H27&gt;=R27,"⚠️STOP推奨","📌保有中"))),IF(H27&gt;=M27,"🟢利確推奨",IF(H27&lt;=N27,"🔴損切推奨",IF(H27&lt;=R27,"⚠️STOP推奨","📌保有中")))))))</f>
        <v/>
      </c>
      <c r="T27" s="111" t="n"/>
      <c r="U27" s="111" t="n"/>
      <c r="V27" s="113">
        <f>IF(OR(F27="",G27="",U27=""),"",IF(C27="売",(F27-U27)*G27,(U27-F27)*G27))</f>
        <v/>
      </c>
      <c r="W27" s="699">
        <f>IF(OR(E27="",B27=""),"",IF(T27&lt;&gt;"",T27-E27,TODAY()-E27))</f>
        <v/>
      </c>
      <c r="X27" s="111" t="n"/>
    </row>
    <row r="28" ht="17.25" customHeight="1" s="574">
      <c r="A28" s="408">
        <f>HYPERLINK("https://kabutan.jp/stock/?code="&amp;TEXT(B28,"0000"),"株探")</f>
        <v/>
      </c>
      <c r="B28" s="111" t="n"/>
      <c r="C28" s="115" t="n"/>
      <c r="D28" s="111">
        <f t="array" ref="D28">IF(B28="","",_xll.RssMarket(B28,"銘柄名称"))</f>
        <v/>
      </c>
      <c r="E28" s="698" t="n"/>
      <c r="F28" s="426" t="n"/>
      <c r="G28" s="111" t="n"/>
      <c r="H28" s="113">
        <f t="array" ref="H28">IF(B28="","",_xll.RssMarket(B28,"現在値"))</f>
        <v/>
      </c>
      <c r="I28" s="113">
        <f t="array" ref="I28">_xll.RssMarket(B28, "出来高加重平均")</f>
        <v/>
      </c>
      <c r="J28" s="113">
        <f t="array" ref="J28">_xll.RssMarket(B28, "前日比")</f>
        <v/>
      </c>
      <c r="K28" s="113">
        <f>IF(OR(F28="",G28="",H28=""),"",IF(C28="売",(F28-H28)*G28,(H28-F28)*G28))</f>
        <v/>
      </c>
      <c r="L28" s="114">
        <f>IF(OR(F28="",H28=""),"",IF(C28="売",(F28-H28)/F28,(H28-F28)/F28))</f>
        <v/>
      </c>
      <c r="M28" s="113">
        <f>IF(F28="","",IF(C28="売",F28*0.94,F28*1.06))</f>
        <v/>
      </c>
      <c r="N28" s="113">
        <f>IF(F28="","",IF(C28="売",F28*1.04,F28*0.96))</f>
        <v/>
      </c>
      <c r="O28" s="113">
        <f>IF(B28="","",IF(H28="","保有中",IF(C28="売",IF(H28&lt;=M28,"🟢利確推奨",IF(H28&lt;=F28*0.95,"🟡利確&amp;TR STOP検討",IF(H28&gt;=N28,"🔴損切推奨",IF(H28&gt;=F28*1.035,"🔴損切間近",IF(H28&gt;=F28*1.03,"⚠️+3%注意","保持継続"))))),IF(H28&gt;=M28,"🟢利確推奨",IF(H28&gt;=F28*1.05,"🟡利確&amp;TR STOP検討",IF(H28&lt;=N28,"🔴損切推奨",IF(H28&lt;=F28*0.965,"🔴損切間近",IF(H28&lt;=F28*0.97,"⚠️-3%注意","保持継続"))))))))</f>
        <v/>
      </c>
      <c r="P28" s="113">
        <f t="array" ref="P28">IF(B28="","",IFERROR(MAX(OFFSET(高値!$E$6,MATCH(TEXT(B28,"0"),TEXT(銘柄管理!$B$6:$B$305,"0"),0)-1,0,1,10)),""))</f>
        <v/>
      </c>
      <c r="Q28" s="113">
        <f t="array" ref="Q28">IF(B28="","",IFERROR(MIN(OFFSET(安値!$E$6,MATCH(TEXT(B28,"0"),TEXT(銘柄管理!$B$6:$B$305,"0"),0)-1,0,1,10)),""))</f>
        <v/>
      </c>
      <c r="R28" s="113">
        <f>IF(P28="","",ROUND(P28*0.97,0))</f>
        <v/>
      </c>
      <c r="S28" s="461">
        <f>IF(B28="","",IF(T28&lt;&gt;"","✅売却済",IF(H28="","📌保有中",IF(C28="売",IF(H28&lt;=M28,"🟢利確推奨",IF(H28&gt;=N28,"🔴損切推奨",IF(H28&gt;=R28,"⚠️STOP推奨","📌保有中"))),IF(H28&gt;=M28,"🟢利確推奨",IF(H28&lt;=N28,"🔴損切推奨",IF(H28&lt;=R28,"⚠️STOP推奨","📌保有中")))))))</f>
        <v/>
      </c>
      <c r="T28" s="111" t="n"/>
      <c r="U28" s="111" t="n"/>
      <c r="V28" s="113">
        <f>IF(OR(F28="",G28="",U28=""),"",IF(C28="売",(F28-U28)*G28,(U28-F28)*G28))</f>
        <v/>
      </c>
      <c r="W28" s="699">
        <f>IF(OR(E28="",B28=""),"",IF(T28&lt;&gt;"",T28-E28,TODAY()-E28))</f>
        <v/>
      </c>
      <c r="X28" s="111" t="n"/>
    </row>
    <row r="29" ht="17.25" customHeight="1" s="574">
      <c r="A29" s="408">
        <f>HYPERLINK("https://kabutan.jp/stock/?code="&amp;TEXT(B29,"0000"),"株探")</f>
        <v/>
      </c>
      <c r="B29" s="111" t="n"/>
      <c r="C29" s="115" t="n"/>
      <c r="D29" s="111">
        <f t="array" ref="D29">IF(B29="","",_xll.RssMarket(B29,"銘柄名称"))</f>
        <v/>
      </c>
      <c r="E29" s="698" t="n"/>
      <c r="F29" s="426" t="n"/>
      <c r="G29" s="111" t="n"/>
      <c r="H29" s="113">
        <f t="array" ref="H29">IF(B29="","",_xll.RssMarket(B29,"現在値"))</f>
        <v/>
      </c>
      <c r="I29" s="113">
        <f t="array" ref="I29">_xll.RssMarket(B29, "出来高加重平均")</f>
        <v/>
      </c>
      <c r="J29" s="113">
        <f t="array" ref="J29">_xll.RssMarket(B29, "前日比")</f>
        <v/>
      </c>
      <c r="K29" s="113">
        <f>IF(OR(F29="",G29="",H29=""),"",IF(C29="売",(F29-H29)*G29,(H29-F29)*G29))</f>
        <v/>
      </c>
      <c r="L29" s="114">
        <f>IF(OR(F29="",H29=""),"",IF(C29="売",(F29-H29)/F29,(H29-F29)/F29))</f>
        <v/>
      </c>
      <c r="M29" s="113">
        <f>IF(F29="","",IF(C29="売",F29*0.94,F29*1.06))</f>
        <v/>
      </c>
      <c r="N29" s="113">
        <f>IF(F29="","",IF(C29="売",F29*1.04,F29*0.96))</f>
        <v/>
      </c>
      <c r="O29" s="113">
        <f>IF(B29="","",IF(H29="","保有中",IF(C29="売",IF(H29&lt;=M29,"🟢利確推奨",IF(H29&lt;=F29*0.95,"🟡利確&amp;TR STOP検討",IF(H29&gt;=N29,"🔴損切推奨",IF(H29&gt;=F29*1.035,"🔴損切間近",IF(H29&gt;=F29*1.03,"⚠️+3%注意","保持継続"))))),IF(H29&gt;=M29,"🟢利確推奨",IF(H29&gt;=F29*1.05,"🟡利確&amp;TR STOP検討",IF(H29&lt;=N29,"🔴損切推奨",IF(H29&lt;=F29*0.965,"🔴損切間近",IF(H29&lt;=F29*0.97,"⚠️-3%注意","保持継続"))))))))</f>
        <v/>
      </c>
      <c r="P29" s="113">
        <f t="array" ref="P29">IF(B29="","",IFERROR(MAX(OFFSET(高値!$E$6,MATCH(TEXT(B29,"0"),TEXT(銘柄管理!$B$6:$B$305,"0"),0)-1,0,1,10)),""))</f>
        <v/>
      </c>
      <c r="Q29" s="113">
        <f t="array" ref="Q29">IF(B29="","",IFERROR(MIN(OFFSET(安値!$E$6,MATCH(TEXT(B29,"0"),TEXT(銘柄管理!$B$6:$B$305,"0"),0)-1,0,1,10)),""))</f>
        <v/>
      </c>
      <c r="R29" s="113">
        <f>IF(P29="","",ROUND(P29*0.97,0))</f>
        <v/>
      </c>
      <c r="S29" s="461">
        <f>IF(B29="","",IF(T29&lt;&gt;"","✅売却済",IF(H29="","📌保有中",IF(C29="売",IF(H29&lt;=M29,"🟢利確推奨",IF(H29&gt;=N29,"🔴損切推奨",IF(H29&gt;=R29,"⚠️STOP推奨","📌保有中"))),IF(H29&gt;=M29,"🟢利確推奨",IF(H29&lt;=N29,"🔴損切推奨",IF(H29&lt;=R29,"⚠️STOP推奨","📌保有中")))))))</f>
        <v/>
      </c>
      <c r="T29" s="111" t="n"/>
      <c r="U29" s="111" t="n"/>
      <c r="V29" s="113">
        <f>IF(OR(F29="",G29="",U29=""),"",IF(C29="売",(F29-U29)*G29,(U29-F29)*G29))</f>
        <v/>
      </c>
      <c r="W29" s="699">
        <f>IF(OR(E29="",B29=""),"",IF(T29&lt;&gt;"",T29-E29,TODAY()-E29))</f>
        <v/>
      </c>
      <c r="X29" s="111" t="n"/>
    </row>
    <row r="30" ht="17.25" customHeight="1" s="574">
      <c r="A30" s="408">
        <f>HYPERLINK("https://kabutan.jp/stock/?code="&amp;TEXT(B30,"0000"),"株探")</f>
        <v/>
      </c>
      <c r="B30" s="111" t="n"/>
      <c r="C30" s="115" t="n"/>
      <c r="D30" s="111">
        <f t="array" ref="D30">IF(B30="","",_xll.RssMarket(B30,"銘柄名称"))</f>
        <v/>
      </c>
      <c r="E30" s="698" t="n"/>
      <c r="F30" s="426" t="n"/>
      <c r="G30" s="111" t="n"/>
      <c r="H30" s="113">
        <f t="array" ref="H30">IF(B30="","",_xll.RssMarket(B30,"現在値"))</f>
        <v/>
      </c>
      <c r="I30" s="113">
        <f t="array" ref="I30">_xll.RssMarket(B30, "出来高加重平均")</f>
        <v/>
      </c>
      <c r="J30" s="113">
        <f t="array" ref="J30">_xll.RssMarket(B30, "前日比")</f>
        <v/>
      </c>
      <c r="K30" s="113">
        <f>IF(OR(F30="",G30="",H30=""),"",IF(C30="売",(F30-H30)*G30,(H30-F30)*G30))</f>
        <v/>
      </c>
      <c r="L30" s="114">
        <f>IF(OR(F30="",H30=""),"",IF(C30="売",(F30-H30)/F30,(H30-F30)/F30))</f>
        <v/>
      </c>
      <c r="M30" s="113">
        <f>IF(F30="","",IF(C30="売",F30*0.94,F30*1.06))</f>
        <v/>
      </c>
      <c r="N30" s="113">
        <f>IF(F30="","",IF(C30="売",F30*1.04,F30*0.96))</f>
        <v/>
      </c>
      <c r="O30" s="113">
        <f>IF(B30="","",IF(H30="","保有中",IF(C30="売",IF(H30&lt;=M30,"🟢利確推奨",IF(H30&lt;=F30*0.95,"🟡利確&amp;TR STOP検討",IF(H30&gt;=N30,"🔴損切推奨",IF(H30&gt;=F30*1.035,"🔴損切間近",IF(H30&gt;=F30*1.03,"⚠️+3%注意","保持継続"))))),IF(H30&gt;=M30,"🟢利確推奨",IF(H30&gt;=F30*1.05,"🟡利確&amp;TR STOP検討",IF(H30&lt;=N30,"🔴損切推奨",IF(H30&lt;=F30*0.965,"🔴損切間近",IF(H30&lt;=F30*0.97,"⚠️-3%注意","保持継続"))))))))</f>
        <v/>
      </c>
      <c r="P30" s="113">
        <f t="array" ref="P30">IF(B30="","",IFERROR(MAX(OFFSET(高値!$E$6,MATCH(TEXT(B30,"0"),TEXT(銘柄管理!$B$6:$B$305,"0"),0)-1,0,1,10)),""))</f>
        <v/>
      </c>
      <c r="Q30" s="113">
        <f t="array" ref="Q30">IF(B30="","",IFERROR(MIN(OFFSET(安値!$E$6,MATCH(TEXT(B30,"0"),TEXT(銘柄管理!$B$6:$B$305,"0"),0)-1,0,1,10)),""))</f>
        <v/>
      </c>
      <c r="R30" s="113">
        <f>IF(P30="","",ROUND(P30*0.97,0))</f>
        <v/>
      </c>
      <c r="S30" s="461">
        <f>IF(B30="","",IF(T30&lt;&gt;"","✅売却済",IF(H30="","📌保有中",IF(C30="売",IF(H30&lt;=M30,"🟢利確推奨",IF(H30&gt;=N30,"🔴損切推奨",IF(H30&gt;=R30,"⚠️STOP推奨","📌保有中"))),IF(H30&gt;=M30,"🟢利確推奨",IF(H30&lt;=N30,"🔴損切推奨",IF(H30&lt;=R30,"⚠️STOP推奨","📌保有中")))))))</f>
        <v/>
      </c>
      <c r="T30" s="111" t="n"/>
      <c r="U30" s="111" t="n"/>
      <c r="V30" s="113">
        <f>IF(OR(F30="",G30="",U30=""),"",IF(C30="売",(F30-U30)*G30,(U30-F30)*G30))</f>
        <v/>
      </c>
      <c r="W30" s="699">
        <f>IF(OR(E30="",B30=""),"",IF(T30&lt;&gt;"",T30-E30,TODAY()-E30))</f>
        <v/>
      </c>
      <c r="X30" s="111" t="n"/>
    </row>
    <row r="31" ht="17.25" customHeight="1" s="574">
      <c r="A31" s="408">
        <f>HYPERLINK("https://kabutan.jp/stock/?code="&amp;TEXT(B31,"0000"),"株探")</f>
        <v/>
      </c>
      <c r="B31" s="111" t="n"/>
      <c r="C31" s="115" t="n"/>
      <c r="D31" s="111">
        <f t="array" ref="D31">IF(B31="","",_xll.RssMarket(B31,"銘柄名称"))</f>
        <v/>
      </c>
      <c r="E31" s="698" t="n"/>
      <c r="F31" s="426" t="n"/>
      <c r="G31" s="111" t="n"/>
      <c r="H31" s="113">
        <f t="array" ref="H31">IF(B31="","",_xll.RssMarket(B31,"現在値"))</f>
        <v/>
      </c>
      <c r="I31" s="113">
        <f t="array" ref="I31">_xll.RssMarket(B31, "出来高加重平均")</f>
        <v/>
      </c>
      <c r="J31" s="113">
        <f t="array" ref="J31">_xll.RssMarket(B31, "前日比")</f>
        <v/>
      </c>
      <c r="K31" s="113">
        <f>IF(OR(F31="",G31="",H31=""),"",IF(C31="売",(F31-H31)*G31,(H31-F31)*G31))</f>
        <v/>
      </c>
      <c r="L31" s="114">
        <f>IF(OR(F31="",H31=""),"",IF(C31="売",(F31-H31)/F31,(H31-F31)/F31))</f>
        <v/>
      </c>
      <c r="M31" s="113">
        <f>IF(F31="","",IF(C31="売",F31*0.94,F31*1.06))</f>
        <v/>
      </c>
      <c r="N31" s="113">
        <f>IF(F31="","",IF(C31="売",F31*1.04,F31*0.96))</f>
        <v/>
      </c>
      <c r="O31" s="113">
        <f>IF(B31="","",IF(H31="","保有中",IF(C31="売",IF(H31&lt;=M31,"🟢利確推奨",IF(H31&lt;=F31*0.95,"🟡利確&amp;TR STOP検討",IF(H31&gt;=N31,"🔴損切推奨",IF(H31&gt;=F31*1.035,"🔴損切間近",IF(H31&gt;=F31*1.03,"⚠️+3%注意","保持継続"))))),IF(H31&gt;=M31,"🟢利確推奨",IF(H31&gt;=F31*1.05,"🟡利確&amp;TR STOP検討",IF(H31&lt;=N31,"🔴損切推奨",IF(H31&lt;=F31*0.965,"🔴損切間近",IF(H31&lt;=F31*0.97,"⚠️-3%注意","保持継続"))))))))</f>
        <v/>
      </c>
      <c r="P31" s="113">
        <f t="array" ref="P31">IF(B31="","",IFERROR(MAX(OFFSET(高値!$E$6,MATCH(TEXT(B31,"0"),TEXT(銘柄管理!$B$6:$B$305,"0"),0)-1,0,1,10)),""))</f>
        <v/>
      </c>
      <c r="Q31" s="113">
        <f t="array" ref="Q31">IF(B31="","",IFERROR(MIN(OFFSET(安値!$E$6,MATCH(TEXT(B31,"0"),TEXT(銘柄管理!$B$6:$B$305,"0"),0)-1,0,1,10)),""))</f>
        <v/>
      </c>
      <c r="R31" s="113">
        <f>IF(P31="","",ROUND(P31*0.97,0))</f>
        <v/>
      </c>
      <c r="S31" s="461">
        <f>IF(B31="","",IF(T31&lt;&gt;"","✅売却済",IF(H31="","📌保有中",IF(C31="売",IF(H31&lt;=M31,"🟢利確推奨",IF(H31&gt;=N31,"🔴損切推奨",IF(H31&gt;=R31,"⚠️STOP推奨","📌保有中"))),IF(H31&gt;=M31,"🟢利確推奨",IF(H31&lt;=N31,"🔴損切推奨",IF(H31&lt;=R31,"⚠️STOP推奨","📌保有中")))))))</f>
        <v/>
      </c>
      <c r="T31" s="111" t="n"/>
      <c r="U31" s="111" t="n"/>
      <c r="V31" s="113">
        <f>IF(OR(F31="",G31="",U31=""),"",IF(C31="売",(F31-U31)*G31,(U31-F31)*G31))</f>
        <v/>
      </c>
      <c r="W31" s="699">
        <f>IF(OR(E31="",B31=""),"",IF(T31&lt;&gt;"",T31-E31,TODAY()-E31))</f>
        <v/>
      </c>
      <c r="X31" s="111" t="n"/>
    </row>
    <row r="32" ht="17.25" customHeight="1" s="574">
      <c r="A32" s="408">
        <f>HYPERLINK("https://kabutan.jp/stock/?code="&amp;TEXT(B32,"0000"),"株探")</f>
        <v/>
      </c>
      <c r="B32" s="111" t="n"/>
      <c r="C32" s="115" t="n"/>
      <c r="D32" s="111">
        <f t="array" ref="D32">IF(B32="","",_xll.RssMarket(B32,"銘柄名称"))</f>
        <v/>
      </c>
      <c r="E32" s="698" t="n"/>
      <c r="F32" s="426" t="n"/>
      <c r="G32" s="111" t="n"/>
      <c r="H32" s="113">
        <f t="array" ref="H32">IF(B32="","",_xll.RssMarket(B32,"現在値"))</f>
        <v/>
      </c>
      <c r="I32" s="113">
        <f t="array" ref="I32">_xll.RssMarket(B32, "出来高加重平均")</f>
        <v/>
      </c>
      <c r="J32" s="113">
        <f t="array" ref="J32">_xll.RssMarket(B32, "前日比")</f>
        <v/>
      </c>
      <c r="K32" s="113">
        <f>IF(OR(F32="",G32="",H32=""),"",IF(C32="売",(F32-H32)*G32,(H32-F32)*G32))</f>
        <v/>
      </c>
      <c r="L32" s="114">
        <f>IF(OR(F32="",H32=""),"",IF(C32="売",(F32-H32)/F32,(H32-F32)/F32))</f>
        <v/>
      </c>
      <c r="M32" s="113">
        <f>IF(F32="","",IF(C32="売",F32*0.94,F32*1.06))</f>
        <v/>
      </c>
      <c r="N32" s="113">
        <f>IF(F32="","",IF(C32="売",F32*1.04,F32*0.96))</f>
        <v/>
      </c>
      <c r="O32" s="113">
        <f>IF(B32="","",IF(H32="","保有中",IF(C32="売",IF(H32&lt;=M32,"🟢利確推奨",IF(H32&lt;=F32*0.95,"🟡利確&amp;TR STOP検討",IF(H32&gt;=N32,"🔴損切推奨",IF(H32&gt;=F32*1.035,"🔴損切間近",IF(H32&gt;=F32*1.03,"⚠️+3%注意","保持継続"))))),IF(H32&gt;=M32,"🟢利確推奨",IF(H32&gt;=F32*1.05,"🟡利確&amp;TR STOP検討",IF(H32&lt;=N32,"🔴損切推奨",IF(H32&lt;=F32*0.965,"🔴損切間近",IF(H32&lt;=F32*0.97,"⚠️-3%注意","保持継続"))))))))</f>
        <v/>
      </c>
      <c r="P32" s="113">
        <f t="array" ref="P32">IF(B32="","",IFERROR(MAX(OFFSET(高値!$E$6,MATCH(TEXT(B32,"0"),TEXT(銘柄管理!$B$6:$B$305,"0"),0)-1,0,1,10)),""))</f>
        <v/>
      </c>
      <c r="Q32" s="113">
        <f t="array" ref="Q32">IF(B32="","",IFERROR(MIN(OFFSET(安値!$E$6,MATCH(TEXT(B32,"0"),TEXT(銘柄管理!$B$6:$B$305,"0"),0)-1,0,1,10)),""))</f>
        <v/>
      </c>
      <c r="R32" s="113">
        <f>IF(P32="","",ROUND(P32*0.97,0))</f>
        <v/>
      </c>
      <c r="S32" s="461">
        <f>IF(B32="","",IF(T32&lt;&gt;"","✅売却済",IF(H32="","📌保有中",IF(C32="売",IF(H32&lt;=M32,"🟢利確推奨",IF(H32&gt;=N32,"🔴損切推奨",IF(H32&gt;=R32,"⚠️STOP推奨","📌保有中"))),IF(H32&gt;=M32,"🟢利確推奨",IF(H32&lt;=N32,"🔴損切推奨",IF(H32&lt;=R32,"⚠️STOP推奨","📌保有中")))))))</f>
        <v/>
      </c>
      <c r="T32" s="111" t="n"/>
      <c r="U32" s="111" t="n"/>
      <c r="V32" s="113">
        <f>IF(OR(F32="",G32="",U32=""),"",IF(C32="売",(F32-U32)*G32,(U32-F32)*G32))</f>
        <v/>
      </c>
      <c r="W32" s="699">
        <f>IF(OR(E32="",B32=""),"",IF(T32&lt;&gt;"",T32-E32,TODAY()-E32))</f>
        <v/>
      </c>
      <c r="X32" s="111" t="n"/>
    </row>
    <row r="33" ht="17.25" customHeight="1" s="574">
      <c r="A33" s="408">
        <f>HYPERLINK("https://kabutan.jp/stock/?code="&amp;TEXT(B33,"0000"),"株探")</f>
        <v/>
      </c>
      <c r="B33" s="111" t="n"/>
      <c r="C33" s="115" t="n"/>
      <c r="D33" s="111">
        <f t="array" ref="D33">IF(B33="","",_xll.RssMarket(B33,"銘柄名称"))</f>
        <v/>
      </c>
      <c r="E33" s="698" t="n"/>
      <c r="F33" s="426" t="n"/>
      <c r="G33" s="111" t="n"/>
      <c r="H33" s="113">
        <f t="array" ref="H33">IF(B33="","",_xll.RssMarket(B33,"現在値"))</f>
        <v/>
      </c>
      <c r="I33" s="113">
        <f t="array" ref="I33">_xll.RssMarket(B33, "出来高加重平均")</f>
        <v/>
      </c>
      <c r="J33" s="113">
        <f t="array" ref="J33">_xll.RssMarket(B33, "前日比")</f>
        <v/>
      </c>
      <c r="K33" s="113">
        <f>IF(OR(F33="",G33="",H33=""),"",IF(C33="売",(F33-H33)*G33,(H33-F33)*G33))</f>
        <v/>
      </c>
      <c r="L33" s="114">
        <f>IF(OR(F33="",H33=""),"",IF(C33="売",(F33-H33)/F33,(H33-F33)/F33))</f>
        <v/>
      </c>
      <c r="M33" s="113">
        <f>IF(F33="","",IF(C33="売",F33*0.94,F33*1.06))</f>
        <v/>
      </c>
      <c r="N33" s="113">
        <f>IF(F33="","",IF(C33="売",F33*1.04,F33*0.96))</f>
        <v/>
      </c>
      <c r="O33" s="113">
        <f>IF(B33="","",IF(H33="","保有中",IF(C33="売",IF(H33&lt;=M33,"🟢利確推奨",IF(H33&lt;=F33*0.95,"🟡利確&amp;TR STOP検討",IF(H33&gt;=N33,"🔴損切推奨",IF(H33&gt;=F33*1.035,"🔴損切間近",IF(H33&gt;=F33*1.03,"⚠️+3%注意","保持継続"))))),IF(H33&gt;=M33,"🟢利確推奨",IF(H33&gt;=F33*1.05,"🟡利確&amp;TR STOP検討",IF(H33&lt;=N33,"🔴損切推奨",IF(H33&lt;=F33*0.965,"🔴損切間近",IF(H33&lt;=F33*0.97,"⚠️-3%注意","保持継続"))))))))</f>
        <v/>
      </c>
      <c r="P33" s="113">
        <f t="array" ref="P33">IF(B33="","",IFERROR(MAX(OFFSET(高値!$E$6,MATCH(TEXT(B33,"0"),TEXT(銘柄管理!$B$6:$B$305,"0"),0)-1,0,1,10)),""))</f>
        <v/>
      </c>
      <c r="Q33" s="113">
        <f t="array" ref="Q33">IF(B33="","",IFERROR(MIN(OFFSET(安値!$E$6,MATCH(TEXT(B33,"0"),TEXT(銘柄管理!$B$6:$B$305,"0"),0)-1,0,1,10)),""))</f>
        <v/>
      </c>
      <c r="R33" s="113">
        <f>IF(P33="","",ROUND(P33*0.97,0))</f>
        <v/>
      </c>
      <c r="S33" s="461">
        <f>IF(B33="","",IF(T33&lt;&gt;"","✅売却済",IF(H33="","📌保有中",IF(C33="売",IF(H33&lt;=M33,"🟢利確推奨",IF(H33&gt;=N33,"🔴損切推奨",IF(H33&gt;=R33,"⚠️STOP推奨","📌保有中"))),IF(H33&gt;=M33,"🟢利確推奨",IF(H33&lt;=N33,"🔴損切推奨",IF(H33&lt;=R33,"⚠️STOP推奨","📌保有中")))))))</f>
        <v/>
      </c>
      <c r="T33" s="111" t="n"/>
      <c r="U33" s="111" t="n"/>
      <c r="V33" s="113">
        <f>IF(OR(F33="",G33="",U33=""),"",IF(C33="売",(F33-U33)*G33,(U33-F33)*G33))</f>
        <v/>
      </c>
      <c r="W33" s="699">
        <f>IF(OR(E33="",B33=""),"",IF(T33&lt;&gt;"",T33-E33,TODAY()-E33))</f>
        <v/>
      </c>
      <c r="X33" s="111" t="n"/>
    </row>
    <row r="34" ht="17.25" customHeight="1" s="574">
      <c r="A34" s="408">
        <f>HYPERLINK("https://kabutan.jp/stock/?code="&amp;TEXT(B34,"0000"),"株探")</f>
        <v/>
      </c>
      <c r="B34" s="111" t="n"/>
      <c r="C34" s="115" t="n"/>
      <c r="D34" s="111">
        <f t="array" ref="D34">IF(B34="","",_xll.RssMarket(B34,"銘柄名称"))</f>
        <v/>
      </c>
      <c r="E34" s="698" t="n"/>
      <c r="F34" s="426" t="n"/>
      <c r="G34" s="111" t="n"/>
      <c r="H34" s="113">
        <f t="array" ref="H34">IF(B34="","",_xll.RssMarket(B34,"現在値"))</f>
        <v/>
      </c>
      <c r="I34" s="113">
        <f t="array" ref="I34">_xll.RssMarket(B34, "出来高加重平均")</f>
        <v/>
      </c>
      <c r="J34" s="113">
        <f t="array" ref="J34">_xll.RssMarket(B34, "前日比")</f>
        <v/>
      </c>
      <c r="K34" s="113">
        <f>IF(OR(F34="",G34="",H34=""),"",IF(C34="売",(F34-H34)*G34,(H34-F34)*G34))</f>
        <v/>
      </c>
      <c r="L34" s="114">
        <f>IF(OR(F34="",H34=""),"",IF(C34="売",(F34-H34)/F34,(H34-F34)/F34))</f>
        <v/>
      </c>
      <c r="M34" s="113">
        <f>IF(F34="","",IF(C34="売",F34*0.94,F34*1.06))</f>
        <v/>
      </c>
      <c r="N34" s="113">
        <f>IF(F34="","",IF(C34="売",F34*1.04,F34*0.96))</f>
        <v/>
      </c>
      <c r="O34" s="113">
        <f>IF(B34="","",IF(H34="","保有中",IF(C34="売",IF(H34&lt;=M34,"🟢利確推奨",IF(H34&lt;=F34*0.95,"🟡利確&amp;TR STOP検討",IF(H34&gt;=N34,"🔴損切推奨",IF(H34&gt;=F34*1.035,"🔴損切間近",IF(H34&gt;=F34*1.03,"⚠️+3%注意","保持継続"))))),IF(H34&gt;=M34,"🟢利確推奨",IF(H34&gt;=F34*1.05,"🟡利確&amp;TR STOP検討",IF(H34&lt;=N34,"🔴損切推奨",IF(H34&lt;=F34*0.965,"🔴損切間近",IF(H34&lt;=F34*0.97,"⚠️-3%注意","保持継続"))))))))</f>
        <v/>
      </c>
      <c r="P34" s="113">
        <f t="array" ref="P34">IF(B34="","",IFERROR(MAX(OFFSET(高値!$E$6,MATCH(TEXT(B34,"0"),TEXT(銘柄管理!$B$6:$B$305,"0"),0)-1,0,1,10)),""))</f>
        <v/>
      </c>
      <c r="Q34" s="113">
        <f t="array" ref="Q34">IF(B34="","",IFERROR(MIN(OFFSET(安値!$E$6,MATCH(TEXT(B34,"0"),TEXT(銘柄管理!$B$6:$B$305,"0"),0)-1,0,1,10)),""))</f>
        <v/>
      </c>
      <c r="R34" s="113">
        <f>IF(P34="","",ROUND(P34*0.97,0))</f>
        <v/>
      </c>
      <c r="S34" s="461">
        <f>IF(B34="","",IF(T34&lt;&gt;"","✅売却済",IF(H34="","📌保有中",IF(C34="売",IF(H34&lt;=M34,"🟢利確推奨",IF(H34&gt;=N34,"🔴損切推奨",IF(H34&gt;=R34,"⚠️STOP推奨","📌保有中"))),IF(H34&gt;=M34,"🟢利確推奨",IF(H34&lt;=N34,"🔴損切推奨",IF(H34&lt;=R34,"⚠️STOP推奨","📌保有中")))))))</f>
        <v/>
      </c>
      <c r="T34" s="111" t="n"/>
      <c r="U34" s="111" t="n"/>
      <c r="V34" s="113">
        <f>IF(OR(F34="",G34="",U34=""),"",IF(C34="売",(F34-U34)*G34,(U34-F34)*G34))</f>
        <v/>
      </c>
      <c r="W34" s="699">
        <f>IF(OR(E34="",B34=""),"",IF(T34&lt;&gt;"",T34-E34,TODAY()-E34))</f>
        <v/>
      </c>
      <c r="X34" s="111" t="n"/>
    </row>
    <row r="35" ht="17.25" customHeight="1" s="574">
      <c r="A35" s="408">
        <f>HYPERLINK("https://kabutan.jp/stock/?code="&amp;TEXT(B35,"0000"),"株探")</f>
        <v/>
      </c>
      <c r="B35" s="111" t="n"/>
      <c r="C35" s="115" t="n"/>
      <c r="D35" s="111">
        <f t="array" ref="D35">IF(B35="","",_xll.RssMarket(B35,"銘柄名称"))</f>
        <v/>
      </c>
      <c r="E35" s="698" t="n"/>
      <c r="F35" s="426" t="n"/>
      <c r="G35" s="111" t="n"/>
      <c r="H35" s="113">
        <f t="array" ref="H35">IF(B35="","",_xll.RssMarket(B35,"現在値"))</f>
        <v/>
      </c>
      <c r="I35" s="113">
        <f t="array" ref="I35">_xll.RssMarket(B35, "出来高加重平均")</f>
        <v/>
      </c>
      <c r="J35" s="113">
        <f t="array" ref="J35">_xll.RssMarket(B35, "前日比")</f>
        <v/>
      </c>
      <c r="K35" s="113">
        <f>IF(OR(F35="",G35="",H35=""),"",IF(C35="売",(F35-H35)*G35,(H35-F35)*G35))</f>
        <v/>
      </c>
      <c r="L35" s="114">
        <f>IF(OR(F35="",H35=""),"",IF(C35="売",(F35-H35)/F35,(H35-F35)/F35))</f>
        <v/>
      </c>
      <c r="M35" s="113">
        <f>IF(F35="","",IF(C35="売",F35*0.94,F35*1.06))</f>
        <v/>
      </c>
      <c r="N35" s="113">
        <f>IF(F35="","",IF(C35="売",F35*1.04,F35*0.96))</f>
        <v/>
      </c>
      <c r="O35" s="113">
        <f>IF(B35="","",IF(H35="","保有中",IF(C35="売",IF(H35&lt;=M35,"🟢利確推奨",IF(H35&lt;=F35*0.95,"🟡利確&amp;TR STOP検討",IF(H35&gt;=N35,"🔴損切推奨",IF(H35&gt;=F35*1.035,"🔴損切間近",IF(H35&gt;=F35*1.03,"⚠️+3%注意","保持継続"))))),IF(H35&gt;=M35,"🟢利確推奨",IF(H35&gt;=F35*1.05,"🟡利確&amp;TR STOP検討",IF(H35&lt;=N35,"🔴損切推奨",IF(H35&lt;=F35*0.965,"🔴損切間近",IF(H35&lt;=F35*0.97,"⚠️-3%注意","保持継続"))))))))</f>
        <v/>
      </c>
      <c r="P35" s="113">
        <f t="array" ref="P35">IF(B35="","",IFERROR(MAX(OFFSET(高値!$E$6,MATCH(TEXT(B35,"0"),TEXT(銘柄管理!$B$6:$B$305,"0"),0)-1,0,1,10)),""))</f>
        <v/>
      </c>
      <c r="Q35" s="113">
        <f t="array" ref="Q35">IF(B35="","",IFERROR(MIN(OFFSET(安値!$E$6,MATCH(TEXT(B35,"0"),TEXT(銘柄管理!$B$6:$B$305,"0"),0)-1,0,1,10)),""))</f>
        <v/>
      </c>
      <c r="R35" s="113">
        <f>IF(P35="","",ROUND(P35*0.97,0))</f>
        <v/>
      </c>
      <c r="S35" s="461">
        <f>IF(B35="","",IF(T35&lt;&gt;"","✅売却済",IF(H35="","📌保有中",IF(C35="売",IF(H35&lt;=M35,"🟢利確推奨",IF(H35&gt;=N35,"🔴損切推奨",IF(H35&gt;=R35,"⚠️STOP推奨","📌保有中"))),IF(H35&gt;=M35,"🟢利確推奨",IF(H35&lt;=N35,"🔴損切推奨",IF(H35&lt;=R35,"⚠️STOP推奨","📌保有中")))))))</f>
        <v/>
      </c>
      <c r="T35" s="111" t="n"/>
      <c r="U35" s="111" t="n"/>
      <c r="V35" s="113">
        <f>IF(OR(F35="",G35="",U35=""),"",IF(C35="売",(F35-U35)*G35,(U35-F35)*G35))</f>
        <v/>
      </c>
      <c r="W35" s="699">
        <f>IF(OR(E35="",B35=""),"",IF(T35&lt;&gt;"",T35-E35,TODAY()-E35))</f>
        <v/>
      </c>
      <c r="X35" s="111" t="n"/>
    </row>
    <row r="36" ht="17.25" customHeight="1" s="574">
      <c r="A36" s="408">
        <f>HYPERLINK("https://kabutan.jp/stock/?code="&amp;TEXT(B36,"0000"),"株探")</f>
        <v/>
      </c>
      <c r="B36" s="111" t="n"/>
      <c r="C36" s="115" t="n"/>
      <c r="D36" s="111">
        <f t="array" ref="D36">IF(B36="","",_xll.RssMarket(B36,"銘柄名称"))</f>
        <v/>
      </c>
      <c r="E36" s="698" t="n"/>
      <c r="F36" s="426" t="n"/>
      <c r="G36" s="111" t="n"/>
      <c r="H36" s="113">
        <f t="array" ref="H36">IF(B36="","",_xll.RssMarket(B36,"現在値"))</f>
        <v/>
      </c>
      <c r="I36" s="113">
        <f t="array" ref="I36">_xll.RssMarket(B36, "出来高加重平均")</f>
        <v/>
      </c>
      <c r="J36" s="113">
        <f t="array" ref="J36">_xll.RssMarket(B36, "前日比")</f>
        <v/>
      </c>
      <c r="K36" s="113">
        <f>IF(OR(F36="",G36="",H36=""),"",IF(C36="売",(F36-H36)*G36,(H36-F36)*G36))</f>
        <v/>
      </c>
      <c r="L36" s="114">
        <f>IF(OR(F36="",H36=""),"",IF(C36="売",(F36-H36)/F36,(H36-F36)/F36))</f>
        <v/>
      </c>
      <c r="M36" s="113">
        <f>IF(F36="","",IF(C36="売",F36*0.94,F36*1.06))</f>
        <v/>
      </c>
      <c r="N36" s="113">
        <f>IF(F36="","",IF(C36="売",F36*1.04,F36*0.96))</f>
        <v/>
      </c>
      <c r="O36" s="113">
        <f>IF(B36="","",IF(H36="","保有中",IF(C36="売",IF(H36&lt;=M36,"🟢利確推奨",IF(H36&lt;=F36*0.95,"🟡利確&amp;TR STOP検討",IF(H36&gt;=N36,"🔴損切推奨",IF(H36&gt;=F36*1.035,"🔴損切間近",IF(H36&gt;=F36*1.03,"⚠️+3%注意","保持継続"))))),IF(H36&gt;=M36,"🟢利確推奨",IF(H36&gt;=F36*1.05,"🟡利確&amp;TR STOP検討",IF(H36&lt;=N36,"🔴損切推奨",IF(H36&lt;=F36*0.965,"🔴損切間近",IF(H36&lt;=F36*0.97,"⚠️-3%注意","保持継続"))))))))</f>
        <v/>
      </c>
      <c r="P36" s="113">
        <f t="array" ref="P36">IF(B36="","",IFERROR(MAX(OFFSET(高値!$E$6,MATCH(TEXT(B36,"0"),TEXT(銘柄管理!$B$6:$B$305,"0"),0)-1,0,1,10)),""))</f>
        <v/>
      </c>
      <c r="Q36" s="113">
        <f t="array" ref="Q36">IF(B36="","",IFERROR(MIN(OFFSET(安値!$E$6,MATCH(TEXT(B36,"0"),TEXT(銘柄管理!$B$6:$B$305,"0"),0)-1,0,1,10)),""))</f>
        <v/>
      </c>
      <c r="R36" s="113">
        <f>IF(P36="","",ROUND(P36*0.97,0))</f>
        <v/>
      </c>
      <c r="S36" s="461">
        <f>IF(B36="","",IF(T36&lt;&gt;"","✅売却済",IF(H36="","📌保有中",IF(C36="売",IF(H36&lt;=M36,"🟢利確推奨",IF(H36&gt;=N36,"🔴損切推奨",IF(H36&gt;=R36,"⚠️STOP推奨","📌保有中"))),IF(H36&gt;=M36,"🟢利確推奨",IF(H36&lt;=N36,"🔴損切推奨",IF(H36&lt;=R36,"⚠️STOP推奨","📌保有中")))))))</f>
        <v/>
      </c>
      <c r="T36" s="111" t="n"/>
      <c r="U36" s="111" t="n"/>
      <c r="V36" s="113">
        <f>IF(OR(F36="",G36="",U36=""),"",IF(C36="売",(F36-U36)*G36,(U36-F36)*G36))</f>
        <v/>
      </c>
      <c r="W36" s="699">
        <f>IF(OR(E36="",B36=""),"",IF(T36&lt;&gt;"",T36-E36,TODAY()-E36))</f>
        <v/>
      </c>
      <c r="X36" s="111" t="n"/>
    </row>
    <row r="37" ht="17.25" customHeight="1" s="574">
      <c r="A37" s="408">
        <f>HYPERLINK("https://kabutan.jp/stock/?code="&amp;TEXT(B37,"0000"),"株探")</f>
        <v/>
      </c>
      <c r="B37" s="111" t="n"/>
      <c r="C37" s="115" t="n"/>
      <c r="D37" s="111">
        <f t="array" ref="D37">IF(B37="","",_xll.RssMarket(B37,"銘柄名称"))</f>
        <v/>
      </c>
      <c r="E37" s="698" t="n"/>
      <c r="F37" s="426" t="n"/>
      <c r="G37" s="111" t="n"/>
      <c r="H37" s="113">
        <f t="array" ref="H37">IF(B37="","",_xll.RssMarket(B37,"現在値"))</f>
        <v/>
      </c>
      <c r="I37" s="113">
        <f t="array" ref="I37">_xll.RssMarket(B37, "出来高加重平均")</f>
        <v/>
      </c>
      <c r="J37" s="113">
        <f t="array" ref="J37">_xll.RssMarket(B37, "前日比")</f>
        <v/>
      </c>
      <c r="K37" s="113">
        <f>IF(OR(F37="",G37="",H37=""),"",IF(C37="売",(F37-H37)*G37,(H37-F37)*G37))</f>
        <v/>
      </c>
      <c r="L37" s="114">
        <f>IF(OR(F37="",H37=""),"",IF(C37="売",(F37-H37)/F37,(H37-F37)/F37))</f>
        <v/>
      </c>
      <c r="M37" s="113">
        <f>IF(F37="","",IF(C37="売",F37*0.94,F37*1.06))</f>
        <v/>
      </c>
      <c r="N37" s="113">
        <f>IF(F37="","",IF(C37="売",F37*1.04,F37*0.96))</f>
        <v/>
      </c>
      <c r="O37" s="113">
        <f>IF(B37="","",IF(H37="","保有中",IF(C37="売",IF(H37&lt;=M37,"🟢利確推奨",IF(H37&lt;=F37*0.95,"🟡利確&amp;TR STOP検討",IF(H37&gt;=N37,"🔴損切推奨",IF(H37&gt;=F37*1.035,"🔴損切間近",IF(H37&gt;=F37*1.03,"⚠️+3%注意","保持継続"))))),IF(H37&gt;=M37,"🟢利確推奨",IF(H37&gt;=F37*1.05,"🟡利確&amp;TR STOP検討",IF(H37&lt;=N37,"🔴損切推奨",IF(H37&lt;=F37*0.965,"🔴損切間近",IF(H37&lt;=F37*0.97,"⚠️-3%注意","保持継続"))))))))</f>
        <v/>
      </c>
      <c r="P37" s="113">
        <f t="array" ref="P37">IF(B37="","",IFERROR(MAX(OFFSET(高値!$E$6,MATCH(TEXT(B37,"0"),TEXT(銘柄管理!$B$6:$B$305,"0"),0)-1,0,1,10)),""))</f>
        <v/>
      </c>
      <c r="Q37" s="113">
        <f t="array" ref="Q37">IF(B37="","",IFERROR(MIN(OFFSET(安値!$E$6,MATCH(TEXT(B37,"0"),TEXT(銘柄管理!$B$6:$B$305,"0"),0)-1,0,1,10)),""))</f>
        <v/>
      </c>
      <c r="R37" s="113">
        <f>IF(P37="","",ROUND(P37*0.97,0))</f>
        <v/>
      </c>
      <c r="S37" s="461">
        <f>IF(B37="","",IF(T37&lt;&gt;"","✅売却済",IF(H37="","📌保有中",IF(C37="売",IF(H37&lt;=M37,"🟢利確推奨",IF(H37&gt;=N37,"🔴損切推奨",IF(H37&gt;=R37,"⚠️STOP推奨","📌保有中"))),IF(H37&gt;=M37,"🟢利確推奨",IF(H37&lt;=N37,"🔴損切推奨",IF(H37&lt;=R37,"⚠️STOP推奨","📌保有中")))))))</f>
        <v/>
      </c>
      <c r="T37" s="111" t="n"/>
      <c r="U37" s="111" t="n"/>
      <c r="V37" s="113">
        <f>IF(OR(F37="",G37="",U37=""),"",IF(C37="売",(F37-U37)*G37,(U37-F37)*G37))</f>
        <v/>
      </c>
      <c r="W37" s="699">
        <f>IF(OR(E37="",B37=""),"",IF(T37&lt;&gt;"",T37-E37,TODAY()-E37))</f>
        <v/>
      </c>
      <c r="X37" s="111" t="n"/>
    </row>
    <row r="38" ht="17.25" customHeight="1" s="574">
      <c r="A38" s="408">
        <f>HYPERLINK("https://kabutan.jp/stock/?code="&amp;TEXT(B38,"0000"),"株探")</f>
        <v/>
      </c>
      <c r="B38" s="111" t="n"/>
      <c r="C38" s="115" t="n"/>
      <c r="D38" s="111">
        <f t="array" ref="D38">IF(B38="","",_xll.RssMarket(B38,"銘柄名称"))</f>
        <v/>
      </c>
      <c r="E38" s="698" t="n"/>
      <c r="F38" s="426" t="n"/>
      <c r="G38" s="111" t="n"/>
      <c r="H38" s="113">
        <f t="array" ref="H38">IF(B38="","",_xll.RssMarket(B38,"現在値"))</f>
        <v/>
      </c>
      <c r="I38" s="113">
        <f t="array" ref="I38">_xll.RssMarket(B38, "出来高加重平均")</f>
        <v/>
      </c>
      <c r="J38" s="113">
        <f t="array" ref="J38">_xll.RssMarket(B38, "前日比")</f>
        <v/>
      </c>
      <c r="K38" s="113">
        <f>IF(OR(F38="",G38="",H38=""),"",IF(C38="売",(F38-H38)*G38,(H38-F38)*G38))</f>
        <v/>
      </c>
      <c r="L38" s="114">
        <f>IF(OR(F38="",H38=""),"",IF(C38="売",(F38-H38)/F38,(H38-F38)/F38))</f>
        <v/>
      </c>
      <c r="M38" s="113">
        <f>IF(F38="","",IF(C38="売",F38*0.94,F38*1.06))</f>
        <v/>
      </c>
      <c r="N38" s="113">
        <f>IF(F38="","",IF(C38="売",F38*1.04,F38*0.96))</f>
        <v/>
      </c>
      <c r="O38" s="113">
        <f>IF(B38="","",IF(H38="","保有中",IF(C38="売",IF(H38&lt;=M38,"🟢利確推奨",IF(H38&lt;=F38*0.95,"🟡利確&amp;TR STOP検討",IF(H38&gt;=N38,"🔴損切推奨",IF(H38&gt;=F38*1.035,"🔴損切間近",IF(H38&gt;=F38*1.03,"⚠️+3%注意","保持継続"))))),IF(H38&gt;=M38,"🟢利確推奨",IF(H38&gt;=F38*1.05,"🟡利確&amp;TR STOP検討",IF(H38&lt;=N38,"🔴損切推奨",IF(H38&lt;=F38*0.965,"🔴損切間近",IF(H38&lt;=F38*0.97,"⚠️-3%注意","保持継続"))))))))</f>
        <v/>
      </c>
      <c r="P38" s="113">
        <f t="array" ref="P38">IF(B38="","",IFERROR(MAX(OFFSET(高値!$E$6,MATCH(TEXT(B38,"0"),TEXT(銘柄管理!$B$6:$B$305,"0"),0)-1,0,1,10)),""))</f>
        <v/>
      </c>
      <c r="Q38" s="113">
        <f t="array" ref="Q38">IF(B38="","",IFERROR(MIN(OFFSET(安値!$E$6,MATCH(TEXT(B38,"0"),TEXT(銘柄管理!$B$6:$B$305,"0"),0)-1,0,1,10)),""))</f>
        <v/>
      </c>
      <c r="R38" s="113">
        <f>IF(P38="","",ROUND(P38*0.97,0))</f>
        <v/>
      </c>
      <c r="S38" s="461">
        <f>IF(B38="","",IF(T38&lt;&gt;"","✅売却済",IF(H38="","📌保有中",IF(C38="売",IF(H38&lt;=M38,"🟢利確推奨",IF(H38&gt;=N38,"🔴損切推奨",IF(H38&gt;=R38,"⚠️STOP推奨","📌保有中"))),IF(H38&gt;=M38,"🟢利確推奨",IF(H38&lt;=N38,"🔴損切推奨",IF(H38&lt;=R38,"⚠️STOP推奨","📌保有中")))))))</f>
        <v/>
      </c>
      <c r="T38" s="111" t="n"/>
      <c r="U38" s="111" t="n"/>
      <c r="V38" s="113">
        <f>IF(OR(F38="",G38="",U38=""),"",IF(C38="売",(F38-U38)*G38,(U38-F38)*G38))</f>
        <v/>
      </c>
      <c r="W38" s="699">
        <f>IF(OR(E38="",B38=""),"",IF(T38&lt;&gt;"",T38-E38,TODAY()-E38))</f>
        <v/>
      </c>
      <c r="X38" s="111" t="n"/>
    </row>
    <row r="39" ht="17.25" customHeight="1" s="574">
      <c r="A39" s="408">
        <f>HYPERLINK("https://kabutan.jp/stock/?code="&amp;TEXT(B39,"0000"),"株探")</f>
        <v/>
      </c>
      <c r="B39" s="111" t="n"/>
      <c r="C39" s="115" t="n"/>
      <c r="D39" s="111">
        <f t="array" ref="D39">IF(B39="","",_xll.RssMarket(B39,"銘柄名称"))</f>
        <v/>
      </c>
      <c r="E39" s="698" t="n"/>
      <c r="F39" s="426" t="n"/>
      <c r="G39" s="111" t="n"/>
      <c r="H39" s="113">
        <f t="array" ref="H39">IF(B39="","",_xll.RssMarket(B39,"現在値"))</f>
        <v/>
      </c>
      <c r="I39" s="113">
        <f t="array" ref="I39">_xll.RssMarket(B39, "出来高加重平均")</f>
        <v/>
      </c>
      <c r="J39" s="113">
        <f t="array" ref="J39">_xll.RssMarket(B39, "前日比")</f>
        <v/>
      </c>
      <c r="K39" s="113">
        <f>IF(OR(F39="",G39="",H39=""),"",IF(C39="売",(F39-H39)*G39,(H39-F39)*G39))</f>
        <v/>
      </c>
      <c r="L39" s="114">
        <f>IF(OR(F39="",H39=""),"",IF(C39="売",(F39-H39)/F39,(H39-F39)/F39))</f>
        <v/>
      </c>
      <c r="M39" s="113">
        <f>IF(F39="","",IF(C39="売",F39*0.94,F39*1.06))</f>
        <v/>
      </c>
      <c r="N39" s="113">
        <f>IF(F39="","",IF(C39="売",F39*1.04,F39*0.96))</f>
        <v/>
      </c>
      <c r="O39" s="113">
        <f>IF(B39="","",IF(H39="","保有中",IF(C39="売",IF(H39&lt;=M39,"🟢利確推奨",IF(H39&lt;=F39*0.95,"🟡利確&amp;TR STOP検討",IF(H39&gt;=N39,"🔴損切推奨",IF(H39&gt;=F39*1.035,"🔴損切間近",IF(H39&gt;=F39*1.03,"⚠️+3%注意","保持継続"))))),IF(H39&gt;=M39,"🟢利確推奨",IF(H39&gt;=F39*1.05,"🟡利確&amp;TR STOP検討",IF(H39&lt;=N39,"🔴損切推奨",IF(H39&lt;=F39*0.965,"🔴損切間近",IF(H39&lt;=F39*0.97,"⚠️-3%注意","保持継続"))))))))</f>
        <v/>
      </c>
      <c r="P39" s="113">
        <f t="array" ref="P39">IF(B39="","",IFERROR(MAX(OFFSET(高値!$E$6,MATCH(TEXT(B39,"0"),TEXT(銘柄管理!$B$6:$B$305,"0"),0)-1,0,1,10)),""))</f>
        <v/>
      </c>
      <c r="Q39" s="113">
        <f t="array" ref="Q39">IF(B39="","",IFERROR(MIN(OFFSET(安値!$E$6,MATCH(TEXT(B39,"0"),TEXT(銘柄管理!$B$6:$B$305,"0"),0)-1,0,1,10)),""))</f>
        <v/>
      </c>
      <c r="R39" s="113">
        <f>IF(P39="","",ROUND(P39*0.97,0))</f>
        <v/>
      </c>
      <c r="S39" s="461">
        <f>IF(B39="","",IF(T39&lt;&gt;"","✅売却済",IF(H39="","📌保有中",IF(C39="売",IF(H39&lt;=M39,"🟢利確推奨",IF(H39&gt;=N39,"🔴損切推奨",IF(H39&gt;=R39,"⚠️STOP推奨","📌保有中"))),IF(H39&gt;=M39,"🟢利確推奨",IF(H39&lt;=N39,"🔴損切推奨",IF(H39&lt;=R39,"⚠️STOP推奨","📌保有中")))))))</f>
        <v/>
      </c>
      <c r="T39" s="111" t="n"/>
      <c r="U39" s="111" t="n"/>
      <c r="V39" s="113">
        <f>IF(OR(F39="",G39="",U39=""),"",IF(C39="売",(F39-U39)*G39,(U39-F39)*G39))</f>
        <v/>
      </c>
      <c r="W39" s="699">
        <f>IF(OR(E39="",B39=""),"",IF(T39&lt;&gt;"",T39-E39,TODAY()-E39))</f>
        <v/>
      </c>
      <c r="X39" s="111" t="n"/>
    </row>
    <row r="40" ht="17.25" customHeight="1" s="574">
      <c r="A40" s="408">
        <f>HYPERLINK("https://kabutan.jp/stock/?code="&amp;TEXT(B40,"0000"),"株探")</f>
        <v/>
      </c>
      <c r="B40" s="111" t="n"/>
      <c r="C40" s="115" t="n"/>
      <c r="D40" s="111">
        <f t="array" ref="D40">IF(B40="","",_xll.RssMarket(B40,"銘柄名称"))</f>
        <v/>
      </c>
      <c r="E40" s="698" t="n"/>
      <c r="F40" s="426" t="n"/>
      <c r="G40" s="111" t="n"/>
      <c r="H40" s="113">
        <f t="array" ref="H40">IF(B40="","",_xll.RssMarket(B40,"現在値"))</f>
        <v/>
      </c>
      <c r="I40" s="113">
        <f t="array" ref="I40">_xll.RssMarket(B40, "出来高加重平均")</f>
        <v/>
      </c>
      <c r="J40" s="113">
        <f t="array" ref="J40">_xll.RssMarket(B40, "前日比")</f>
        <v/>
      </c>
      <c r="K40" s="113">
        <f>IF(OR(F40="",G40="",H40=""),"",IF(C40="売",(F40-H40)*G40,(H40-F40)*G40))</f>
        <v/>
      </c>
      <c r="L40" s="114">
        <f>IF(OR(F40="",H40=""),"",IF(C40="売",(F40-H40)/F40,(H40-F40)/F40))</f>
        <v/>
      </c>
      <c r="M40" s="113">
        <f>IF(F40="","",IF(C40="売",F40*0.94,F40*1.06))</f>
        <v/>
      </c>
      <c r="N40" s="113">
        <f>IF(F40="","",IF(C40="売",F40*1.04,F40*0.96))</f>
        <v/>
      </c>
      <c r="O40" s="113">
        <f>IF(B40="","",IF(H40="","保有中",IF(C40="売",IF(H40&lt;=M40,"🟢利確推奨",IF(H40&lt;=F40*0.95,"🟡利確&amp;TR STOP検討",IF(H40&gt;=N40,"🔴損切推奨",IF(H40&gt;=F40*1.035,"🔴損切間近",IF(H40&gt;=F40*1.03,"⚠️+3%注意","保持継続"))))),IF(H40&gt;=M40,"🟢利確推奨",IF(H40&gt;=F40*1.05,"🟡利確&amp;TR STOP検討",IF(H40&lt;=N40,"🔴損切推奨",IF(H40&lt;=F40*0.965,"🔴損切間近",IF(H40&lt;=F40*0.97,"⚠️-3%注意","保持継続"))))))))</f>
        <v/>
      </c>
      <c r="P40" s="113">
        <f t="array" ref="P40">IF(B40="","",IFERROR(MAX(OFFSET(高値!$E$6,MATCH(TEXT(B40,"0"),TEXT(銘柄管理!$B$6:$B$305,"0"),0)-1,0,1,10)),""))</f>
        <v/>
      </c>
      <c r="Q40" s="113">
        <f t="array" ref="Q40">IF(B40="","",IFERROR(MIN(OFFSET(安値!$E$6,MATCH(TEXT(B40,"0"),TEXT(銘柄管理!$B$6:$B$305,"0"),0)-1,0,1,10)),""))</f>
        <v/>
      </c>
      <c r="R40" s="113">
        <f>IF(P40="","",ROUND(P40*0.97,0))</f>
        <v/>
      </c>
      <c r="S40" s="461">
        <f>IF(B40="","",IF(T40&lt;&gt;"","✅売却済",IF(H40="","📌保有中",IF(C40="売",IF(H40&lt;=M40,"🟢利確推奨",IF(H40&gt;=N40,"🔴損切推奨",IF(H40&gt;=R40,"⚠️STOP推奨","📌保有中"))),IF(H40&gt;=M40,"🟢利確推奨",IF(H40&lt;=N40,"🔴損切推奨",IF(H40&lt;=R40,"⚠️STOP推奨","📌保有中")))))))</f>
        <v/>
      </c>
      <c r="T40" s="111" t="n"/>
      <c r="U40" s="111" t="n"/>
      <c r="V40" s="113">
        <f>IF(OR(F40="",G40="",U40=""),"",IF(C40="売",(F40-U40)*G40,(U40-F40)*G40))</f>
        <v/>
      </c>
      <c r="W40" s="699">
        <f>IF(OR(E40="",B40=""),"",IF(T40&lt;&gt;"",T40-E40,TODAY()-E40))</f>
        <v/>
      </c>
      <c r="X40" s="111" t="n"/>
    </row>
    <row r="41" ht="17.25" customHeight="1" s="574">
      <c r="A41" s="408">
        <f>HYPERLINK("https://kabutan.jp/stock/?code="&amp;TEXT(B41,"0000"),"株探")</f>
        <v/>
      </c>
      <c r="B41" s="111" t="n"/>
      <c r="C41" s="115" t="n"/>
      <c r="D41" s="111">
        <f t="array" ref="D41">IF(B41="","",_xll.RssMarket(B41,"銘柄名称"))</f>
        <v/>
      </c>
      <c r="E41" s="698" t="n"/>
      <c r="F41" s="426" t="n"/>
      <c r="G41" s="111" t="n"/>
      <c r="H41" s="113">
        <f t="array" ref="H41">IF(B41="","",_xll.RssMarket(B41,"現在値"))</f>
        <v/>
      </c>
      <c r="I41" s="113">
        <f t="array" ref="I41">_xll.RssMarket(B41, "出来高加重平均")</f>
        <v/>
      </c>
      <c r="J41" s="113">
        <f t="array" ref="J41">_xll.RssMarket(B41, "前日比")</f>
        <v/>
      </c>
      <c r="K41" s="113">
        <f>IF(OR(F41="",G41="",H41=""),"",IF(C41="売",(F41-H41)*G41,(H41-F41)*G41))</f>
        <v/>
      </c>
      <c r="L41" s="114">
        <f>IF(OR(F41="",H41=""),"",IF(C41="売",(F41-H41)/F41,(H41-F41)/F41))</f>
        <v/>
      </c>
      <c r="M41" s="113">
        <f>IF(F41="","",IF(C41="売",F41*0.94,F41*1.06))</f>
        <v/>
      </c>
      <c r="N41" s="113">
        <f>IF(F41="","",IF(C41="売",F41*1.04,F41*0.96))</f>
        <v/>
      </c>
      <c r="O41" s="113">
        <f>IF(B41="","",IF(H41="","保有中",IF(C41="売",IF(H41&lt;=M41,"🟢利確推奨",IF(H41&lt;=F41*0.95,"🟡利確&amp;TR STOP検討",IF(H41&gt;=N41,"🔴損切推奨",IF(H41&gt;=F41*1.035,"🔴損切間近",IF(H41&gt;=F41*1.03,"⚠️+3%注意","保持継続"))))),IF(H41&gt;=M41,"🟢利確推奨",IF(H41&gt;=F41*1.05,"🟡利確&amp;TR STOP検討",IF(H41&lt;=N41,"🔴損切推奨",IF(H41&lt;=F41*0.965,"🔴損切間近",IF(H41&lt;=F41*0.97,"⚠️-3%注意","保持継続"))))))))</f>
        <v/>
      </c>
      <c r="P41" s="113">
        <f t="array" ref="P41">IF(B41="","",IFERROR(MAX(OFFSET(高値!$E$6,MATCH(TEXT(B41,"0"),TEXT(銘柄管理!$B$6:$B$305,"0"),0)-1,0,1,10)),""))</f>
        <v/>
      </c>
      <c r="Q41" s="113">
        <f t="array" ref="Q41">IF(B41="","",IFERROR(MIN(OFFSET(安値!$E$6,MATCH(TEXT(B41,"0"),TEXT(銘柄管理!$B$6:$B$305,"0"),0)-1,0,1,10)),""))</f>
        <v/>
      </c>
      <c r="R41" s="113">
        <f>IF(P41="","",ROUND(P41*0.97,0))</f>
        <v/>
      </c>
      <c r="S41" s="461">
        <f>IF(B41="","",IF(T41&lt;&gt;"","✅売却済",IF(H41="","📌保有中",IF(C41="売",IF(H41&lt;=M41,"🟢利確推奨",IF(H41&gt;=N41,"🔴損切推奨",IF(H41&gt;=R41,"⚠️STOP推奨","📌保有中"))),IF(H41&gt;=M41,"🟢利確推奨",IF(H41&lt;=N41,"🔴損切推奨",IF(H41&lt;=R41,"⚠️STOP推奨","📌保有中")))))))</f>
        <v/>
      </c>
      <c r="T41" s="111" t="n"/>
      <c r="U41" s="111" t="n"/>
      <c r="V41" s="113">
        <f>IF(OR(F41="",G41="",U41=""),"",IF(C41="売",(F41-U41)*G41,(U41-F41)*G41))</f>
        <v/>
      </c>
      <c r="W41" s="699">
        <f>IF(OR(E41="",B41=""),"",IF(T41&lt;&gt;"",T41-E41,TODAY()-E41))</f>
        <v/>
      </c>
      <c r="X41" s="111" t="n"/>
    </row>
    <row r="42" ht="17.25" customHeight="1" s="574">
      <c r="A42" s="408">
        <f>HYPERLINK("https://kabutan.jp/stock/?code="&amp;TEXT(B42,"0000"),"株探")</f>
        <v/>
      </c>
      <c r="B42" s="111" t="n"/>
      <c r="C42" s="115" t="n"/>
      <c r="D42" s="111">
        <f t="array" ref="D42">IF(B42="","",_xll.RssMarket(B42,"銘柄名称"))</f>
        <v/>
      </c>
      <c r="E42" s="698" t="n"/>
      <c r="F42" s="426" t="n"/>
      <c r="G42" s="111" t="n"/>
      <c r="H42" s="113">
        <f t="array" ref="H42">IF(B42="","",_xll.RssMarket(B42,"現在値"))</f>
        <v/>
      </c>
      <c r="I42" s="113">
        <f t="array" ref="I42">_xll.RssMarket(B42, "出来高加重平均")</f>
        <v/>
      </c>
      <c r="J42" s="113">
        <f t="array" ref="J42">_xll.RssMarket(B42, "前日比")</f>
        <v/>
      </c>
      <c r="K42" s="113">
        <f>IF(OR(F42="",G42="",H42=""),"",IF(C42="売",(F42-H42)*G42,(H42-F42)*G42))</f>
        <v/>
      </c>
      <c r="L42" s="114">
        <f>IF(OR(F42="",H42=""),"",IF(C42="売",(F42-H42)/F42,(H42-F42)/F42))</f>
        <v/>
      </c>
      <c r="M42" s="113">
        <f>IF(F42="","",IF(C42="売",F42*0.94,F42*1.06))</f>
        <v/>
      </c>
      <c r="N42" s="113">
        <f>IF(F42="","",IF(C42="売",F42*1.04,F42*0.96))</f>
        <v/>
      </c>
      <c r="O42" s="113">
        <f>IF(B42="","",IF(H42="","保有中",IF(C42="売",IF(H42&lt;=M42,"🟢利確推奨",IF(H42&lt;=F42*0.95,"🟡利確&amp;TR STOP検討",IF(H42&gt;=N42,"🔴損切推奨",IF(H42&gt;=F42*1.035,"🔴損切間近",IF(H42&gt;=F42*1.03,"⚠️+3%注意","保持継続"))))),IF(H42&gt;=M42,"🟢利確推奨",IF(H42&gt;=F42*1.05,"🟡利確&amp;TR STOP検討",IF(H42&lt;=N42,"🔴損切推奨",IF(H42&lt;=F42*0.965,"🔴損切間近",IF(H42&lt;=F42*0.97,"⚠️-3%注意","保持継続"))))))))</f>
        <v/>
      </c>
      <c r="P42" s="113">
        <f t="array" ref="P42">IF(B42="","",IFERROR(MAX(OFFSET(高値!$E$6,MATCH(TEXT(B42,"0"),TEXT(銘柄管理!$B$6:$B$305,"0"),0)-1,0,1,10)),""))</f>
        <v/>
      </c>
      <c r="Q42" s="113">
        <f t="array" ref="Q42">IF(B42="","",IFERROR(MIN(OFFSET(安値!$E$6,MATCH(TEXT(B42,"0"),TEXT(銘柄管理!$B$6:$B$305,"0"),0)-1,0,1,10)),""))</f>
        <v/>
      </c>
      <c r="R42" s="113">
        <f>IF(P42="","",ROUND(P42*0.97,0))</f>
        <v/>
      </c>
      <c r="S42" s="461">
        <f>IF(B42="","",IF(T42&lt;&gt;"","✅売却済",IF(H42="","📌保有中",IF(C42="売",IF(H42&lt;=M42,"🟢利確推奨",IF(H42&gt;=N42,"🔴損切推奨",IF(H42&gt;=R42,"⚠️STOP推奨","📌保有中"))),IF(H42&gt;=M42,"🟢利確推奨",IF(H42&lt;=N42,"🔴損切推奨",IF(H42&lt;=R42,"⚠️STOP推奨","📌保有中")))))))</f>
        <v/>
      </c>
      <c r="T42" s="111" t="n"/>
      <c r="U42" s="111" t="n"/>
      <c r="V42" s="113">
        <f>IF(OR(F42="",G42="",U42=""),"",IF(C42="売",(F42-U42)*G42,(U42-F42)*G42))</f>
        <v/>
      </c>
      <c r="W42" s="699">
        <f>IF(OR(E42="",B42=""),"",IF(T42&lt;&gt;"",T42-E42,TODAY()-E42))</f>
        <v/>
      </c>
      <c r="X42" s="111" t="n"/>
    </row>
    <row r="43" ht="17.25" customHeight="1" s="574">
      <c r="A43" s="408">
        <f>HYPERLINK("https://kabutan.jp/stock/?code="&amp;TEXT(B43,"0000"),"株探")</f>
        <v/>
      </c>
      <c r="B43" s="111" t="n"/>
      <c r="C43" s="115" t="n"/>
      <c r="D43" s="111">
        <f t="array" ref="D43">IF(B43="","",_xll.RssMarket(B43,"銘柄名称"))</f>
        <v/>
      </c>
      <c r="E43" s="698" t="n"/>
      <c r="F43" s="426" t="n"/>
      <c r="G43" s="111" t="n"/>
      <c r="H43" s="113">
        <f t="array" ref="H43">IF(B43="","",_xll.RssMarket(B43,"現在値"))</f>
        <v/>
      </c>
      <c r="I43" s="113">
        <f t="array" ref="I43">_xll.RssMarket(B43, "出来高加重平均")</f>
        <v/>
      </c>
      <c r="J43" s="113">
        <f t="array" ref="J43">_xll.RssMarket(B43, "前日比")</f>
        <v/>
      </c>
      <c r="K43" s="113">
        <f>IF(OR(F43="",G43="",H43=""),"",IF(C43="売",(F43-H43)*G43,(H43-F43)*G43))</f>
        <v/>
      </c>
      <c r="L43" s="114">
        <f>IF(OR(F43="",H43=""),"",IF(C43="売",(F43-H43)/F43,(H43-F43)/F43))</f>
        <v/>
      </c>
      <c r="M43" s="113">
        <f>IF(F43="","",IF(C43="売",F43*0.94,F43*1.06))</f>
        <v/>
      </c>
      <c r="N43" s="113">
        <f>IF(F43="","",IF(C43="売",F43*1.04,F43*0.96))</f>
        <v/>
      </c>
      <c r="O43" s="113">
        <f>IF(B43="","",IF(H43="","保有中",IF(C43="売",IF(H43&lt;=M43,"🟢利確推奨",IF(H43&lt;=F43*0.95,"🟡利確&amp;TR STOP検討",IF(H43&gt;=N43,"🔴損切推奨",IF(H43&gt;=F43*1.035,"🔴損切間近",IF(H43&gt;=F43*1.03,"⚠️+3%注意","保持継続"))))),IF(H43&gt;=M43,"🟢利確推奨",IF(H43&gt;=F43*1.05,"🟡利確&amp;TR STOP検討",IF(H43&lt;=N43,"🔴損切推奨",IF(H43&lt;=F43*0.965,"🔴損切間近",IF(H43&lt;=F43*0.97,"⚠️-3%注意","保持継続"))))))))</f>
        <v/>
      </c>
      <c r="P43" s="113">
        <f t="array" ref="P43">IF(B43="","",IFERROR(MAX(OFFSET(高値!$E$6,MATCH(TEXT(B43,"0"),TEXT(銘柄管理!$B$6:$B$305,"0"),0)-1,0,1,10)),""))</f>
        <v/>
      </c>
      <c r="Q43" s="113">
        <f t="array" ref="Q43">IF(B43="","",IFERROR(MIN(OFFSET(安値!$E$6,MATCH(TEXT(B43,"0"),TEXT(銘柄管理!$B$6:$B$305,"0"),0)-1,0,1,10)),""))</f>
        <v/>
      </c>
      <c r="R43" s="113">
        <f>IF(P43="","",ROUND(P43*0.97,0))</f>
        <v/>
      </c>
      <c r="S43" s="461">
        <f>IF(B43="","",IF(T43&lt;&gt;"","✅売却済",IF(H43="","📌保有中",IF(C43="売",IF(H43&lt;=M43,"🟢利確推奨",IF(H43&gt;=N43,"🔴損切推奨",IF(H43&gt;=R43,"⚠️STOP推奨","📌保有中"))),IF(H43&gt;=M43,"🟢利確推奨",IF(H43&lt;=N43,"🔴損切推奨",IF(H43&lt;=R43,"⚠️STOP推奨","📌保有中")))))))</f>
        <v/>
      </c>
      <c r="T43" s="111" t="n"/>
      <c r="U43" s="111" t="n"/>
      <c r="V43" s="113">
        <f>IF(OR(F43="",G43="",U43=""),"",IF(C43="売",(F43-U43)*G43,(U43-F43)*G43))</f>
        <v/>
      </c>
      <c r="W43" s="699">
        <f>IF(OR(E43="",B43=""),"",IF(T43&lt;&gt;"",T43-E43,TODAY()-E43))</f>
        <v/>
      </c>
      <c r="X43" s="111" t="n"/>
    </row>
    <row r="44" ht="17.25" customHeight="1" s="574">
      <c r="A44" s="408">
        <f>HYPERLINK("https://kabutan.jp/stock/?code="&amp;TEXT(B44,"0000"),"株探")</f>
        <v/>
      </c>
      <c r="B44" s="111" t="n"/>
      <c r="C44" s="115" t="n"/>
      <c r="D44" s="111">
        <f t="array" ref="D44">IF(B44="","",_xll.RssMarket(B44,"銘柄名称"))</f>
        <v/>
      </c>
      <c r="E44" s="698" t="n"/>
      <c r="F44" s="426" t="n"/>
      <c r="G44" s="111" t="n"/>
      <c r="H44" s="113">
        <f t="array" ref="H44">IF(B44="","",_xll.RssMarket(B44,"現在値"))</f>
        <v/>
      </c>
      <c r="I44" s="113">
        <f t="array" ref="I44">_xll.RssMarket(B44, "出来高加重平均")</f>
        <v/>
      </c>
      <c r="J44" s="113">
        <f t="array" ref="J44">_xll.RssMarket(B44, "前日比")</f>
        <v/>
      </c>
      <c r="K44" s="113">
        <f>IF(OR(F44="",G44="",H44=""),"",IF(C44="売",(F44-H44)*G44,(H44-F44)*G44))</f>
        <v/>
      </c>
      <c r="L44" s="114">
        <f>IF(OR(F44="",H44=""),"",IF(C44="売",(F44-H44)/F44,(H44-F44)/F44))</f>
        <v/>
      </c>
      <c r="M44" s="113">
        <f>IF(F44="","",IF(C44="売",F44*0.94,F44*1.06))</f>
        <v/>
      </c>
      <c r="N44" s="113">
        <f>IF(F44="","",IF(C44="売",F44*1.04,F44*0.96))</f>
        <v/>
      </c>
      <c r="O44" s="113">
        <f>IF(B44="","",IF(H44="","保有中",IF(C44="売",IF(H44&lt;=M44,"🟢利確推奨",IF(H44&lt;=F44*0.95,"🟡利確&amp;TR STOP検討",IF(H44&gt;=N44,"🔴損切推奨",IF(H44&gt;=F44*1.035,"🔴損切間近",IF(H44&gt;=F44*1.03,"⚠️+3%注意","保持継続"))))),IF(H44&gt;=M44,"🟢利確推奨",IF(H44&gt;=F44*1.05,"🟡利確&amp;TR STOP検討",IF(H44&lt;=N44,"🔴損切推奨",IF(H44&lt;=F44*0.965,"🔴損切間近",IF(H44&lt;=F44*0.97,"⚠️-3%注意","保持継続"))))))))</f>
        <v/>
      </c>
      <c r="P44" s="113">
        <f t="array" ref="P44">IF(B44="","",IFERROR(MAX(OFFSET(高値!$E$6,MATCH(TEXT(B44,"0"),TEXT(銘柄管理!$B$6:$B$305,"0"),0)-1,0,1,10)),""))</f>
        <v/>
      </c>
      <c r="Q44" s="113">
        <f t="array" ref="Q44">IF(B44="","",IFERROR(MIN(OFFSET(安値!$E$6,MATCH(TEXT(B44,"0"),TEXT(銘柄管理!$B$6:$B$305,"0"),0)-1,0,1,10)),""))</f>
        <v/>
      </c>
      <c r="R44" s="113">
        <f>IF(P44="","",ROUND(P44*0.97,0))</f>
        <v/>
      </c>
      <c r="S44" s="461">
        <f>IF(B44="","",IF(T44&lt;&gt;"","✅売却済",IF(H44="","📌保有中",IF(C44="売",IF(H44&lt;=M44,"🟢利確推奨",IF(H44&gt;=N44,"🔴損切推奨",IF(H44&gt;=R44,"⚠️STOP推奨","📌保有中"))),IF(H44&gt;=M44,"🟢利確推奨",IF(H44&lt;=N44,"🔴損切推奨",IF(H44&lt;=R44,"⚠️STOP推奨","📌保有中")))))))</f>
        <v/>
      </c>
      <c r="T44" s="111" t="n"/>
      <c r="U44" s="111" t="n"/>
      <c r="V44" s="113">
        <f>IF(OR(F44="",G44="",U44=""),"",IF(C44="売",(F44-U44)*G44,(U44-F44)*G44))</f>
        <v/>
      </c>
      <c r="W44" s="699">
        <f>IF(OR(E44="",B44=""),"",IF(T44&lt;&gt;"",T44-E44,TODAY()-E44))</f>
        <v/>
      </c>
      <c r="X44" s="111" t="n"/>
    </row>
    <row r="45" ht="17.25" customHeight="1" s="574">
      <c r="A45" s="408">
        <f>HYPERLINK("https://kabutan.jp/stock/?code="&amp;TEXT(B45,"0000"),"株探")</f>
        <v/>
      </c>
      <c r="B45" s="111" t="n"/>
      <c r="C45" s="115" t="n"/>
      <c r="D45" s="111">
        <f t="array" ref="D45">IF(B45="","",_xll.RssMarket(B45,"銘柄名称"))</f>
        <v/>
      </c>
      <c r="E45" s="698" t="n"/>
      <c r="F45" s="426" t="n"/>
      <c r="G45" s="111" t="n"/>
      <c r="H45" s="113">
        <f t="array" ref="H45">IF(B45="","",_xll.RssMarket(B45,"現在値"))</f>
        <v/>
      </c>
      <c r="I45" s="113">
        <f t="array" ref="I45">_xll.RssMarket(B45, "出来高加重平均")</f>
        <v/>
      </c>
      <c r="J45" s="113">
        <f t="array" ref="J45">_xll.RssMarket(B45, "前日比")</f>
        <v/>
      </c>
      <c r="K45" s="113">
        <f>IF(OR(F45="",G45="",H45=""),"",IF(C45="売",(F45-H45)*G45,(H45-F45)*G45))</f>
        <v/>
      </c>
      <c r="L45" s="114">
        <f>IF(OR(F45="",H45=""),"",IF(C45="売",(F45-H45)/F45,(H45-F45)/F45))</f>
        <v/>
      </c>
      <c r="M45" s="113">
        <f>IF(F45="","",IF(C45="売",F45*0.94,F45*1.06))</f>
        <v/>
      </c>
      <c r="N45" s="113">
        <f>IF(F45="","",IF(C45="売",F45*1.04,F45*0.96))</f>
        <v/>
      </c>
      <c r="O45" s="113">
        <f>IF(B45="","",IF(H45="","保有中",IF(C45="売",IF(H45&lt;=M45,"🟢利確推奨",IF(H45&lt;=F45*0.95,"🟡利確&amp;TR STOP検討",IF(H45&gt;=N45,"🔴損切推奨",IF(H45&gt;=F45*1.035,"🔴損切間近",IF(H45&gt;=F45*1.03,"⚠️+3%注意","保持継続"))))),IF(H45&gt;=M45,"🟢利確推奨",IF(H45&gt;=F45*1.05,"🟡利確&amp;TR STOP検討",IF(H45&lt;=N45,"🔴損切推奨",IF(H45&lt;=F45*0.965,"🔴損切間近",IF(H45&lt;=F45*0.97,"⚠️-3%注意","保持継続"))))))))</f>
        <v/>
      </c>
      <c r="P45" s="113">
        <f t="array" ref="P45">IF(B45="","",IFERROR(MAX(OFFSET(高値!$E$6,MATCH(TEXT(B45,"0"),TEXT(銘柄管理!$B$6:$B$305,"0"),0)-1,0,1,10)),""))</f>
        <v/>
      </c>
      <c r="Q45" s="113">
        <f t="array" ref="Q45">IF(B45="","",IFERROR(MIN(OFFSET(安値!$E$6,MATCH(TEXT(B45,"0"),TEXT(銘柄管理!$B$6:$B$305,"0"),0)-1,0,1,10)),""))</f>
        <v/>
      </c>
      <c r="R45" s="113">
        <f>IF(P45="","",ROUND(P45*0.97,0))</f>
        <v/>
      </c>
      <c r="S45" s="461">
        <f>IF(B45="","",IF(T45&lt;&gt;"","✅売却済",IF(H45="","📌保有中",IF(C45="売",IF(H45&lt;=M45,"🟢利確推奨",IF(H45&gt;=N45,"🔴損切推奨",IF(H45&gt;=R45,"⚠️STOP推奨","📌保有中"))),IF(H45&gt;=M45,"🟢利確推奨",IF(H45&lt;=N45,"🔴損切推奨",IF(H45&lt;=R45,"⚠️STOP推奨","📌保有中")))))))</f>
        <v/>
      </c>
      <c r="T45" s="111" t="n"/>
      <c r="U45" s="111" t="n"/>
      <c r="V45" s="113">
        <f>IF(OR(F45="",G45="",U45=""),"",IF(C45="売",(F45-U45)*G45,(U45-F45)*G45))</f>
        <v/>
      </c>
      <c r="W45" s="699">
        <f>IF(OR(E45="",B45=""),"",IF(T45&lt;&gt;"",T45-E45,TODAY()-E45))</f>
        <v/>
      </c>
      <c r="X45" s="111" t="n"/>
    </row>
    <row r="46" ht="17.25" customHeight="1" s="574">
      <c r="A46" s="408">
        <f>HYPERLINK("https://kabutan.jp/stock/?code="&amp;TEXT(B46,"0000"),"株探")</f>
        <v/>
      </c>
      <c r="B46" s="111" t="n"/>
      <c r="C46" s="115" t="n"/>
      <c r="D46" s="111">
        <f t="array" ref="D46">IF(B46="","",_xll.RssMarket(B46,"銘柄名称"))</f>
        <v/>
      </c>
      <c r="E46" s="698" t="n"/>
      <c r="F46" s="426" t="n"/>
      <c r="G46" s="111" t="n"/>
      <c r="H46" s="113">
        <f t="array" ref="H46">IF(B46="","",_xll.RssMarket(B46,"現在値"))</f>
        <v/>
      </c>
      <c r="I46" s="113">
        <f t="array" ref="I46">_xll.RssMarket(B46, "出来高加重平均")</f>
        <v/>
      </c>
      <c r="J46" s="113">
        <f t="array" ref="J46">_xll.RssMarket(B46, "前日比")</f>
        <v/>
      </c>
      <c r="K46" s="113">
        <f>IF(OR(F46="",G46="",H46=""),"",IF(C46="売",(F46-H46)*G46,(H46-F46)*G46))</f>
        <v/>
      </c>
      <c r="L46" s="114">
        <f>IF(OR(F46="",H46=""),"",IF(C46="売",(F46-H46)/F46,(H46-F46)/F46))</f>
        <v/>
      </c>
      <c r="M46" s="113">
        <f>IF(F46="","",IF(C46="売",F46*0.94,F46*1.06))</f>
        <v/>
      </c>
      <c r="N46" s="113">
        <f>IF(F46="","",IF(C46="売",F46*1.04,F46*0.96))</f>
        <v/>
      </c>
      <c r="O46" s="113">
        <f>IF(B46="","",IF(H46="","保有中",IF(C46="売",IF(H46&lt;=M46,"🟢利確推奨",IF(H46&lt;=F46*0.95,"🟡利確&amp;TR STOP検討",IF(H46&gt;=N46,"🔴損切推奨",IF(H46&gt;=F46*1.035,"🔴損切間近",IF(H46&gt;=F46*1.03,"⚠️+3%注意","保持継続"))))),IF(H46&gt;=M46,"🟢利確推奨",IF(H46&gt;=F46*1.05,"🟡利確&amp;TR STOP検討",IF(H46&lt;=N46,"🔴損切推奨",IF(H46&lt;=F46*0.965,"🔴損切間近",IF(H46&lt;=F46*0.97,"⚠️-3%注意","保持継続"))))))))</f>
        <v/>
      </c>
      <c r="P46" s="113">
        <f t="array" ref="P46">IF(B46="","",IFERROR(MAX(OFFSET(高値!$E$6,MATCH(TEXT(B46,"0"),TEXT(銘柄管理!$B$6:$B$305,"0"),0)-1,0,1,10)),""))</f>
        <v/>
      </c>
      <c r="Q46" s="113">
        <f t="array" ref="Q46">IF(B46="","",IFERROR(MIN(OFFSET(安値!$E$6,MATCH(TEXT(B46,"0"),TEXT(銘柄管理!$B$6:$B$305,"0"),0)-1,0,1,10)),""))</f>
        <v/>
      </c>
      <c r="R46" s="113">
        <f>IF(P46="","",ROUND(P46*0.97,0))</f>
        <v/>
      </c>
      <c r="S46" s="461">
        <f>IF(B46="","",IF(T46&lt;&gt;"","✅売却済",IF(H46="","📌保有中",IF(C46="売",IF(H46&lt;=M46,"🟢利確推奨",IF(H46&gt;=N46,"🔴損切推奨",IF(H46&gt;=R46,"⚠️STOP推奨","📌保有中"))),IF(H46&gt;=M46,"🟢利確推奨",IF(H46&lt;=N46,"🔴損切推奨",IF(H46&lt;=R46,"⚠️STOP推奨","📌保有中")))))))</f>
        <v/>
      </c>
      <c r="T46" s="111" t="n"/>
      <c r="U46" s="111" t="n"/>
      <c r="V46" s="113">
        <f>IF(OR(F46="",G46="",U46=""),"",IF(C46="売",(F46-U46)*G46,(U46-F46)*G46))</f>
        <v/>
      </c>
      <c r="W46" s="699">
        <f>IF(OR(E46="",B46=""),"",IF(T46&lt;&gt;"",T46-E46,TODAY()-E46))</f>
        <v/>
      </c>
      <c r="X46" s="111" t="n"/>
    </row>
    <row r="47" ht="17.25" customHeight="1" s="574">
      <c r="A47" s="408">
        <f>HYPERLINK("https://kabutan.jp/stock/?code="&amp;TEXT(B47,"0000"),"株探")</f>
        <v/>
      </c>
      <c r="B47" s="111" t="n"/>
      <c r="C47" s="115" t="n"/>
      <c r="D47" s="111">
        <f t="array" ref="D47">IF(B47="","",_xll.RssMarket(B47,"銘柄名称"))</f>
        <v/>
      </c>
      <c r="E47" s="698" t="n"/>
      <c r="F47" s="426" t="n"/>
      <c r="G47" s="111" t="n"/>
      <c r="H47" s="113">
        <f t="array" ref="H47">IF(B47="","",_xll.RssMarket(B47,"現在値"))</f>
        <v/>
      </c>
      <c r="I47" s="113">
        <f t="array" ref="I47">_xll.RssMarket(B47, "出来高加重平均")</f>
        <v/>
      </c>
      <c r="J47" s="113">
        <f t="array" ref="J47">_xll.RssMarket(B47, "前日比")</f>
        <v/>
      </c>
      <c r="K47" s="113">
        <f>IF(OR(F47="",G47="",H47=""),"",IF(C47="売",(F47-H47)*G47,(H47-F47)*G47))</f>
        <v/>
      </c>
      <c r="L47" s="114">
        <f>IF(OR(F47="",H47=""),"",IF(C47="売",(F47-H47)/F47,(H47-F47)/F47))</f>
        <v/>
      </c>
      <c r="M47" s="113">
        <f>IF(F47="","",IF(C47="売",F47*0.94,F47*1.06))</f>
        <v/>
      </c>
      <c r="N47" s="113">
        <f>IF(F47="","",IF(C47="売",F47*1.04,F47*0.96))</f>
        <v/>
      </c>
      <c r="O47" s="113">
        <f>IF(B47="","",IF(H47="","保有中",IF(C47="売",IF(H47&lt;=M47,"🟢利確推奨",IF(H47&lt;=F47*0.95,"🟡利確&amp;TR STOP検討",IF(H47&gt;=N47,"🔴損切推奨",IF(H47&gt;=F47*1.035,"🔴損切間近",IF(H47&gt;=F47*1.03,"⚠️+3%注意","保持継続"))))),IF(H47&gt;=M47,"🟢利確推奨",IF(H47&gt;=F47*1.05,"🟡利確&amp;TR STOP検討",IF(H47&lt;=N47,"🔴損切推奨",IF(H47&lt;=F47*0.965,"🔴損切間近",IF(H47&lt;=F47*0.97,"⚠️-3%注意","保持継続"))))))))</f>
        <v/>
      </c>
      <c r="P47" s="113">
        <f t="array" ref="P47">IF(B47="","",IFERROR(MAX(OFFSET(高値!$E$6,MATCH(TEXT(B47,"0"),TEXT(銘柄管理!$B$6:$B$305,"0"),0)-1,0,1,10)),""))</f>
        <v/>
      </c>
      <c r="Q47" s="113">
        <f t="array" ref="Q47">IF(B47="","",IFERROR(MIN(OFFSET(安値!$E$6,MATCH(TEXT(B47,"0"),TEXT(銘柄管理!$B$6:$B$305,"0"),0)-1,0,1,10)),""))</f>
        <v/>
      </c>
      <c r="R47" s="113">
        <f>IF(P47="","",ROUND(P47*0.97,0))</f>
        <v/>
      </c>
      <c r="S47" s="461">
        <f>IF(B47="","",IF(T47&lt;&gt;"","✅売却済",IF(H47="","📌保有中",IF(C47="売",IF(H47&lt;=M47,"🟢利確推奨",IF(H47&gt;=N47,"🔴損切推奨",IF(H47&gt;=R47,"⚠️STOP推奨","📌保有中"))),IF(H47&gt;=M47,"🟢利確推奨",IF(H47&lt;=N47,"🔴損切推奨",IF(H47&lt;=R47,"⚠️STOP推奨","📌保有中")))))))</f>
        <v/>
      </c>
      <c r="T47" s="111" t="n"/>
      <c r="U47" s="111" t="n"/>
      <c r="V47" s="113">
        <f>IF(OR(F47="",G47="",U47=""),"",IF(C47="売",(F47-U47)*G47,(U47-F47)*G47))</f>
        <v/>
      </c>
      <c r="W47" s="699">
        <f>IF(OR(E47="",B47=""),"",IF(T47&lt;&gt;"",T47-E47,TODAY()-E47))</f>
        <v/>
      </c>
      <c r="X47" s="111" t="n"/>
    </row>
    <row r="48" ht="17.25" customHeight="1" s="574">
      <c r="A48" s="408">
        <f>HYPERLINK("https://kabutan.jp/stock/?code="&amp;TEXT(B48,"0000"),"株探")</f>
        <v/>
      </c>
      <c r="B48" s="111" t="n"/>
      <c r="C48" s="115" t="n"/>
      <c r="D48" s="111">
        <f t="array" ref="D48">IF(B48="","",_xll.RssMarket(B48,"銘柄名称"))</f>
        <v/>
      </c>
      <c r="E48" s="698" t="n"/>
      <c r="F48" s="426" t="n"/>
      <c r="G48" s="111" t="n"/>
      <c r="H48" s="113">
        <f t="array" ref="H48">IF(B48="","",_xll.RssMarket(B48,"現在値"))</f>
        <v/>
      </c>
      <c r="I48" s="113">
        <f t="array" ref="I48">_xll.RssMarket(B48, "出来高加重平均")</f>
        <v/>
      </c>
      <c r="J48" s="113">
        <f t="array" ref="J48">_xll.RssMarket(B48, "前日比")</f>
        <v/>
      </c>
      <c r="K48" s="113">
        <f>IF(OR(F48="",G48="",H48=""),"",IF(C48="売",(F48-H48)*G48,(H48-F48)*G48))</f>
        <v/>
      </c>
      <c r="L48" s="114">
        <f>IF(OR(F48="",H48=""),"",IF(C48="売",(F48-H48)/F48,(H48-F48)/F48))</f>
        <v/>
      </c>
      <c r="M48" s="113">
        <f>IF(F48="","",IF(C48="売",F48*0.94,F48*1.06))</f>
        <v/>
      </c>
      <c r="N48" s="113">
        <f>IF(F48="","",IF(C48="売",F48*1.04,F48*0.96))</f>
        <v/>
      </c>
      <c r="O48" s="113">
        <f>IF(B48="","",IF(H48="","保有中",IF(C48="売",IF(H48&lt;=M48,"🟢利確推奨",IF(H48&lt;=F48*0.95,"🟡利確&amp;TR STOP検討",IF(H48&gt;=N48,"🔴損切推奨",IF(H48&gt;=F48*1.035,"🔴損切間近",IF(H48&gt;=F48*1.03,"⚠️+3%注意","保持継続"))))),IF(H48&gt;=M48,"🟢利確推奨",IF(H48&gt;=F48*1.05,"🟡利確&amp;TR STOP検討",IF(H48&lt;=N48,"🔴損切推奨",IF(H48&lt;=F48*0.965,"🔴損切間近",IF(H48&lt;=F48*0.97,"⚠️-3%注意","保持継続"))))))))</f>
        <v/>
      </c>
      <c r="P48" s="113">
        <f t="array" ref="P48">IF(B48="","",IFERROR(MAX(OFFSET(高値!$E$6,MATCH(TEXT(B48,"0"),TEXT(銘柄管理!$B$6:$B$305,"0"),0)-1,0,1,10)),""))</f>
        <v/>
      </c>
      <c r="Q48" s="113">
        <f t="array" ref="Q48">IF(B48="","",IFERROR(MIN(OFFSET(安値!$E$6,MATCH(TEXT(B48,"0"),TEXT(銘柄管理!$B$6:$B$305,"0"),0)-1,0,1,10)),""))</f>
        <v/>
      </c>
      <c r="R48" s="113">
        <f>IF(P48="","",ROUND(P48*0.97,0))</f>
        <v/>
      </c>
      <c r="S48" s="461">
        <f>IF(B48="","",IF(T48&lt;&gt;"","✅売却済",IF(H48="","📌保有中",IF(C48="売",IF(H48&lt;=M48,"🟢利確推奨",IF(H48&gt;=N48,"🔴損切推奨",IF(H48&gt;=R48,"⚠️STOP推奨","📌保有中"))),IF(H48&gt;=M48,"🟢利確推奨",IF(H48&lt;=N48,"🔴損切推奨",IF(H48&lt;=R48,"⚠️STOP推奨","📌保有中")))))))</f>
        <v/>
      </c>
      <c r="T48" s="111" t="n"/>
      <c r="U48" s="111" t="n"/>
      <c r="V48" s="113">
        <f>IF(OR(F48="",G48="",U48=""),"",IF(C48="売",(F48-U48)*G48,(U48-F48)*G48))</f>
        <v/>
      </c>
      <c r="W48" s="699">
        <f>IF(OR(E48="",B48=""),"",IF(T48&lt;&gt;"",T48-E48,TODAY()-E48))</f>
        <v/>
      </c>
      <c r="X48" s="111" t="n"/>
    </row>
    <row r="49" ht="17.25" customHeight="1" s="574">
      <c r="A49" s="408">
        <f>HYPERLINK("https://kabutan.jp/stock/?code="&amp;TEXT(B49,"0000"),"株探")</f>
        <v/>
      </c>
      <c r="B49" s="111" t="n"/>
      <c r="C49" s="115" t="n"/>
      <c r="D49" s="111">
        <f t="array" ref="D49">IF(B49="","",_xll.RssMarket(B49,"銘柄名称"))</f>
        <v/>
      </c>
      <c r="E49" s="698" t="n"/>
      <c r="F49" s="426" t="n"/>
      <c r="G49" s="111" t="n"/>
      <c r="H49" s="113">
        <f t="array" ref="H49">IF(B49="","",_xll.RssMarket(B49,"現在値"))</f>
        <v/>
      </c>
      <c r="I49" s="113">
        <f t="array" ref="I49">_xll.RssMarket(B49, "出来高加重平均")</f>
        <v/>
      </c>
      <c r="J49" s="113">
        <f t="array" ref="J49">_xll.RssMarket(B49, "前日比")</f>
        <v/>
      </c>
      <c r="K49" s="113">
        <f>IF(OR(F49="",G49="",H49=""),"",IF(C49="売",(F49-H49)*G49,(H49-F49)*G49))</f>
        <v/>
      </c>
      <c r="L49" s="114">
        <f>IF(OR(F49="",H49=""),"",IF(C49="売",(F49-H49)/F49,(H49-F49)/F49))</f>
        <v/>
      </c>
      <c r="M49" s="113">
        <f>IF(F49="","",IF(C49="売",F49*0.94,F49*1.06))</f>
        <v/>
      </c>
      <c r="N49" s="113">
        <f>IF(F49="","",IF(C49="売",F49*1.04,F49*0.96))</f>
        <v/>
      </c>
      <c r="O49" s="113">
        <f>IF(B49="","",IF(H49="","保有中",IF(C49="売",IF(H49&lt;=M49,"🟢利確推奨",IF(H49&lt;=F49*0.95,"🟡利確&amp;TR STOP検討",IF(H49&gt;=N49,"🔴損切推奨",IF(H49&gt;=F49*1.035,"🔴損切間近",IF(H49&gt;=F49*1.03,"⚠️+3%注意","保持継続"))))),IF(H49&gt;=M49,"🟢利確推奨",IF(H49&gt;=F49*1.05,"🟡利確&amp;TR STOP検討",IF(H49&lt;=N49,"🔴損切推奨",IF(H49&lt;=F49*0.965,"🔴損切間近",IF(H49&lt;=F49*0.97,"⚠️-3%注意","保持継続"))))))))</f>
        <v/>
      </c>
      <c r="P49" s="113">
        <f t="array" ref="P49">IF(B49="","",IFERROR(MAX(OFFSET(高値!$E$6,MATCH(TEXT(B49,"0"),TEXT(銘柄管理!$B$6:$B$305,"0"),0)-1,0,1,10)),""))</f>
        <v/>
      </c>
      <c r="Q49" s="113">
        <f t="array" ref="Q49">IF(B49="","",IFERROR(MIN(OFFSET(安値!$E$6,MATCH(TEXT(B49,"0"),TEXT(銘柄管理!$B$6:$B$305,"0"),0)-1,0,1,10)),""))</f>
        <v/>
      </c>
      <c r="R49" s="113">
        <f>IF(P49="","",ROUND(P49*0.97,0))</f>
        <v/>
      </c>
      <c r="S49" s="461">
        <f>IF(B49="","",IF(T49&lt;&gt;"","✅売却済",IF(H49="","📌保有中",IF(C49="売",IF(H49&lt;=M49,"🟢利確推奨",IF(H49&gt;=N49,"🔴損切推奨",IF(H49&gt;=R49,"⚠️STOP推奨","📌保有中"))),IF(H49&gt;=M49,"🟢利確推奨",IF(H49&lt;=N49,"🔴損切推奨",IF(H49&lt;=R49,"⚠️STOP推奨","📌保有中")))))))</f>
        <v/>
      </c>
      <c r="T49" s="111" t="n"/>
      <c r="U49" s="111" t="n"/>
      <c r="V49" s="113">
        <f>IF(OR(F49="",G49="",U49=""),"",IF(C49="売",(F49-U49)*G49,(U49-F49)*G49))</f>
        <v/>
      </c>
      <c r="W49" s="699">
        <f>IF(OR(E49="",B49=""),"",IF(T49&lt;&gt;"",T49-E49,TODAY()-E49))</f>
        <v/>
      </c>
      <c r="X49" s="111" t="n"/>
    </row>
    <row r="50" ht="17.25" customHeight="1" s="574">
      <c r="A50" s="408">
        <f>HYPERLINK("https://kabutan.jp/stock/?code="&amp;TEXT(B50,"0000"),"株探")</f>
        <v/>
      </c>
      <c r="B50" s="111" t="n"/>
      <c r="C50" s="115" t="n"/>
      <c r="D50" s="111">
        <f t="array" ref="D50">IF(B50="","",_xll.RssMarket(B50,"銘柄名称"))</f>
        <v/>
      </c>
      <c r="E50" s="698" t="n"/>
      <c r="F50" s="426" t="n"/>
      <c r="G50" s="111" t="n"/>
      <c r="H50" s="113">
        <f t="array" ref="H50">IF(B50="","",_xll.RssMarket(B50,"現在値"))</f>
        <v/>
      </c>
      <c r="I50" s="113">
        <f t="array" ref="I50">_xll.RssMarket(B50, "出来高加重平均")</f>
        <v/>
      </c>
      <c r="J50" s="113">
        <f t="array" ref="J50">_xll.RssMarket(B50, "前日比")</f>
        <v/>
      </c>
      <c r="K50" s="113">
        <f>IF(OR(F50="",G50="",H50=""),"",IF(C50="売",(F50-H50)*G50,(H50-F50)*G50))</f>
        <v/>
      </c>
      <c r="L50" s="114">
        <f>IF(OR(F50="",H50=""),"",IF(C50="売",(F50-H50)/F50,(H50-F50)/F50))</f>
        <v/>
      </c>
      <c r="M50" s="113">
        <f>IF(F50="","",IF(C50="売",F50*0.94,F50*1.06))</f>
        <v/>
      </c>
      <c r="N50" s="113">
        <f>IF(F50="","",IF(C50="売",F50*1.04,F50*0.96))</f>
        <v/>
      </c>
      <c r="O50" s="113">
        <f>IF(B50="","",IF(H50="","保有中",IF(C50="売",IF(H50&lt;=M50,"🟢利確推奨",IF(H50&lt;=F50*0.95,"🟡利確&amp;TR STOP検討",IF(H50&gt;=N50,"🔴損切推奨",IF(H50&gt;=F50*1.035,"🔴損切間近",IF(H50&gt;=F50*1.03,"⚠️+3%注意","保持継続"))))),IF(H50&gt;=M50,"🟢利確推奨",IF(H50&gt;=F50*1.05,"🟡利確&amp;TR STOP検討",IF(H50&lt;=N50,"🔴損切推奨",IF(H50&lt;=F50*0.965,"🔴損切間近",IF(H50&lt;=F50*0.97,"⚠️-3%注意","保持継続"))))))))</f>
        <v/>
      </c>
      <c r="P50" s="113">
        <f t="array" ref="P50">IF(B50="","",IFERROR(MAX(OFFSET(高値!$E$6,MATCH(TEXT(B50,"0"),TEXT(銘柄管理!$B$6:$B$305,"0"),0)-1,0,1,10)),""))</f>
        <v/>
      </c>
      <c r="Q50" s="113">
        <f t="array" ref="Q50">IF(B50="","",IFERROR(MIN(OFFSET(安値!$E$6,MATCH(TEXT(B50,"0"),TEXT(銘柄管理!$B$6:$B$305,"0"),0)-1,0,1,10)),""))</f>
        <v/>
      </c>
      <c r="R50" s="113">
        <f>IF(P50="","",ROUND(P50*0.97,0))</f>
        <v/>
      </c>
      <c r="S50" s="461">
        <f>IF(B50="","",IF(T50&lt;&gt;"","✅売却済",IF(H50="","📌保有中",IF(C50="売",IF(H50&lt;=M50,"🟢利確推奨",IF(H50&gt;=N50,"🔴損切推奨",IF(H50&gt;=R50,"⚠️STOP推奨","📌保有中"))),IF(H50&gt;=M50,"🟢利確推奨",IF(H50&lt;=N50,"🔴損切推奨",IF(H50&lt;=R50,"⚠️STOP推奨","📌保有中")))))))</f>
        <v/>
      </c>
      <c r="T50" s="111" t="n"/>
      <c r="U50" s="111" t="n"/>
      <c r="V50" s="113">
        <f>IF(OR(F50="",G50="",U50=""),"",IF(C50="売",(F50-U50)*G50,(U50-F50)*G50))</f>
        <v/>
      </c>
      <c r="W50" s="699">
        <f>IF(OR(E50="",B50=""),"",IF(T50&lt;&gt;"",T50-E50,TODAY()-E50))</f>
        <v/>
      </c>
      <c r="X50" s="111" t="n"/>
    </row>
    <row r="51" ht="17.25" customHeight="1" s="574">
      <c r="A51" s="408">
        <f>HYPERLINK("https://kabutan.jp/stock/?code="&amp;TEXT(B51,"0000"),"株探")</f>
        <v/>
      </c>
      <c r="B51" s="111" t="n"/>
      <c r="C51" s="115" t="n"/>
      <c r="D51" s="111">
        <f t="array" ref="D51">IF(B51="","",_xll.RssMarket(B51,"銘柄名称"))</f>
        <v/>
      </c>
      <c r="E51" s="698" t="n"/>
      <c r="F51" s="426" t="n"/>
      <c r="G51" s="111" t="n"/>
      <c r="H51" s="113">
        <f t="array" ref="H51">IF(B51="","",_xll.RssMarket(B51,"現在値"))</f>
        <v/>
      </c>
      <c r="I51" s="113">
        <f t="array" ref="I51">_xll.RssMarket(B51, "出来高加重平均")</f>
        <v/>
      </c>
      <c r="J51" s="113">
        <f t="array" ref="J51">_xll.RssMarket(B51, "前日比")</f>
        <v/>
      </c>
      <c r="K51" s="113">
        <f>IF(OR(F51="",G51="",H51=""),"",IF(C51="売",(F51-H51)*G51,(H51-F51)*G51))</f>
        <v/>
      </c>
      <c r="L51" s="114">
        <f>IF(OR(F51="",H51=""),"",IF(C51="売",(F51-H51)/F51,(H51-F51)/F51))</f>
        <v/>
      </c>
      <c r="M51" s="113">
        <f>IF(F51="","",IF(C51="売",F51*0.94,F51*1.06))</f>
        <v/>
      </c>
      <c r="N51" s="113">
        <f>IF(F51="","",IF(C51="売",F51*1.04,F51*0.96))</f>
        <v/>
      </c>
      <c r="O51" s="113">
        <f>IF(B51="","",IF(H51="","保有中",IF(C51="売",IF(H51&lt;=M51,"🟢利確推奨",IF(H51&lt;=F51*0.95,"🟡利確&amp;TR STOP検討",IF(H51&gt;=N51,"🔴損切推奨",IF(H51&gt;=F51*1.035,"🔴損切間近",IF(H51&gt;=F51*1.03,"⚠️+3%注意","保持継続"))))),IF(H51&gt;=M51,"🟢利確推奨",IF(H51&gt;=F51*1.05,"🟡利確&amp;TR STOP検討",IF(H51&lt;=N51,"🔴損切推奨",IF(H51&lt;=F51*0.965,"🔴損切間近",IF(H51&lt;=F51*0.97,"⚠️-3%注意","保持継続"))))))))</f>
        <v/>
      </c>
      <c r="P51" s="113">
        <f t="array" ref="P51">IF(B51="","",IFERROR(MAX(OFFSET(高値!$E$6,MATCH(TEXT(B51,"0"),TEXT(銘柄管理!$B$6:$B$305,"0"),0)-1,0,1,10)),""))</f>
        <v/>
      </c>
      <c r="Q51" s="113">
        <f t="array" ref="Q51">IF(B51="","",IFERROR(MIN(OFFSET(安値!$E$6,MATCH(TEXT(B51,"0"),TEXT(銘柄管理!$B$6:$B$305,"0"),0)-1,0,1,10)),""))</f>
        <v/>
      </c>
      <c r="R51" s="113">
        <f>IF(P51="","",ROUND(P51*0.97,0))</f>
        <v/>
      </c>
      <c r="S51" s="461">
        <f>IF(B51="","",IF(T51&lt;&gt;"","✅売却済",IF(H51="","📌保有中",IF(C51="売",IF(H51&lt;=M51,"🟢利確推奨",IF(H51&gt;=N51,"🔴損切推奨",IF(H51&gt;=R51,"⚠️STOP推奨","📌保有中"))),IF(H51&gt;=M51,"🟢利確推奨",IF(H51&lt;=N51,"🔴損切推奨",IF(H51&lt;=R51,"⚠️STOP推奨","📌保有中")))))))</f>
        <v/>
      </c>
      <c r="T51" s="111" t="n"/>
      <c r="U51" s="111" t="n"/>
      <c r="V51" s="113">
        <f>IF(OR(F51="",G51="",U51=""),"",IF(C51="売",(F51-U51)*G51,(U51-F51)*G51))</f>
        <v/>
      </c>
      <c r="W51" s="699">
        <f>IF(OR(E51="",B51=""),"",IF(T51&lt;&gt;"",T51-E51,TODAY()-E51))</f>
        <v/>
      </c>
      <c r="X51" s="111" t="n"/>
    </row>
    <row r="52" ht="17.25" customHeight="1" s="574">
      <c r="A52" s="408">
        <f>HYPERLINK("https://kabutan.jp/stock/?code="&amp;TEXT(B52,"0000"),"株探")</f>
        <v/>
      </c>
      <c r="B52" s="111" t="n"/>
      <c r="C52" s="115" t="n"/>
      <c r="D52" s="111">
        <f t="array" ref="D52">IF(B52="","",_xll.RssMarket(B52,"銘柄名称"))</f>
        <v/>
      </c>
      <c r="E52" s="698" t="n"/>
      <c r="F52" s="426" t="n"/>
      <c r="G52" s="111" t="n"/>
      <c r="H52" s="113">
        <f t="array" ref="H52">IF(B52="","",_xll.RssMarket(B52,"現在値"))</f>
        <v/>
      </c>
      <c r="I52" s="113">
        <f t="array" ref="I52">_xll.RssMarket(B52, "出来高加重平均")</f>
        <v/>
      </c>
      <c r="J52" s="113">
        <f t="array" ref="J52">_xll.RssMarket(B52, "前日比")</f>
        <v/>
      </c>
      <c r="K52" s="113">
        <f>IF(OR(F52="",G52="",H52=""),"",IF(C52="売",(F52-H52)*G52,(H52-F52)*G52))</f>
        <v/>
      </c>
      <c r="L52" s="114">
        <f>IF(OR(F52="",H52=""),"",IF(C52="売",(F52-H52)/F52,(H52-F52)/F52))</f>
        <v/>
      </c>
      <c r="M52" s="113">
        <f>IF(F52="","",IF(C52="売",F52*0.94,F52*1.06))</f>
        <v/>
      </c>
      <c r="N52" s="113">
        <f>IF(F52="","",IF(C52="売",F52*1.04,F52*0.96))</f>
        <v/>
      </c>
      <c r="O52" s="113">
        <f>IF(B52="","",IF(H52="","保有中",IF(C52="売",IF(H52&lt;=M52,"🟢利確推奨",IF(H52&lt;=F52*0.95,"🟡利確&amp;TR STOP検討",IF(H52&gt;=N52,"🔴損切推奨",IF(H52&gt;=F52*1.035,"🔴損切間近",IF(H52&gt;=F52*1.03,"⚠️+3%注意","保持継続"))))),IF(H52&gt;=M52,"🟢利確推奨",IF(H52&gt;=F52*1.05,"🟡利確&amp;TR STOP検討",IF(H52&lt;=N52,"🔴損切推奨",IF(H52&lt;=F52*0.965,"🔴損切間近",IF(H52&lt;=F52*0.97,"⚠️-3%注意","保持継続"))))))))</f>
        <v/>
      </c>
      <c r="P52" s="113">
        <f t="array" ref="P52">IF(B52="","",IFERROR(MAX(OFFSET(高値!$E$6,MATCH(TEXT(B52,"0"),TEXT(銘柄管理!$B$6:$B$305,"0"),0)-1,0,1,10)),""))</f>
        <v/>
      </c>
      <c r="Q52" s="113">
        <f t="array" ref="Q52">IF(B52="","",IFERROR(MIN(OFFSET(安値!$E$6,MATCH(TEXT(B52,"0"),TEXT(銘柄管理!$B$6:$B$305,"0"),0)-1,0,1,10)),""))</f>
        <v/>
      </c>
      <c r="R52" s="113">
        <f>IF(P52="","",ROUND(P52*0.97,0))</f>
        <v/>
      </c>
      <c r="S52" s="461">
        <f>IF(B52="","",IF(T52&lt;&gt;"","✅売却済",IF(H52="","📌保有中",IF(C52="売",IF(H52&lt;=M52,"🟢利確推奨",IF(H52&gt;=N52,"🔴損切推奨",IF(H52&gt;=R52,"⚠️STOP推奨","📌保有中"))),IF(H52&gt;=M52,"🟢利確推奨",IF(H52&lt;=N52,"🔴損切推奨",IF(H52&lt;=R52,"⚠️STOP推奨","📌保有中")))))))</f>
        <v/>
      </c>
      <c r="T52" s="111" t="n"/>
      <c r="U52" s="111" t="n"/>
      <c r="V52" s="113">
        <f>IF(OR(F52="",G52="",U52=""),"",IF(C52="売",(F52-U52)*G52,(U52-F52)*G52))</f>
        <v/>
      </c>
      <c r="W52" s="699">
        <f>IF(OR(E52="",B52=""),"",IF(T52&lt;&gt;"",T52-E52,TODAY()-E52))</f>
        <v/>
      </c>
      <c r="X52" s="111" t="n"/>
    </row>
    <row r="53" ht="17.25" customHeight="1" s="574">
      <c r="A53" s="408">
        <f>HYPERLINK("https://kabutan.jp/stock/?code="&amp;TEXT(B53,"0000"),"株探")</f>
        <v/>
      </c>
      <c r="B53" s="111" t="n"/>
      <c r="C53" s="115" t="n"/>
      <c r="D53" s="111">
        <f t="array" ref="D53">IF(B53="","",_xll.RssMarket(B53,"銘柄名称"))</f>
        <v/>
      </c>
      <c r="E53" s="698" t="n"/>
      <c r="F53" s="426" t="n"/>
      <c r="G53" s="111" t="n"/>
      <c r="H53" s="113">
        <f t="array" ref="H53">IF(B53="","",_xll.RssMarket(B53,"現在値"))</f>
        <v/>
      </c>
      <c r="I53" s="113">
        <f t="array" ref="I53">_xll.RssMarket(B53, "出来高加重平均")</f>
        <v/>
      </c>
      <c r="J53" s="113">
        <f t="array" ref="J53">_xll.RssMarket(B53, "前日比")</f>
        <v/>
      </c>
      <c r="K53" s="113">
        <f>IF(OR(F53="",G53="",H53=""),"",IF(C53="売",(F53-H53)*G53,(H53-F53)*G53))</f>
        <v/>
      </c>
      <c r="L53" s="114">
        <f>IF(OR(F53="",H53=""),"",IF(C53="売",(F53-H53)/F53,(H53-F53)/F53))</f>
        <v/>
      </c>
      <c r="M53" s="113">
        <f>IF(F53="","",IF(C53="売",F53*0.94,F53*1.06))</f>
        <v/>
      </c>
      <c r="N53" s="113">
        <f>IF(F53="","",IF(C53="売",F53*1.04,F53*0.96))</f>
        <v/>
      </c>
      <c r="O53" s="113">
        <f>IF(B53="","",IF(H53="","保有中",IF(C53="売",IF(H53&lt;=M53,"🟢利確推奨",IF(H53&lt;=F53*0.95,"🟡利確&amp;TR STOP検討",IF(H53&gt;=N53,"🔴損切推奨",IF(H53&gt;=F53*1.035,"🔴損切間近",IF(H53&gt;=F53*1.03,"⚠️+3%注意","保持継続"))))),IF(H53&gt;=M53,"🟢利確推奨",IF(H53&gt;=F53*1.05,"🟡利確&amp;TR STOP検討",IF(H53&lt;=N53,"🔴損切推奨",IF(H53&lt;=F53*0.965,"🔴損切間近",IF(H53&lt;=F53*0.97,"⚠️-3%注意","保持継続"))))))))</f>
        <v/>
      </c>
      <c r="P53" s="113">
        <f t="array" ref="P53">IF(B53="","",IFERROR(MAX(OFFSET(高値!$E$6,MATCH(TEXT(B53,"0"),TEXT(銘柄管理!$B$6:$B$305,"0"),0)-1,0,1,10)),""))</f>
        <v/>
      </c>
      <c r="Q53" s="113">
        <f t="array" ref="Q53">IF(B53="","",IFERROR(MIN(OFFSET(安値!$E$6,MATCH(TEXT(B53,"0"),TEXT(銘柄管理!$B$6:$B$305,"0"),0)-1,0,1,10)),""))</f>
        <v/>
      </c>
      <c r="R53" s="113">
        <f>IF(P53="","",ROUND(P53*0.97,0))</f>
        <v/>
      </c>
      <c r="S53" s="461">
        <f>IF(B53="","",IF(T53&lt;&gt;"","✅売却済",IF(H53="","📌保有中",IF(C53="売",IF(H53&lt;=M53,"🟢利確推奨",IF(H53&gt;=N53,"🔴損切推奨",IF(H53&gt;=R53,"⚠️STOP推奨","📌保有中"))),IF(H53&gt;=M53,"🟢利確推奨",IF(H53&lt;=N53,"🔴損切推奨",IF(H53&lt;=R53,"⚠️STOP推奨","📌保有中")))))))</f>
        <v/>
      </c>
      <c r="T53" s="111" t="n"/>
      <c r="U53" s="111" t="n"/>
      <c r="V53" s="113">
        <f>IF(OR(F53="",G53="",U53=""),"",IF(C53="売",(F53-U53)*G53,(U53-F53)*G53))</f>
        <v/>
      </c>
      <c r="W53" s="699">
        <f>IF(OR(E53="",B53=""),"",IF(T53&lt;&gt;"",T53-E53,TODAY()-E53))</f>
        <v/>
      </c>
      <c r="X53" s="111" t="n"/>
    </row>
    <row r="54" ht="17.25" customHeight="1" s="574">
      <c r="A54" s="408">
        <f>HYPERLINK("https://kabutan.jp/stock/?code="&amp;TEXT(B54,"0000"),"株探")</f>
        <v/>
      </c>
      <c r="B54" s="111" t="n"/>
      <c r="C54" s="115" t="n"/>
      <c r="D54" s="111">
        <f t="array" ref="D54">IF(B54="","",_xll.RssMarket(B54,"銘柄名称"))</f>
        <v/>
      </c>
      <c r="E54" s="698" t="n"/>
      <c r="F54" s="426" t="n"/>
      <c r="G54" s="111" t="n"/>
      <c r="H54" s="113">
        <f t="array" ref="H54">IF(B54="","",_xll.RssMarket(B54,"現在値"))</f>
        <v/>
      </c>
      <c r="I54" s="113">
        <f t="array" ref="I54">_xll.RssMarket(B54, "出来高加重平均")</f>
        <v/>
      </c>
      <c r="J54" s="113">
        <f t="array" ref="J54">_xll.RssMarket(B54, "前日比")</f>
        <v/>
      </c>
      <c r="K54" s="113">
        <f>IF(OR(F54="",G54="",H54=""),"",IF(C54="売",(F54-H54)*G54,(H54-F54)*G54))</f>
        <v/>
      </c>
      <c r="L54" s="114">
        <f>IF(OR(F54="",H54=""),"",IF(C54="売",(F54-H54)/F54,(H54-F54)/F54))</f>
        <v/>
      </c>
      <c r="M54" s="113">
        <f>IF(F54="","",IF(C54="売",F54*0.94,F54*1.06))</f>
        <v/>
      </c>
      <c r="N54" s="113">
        <f>IF(F54="","",IF(C54="売",F54*1.04,F54*0.96))</f>
        <v/>
      </c>
      <c r="O54" s="113">
        <f>IF(B54="","",IF(H54="","保有中",IF(C54="売",IF(H54&lt;=M54,"🟢利確推奨",IF(H54&lt;=F54*0.95,"🟡利確&amp;TR STOP検討",IF(H54&gt;=N54,"🔴損切推奨",IF(H54&gt;=F54*1.035,"🔴損切間近",IF(H54&gt;=F54*1.03,"⚠️+3%注意","保持継続"))))),IF(H54&gt;=M54,"🟢利確推奨",IF(H54&gt;=F54*1.05,"🟡利確&amp;TR STOP検討",IF(H54&lt;=N54,"🔴損切推奨",IF(H54&lt;=F54*0.965,"🔴損切間近",IF(H54&lt;=F54*0.97,"⚠️-3%注意","保持継続"))))))))</f>
        <v/>
      </c>
      <c r="P54" s="113">
        <f t="array" ref="P54">IF(B54="","",IFERROR(MAX(OFFSET(高値!$E$6,MATCH(TEXT(B54,"0"),TEXT(銘柄管理!$B$6:$B$305,"0"),0)-1,0,1,10)),""))</f>
        <v/>
      </c>
      <c r="Q54" s="113">
        <f t="array" ref="Q54">IF(B54="","",IFERROR(MIN(OFFSET(安値!$E$6,MATCH(TEXT(B54,"0"),TEXT(銘柄管理!$B$6:$B$305,"0"),0)-1,0,1,10)),""))</f>
        <v/>
      </c>
      <c r="R54" s="113">
        <f>IF(P54="","",ROUND(P54*0.97,0))</f>
        <v/>
      </c>
      <c r="S54" s="461">
        <f>IF(B54="","",IF(T54&lt;&gt;"","✅売却済",IF(H54="","📌保有中",IF(C54="売",IF(H54&lt;=M54,"🟢利確推奨",IF(H54&gt;=N54,"🔴損切推奨",IF(H54&gt;=R54,"⚠️STOP推奨","📌保有中"))),IF(H54&gt;=M54,"🟢利確推奨",IF(H54&lt;=N54,"🔴損切推奨",IF(H54&lt;=R54,"⚠️STOP推奨","📌保有中")))))))</f>
        <v/>
      </c>
      <c r="T54" s="111" t="n"/>
      <c r="U54" s="111" t="n"/>
      <c r="V54" s="113">
        <f>IF(OR(F54="",G54="",U54=""),"",IF(C54="売",(F54-U54)*G54,(U54-F54)*G54))</f>
        <v/>
      </c>
      <c r="W54" s="699">
        <f>IF(OR(E54="",B54=""),"",IF(T54&lt;&gt;"",T54-E54,TODAY()-E54))</f>
        <v/>
      </c>
      <c r="X54" s="111" t="n"/>
    </row>
    <row r="55" ht="17.25" customHeight="1" s="574">
      <c r="A55" s="408">
        <f>HYPERLINK("https://kabutan.jp/stock/?code="&amp;TEXT(B55,"0000"),"株探")</f>
        <v/>
      </c>
      <c r="B55" s="111" t="n"/>
      <c r="C55" s="115" t="n"/>
      <c r="D55" s="111">
        <f t="array" ref="D55">IF(B55="","",_xll.RssMarket(B55,"銘柄名称"))</f>
        <v/>
      </c>
      <c r="E55" s="698" t="n"/>
      <c r="F55" s="426" t="n"/>
      <c r="G55" s="111" t="n"/>
      <c r="H55" s="113">
        <f t="array" ref="H55">IF(B55="","",_xll.RssMarket(B55,"現在値"))</f>
        <v/>
      </c>
      <c r="I55" s="113">
        <f t="array" ref="I55">_xll.RssMarket(B55, "出来高加重平均")</f>
        <v/>
      </c>
      <c r="J55" s="113">
        <f t="array" ref="J55">_xll.RssMarket(B55, "前日比")</f>
        <v/>
      </c>
      <c r="K55" s="113">
        <f>IF(OR(F55="",G55="",H55=""),"",IF(C55="売",(F55-H55)*G55,(H55-F55)*G55))</f>
        <v/>
      </c>
      <c r="L55" s="114">
        <f>IF(OR(F55="",H55=""),"",IF(C55="売",(F55-H55)/F55,(H55-F55)/F55))</f>
        <v/>
      </c>
      <c r="M55" s="113">
        <f>IF(F55="","",IF(C55="売",F55*0.94,F55*1.06))</f>
        <v/>
      </c>
      <c r="N55" s="113">
        <f>IF(F55="","",IF(C55="売",F55*1.04,F55*0.96))</f>
        <v/>
      </c>
      <c r="O55" s="113">
        <f>IF(B55="","",IF(H55="","保有中",IF(C55="売",IF(H55&lt;=M55,"🟢利確推奨",IF(H55&lt;=F55*0.95,"🟡利確&amp;TR STOP検討",IF(H55&gt;=N55,"🔴損切推奨",IF(H55&gt;=F55*1.035,"🔴損切間近",IF(H55&gt;=F55*1.03,"⚠️+3%注意","保持継続"))))),IF(H55&gt;=M55,"🟢利確推奨",IF(H55&gt;=F55*1.05,"🟡利確&amp;TR STOP検討",IF(H55&lt;=N55,"🔴損切推奨",IF(H55&lt;=F55*0.965,"🔴損切間近",IF(H55&lt;=F55*0.97,"⚠️-3%注意","保持継続"))))))))</f>
        <v/>
      </c>
      <c r="P55" s="113">
        <f t="array" ref="P55">IF(B55="","",IFERROR(MAX(OFFSET(高値!$E$6,MATCH(TEXT(B55,"0"),TEXT(銘柄管理!$B$6:$B$305,"0"),0)-1,0,1,10)),""))</f>
        <v/>
      </c>
      <c r="Q55" s="113">
        <f t="array" ref="Q55">IF(B55="","",IFERROR(MIN(OFFSET(安値!$E$6,MATCH(TEXT(B55,"0"),TEXT(銘柄管理!$B$6:$B$305,"0"),0)-1,0,1,10)),""))</f>
        <v/>
      </c>
      <c r="R55" s="113">
        <f>IF(P55="","",ROUND(P55*0.97,0))</f>
        <v/>
      </c>
      <c r="S55" s="461">
        <f>IF(B55="","",IF(T55&lt;&gt;"","✅売却済",IF(H55="","📌保有中",IF(C55="売",IF(H55&lt;=M55,"🟢利確推奨",IF(H55&gt;=N55,"🔴損切推奨",IF(H55&gt;=R55,"⚠️STOP推奨","📌保有中"))),IF(H55&gt;=M55,"🟢利確推奨",IF(H55&lt;=N55,"🔴損切推奨",IF(H55&lt;=R55,"⚠️STOP推奨","📌保有中")))))))</f>
        <v/>
      </c>
      <c r="T55" s="111" t="n"/>
      <c r="U55" s="111" t="n"/>
      <c r="V55" s="113">
        <f>IF(OR(F55="",G55="",U55=""),"",IF(C55="売",(F55-U55)*G55,(U55-F55)*G55))</f>
        <v/>
      </c>
      <c r="W55" s="699">
        <f>IF(OR(E55="",B55=""),"",IF(T55&lt;&gt;"",T55-E55,TODAY()-E55))</f>
        <v/>
      </c>
      <c r="X55" s="111" t="n"/>
    </row>
    <row r="56" ht="17.25" customHeight="1" s="574">
      <c r="A56" s="408">
        <f>HYPERLINK("https://kabutan.jp/stock/?code="&amp;TEXT(B56,"0000"),"株探")</f>
        <v/>
      </c>
      <c r="B56" s="111" t="n"/>
      <c r="C56" s="115" t="n"/>
      <c r="D56" s="111">
        <f t="array" ref="D56">IF(B56="","",_xll.RssMarket(B56,"銘柄名称"))</f>
        <v/>
      </c>
      <c r="E56" s="698" t="n"/>
      <c r="F56" s="426" t="n"/>
      <c r="G56" s="111" t="n"/>
      <c r="H56" s="113">
        <f t="array" ref="H56">IF(B56="","",_xll.RssMarket(B56,"現在値"))</f>
        <v/>
      </c>
      <c r="I56" s="113">
        <f t="array" ref="I56">_xll.RssMarket(B56, "出来高加重平均")</f>
        <v/>
      </c>
      <c r="J56" s="113">
        <f t="array" ref="J56">_xll.RssMarket(B56, "前日比")</f>
        <v/>
      </c>
      <c r="K56" s="113">
        <f>IF(OR(F56="",G56="",H56=""),"",IF(C56="売",(F56-H56)*G56,(H56-F56)*G56))</f>
        <v/>
      </c>
      <c r="L56" s="114">
        <f>IF(OR(F56="",H56=""),"",IF(C56="売",(F56-H56)/F56,(H56-F56)/F56))</f>
        <v/>
      </c>
      <c r="M56" s="113">
        <f>IF(F56="","",IF(C56="売",F56*0.94,F56*1.06))</f>
        <v/>
      </c>
      <c r="N56" s="113">
        <f>IF(F56="","",IF(C56="売",F56*1.04,F56*0.96))</f>
        <v/>
      </c>
      <c r="O56" s="113">
        <f>IF(B56="","",IF(H56="","保有中",IF(C56="売",IF(H56&lt;=M56,"🟢利確推奨",IF(H56&lt;=F56*0.95,"🟡利確&amp;TR STOP検討",IF(H56&gt;=N56,"🔴損切推奨",IF(H56&gt;=F56*1.035,"🔴損切間近",IF(H56&gt;=F56*1.03,"⚠️+3%注意","保持継続"))))),IF(H56&gt;=M56,"🟢利確推奨",IF(H56&gt;=F56*1.05,"🟡利確&amp;TR STOP検討",IF(H56&lt;=N56,"🔴損切推奨",IF(H56&lt;=F56*0.965,"🔴損切間近",IF(H56&lt;=F56*0.97,"⚠️-3%注意","保持継続"))))))))</f>
        <v/>
      </c>
      <c r="P56" s="113">
        <f t="array" ref="P56">IF(B56="","",IFERROR(MAX(OFFSET(高値!$E$6,MATCH(TEXT(B56,"0"),TEXT(銘柄管理!$B$6:$B$305,"0"),0)-1,0,1,10)),""))</f>
        <v/>
      </c>
      <c r="Q56" s="113">
        <f t="array" ref="Q56">IF(B56="","",IFERROR(MIN(OFFSET(安値!$E$6,MATCH(TEXT(B56,"0"),TEXT(銘柄管理!$B$6:$B$305,"0"),0)-1,0,1,10)),""))</f>
        <v/>
      </c>
      <c r="R56" s="113">
        <f>IF(P56="","",ROUND(P56*0.97,0))</f>
        <v/>
      </c>
      <c r="S56" s="461">
        <f>IF(B56="","",IF(T56&lt;&gt;"","✅売却済",IF(H56="","📌保有中",IF(C56="売",IF(H56&lt;=M56,"🟢利確推奨",IF(H56&gt;=N56,"🔴損切推奨",IF(H56&gt;=R56,"⚠️STOP推奨","📌保有中"))),IF(H56&gt;=M56,"🟢利確推奨",IF(H56&lt;=N56,"🔴損切推奨",IF(H56&lt;=R56,"⚠️STOP推奨","📌保有中")))))))</f>
        <v/>
      </c>
      <c r="T56" s="111" t="n"/>
      <c r="U56" s="111" t="n"/>
      <c r="V56" s="113">
        <f>IF(OR(F56="",G56="",U56=""),"",IF(C56="売",(F56-U56)*G56,(U56-F56)*G56))</f>
        <v/>
      </c>
      <c r="W56" s="699">
        <f>IF(OR(E56="",B56=""),"",IF(T56&lt;&gt;"",T56-E56,TODAY()-E56))</f>
        <v/>
      </c>
      <c r="X56" s="111" t="n"/>
    </row>
    <row r="57" ht="17.25" customHeight="1" s="574">
      <c r="A57" s="408">
        <f>HYPERLINK("https://kabutan.jp/stock/?code="&amp;TEXT(B57,"0000"),"株探")</f>
        <v/>
      </c>
      <c r="B57" s="111" t="n"/>
      <c r="C57" s="115" t="n"/>
      <c r="D57" s="111">
        <f t="array" ref="D57">IF(B57="","",_xll.RssMarket(B57,"銘柄名称"))</f>
        <v/>
      </c>
      <c r="E57" s="698" t="n"/>
      <c r="F57" s="426" t="n"/>
      <c r="G57" s="111" t="n"/>
      <c r="H57" s="113">
        <f t="array" ref="H57">IF(B57="","",_xll.RssMarket(B57,"現在値"))</f>
        <v/>
      </c>
      <c r="I57" s="113">
        <f t="array" ref="I57">_xll.RssMarket(B57, "出来高加重平均")</f>
        <v/>
      </c>
      <c r="J57" s="113">
        <f t="array" ref="J57">_xll.RssMarket(B57, "前日比")</f>
        <v/>
      </c>
      <c r="K57" s="113">
        <f>IF(OR(F57="",G57="",H57=""),"",IF(C57="売",(F57-H57)*G57,(H57-F57)*G57))</f>
        <v/>
      </c>
      <c r="L57" s="114">
        <f>IF(OR(F57="",H57=""),"",IF(C57="売",(F57-H57)/F57,(H57-F57)/F57))</f>
        <v/>
      </c>
      <c r="M57" s="113">
        <f>IF(F57="","",IF(C57="売",F57*0.94,F57*1.06))</f>
        <v/>
      </c>
      <c r="N57" s="113">
        <f>IF(F57="","",IF(C57="売",F57*1.04,F57*0.96))</f>
        <v/>
      </c>
      <c r="O57" s="113">
        <f>IF(B57="","",IF(H57="","保有中",IF(C57="売",IF(H57&lt;=M57,"🟢利確推奨",IF(H57&lt;=F57*0.95,"🟡利確&amp;TR STOP検討",IF(H57&gt;=N57,"🔴損切推奨",IF(H57&gt;=F57*1.035,"🔴損切間近",IF(H57&gt;=F57*1.03,"⚠️+3%注意","保持継続"))))),IF(H57&gt;=M57,"🟢利確推奨",IF(H57&gt;=F57*1.05,"🟡利確&amp;TR STOP検討",IF(H57&lt;=N57,"🔴損切推奨",IF(H57&lt;=F57*0.965,"🔴損切間近",IF(H57&lt;=F57*0.97,"⚠️-3%注意","保持継続"))))))))</f>
        <v/>
      </c>
      <c r="P57" s="113">
        <f t="array" ref="P57">IF(B57="","",IFERROR(MAX(OFFSET(高値!$E$6,MATCH(TEXT(B57,"0"),TEXT(銘柄管理!$B$6:$B$305,"0"),0)-1,0,1,10)),""))</f>
        <v/>
      </c>
      <c r="Q57" s="113">
        <f t="array" ref="Q57">IF(B57="","",IFERROR(MIN(OFFSET(安値!$E$6,MATCH(TEXT(B57,"0"),TEXT(銘柄管理!$B$6:$B$305,"0"),0)-1,0,1,10)),""))</f>
        <v/>
      </c>
      <c r="R57" s="113">
        <f>IF(P57="","",ROUND(P57*0.97,0))</f>
        <v/>
      </c>
      <c r="S57" s="461">
        <f>IF(B57="","",IF(T57&lt;&gt;"","✅売却済",IF(H57="","📌保有中",IF(C57="売",IF(H57&lt;=M57,"🟢利確推奨",IF(H57&gt;=N57,"🔴損切推奨",IF(H57&gt;=R57,"⚠️STOP推奨","📌保有中"))),IF(H57&gt;=M57,"🟢利確推奨",IF(H57&lt;=N57,"🔴損切推奨",IF(H57&lt;=R57,"⚠️STOP推奨","📌保有中")))))))</f>
        <v/>
      </c>
      <c r="T57" s="111" t="n"/>
      <c r="U57" s="111" t="n"/>
      <c r="V57" s="113">
        <f>IF(OR(F57="",G57="",U57=""),"",IF(C57="売",(F57-U57)*G57,(U57-F57)*G57))</f>
        <v/>
      </c>
      <c r="W57" s="699">
        <f>IF(OR(E57="",B57=""),"",IF(T57&lt;&gt;"",T57-E57,TODAY()-E57))</f>
        <v/>
      </c>
      <c r="X57" s="111" t="n"/>
    </row>
    <row r="58" ht="17.25" customHeight="1" s="574">
      <c r="A58" s="408">
        <f>HYPERLINK("https://kabutan.jp/stock/?code="&amp;TEXT(B58,"0000"),"株探")</f>
        <v/>
      </c>
      <c r="B58" s="111" t="n"/>
      <c r="C58" s="115" t="n"/>
      <c r="D58" s="111">
        <f t="array" ref="D58">IF(B58="","",_xll.RssMarket(B58,"銘柄名称"))</f>
        <v/>
      </c>
      <c r="E58" s="698" t="n"/>
      <c r="F58" s="426" t="n"/>
      <c r="G58" s="111" t="n"/>
      <c r="H58" s="113">
        <f t="array" ref="H58">IF(B58="","",_xll.RssMarket(B58,"現在値"))</f>
        <v/>
      </c>
      <c r="I58" s="113">
        <f t="array" ref="I58">_xll.RssMarket(B58, "出来高加重平均")</f>
        <v/>
      </c>
      <c r="J58" s="113">
        <f t="array" ref="J58">_xll.RssMarket(B58, "前日比")</f>
        <v/>
      </c>
      <c r="K58" s="113">
        <f>IF(OR(F58="",G58="",H58=""),"",IF(C58="売",(F58-H58)*G58,(H58-F58)*G58))</f>
        <v/>
      </c>
      <c r="L58" s="114">
        <f>IF(OR(F58="",H58=""),"",IF(C58="売",(F58-H58)/F58,(H58-F58)/F58))</f>
        <v/>
      </c>
      <c r="M58" s="113">
        <f>IF(F58="","",IF(C58="売",F58*0.94,F58*1.06))</f>
        <v/>
      </c>
      <c r="N58" s="113">
        <f>IF(F58="","",IF(C58="売",F58*1.04,F58*0.96))</f>
        <v/>
      </c>
      <c r="O58" s="113">
        <f>IF(B58="","",IF(H58="","保有中",IF(C58="売",IF(H58&lt;=M58,"🟢利確推奨",IF(H58&lt;=F58*0.95,"🟡利確&amp;TR STOP検討",IF(H58&gt;=N58,"🔴損切推奨",IF(H58&gt;=F58*1.035,"🔴損切間近",IF(H58&gt;=F58*1.03,"⚠️+3%注意","保持継続"))))),IF(H58&gt;=M58,"🟢利確推奨",IF(H58&gt;=F58*1.05,"🟡利確&amp;TR STOP検討",IF(H58&lt;=N58,"🔴損切推奨",IF(H58&lt;=F58*0.965,"🔴損切間近",IF(H58&lt;=F58*0.97,"⚠️-3%注意","保持継続"))))))))</f>
        <v/>
      </c>
      <c r="P58" s="113">
        <f t="array" ref="P58">IF(B58="","",IFERROR(MAX(OFFSET(高値!$E$6,MATCH(TEXT(B58,"0"),TEXT(銘柄管理!$B$6:$B$305,"0"),0)-1,0,1,10)),""))</f>
        <v/>
      </c>
      <c r="Q58" s="113">
        <f t="array" ref="Q58">IF(B58="","",IFERROR(MIN(OFFSET(安値!$E$6,MATCH(TEXT(B58,"0"),TEXT(銘柄管理!$B$6:$B$305,"0"),0)-1,0,1,10)),""))</f>
        <v/>
      </c>
      <c r="R58" s="113">
        <f>IF(P58="","",ROUND(P58*0.97,0))</f>
        <v/>
      </c>
      <c r="S58" s="461">
        <f>IF(B58="","",IF(T58&lt;&gt;"","✅売却済",IF(H58="","📌保有中",IF(C58="売",IF(H58&lt;=M58,"🟢利確推奨",IF(H58&gt;=N58,"🔴損切推奨",IF(H58&gt;=R58,"⚠️STOP推奨","📌保有中"))),IF(H58&gt;=M58,"🟢利確推奨",IF(H58&lt;=N58,"🔴損切推奨",IF(H58&lt;=R58,"⚠️STOP推奨","📌保有中")))))))</f>
        <v/>
      </c>
      <c r="T58" s="111" t="n"/>
      <c r="U58" s="111" t="n"/>
      <c r="V58" s="113">
        <f>IF(OR(F58="",G58="",U58=""),"",IF(C58="売",(F58-U58)*G58,(U58-F58)*G58))</f>
        <v/>
      </c>
      <c r="W58" s="699">
        <f>IF(OR(E58="",B58=""),"",IF(T58&lt;&gt;"",T58-E58,TODAY()-E58))</f>
        <v/>
      </c>
      <c r="X58" s="111" t="n"/>
    </row>
    <row r="59" ht="17.25" customHeight="1" s="574">
      <c r="A59" s="408">
        <f>HYPERLINK("https://kabutan.jp/stock/?code="&amp;TEXT(B59,"0000"),"株探")</f>
        <v/>
      </c>
      <c r="B59" s="111" t="n"/>
      <c r="C59" s="115" t="n"/>
      <c r="D59" s="111">
        <f t="array" ref="D59">IF(B59="","",_xll.RssMarket(B59,"銘柄名称"))</f>
        <v/>
      </c>
      <c r="E59" s="698" t="n"/>
      <c r="F59" s="426" t="n"/>
      <c r="G59" s="111" t="n"/>
      <c r="H59" s="113">
        <f t="array" ref="H59">IF(B59="","",_xll.RssMarket(B59,"現在値"))</f>
        <v/>
      </c>
      <c r="I59" s="113">
        <f t="array" ref="I59">_xll.RssMarket(B59, "出来高加重平均")</f>
        <v/>
      </c>
      <c r="J59" s="113">
        <f t="array" ref="J59">_xll.RssMarket(B59, "前日比")</f>
        <v/>
      </c>
      <c r="K59" s="113">
        <f>IF(OR(F59="",G59="",H59=""),"",IF(C59="売",(F59-H59)*G59,(H59-F59)*G59))</f>
        <v/>
      </c>
      <c r="L59" s="114">
        <f>IF(OR(F59="",H59=""),"",IF(C59="売",(F59-H59)/F59,(H59-F59)/F59))</f>
        <v/>
      </c>
      <c r="M59" s="113">
        <f>IF(F59="","",IF(C59="売",F59*0.94,F59*1.06))</f>
        <v/>
      </c>
      <c r="N59" s="113">
        <f>IF(F59="","",IF(C59="売",F59*1.04,F59*0.96))</f>
        <v/>
      </c>
      <c r="O59" s="113">
        <f>IF(B59="","",IF(H59="","保有中",IF(C59="売",IF(H59&lt;=M59,"🟢利確推奨",IF(H59&lt;=F59*0.95,"🟡利確&amp;TR STOP検討",IF(H59&gt;=N59,"🔴損切推奨",IF(H59&gt;=F59*1.035,"🔴損切間近",IF(H59&gt;=F59*1.03,"⚠️+3%注意","保持継続"))))),IF(H59&gt;=M59,"🟢利確推奨",IF(H59&gt;=F59*1.05,"🟡利確&amp;TR STOP検討",IF(H59&lt;=N59,"🔴損切推奨",IF(H59&lt;=F59*0.965,"🔴損切間近",IF(H59&lt;=F59*0.97,"⚠️-3%注意","保持継続"))))))))</f>
        <v/>
      </c>
      <c r="P59" s="113">
        <f t="array" ref="P59">IF(B59="","",IFERROR(MAX(OFFSET(高値!$E$6,MATCH(TEXT(B59,"0"),TEXT(銘柄管理!$B$6:$B$305,"0"),0)-1,0,1,10)),""))</f>
        <v/>
      </c>
      <c r="Q59" s="113">
        <f t="array" ref="Q59">IF(B59="","",IFERROR(MIN(OFFSET(安値!$E$6,MATCH(TEXT(B59,"0"),TEXT(銘柄管理!$B$6:$B$305,"0"),0)-1,0,1,10)),""))</f>
        <v/>
      </c>
      <c r="R59" s="113">
        <f>IF(P59="","",ROUND(P59*0.97,0))</f>
        <v/>
      </c>
      <c r="S59" s="461">
        <f>IF(B59="","",IF(T59&lt;&gt;"","✅売却済",IF(H59="","📌保有中",IF(C59="売",IF(H59&lt;=M59,"🟢利確推奨",IF(H59&gt;=N59,"🔴損切推奨",IF(H59&gt;=R59,"⚠️STOP推奨","📌保有中"))),IF(H59&gt;=M59,"🟢利確推奨",IF(H59&lt;=N59,"🔴損切推奨",IF(H59&lt;=R59,"⚠️STOP推奨","📌保有中")))))))</f>
        <v/>
      </c>
      <c r="T59" s="111" t="n"/>
      <c r="U59" s="111" t="n"/>
      <c r="V59" s="113">
        <f>IF(OR(F59="",G59="",U59=""),"",IF(C59="売",(F59-U59)*G59,(U59-F59)*G59))</f>
        <v/>
      </c>
      <c r="W59" s="699">
        <f>IF(OR(E59="",B59=""),"",IF(T59&lt;&gt;"",T59-E59,TODAY()-E59))</f>
        <v/>
      </c>
      <c r="X59" s="111" t="n"/>
    </row>
    <row r="60" ht="17.25" customHeight="1" s="574">
      <c r="A60" s="408">
        <f>HYPERLINK("https://kabutan.jp/stock/?code="&amp;TEXT(B60,"0000"),"株探")</f>
        <v/>
      </c>
      <c r="B60" s="111" t="n"/>
      <c r="C60" s="115" t="n"/>
      <c r="D60" s="111">
        <f t="array" ref="D60">IF(B60="","",_xll.RssMarket(B60,"銘柄名称"))</f>
        <v/>
      </c>
      <c r="E60" s="698" t="n"/>
      <c r="F60" s="426" t="n"/>
      <c r="G60" s="111" t="n"/>
      <c r="H60" s="113">
        <f t="array" ref="H60">IF(B60="","",_xll.RssMarket(B60,"現在値"))</f>
        <v/>
      </c>
      <c r="I60" s="113">
        <f t="array" ref="I60">_xll.RssMarket(B60, "出来高加重平均")</f>
        <v/>
      </c>
      <c r="J60" s="113">
        <f t="array" ref="J60">_xll.RssMarket(B60, "前日比")</f>
        <v/>
      </c>
      <c r="K60" s="113">
        <f>IF(OR(F60="",G60="",H60=""),"",IF(C60="売",(F60-H60)*G60,(H60-F60)*G60))</f>
        <v/>
      </c>
      <c r="L60" s="114">
        <f>IF(OR(F60="",H60=""),"",IF(C60="売",(F60-H60)/F60,(H60-F60)/F60))</f>
        <v/>
      </c>
      <c r="M60" s="113">
        <f>IF(F60="","",IF(C60="売",F60*0.94,F60*1.06))</f>
        <v/>
      </c>
      <c r="N60" s="113">
        <f>IF(F60="","",IF(C60="売",F60*1.04,F60*0.96))</f>
        <v/>
      </c>
      <c r="O60" s="113">
        <f>IF(B60="","",IF(H60="","保有中",IF(C60="売",IF(H60&lt;=M60,"🟢利確推奨",IF(H60&lt;=F60*0.95,"🟡利確&amp;TR STOP検討",IF(H60&gt;=N60,"🔴損切推奨",IF(H60&gt;=F60*1.035,"🔴損切間近",IF(H60&gt;=F60*1.03,"⚠️+3%注意","保持継続"))))),IF(H60&gt;=M60,"🟢利確推奨",IF(H60&gt;=F60*1.05,"🟡利確&amp;TR STOP検討",IF(H60&lt;=N60,"🔴損切推奨",IF(H60&lt;=F60*0.965,"🔴損切間近",IF(H60&lt;=F60*0.97,"⚠️-3%注意","保持継続"))))))))</f>
        <v/>
      </c>
      <c r="P60" s="113">
        <f t="array" ref="P60">IF(B60="","",IFERROR(MAX(OFFSET(高値!$E$6,MATCH(TEXT(B60,"0"),TEXT(銘柄管理!$B$6:$B$305,"0"),0)-1,0,1,10)),""))</f>
        <v/>
      </c>
      <c r="Q60" s="113">
        <f t="array" ref="Q60">IF(B60="","",IFERROR(MIN(OFFSET(安値!$E$6,MATCH(TEXT(B60,"0"),TEXT(銘柄管理!$B$6:$B$305,"0"),0)-1,0,1,10)),""))</f>
        <v/>
      </c>
      <c r="R60" s="113">
        <f>IF(P60="","",ROUND(P60*0.97,0))</f>
        <v/>
      </c>
      <c r="S60" s="461">
        <f>IF(B60="","",IF(T60&lt;&gt;"","✅売却済",IF(H60="","📌保有中",IF(C60="売",IF(H60&lt;=M60,"🟢利確推奨",IF(H60&gt;=N60,"🔴損切推奨",IF(H60&gt;=R60,"⚠️STOP推奨","📌保有中"))),IF(H60&gt;=M60,"🟢利確推奨",IF(H60&lt;=N60,"🔴損切推奨",IF(H60&lt;=R60,"⚠️STOP推奨","📌保有中")))))))</f>
        <v/>
      </c>
      <c r="T60" s="111" t="n"/>
      <c r="U60" s="111" t="n"/>
      <c r="V60" s="113">
        <f>IF(OR(F60="",G60="",U60=""),"",IF(C60="売",(F60-U60)*G60,(U60-F60)*G60))</f>
        <v/>
      </c>
      <c r="W60" s="699">
        <f>IF(OR(E60="",B60=""),"",IF(T60&lt;&gt;"",T60-E60,TODAY()-E60))</f>
        <v/>
      </c>
      <c r="X60" s="111" t="n"/>
    </row>
    <row r="61" ht="17.25" customHeight="1" s="574">
      <c r="A61" s="408">
        <f>HYPERLINK("https://kabutan.jp/stock/?code="&amp;TEXT(B61,"0000"),"株探")</f>
        <v/>
      </c>
      <c r="B61" s="111" t="n"/>
      <c r="C61" s="115" t="n"/>
      <c r="D61" s="111">
        <f t="array" ref="D61">IF(B61="","",_xll.RssMarket(B61,"銘柄名称"))</f>
        <v/>
      </c>
      <c r="E61" s="698" t="n"/>
      <c r="F61" s="426" t="n"/>
      <c r="G61" s="111" t="n"/>
      <c r="H61" s="113">
        <f t="array" ref="H61">IF(B61="","",_xll.RssMarket(B61,"現在値"))</f>
        <v/>
      </c>
      <c r="I61" s="113">
        <f t="array" ref="I61">_xll.RssMarket(B61, "出来高加重平均")</f>
        <v/>
      </c>
      <c r="J61" s="113">
        <f t="array" ref="J61">_xll.RssMarket(B61, "前日比")</f>
        <v/>
      </c>
      <c r="K61" s="113">
        <f>IF(OR(F61="",G61="",H61=""),"",IF(C61="売",(F61-H61)*G61,(H61-F61)*G61))</f>
        <v/>
      </c>
      <c r="L61" s="114">
        <f>IF(OR(F61="",H61=""),"",IF(C61="売",(F61-H61)/F61,(H61-F61)/F61))</f>
        <v/>
      </c>
      <c r="M61" s="113">
        <f>IF(F61="","",IF(C61="売",F61*0.94,F61*1.06))</f>
        <v/>
      </c>
      <c r="N61" s="113">
        <f>IF(F61="","",IF(C61="売",F61*1.04,F61*0.96))</f>
        <v/>
      </c>
      <c r="O61" s="113">
        <f>IF(B61="","",IF(H61="","保有中",IF(C61="売",IF(H61&lt;=M61,"🟢利確推奨",IF(H61&lt;=F61*0.95,"🟡利確&amp;TR STOP検討",IF(H61&gt;=N61,"🔴損切推奨",IF(H61&gt;=F61*1.035,"🔴損切間近",IF(H61&gt;=F61*1.03,"⚠️+3%注意","保持継続"))))),IF(H61&gt;=M61,"🟢利確推奨",IF(H61&gt;=F61*1.05,"🟡利確&amp;TR STOP検討",IF(H61&lt;=N61,"🔴損切推奨",IF(H61&lt;=F61*0.965,"🔴損切間近",IF(H61&lt;=F61*0.97,"⚠️-3%注意","保持継続"))))))))</f>
        <v/>
      </c>
      <c r="P61" s="113">
        <f t="array" ref="P61">IF(B61="","",IFERROR(MAX(OFFSET(高値!$E$6,MATCH(TEXT(B61,"0"),TEXT(銘柄管理!$B$6:$B$305,"0"),0)-1,0,1,10)),""))</f>
        <v/>
      </c>
      <c r="Q61" s="113">
        <f t="array" ref="Q61">IF(B61="","",IFERROR(MIN(OFFSET(安値!$E$6,MATCH(TEXT(B61,"0"),TEXT(銘柄管理!$B$6:$B$305,"0"),0)-1,0,1,10)),""))</f>
        <v/>
      </c>
      <c r="R61" s="113">
        <f>IF(P61="","",ROUND(P61*0.97,0))</f>
        <v/>
      </c>
      <c r="S61" s="461">
        <f>IF(B61="","",IF(T61&lt;&gt;"","✅売却済",IF(H61="","📌保有中",IF(C61="売",IF(H61&lt;=M61,"🟢利確推奨",IF(H61&gt;=N61,"🔴損切推奨",IF(H61&gt;=R61,"⚠️STOP推奨","📌保有中"))),IF(H61&gt;=M61,"🟢利確推奨",IF(H61&lt;=N61,"🔴損切推奨",IF(H61&lt;=R61,"⚠️STOP推奨","📌保有中")))))))</f>
        <v/>
      </c>
      <c r="T61" s="111" t="n"/>
      <c r="U61" s="111" t="n"/>
      <c r="V61" s="113">
        <f>IF(OR(F61="",G61="",U61=""),"",IF(C61="売",(F61-U61)*G61,(U61-F61)*G61))</f>
        <v/>
      </c>
      <c r="W61" s="699">
        <f>IF(OR(E61="",B61=""),"",IF(T61&lt;&gt;"",T61-E61,TODAY()-E61))</f>
        <v/>
      </c>
      <c r="X61" s="111" t="n"/>
    </row>
    <row r="62" ht="17.25" customHeight="1" s="574">
      <c r="A62" s="408">
        <f>HYPERLINK("https://kabutan.jp/stock/?code="&amp;TEXT(B62,"0000"),"株探")</f>
        <v/>
      </c>
      <c r="B62" s="111" t="n"/>
      <c r="C62" s="115" t="n"/>
      <c r="D62" s="111">
        <f t="array" ref="D62">IF(B62="","",_xll.RssMarket(B62,"銘柄名称"))</f>
        <v/>
      </c>
      <c r="E62" s="698" t="n"/>
      <c r="F62" s="426" t="n"/>
      <c r="G62" s="111" t="n"/>
      <c r="H62" s="113">
        <f t="array" ref="H62">IF(B62="","",_xll.RssMarket(B62,"現在値"))</f>
        <v/>
      </c>
      <c r="I62" s="113">
        <f t="array" ref="I62">_xll.RssMarket(B62, "出来高加重平均")</f>
        <v/>
      </c>
      <c r="J62" s="113">
        <f t="array" ref="J62">_xll.RssMarket(B62, "前日比")</f>
        <v/>
      </c>
      <c r="K62" s="113">
        <f>IF(OR(F62="",G62="",H62=""),"",IF(C62="売",(F62-H62)*G62,(H62-F62)*G62))</f>
        <v/>
      </c>
      <c r="L62" s="114">
        <f>IF(OR(F62="",H62=""),"",IF(C62="売",(F62-H62)/F62,(H62-F62)/F62))</f>
        <v/>
      </c>
      <c r="M62" s="113">
        <f>IF(F62="","",IF(C62="売",F62*0.94,F62*1.06))</f>
        <v/>
      </c>
      <c r="N62" s="113">
        <f>IF(F62="","",IF(C62="売",F62*1.04,F62*0.96))</f>
        <v/>
      </c>
      <c r="O62" s="113">
        <f>IF(B62="","",IF(H62="","保有中",IF(C62="売",IF(H62&lt;=M62,"🟢利確推奨",IF(H62&lt;=F62*0.95,"🟡利確&amp;TR STOP検討",IF(H62&gt;=N62,"🔴損切推奨",IF(H62&gt;=F62*1.035,"🔴損切間近",IF(H62&gt;=F62*1.03,"⚠️+3%注意","保持継続"))))),IF(H62&gt;=M62,"🟢利確推奨",IF(H62&gt;=F62*1.05,"🟡利確&amp;TR STOP検討",IF(H62&lt;=N62,"🔴損切推奨",IF(H62&lt;=F62*0.965,"🔴損切間近",IF(H62&lt;=F62*0.97,"⚠️-3%注意","保持継続"))))))))</f>
        <v/>
      </c>
      <c r="P62" s="113">
        <f t="array" ref="P62">IF(B62="","",IFERROR(MAX(OFFSET(高値!$E$6,MATCH(TEXT(B62,"0"),TEXT(銘柄管理!$B$6:$B$305,"0"),0)-1,0,1,10)),""))</f>
        <v/>
      </c>
      <c r="Q62" s="113">
        <f t="array" ref="Q62">IF(B62="","",IFERROR(MIN(OFFSET(安値!$E$6,MATCH(TEXT(B62,"0"),TEXT(銘柄管理!$B$6:$B$305,"0"),0)-1,0,1,10)),""))</f>
        <v/>
      </c>
      <c r="R62" s="113">
        <f>IF(P62="","",ROUND(P62*0.97,0))</f>
        <v/>
      </c>
      <c r="S62" s="461">
        <f>IF(B62="","",IF(T62&lt;&gt;"","✅売却済",IF(H62="","📌保有中",IF(C62="売",IF(H62&lt;=M62,"🟢利確推奨",IF(H62&gt;=N62,"🔴損切推奨",IF(H62&gt;=R62,"⚠️STOP推奨","📌保有中"))),IF(H62&gt;=M62,"🟢利確推奨",IF(H62&lt;=N62,"🔴損切推奨",IF(H62&lt;=R62,"⚠️STOP推奨","📌保有中")))))))</f>
        <v/>
      </c>
      <c r="T62" s="111" t="n"/>
      <c r="U62" s="111" t="n"/>
      <c r="V62" s="113">
        <f>IF(OR(F62="",G62="",U62=""),"",IF(C62="売",(F62-U62)*G62,(U62-F62)*G62))</f>
        <v/>
      </c>
      <c r="W62" s="699">
        <f>IF(OR(E62="",B62=""),"",IF(T62&lt;&gt;"",T62-E62,TODAY()-E62))</f>
        <v/>
      </c>
      <c r="X62" s="111" t="n"/>
    </row>
    <row r="63" ht="17.25" customHeight="1" s="574">
      <c r="A63" s="408">
        <f>HYPERLINK("https://kabutan.jp/stock/?code="&amp;TEXT(B63,"0000"),"株探")</f>
        <v/>
      </c>
      <c r="B63" s="111" t="n"/>
      <c r="C63" s="115" t="n"/>
      <c r="D63" s="111">
        <f t="array" ref="D63">IF(B63="","",_xll.RssMarket(B63,"銘柄名称"))</f>
        <v/>
      </c>
      <c r="E63" s="698" t="n"/>
      <c r="F63" s="426" t="n"/>
      <c r="G63" s="111" t="n"/>
      <c r="H63" s="113">
        <f t="array" ref="H63">IF(B63="","",_xll.RssMarket(B63,"現在値"))</f>
        <v/>
      </c>
      <c r="I63" s="113">
        <f t="array" ref="I63">_xll.RssMarket(B63, "出来高加重平均")</f>
        <v/>
      </c>
      <c r="J63" s="113">
        <f t="array" ref="J63">_xll.RssMarket(B63, "前日比")</f>
        <v/>
      </c>
      <c r="K63" s="113">
        <f>IF(OR(F63="",G63="",H63=""),"",IF(C63="売",(F63-H63)*G63,(H63-F63)*G63))</f>
        <v/>
      </c>
      <c r="L63" s="114">
        <f>IF(OR(F63="",H63=""),"",IF(C63="売",(F63-H63)/F63,(H63-F63)/F63))</f>
        <v/>
      </c>
      <c r="M63" s="113">
        <f>IF(F63="","",IF(C63="売",F63*0.94,F63*1.06))</f>
        <v/>
      </c>
      <c r="N63" s="113">
        <f>IF(F63="","",IF(C63="売",F63*1.04,F63*0.96))</f>
        <v/>
      </c>
      <c r="O63" s="113">
        <f>IF(B63="","",IF(H63="","保有中",IF(C63="売",IF(H63&lt;=M63,"🟢利確推奨",IF(H63&lt;=F63*0.95,"🟡利確&amp;TR STOP検討",IF(H63&gt;=N63,"🔴損切推奨",IF(H63&gt;=F63*1.035,"🔴損切間近",IF(H63&gt;=F63*1.03,"⚠️+3%注意","保持継続"))))),IF(H63&gt;=M63,"🟢利確推奨",IF(H63&gt;=F63*1.05,"🟡利確&amp;TR STOP検討",IF(H63&lt;=N63,"🔴損切推奨",IF(H63&lt;=F63*0.965,"🔴損切間近",IF(H63&lt;=F63*0.97,"⚠️-3%注意","保持継続"))))))))</f>
        <v/>
      </c>
      <c r="P63" s="113">
        <f t="array" ref="P63">IF(B63="","",IFERROR(MAX(OFFSET(高値!$E$6,MATCH(TEXT(B63,"0"),TEXT(銘柄管理!$B$6:$B$305,"0"),0)-1,0,1,10)),""))</f>
        <v/>
      </c>
      <c r="Q63" s="113">
        <f t="array" ref="Q63">IF(B63="","",IFERROR(MIN(OFFSET(安値!$E$6,MATCH(TEXT(B63,"0"),TEXT(銘柄管理!$B$6:$B$305,"0"),0)-1,0,1,10)),""))</f>
        <v/>
      </c>
      <c r="R63" s="113">
        <f>IF(P63="","",ROUND(P63*0.97,0))</f>
        <v/>
      </c>
      <c r="S63" s="461">
        <f>IF(B63="","",IF(T63&lt;&gt;"","✅売却済",IF(H63="","📌保有中",IF(C63="売",IF(H63&lt;=M63,"🟢利確推奨",IF(H63&gt;=N63,"🔴損切推奨",IF(H63&gt;=R63,"⚠️STOP推奨","📌保有中"))),IF(H63&gt;=M63,"🟢利確推奨",IF(H63&lt;=N63,"🔴損切推奨",IF(H63&lt;=R63,"⚠️STOP推奨","📌保有中")))))))</f>
        <v/>
      </c>
      <c r="T63" s="111" t="n"/>
      <c r="U63" s="111" t="n"/>
      <c r="V63" s="113">
        <f>IF(OR(F63="",G63="",U63=""),"",IF(C63="売",(F63-U63)*G63,(U63-F63)*G63))</f>
        <v/>
      </c>
      <c r="W63" s="699">
        <f>IF(OR(E63="",B63=""),"",IF(T63&lt;&gt;"",T63-E63,TODAY()-E63))</f>
        <v/>
      </c>
      <c r="X63" s="111" t="n"/>
    </row>
    <row r="64" ht="17.25" customHeight="1" s="574">
      <c r="A64" s="408">
        <f>HYPERLINK("https://kabutan.jp/stock/?code="&amp;TEXT(B64,"0000"),"株探")</f>
        <v/>
      </c>
      <c r="B64" s="111" t="n"/>
      <c r="C64" s="115" t="n"/>
      <c r="D64" s="111">
        <f t="array" ref="D64">IF(B64="","",_xll.RssMarket(B64,"銘柄名称"))</f>
        <v/>
      </c>
      <c r="E64" s="698" t="n"/>
      <c r="F64" s="426" t="n"/>
      <c r="G64" s="111" t="n"/>
      <c r="H64" s="113">
        <f t="array" ref="H64">IF(B64="","",_xll.RssMarket(B64,"現在値"))</f>
        <v/>
      </c>
      <c r="I64" s="113">
        <f t="array" ref="I64">_xll.RssMarket(B64, "出来高加重平均")</f>
        <v/>
      </c>
      <c r="J64" s="113">
        <f t="array" ref="J64">_xll.RssMarket(B64, "前日比")</f>
        <v/>
      </c>
      <c r="K64" s="113">
        <f>IF(OR(F64="",G64="",H64=""),"",IF(C64="売",(F64-H64)*G64,(H64-F64)*G64))</f>
        <v/>
      </c>
      <c r="L64" s="114">
        <f>IF(OR(F64="",H64=""),"",IF(C64="売",(F64-H64)/F64,(H64-F64)/F64))</f>
        <v/>
      </c>
      <c r="M64" s="113">
        <f>IF(F64="","",IF(C64="売",F64*0.94,F64*1.06))</f>
        <v/>
      </c>
      <c r="N64" s="113">
        <f>IF(F64="","",IF(C64="売",F64*1.04,F64*0.96))</f>
        <v/>
      </c>
      <c r="O64" s="113">
        <f>IF(B64="","",IF(H64="","保有中",IF(C64="売",IF(H64&lt;=M64,"🟢利確推奨",IF(H64&lt;=F64*0.95,"🟡利確&amp;TR STOP検討",IF(H64&gt;=N64,"🔴損切推奨",IF(H64&gt;=F64*1.035,"🔴損切間近",IF(H64&gt;=F64*1.03,"⚠️+3%注意","保持継続"))))),IF(H64&gt;=M64,"🟢利確推奨",IF(H64&gt;=F64*1.05,"🟡利確&amp;TR STOP検討",IF(H64&lt;=N64,"🔴損切推奨",IF(H64&lt;=F64*0.965,"🔴損切間近",IF(H64&lt;=F64*0.97,"⚠️-3%注意","保持継続"))))))))</f>
        <v/>
      </c>
      <c r="P64" s="113">
        <f t="array" ref="P64">IF(B64="","",IFERROR(MAX(OFFSET(高値!$E$6,MATCH(TEXT(B64,"0"),TEXT(銘柄管理!$B$6:$B$305,"0"),0)-1,0,1,10)),""))</f>
        <v/>
      </c>
      <c r="Q64" s="113">
        <f t="array" ref="Q64">IF(B64="","",IFERROR(MIN(OFFSET(安値!$E$6,MATCH(TEXT(B64,"0"),TEXT(銘柄管理!$B$6:$B$305,"0"),0)-1,0,1,10)),""))</f>
        <v/>
      </c>
      <c r="R64" s="113">
        <f>IF(P64="","",ROUND(P64*0.97,0))</f>
        <v/>
      </c>
      <c r="S64" s="461">
        <f>IF(B64="","",IF(T64&lt;&gt;"","✅売却済",IF(H64="","📌保有中",IF(C64="売",IF(H64&lt;=M64,"🟢利確推奨",IF(H64&gt;=N64,"🔴損切推奨",IF(H64&gt;=R64,"⚠️STOP推奨","📌保有中"))),IF(H64&gt;=M64,"🟢利確推奨",IF(H64&lt;=N64,"🔴損切推奨",IF(H64&lt;=R64,"⚠️STOP推奨","📌保有中")))))))</f>
        <v/>
      </c>
      <c r="T64" s="111" t="n"/>
      <c r="U64" s="111" t="n"/>
      <c r="V64" s="113">
        <f>IF(OR(F64="",G64="",U64=""),"",IF(C64="売",(F64-U64)*G64,(U64-F64)*G64))</f>
        <v/>
      </c>
      <c r="W64" s="699">
        <f>IF(OR(E64="",B64=""),"",IF(T64&lt;&gt;"",T64-E64,TODAY()-E64))</f>
        <v/>
      </c>
      <c r="X64" s="111" t="n"/>
    </row>
    <row r="65" ht="17.25" customHeight="1" s="574">
      <c r="A65" s="408">
        <f>HYPERLINK("https://kabutan.jp/stock/?code="&amp;TEXT(B65,"0000"),"株探")</f>
        <v/>
      </c>
      <c r="B65" s="111" t="n"/>
      <c r="C65" s="115" t="n"/>
      <c r="D65" s="111">
        <f t="array" ref="D65">IF(B65="","",_xll.RssMarket(B65,"銘柄名称"))</f>
        <v/>
      </c>
      <c r="E65" s="698" t="n"/>
      <c r="F65" s="426" t="n"/>
      <c r="G65" s="111" t="n"/>
      <c r="H65" s="113">
        <f t="array" ref="H65">IF(B65="","",_xll.RssMarket(B65,"現在値"))</f>
        <v/>
      </c>
      <c r="I65" s="113">
        <f t="array" ref="I65">_xll.RssMarket(B65, "出来高加重平均")</f>
        <v/>
      </c>
      <c r="J65" s="113">
        <f t="array" ref="J65">_xll.RssMarket(B65, "前日比")</f>
        <v/>
      </c>
      <c r="K65" s="113">
        <f>IF(OR(F65="",G65="",H65=""),"",IF(C65="売",(F65-H65)*G65,(H65-F65)*G65))</f>
        <v/>
      </c>
      <c r="L65" s="114">
        <f>IF(OR(F65="",H65=""),"",IF(C65="売",(F65-H65)/F65,(H65-F65)/F65))</f>
        <v/>
      </c>
      <c r="M65" s="113">
        <f>IF(F65="","",IF(C65="売",F65*0.94,F65*1.06))</f>
        <v/>
      </c>
      <c r="N65" s="113">
        <f>IF(F65="","",IF(C65="売",F65*1.04,F65*0.96))</f>
        <v/>
      </c>
      <c r="O65" s="113">
        <f>IF(B65="","",IF(H65="","保有中",IF(C65="売",IF(H65&lt;=M65,"🟢利確推奨",IF(H65&lt;=F65*0.95,"🟡利確&amp;TR STOP検討",IF(H65&gt;=N65,"🔴損切推奨",IF(H65&gt;=F65*1.035,"🔴損切間近",IF(H65&gt;=F65*1.03,"⚠️+3%注意","保持継続"))))),IF(H65&gt;=M65,"🟢利確推奨",IF(H65&gt;=F65*1.05,"🟡利確&amp;TR STOP検討",IF(H65&lt;=N65,"🔴損切推奨",IF(H65&lt;=F65*0.965,"🔴損切間近",IF(H65&lt;=F65*0.97,"⚠️-3%注意","保持継続"))))))))</f>
        <v/>
      </c>
      <c r="P65" s="113">
        <f t="array" ref="P65">IF(B65="","",IFERROR(MAX(OFFSET(高値!$E$6,MATCH(TEXT(B65,"0"),TEXT(銘柄管理!$B$6:$B$305,"0"),0)-1,0,1,10)),""))</f>
        <v/>
      </c>
      <c r="Q65" s="113">
        <f t="array" ref="Q65">IF(B65="","",IFERROR(MIN(OFFSET(安値!$E$6,MATCH(TEXT(B65,"0"),TEXT(銘柄管理!$B$6:$B$305,"0"),0)-1,0,1,10)),""))</f>
        <v/>
      </c>
      <c r="R65" s="113">
        <f>IF(P65="","",ROUND(P65*0.97,0))</f>
        <v/>
      </c>
      <c r="S65" s="461">
        <f>IF(B65="","",IF(T65&lt;&gt;"","✅売却済",IF(H65="","📌保有中",IF(C65="売",IF(H65&lt;=M65,"🟢利確推奨",IF(H65&gt;=N65,"🔴損切推奨",IF(H65&gt;=R65,"⚠️STOP推奨","📌保有中"))),IF(H65&gt;=M65,"🟢利確推奨",IF(H65&lt;=N65,"🔴損切推奨",IF(H65&lt;=R65,"⚠️STOP推奨","📌保有中")))))))</f>
        <v/>
      </c>
      <c r="T65" s="111" t="n"/>
      <c r="U65" s="111" t="n"/>
      <c r="V65" s="113">
        <f>IF(OR(F65="",G65="",U65=""),"",IF(C65="売",(F65-U65)*G65,(U65-F65)*G65))</f>
        <v/>
      </c>
      <c r="W65" s="699">
        <f>IF(OR(E65="",B65=""),"",IF(T65&lt;&gt;"",T65-E65,TODAY()-E65))</f>
        <v/>
      </c>
      <c r="X65" s="111" t="n"/>
    </row>
    <row r="66" ht="17.25" customHeight="1" s="574">
      <c r="A66" s="408">
        <f>HYPERLINK("https://kabutan.jp/stock/?code="&amp;TEXT(B66,"0000"),"株探")</f>
        <v/>
      </c>
      <c r="B66" s="111" t="n"/>
      <c r="C66" s="115" t="n"/>
      <c r="D66" s="111">
        <f t="array" ref="D66">IF(B66="","",_xll.RssMarket(B66,"銘柄名称"))</f>
        <v/>
      </c>
      <c r="E66" s="698" t="n"/>
      <c r="F66" s="426" t="n"/>
      <c r="G66" s="111" t="n"/>
      <c r="H66" s="113">
        <f t="array" ref="H66">IF(B66="","",_xll.RssMarket(B66,"現在値"))</f>
        <v/>
      </c>
      <c r="I66" s="113">
        <f t="array" ref="I66">_xll.RssMarket(B66, "出来高加重平均")</f>
        <v/>
      </c>
      <c r="J66" s="113">
        <f t="array" ref="J66">_xll.RssMarket(B66, "前日比")</f>
        <v/>
      </c>
      <c r="K66" s="113">
        <f>IF(OR(F66="",G66="",H66=""),"",IF(C66="売",(F66-H66)*G66,(H66-F66)*G66))</f>
        <v/>
      </c>
      <c r="L66" s="114">
        <f>IF(OR(F66="",H66=""),"",IF(C66="売",(F66-H66)/F66,(H66-F66)/F66))</f>
        <v/>
      </c>
      <c r="M66" s="113">
        <f>IF(F66="","",IF(C66="売",F66*0.94,F66*1.06))</f>
        <v/>
      </c>
      <c r="N66" s="113">
        <f>IF(F66="","",IF(C66="売",F66*1.04,F66*0.96))</f>
        <v/>
      </c>
      <c r="O66" s="113">
        <f>IF(B66="","",IF(H66="","保有中",IF(C66="売",IF(H66&lt;=M66,"🟢利確推奨",IF(H66&lt;=F66*0.95,"🟡利確&amp;TR STOP検討",IF(H66&gt;=N66,"🔴損切推奨",IF(H66&gt;=F66*1.035,"🔴損切間近",IF(H66&gt;=F66*1.03,"⚠️+3%注意","保持継続"))))),IF(H66&gt;=M66,"🟢利確推奨",IF(H66&gt;=F66*1.05,"🟡利確&amp;TR STOP検討",IF(H66&lt;=N66,"🔴損切推奨",IF(H66&lt;=F66*0.965,"🔴損切間近",IF(H66&lt;=F66*0.97,"⚠️-3%注意","保持継続"))))))))</f>
        <v/>
      </c>
      <c r="P66" s="113">
        <f t="array" ref="P66">IF(B66="","",IFERROR(MAX(OFFSET(高値!$E$6,MATCH(TEXT(B66,"0"),TEXT(銘柄管理!$B$6:$B$305,"0"),0)-1,0,1,10)),""))</f>
        <v/>
      </c>
      <c r="Q66" s="113">
        <f t="array" ref="Q66">IF(B66="","",IFERROR(MIN(OFFSET(安値!$E$6,MATCH(TEXT(B66,"0"),TEXT(銘柄管理!$B$6:$B$305,"0"),0)-1,0,1,10)),""))</f>
        <v/>
      </c>
      <c r="R66" s="113">
        <f>IF(P66="","",ROUND(P66*0.97,0))</f>
        <v/>
      </c>
      <c r="S66" s="461">
        <f>IF(B66="","",IF(T66&lt;&gt;"","✅売却済",IF(H66="","📌保有中",IF(C66="売",IF(H66&lt;=M66,"🟢利確推奨",IF(H66&gt;=N66,"🔴損切推奨",IF(H66&gt;=R66,"⚠️STOP推奨","📌保有中"))),IF(H66&gt;=M66,"🟢利確推奨",IF(H66&lt;=N66,"🔴損切推奨",IF(H66&lt;=R66,"⚠️STOP推奨","📌保有中")))))))</f>
        <v/>
      </c>
      <c r="T66" s="111" t="n"/>
      <c r="U66" s="111" t="n"/>
      <c r="V66" s="113">
        <f>IF(OR(F66="",G66="",U66=""),"",IF(C66="売",(F66-U66)*G66,(U66-F66)*G66))</f>
        <v/>
      </c>
      <c r="W66" s="699">
        <f>IF(OR(E66="",B66=""),"",IF(T66&lt;&gt;"",T66-E66,TODAY()-E66))</f>
        <v/>
      </c>
      <c r="X66" s="111" t="n"/>
    </row>
    <row r="67" ht="17.25" customHeight="1" s="574">
      <c r="A67" s="408">
        <f>HYPERLINK("https://kabutan.jp/stock/?code="&amp;TEXT(B67,"0000"),"株探")</f>
        <v/>
      </c>
      <c r="B67" s="111" t="n"/>
      <c r="C67" s="115" t="n"/>
      <c r="D67" s="111">
        <f t="array" ref="D67">IF(B67="","",_xll.RssMarket(B67,"銘柄名称"))</f>
        <v/>
      </c>
      <c r="E67" s="698" t="n"/>
      <c r="F67" s="426" t="n"/>
      <c r="G67" s="111" t="n"/>
      <c r="H67" s="113">
        <f t="array" ref="H67">IF(B67="","",_xll.RssMarket(B67,"現在値"))</f>
        <v/>
      </c>
      <c r="I67" s="113">
        <f t="array" ref="I67">_xll.RssMarket(B67, "出来高加重平均")</f>
        <v/>
      </c>
      <c r="J67" s="113">
        <f t="array" ref="J67">_xll.RssMarket(B67, "前日比")</f>
        <v/>
      </c>
      <c r="K67" s="113">
        <f>IF(OR(F67="",G67="",H67=""),"",IF(C67="売",(F67-H67)*G67,(H67-F67)*G67))</f>
        <v/>
      </c>
      <c r="L67" s="114">
        <f>IF(OR(F67="",H67=""),"",IF(C67="売",(F67-H67)/F67,(H67-F67)/F67))</f>
        <v/>
      </c>
      <c r="M67" s="113">
        <f>IF(F67="","",IF(C67="売",F67*0.94,F67*1.06))</f>
        <v/>
      </c>
      <c r="N67" s="113">
        <f>IF(F67="","",IF(C67="売",F67*1.04,F67*0.96))</f>
        <v/>
      </c>
      <c r="O67" s="113">
        <f>IF(B67="","",IF(H67="","保有中",IF(C67="売",IF(H67&lt;=M67,"🟢利確推奨",IF(H67&lt;=F67*0.95,"🟡利確&amp;TR STOP検討",IF(H67&gt;=N67,"🔴損切推奨",IF(H67&gt;=F67*1.035,"🔴損切間近",IF(H67&gt;=F67*1.03,"⚠️+3%注意","保持継続"))))),IF(H67&gt;=M67,"🟢利確推奨",IF(H67&gt;=F67*1.05,"🟡利確&amp;TR STOP検討",IF(H67&lt;=N67,"🔴損切推奨",IF(H67&lt;=F67*0.965,"🔴損切間近",IF(H67&lt;=F67*0.97,"⚠️-3%注意","保持継続"))))))))</f>
        <v/>
      </c>
      <c r="P67" s="113">
        <f t="array" ref="P67">IF(B67="","",IFERROR(MAX(OFFSET(高値!$E$6,MATCH(TEXT(B67,"0"),TEXT(銘柄管理!$B$6:$B$305,"0"),0)-1,0,1,10)),""))</f>
        <v/>
      </c>
      <c r="Q67" s="113">
        <f t="array" ref="Q67">IF(B67="","",IFERROR(MIN(OFFSET(安値!$E$6,MATCH(TEXT(B67,"0"),TEXT(銘柄管理!$B$6:$B$305,"0"),0)-1,0,1,10)),""))</f>
        <v/>
      </c>
      <c r="R67" s="113">
        <f>IF(P67="","",ROUND(P67*0.97,0))</f>
        <v/>
      </c>
      <c r="S67" s="461">
        <f>IF(B67="","",IF(T67&lt;&gt;"","✅売却済",IF(H67="","📌保有中",IF(C67="売",IF(H67&lt;=M67,"🟢利確推奨",IF(H67&gt;=N67,"🔴損切推奨",IF(H67&gt;=R67,"⚠️STOP推奨","📌保有中"))),IF(H67&gt;=M67,"🟢利確推奨",IF(H67&lt;=N67,"🔴損切推奨",IF(H67&lt;=R67,"⚠️STOP推奨","📌保有中")))))))</f>
        <v/>
      </c>
      <c r="T67" s="111" t="n"/>
      <c r="U67" s="111" t="n"/>
      <c r="V67" s="113">
        <f>IF(OR(F67="",G67="",U67=""),"",IF(C67="売",(F67-U67)*G67,(U67-F67)*G67))</f>
        <v/>
      </c>
      <c r="W67" s="699">
        <f>IF(OR(E67="",B67=""),"",IF(T67&lt;&gt;"",T67-E67,TODAY()-E67))</f>
        <v/>
      </c>
      <c r="X67" s="111" t="n"/>
    </row>
    <row r="68" ht="17.25" customHeight="1" s="574">
      <c r="A68" s="408">
        <f>HYPERLINK("https://kabutan.jp/stock/?code="&amp;TEXT(B68,"0000"),"株探")</f>
        <v/>
      </c>
      <c r="B68" s="111" t="n"/>
      <c r="C68" s="115" t="n"/>
      <c r="D68" s="111">
        <f t="array" ref="D68">IF(B68="","",_xll.RssMarket(B68,"銘柄名称"))</f>
        <v/>
      </c>
      <c r="E68" s="698" t="n"/>
      <c r="F68" s="426" t="n"/>
      <c r="G68" s="111" t="n"/>
      <c r="H68" s="113">
        <f t="array" ref="H68">IF(B68="","",_xll.RssMarket(B68,"現在値"))</f>
        <v/>
      </c>
      <c r="I68" s="113">
        <f t="array" ref="I68">_xll.RssMarket(B68, "出来高加重平均")</f>
        <v/>
      </c>
      <c r="J68" s="113">
        <f t="array" ref="J68">_xll.RssMarket(B68, "前日比")</f>
        <v/>
      </c>
      <c r="K68" s="113">
        <f>IF(OR(F68="",G68="",H68=""),"",IF(C68="売",(F68-H68)*G68,(H68-F68)*G68))</f>
        <v/>
      </c>
      <c r="L68" s="114">
        <f>IF(OR(F68="",H68=""),"",IF(C68="売",(F68-H68)/F68,(H68-F68)/F68))</f>
        <v/>
      </c>
      <c r="M68" s="113">
        <f>IF(F68="","",IF(C68="売",F68*0.94,F68*1.06))</f>
        <v/>
      </c>
      <c r="N68" s="113">
        <f>IF(F68="","",IF(C68="売",F68*1.04,F68*0.96))</f>
        <v/>
      </c>
      <c r="O68" s="113">
        <f>IF(B68="","",IF(H68="","保有中",IF(C68="売",IF(H68&lt;=M68,"🟢利確推奨",IF(H68&lt;=F68*0.95,"🟡利確&amp;TR STOP検討",IF(H68&gt;=N68,"🔴損切推奨",IF(H68&gt;=F68*1.035,"🔴損切間近",IF(H68&gt;=F68*1.03,"⚠️+3%注意","保持継続"))))),IF(H68&gt;=M68,"🟢利確推奨",IF(H68&gt;=F68*1.05,"🟡利確&amp;TR STOP検討",IF(H68&lt;=N68,"🔴損切推奨",IF(H68&lt;=F68*0.965,"🔴損切間近",IF(H68&lt;=F68*0.97,"⚠️-3%注意","保持継続"))))))))</f>
        <v/>
      </c>
      <c r="P68" s="113">
        <f t="array" ref="P68">IF(B68="","",IFERROR(MAX(OFFSET(高値!$E$6,MATCH(TEXT(B68,"0"),TEXT(銘柄管理!$B$6:$B$305,"0"),0)-1,0,1,10)),""))</f>
        <v/>
      </c>
      <c r="Q68" s="113">
        <f t="array" ref="Q68">IF(B68="","",IFERROR(MIN(OFFSET(安値!$E$6,MATCH(TEXT(B68,"0"),TEXT(銘柄管理!$B$6:$B$305,"0"),0)-1,0,1,10)),""))</f>
        <v/>
      </c>
      <c r="R68" s="113">
        <f>IF(P68="","",ROUND(P68*0.97,0))</f>
        <v/>
      </c>
      <c r="S68" s="461">
        <f>IF(B68="","",IF(T68&lt;&gt;"","✅売却済",IF(H68="","📌保有中",IF(C68="売",IF(H68&lt;=M68,"🟢利確推奨",IF(H68&gt;=N68,"🔴損切推奨",IF(H68&gt;=R68,"⚠️STOP推奨","📌保有中"))),IF(H68&gt;=M68,"🟢利確推奨",IF(H68&lt;=N68,"🔴損切推奨",IF(H68&lt;=R68,"⚠️STOP推奨","📌保有中")))))))</f>
        <v/>
      </c>
      <c r="T68" s="111" t="n"/>
      <c r="U68" s="111" t="n"/>
      <c r="V68" s="113">
        <f>IF(OR(F68="",G68="",U68=""),"",IF(C68="売",(F68-U68)*G68,(U68-F68)*G68))</f>
        <v/>
      </c>
      <c r="W68" s="699">
        <f>IF(OR(E68="",B68=""),"",IF(T68&lt;&gt;"",T68-E68,TODAY()-E68))</f>
        <v/>
      </c>
      <c r="X68" s="111" t="n"/>
    </row>
    <row r="69" ht="17.25" customHeight="1" s="574">
      <c r="A69" s="408">
        <f>HYPERLINK("https://kabutan.jp/stock/?code="&amp;TEXT(B69,"0000"),"株探")</f>
        <v/>
      </c>
      <c r="B69" s="111" t="n"/>
      <c r="C69" s="115" t="n"/>
      <c r="D69" s="111">
        <f t="array" ref="D69">IF(B69="","",_xll.RssMarket(B69,"銘柄名称"))</f>
        <v/>
      </c>
      <c r="E69" s="698" t="n"/>
      <c r="F69" s="426" t="n"/>
      <c r="G69" s="111" t="n"/>
      <c r="H69" s="113">
        <f t="array" ref="H69">IF(B69="","",_xll.RssMarket(B69,"現在値"))</f>
        <v/>
      </c>
      <c r="I69" s="113">
        <f t="array" ref="I69">_xll.RssMarket(B69, "出来高加重平均")</f>
        <v/>
      </c>
      <c r="J69" s="113">
        <f t="array" ref="J69">_xll.RssMarket(B69, "前日比")</f>
        <v/>
      </c>
      <c r="K69" s="113">
        <f>IF(OR(F69="",G69="",H69=""),"",IF(C69="売",(F69-H69)*G69,(H69-F69)*G69))</f>
        <v/>
      </c>
      <c r="L69" s="114">
        <f>IF(OR(F69="",H69=""),"",IF(C69="売",(F69-H69)/F69,(H69-F69)/F69))</f>
        <v/>
      </c>
      <c r="M69" s="113">
        <f>IF(F69="","",IF(C69="売",F69*0.94,F69*1.06))</f>
        <v/>
      </c>
      <c r="N69" s="113">
        <f>IF(F69="","",IF(C69="売",F69*1.04,F69*0.96))</f>
        <v/>
      </c>
      <c r="O69" s="113">
        <f>IF(B69="","",IF(H69="","保有中",IF(C69="売",IF(H69&lt;=M69,"🟢利確推奨",IF(H69&lt;=F69*0.95,"🟡利確&amp;TR STOP検討",IF(H69&gt;=N69,"🔴損切推奨",IF(H69&gt;=F69*1.035,"🔴損切間近",IF(H69&gt;=F69*1.03,"⚠️+3%注意","保持継続"))))),IF(H69&gt;=M69,"🟢利確推奨",IF(H69&gt;=F69*1.05,"🟡利確&amp;TR STOP検討",IF(H69&lt;=N69,"🔴損切推奨",IF(H69&lt;=F69*0.965,"🔴損切間近",IF(H69&lt;=F69*0.97,"⚠️-3%注意","保持継続"))))))))</f>
        <v/>
      </c>
      <c r="P69" s="113">
        <f t="array" ref="P69">IF(B69="","",IFERROR(MAX(OFFSET(高値!$E$6,MATCH(TEXT(B69,"0"),TEXT(銘柄管理!$B$6:$B$305,"0"),0)-1,0,1,10)),""))</f>
        <v/>
      </c>
      <c r="Q69" s="113">
        <f t="array" ref="Q69">IF(B69="","",IFERROR(MIN(OFFSET(安値!$E$6,MATCH(TEXT(B69,"0"),TEXT(銘柄管理!$B$6:$B$305,"0"),0)-1,0,1,10)),""))</f>
        <v/>
      </c>
      <c r="R69" s="113">
        <f>IF(P69="","",ROUND(P69*0.97,0))</f>
        <v/>
      </c>
      <c r="S69" s="461">
        <f>IF(B69="","",IF(T69&lt;&gt;"","✅売却済",IF(H69="","📌保有中",IF(C69="売",IF(H69&lt;=M69,"🟢利確推奨",IF(H69&gt;=N69,"🔴損切推奨",IF(H69&gt;=R69,"⚠️STOP推奨","📌保有中"))),IF(H69&gt;=M69,"🟢利確推奨",IF(H69&lt;=N69,"🔴損切推奨",IF(H69&lt;=R69,"⚠️STOP推奨","📌保有中")))))))</f>
        <v/>
      </c>
      <c r="T69" s="111" t="n"/>
      <c r="U69" s="111" t="n"/>
      <c r="V69" s="113">
        <f>IF(OR(F69="",G69="",U69=""),"",IF(C69="売",(F69-U69)*G69,(U69-F69)*G69))</f>
        <v/>
      </c>
      <c r="W69" s="699">
        <f>IF(OR(E69="",B69=""),"",IF(T69&lt;&gt;"",T69-E69,TODAY()-E69))</f>
        <v/>
      </c>
      <c r="X69" s="111" t="n"/>
    </row>
    <row r="70" ht="17.25" customHeight="1" s="574">
      <c r="A70" s="408">
        <f>HYPERLINK("https://kabutan.jp/stock/?code="&amp;TEXT(B70,"0000"),"株探")</f>
        <v/>
      </c>
      <c r="B70" s="111" t="n"/>
      <c r="C70" s="115" t="n"/>
      <c r="D70" s="111">
        <f t="array" ref="D70">IF(B70="","",_xll.RssMarket(B70,"銘柄名称"))</f>
        <v/>
      </c>
      <c r="E70" s="698" t="n"/>
      <c r="F70" s="426" t="n"/>
      <c r="G70" s="111" t="n"/>
      <c r="H70" s="113">
        <f t="array" ref="H70">IF(B70="","",_xll.RssMarket(B70,"現在値"))</f>
        <v/>
      </c>
      <c r="I70" s="113">
        <f t="array" ref="I70">_xll.RssMarket(B70, "出来高加重平均")</f>
        <v/>
      </c>
      <c r="J70" s="113">
        <f t="array" ref="J70">_xll.RssMarket(B70, "前日比")</f>
        <v/>
      </c>
      <c r="K70" s="113">
        <f>IF(OR(F70="",G70="",H70=""),"",IF(C70="売",(F70-H70)*G70,(H70-F70)*G70))</f>
        <v/>
      </c>
      <c r="L70" s="114">
        <f>IF(OR(F70="",H70=""),"",IF(C70="売",(F70-H70)/F70,(H70-F70)/F70))</f>
        <v/>
      </c>
      <c r="M70" s="113">
        <f>IF(F70="","",IF(C70="売",F70*0.94,F70*1.06))</f>
        <v/>
      </c>
      <c r="N70" s="113">
        <f>IF(F70="","",IF(C70="売",F70*1.04,F70*0.96))</f>
        <v/>
      </c>
      <c r="O70" s="113">
        <f>IF(B70="","",IF(H70="","保有中",IF(C70="売",IF(H70&lt;=M70,"🟢利確推奨",IF(H70&lt;=F70*0.95,"🟡利確&amp;TR STOP検討",IF(H70&gt;=N70,"🔴損切推奨",IF(H70&gt;=F70*1.035,"🔴損切間近",IF(H70&gt;=F70*1.03,"⚠️+3%注意","保持継続"))))),IF(H70&gt;=M70,"🟢利確推奨",IF(H70&gt;=F70*1.05,"🟡利確&amp;TR STOP検討",IF(H70&lt;=N70,"🔴損切推奨",IF(H70&lt;=F70*0.965,"🔴損切間近",IF(H70&lt;=F70*0.97,"⚠️-3%注意","保持継続"))))))))</f>
        <v/>
      </c>
      <c r="P70" s="113">
        <f t="array" ref="P70">IF(B70="","",IFERROR(MAX(OFFSET(高値!$E$6,MATCH(TEXT(B70,"0"),TEXT(銘柄管理!$B$6:$B$305,"0"),0)-1,0,1,10)),""))</f>
        <v/>
      </c>
      <c r="Q70" s="113">
        <f t="array" ref="Q70">IF(B70="","",IFERROR(MIN(OFFSET(安値!$E$6,MATCH(TEXT(B70,"0"),TEXT(銘柄管理!$B$6:$B$305,"0"),0)-1,0,1,10)),""))</f>
        <v/>
      </c>
      <c r="R70" s="113">
        <f>IF(P70="","",ROUND(P70*0.97,0))</f>
        <v/>
      </c>
      <c r="S70" s="461">
        <f>IF(B70="","",IF(T70&lt;&gt;"","✅売却済",IF(H70="","📌保有中",IF(C70="売",IF(H70&lt;=M70,"🟢利確推奨",IF(H70&gt;=N70,"🔴損切推奨",IF(H70&gt;=R70,"⚠️STOP推奨","📌保有中"))),IF(H70&gt;=M70,"🟢利確推奨",IF(H70&lt;=N70,"🔴損切推奨",IF(H70&lt;=R70,"⚠️STOP推奨","📌保有中")))))))</f>
        <v/>
      </c>
      <c r="T70" s="111" t="n"/>
      <c r="U70" s="111" t="n"/>
      <c r="V70" s="113">
        <f>IF(OR(F70="",G70="",U70=""),"",IF(C70="売",(F70-U70)*G70,(U70-F70)*G70))</f>
        <v/>
      </c>
      <c r="W70" s="699">
        <f>IF(OR(E70="",B70=""),"",IF(T70&lt;&gt;"",T70-E70,TODAY()-E70))</f>
        <v/>
      </c>
      <c r="X70" s="111" t="n"/>
    </row>
    <row r="71" ht="17.25" customHeight="1" s="574">
      <c r="A71" s="408">
        <f>HYPERLINK("https://kabutan.jp/stock/?code="&amp;TEXT(B71,"0000"),"株探")</f>
        <v/>
      </c>
      <c r="B71" s="111" t="n"/>
      <c r="C71" s="115" t="n"/>
      <c r="D71" s="111">
        <f t="array" ref="D71">IF(B71="","",_xll.RssMarket(B71,"銘柄名称"))</f>
        <v/>
      </c>
      <c r="E71" s="698" t="n"/>
      <c r="F71" s="426" t="n"/>
      <c r="G71" s="111" t="n"/>
      <c r="H71" s="113">
        <f t="array" ref="H71">IF(B71="","",_xll.RssMarket(B71,"現在値"))</f>
        <v/>
      </c>
      <c r="I71" s="113">
        <f t="array" ref="I71">_xll.RssMarket(B71, "出来高加重平均")</f>
        <v/>
      </c>
      <c r="J71" s="113">
        <f t="array" ref="J71">_xll.RssMarket(B71, "前日比")</f>
        <v/>
      </c>
      <c r="K71" s="113">
        <f>IF(OR(F71="",G71="",H71=""),"",IF(C71="売",(F71-H71)*G71,(H71-F71)*G71))</f>
        <v/>
      </c>
      <c r="L71" s="114">
        <f>IF(OR(F71="",H71=""),"",IF(C71="売",(F71-H71)/F71,(H71-F71)/F71))</f>
        <v/>
      </c>
      <c r="M71" s="113">
        <f>IF(F71="","",IF(C71="売",F71*0.94,F71*1.06))</f>
        <v/>
      </c>
      <c r="N71" s="113">
        <f>IF(F71="","",IF(C71="売",F71*1.04,F71*0.96))</f>
        <v/>
      </c>
      <c r="O71" s="113">
        <f>IF(B71="","",IF(H71="","保有中",IF(C71="売",IF(H71&lt;=M71,"🟢利確推奨",IF(H71&lt;=F71*0.95,"🟡利確&amp;TR STOP検討",IF(H71&gt;=N71,"🔴損切推奨",IF(H71&gt;=F71*1.035,"🔴損切間近",IF(H71&gt;=F71*1.03,"⚠️+3%注意","保持継続"))))),IF(H71&gt;=M71,"🟢利確推奨",IF(H71&gt;=F71*1.05,"🟡利確&amp;TR STOP検討",IF(H71&lt;=N71,"🔴損切推奨",IF(H71&lt;=F71*0.965,"🔴損切間近",IF(H71&lt;=F71*0.97,"⚠️-3%注意","保持継続"))))))))</f>
        <v/>
      </c>
      <c r="P71" s="113">
        <f t="array" ref="P71">IF(B71="","",IFERROR(MAX(OFFSET(高値!$E$6,MATCH(TEXT(B71,"0"),TEXT(銘柄管理!$B$6:$B$305,"0"),0)-1,0,1,10)),""))</f>
        <v/>
      </c>
      <c r="Q71" s="113">
        <f t="array" ref="Q71">IF(B71="","",IFERROR(MIN(OFFSET(安値!$E$6,MATCH(TEXT(B71,"0"),TEXT(銘柄管理!$B$6:$B$305,"0"),0)-1,0,1,10)),""))</f>
        <v/>
      </c>
      <c r="R71" s="113">
        <f>IF(P71="","",ROUND(P71*0.97,0))</f>
        <v/>
      </c>
      <c r="S71" s="461">
        <f>IF(B71="","",IF(T71&lt;&gt;"","✅売却済",IF(H71="","📌保有中",IF(C71="売",IF(H71&lt;=M71,"🟢利確推奨",IF(H71&gt;=N71,"🔴損切推奨",IF(H71&gt;=R71,"⚠️STOP推奨","📌保有中"))),IF(H71&gt;=M71,"🟢利確推奨",IF(H71&lt;=N71,"🔴損切推奨",IF(H71&lt;=R71,"⚠️STOP推奨","📌保有中")))))))</f>
        <v/>
      </c>
      <c r="T71" s="111" t="n"/>
      <c r="U71" s="111" t="n"/>
      <c r="V71" s="113">
        <f>IF(OR(F71="",G71="",U71=""),"",IF(C71="売",(F71-U71)*G71,(U71-F71)*G71))</f>
        <v/>
      </c>
      <c r="W71" s="699">
        <f>IF(OR(E71="",B71=""),"",IF(T71&lt;&gt;"",T71-E71,TODAY()-E71))</f>
        <v/>
      </c>
      <c r="X71" s="111" t="n"/>
    </row>
    <row r="72" ht="17.25" customHeight="1" s="574">
      <c r="A72" s="408">
        <f>HYPERLINK("https://kabutan.jp/stock/?code="&amp;TEXT(B72,"0000"),"株探")</f>
        <v/>
      </c>
      <c r="B72" s="111" t="n"/>
      <c r="C72" s="115" t="n"/>
      <c r="D72" s="111">
        <f t="array" ref="D72">IF(B72="","",_xll.RssMarket(B72,"銘柄名称"))</f>
        <v/>
      </c>
      <c r="E72" s="698" t="n"/>
      <c r="F72" s="426" t="n"/>
      <c r="G72" s="111" t="n"/>
      <c r="H72" s="113">
        <f t="array" ref="H72">IF(B72="","",_xll.RssMarket(B72,"現在値"))</f>
        <v/>
      </c>
      <c r="I72" s="113">
        <f t="array" ref="I72">_xll.RssMarket(B72, "出来高加重平均")</f>
        <v/>
      </c>
      <c r="J72" s="113">
        <f t="array" ref="J72">_xll.RssMarket(B72, "前日比")</f>
        <v/>
      </c>
      <c r="K72" s="113">
        <f>IF(OR(F72="",G72="",H72=""),"",IF(C72="売",(F72-H72)*G72,(H72-F72)*G72))</f>
        <v/>
      </c>
      <c r="L72" s="114">
        <f>IF(OR(F72="",H72=""),"",IF(C72="売",(F72-H72)/F72,(H72-F72)/F72))</f>
        <v/>
      </c>
      <c r="M72" s="113">
        <f>IF(F72="","",IF(C72="売",F72*0.94,F72*1.06))</f>
        <v/>
      </c>
      <c r="N72" s="113">
        <f>IF(F72="","",IF(C72="売",F72*1.04,F72*0.96))</f>
        <v/>
      </c>
      <c r="O72" s="113">
        <f>IF(B72="","",IF(H72="","保有中",IF(C72="売",IF(H72&lt;=M72,"🟢利確推奨",IF(H72&lt;=F72*0.95,"🟡利確&amp;TR STOP検討",IF(H72&gt;=N72,"🔴損切推奨",IF(H72&gt;=F72*1.035,"🔴損切間近",IF(H72&gt;=F72*1.03,"⚠️+3%注意","保持継続"))))),IF(H72&gt;=M72,"🟢利確推奨",IF(H72&gt;=F72*1.05,"🟡利確&amp;TR STOP検討",IF(H72&lt;=N72,"🔴損切推奨",IF(H72&lt;=F72*0.965,"🔴損切間近",IF(H72&lt;=F72*0.97,"⚠️-3%注意","保持継続"))))))))</f>
        <v/>
      </c>
      <c r="P72" s="113">
        <f t="array" ref="P72">IF(B72="","",IFERROR(MAX(OFFSET(高値!$E$6,MATCH(TEXT(B72,"0"),TEXT(銘柄管理!$B$6:$B$305,"0"),0)-1,0,1,10)),""))</f>
        <v/>
      </c>
      <c r="Q72" s="113">
        <f t="array" ref="Q72">IF(B72="","",IFERROR(MIN(OFFSET(安値!$E$6,MATCH(TEXT(B72,"0"),TEXT(銘柄管理!$B$6:$B$305,"0"),0)-1,0,1,10)),""))</f>
        <v/>
      </c>
      <c r="R72" s="113">
        <f>IF(P72="","",ROUND(P72*0.97,0))</f>
        <v/>
      </c>
      <c r="S72" s="461">
        <f>IF(B72="","",IF(T72&lt;&gt;"","✅売却済",IF(H72="","📌保有中",IF(C72="売",IF(H72&lt;=M72,"🟢利確推奨",IF(H72&gt;=N72,"🔴損切推奨",IF(H72&gt;=R72,"⚠️STOP推奨","📌保有中"))),IF(H72&gt;=M72,"🟢利確推奨",IF(H72&lt;=N72,"🔴損切推奨",IF(H72&lt;=R72,"⚠️STOP推奨","📌保有中")))))))</f>
        <v/>
      </c>
      <c r="T72" s="111" t="n"/>
      <c r="U72" s="111" t="n"/>
      <c r="V72" s="113">
        <f>IF(OR(F72="",G72="",U72=""),"",IF(C72="売",(F72-U72)*G72,(U72-F72)*G72))</f>
        <v/>
      </c>
      <c r="W72" s="699">
        <f>IF(OR(E72="",B72=""),"",IF(T72&lt;&gt;"",T72-E72,TODAY()-E72))</f>
        <v/>
      </c>
      <c r="X72" s="111" t="n"/>
    </row>
    <row r="73" ht="17.25" customHeight="1" s="574">
      <c r="A73" s="408">
        <f>HYPERLINK("https://kabutan.jp/stock/?code="&amp;TEXT(B73,"0000"),"株探")</f>
        <v/>
      </c>
      <c r="B73" s="111" t="n"/>
      <c r="C73" s="115" t="n"/>
      <c r="D73" s="111">
        <f t="array" ref="D73">IF(B73="","",_xll.RssMarket(B73,"銘柄名称"))</f>
        <v/>
      </c>
      <c r="E73" s="698" t="n"/>
      <c r="F73" s="426" t="n"/>
      <c r="G73" s="111" t="n"/>
      <c r="H73" s="113">
        <f t="array" ref="H73">IF(B73="","",_xll.RssMarket(B73,"現在値"))</f>
        <v/>
      </c>
      <c r="I73" s="113">
        <f t="array" ref="I73">_xll.RssMarket(B73, "出来高加重平均")</f>
        <v/>
      </c>
      <c r="J73" s="113">
        <f t="array" ref="J73">_xll.RssMarket(B73, "前日比")</f>
        <v/>
      </c>
      <c r="K73" s="113">
        <f>IF(OR(F73="",G73="",H73=""),"",IF(C73="売",(F73-H73)*G73,(H73-F73)*G73))</f>
        <v/>
      </c>
      <c r="L73" s="114">
        <f>IF(OR(F73="",H73=""),"",IF(C73="売",(F73-H73)/F73,(H73-F73)/F73))</f>
        <v/>
      </c>
      <c r="M73" s="113">
        <f>IF(F73="","",IF(C73="売",F73*0.94,F73*1.06))</f>
        <v/>
      </c>
      <c r="N73" s="113">
        <f>IF(F73="","",IF(C73="売",F73*1.04,F73*0.96))</f>
        <v/>
      </c>
      <c r="O73" s="113">
        <f>IF(B73="","",IF(H73="","保有中",IF(C73="売",IF(H73&lt;=M73,"🟢利確推奨",IF(H73&lt;=F73*0.95,"🟡利確&amp;TR STOP検討",IF(H73&gt;=N73,"🔴損切推奨",IF(H73&gt;=F73*1.035,"🔴損切間近",IF(H73&gt;=F73*1.03,"⚠️+3%注意","保持継続"))))),IF(H73&gt;=M73,"🟢利確推奨",IF(H73&gt;=F73*1.05,"🟡利確&amp;TR STOP検討",IF(H73&lt;=N73,"🔴損切推奨",IF(H73&lt;=F73*0.965,"🔴損切間近",IF(H73&lt;=F73*0.97,"⚠️-3%注意","保持継続"))))))))</f>
        <v/>
      </c>
      <c r="P73" s="113">
        <f t="array" ref="P73">IF(B73="","",IFERROR(MAX(OFFSET(高値!$E$6,MATCH(TEXT(B73,"0"),TEXT(銘柄管理!$B$6:$B$305,"0"),0)-1,0,1,10)),""))</f>
        <v/>
      </c>
      <c r="Q73" s="113">
        <f t="array" ref="Q73">IF(B73="","",IFERROR(MIN(OFFSET(安値!$E$6,MATCH(TEXT(B73,"0"),TEXT(銘柄管理!$B$6:$B$305,"0"),0)-1,0,1,10)),""))</f>
        <v/>
      </c>
      <c r="R73" s="113">
        <f>IF(P73="","",ROUND(P73*0.97,0))</f>
        <v/>
      </c>
      <c r="S73" s="461">
        <f>IF(B73="","",IF(T73&lt;&gt;"","✅売却済",IF(H73="","📌保有中",IF(C73="売",IF(H73&lt;=M73,"🟢利確推奨",IF(H73&gt;=N73,"🔴損切推奨",IF(H73&gt;=R73,"⚠️STOP推奨","📌保有中"))),IF(H73&gt;=M73,"🟢利確推奨",IF(H73&lt;=N73,"🔴損切推奨",IF(H73&lt;=R73,"⚠️STOP推奨","📌保有中")))))))</f>
        <v/>
      </c>
      <c r="T73" s="111" t="n"/>
      <c r="U73" s="111" t="n"/>
      <c r="V73" s="113">
        <f>IF(OR(F73="",G73="",U73=""),"",IF(C73="売",(F73-U73)*G73,(U73-F73)*G73))</f>
        <v/>
      </c>
      <c r="W73" s="699">
        <f>IF(OR(E73="",B73=""),"",IF(T73&lt;&gt;"",T73-E73,TODAY()-E73))</f>
        <v/>
      </c>
      <c r="X73" s="111" t="n"/>
    </row>
    <row r="74" ht="17.25" customHeight="1" s="574">
      <c r="A74" s="408">
        <f>HYPERLINK("https://kabutan.jp/stock/?code="&amp;TEXT(B74,"0000"),"株探")</f>
        <v/>
      </c>
      <c r="B74" s="111" t="n"/>
      <c r="C74" s="115" t="n"/>
      <c r="D74" s="111">
        <f t="array" ref="D74">IF(B74="","",_xll.RssMarket(B74,"銘柄名称"))</f>
        <v/>
      </c>
      <c r="E74" s="698" t="n"/>
      <c r="F74" s="426" t="n"/>
      <c r="G74" s="111" t="n"/>
      <c r="H74" s="113">
        <f t="array" ref="H74">IF(B74="","",_xll.RssMarket(B74,"現在値"))</f>
        <v/>
      </c>
      <c r="I74" s="113">
        <f t="array" ref="I74">_xll.RssMarket(B74, "出来高加重平均")</f>
        <v/>
      </c>
      <c r="J74" s="113">
        <f t="array" ref="J74">_xll.RssMarket(B74, "前日比")</f>
        <v/>
      </c>
      <c r="K74" s="113">
        <f>IF(OR(F74="",G74="",H74=""),"",IF(C74="売",(F74-H74)*G74,(H74-F74)*G74))</f>
        <v/>
      </c>
      <c r="L74" s="114">
        <f>IF(OR(F74="",H74=""),"",IF(C74="売",(F74-H74)/F74,(H74-F74)/F74))</f>
        <v/>
      </c>
      <c r="M74" s="113">
        <f>IF(F74="","",IF(C74="売",F74*0.94,F74*1.06))</f>
        <v/>
      </c>
      <c r="N74" s="113">
        <f>IF(F74="","",IF(C74="売",F74*1.04,F74*0.96))</f>
        <v/>
      </c>
      <c r="O74" s="113">
        <f>IF(B74="","",IF(H74="","保有中",IF(C74="売",IF(H74&lt;=M74,"🟢利確推奨",IF(H74&lt;=F74*0.95,"🟡利確&amp;TR STOP検討",IF(H74&gt;=N74,"🔴損切推奨",IF(H74&gt;=F74*1.035,"🔴損切間近",IF(H74&gt;=F74*1.03,"⚠️+3%注意","保持継続"))))),IF(H74&gt;=M74,"🟢利確推奨",IF(H74&gt;=F74*1.05,"🟡利確&amp;TR STOP検討",IF(H74&lt;=N74,"🔴損切推奨",IF(H74&lt;=F74*0.965,"🔴損切間近",IF(H74&lt;=F74*0.97,"⚠️-3%注意","保持継続"))))))))</f>
        <v/>
      </c>
      <c r="P74" s="113">
        <f t="array" ref="P74">IF(B74="","",IFERROR(MAX(OFFSET(高値!$E$6,MATCH(TEXT(B74,"0"),TEXT(銘柄管理!$B$6:$B$305,"0"),0)-1,0,1,10)),""))</f>
        <v/>
      </c>
      <c r="Q74" s="113">
        <f t="array" ref="Q74">IF(B74="","",IFERROR(MIN(OFFSET(安値!$E$6,MATCH(TEXT(B74,"0"),TEXT(銘柄管理!$B$6:$B$305,"0"),0)-1,0,1,10)),""))</f>
        <v/>
      </c>
      <c r="R74" s="113">
        <f>IF(P74="","",ROUND(P74*0.97,0))</f>
        <v/>
      </c>
      <c r="S74" s="461">
        <f>IF(B74="","",IF(T74&lt;&gt;"","✅売却済",IF(H74="","📌保有中",IF(C74="売",IF(H74&lt;=M74,"🟢利確推奨",IF(H74&gt;=N74,"🔴損切推奨",IF(H74&gt;=R74,"⚠️STOP推奨","📌保有中"))),IF(H74&gt;=M74,"🟢利確推奨",IF(H74&lt;=N74,"🔴損切推奨",IF(H74&lt;=R74,"⚠️STOP推奨","📌保有中")))))))</f>
        <v/>
      </c>
      <c r="T74" s="111" t="n"/>
      <c r="U74" s="111" t="n"/>
      <c r="V74" s="113">
        <f>IF(OR(F74="",G74="",U74=""),"",IF(C74="売",(F74-U74)*G74,(U74-F74)*G74))</f>
        <v/>
      </c>
      <c r="W74" s="699">
        <f>IF(OR(E74="",B74=""),"",IF(T74&lt;&gt;"",T74-E74,TODAY()-E74))</f>
        <v/>
      </c>
      <c r="X74" s="111" t="n"/>
    </row>
    <row r="75" ht="17.25" customHeight="1" s="574">
      <c r="A75" s="408">
        <f>HYPERLINK("https://kabutan.jp/stock/?code="&amp;TEXT(B75,"0000"),"株探")</f>
        <v/>
      </c>
      <c r="B75" s="111" t="n"/>
      <c r="C75" s="115" t="n"/>
      <c r="D75" s="111">
        <f t="array" ref="D75">IF(B75="","",_xll.RssMarket(B75,"銘柄名称"))</f>
        <v/>
      </c>
      <c r="E75" s="698" t="n"/>
      <c r="F75" s="426" t="n"/>
      <c r="G75" s="111" t="n"/>
      <c r="H75" s="113">
        <f t="array" ref="H75">IF(B75="","",_xll.RssMarket(B75,"現在値"))</f>
        <v/>
      </c>
      <c r="I75" s="113">
        <f t="array" ref="I75">_xll.RssMarket(B75, "出来高加重平均")</f>
        <v/>
      </c>
      <c r="J75" s="113">
        <f t="array" ref="J75">_xll.RssMarket(B75, "前日比")</f>
        <v/>
      </c>
      <c r="K75" s="113">
        <f>IF(OR(F75="",G75="",H75=""),"",IF(C75="売",(F75-H75)*G75,(H75-F75)*G75))</f>
        <v/>
      </c>
      <c r="L75" s="114">
        <f>IF(OR(F75="",H75=""),"",IF(C75="売",(F75-H75)/F75,(H75-F75)/F75))</f>
        <v/>
      </c>
      <c r="M75" s="113">
        <f>IF(F75="","",IF(C75="売",F75*0.94,F75*1.06))</f>
        <v/>
      </c>
      <c r="N75" s="113">
        <f>IF(F75="","",IF(C75="売",F75*1.04,F75*0.96))</f>
        <v/>
      </c>
      <c r="O75" s="113">
        <f>IF(B75="","",IF(H75="","保有中",IF(C75="売",IF(H75&lt;=M75,"🟢利確推奨",IF(H75&lt;=F75*0.95,"🟡利確&amp;TR STOP検討",IF(H75&gt;=N75,"🔴損切推奨",IF(H75&gt;=F75*1.035,"🔴損切間近",IF(H75&gt;=F75*1.03,"⚠️+3%注意","保持継続"))))),IF(H75&gt;=M75,"🟢利確推奨",IF(H75&gt;=F75*1.05,"🟡利確&amp;TR STOP検討",IF(H75&lt;=N75,"🔴損切推奨",IF(H75&lt;=F75*0.965,"🔴損切間近",IF(H75&lt;=F75*0.97,"⚠️-3%注意","保持継続"))))))))</f>
        <v/>
      </c>
      <c r="P75" s="113">
        <f t="array" ref="P75">IF(B75="","",IFERROR(MAX(OFFSET(高値!$E$6,MATCH(TEXT(B75,"0"),TEXT(銘柄管理!$B$6:$B$305,"0"),0)-1,0,1,10)),""))</f>
        <v/>
      </c>
      <c r="Q75" s="113">
        <f t="array" ref="Q75">IF(B75="","",IFERROR(MIN(OFFSET(安値!$E$6,MATCH(TEXT(B75,"0"),TEXT(銘柄管理!$B$6:$B$305,"0"),0)-1,0,1,10)),""))</f>
        <v/>
      </c>
      <c r="R75" s="113">
        <f>IF(P75="","",ROUND(P75*0.97,0))</f>
        <v/>
      </c>
      <c r="S75" s="461">
        <f>IF(B75="","",IF(T75&lt;&gt;"","✅売却済",IF(H75="","📌保有中",IF(C75="売",IF(H75&lt;=M75,"🟢利確推奨",IF(H75&gt;=N75,"🔴損切推奨",IF(H75&gt;=R75,"⚠️STOP推奨","📌保有中"))),IF(H75&gt;=M75,"🟢利確推奨",IF(H75&lt;=N75,"🔴損切推奨",IF(H75&lt;=R75,"⚠️STOP推奨","📌保有中")))))))</f>
        <v/>
      </c>
      <c r="T75" s="111" t="n"/>
      <c r="U75" s="111" t="n"/>
      <c r="V75" s="113">
        <f>IF(OR(F75="",G75="",U75=""),"",IF(C75="売",(F75-U75)*G75,(U75-F75)*G75))</f>
        <v/>
      </c>
      <c r="W75" s="699">
        <f>IF(OR(E75="",B75=""),"",IF(T75&lt;&gt;"",T75-E75,TODAY()-E75))</f>
        <v/>
      </c>
      <c r="X75" s="111" t="n"/>
    </row>
    <row r="76" ht="17.25" customHeight="1" s="574">
      <c r="A76" s="408">
        <f>HYPERLINK("https://kabutan.jp/stock/?code="&amp;TEXT(B76,"0000"),"株探")</f>
        <v/>
      </c>
      <c r="B76" s="111" t="n"/>
      <c r="C76" s="115" t="n"/>
      <c r="D76" s="111">
        <f t="array" ref="D76">IF(B76="","",_xll.RssMarket(B76,"銘柄名称"))</f>
        <v/>
      </c>
      <c r="E76" s="698" t="n"/>
      <c r="F76" s="426" t="n"/>
      <c r="G76" s="111" t="n"/>
      <c r="H76" s="113">
        <f t="array" ref="H76">IF(B76="","",_xll.RssMarket(B76,"現在値"))</f>
        <v/>
      </c>
      <c r="I76" s="113">
        <f t="array" ref="I76">_xll.RssMarket(B76, "出来高加重平均")</f>
        <v/>
      </c>
      <c r="J76" s="113">
        <f t="array" ref="J76">_xll.RssMarket(B76, "前日比")</f>
        <v/>
      </c>
      <c r="K76" s="113">
        <f>IF(OR(F76="",G76="",H76=""),"",IF(C76="売",(F76-H76)*G76,(H76-F76)*G76))</f>
        <v/>
      </c>
      <c r="L76" s="114">
        <f>IF(OR(F76="",H76=""),"",IF(C76="売",(F76-H76)/F76,(H76-F76)/F76))</f>
        <v/>
      </c>
      <c r="M76" s="113">
        <f>IF(F76="","",IF(C76="売",F76*0.94,F76*1.06))</f>
        <v/>
      </c>
      <c r="N76" s="113">
        <f>IF(F76="","",IF(C76="売",F76*1.04,F76*0.96))</f>
        <v/>
      </c>
      <c r="O76" s="113">
        <f>IF(B76="","",IF(H76="","保有中",IF(C76="売",IF(H76&lt;=M76,"🟢利確推奨",IF(H76&lt;=F76*0.95,"🟡利確&amp;TR STOP検討",IF(H76&gt;=N76,"🔴損切推奨",IF(H76&gt;=F76*1.035,"🔴損切間近",IF(H76&gt;=F76*1.03,"⚠️+3%注意","保持継続"))))),IF(H76&gt;=M76,"🟢利確推奨",IF(H76&gt;=F76*1.05,"🟡利確&amp;TR STOP検討",IF(H76&lt;=N76,"🔴損切推奨",IF(H76&lt;=F76*0.965,"🔴損切間近",IF(H76&lt;=F76*0.97,"⚠️-3%注意","保持継続"))))))))</f>
        <v/>
      </c>
      <c r="P76" s="113">
        <f t="array" ref="P76">IF(B76="","",IFERROR(MAX(OFFSET(高値!$E$6,MATCH(TEXT(B76,"0"),TEXT(銘柄管理!$B$6:$B$305,"0"),0)-1,0,1,10)),""))</f>
        <v/>
      </c>
      <c r="Q76" s="113">
        <f t="array" ref="Q76">IF(B76="","",IFERROR(MIN(OFFSET(安値!$E$6,MATCH(TEXT(B76,"0"),TEXT(銘柄管理!$B$6:$B$305,"0"),0)-1,0,1,10)),""))</f>
        <v/>
      </c>
      <c r="R76" s="113">
        <f>IF(P76="","",ROUND(P76*0.97,0))</f>
        <v/>
      </c>
      <c r="S76" s="461">
        <f>IF(B76="","",IF(T76&lt;&gt;"","✅売却済",IF(H76="","📌保有中",IF(C76="売",IF(H76&lt;=M76,"🟢利確推奨",IF(H76&gt;=N76,"🔴損切推奨",IF(H76&gt;=R76,"⚠️STOP推奨","📌保有中"))),IF(H76&gt;=M76,"🟢利確推奨",IF(H76&lt;=N76,"🔴損切推奨",IF(H76&lt;=R76,"⚠️STOP推奨","📌保有中")))))))</f>
        <v/>
      </c>
      <c r="T76" s="111" t="n"/>
      <c r="U76" s="111" t="n"/>
      <c r="V76" s="113">
        <f>IF(OR(F76="",G76="",U76=""),"",IF(C76="売",(F76-U76)*G76,(U76-F76)*G76))</f>
        <v/>
      </c>
      <c r="W76" s="699">
        <f>IF(OR(E76="",B76=""),"",IF(T76&lt;&gt;"",T76-E76,TODAY()-E76))</f>
        <v/>
      </c>
      <c r="X76" s="111" t="n"/>
    </row>
    <row r="77" ht="17.25" customHeight="1" s="574">
      <c r="A77" s="408">
        <f>HYPERLINK("https://kabutan.jp/stock/?code="&amp;TEXT(B77,"0000"),"株探")</f>
        <v/>
      </c>
      <c r="B77" s="111" t="n"/>
      <c r="C77" s="115" t="n"/>
      <c r="D77" s="111">
        <f t="array" ref="D77">IF(B77="","",_xll.RssMarket(B77,"銘柄名称"))</f>
        <v/>
      </c>
      <c r="E77" s="698" t="n"/>
      <c r="F77" s="426" t="n"/>
      <c r="G77" s="111" t="n"/>
      <c r="H77" s="113">
        <f t="array" ref="H77">IF(B77="","",_xll.RssMarket(B77,"現在値"))</f>
        <v/>
      </c>
      <c r="I77" s="113">
        <f t="array" ref="I77">_xll.RssMarket(B77, "出来高加重平均")</f>
        <v/>
      </c>
      <c r="J77" s="113">
        <f t="array" ref="J77">_xll.RssMarket(B77, "前日比")</f>
        <v/>
      </c>
      <c r="K77" s="113">
        <f>IF(OR(F77="",G77="",H77=""),"",IF(C77="売",(F77-H77)*G77,(H77-F77)*G77))</f>
        <v/>
      </c>
      <c r="L77" s="114">
        <f>IF(OR(F77="",H77=""),"",IF(C77="売",(F77-H77)/F77,(H77-F77)/F77))</f>
        <v/>
      </c>
      <c r="M77" s="113">
        <f>IF(F77="","",IF(C77="売",F77*0.94,F77*1.06))</f>
        <v/>
      </c>
      <c r="N77" s="113">
        <f>IF(F77="","",IF(C77="売",F77*1.04,F77*0.96))</f>
        <v/>
      </c>
      <c r="O77" s="113">
        <f>IF(B77="","",IF(H77="","保有中",IF(C77="売",IF(H77&lt;=M77,"🟢利確推奨",IF(H77&lt;=F77*0.95,"🟡利確&amp;TR STOP検討",IF(H77&gt;=N77,"🔴損切推奨",IF(H77&gt;=F77*1.035,"🔴損切間近",IF(H77&gt;=F77*1.03,"⚠️+3%注意","保持継続"))))),IF(H77&gt;=M77,"🟢利確推奨",IF(H77&gt;=F77*1.05,"🟡利確&amp;TR STOP検討",IF(H77&lt;=N77,"🔴損切推奨",IF(H77&lt;=F77*0.965,"🔴損切間近",IF(H77&lt;=F77*0.97,"⚠️-3%注意","保持継続"))))))))</f>
        <v/>
      </c>
      <c r="P77" s="113">
        <f t="array" ref="P77">IF(B77="","",IFERROR(MAX(OFFSET(高値!$E$6,MATCH(TEXT(B77,"0"),TEXT(銘柄管理!$B$6:$B$305,"0"),0)-1,0,1,10)),""))</f>
        <v/>
      </c>
      <c r="Q77" s="113">
        <f t="array" ref="Q77">IF(B77="","",IFERROR(MIN(OFFSET(安値!$E$6,MATCH(TEXT(B77,"0"),TEXT(銘柄管理!$B$6:$B$305,"0"),0)-1,0,1,10)),""))</f>
        <v/>
      </c>
      <c r="R77" s="113">
        <f>IF(P77="","",ROUND(P77*0.97,0))</f>
        <v/>
      </c>
      <c r="S77" s="461">
        <f>IF(B77="","",IF(T77&lt;&gt;"","✅売却済",IF(H77="","📌保有中",IF(C77="売",IF(H77&lt;=M77,"🟢利確推奨",IF(H77&gt;=N77,"🔴損切推奨",IF(H77&gt;=R77,"⚠️STOP推奨","📌保有中"))),IF(H77&gt;=M77,"🟢利確推奨",IF(H77&lt;=N77,"🔴損切推奨",IF(H77&lt;=R77,"⚠️STOP推奨","📌保有中")))))))</f>
        <v/>
      </c>
      <c r="T77" s="111" t="n"/>
      <c r="U77" s="111" t="n"/>
      <c r="V77" s="113">
        <f>IF(OR(F77="",G77="",U77=""),"",IF(C77="売",(F77-U77)*G77,(U77-F77)*G77))</f>
        <v/>
      </c>
      <c r="W77" s="699">
        <f>IF(OR(E77="",B77=""),"",IF(T77&lt;&gt;"",T77-E77,TODAY()-E77))</f>
        <v/>
      </c>
      <c r="X77" s="111" t="n"/>
    </row>
    <row r="78" ht="17.25" customHeight="1" s="574">
      <c r="A78" s="408">
        <f>HYPERLINK("https://kabutan.jp/stock/?code="&amp;TEXT(B78,"0000"),"株探")</f>
        <v/>
      </c>
      <c r="B78" s="111" t="n"/>
      <c r="C78" s="111" t="n"/>
      <c r="D78" s="111" t="n"/>
      <c r="E78" s="698" t="n"/>
      <c r="F78" s="426" t="n"/>
      <c r="G78" s="111" t="n"/>
      <c r="H78" s="113">
        <f>_xll.RssMarket("d7","現在値")</f>
        <v/>
      </c>
      <c r="I78" s="113">
        <f t="array" ref="I78">_xll.RssMarket(B78, "出来高加重平均")</f>
        <v/>
      </c>
      <c r="J78" s="113">
        <f t="array" ref="J78">_xll.RssMarket(B78, "前日比")</f>
        <v/>
      </c>
      <c r="K78" s="113">
        <f>IF(OR(F78="",G78="",H78=""),"",(H78-F78)*G78)</f>
        <v/>
      </c>
      <c r="L78" s="114">
        <f>IF(OR(F78="",H78=""),"",(H78-F78)/F78)</f>
        <v/>
      </c>
      <c r="M78" s="113">
        <f>IF(F78="","",F78*1.07)</f>
        <v/>
      </c>
      <c r="N78" s="113">
        <f>IF(F78="","",F78*0.96)</f>
        <v/>
      </c>
      <c r="O78" s="113">
        <f>IF(B78="","",IF(H78="","保有中",IF(H78&gt;=M78,"🟢利確推奨",IF(H78&gt;=F78*1.06,"🟡利確&amp;TR STOP検討",IF(H78&lt;=N78,"🔴損切推奨",IF(H78&lt;=F78*0.965,"🔴損切間近",IF(H78&lt;=F78*0.97,"⚠️-3%注意",IF(H78&lt;=F78*0.96,"🟡STOP推奨","保持継続"))))))))</f>
        <v/>
      </c>
      <c r="P78" s="113">
        <f t="array" ref="P78">IF(B78="","",IFERROR(MAX(OFFSET(高値!$E$6,MATCH(TEXT(B78,"0"),TEXT(銘柄管理!$B$6:$B$305,"0"),0)-1,0,1,10)),""))</f>
        <v/>
      </c>
      <c r="Q78" s="113">
        <f t="array" ref="Q78">IF(B78="","",IFERROR(MIN(OFFSET(安値!$E$6,MATCH(TEXT(B78,"0"),TEXT(銘柄管理!$B$6:$B$305,"0"),0)-1,0,1,10)),""))</f>
        <v/>
      </c>
      <c r="R78" s="113">
        <f>IF(P78="","",ROUND(P78*0.97,0))</f>
        <v/>
      </c>
      <c r="S78" s="461">
        <f>IF(B78="","",IF(T78&lt;&gt;"","?売却済",IF(H78="","?保有中",IF(H78&gt;=M78,"??利確推奨",IF(H78&lt;=N78,"??損切推奨",IF(H78&lt;=R78,"??STOP推奨","?保有中"))))))</f>
        <v/>
      </c>
      <c r="T78" s="111" t="n"/>
      <c r="U78" s="111" t="n"/>
      <c r="V78" s="113">
        <f>IF(OR(F78="",G78="",U78=""),"",(U78-F78)*G78)</f>
        <v/>
      </c>
      <c r="W78" s="699">
        <f>IF(OR(E78="",B78=""),"",IF(T78&lt;&gt;"",T78-E78,TODAY()-E78))</f>
        <v/>
      </c>
      <c r="X78" s="111" t="n"/>
    </row>
    <row r="79" ht="17.25" customHeight="1" s="574">
      <c r="A79" s="408">
        <f>HYPERLINK("https://kabutan.jp/stock/?code="&amp;TEXT(B79,"0000"),"株探")</f>
        <v/>
      </c>
      <c r="B79" s="111" t="n"/>
      <c r="C79" s="111" t="n"/>
      <c r="D79" s="111" t="n"/>
      <c r="E79" s="698" t="n"/>
      <c r="F79" s="426" t="n"/>
      <c r="G79" s="111" t="n"/>
      <c r="H79" s="113">
        <f>_xll.RssMarket("d7","現在値")</f>
        <v/>
      </c>
      <c r="I79" s="113">
        <f t="array" ref="I79">_xll.RssMarket(B79, "出来高加重平均")</f>
        <v/>
      </c>
      <c r="J79" s="113">
        <f t="array" ref="J79">_xll.RssMarket(B79, "前日比")</f>
        <v/>
      </c>
      <c r="K79" s="113">
        <f>IF(OR(F79="",G79="",H79=""),"",(H79-F79)*G79)</f>
        <v/>
      </c>
      <c r="L79" s="114">
        <f>IF(OR(F79="",H79=""),"",(H79-F79)/F79)</f>
        <v/>
      </c>
      <c r="M79" s="113">
        <f>IF(F79="","",F79*1.07)</f>
        <v/>
      </c>
      <c r="N79" s="113">
        <f>IF(F79="","",F79*0.96)</f>
        <v/>
      </c>
      <c r="O79" s="113">
        <f>IF(B79="","",IF(H79="","保有中",IF(H79&gt;=M79,"🟢利確推奨",IF(H79&gt;=F79*1.06,"🟡利確&amp;TR STOP検討",IF(H79&lt;=N79,"🔴損切推奨",IF(H79&lt;=F79*0.965,"🔴損切間近",IF(H79&lt;=F79*0.97,"⚠️-3%注意",IF(H79&lt;=F79*0.96,"🟡STOP推奨","保持継続"))))))))</f>
        <v/>
      </c>
      <c r="P79" s="113">
        <f t="array" ref="P79">IF(B79="","",IFERROR(MAX(OFFSET(高値!$E$6,MATCH(TEXT(B79,"0"),TEXT(銘柄管理!$B$6:$B$305,"0"),0)-1,0,1,10)),""))</f>
        <v/>
      </c>
      <c r="Q79" s="113">
        <f t="array" ref="Q79">IF(B79="","",IFERROR(MIN(OFFSET(安値!$E$6,MATCH(TEXT(B79,"0"),TEXT(銘柄管理!$B$6:$B$305,"0"),0)-1,0,1,10)),""))</f>
        <v/>
      </c>
      <c r="R79" s="113">
        <f>IF(P79="","",ROUND(P79*0.97,0))</f>
        <v/>
      </c>
      <c r="S79" s="461">
        <f>IF(B79="","",IF(T79&lt;&gt;"","?売却済",IF(H79="","?保有中",IF(H79&gt;=M79,"??利確推奨",IF(H79&lt;=N79,"??損切推奨",IF(H79&lt;=R79,"??STOP推奨","?保有中"))))))</f>
        <v/>
      </c>
      <c r="T79" s="111" t="n"/>
      <c r="U79" s="111" t="n"/>
      <c r="V79" s="113">
        <f>IF(OR(F79="",G79="",U79=""),"",(U79-F79)*G79)</f>
        <v/>
      </c>
      <c r="W79" s="699">
        <f>IF(OR(E79="",B79=""),"",IF(T79&lt;&gt;"",T79-E79,TODAY()-E79))</f>
        <v/>
      </c>
      <c r="X79" s="111" t="n"/>
    </row>
    <row r="80" ht="17.25" customHeight="1" s="574">
      <c r="A80" s="408">
        <f>HYPERLINK("https://kabutan.jp/stock/?code="&amp;TEXT(B80,"0000"),"株探")</f>
        <v/>
      </c>
      <c r="B80" s="111" t="n"/>
      <c r="C80" s="111" t="n"/>
      <c r="D80" s="111" t="n"/>
      <c r="E80" s="698" t="n"/>
      <c r="F80" s="426" t="n"/>
      <c r="G80" s="111" t="n"/>
      <c r="H80" s="113">
        <f>_xll.RssMarket("d7","現在値")</f>
        <v/>
      </c>
      <c r="I80" s="113">
        <f t="array" ref="I80">_xll.RssMarket(B80, "出来高加重平均")</f>
        <v/>
      </c>
      <c r="J80" s="113">
        <f t="array" ref="J80">_xll.RssMarket(B80, "前日比")</f>
        <v/>
      </c>
      <c r="K80" s="113">
        <f>IF(OR(F80="",G80="",H80=""),"",(H80-F80)*G80)</f>
        <v/>
      </c>
      <c r="L80" s="114">
        <f>IF(OR(F80="",H80=""),"",(H80-F80)/F80)</f>
        <v/>
      </c>
      <c r="M80" s="113">
        <f>IF(F80="","",F80*1.07)</f>
        <v/>
      </c>
      <c r="N80" s="113">
        <f>IF(F80="","",F80*0.96)</f>
        <v/>
      </c>
      <c r="O80" s="113">
        <f>IF(B80="","",IF(H80="","保有中",IF(H80&gt;=M80,"🟢利確推奨",IF(H80&gt;=F80*1.06,"🟡利確&amp;TR STOP検討",IF(H80&lt;=N80,"🔴損切推奨",IF(H80&lt;=F80*0.965,"🔴損切間近",IF(H80&lt;=F80*0.97,"⚠️-3%注意",IF(H80&lt;=F80*0.96,"🟡STOP推奨","保持継続"))))))))</f>
        <v/>
      </c>
      <c r="P80" s="113">
        <f t="array" ref="P80">IF(B80="","",IFERROR(MAX(OFFSET(高値!$E$6,MATCH(TEXT(B80,"0"),TEXT(銘柄管理!$B$6:$B$305,"0"),0)-1,0,1,10)),""))</f>
        <v/>
      </c>
      <c r="Q80" s="113">
        <f t="array" ref="Q80">IF(B80="","",IFERROR(MIN(OFFSET(安値!$E$6,MATCH(TEXT(B80,"0"),TEXT(銘柄管理!$B$6:$B$305,"0"),0)-1,0,1,10)),""))</f>
        <v/>
      </c>
      <c r="R80" s="113">
        <f>IF(P80="","",ROUND(P80*0.97,0))</f>
        <v/>
      </c>
      <c r="S80" s="461">
        <f>IF(B80="","",IF(T80&lt;&gt;"","?売却済",IF(H80="","?保有中",IF(H80&gt;=M80,"??利確推奨",IF(H80&lt;=N80,"??損切推奨",IF(H80&lt;=R80,"??STOP推奨","?保有中"))))))</f>
        <v/>
      </c>
      <c r="T80" s="111" t="n"/>
      <c r="U80" s="111" t="n"/>
      <c r="V80" s="113">
        <f>IF(OR(F80="",G80="",U80=""),"",(U80-F80)*G80)</f>
        <v/>
      </c>
      <c r="W80" s="699">
        <f>IF(OR(E80="",B80=""),"",IF(T80&lt;&gt;"",T80-E80,TODAY()-E80))</f>
        <v/>
      </c>
      <c r="X80" s="111" t="n"/>
    </row>
    <row r="81" ht="17.25" customHeight="1" s="574">
      <c r="A81" s="408">
        <f>HYPERLINK("https://kabutan.jp/stock/?code="&amp;TEXT(B81,"0000"),"株探")</f>
        <v/>
      </c>
      <c r="B81" s="111" t="n"/>
      <c r="C81" s="111" t="n"/>
      <c r="D81" s="111" t="n"/>
      <c r="E81" s="698" t="n"/>
      <c r="F81" s="426" t="n"/>
      <c r="G81" s="111" t="n"/>
      <c r="H81" s="113">
        <f>_xll.RssMarket("d7","現在値")</f>
        <v/>
      </c>
      <c r="I81" s="113">
        <f t="array" ref="I81">_xll.RssMarket(B81, "出来高加重平均")</f>
        <v/>
      </c>
      <c r="J81" s="113">
        <f t="array" ref="J81">_xll.RssMarket(B81, "前日比")</f>
        <v/>
      </c>
      <c r="K81" s="113">
        <f>IF(OR(F81="",G81="",H81=""),"",(H81-F81)*G81)</f>
        <v/>
      </c>
      <c r="L81" s="114">
        <f>IF(OR(F81="",H81=""),"",(H81-F81)/F81)</f>
        <v/>
      </c>
      <c r="M81" s="113">
        <f>IF(F81="","",F81*1.07)</f>
        <v/>
      </c>
      <c r="N81" s="113">
        <f>IF(F81="","",F81*0.96)</f>
        <v/>
      </c>
      <c r="O81" s="113">
        <f>IF(B81="","",IF(H81="","保有中",IF(H81&gt;=M81,"🟢利確推奨",IF(H81&gt;=F81*1.06,"🟡利確&amp;TR STOP検討",IF(H81&lt;=N81,"🔴損切推奨",IF(H81&lt;=F81*0.965,"🔴損切間近",IF(H81&lt;=F81*0.97,"⚠️-3%注意",IF(H81&lt;=F81*0.96,"🟡STOP推奨","保持継続"))))))))</f>
        <v/>
      </c>
      <c r="P81" s="113">
        <f t="array" ref="P81">IF(B81="","",IFERROR(MAX(OFFSET(高値!$E$6,MATCH(TEXT(B81,"0"),TEXT(銘柄管理!$B$6:$B$305,"0"),0)-1,0,1,10)),""))</f>
        <v/>
      </c>
      <c r="Q81" s="113">
        <f t="array" ref="Q81">IF(B81="","",IFERROR(MIN(OFFSET(安値!$E$6,MATCH(TEXT(B81,"0"),TEXT(銘柄管理!$B$6:$B$305,"0"),0)-1,0,1,10)),""))</f>
        <v/>
      </c>
      <c r="R81" s="113">
        <f>IF(P81="","",ROUND(P81*0.97,0))</f>
        <v/>
      </c>
      <c r="S81" s="461">
        <f>IF(B81="","",IF(T81&lt;&gt;"","?売却済",IF(H81="","?保有中",IF(H81&gt;=M81,"??利確推奨",IF(H81&lt;=N81,"??損切推奨",IF(H81&lt;=R81,"??STOP推奨","?保有中"))))))</f>
        <v/>
      </c>
      <c r="T81" s="111" t="n"/>
      <c r="U81" s="111" t="n"/>
      <c r="V81" s="113">
        <f>IF(OR(F81="",G81="",U81=""),"",(U81-F81)*G81)</f>
        <v/>
      </c>
      <c r="W81" s="699">
        <f>IF(OR(E81="",B81=""),"",IF(T81&lt;&gt;"",T81-E81,TODAY()-E81))</f>
        <v/>
      </c>
      <c r="X81" s="111" t="n"/>
    </row>
    <row r="82" ht="17.25" customHeight="1" s="574">
      <c r="A82" s="408">
        <f>HYPERLINK("https://kabutan.jp/stock/?code="&amp;TEXT(B82,"0000"),"株探")</f>
        <v/>
      </c>
      <c r="B82" s="111" t="n"/>
      <c r="C82" s="111" t="n"/>
      <c r="D82" s="111" t="n"/>
      <c r="E82" s="698" t="n"/>
      <c r="F82" s="426" t="n"/>
      <c r="G82" s="111" t="n"/>
      <c r="H82" s="113">
        <f>_xll.RssMarket("d7","現在値")</f>
        <v/>
      </c>
      <c r="I82" s="113">
        <f t="array" ref="I82">_xll.RssMarket(B82, "出来高加重平均")</f>
        <v/>
      </c>
      <c r="J82" s="113">
        <f t="array" ref="J82">_xll.RssMarket(B82, "前日比")</f>
        <v/>
      </c>
      <c r="K82" s="113">
        <f>IF(OR(F82="",G82="",H82=""),"",(H82-F82)*G82)</f>
        <v/>
      </c>
      <c r="L82" s="114">
        <f>IF(OR(F82="",H82=""),"",(H82-F82)/F82)</f>
        <v/>
      </c>
      <c r="M82" s="113">
        <f>IF(F82="","",F82*1.07)</f>
        <v/>
      </c>
      <c r="N82" s="113">
        <f>IF(F82="","",F82*0.96)</f>
        <v/>
      </c>
      <c r="O82" s="113">
        <f>IF(B82="","",IF(H82="","保有中",IF(H82&gt;=M82,"🟢利確推奨",IF(H82&gt;=F82*1.06,"🟡利確&amp;TR STOP検討",IF(H82&lt;=N82,"🔴損切推奨",IF(H82&lt;=F82*0.965,"🔴損切間近",IF(H82&lt;=F82*0.97,"⚠️-3%注意",IF(H82&lt;=F82*0.96,"🟡STOP推奨","保持継続"))))))))</f>
        <v/>
      </c>
      <c r="P82" s="113">
        <f t="array" ref="P82">IF(B82="","",IFERROR(MAX(OFFSET(高値!$E$6,MATCH(TEXT(B82,"0"),TEXT(銘柄管理!$B$6:$B$305,"0"),0)-1,0,1,10)),""))</f>
        <v/>
      </c>
      <c r="Q82" s="113">
        <f t="array" ref="Q82">IF(B82="","",IFERROR(MIN(OFFSET(安値!$E$6,MATCH(TEXT(B82,"0"),TEXT(銘柄管理!$B$6:$B$305,"0"),0)-1,0,1,10)),""))</f>
        <v/>
      </c>
      <c r="R82" s="113">
        <f>IF(P82="","",ROUND(P82*0.97,0))</f>
        <v/>
      </c>
      <c r="S82" s="461">
        <f>IF(B82="","",IF(T82&lt;&gt;"","?売却済",IF(H82="","?保有中",IF(H82&gt;=M82,"??利確推奨",IF(H82&lt;=N82,"??損切推奨",IF(H82&lt;=R82,"??STOP推奨","?保有中"))))))</f>
        <v/>
      </c>
      <c r="T82" s="111" t="n"/>
      <c r="U82" s="111" t="n"/>
      <c r="V82" s="113">
        <f>IF(OR(F82="",G82="",U82=""),"",(U82-F82)*G82)</f>
        <v/>
      </c>
      <c r="W82" s="699">
        <f>IF(OR(E82="",B82=""),"",IF(T82&lt;&gt;"",T82-E82,TODAY()-E82))</f>
        <v/>
      </c>
      <c r="X82" s="111" t="n"/>
    </row>
    <row r="83" ht="17.25" customHeight="1" s="574">
      <c r="A83" s="408">
        <f>HYPERLINK("https://kabutan.jp/stock/?code="&amp;TEXT(B83,"0000"),"株探")</f>
        <v/>
      </c>
      <c r="B83" s="111" t="n"/>
      <c r="C83" s="111" t="n"/>
      <c r="D83" s="111" t="n"/>
      <c r="E83" s="698" t="n"/>
      <c r="F83" s="426" t="n"/>
      <c r="G83" s="111" t="n"/>
      <c r="H83" s="113">
        <f>_xll.RssMarket("d7","現在値")</f>
        <v/>
      </c>
      <c r="I83" s="113">
        <f t="array" ref="I83">_xll.RssMarket(B83, "出来高加重平均")</f>
        <v/>
      </c>
      <c r="J83" s="113">
        <f t="array" ref="J83">_xll.RssMarket(B83, "前日比")</f>
        <v/>
      </c>
      <c r="K83" s="113">
        <f>IF(OR(F83="",G83="",H83=""),"",(H83-F83)*G83)</f>
        <v/>
      </c>
      <c r="L83" s="114">
        <f>IF(OR(F83="",H83=""),"",(H83-F83)/F83)</f>
        <v/>
      </c>
      <c r="M83" s="113">
        <f>IF(F83="","",F83*1.07)</f>
        <v/>
      </c>
      <c r="N83" s="113">
        <f>IF(F83="","",F83*0.96)</f>
        <v/>
      </c>
      <c r="O83" s="113">
        <f>IF(B83="","",IF(H83="","保有中",IF(H83&gt;=M83,"🟢利確推奨",IF(H83&gt;=F83*1.06,"🟡利確&amp;TR STOP検討",IF(H83&lt;=N83,"🔴損切推奨",IF(H83&lt;=F83*0.965,"🔴損切間近",IF(H83&lt;=F83*0.97,"⚠️-3%注意",IF(H83&lt;=F83*0.96,"🟡STOP推奨","保持継続"))))))))</f>
        <v/>
      </c>
      <c r="P83" s="113">
        <f t="array" ref="P83">IF(B83="","",IFERROR(MAX(OFFSET(高値!$E$6,MATCH(TEXT(B83,"0"),TEXT(銘柄管理!$B$6:$B$305,"0"),0)-1,0,1,10)),""))</f>
        <v/>
      </c>
      <c r="Q83" s="113">
        <f t="array" ref="Q83">IF(B83="","",IFERROR(MIN(OFFSET(安値!$E$6,MATCH(TEXT(B83,"0"),TEXT(銘柄管理!$B$6:$B$305,"0"),0)-1,0,1,10)),""))</f>
        <v/>
      </c>
      <c r="R83" s="113">
        <f>IF(P83="","",ROUND(P83*0.97,0))</f>
        <v/>
      </c>
      <c r="S83" s="461">
        <f>IF(B83="","",IF(T83&lt;&gt;"","?売却済",IF(H83="","?保有中",IF(H83&gt;=M83,"??利確推奨",IF(H83&lt;=N83,"??損切推奨",IF(H83&lt;=R83,"??STOP推奨","?保有中"))))))</f>
        <v/>
      </c>
      <c r="T83" s="111" t="n"/>
      <c r="U83" s="111" t="n"/>
      <c r="V83" s="113">
        <f>IF(OR(F83="",G83="",U83=""),"",(U83-F83)*G83)</f>
        <v/>
      </c>
      <c r="W83" s="699">
        <f>IF(OR(E83="",B83=""),"",IF(T83&lt;&gt;"",T83-E83,TODAY()-E83))</f>
        <v/>
      </c>
      <c r="X83" s="111" t="n"/>
    </row>
    <row r="84" ht="17.25" customHeight="1" s="574">
      <c r="A84" s="408">
        <f>HYPERLINK("https://kabutan.jp/stock/?code="&amp;TEXT(B84,"0000"),"株探")</f>
        <v/>
      </c>
      <c r="B84" s="111" t="n"/>
      <c r="C84" s="111" t="n"/>
      <c r="D84" s="111" t="n"/>
      <c r="E84" s="698" t="n"/>
      <c r="F84" s="426" t="n"/>
      <c r="G84" s="111" t="n"/>
      <c r="H84" s="113">
        <f>_xll.RssMarket("d7","現在値")</f>
        <v/>
      </c>
      <c r="I84" s="113">
        <f t="array" ref="I84">_xll.RssMarket(B84, "出来高加重平均")</f>
        <v/>
      </c>
      <c r="J84" s="113">
        <f t="array" ref="J84">_xll.RssMarket(B84, "前日比")</f>
        <v/>
      </c>
      <c r="K84" s="113">
        <f>IF(OR(F84="",G84="",H84=""),"",(H84-F84)*G84)</f>
        <v/>
      </c>
      <c r="L84" s="114">
        <f>IF(OR(F84="",H84=""),"",(H84-F84)/F84)</f>
        <v/>
      </c>
      <c r="M84" s="113">
        <f>IF(F84="","",F84*1.07)</f>
        <v/>
      </c>
      <c r="N84" s="113">
        <f>IF(F84="","",F84*0.96)</f>
        <v/>
      </c>
      <c r="O84" s="113">
        <f>IF(B84="","",IF(H84="","保有中",IF(H84&gt;=M84,"🟢利確推奨",IF(H84&gt;=F84*1.06,"🟡利確&amp;TR STOP検討",IF(H84&lt;=N84,"🔴損切推奨",IF(H84&lt;=F84*0.965,"🔴損切間近",IF(H84&lt;=F84*0.97,"⚠️-3%注意",IF(H84&lt;=F84*0.96,"🟡STOP推奨","保持継続"))))))))</f>
        <v/>
      </c>
      <c r="P84" s="113">
        <f t="array" ref="P84">IF(B84="","",IFERROR(MAX(OFFSET(高値!$E$6,MATCH(TEXT(B84,"0"),TEXT(銘柄管理!$B$6:$B$305,"0"),0)-1,0,1,10)),""))</f>
        <v/>
      </c>
      <c r="Q84" s="113">
        <f t="array" ref="Q84">IF(B84="","",IFERROR(MIN(OFFSET(安値!$E$6,MATCH(TEXT(B84,"0"),TEXT(銘柄管理!$B$6:$B$305,"0"),0)-1,0,1,10)),""))</f>
        <v/>
      </c>
      <c r="R84" s="113">
        <f>IF(P84="","",ROUND(P84*0.97,0))</f>
        <v/>
      </c>
      <c r="S84" s="461">
        <f>IF(B84="","",IF(T84&lt;&gt;"","?売却済",IF(H84="","?保有中",IF(H84&gt;=M84,"??利確推奨",IF(H84&lt;=N84,"??損切推奨",IF(H84&lt;=R84,"??STOP推奨","?保有中"))))))</f>
        <v/>
      </c>
      <c r="T84" s="111" t="n"/>
      <c r="U84" s="111" t="n"/>
      <c r="V84" s="113">
        <f>IF(OR(F84="",G84="",U84=""),"",(U84-F84)*G84)</f>
        <v/>
      </c>
      <c r="W84" s="699">
        <f>IF(OR(E84="",B84=""),"",IF(T84&lt;&gt;"",T84-E84,TODAY()-E84))</f>
        <v/>
      </c>
      <c r="X84" s="111" t="n"/>
    </row>
    <row r="85" ht="17.25" customHeight="1" s="574">
      <c r="A85" s="408">
        <f>HYPERLINK("https://kabutan.jp/stock/?code="&amp;TEXT(B85,"0000"),"株探")</f>
        <v/>
      </c>
      <c r="B85" s="111" t="n"/>
      <c r="C85" s="111" t="n"/>
      <c r="D85" s="111" t="n"/>
      <c r="E85" s="698" t="n"/>
      <c r="F85" s="426" t="n"/>
      <c r="G85" s="111" t="n"/>
      <c r="H85" s="113">
        <f>_xll.RssMarket("d7","現在値")</f>
        <v/>
      </c>
      <c r="I85" s="113">
        <f t="array" ref="I85">_xll.RssMarket(B85, "出来高加重平均")</f>
        <v/>
      </c>
      <c r="J85" s="113">
        <f t="array" ref="J85">_xll.RssMarket(B85, "前日比")</f>
        <v/>
      </c>
      <c r="K85" s="113">
        <f>IF(OR(F85="",G85="",H85=""),"",(H85-F85)*G85)</f>
        <v/>
      </c>
      <c r="L85" s="114">
        <f>IF(OR(F85="",H85=""),"",(H85-F85)/F85)</f>
        <v/>
      </c>
      <c r="M85" s="113">
        <f>IF(F85="","",F85*1.07)</f>
        <v/>
      </c>
      <c r="N85" s="113">
        <f>IF(F85="","",F85*0.96)</f>
        <v/>
      </c>
      <c r="O85" s="113">
        <f>IF(B85="","",IF(H85="","保有中",IF(H85&gt;=M85,"🟢利確推奨",IF(H85&gt;=F85*1.06,"🟡利確&amp;TR STOP検討",IF(H85&lt;=N85,"🔴損切推奨",IF(H85&lt;=F85*0.965,"🔴損切間近",IF(H85&lt;=F85*0.97,"⚠️-3%注意",IF(H85&lt;=F85*0.96,"🟡STOP推奨","保持継続"))))))))</f>
        <v/>
      </c>
      <c r="P85" s="113">
        <f t="array" ref="P85">IF(B85="","",IFERROR(MAX(OFFSET(高値!$E$6,MATCH(TEXT(B85,"0"),TEXT(銘柄管理!$B$6:$B$305,"0"),0)-1,0,1,10)),""))</f>
        <v/>
      </c>
      <c r="Q85" s="113">
        <f t="array" ref="Q85">IF(B85="","",IFERROR(MIN(OFFSET(安値!$E$6,MATCH(TEXT(B85,"0"),TEXT(銘柄管理!$B$6:$B$305,"0"),0)-1,0,1,10)),""))</f>
        <v/>
      </c>
      <c r="R85" s="113">
        <f>IF(P85="","",ROUND(P85*0.97,0))</f>
        <v/>
      </c>
      <c r="S85" s="461">
        <f>IF(B85="","",IF(T85&lt;&gt;"","?売却済",IF(H85="","?保有中",IF(H85&gt;=M85,"??利確推奨",IF(H85&lt;=N85,"??損切推奨",IF(H85&lt;=R85,"??STOP推奨","?保有中"))))))</f>
        <v/>
      </c>
      <c r="T85" s="111" t="n"/>
      <c r="U85" s="111" t="n"/>
      <c r="V85" s="113">
        <f>IF(OR(F85="",G85="",U85=""),"",(U85-F85)*G85)</f>
        <v/>
      </c>
      <c r="W85" s="699">
        <f>IF(OR(E85="",B85=""),"",IF(T85&lt;&gt;"",T85-E85,TODAY()-E85))</f>
        <v/>
      </c>
      <c r="X85" s="111" t="n"/>
    </row>
    <row r="86" ht="17.25" customHeight="1" s="574">
      <c r="A86" s="408">
        <f>HYPERLINK("https://kabutan.jp/stock/?code="&amp;TEXT(B86,"0000"),"株探")</f>
        <v/>
      </c>
      <c r="B86" s="111" t="n"/>
      <c r="C86" s="111" t="n"/>
      <c r="D86" s="111" t="n"/>
      <c r="E86" s="698" t="n"/>
      <c r="F86" s="426" t="n"/>
      <c r="G86" s="111" t="n"/>
      <c r="H86" s="113">
        <f>_xll.RssMarket("d7","現在値")</f>
        <v/>
      </c>
      <c r="I86" s="113">
        <f t="array" ref="I86">_xll.RssMarket(B86, "出来高加重平均")</f>
        <v/>
      </c>
      <c r="J86" s="113">
        <f t="array" ref="J86">_xll.RssMarket(B86, "前日比")</f>
        <v/>
      </c>
      <c r="K86" s="113">
        <f>IF(OR(F86="",G86="",H86=""),"",(H86-F86)*G86)</f>
        <v/>
      </c>
      <c r="L86" s="114">
        <f>IF(OR(F86="",H86=""),"",(H86-F86)/F86)</f>
        <v/>
      </c>
      <c r="M86" s="113">
        <f>IF(F86="","",F86*1.07)</f>
        <v/>
      </c>
      <c r="N86" s="113">
        <f>IF(F86="","",F86*0.96)</f>
        <v/>
      </c>
      <c r="O86" s="113">
        <f>IF(B86="","",IF(H86="","保有中",IF(H86&gt;=M86,"🟢利確推奨",IF(H86&gt;=F86*1.06,"🟡利確&amp;TR STOP検討",IF(H86&lt;=N86,"🔴損切推奨",IF(H86&lt;=F86*0.965,"🔴損切間近",IF(H86&lt;=F86*0.97,"⚠️-3%注意",IF(H86&lt;=F86*0.96,"🟡STOP推奨","保持継続"))))))))</f>
        <v/>
      </c>
      <c r="P86" s="113">
        <f t="array" ref="P86">IF(B86="","",IFERROR(MAX(OFFSET(高値!$E$6,MATCH(TEXT(B86,"0"),TEXT(銘柄管理!$B$6:$B$305,"0"),0)-1,0,1,10)),""))</f>
        <v/>
      </c>
      <c r="Q86" s="113">
        <f t="array" ref="Q86">IF(B86="","",IFERROR(MIN(OFFSET(安値!$E$6,MATCH(TEXT(B86,"0"),TEXT(銘柄管理!$B$6:$B$305,"0"),0)-1,0,1,10)),""))</f>
        <v/>
      </c>
      <c r="R86" s="113">
        <f>IF(P86="","",ROUND(P86*0.97,0))</f>
        <v/>
      </c>
      <c r="S86" s="461">
        <f>IF(B86="","",IF(T86&lt;&gt;"","?売却済",IF(H86="","?保有中",IF(H86&gt;=M86,"??利確推奨",IF(H86&lt;=N86,"??損切推奨",IF(H86&lt;=R86,"??STOP推奨","?保有中"))))))</f>
        <v/>
      </c>
      <c r="T86" s="111" t="n"/>
      <c r="U86" s="111" t="n"/>
      <c r="V86" s="113">
        <f>IF(OR(F86="",G86="",U86=""),"",(U86-F86)*G86)</f>
        <v/>
      </c>
      <c r="W86" s="699">
        <f>IF(OR(E86="",B86=""),"",IF(T86&lt;&gt;"",T86-E86,TODAY()-E86))</f>
        <v/>
      </c>
      <c r="X86" s="111" t="n"/>
    </row>
    <row r="87" ht="17.25" customHeight="1" s="574">
      <c r="A87" s="408">
        <f>HYPERLINK("https://kabutan.jp/stock/?code="&amp;TEXT(B87,"0000"),"株探")</f>
        <v/>
      </c>
      <c r="B87" s="111" t="n"/>
      <c r="C87" s="111" t="n"/>
      <c r="D87" s="111" t="n"/>
      <c r="E87" s="698" t="n"/>
      <c r="F87" s="426" t="n"/>
      <c r="G87" s="111" t="n"/>
      <c r="H87" s="113">
        <f>_xll.RssMarket("d7","現在値")</f>
        <v/>
      </c>
      <c r="I87" s="113">
        <f t="array" ref="I87">_xll.RssMarket(B87, "出来高加重平均")</f>
        <v/>
      </c>
      <c r="J87" s="113">
        <f t="array" ref="J87">_xll.RssMarket(B87, "前日比")</f>
        <v/>
      </c>
      <c r="K87" s="113">
        <f>IF(OR(F87="",G87="",H87=""),"",(H87-F87)*G87)</f>
        <v/>
      </c>
      <c r="L87" s="114">
        <f>IF(OR(F87="",H87=""),"",(H87-F87)/F87)</f>
        <v/>
      </c>
      <c r="M87" s="113">
        <f>IF(F87="","",F87*1.07)</f>
        <v/>
      </c>
      <c r="N87" s="113">
        <f>IF(F87="","",F87*0.96)</f>
        <v/>
      </c>
      <c r="O87" s="113">
        <f>IF(B87="","",IF(H87="","保有中",IF(H87&gt;=M87,"🟢利確推奨",IF(H87&gt;=F87*1.06,"🟡利確&amp;TR STOP検討",IF(H87&lt;=N87,"🔴損切推奨",IF(H87&lt;=F87*0.965,"🔴損切間近",IF(H87&lt;=F87*0.97,"⚠️-3%注意",IF(H87&lt;=F87*0.96,"🟡STOP推奨","保持継続"))))))))</f>
        <v/>
      </c>
      <c r="P87" s="113">
        <f t="array" ref="P87">IF(B87="","",IFERROR(MAX(OFFSET(高値!$E$6,MATCH(TEXT(B87,"0"),TEXT(銘柄管理!$B$6:$B$305,"0"),0)-1,0,1,10)),""))</f>
        <v/>
      </c>
      <c r="Q87" s="113">
        <f t="array" ref="Q87">IF(B87="","",IFERROR(MIN(OFFSET(安値!$E$6,MATCH(TEXT(B87,"0"),TEXT(銘柄管理!$B$6:$B$305,"0"),0)-1,0,1,10)),""))</f>
        <v/>
      </c>
      <c r="R87" s="113">
        <f>IF(P87="","",ROUND(P87*0.97,0))</f>
        <v/>
      </c>
      <c r="S87" s="461">
        <f>IF(B87="","",IF(T87&lt;&gt;"","?売却済",IF(H87="","?保有中",IF(H87&gt;=M87,"??利確推奨",IF(H87&lt;=N87,"??損切推奨",IF(H87&lt;=R87,"??STOP推奨","?保有中"))))))</f>
        <v/>
      </c>
      <c r="T87" s="111" t="n"/>
      <c r="U87" s="111" t="n"/>
      <c r="V87" s="113">
        <f>IF(OR(F87="",G87="",U87=""),"",(U87-F87)*G87)</f>
        <v/>
      </c>
      <c r="W87" s="699">
        <f>IF(OR(E87="",B87=""),"",IF(T87&lt;&gt;"",T87-E87,TODAY()-E87))</f>
        <v/>
      </c>
      <c r="X87" s="111" t="n"/>
    </row>
    <row r="88" ht="17.25" customHeight="1" s="574">
      <c r="A88" s="408">
        <f>HYPERLINK("https://kabutan.jp/stock/?code="&amp;TEXT(B88,"0000"),"株探")</f>
        <v/>
      </c>
      <c r="B88" s="111" t="n"/>
      <c r="C88" s="111" t="n"/>
      <c r="D88" s="111" t="n"/>
      <c r="E88" s="698" t="n"/>
      <c r="F88" s="426" t="n"/>
      <c r="G88" s="111" t="n"/>
      <c r="H88" s="113">
        <f>_xll.RssMarket("d7","現在値")</f>
        <v/>
      </c>
      <c r="I88" s="113">
        <f t="array" ref="I88">_xll.RssMarket(B88, "出来高加重平均")</f>
        <v/>
      </c>
      <c r="J88" s="113">
        <f t="array" ref="J88">_xll.RssMarket(B88, "前日比")</f>
        <v/>
      </c>
      <c r="K88" s="113">
        <f>IF(OR(F88="",G88="",H88=""),"",(H88-F88)*G88)</f>
        <v/>
      </c>
      <c r="L88" s="114">
        <f>IF(OR(F88="",H88=""),"",(H88-F88)/F88)</f>
        <v/>
      </c>
      <c r="M88" s="113">
        <f>IF(F88="","",F88*1.07)</f>
        <v/>
      </c>
      <c r="N88" s="113">
        <f>IF(F88="","",F88*0.96)</f>
        <v/>
      </c>
      <c r="O88" s="113">
        <f>IF(B88="","",IF(H88="","保有中",IF(H88&gt;=M88,"🟢利確推奨",IF(H88&gt;=F88*1.06,"🟡利確&amp;TR STOP検討",IF(H88&lt;=N88,"🔴損切推奨",IF(H88&lt;=F88*0.965,"🔴損切間近",IF(H88&lt;=F88*0.97,"⚠️-3%注意",IF(H88&lt;=F88*0.96,"🟡STOP推奨","保持継続"))))))))</f>
        <v/>
      </c>
      <c r="P88" s="113">
        <f t="array" ref="P88">IF(B88="","",IFERROR(MAX(OFFSET(高値!$E$6,MATCH(TEXT(B88,"0"),TEXT(銘柄管理!$B$6:$B$305,"0"),0)-1,0,1,10)),""))</f>
        <v/>
      </c>
      <c r="Q88" s="113">
        <f t="array" ref="Q88">IF(B88="","",IFERROR(MIN(OFFSET(安値!$E$6,MATCH(TEXT(B88,"0"),TEXT(銘柄管理!$B$6:$B$305,"0"),0)-1,0,1,10)),""))</f>
        <v/>
      </c>
      <c r="R88" s="113">
        <f>IF(P88="","",ROUND(P88*0.97,0))</f>
        <v/>
      </c>
      <c r="S88" s="461">
        <f>IF(B88="","",IF(T88&lt;&gt;"","?売却済",IF(H88="","?保有中",IF(H88&gt;=M88,"??利確推奨",IF(H88&lt;=N88,"??損切推奨",IF(H88&lt;=R88,"??STOP推奨","?保有中"))))))</f>
        <v/>
      </c>
      <c r="T88" s="111" t="n"/>
      <c r="U88" s="111" t="n"/>
      <c r="V88" s="113">
        <f>IF(OR(F88="",G88="",U88=""),"",(U88-F88)*G88)</f>
        <v/>
      </c>
      <c r="W88" s="699">
        <f>IF(OR(E88="",B88=""),"",IF(T88&lt;&gt;"",T88-E88,TODAY()-E88))</f>
        <v/>
      </c>
      <c r="X88" s="111" t="n"/>
    </row>
    <row r="89" ht="17.25" customHeight="1" s="574">
      <c r="A89" s="408">
        <f>HYPERLINK("https://kabutan.jp/stock/?code="&amp;TEXT(B89,"0000"),"株探")</f>
        <v/>
      </c>
      <c r="B89" s="111" t="n"/>
      <c r="C89" s="111" t="n"/>
      <c r="D89" s="111" t="n"/>
      <c r="E89" s="698" t="n"/>
      <c r="F89" s="426" t="n"/>
      <c r="G89" s="111" t="n"/>
      <c r="H89" s="113">
        <f>_xll.RssMarket("d7","現在値")</f>
        <v/>
      </c>
      <c r="I89" s="113">
        <f t="array" ref="I89">_xll.RssMarket(B89, "出来高加重平均")</f>
        <v/>
      </c>
      <c r="J89" s="113">
        <f t="array" ref="J89">_xll.RssMarket(B89, "前日比")</f>
        <v/>
      </c>
      <c r="K89" s="113">
        <f>IF(OR(F89="",G89="",H89=""),"",(H89-F89)*G89)</f>
        <v/>
      </c>
      <c r="L89" s="114">
        <f>IF(OR(F89="",H89=""),"",(H89-F89)/F89)</f>
        <v/>
      </c>
      <c r="M89" s="113">
        <f>IF(F89="","",F89*1.07)</f>
        <v/>
      </c>
      <c r="N89" s="113">
        <f>IF(F89="","",F89*0.96)</f>
        <v/>
      </c>
      <c r="O89" s="113">
        <f>IF(B89="","",IF(H89="","保有中",IF(H89&gt;=M89,"🟢利確推奨",IF(H89&gt;=F89*1.06,"🟡利確&amp;TR STOP検討",IF(H89&lt;=N89,"🔴損切推奨",IF(H89&lt;=F89*0.965,"🔴損切間近",IF(H89&lt;=F89*0.97,"⚠️-3%注意",IF(H89&lt;=F89*0.96,"🟡STOP推奨","保持継続"))))))))</f>
        <v/>
      </c>
      <c r="P89" s="113">
        <f t="array" ref="P89">IF(B89="","",IFERROR(MAX(OFFSET(高値!$E$6,MATCH(TEXT(B89,"0"),TEXT(銘柄管理!$B$6:$B$305,"0"),0)-1,0,1,10)),""))</f>
        <v/>
      </c>
      <c r="Q89" s="113">
        <f t="array" ref="Q89">IF(B89="","",IFERROR(MIN(OFFSET(安値!$E$6,MATCH(TEXT(B89,"0"),TEXT(銘柄管理!$B$6:$B$305,"0"),0)-1,0,1,10)),""))</f>
        <v/>
      </c>
      <c r="R89" s="113">
        <f>IF(P89="","",ROUND(P89*0.97,0))</f>
        <v/>
      </c>
      <c r="S89" s="461">
        <f>IF(B89="","",IF(T89&lt;&gt;"","?売却済",IF(H89="","?保有中",IF(H89&gt;=M89,"??利確推奨",IF(H89&lt;=N89,"??損切推奨",IF(H89&lt;=R89,"??STOP推奨","?保有中"))))))</f>
        <v/>
      </c>
      <c r="T89" s="111" t="n"/>
      <c r="U89" s="111" t="n"/>
      <c r="V89" s="113">
        <f>IF(OR(F89="",G89="",U89=""),"",(U89-F89)*G89)</f>
        <v/>
      </c>
      <c r="W89" s="699">
        <f>IF(OR(E89="",B89=""),"",IF(T89&lt;&gt;"",T89-E89,TODAY()-E89))</f>
        <v/>
      </c>
      <c r="X89" s="111" t="n"/>
    </row>
    <row r="90" ht="17.25" customHeight="1" s="574">
      <c r="A90" s="408">
        <f>HYPERLINK("https://kabutan.jp/stock/?code="&amp;TEXT(B90,"0000"),"株探")</f>
        <v/>
      </c>
      <c r="B90" s="111" t="n"/>
      <c r="C90" s="111" t="n"/>
      <c r="D90" s="111" t="n"/>
      <c r="E90" s="698" t="n"/>
      <c r="F90" s="426" t="n"/>
      <c r="G90" s="111" t="n"/>
      <c r="H90" s="113">
        <f>_xll.RssMarket("d7","現在値")</f>
        <v/>
      </c>
      <c r="I90" s="113">
        <f t="array" ref="I90">_xll.RssMarket(B90, "出来高加重平均")</f>
        <v/>
      </c>
      <c r="J90" s="113">
        <f t="array" ref="J90">_xll.RssMarket(B90, "前日比")</f>
        <v/>
      </c>
      <c r="K90" s="113">
        <f>IF(OR(F90="",G90="",H90=""),"",(H90-F90)*G90)</f>
        <v/>
      </c>
      <c r="L90" s="114">
        <f>IF(OR(F90="",H90=""),"",(H90-F90)/F90)</f>
        <v/>
      </c>
      <c r="M90" s="113">
        <f>IF(F90="","",F90*1.07)</f>
        <v/>
      </c>
      <c r="N90" s="113">
        <f>IF(F90="","",F90*0.96)</f>
        <v/>
      </c>
      <c r="O90" s="113">
        <f>IF(B90="","",IF(H90="","保有中",IF(H90&gt;=M90,"🟢利確推奨",IF(H90&gt;=F90*1.06,"🟡利確&amp;TR STOP検討",IF(H90&lt;=N90,"🔴損切推奨",IF(H90&lt;=F90*0.965,"🔴損切間近",IF(H90&lt;=F90*0.97,"⚠️-3%注意",IF(H90&lt;=F90*0.96,"🟡STOP推奨","保持継続"))))))))</f>
        <v/>
      </c>
      <c r="P90" s="113">
        <f t="array" ref="P90">IF(B90="","",IFERROR(MAX(OFFSET(高値!$E$6,MATCH(TEXT(B90,"0"),TEXT(銘柄管理!$B$6:$B$305,"0"),0)-1,0,1,10)),""))</f>
        <v/>
      </c>
      <c r="Q90" s="113">
        <f t="array" ref="Q90">IF(B90="","",IFERROR(MIN(OFFSET(安値!$E$6,MATCH(TEXT(B90,"0"),TEXT(銘柄管理!$B$6:$B$305,"0"),0)-1,0,1,10)),""))</f>
        <v/>
      </c>
      <c r="R90" s="113">
        <f>IF(P90="","",ROUND(P90*0.97,0))</f>
        <v/>
      </c>
      <c r="S90" s="461">
        <f>IF(B90="","",IF(T90&lt;&gt;"","?売却済",IF(H90="","?保有中",IF(H90&gt;=M90,"??利確推奨",IF(H90&lt;=N90,"??損切推奨",IF(H90&lt;=R90,"??STOP推奨","?保有中"))))))</f>
        <v/>
      </c>
      <c r="T90" s="111" t="n"/>
      <c r="U90" s="111" t="n"/>
      <c r="V90" s="113">
        <f>IF(OR(F90="",G90="",U90=""),"",(U90-F90)*G90)</f>
        <v/>
      </c>
      <c r="W90" s="699">
        <f>IF(OR(E90="",B90=""),"",IF(T90&lt;&gt;"",T90-E90,TODAY()-E90))</f>
        <v/>
      </c>
      <c r="X90" s="111" t="n"/>
    </row>
    <row r="91" ht="17.25" customHeight="1" s="574">
      <c r="A91" s="408">
        <f>HYPERLINK("https://kabutan.jp/stock/?code="&amp;TEXT(B91,"0000"),"株探")</f>
        <v/>
      </c>
      <c r="B91" s="111" t="n"/>
      <c r="C91" s="111" t="n"/>
      <c r="D91" s="111" t="n"/>
      <c r="E91" s="698" t="n"/>
      <c r="F91" s="426" t="n"/>
      <c r="G91" s="111" t="n"/>
      <c r="H91" s="113">
        <f>_xll.RssMarket("d7","現在値")</f>
        <v/>
      </c>
      <c r="I91" s="113">
        <f t="array" ref="I91">_xll.RssMarket(B91, "出来高加重平均")</f>
        <v/>
      </c>
      <c r="J91" s="113">
        <f t="array" ref="J91">_xll.RssMarket(B91, "前日比")</f>
        <v/>
      </c>
      <c r="K91" s="113">
        <f>IF(OR(F91="",G91="",H91=""),"",(H91-F91)*G91)</f>
        <v/>
      </c>
      <c r="L91" s="114">
        <f>IF(OR(F91="",H91=""),"",(H91-F91)/F91)</f>
        <v/>
      </c>
      <c r="M91" s="113">
        <f>IF(F91="","",F91*1.07)</f>
        <v/>
      </c>
      <c r="N91" s="113">
        <f>IF(F91="","",F91*0.96)</f>
        <v/>
      </c>
      <c r="O91" s="113">
        <f>IF(B91="","",IF(H91="","保有中",IF(H91&gt;=M91,"🟢利確推奨",IF(H91&gt;=F91*1.06,"🟡利確&amp;TR STOP検討",IF(H91&lt;=N91,"🔴損切推奨",IF(H91&lt;=F91*0.965,"🔴損切間近",IF(H91&lt;=F91*0.97,"⚠️-3%注意",IF(H91&lt;=F91*0.96,"🟡STOP推奨","保持継続"))))))))</f>
        <v/>
      </c>
      <c r="P91" s="113">
        <f t="array" ref="P91">IF(B91="","",IFERROR(MAX(OFFSET(高値!$E$6,MATCH(TEXT(B91,"0"),TEXT(銘柄管理!$B$6:$B$305,"0"),0)-1,0,1,10)),""))</f>
        <v/>
      </c>
      <c r="Q91" s="113">
        <f t="array" ref="Q91">IF(B91="","",IFERROR(MIN(OFFSET(安値!$E$6,MATCH(TEXT(B91,"0"),TEXT(銘柄管理!$B$6:$B$305,"0"),0)-1,0,1,10)),""))</f>
        <v/>
      </c>
      <c r="R91" s="113">
        <f>IF(P91="","",ROUND(P91*0.97,0))</f>
        <v/>
      </c>
      <c r="S91" s="461">
        <f>IF(B91="","",IF(T91&lt;&gt;"","?売却済",IF(H91="","?保有中",IF(H91&gt;=M91,"??利確推奨",IF(H91&lt;=N91,"??損切推奨",IF(H91&lt;=R91,"??STOP推奨","?保有中"))))))</f>
        <v/>
      </c>
      <c r="T91" s="111" t="n"/>
      <c r="U91" s="111" t="n"/>
      <c r="V91" s="113">
        <f>IF(OR(F91="",G91="",U91=""),"",(U91-F91)*G91)</f>
        <v/>
      </c>
      <c r="W91" s="699">
        <f>IF(OR(E91="",B91=""),"",IF(T91&lt;&gt;"",T91-E91,TODAY()-E91))</f>
        <v/>
      </c>
      <c r="X91" s="111" t="n"/>
    </row>
    <row r="92" ht="17.25" customHeight="1" s="574">
      <c r="A92" s="408">
        <f>HYPERLINK("https://kabutan.jp/stock/?code="&amp;TEXT(B92,"0000"),"株探")</f>
        <v/>
      </c>
      <c r="B92" s="111" t="n"/>
      <c r="C92" s="111" t="n"/>
      <c r="D92" s="111" t="n"/>
      <c r="E92" s="698" t="n"/>
      <c r="F92" s="426" t="n"/>
      <c r="G92" s="111" t="n"/>
      <c r="H92" s="113">
        <f>_xll.RssMarket("d7","現在値")</f>
        <v/>
      </c>
      <c r="I92" s="113">
        <f t="array" ref="I92">_xll.RssMarket(B92, "出来高加重平均")</f>
        <v/>
      </c>
      <c r="J92" s="113">
        <f t="array" ref="J92">_xll.RssMarket(B92, "前日比")</f>
        <v/>
      </c>
      <c r="K92" s="113">
        <f>IF(OR(F92="",G92="",H92=""),"",(H92-F92)*G92)</f>
        <v/>
      </c>
      <c r="L92" s="114">
        <f>IF(OR(F92="",H92=""),"",(H92-F92)/F92)</f>
        <v/>
      </c>
      <c r="M92" s="113">
        <f>IF(F92="","",F92*1.07)</f>
        <v/>
      </c>
      <c r="N92" s="113">
        <f>IF(F92="","",F92*0.96)</f>
        <v/>
      </c>
      <c r="O92" s="113">
        <f>IF(B92="","",IF(H92="","保有中",IF(H92&gt;=M92,"🟢利確推奨",IF(H92&gt;=F92*1.06,"🟡利確&amp;TR STOP検討",IF(H92&lt;=N92,"🔴損切推奨",IF(H92&lt;=F92*0.965,"🔴損切間近",IF(H92&lt;=F92*0.97,"⚠️-3%注意",IF(H92&lt;=F92*0.96,"🟡STOP推奨","保持継続"))))))))</f>
        <v/>
      </c>
      <c r="P92" s="113">
        <f t="array" ref="P92">IF(B92="","",IFERROR(MAX(OFFSET(高値!$E$6,MATCH(TEXT(B92,"0"),TEXT(銘柄管理!$B$6:$B$305,"0"),0)-1,0,1,10)),""))</f>
        <v/>
      </c>
      <c r="Q92" s="113">
        <f t="array" ref="Q92">IF(B92="","",IFERROR(MIN(OFFSET(安値!$E$6,MATCH(TEXT(B92,"0"),TEXT(銘柄管理!$B$6:$B$305,"0"),0)-1,0,1,10)),""))</f>
        <v/>
      </c>
      <c r="R92" s="113">
        <f>IF(P92="","",ROUND(P92*0.97,0))</f>
        <v/>
      </c>
      <c r="S92" s="461">
        <f>IF(B92="","",IF(T92&lt;&gt;"","?売却済",IF(H92="","?保有中",IF(H92&gt;=M92,"??利確推奨",IF(H92&lt;=N92,"??損切推奨",IF(H92&lt;=R92,"??STOP推奨","?保有中"))))))</f>
        <v/>
      </c>
      <c r="T92" s="111" t="n"/>
      <c r="U92" s="111" t="n"/>
      <c r="V92" s="113">
        <f>IF(OR(F92="",G92="",U92=""),"",(U92-F92)*G92)</f>
        <v/>
      </c>
      <c r="W92" s="699">
        <f>IF(OR(E92="",B92=""),"",IF(T92&lt;&gt;"",T92-E92,TODAY()-E92))</f>
        <v/>
      </c>
      <c r="X92" s="111" t="n"/>
    </row>
    <row r="93" ht="17.25" customHeight="1" s="574">
      <c r="A93" s="408">
        <f>HYPERLINK("https://kabutan.jp/stock/?code="&amp;TEXT(B93,"0000"),"株探")</f>
        <v/>
      </c>
      <c r="B93" s="111" t="n"/>
      <c r="C93" s="111" t="n"/>
      <c r="D93" s="111" t="n"/>
      <c r="E93" s="698" t="n"/>
      <c r="F93" s="426" t="n"/>
      <c r="G93" s="111" t="n"/>
      <c r="H93" s="113">
        <f>_xll.RssMarket("d7","現在値")</f>
        <v/>
      </c>
      <c r="I93" s="113">
        <f t="array" ref="I93">_xll.RssMarket(B93, "出来高加重平均")</f>
        <v/>
      </c>
      <c r="J93" s="113">
        <f t="array" ref="J93">_xll.RssMarket(B93, "前日比")</f>
        <v/>
      </c>
      <c r="K93" s="113">
        <f>IF(OR(F93="",G93="",H93=""),"",(H93-F93)*G93)</f>
        <v/>
      </c>
      <c r="L93" s="114">
        <f>IF(OR(F93="",H93=""),"",(H93-F93)/F93)</f>
        <v/>
      </c>
      <c r="M93" s="113">
        <f>IF(F93="","",F93*1.07)</f>
        <v/>
      </c>
      <c r="N93" s="113">
        <f>IF(F93="","",F93*0.96)</f>
        <v/>
      </c>
      <c r="O93" s="113">
        <f>IF(B93="","",IF(H93="","保有中",IF(H93&gt;=M93,"🟢利確推奨",IF(H93&gt;=F93*1.06,"🟡利確&amp;TR STOP検討",IF(H93&lt;=N93,"🔴損切推奨",IF(H93&lt;=F93*0.965,"🔴損切間近",IF(H93&lt;=F93*0.97,"⚠️-3%注意",IF(H93&lt;=F93*0.96,"🟡STOP推奨","保持継続"))))))))</f>
        <v/>
      </c>
      <c r="P93" s="113">
        <f t="array" ref="P93">IF(B93="","",IFERROR(MAX(OFFSET(高値!$E$6,MATCH(TEXT(B93,"0"),TEXT(銘柄管理!$B$6:$B$305,"0"),0)-1,0,1,10)),""))</f>
        <v/>
      </c>
      <c r="Q93" s="113">
        <f t="array" ref="Q93">IF(B93="","",IFERROR(MIN(OFFSET(安値!$E$6,MATCH(TEXT(B93,"0"),TEXT(銘柄管理!$B$6:$B$305,"0"),0)-1,0,1,10)),""))</f>
        <v/>
      </c>
      <c r="R93" s="113">
        <f>IF(P93="","",ROUND(P93*0.97,0))</f>
        <v/>
      </c>
      <c r="S93" s="461">
        <f>IF(B93="","",IF(T93&lt;&gt;"","?売却済",IF(H93="","?保有中",IF(H93&gt;=M93,"??利確推奨",IF(H93&lt;=N93,"??損切推奨",IF(H93&lt;=R93,"??STOP推奨","?保有中"))))))</f>
        <v/>
      </c>
      <c r="T93" s="111" t="n"/>
      <c r="U93" s="111" t="n"/>
      <c r="V93" s="113">
        <f>IF(OR(F93="",G93="",U93=""),"",(U93-F93)*G93)</f>
        <v/>
      </c>
      <c r="W93" s="699">
        <f>IF(OR(E93="",B93=""),"",IF(T93&lt;&gt;"",T93-E93,TODAY()-E93))</f>
        <v/>
      </c>
      <c r="X93" s="111" t="n"/>
    </row>
    <row r="94" ht="17.25" customHeight="1" s="574">
      <c r="A94" s="408">
        <f>HYPERLINK("https://kabutan.jp/stock/?code="&amp;TEXT(B94,"0000"),"株探")</f>
        <v/>
      </c>
      <c r="B94" s="111" t="n"/>
      <c r="C94" s="111" t="n"/>
      <c r="D94" s="111" t="n"/>
      <c r="E94" s="698" t="n"/>
      <c r="F94" s="426" t="n"/>
      <c r="G94" s="111" t="n"/>
      <c r="H94" s="113">
        <f>_xll.RssMarket("d7","現在値")</f>
        <v/>
      </c>
      <c r="I94" s="113">
        <f t="array" ref="I94">_xll.RssMarket(B94, "出来高加重平均")</f>
        <v/>
      </c>
      <c r="J94" s="113">
        <f t="array" ref="J94">_xll.RssMarket(B94, "前日比")</f>
        <v/>
      </c>
      <c r="K94" s="113">
        <f>IF(OR(F94="",G94="",H94=""),"",(H94-F94)*G94)</f>
        <v/>
      </c>
      <c r="L94" s="114">
        <f>IF(OR(F94="",H94=""),"",(H94-F94)/F94)</f>
        <v/>
      </c>
      <c r="M94" s="113">
        <f>IF(F94="","",F94*1.07)</f>
        <v/>
      </c>
      <c r="N94" s="113">
        <f>IF(F94="","",F94*0.96)</f>
        <v/>
      </c>
      <c r="O94" s="113">
        <f>IF(B94="","",IF(H94="","保有中",IF(H94&gt;=M94,"🟢利確推奨",IF(H94&gt;=F94*1.06,"🟡利確&amp;TR STOP検討",IF(H94&lt;=N94,"🔴損切推奨",IF(H94&lt;=F94*0.965,"🔴損切間近",IF(H94&lt;=F94*0.97,"⚠️-3%注意",IF(H94&lt;=F94*0.96,"🟡STOP推奨","保持継続"))))))))</f>
        <v/>
      </c>
      <c r="P94" s="113">
        <f t="array" ref="P94">IF(B94="","",IFERROR(MAX(OFFSET(高値!$E$6,MATCH(TEXT(B94,"0"),TEXT(銘柄管理!$B$6:$B$305,"0"),0)-1,0,1,10)),""))</f>
        <v/>
      </c>
      <c r="Q94" s="113">
        <f t="array" ref="Q94">IF(B94="","",IFERROR(MIN(OFFSET(安値!$E$6,MATCH(TEXT(B94,"0"),TEXT(銘柄管理!$B$6:$B$305,"0"),0)-1,0,1,10)),""))</f>
        <v/>
      </c>
      <c r="R94" s="113">
        <f>IF(P94="","",ROUND(P94*0.97,0))</f>
        <v/>
      </c>
      <c r="S94" s="461">
        <f>IF(B94="","",IF(T94&lt;&gt;"","?売却済",IF(H94="","?保有中",IF(H94&gt;=M94,"??利確推奨",IF(H94&lt;=N94,"??損切推奨",IF(H94&lt;=R94,"??STOP推奨","?保有中"))))))</f>
        <v/>
      </c>
      <c r="T94" s="111" t="n"/>
      <c r="U94" s="111" t="n"/>
      <c r="V94" s="113">
        <f>IF(OR(F94="",G94="",U94=""),"",(U94-F94)*G94)</f>
        <v/>
      </c>
      <c r="W94" s="699">
        <f>IF(OR(E94="",B94=""),"",IF(T94&lt;&gt;"",T94-E94,TODAY()-E94))</f>
        <v/>
      </c>
      <c r="X94" s="111" t="n"/>
    </row>
    <row r="95" ht="17.25" customHeight="1" s="574">
      <c r="A95" s="408">
        <f>HYPERLINK("https://kabutan.jp/stock/?code="&amp;TEXT(B95,"0000"),"株探")</f>
        <v/>
      </c>
      <c r="B95" s="111" t="n"/>
      <c r="C95" s="111" t="n"/>
      <c r="D95" s="111" t="n"/>
      <c r="E95" s="698" t="n"/>
      <c r="F95" s="426" t="n"/>
      <c r="G95" s="111" t="n"/>
      <c r="H95" s="113">
        <f>_xll.RssMarket("d7","現在値")</f>
        <v/>
      </c>
      <c r="I95" s="113">
        <f t="array" ref="I95">_xll.RssMarket(B95, "出来高加重平均")</f>
        <v/>
      </c>
      <c r="J95" s="113">
        <f t="array" ref="J95">_xll.RssMarket(B95, "前日比")</f>
        <v/>
      </c>
      <c r="K95" s="113">
        <f>IF(OR(F95="",G95="",H95=""),"",(H95-F95)*G95)</f>
        <v/>
      </c>
      <c r="L95" s="114">
        <f>IF(OR(F95="",H95=""),"",(H95-F95)/F95)</f>
        <v/>
      </c>
      <c r="M95" s="113">
        <f>IF(F95="","",F95*1.07)</f>
        <v/>
      </c>
      <c r="N95" s="113">
        <f>IF(F95="","",F95*0.96)</f>
        <v/>
      </c>
      <c r="O95" s="113">
        <f>IF(B95="","",IF(H95="","保有中",IF(H95&gt;=M95,"🟢利確推奨",IF(H95&gt;=F95*1.06,"🟡利確&amp;TR STOP検討",IF(H95&lt;=N95,"🔴損切推奨",IF(H95&lt;=F95*0.965,"🔴損切間近",IF(H95&lt;=F95*0.97,"⚠️-3%注意",IF(H95&lt;=F95*0.96,"🟡STOP推奨","保持継続"))))))))</f>
        <v/>
      </c>
      <c r="P95" s="113">
        <f t="array" ref="P95">IF(B95="","",IFERROR(MAX(OFFSET(高値!$E$6,MATCH(TEXT(B95,"0"),TEXT(銘柄管理!$B$6:$B$305,"0"),0)-1,0,1,10)),""))</f>
        <v/>
      </c>
      <c r="Q95" s="113">
        <f t="array" ref="Q95">IF(B95="","",IFERROR(MIN(OFFSET(安値!$E$6,MATCH(TEXT(B95,"0"),TEXT(銘柄管理!$B$6:$B$305,"0"),0)-1,0,1,10)),""))</f>
        <v/>
      </c>
      <c r="R95" s="113">
        <f>IF(P95="","",ROUND(P95*0.97,0))</f>
        <v/>
      </c>
      <c r="S95" s="461">
        <f>IF(B95="","",IF(T95&lt;&gt;"","?売却済",IF(H95="","?保有中",IF(H95&gt;=M95,"??利確推奨",IF(H95&lt;=N95,"??損切推奨",IF(H95&lt;=R95,"??STOP推奨","?保有中"))))))</f>
        <v/>
      </c>
      <c r="T95" s="111" t="n"/>
      <c r="U95" s="111" t="n"/>
      <c r="V95" s="113">
        <f>IF(OR(F95="",G95="",U95=""),"",(U95-F95)*G95)</f>
        <v/>
      </c>
      <c r="W95" s="699">
        <f>IF(OR(E95="",B95=""),"",IF(T95&lt;&gt;"",T95-E95,TODAY()-E95))</f>
        <v/>
      </c>
      <c r="X95" s="111" t="n"/>
    </row>
    <row r="96" ht="17.25" customHeight="1" s="574">
      <c r="A96" s="408">
        <f>HYPERLINK("https://kabutan.jp/stock/?code="&amp;TEXT(B96,"0000"),"株探")</f>
        <v/>
      </c>
      <c r="B96" s="111" t="n"/>
      <c r="C96" s="111" t="n"/>
      <c r="D96" s="111" t="n"/>
      <c r="E96" s="698" t="n"/>
      <c r="F96" s="426" t="n"/>
      <c r="G96" s="111" t="n"/>
      <c r="H96" s="113">
        <f>_xll.RssMarket("d7","現在値")</f>
        <v/>
      </c>
      <c r="I96" s="113">
        <f t="array" ref="I96">_xll.RssMarket(B96, "出来高加重平均")</f>
        <v/>
      </c>
      <c r="J96" s="113">
        <f t="array" ref="J96">_xll.RssMarket(B96, "前日比")</f>
        <v/>
      </c>
      <c r="K96" s="113">
        <f>IF(OR(F96="",G96="",H96=""),"",(H96-F96)*G96)</f>
        <v/>
      </c>
      <c r="L96" s="114">
        <f>IF(OR(F96="",H96=""),"",(H96-F96)/F96)</f>
        <v/>
      </c>
      <c r="M96" s="113">
        <f>IF(F96="","",F96*1.07)</f>
        <v/>
      </c>
      <c r="N96" s="113">
        <f>IF(F96="","",F96*0.96)</f>
        <v/>
      </c>
      <c r="O96" s="113">
        <f>IF(B96="","",IF(H96="","保有中",IF(H96&gt;=M96,"🟢利確推奨",IF(H96&gt;=F96*1.06,"🟡利確&amp;TR STOP検討",IF(H96&lt;=N96,"🔴損切推奨",IF(H96&lt;=F96*0.965,"🔴損切間近",IF(H96&lt;=F96*0.97,"⚠️-3%注意",IF(H96&lt;=F96*0.96,"🟡STOP推奨","保持継続"))))))))</f>
        <v/>
      </c>
      <c r="P96" s="113">
        <f t="array" ref="P96">IF(B96="","",IFERROR(MAX(OFFSET(高値!$E$6,MATCH(TEXT(B96,"0"),TEXT(銘柄管理!$B$6:$B$305,"0"),0)-1,0,1,10)),""))</f>
        <v/>
      </c>
      <c r="Q96" s="113">
        <f t="array" ref="Q96">IF(B96="","",IFERROR(MIN(OFFSET(安値!$E$6,MATCH(TEXT(B96,"0"),TEXT(銘柄管理!$B$6:$B$305,"0"),0)-1,0,1,10)),""))</f>
        <v/>
      </c>
      <c r="R96" s="113">
        <f>IF(P96="","",ROUND(P96*0.97,0))</f>
        <v/>
      </c>
      <c r="S96" s="461">
        <f>IF(B96="","",IF(T96&lt;&gt;"","?売却済",IF(H96="","?保有中",IF(H96&gt;=M96,"??利確推奨",IF(H96&lt;=N96,"??損切推奨",IF(H96&lt;=R96,"??STOP推奨","?保有中"))))))</f>
        <v/>
      </c>
      <c r="T96" s="111" t="n"/>
      <c r="U96" s="111" t="n"/>
      <c r="V96" s="113">
        <f>IF(OR(F96="",G96="",U96=""),"",(U96-F96)*G96)</f>
        <v/>
      </c>
      <c r="W96" s="699">
        <f>IF(OR(E96="",B96=""),"",IF(T96&lt;&gt;"",T96-E96,TODAY()-E96))</f>
        <v/>
      </c>
      <c r="X96" s="111" t="n"/>
    </row>
    <row r="97" ht="17.25" customHeight="1" s="574">
      <c r="A97" s="408">
        <f>HYPERLINK("https://kabutan.jp/stock/?code="&amp;TEXT(B97,"0000"),"株探")</f>
        <v/>
      </c>
      <c r="B97" s="111" t="n"/>
      <c r="C97" s="111" t="n"/>
      <c r="D97" s="111" t="n"/>
      <c r="E97" s="698" t="n"/>
      <c r="F97" s="426" t="n"/>
      <c r="G97" s="111" t="n"/>
      <c r="H97" s="113">
        <f>_xll.RssMarket("d7","現在値")</f>
        <v/>
      </c>
      <c r="I97" s="113">
        <f t="array" ref="I97">_xll.RssMarket(B97, "出来高加重平均")</f>
        <v/>
      </c>
      <c r="J97" s="113">
        <f t="array" ref="J97">_xll.RssMarket(B97, "前日比")</f>
        <v/>
      </c>
      <c r="K97" s="113">
        <f>IF(OR(F97="",G97="",H97=""),"",(H97-F97)*G97)</f>
        <v/>
      </c>
      <c r="L97" s="114">
        <f>IF(OR(F97="",H97=""),"",(H97-F97)/F97)</f>
        <v/>
      </c>
      <c r="M97" s="113">
        <f>IF(F97="","",F97*1.07)</f>
        <v/>
      </c>
      <c r="N97" s="113">
        <f>IF(F97="","",F97*0.96)</f>
        <v/>
      </c>
      <c r="O97" s="113">
        <f>IF(B97="","",IF(H97="","保有中",IF(H97&gt;=M97,"🟢利確推奨",IF(H97&gt;=F97*1.06,"🟡利確&amp;TR STOP検討",IF(H97&lt;=N97,"🔴損切推奨",IF(H97&lt;=F97*0.965,"🔴損切間近",IF(H97&lt;=F97*0.97,"⚠️-3%注意",IF(H97&lt;=F97*0.96,"🟡STOP推奨","保持継続"))))))))</f>
        <v/>
      </c>
      <c r="P97" s="113">
        <f t="array" ref="P97">IF(B97="","",IFERROR(MAX(OFFSET(高値!$E$6,MATCH(TEXT(B97,"0"),TEXT(銘柄管理!$B$6:$B$305,"0"),0)-1,0,1,10)),""))</f>
        <v/>
      </c>
      <c r="Q97" s="113">
        <f t="array" ref="Q97">IF(B97="","",IFERROR(MIN(OFFSET(安値!$E$6,MATCH(TEXT(B97,"0"),TEXT(銘柄管理!$B$6:$B$305,"0"),0)-1,0,1,10)),""))</f>
        <v/>
      </c>
      <c r="R97" s="113">
        <f>IF(P97="","",ROUND(P97*0.97,0))</f>
        <v/>
      </c>
      <c r="S97" s="461">
        <f>IF(B97="","",IF(T97&lt;&gt;"","?売却済",IF(H97="","?保有中",IF(H97&gt;=M97,"??利確推奨",IF(H97&lt;=N97,"??損切推奨",IF(H97&lt;=R97,"??STOP推奨","?保有中"))))))</f>
        <v/>
      </c>
      <c r="T97" s="111" t="n"/>
      <c r="U97" s="111" t="n"/>
      <c r="V97" s="113">
        <f>IF(OR(F97="",G97="",U97=""),"",(U97-F97)*G97)</f>
        <v/>
      </c>
      <c r="W97" s="699">
        <f>IF(OR(E97="",B97=""),"",IF(T97&lt;&gt;"",T97-E97,TODAY()-E97))</f>
        <v/>
      </c>
      <c r="X97" s="111" t="n"/>
    </row>
    <row r="98" ht="17.25" customHeight="1" s="574">
      <c r="A98" s="408">
        <f>HYPERLINK("https://kabutan.jp/stock/?code="&amp;TEXT(B98,"0000"),"株探")</f>
        <v/>
      </c>
      <c r="B98" s="111" t="n"/>
      <c r="C98" s="111" t="n"/>
      <c r="D98" s="111" t="n"/>
      <c r="E98" s="698" t="n"/>
      <c r="F98" s="426" t="n"/>
      <c r="G98" s="111" t="n"/>
      <c r="H98" s="113">
        <f>_xll.RssMarket("d7","現在値")</f>
        <v/>
      </c>
      <c r="I98" s="113">
        <f t="array" ref="I98">_xll.RssMarket(B98, "出来高加重平均")</f>
        <v/>
      </c>
      <c r="J98" s="113">
        <f t="array" ref="J98">_xll.RssMarket(B98, "前日比")</f>
        <v/>
      </c>
      <c r="K98" s="113">
        <f>IF(OR(F98="",G98="",H98=""),"",(H98-F98)*G98)</f>
        <v/>
      </c>
      <c r="L98" s="114">
        <f>IF(OR(F98="",H98=""),"",(H98-F98)/F98)</f>
        <v/>
      </c>
      <c r="M98" s="113">
        <f>IF(F98="","",F98*1.07)</f>
        <v/>
      </c>
      <c r="N98" s="113">
        <f>IF(F98="","",F98*0.96)</f>
        <v/>
      </c>
      <c r="O98" s="113">
        <f>IF(B98="","",IF(H98="","保有中",IF(H98&gt;=M98,"🟢利確推奨",IF(H98&gt;=F98*1.06,"🟡利確&amp;TR STOP検討",IF(H98&lt;=N98,"🔴損切推奨",IF(H98&lt;=F98*0.965,"🔴損切間近",IF(H98&lt;=F98*0.97,"⚠️-3%注意",IF(H98&lt;=F98*0.96,"🟡STOP推奨","保持継続"))))))))</f>
        <v/>
      </c>
      <c r="P98" s="113">
        <f t="array" ref="P98">IF(B98="","",IFERROR(MAX(OFFSET(高値!$E$6,MATCH(TEXT(B98,"0"),TEXT(銘柄管理!$B$6:$B$305,"0"),0)-1,0,1,10)),""))</f>
        <v/>
      </c>
      <c r="Q98" s="113">
        <f t="array" ref="Q98">IF(B98="","",IFERROR(MIN(OFFSET(安値!$E$6,MATCH(TEXT(B98,"0"),TEXT(銘柄管理!$B$6:$B$305,"0"),0)-1,0,1,10)),""))</f>
        <v/>
      </c>
      <c r="R98" s="113">
        <f>IF(P98="","",ROUND(P98*0.97,0))</f>
        <v/>
      </c>
      <c r="S98" s="461">
        <f>IF(B98="","",IF(T98&lt;&gt;"","?売却済",IF(H98="","?保有中",IF(H98&gt;=M98,"??利確推奨",IF(H98&lt;=N98,"??損切推奨",IF(H98&lt;=R98,"??STOP推奨","?保有中"))))))</f>
        <v/>
      </c>
      <c r="T98" s="111" t="n"/>
      <c r="U98" s="111" t="n"/>
      <c r="V98" s="113">
        <f>IF(OR(F98="",G98="",U98=""),"",(U98-F98)*G98)</f>
        <v/>
      </c>
      <c r="W98" s="699">
        <f>IF(OR(E98="",B98=""),"",IF(T98&lt;&gt;"",T98-E98,TODAY()-E98))</f>
        <v/>
      </c>
      <c r="X98" s="111" t="n"/>
    </row>
    <row r="99" ht="17.25" customHeight="1" s="574">
      <c r="A99" s="408">
        <f>HYPERLINK("https://kabutan.jp/stock/?code="&amp;TEXT(B99,"0000"),"株探")</f>
        <v/>
      </c>
      <c r="B99" s="111" t="n"/>
      <c r="C99" s="111" t="n"/>
      <c r="D99" s="111" t="n"/>
      <c r="E99" s="698" t="n"/>
      <c r="F99" s="426" t="n"/>
      <c r="G99" s="111" t="n"/>
      <c r="H99" s="113">
        <f>_xll.RssMarket("d7","現在値")</f>
        <v/>
      </c>
      <c r="I99" s="113">
        <f t="array" ref="I99">_xll.RssMarket(B99, "出来高加重平均")</f>
        <v/>
      </c>
      <c r="J99" s="113">
        <f t="array" ref="J99">_xll.RssMarket(B99, "前日比")</f>
        <v/>
      </c>
      <c r="K99" s="113">
        <f>IF(OR(F99="",G99="",H99=""),"",(H99-F99)*G99)</f>
        <v/>
      </c>
      <c r="L99" s="114">
        <f>IF(OR(F99="",H99=""),"",(H99-F99)/F99)</f>
        <v/>
      </c>
      <c r="M99" s="113">
        <f>IF(F99="","",F99*1.07)</f>
        <v/>
      </c>
      <c r="N99" s="113">
        <f>IF(F99="","",F99*0.96)</f>
        <v/>
      </c>
      <c r="O99" s="113">
        <f>IF(B99="","",IF(H99="","保有中",IF(H99&gt;=M99,"🟢利確推奨",IF(H99&gt;=F99*1.06,"🟡利確&amp;TR STOP検討",IF(H99&lt;=N99,"🔴損切推奨",IF(H99&lt;=F99*0.965,"🔴損切間近",IF(H99&lt;=F99*0.97,"⚠️-3%注意",IF(H99&lt;=F99*0.96,"🟡STOP推奨","保持継続"))))))))</f>
        <v/>
      </c>
      <c r="P99" s="113">
        <f t="array" ref="P99">IF(B99="","",IFERROR(MAX(OFFSET(高値!$E$6,MATCH(TEXT(B99,"0"),TEXT(銘柄管理!$B$6:$B$305,"0"),0)-1,0,1,10)),""))</f>
        <v/>
      </c>
      <c r="Q99" s="113">
        <f t="array" ref="Q99">IF(B99="","",IFERROR(MIN(OFFSET(安値!$E$6,MATCH(TEXT(B99,"0"),TEXT(銘柄管理!$B$6:$B$305,"0"),0)-1,0,1,10)),""))</f>
        <v/>
      </c>
      <c r="R99" s="113">
        <f>IF(P99="","",ROUND(P99*0.97,0))</f>
        <v/>
      </c>
      <c r="S99" s="461">
        <f>IF(B99="","",IF(T99&lt;&gt;"","?売却済",IF(H99="","?保有中",IF(H99&gt;=M99,"??利確推奨",IF(H99&lt;=N99,"??損切推奨",IF(H99&lt;=R99,"??STOP推奨","?保有中"))))))</f>
        <v/>
      </c>
      <c r="T99" s="111" t="n"/>
      <c r="U99" s="111" t="n"/>
      <c r="V99" s="113">
        <f>IF(OR(F99="",G99="",U99=""),"",(U99-F99)*G99)</f>
        <v/>
      </c>
      <c r="W99" s="699">
        <f>IF(OR(E99="",B99=""),"",IF(T99&lt;&gt;"",T99-E99,TODAY()-E99))</f>
        <v/>
      </c>
      <c r="X99" s="111" t="n"/>
    </row>
    <row r="100" ht="17.25" customHeight="1" s="574">
      <c r="A100" s="408">
        <f>HYPERLINK("https://kabutan.jp/stock/?code="&amp;TEXT(B100,"0000"),"株探")</f>
        <v/>
      </c>
      <c r="B100" s="111" t="n"/>
      <c r="C100" s="111" t="n"/>
      <c r="D100" s="111" t="n"/>
      <c r="E100" s="698" t="n"/>
      <c r="F100" s="426" t="n"/>
      <c r="G100" s="111" t="n"/>
      <c r="H100" s="113">
        <f>_xll.RssMarket("d7","現在値")</f>
        <v/>
      </c>
      <c r="I100" s="113">
        <f t="array" ref="I100">_xll.RssMarket(B100, "出来高加重平均")</f>
        <v/>
      </c>
      <c r="J100" s="113">
        <f t="array" ref="J100">_xll.RssMarket(B100, "前日比")</f>
        <v/>
      </c>
      <c r="K100" s="113">
        <f>IF(OR(F100="",G100="",H100=""),"",(H100-F100)*G100)</f>
        <v/>
      </c>
      <c r="L100" s="114">
        <f>IF(OR(F100="",H100=""),"",(H100-F100)/F100)</f>
        <v/>
      </c>
      <c r="M100" s="113">
        <f>IF(F100="","",F100*1.07)</f>
        <v/>
      </c>
      <c r="N100" s="113">
        <f>IF(F100="","",F100*0.96)</f>
        <v/>
      </c>
      <c r="O100" s="113">
        <f>IF(B100="","",IF(H100="","保有中",IF(H100&gt;=M100,"🟢利確推奨",IF(H100&gt;=F100*1.06,"🟡利確&amp;TR STOP検討",IF(H100&lt;=N100,"🔴損切推奨",IF(H100&lt;=F100*0.965,"🔴損切間近",IF(H100&lt;=F100*0.97,"⚠️-3%注意",IF(H100&lt;=F100*0.96,"🟡STOP推奨","保持継続"))))))))</f>
        <v/>
      </c>
      <c r="P100" s="113">
        <f t="array" ref="P100">IF(B100="","",IFERROR(MAX(OFFSET(高値!$E$6,MATCH(TEXT(B100,"0"),TEXT(銘柄管理!$B$6:$B$305,"0"),0)-1,0,1,10)),""))</f>
        <v/>
      </c>
      <c r="Q100" s="113">
        <f t="array" ref="Q100">IF(B100="","",IFERROR(MIN(OFFSET(安値!$E$6,MATCH(TEXT(B100,"0"),TEXT(銘柄管理!$B$6:$B$305,"0"),0)-1,0,1,10)),""))</f>
        <v/>
      </c>
      <c r="R100" s="113">
        <f>IF(P100="","",ROUND(P100*0.97,0))</f>
        <v/>
      </c>
      <c r="S100" s="461">
        <f>IF(B100="","",IF(T100&lt;&gt;"","?売却済",IF(H100="","?保有中",IF(H100&gt;=M100,"??利確推奨",IF(H100&lt;=N100,"??損切推奨",IF(H100&lt;=R100,"??STOP推奨","?保有中"))))))</f>
        <v/>
      </c>
      <c r="T100" s="111" t="n"/>
      <c r="U100" s="111" t="n"/>
      <c r="V100" s="113">
        <f>IF(OR(F100="",G100="",U100=""),"",(U100-F100)*G100)</f>
        <v/>
      </c>
      <c r="W100" s="699">
        <f>IF(OR(E100="",B100=""),"",IF(T100&lt;&gt;"",T100-E100,TODAY()-E100))</f>
        <v/>
      </c>
      <c r="X100" s="111" t="n"/>
    </row>
    <row r="101" ht="17.25" customHeight="1" s="574">
      <c r="A101" s="408">
        <f>HYPERLINK("https://kabutan.jp/stock/?code="&amp;TEXT(B101,"0000"),"株探")</f>
        <v/>
      </c>
      <c r="B101" s="111" t="n"/>
      <c r="C101" s="111" t="n"/>
      <c r="D101" s="111" t="n"/>
      <c r="E101" s="698" t="n"/>
      <c r="F101" s="426" t="n"/>
      <c r="G101" s="111" t="n"/>
      <c r="H101" s="113">
        <f>_xll.RssMarket("d7","現在値")</f>
        <v/>
      </c>
      <c r="I101" s="113">
        <f t="array" ref="I101">_xll.RssMarket(B101, "出来高加重平均")</f>
        <v/>
      </c>
      <c r="J101" s="113">
        <f t="array" ref="J101">_xll.RssMarket(B101, "前日比")</f>
        <v/>
      </c>
      <c r="K101" s="113">
        <f>IF(OR(F101="",G101="",H101=""),"",(H101-F101)*G101)</f>
        <v/>
      </c>
      <c r="L101" s="114">
        <f>IF(OR(F101="",H101=""),"",(H101-F101)/F101)</f>
        <v/>
      </c>
      <c r="M101" s="113">
        <f>IF(F101="","",F101*1.07)</f>
        <v/>
      </c>
      <c r="N101" s="113">
        <f>IF(F101="","",F101*0.96)</f>
        <v/>
      </c>
      <c r="O101" s="113">
        <f>IF(B101="","",IF(H101="","保有中",IF(H101&gt;=M101,"🟢利確推奨",IF(H101&gt;=F101*1.06,"🟡利確&amp;TR STOP検討",IF(H101&lt;=N101,"🔴損切推奨",IF(H101&lt;=F101*0.965,"🔴損切間近",IF(H101&lt;=F101*0.97,"⚠️-3%注意",IF(H101&lt;=F101*0.96,"🟡STOP推奨","保持継続"))))))))</f>
        <v/>
      </c>
      <c r="P101" s="113">
        <f t="array" ref="P101">IF(B101="","",IFERROR(MAX(OFFSET(高値!$E$6,MATCH(TEXT(B101,"0"),TEXT(銘柄管理!$B$6:$B$305,"0"),0)-1,0,1,10)),""))</f>
        <v/>
      </c>
      <c r="Q101" s="113">
        <f t="array" ref="Q101">IF(B101="","",IFERROR(MIN(OFFSET(安値!$E$6,MATCH(TEXT(B101,"0"),TEXT(銘柄管理!$B$6:$B$305,"0"),0)-1,0,1,10)),""))</f>
        <v/>
      </c>
      <c r="R101" s="113">
        <f>IF(P101="","",ROUND(P101*0.97,0))</f>
        <v/>
      </c>
      <c r="S101" s="461">
        <f>IF(B101="","",IF(T101&lt;&gt;"","?売却済",IF(H101="","?保有中",IF(H101&gt;=M101,"??利確推奨",IF(H101&lt;=N101,"??損切推奨",IF(H101&lt;=R101,"??STOP推奨","?保有中"))))))</f>
        <v/>
      </c>
      <c r="T101" s="111" t="n"/>
      <c r="U101" s="111" t="n"/>
      <c r="V101" s="113">
        <f>IF(OR(F101="",G101="",U101=""),"",(U101-F101)*G101)</f>
        <v/>
      </c>
      <c r="W101" s="699">
        <f>IF(OR(E101="",B101=""),"",IF(T101&lt;&gt;"",T101-E101,TODAY()-E101))</f>
        <v/>
      </c>
      <c r="X101" s="111" t="n"/>
    </row>
    <row r="102" ht="17.25" customHeight="1" s="574">
      <c r="A102" s="408">
        <f>HYPERLINK("https://kabutan.jp/stock/?code="&amp;TEXT(B102,"0000"),"株探")</f>
        <v/>
      </c>
      <c r="B102" s="111" t="n"/>
      <c r="C102" s="111" t="n"/>
      <c r="D102" s="111" t="n"/>
      <c r="E102" s="698" t="n"/>
      <c r="F102" s="426" t="n"/>
      <c r="G102" s="111" t="n"/>
      <c r="H102" s="113">
        <f>_xll.RssMarket("d7","現在値")</f>
        <v/>
      </c>
      <c r="I102" s="113">
        <f t="array" ref="I102">_xll.RssMarket(B102, "出来高加重平均")</f>
        <v/>
      </c>
      <c r="J102" s="113">
        <f t="array" ref="J102">_xll.RssMarket(B102, "前日比")</f>
        <v/>
      </c>
      <c r="K102" s="113">
        <f>IF(OR(F102="",G102="",H102=""),"",(H102-F102)*G102)</f>
        <v/>
      </c>
      <c r="L102" s="114">
        <f>IF(OR(F102="",H102=""),"",(H102-F102)/F102)</f>
        <v/>
      </c>
      <c r="M102" s="113">
        <f>IF(F102="","",F102*1.07)</f>
        <v/>
      </c>
      <c r="N102" s="113">
        <f>IF(F102="","",F102*0.96)</f>
        <v/>
      </c>
      <c r="O102" s="113">
        <f>IF(B102="","",IF(H102="","保有中",IF(H102&gt;=M102,"🟢利確推奨",IF(H102&gt;=F102*1.06,"🟡利確&amp;TR STOP検討",IF(H102&lt;=N102,"🔴損切推奨",IF(H102&lt;=F102*0.965,"🔴損切間近",IF(H102&lt;=F102*0.97,"⚠️-3%注意",IF(H102&lt;=F102*0.96,"🟡STOP推奨","保持継続"))))))))</f>
        <v/>
      </c>
      <c r="P102" s="113">
        <f t="array" ref="P102">IF(B102="","",IFERROR(MAX(OFFSET(高値!$E$6,MATCH(TEXT(B102,"0"),TEXT(銘柄管理!$B$6:$B$305,"0"),0)-1,0,1,10)),""))</f>
        <v/>
      </c>
      <c r="Q102" s="113">
        <f t="array" ref="Q102">IF(B102="","",IFERROR(MIN(OFFSET(安値!$E$6,MATCH(TEXT(B102,"0"),TEXT(銘柄管理!$B$6:$B$305,"0"),0)-1,0,1,10)),""))</f>
        <v/>
      </c>
      <c r="R102" s="113">
        <f>IF(P102="","",ROUND(P102*0.97,0))</f>
        <v/>
      </c>
      <c r="S102" s="461">
        <f>IF(B102="","",IF(T102&lt;&gt;"","?売却済",IF(H102="","?保有中",IF(H102&gt;=M102,"??利確推奨",IF(H102&lt;=N102,"??損切推奨",IF(H102&lt;=R102,"??STOP推奨","?保有中"))))))</f>
        <v/>
      </c>
      <c r="T102" s="111" t="n"/>
      <c r="U102" s="111" t="n"/>
      <c r="V102" s="113">
        <f>IF(OR(F102="",G102="",U102=""),"",(U102-F102)*G102)</f>
        <v/>
      </c>
      <c r="W102" s="699">
        <f>IF(OR(E102="",B102=""),"",IF(T102&lt;&gt;"",T102-E102,TODAY()-E102))</f>
        <v/>
      </c>
      <c r="X102" s="111" t="n"/>
    </row>
    <row r="103" ht="17.25" customHeight="1" s="574">
      <c r="A103" s="408">
        <f>HYPERLINK("https://kabutan.jp/stock/?code="&amp;TEXT(B103,"0000"),"株探")</f>
        <v/>
      </c>
      <c r="B103" s="111" t="n"/>
      <c r="C103" s="111" t="n"/>
      <c r="D103" s="111" t="n"/>
      <c r="E103" s="698" t="n"/>
      <c r="F103" s="426" t="n"/>
      <c r="G103" s="111" t="n"/>
      <c r="H103" s="113">
        <f>_xll.RssMarket("d7","現在値")</f>
        <v/>
      </c>
      <c r="I103" s="113">
        <f t="array" ref="I103">_xll.RssMarket(B103, "出来高加重平均")</f>
        <v/>
      </c>
      <c r="J103" s="113">
        <f t="array" ref="J103">_xll.RssMarket(B103, "前日比")</f>
        <v/>
      </c>
      <c r="K103" s="113">
        <f>IF(OR(F103="",G103="",H103=""),"",(H103-F103)*G103)</f>
        <v/>
      </c>
      <c r="L103" s="114">
        <f>IF(OR(F103="",H103=""),"",(H103-F103)/F103)</f>
        <v/>
      </c>
      <c r="M103" s="113">
        <f>IF(F103="","",F103*1.07)</f>
        <v/>
      </c>
      <c r="N103" s="113">
        <f>IF(F103="","",F103*0.96)</f>
        <v/>
      </c>
      <c r="O103" s="113">
        <f>IF(B103="","",IF(H103="","保有中",IF(H103&gt;=M103,"🟢利確推奨",IF(H103&gt;=F103*1.06,"🟡利確&amp;TR STOP検討",IF(H103&lt;=N103,"🔴損切推奨",IF(H103&lt;=F103*0.965,"🔴損切間近",IF(H103&lt;=F103*0.97,"⚠️-3%注意",IF(H103&lt;=F103*0.96,"🟡STOP推奨","保持継続"))))))))</f>
        <v/>
      </c>
      <c r="P103" s="113">
        <f t="array" ref="P103">IF(B103="","",IFERROR(MAX(OFFSET(高値!$E$6,MATCH(TEXT(B103,"0"),TEXT(銘柄管理!$B$6:$B$305,"0"),0)-1,0,1,10)),""))</f>
        <v/>
      </c>
      <c r="Q103" s="113">
        <f t="array" ref="Q103">IF(B103="","",IFERROR(MIN(OFFSET(安値!$E$6,MATCH(TEXT(B103,"0"),TEXT(銘柄管理!$B$6:$B$305,"0"),0)-1,0,1,10)),""))</f>
        <v/>
      </c>
      <c r="R103" s="113">
        <f>IF(P103="","",ROUND(P103*0.97,0))</f>
        <v/>
      </c>
      <c r="S103" s="461">
        <f>IF(B103="","",IF(T103&lt;&gt;"","?売却済",IF(H103="","?保有中",IF(H103&gt;=M103,"??利確推奨",IF(H103&lt;=N103,"??損切推奨",IF(H103&lt;=R103,"??STOP推奨","?保有中"))))))</f>
        <v/>
      </c>
      <c r="T103" s="111" t="n"/>
      <c r="U103" s="111" t="n"/>
      <c r="V103" s="113">
        <f>IF(OR(F103="",G103="",U103=""),"",(U103-F103)*G103)</f>
        <v/>
      </c>
      <c r="W103" s="699">
        <f>IF(OR(E103="",B103=""),"",IF(T103&lt;&gt;"",T103-E103,TODAY()-E103))</f>
        <v/>
      </c>
      <c r="X103" s="111" t="n"/>
    </row>
    <row r="104" ht="17.25" customHeight="1" s="574">
      <c r="A104" s="408">
        <f>HYPERLINK("https://kabutan.jp/stock/?code="&amp;TEXT(B104,"0000"),"株探")</f>
        <v/>
      </c>
      <c r="B104" s="111" t="n"/>
      <c r="C104" s="111" t="n"/>
      <c r="D104" s="111" t="n"/>
      <c r="E104" s="698" t="n"/>
      <c r="F104" s="426" t="n"/>
      <c r="G104" s="111" t="n"/>
      <c r="H104" s="113">
        <f>_xll.RssMarket("d7","現在値")</f>
        <v/>
      </c>
      <c r="I104" s="113">
        <f t="array" ref="I104">_xll.RssMarket(B104, "出来高加重平均")</f>
        <v/>
      </c>
      <c r="J104" s="113">
        <f t="array" ref="J104">_xll.RssMarket(B104, "前日比")</f>
        <v/>
      </c>
      <c r="K104" s="113">
        <f>IF(OR(F104="",G104="",H104=""),"",(H104-F104)*G104)</f>
        <v/>
      </c>
      <c r="L104" s="114">
        <f>IF(OR(F104="",H104=""),"",(H104-F104)/F104)</f>
        <v/>
      </c>
      <c r="M104" s="113">
        <f>IF(F104="","",F104*1.07)</f>
        <v/>
      </c>
      <c r="N104" s="113">
        <f>IF(F104="","",F104*0.96)</f>
        <v/>
      </c>
      <c r="O104" s="113">
        <f>IF(B104="","",IF(H104="","保有中",IF(H104&gt;=M104,"🟢利確推奨",IF(H104&gt;=F104*1.06,"🟡利確&amp;TR STOP検討",IF(H104&lt;=N104,"🔴損切推奨",IF(H104&lt;=F104*0.965,"🔴損切間近",IF(H104&lt;=F104*0.97,"⚠️-3%注意",IF(H104&lt;=F104*0.96,"🟡STOP推奨","保持継続"))))))))</f>
        <v/>
      </c>
      <c r="P104" s="113">
        <f t="array" ref="P104">IF(B104="","",IFERROR(MAX(OFFSET(高値!$E$6,MATCH(TEXT(B104,"0"),TEXT(銘柄管理!$B$6:$B$305,"0"),0)-1,0,1,10)),""))</f>
        <v/>
      </c>
      <c r="Q104" s="113">
        <f t="array" ref="Q104">IF(B104="","",IFERROR(MIN(OFFSET(安値!$E$6,MATCH(TEXT(B104,"0"),TEXT(銘柄管理!$B$6:$B$305,"0"),0)-1,0,1,10)),""))</f>
        <v/>
      </c>
      <c r="R104" s="113">
        <f>IF(P104="","",ROUND(P104*0.97,0))</f>
        <v/>
      </c>
      <c r="S104" s="461">
        <f>IF(B104="","",IF(T104&lt;&gt;"","?売却済",IF(H104="","?保有中",IF(H104&gt;=M104,"??利確推奨",IF(H104&lt;=N104,"??損切推奨",IF(H104&lt;=R104,"??STOP推奨","?保有中"))))))</f>
        <v/>
      </c>
      <c r="T104" s="111" t="n"/>
      <c r="U104" s="111" t="n"/>
      <c r="V104" s="113">
        <f>IF(OR(F104="",G104="",U104=""),"",(U104-F104)*G104)</f>
        <v/>
      </c>
      <c r="W104" s="699">
        <f>IF(OR(E104="",B104=""),"",IF(T104&lt;&gt;"",T104-E104,TODAY()-E104))</f>
        <v/>
      </c>
      <c r="X104" s="111" t="n"/>
    </row>
    <row r="105" ht="17.25" customHeight="1" s="574">
      <c r="A105" s="408">
        <f>HYPERLINK("https://kabutan.jp/stock/?code="&amp;TEXT(B105,"0000"),"株探")</f>
        <v/>
      </c>
      <c r="B105" s="111" t="n"/>
      <c r="C105" s="111" t="n"/>
      <c r="D105" s="111" t="n"/>
      <c r="E105" s="698" t="n"/>
      <c r="F105" s="426" t="n"/>
      <c r="G105" s="111" t="n"/>
      <c r="H105" s="113">
        <f>_xll.RssMarket("d7","現在値")</f>
        <v/>
      </c>
      <c r="I105" s="113">
        <f t="array" ref="I105">_xll.RssMarket(B105, "出来高加重平均")</f>
        <v/>
      </c>
      <c r="J105" s="113">
        <f t="array" ref="J105">_xll.RssMarket(B105, "前日比")</f>
        <v/>
      </c>
      <c r="K105" s="113">
        <f>IF(OR(F105="",G105="",H105=""),"",(H105-F105)*G105)</f>
        <v/>
      </c>
      <c r="L105" s="114">
        <f>IF(OR(F105="",H105=""),"",(H105-F105)/F105)</f>
        <v/>
      </c>
      <c r="M105" s="113">
        <f>IF(F105="","",F105*1.07)</f>
        <v/>
      </c>
      <c r="N105" s="113">
        <f>IF(F105="","",F105*0.96)</f>
        <v/>
      </c>
      <c r="O105" s="113">
        <f>IF(B105="","",IF(H105="","保有中",IF(H105&gt;=M105,"🟢利確推奨",IF(H105&gt;=F105*1.06,"🟡利確&amp;TR STOP検討",IF(H105&lt;=N105,"🔴損切推奨",IF(H105&lt;=F105*0.965,"🔴損切間近",IF(H105&lt;=F105*0.97,"⚠️-3%注意",IF(H105&lt;=F105*0.96,"🟡STOP推奨","保持継続"))))))))</f>
        <v/>
      </c>
      <c r="P105" s="113">
        <f t="array" ref="P105">IF(B105="","",IFERROR(MAX(OFFSET(高値!$E$6,MATCH(TEXT(B105,"0"),TEXT(銘柄管理!$B$6:$B$305,"0"),0)-1,0,1,10)),""))</f>
        <v/>
      </c>
      <c r="Q105" s="113">
        <f t="array" ref="Q105">IF(B105="","",IFERROR(MIN(OFFSET(安値!$E$6,MATCH(TEXT(B105,"0"),TEXT(銘柄管理!$B$6:$B$305,"0"),0)-1,0,1,10)),""))</f>
        <v/>
      </c>
      <c r="R105" s="113">
        <f>IF(P105="","",ROUND(P105*0.97,0))</f>
        <v/>
      </c>
      <c r="S105" s="461">
        <f>IF(B105="","",IF(T105&lt;&gt;"","?売却済",IF(H105="","?保有中",IF(H105&gt;=M105,"??利確推奨",IF(H105&lt;=N105,"??損切推奨",IF(H105&lt;=R105,"??STOP推奨","?保有中"))))))</f>
        <v/>
      </c>
      <c r="T105" s="111" t="n"/>
      <c r="U105" s="111" t="n"/>
      <c r="V105" s="113">
        <f>IF(OR(F105="",G105="",U105=""),"",(U105-F105)*G105)</f>
        <v/>
      </c>
      <c r="W105" s="699">
        <f>IF(OR(E105="",B105=""),"",IF(T105&lt;&gt;"",T105-E105,TODAY()-E105))</f>
        <v/>
      </c>
      <c r="X105" s="111" t="n"/>
    </row>
    <row r="106" ht="17.25" customHeight="1" s="574">
      <c r="A106" s="408">
        <f>HYPERLINK("https://kabutan.jp/stock/?code="&amp;TEXT(B106,"0000"),"株探")</f>
        <v/>
      </c>
      <c r="B106" s="111" t="n"/>
      <c r="C106" s="111" t="n"/>
      <c r="D106" s="111" t="n"/>
      <c r="E106" s="698" t="n"/>
      <c r="F106" s="426" t="n"/>
      <c r="G106" s="111" t="n"/>
      <c r="H106" s="113">
        <f>_xll.RssMarket("d7","現在値")</f>
        <v/>
      </c>
      <c r="I106" s="113">
        <f t="array" ref="I106">_xll.RssMarket(B106, "出来高加重平均")</f>
        <v/>
      </c>
      <c r="J106" s="113">
        <f t="array" ref="J106">_xll.RssMarket(B106, "前日比")</f>
        <v/>
      </c>
      <c r="K106" s="113">
        <f>IF(OR(F106="",G106="",H106=""),"",(H106-F106)*G106)</f>
        <v/>
      </c>
      <c r="L106" s="114">
        <f>IF(OR(F106="",H106=""),"",(H106-F106)/F106)</f>
        <v/>
      </c>
      <c r="M106" s="113">
        <f>IF(F106="","",F106*1.07)</f>
        <v/>
      </c>
      <c r="N106" s="113">
        <f>IF(F106="","",F106*0.96)</f>
        <v/>
      </c>
      <c r="O106" s="113">
        <f>IF(B106="","",IF(H106="","保有中",IF(H106&gt;=M106,"🟢利確推奨",IF(H106&gt;=F106*1.06,"🟡利確&amp;TR STOP検討",IF(H106&lt;=N106,"🔴損切推奨",IF(H106&lt;=F106*0.965,"🔴損切間近",IF(H106&lt;=F106*0.97,"⚠️-3%注意",IF(H106&lt;=F106*0.96,"🟡STOP推奨","保持継続"))))))))</f>
        <v/>
      </c>
      <c r="P106" s="113">
        <f t="array" ref="P106">IF(B106="","",IFERROR(MAX(OFFSET(高値!$E$6,MATCH(TEXT(B106,"0"),TEXT(銘柄管理!$B$6:$B$305,"0"),0)-1,0,1,10)),""))</f>
        <v/>
      </c>
      <c r="Q106" s="113">
        <f t="array" ref="Q106">IF(B106="","",IFERROR(MIN(OFFSET(安値!$E$6,MATCH(TEXT(B106,"0"),TEXT(銘柄管理!$B$6:$B$305,"0"),0)-1,0,1,10)),""))</f>
        <v/>
      </c>
      <c r="R106" s="113">
        <f>IF(P106="","",ROUND(P106*0.97,0))</f>
        <v/>
      </c>
      <c r="S106" s="461">
        <f>IF(B106="","",IF(T106&lt;&gt;"","?売却済",IF(H106="","?保有中",IF(H106&gt;=M106,"??利確推奨",IF(H106&lt;=N106,"??損切推奨",IF(H106&lt;=R106,"??STOP推奨","?保有中"))))))</f>
        <v/>
      </c>
      <c r="T106" s="111" t="n"/>
      <c r="U106" s="111" t="n"/>
      <c r="V106" s="113">
        <f>IF(OR(F106="",G106="",U106=""),"",(U106-F106)*G106)</f>
        <v/>
      </c>
      <c r="W106" s="699">
        <f>IF(OR(E106="",B106=""),"",IF(T106&lt;&gt;"",T106-E106,TODAY()-E106))</f>
        <v/>
      </c>
      <c r="X106" s="111" t="n"/>
    </row>
    <row r="107" ht="17.25" customHeight="1" s="574">
      <c r="A107" s="408">
        <f>HYPERLINK("https://kabutan.jp/stock/?code="&amp;TEXT(B107,"0000"),"株探")</f>
        <v/>
      </c>
      <c r="B107" s="111" t="n"/>
      <c r="C107" s="111" t="n"/>
      <c r="D107" s="111" t="n"/>
      <c r="E107" s="698" t="n"/>
      <c r="F107" s="426" t="n"/>
      <c r="G107" s="111" t="n"/>
      <c r="H107" s="113">
        <f>_xll.RssMarket("d7","現在値")</f>
        <v/>
      </c>
      <c r="I107" s="113">
        <f t="array" ref="I107">_xll.RssMarket(B107, "出来高加重平均")</f>
        <v/>
      </c>
      <c r="J107" s="113">
        <f t="array" ref="J107">_xll.RssMarket(B107, "前日比")</f>
        <v/>
      </c>
      <c r="K107" s="113">
        <f>IF(OR(F107="",G107="",H107=""),"",(H107-F107)*G107)</f>
        <v/>
      </c>
      <c r="L107" s="114">
        <f>IF(OR(F107="",H107=""),"",(H107-F107)/F107)</f>
        <v/>
      </c>
      <c r="M107" s="113">
        <f>IF(F107="","",F107*1.07)</f>
        <v/>
      </c>
      <c r="N107" s="113">
        <f>IF(F107="","",F107*0.96)</f>
        <v/>
      </c>
      <c r="O107" s="113">
        <f>IF(B107="","",IF(H107="","保有中",IF(H107&gt;=M107,"🟢利確推奨",IF(H107&gt;=F107*1.06,"🟡利確&amp;TR STOP検討",IF(H107&lt;=N107,"🔴損切推奨",IF(H107&lt;=F107*0.965,"🔴損切間近",IF(H107&lt;=F107*0.97,"⚠️-3%注意",IF(H107&lt;=F107*0.96,"🟡STOP推奨","保持継続"))))))))</f>
        <v/>
      </c>
      <c r="P107" s="113">
        <f t="array" ref="P107">IF(B107="","",IFERROR(MAX(OFFSET(高値!$E$6,MATCH(TEXT(B107,"0"),TEXT(銘柄管理!$B$6:$B$305,"0"),0)-1,0,1,10)),""))</f>
        <v/>
      </c>
      <c r="Q107" s="113">
        <f t="array" ref="Q107">IF(B107="","",IFERROR(MIN(OFFSET(安値!$E$6,MATCH(TEXT(B107,"0"),TEXT(銘柄管理!$B$6:$B$305,"0"),0)-1,0,1,10)),""))</f>
        <v/>
      </c>
      <c r="R107" s="113">
        <f>IF(P107="","",ROUND(P107*0.97,0))</f>
        <v/>
      </c>
      <c r="S107" s="461">
        <f>IF(B107="","",IF(T107&lt;&gt;"","?売却済",IF(H107="","?保有中",IF(H107&gt;=M107,"??利確推奨",IF(H107&lt;=N107,"??損切推奨",IF(H107&lt;=R107,"??STOP推奨","?保有中"))))))</f>
        <v/>
      </c>
      <c r="T107" s="111" t="n"/>
      <c r="U107" s="111" t="n"/>
      <c r="V107" s="113">
        <f>IF(OR(F107="",G107="",U107=""),"",(U107-F107)*G107)</f>
        <v/>
      </c>
      <c r="W107" s="699">
        <f>IF(OR(E107="",B107=""),"",IF(T107&lt;&gt;"",T107-E107,TODAY()-E107))</f>
        <v/>
      </c>
      <c r="X107" s="111" t="n"/>
    </row>
    <row r="108" ht="17.25" customHeight="1" s="574">
      <c r="A108" s="408">
        <f>HYPERLINK("https://kabutan.jp/stock/?code="&amp;TEXT(B108,"0000"),"株探")</f>
        <v/>
      </c>
      <c r="B108" s="111" t="n"/>
      <c r="C108" s="111" t="n"/>
      <c r="D108" s="111" t="n"/>
      <c r="E108" s="698" t="n"/>
      <c r="F108" s="426" t="n"/>
      <c r="G108" s="111" t="n"/>
      <c r="H108" s="113">
        <f>_xll.RssMarket("d7","現在値")</f>
        <v/>
      </c>
      <c r="I108" s="113">
        <f t="array" ref="I108">_xll.RssMarket(B108, "出来高加重平均")</f>
        <v/>
      </c>
      <c r="J108" s="113">
        <f t="array" ref="J108">_xll.RssMarket(B108, "前日比")</f>
        <v/>
      </c>
      <c r="K108" s="113">
        <f>IF(OR(F108="",G108="",H108=""),"",(H108-F108)*G108)</f>
        <v/>
      </c>
      <c r="L108" s="114">
        <f>IF(OR(F108="",H108=""),"",(H108-F108)/F108)</f>
        <v/>
      </c>
      <c r="M108" s="113">
        <f>IF(F108="","",F108*1.07)</f>
        <v/>
      </c>
      <c r="N108" s="113">
        <f>IF(F108="","",F108*0.96)</f>
        <v/>
      </c>
      <c r="O108" s="113">
        <f>IF(B108="","",IF(H108="","保有中",IF(H108&gt;=M108,"🟢利確推奨",IF(H108&gt;=F108*1.06,"🟡利確&amp;TR STOP検討",IF(H108&lt;=N108,"🔴損切推奨",IF(H108&lt;=F108*0.965,"🔴損切間近",IF(H108&lt;=F108*0.97,"⚠️-3%注意",IF(H108&lt;=F108*0.96,"🟡STOP推奨","保持継続"))))))))</f>
        <v/>
      </c>
      <c r="P108" s="113">
        <f t="array" ref="P108">IF(B108="","",IFERROR(MAX(OFFSET(高値!$E$6,MATCH(TEXT(B108,"0"),TEXT(銘柄管理!$B$6:$B$305,"0"),0)-1,0,1,10)),""))</f>
        <v/>
      </c>
      <c r="Q108" s="113">
        <f t="array" ref="Q108">IF(B108="","",IFERROR(MIN(OFFSET(安値!$E$6,MATCH(TEXT(B108,"0"),TEXT(銘柄管理!$B$6:$B$305,"0"),0)-1,0,1,10)),""))</f>
        <v/>
      </c>
      <c r="R108" s="113">
        <f>IF(P108="","",ROUND(P108*0.97,0))</f>
        <v/>
      </c>
      <c r="S108" s="461">
        <f>IF(B108="","",IF(T108&lt;&gt;"","?売却済",IF(H108="","?保有中",IF(H108&gt;=M108,"??利確推奨",IF(H108&lt;=N108,"??損切推奨",IF(H108&lt;=R108,"??STOP推奨","?保有中"))))))</f>
        <v/>
      </c>
      <c r="T108" s="111" t="n"/>
      <c r="U108" s="111" t="n"/>
      <c r="V108" s="113">
        <f>IF(OR(F108="",G108="",U108=""),"",(U108-F108)*G108)</f>
        <v/>
      </c>
      <c r="W108" s="699">
        <f>IF(OR(E108="",B108=""),"",IF(T108&lt;&gt;"",T108-E108,TODAY()-E108))</f>
        <v/>
      </c>
      <c r="X108" s="111" t="n"/>
    </row>
    <row r="109" ht="17.25" customHeight="1" s="574">
      <c r="A109" s="408">
        <f>HYPERLINK("https://kabutan.jp/stock/?code="&amp;TEXT(B109,"0000"),"株探")</f>
        <v/>
      </c>
      <c r="B109" s="111" t="n"/>
      <c r="C109" s="111" t="n"/>
      <c r="D109" s="111" t="n"/>
      <c r="E109" s="698" t="n"/>
      <c r="F109" s="426" t="n"/>
      <c r="G109" s="111" t="n"/>
      <c r="H109" s="113">
        <f>_xll.RssMarket("d7","現在値")</f>
        <v/>
      </c>
      <c r="I109" s="113">
        <f t="array" ref="I109">_xll.RssMarket(B109, "出来高加重平均")</f>
        <v/>
      </c>
      <c r="J109" s="113">
        <f t="array" ref="J109">_xll.RssMarket(B109, "前日比")</f>
        <v/>
      </c>
      <c r="K109" s="113">
        <f>IF(OR(F109="",G109="",H109=""),"",(H109-F109)*G109)</f>
        <v/>
      </c>
      <c r="L109" s="114">
        <f>IF(OR(F109="",H109=""),"",(H109-F109)/F109)</f>
        <v/>
      </c>
      <c r="M109" s="113">
        <f>IF(F109="","",F109*1.07)</f>
        <v/>
      </c>
      <c r="N109" s="113">
        <f>IF(F109="","",F109*0.96)</f>
        <v/>
      </c>
      <c r="O109" s="113">
        <f>IF(B109="","",IF(H109="","保有中",IF(H109&gt;=M109,"🟢利確推奨",IF(H109&gt;=F109*1.06,"🟡利確&amp;TR STOP検討",IF(H109&lt;=N109,"🔴損切推奨",IF(H109&lt;=F109*0.965,"🔴損切間近",IF(H109&lt;=F109*0.97,"⚠️-3%注意",IF(H109&lt;=F109*0.96,"🟡STOP推奨","保持継続"))))))))</f>
        <v/>
      </c>
      <c r="P109" s="113">
        <f t="array" ref="P109">IF(B109="","",IFERROR(MAX(OFFSET(高値!$E$6,MATCH(TEXT(B109,"0"),TEXT(銘柄管理!$B$6:$B$305,"0"),0)-1,0,1,10)),""))</f>
        <v/>
      </c>
      <c r="Q109" s="113">
        <f t="array" ref="Q109">IF(B109="","",IFERROR(MIN(OFFSET(安値!$E$6,MATCH(TEXT(B109,"0"),TEXT(銘柄管理!$B$6:$B$305,"0"),0)-1,0,1,10)),""))</f>
        <v/>
      </c>
      <c r="R109" s="113">
        <f>IF(P109="","",ROUND(P109*0.97,0))</f>
        <v/>
      </c>
      <c r="S109" s="461">
        <f>IF(B109="","",IF(T109&lt;&gt;"","?売却済",IF(H109="","?保有中",IF(H109&gt;=M109,"??利確推奨",IF(H109&lt;=N109,"??損切推奨",IF(H109&lt;=R109,"??STOP推奨","?保有中"))))))</f>
        <v/>
      </c>
      <c r="T109" s="111" t="n"/>
      <c r="U109" s="111" t="n"/>
      <c r="V109" s="113">
        <f>IF(OR(F109="",G109="",U109=""),"",(U109-F109)*G109)</f>
        <v/>
      </c>
      <c r="W109" s="699">
        <f>IF(OR(E109="",B109=""),"",IF(T109&lt;&gt;"",T109-E109,TODAY()-E109))</f>
        <v/>
      </c>
      <c r="X109" s="111" t="n"/>
    </row>
    <row r="110" ht="17.25" customHeight="1" s="574">
      <c r="A110" s="408">
        <f>HYPERLINK("https://kabutan.jp/stock/?code="&amp;TEXT(B110,"0000"),"株探")</f>
        <v/>
      </c>
      <c r="B110" s="111" t="n"/>
      <c r="C110" s="111" t="n"/>
      <c r="D110" s="111" t="n"/>
      <c r="E110" s="698" t="n"/>
      <c r="F110" s="426" t="n"/>
      <c r="G110" s="111" t="n"/>
      <c r="H110" s="113">
        <f>_xll.RssMarket("d7","現在値")</f>
        <v/>
      </c>
      <c r="I110" s="113">
        <f t="array" ref="I110">_xll.RssMarket(B110, "出来高加重平均")</f>
        <v/>
      </c>
      <c r="J110" s="113">
        <f t="array" ref="J110">_xll.RssMarket(B110, "前日比")</f>
        <v/>
      </c>
      <c r="K110" s="113">
        <f>IF(OR(F110="",G110="",H110=""),"",(H110-F110)*G110)</f>
        <v/>
      </c>
      <c r="L110" s="114">
        <f>IF(OR(F110="",H110=""),"",(H110-F110)/F110)</f>
        <v/>
      </c>
      <c r="M110" s="113">
        <f>IF(F110="","",F110*1.07)</f>
        <v/>
      </c>
      <c r="N110" s="113">
        <f>IF(F110="","",F110*0.96)</f>
        <v/>
      </c>
      <c r="O110" s="113">
        <f>IF(B110="","",IF(H110="","保有中",IF(H110&gt;=M110,"🟢利確推奨",IF(H110&gt;=F110*1.06,"🟡利確&amp;TR STOP検討",IF(H110&lt;=N110,"🔴損切推奨",IF(H110&lt;=F110*0.965,"🔴損切間近",IF(H110&lt;=F110*0.97,"⚠️-3%注意",IF(H110&lt;=F110*0.96,"🟡STOP推奨","保持継続"))))))))</f>
        <v/>
      </c>
      <c r="P110" s="113">
        <f t="array" ref="P110">IF(B110="","",IFERROR(MAX(OFFSET(高値!$E$6,MATCH(TEXT(B110,"0"),TEXT(銘柄管理!$B$6:$B$305,"0"),0)-1,0,1,10)),""))</f>
        <v/>
      </c>
      <c r="Q110" s="113">
        <f t="array" ref="Q110">IF(B110="","",IFERROR(MIN(OFFSET(安値!$E$6,MATCH(TEXT(B110,"0"),TEXT(銘柄管理!$B$6:$B$305,"0"),0)-1,0,1,10)),""))</f>
        <v/>
      </c>
      <c r="R110" s="113">
        <f>IF(P110="","",ROUND(P110*0.97,0))</f>
        <v/>
      </c>
      <c r="S110" s="461">
        <f>IF(B110="","",IF(T110&lt;&gt;"","?売却済",IF(H110="","?保有中",IF(H110&gt;=M110,"??利確推奨",IF(H110&lt;=N110,"??損切推奨",IF(H110&lt;=R110,"??STOP推奨","?保有中"))))))</f>
        <v/>
      </c>
      <c r="T110" s="111" t="n"/>
      <c r="U110" s="111" t="n"/>
      <c r="V110" s="113">
        <f>IF(OR(F110="",G110="",U110=""),"",(U110-F110)*G110)</f>
        <v/>
      </c>
      <c r="W110" s="699">
        <f>IF(OR(E110="",B110=""),"",IF(T110&lt;&gt;"",T110-E110,TODAY()-E110))</f>
        <v/>
      </c>
      <c r="X110" s="111" t="n"/>
    </row>
    <row r="111" ht="17.25" customHeight="1" s="574">
      <c r="A111" s="408">
        <f>HYPERLINK("https://kabutan.jp/stock/?code="&amp;TEXT(B111,"0000"),"株探")</f>
        <v/>
      </c>
      <c r="B111" s="111" t="n"/>
      <c r="C111" s="111" t="n"/>
      <c r="D111" s="111" t="n"/>
      <c r="E111" s="698" t="n"/>
      <c r="F111" s="426" t="n"/>
      <c r="G111" s="111" t="n"/>
      <c r="H111" s="113">
        <f>_xll.RssMarket("d7","現在値")</f>
        <v/>
      </c>
      <c r="I111" s="113">
        <f t="array" ref="I111">_xll.RssMarket(B111, "出来高加重平均")</f>
        <v/>
      </c>
      <c r="J111" s="113">
        <f t="array" ref="J111">_xll.RssMarket(B111, "前日比")</f>
        <v/>
      </c>
      <c r="K111" s="113">
        <f>IF(OR(F111="",G111="",H111=""),"",(H111-F111)*G111)</f>
        <v/>
      </c>
      <c r="L111" s="114">
        <f>IF(OR(F111="",H111=""),"",(H111-F111)/F111)</f>
        <v/>
      </c>
      <c r="M111" s="113">
        <f>IF(F111="","",F111*1.07)</f>
        <v/>
      </c>
      <c r="N111" s="113">
        <f>IF(F111="","",F111*0.96)</f>
        <v/>
      </c>
      <c r="O111" s="113">
        <f>IF(B111="","",IF(H111="","保有中",IF(H111&gt;=M111,"🟢利確推奨",IF(H111&gt;=F111*1.06,"🟡利確&amp;TR STOP検討",IF(H111&lt;=N111,"🔴損切推奨",IF(H111&lt;=F111*0.965,"🔴損切間近",IF(H111&lt;=F111*0.97,"⚠️-3%注意",IF(H111&lt;=F111*0.96,"🟡STOP推奨","保持継続"))))))))</f>
        <v/>
      </c>
      <c r="P111" s="113">
        <f t="array" ref="P111">IF(B111="","",IFERROR(MAX(OFFSET(高値!$E$6,MATCH(TEXT(B111,"0"),TEXT(銘柄管理!$B$6:$B$305,"0"),0)-1,0,1,10)),""))</f>
        <v/>
      </c>
      <c r="Q111" s="113">
        <f t="array" ref="Q111">IF(B111="","",IFERROR(MIN(OFFSET(安値!$E$6,MATCH(TEXT(B111,"0"),TEXT(銘柄管理!$B$6:$B$305,"0"),0)-1,0,1,10)),""))</f>
        <v/>
      </c>
      <c r="R111" s="113">
        <f>IF(P111="","",ROUND(P111*0.97,0))</f>
        <v/>
      </c>
      <c r="S111" s="461">
        <f>IF(B111="","",IF(T111&lt;&gt;"","?売却済",IF(H111="","?保有中",IF(H111&gt;=M111,"??利確推奨",IF(H111&lt;=N111,"??損切推奨",IF(H111&lt;=R111,"??STOP推奨","?保有中"))))))</f>
        <v/>
      </c>
      <c r="T111" s="111" t="n"/>
      <c r="U111" s="111" t="n"/>
      <c r="V111" s="113">
        <f>IF(OR(F111="",G111="",U111=""),"",(U111-F111)*G111)</f>
        <v/>
      </c>
      <c r="W111" s="699">
        <f>IF(OR(E111="",B111=""),"",IF(T111&lt;&gt;"",T111-E111,TODAY()-E111))</f>
        <v/>
      </c>
      <c r="X111" s="111" t="n"/>
    </row>
    <row r="112" ht="17.25" customHeight="1" s="574">
      <c r="A112" s="408">
        <f>HYPERLINK("https://kabutan.jp/stock/?code="&amp;TEXT(B112,"0000"),"株探")</f>
        <v/>
      </c>
      <c r="B112" s="111" t="n"/>
      <c r="C112" s="111" t="n"/>
      <c r="D112" s="111" t="n"/>
      <c r="E112" s="698" t="n"/>
      <c r="F112" s="426" t="n"/>
      <c r="G112" s="111" t="n"/>
      <c r="H112" s="113">
        <f>_xll.RssMarket("d7","現在値")</f>
        <v/>
      </c>
      <c r="I112" s="113">
        <f t="array" ref="I112">_xll.RssMarket(B112, "出来高加重平均")</f>
        <v/>
      </c>
      <c r="J112" s="113">
        <f t="array" ref="J112">_xll.RssMarket(B112, "前日比")</f>
        <v/>
      </c>
      <c r="K112" s="113">
        <f>IF(OR(F112="",G112="",H112=""),"",(H112-F112)*G112)</f>
        <v/>
      </c>
      <c r="L112" s="114">
        <f>IF(OR(F112="",H112=""),"",(H112-F112)/F112)</f>
        <v/>
      </c>
      <c r="M112" s="113">
        <f>IF(F112="","",F112*1.07)</f>
        <v/>
      </c>
      <c r="N112" s="113">
        <f>IF(F112="","",F112*0.96)</f>
        <v/>
      </c>
      <c r="O112" s="113">
        <f>IF(B112="","",IF(H112="","保有中",IF(H112&gt;=M112,"🟢利確推奨",IF(H112&gt;=F112*1.06,"🟡利確&amp;TR STOP検討",IF(H112&lt;=N112,"🔴損切推奨",IF(H112&lt;=F112*0.965,"🔴損切間近",IF(H112&lt;=F112*0.97,"⚠️-3%注意",IF(H112&lt;=F112*0.96,"🟡STOP推奨","保持継続"))))))))</f>
        <v/>
      </c>
      <c r="P112" s="113">
        <f t="array" ref="P112">IF(B112="","",IFERROR(MAX(OFFSET(高値!$E$6,MATCH(TEXT(B112,"0"),TEXT(銘柄管理!$B$6:$B$305,"0"),0)-1,0,1,10)),""))</f>
        <v/>
      </c>
      <c r="Q112" s="113">
        <f t="array" ref="Q112">IF(B112="","",IFERROR(MIN(OFFSET(安値!$E$6,MATCH(TEXT(B112,"0"),TEXT(銘柄管理!$B$6:$B$305,"0"),0)-1,0,1,10)),""))</f>
        <v/>
      </c>
      <c r="R112" s="113">
        <f>IF(P112="","",ROUND(P112*0.97,0))</f>
        <v/>
      </c>
      <c r="S112" s="461">
        <f>IF(B112="","",IF(T112&lt;&gt;"","?売却済",IF(H112="","?保有中",IF(H112&gt;=M112,"??利確推奨",IF(H112&lt;=N112,"??損切推奨",IF(H112&lt;=R112,"??STOP推奨","?保有中"))))))</f>
        <v/>
      </c>
      <c r="T112" s="111" t="n"/>
      <c r="U112" s="111" t="n"/>
      <c r="V112" s="113">
        <f>IF(OR(F112="",G112="",U112=""),"",(U112-F112)*G112)</f>
        <v/>
      </c>
      <c r="W112" s="699">
        <f>IF(OR(E112="",B112=""),"",IF(T112&lt;&gt;"",T112-E112,TODAY()-E112))</f>
        <v/>
      </c>
      <c r="X112" s="111" t="n"/>
    </row>
    <row r="113" ht="17.25" customHeight="1" s="574">
      <c r="A113" s="408">
        <f>HYPERLINK("https://kabutan.jp/stock/?code="&amp;TEXT(B113,"0000"),"株探")</f>
        <v/>
      </c>
      <c r="B113" s="111" t="n"/>
      <c r="C113" s="111" t="n"/>
      <c r="D113" s="111" t="n"/>
      <c r="E113" s="698" t="n"/>
      <c r="F113" s="426" t="n"/>
      <c r="G113" s="111" t="n"/>
      <c r="H113" s="113">
        <f>_xll.RssMarket("d7","現在値")</f>
        <v/>
      </c>
      <c r="I113" s="113">
        <f t="array" ref="I113">_xll.RssMarket(B113, "出来高加重平均")</f>
        <v/>
      </c>
      <c r="J113" s="113">
        <f t="array" ref="J113">_xll.RssMarket(B113, "前日比")</f>
        <v/>
      </c>
      <c r="K113" s="113">
        <f>IF(OR(F113="",G113="",H113=""),"",(H113-F113)*G113)</f>
        <v/>
      </c>
      <c r="L113" s="114">
        <f>IF(OR(F113="",H113=""),"",(H113-F113)/F113)</f>
        <v/>
      </c>
      <c r="M113" s="113">
        <f>IF(F113="","",F113*1.07)</f>
        <v/>
      </c>
      <c r="N113" s="113">
        <f>IF(F113="","",F113*0.96)</f>
        <v/>
      </c>
      <c r="O113" s="113">
        <f>IF(B113="","",IF(H113="","保有中",IF(H113&gt;=M113,"🟢利確推奨",IF(H113&gt;=F113*1.06,"🟡利確&amp;TR STOP検討",IF(H113&lt;=N113,"🔴損切推奨",IF(H113&lt;=F113*0.965,"🔴損切間近",IF(H113&lt;=F113*0.97,"⚠️-3%注意",IF(H113&lt;=F113*0.96,"🟡STOP推奨","保持継続"))))))))</f>
        <v/>
      </c>
      <c r="P113" s="113">
        <f t="array" ref="P113">IF(B113="","",IFERROR(MAX(OFFSET(高値!$E$6,MATCH(TEXT(B113,"0"),TEXT(銘柄管理!$B$6:$B$305,"0"),0)-1,0,1,10)),""))</f>
        <v/>
      </c>
      <c r="Q113" s="113">
        <f t="array" ref="Q113">IF(B113="","",IFERROR(MIN(OFFSET(安値!$E$6,MATCH(TEXT(B113,"0"),TEXT(銘柄管理!$B$6:$B$305,"0"),0)-1,0,1,10)),""))</f>
        <v/>
      </c>
      <c r="R113" s="113">
        <f>IF(P113="","",ROUND(P113*0.97,0))</f>
        <v/>
      </c>
      <c r="S113" s="461">
        <f>IF(B113="","",IF(T113&lt;&gt;"","?売却済",IF(H113="","?保有中",IF(H113&gt;=M113,"??利確推奨",IF(H113&lt;=N113,"??損切推奨",IF(H113&lt;=R113,"??STOP推奨","?保有中"))))))</f>
        <v/>
      </c>
      <c r="T113" s="111" t="n"/>
      <c r="U113" s="111" t="n"/>
      <c r="V113" s="113">
        <f>IF(OR(F113="",G113="",U113=""),"",(U113-F113)*G113)</f>
        <v/>
      </c>
      <c r="W113" s="699">
        <f>IF(OR(E113="",B113=""),"",IF(T113&lt;&gt;"",T113-E113,TODAY()-E113))</f>
        <v/>
      </c>
      <c r="X113" s="111" t="n"/>
    </row>
    <row r="114" ht="17.25" customHeight="1" s="574">
      <c r="A114" s="408">
        <f>HYPERLINK("https://kabutan.jp/stock/?code="&amp;TEXT(B114,"0000"),"株探")</f>
        <v/>
      </c>
      <c r="B114" s="111" t="n"/>
      <c r="C114" s="111" t="n"/>
      <c r="D114" s="111" t="n"/>
      <c r="E114" s="698" t="n"/>
      <c r="F114" s="426" t="n"/>
      <c r="G114" s="111" t="n"/>
      <c r="H114" s="113">
        <f>_xll.RssMarket("d7","現在値")</f>
        <v/>
      </c>
      <c r="I114" s="113">
        <f t="array" ref="I114">_xll.RssMarket(B114, "出来高加重平均")</f>
        <v/>
      </c>
      <c r="J114" s="113">
        <f t="array" ref="J114">_xll.RssMarket(B114, "前日比")</f>
        <v/>
      </c>
      <c r="K114" s="113">
        <f>IF(OR(F114="",G114="",H114=""),"",(H114-F114)*G114)</f>
        <v/>
      </c>
      <c r="L114" s="114">
        <f>IF(OR(F114="",H114=""),"",(H114-F114)/F114)</f>
        <v/>
      </c>
      <c r="M114" s="113">
        <f>IF(F114="","",F114*1.07)</f>
        <v/>
      </c>
      <c r="N114" s="113">
        <f>IF(F114="","",F114*0.96)</f>
        <v/>
      </c>
      <c r="O114" s="113">
        <f>IF(B114="","",IF(H114="","保有中",IF(H114&gt;=M114,"🟢利確推奨",IF(H114&gt;=F114*1.06,"🟡利確&amp;TR STOP検討",IF(H114&lt;=N114,"🔴損切推奨",IF(H114&lt;=F114*0.965,"🔴損切間近",IF(H114&lt;=F114*0.97,"⚠️-3%注意",IF(H114&lt;=F114*0.96,"🟡STOP推奨","保持継続"))))))))</f>
        <v/>
      </c>
      <c r="P114" s="113">
        <f t="array" ref="P114">IF(B114="","",IFERROR(MAX(OFFSET(高値!$E$6,MATCH(TEXT(B114,"0"),TEXT(銘柄管理!$B$6:$B$305,"0"),0)-1,0,1,10)),""))</f>
        <v/>
      </c>
      <c r="Q114" s="113">
        <f t="array" ref="Q114">IF(B114="","",IFERROR(MIN(OFFSET(安値!$E$6,MATCH(TEXT(B114,"0"),TEXT(銘柄管理!$B$6:$B$305,"0"),0)-1,0,1,10)),""))</f>
        <v/>
      </c>
      <c r="R114" s="113">
        <f>IF(P114="","",ROUND(P114*0.97,0))</f>
        <v/>
      </c>
      <c r="S114" s="461">
        <f>IF(B114="","",IF(T114&lt;&gt;"","?売却済",IF(H114="","?保有中",IF(H114&gt;=M114,"??利確推奨",IF(H114&lt;=N114,"??損切推奨",IF(H114&lt;=R114,"??STOP推奨","?保有中"))))))</f>
        <v/>
      </c>
      <c r="T114" s="111" t="n"/>
      <c r="U114" s="111" t="n"/>
      <c r="V114" s="113">
        <f>IF(OR(F114="",G114="",U114=""),"",(U114-F114)*G114)</f>
        <v/>
      </c>
      <c r="W114" s="699">
        <f>IF(OR(E114="",B114=""),"",IF(T114&lt;&gt;"",T114-E114,TODAY()-E114))</f>
        <v/>
      </c>
      <c r="X114" s="111" t="n"/>
    </row>
    <row r="115" ht="17.25" customHeight="1" s="574">
      <c r="A115" s="408">
        <f>HYPERLINK("https://kabutan.jp/stock/?code="&amp;TEXT(B115,"0000"),"株探")</f>
        <v/>
      </c>
      <c r="B115" s="111" t="n"/>
      <c r="C115" s="111" t="n"/>
      <c r="D115" s="111" t="n"/>
      <c r="E115" s="698" t="n"/>
      <c r="F115" s="426" t="n"/>
      <c r="G115" s="111" t="n"/>
      <c r="H115" s="113">
        <f>_xll.RssMarket("d7","現在値")</f>
        <v/>
      </c>
      <c r="I115" s="113">
        <f t="array" ref="I115">_xll.RssMarket(B115, "出来高加重平均")</f>
        <v/>
      </c>
      <c r="J115" s="113">
        <f t="array" ref="J115">_xll.RssMarket(B115, "前日比")</f>
        <v/>
      </c>
      <c r="K115" s="113">
        <f>IF(OR(F115="",G115="",H115=""),"",(H115-F115)*G115)</f>
        <v/>
      </c>
      <c r="L115" s="114">
        <f>IF(OR(F115="",H115=""),"",(H115-F115)/F115)</f>
        <v/>
      </c>
      <c r="M115" s="113">
        <f>IF(F115="","",F115*1.07)</f>
        <v/>
      </c>
      <c r="N115" s="113">
        <f>IF(F115="","",F115*0.96)</f>
        <v/>
      </c>
      <c r="O115" s="113">
        <f>IF(B115="","",IF(H115="","保有中",IF(H115&gt;=M115,"🟢利確推奨",IF(H115&gt;=F115*1.06,"🟡利確&amp;TR STOP検討",IF(H115&lt;=N115,"🔴損切推奨",IF(H115&lt;=F115*0.965,"🔴損切間近",IF(H115&lt;=F115*0.97,"⚠️-3%注意",IF(H115&lt;=F115*0.96,"🟡STOP推奨","保持継続"))))))))</f>
        <v/>
      </c>
      <c r="P115" s="113">
        <f t="array" ref="P115">IF(B115="","",IFERROR(MAX(OFFSET(高値!$E$6,MATCH(TEXT(B115,"0"),TEXT(銘柄管理!$B$6:$B$305,"0"),0)-1,0,1,10)),""))</f>
        <v/>
      </c>
      <c r="Q115" s="113">
        <f t="array" ref="Q115">IF(B115="","",IFERROR(MIN(OFFSET(安値!$E$6,MATCH(TEXT(B115,"0"),TEXT(銘柄管理!$B$6:$B$305,"0"),0)-1,0,1,10)),""))</f>
        <v/>
      </c>
      <c r="R115" s="113">
        <f>IF(P115="","",ROUND(P115*0.97,0))</f>
        <v/>
      </c>
      <c r="S115" s="461">
        <f>IF(B115="","",IF(T115&lt;&gt;"","?売却済",IF(H115="","?保有中",IF(H115&gt;=M115,"??利確推奨",IF(H115&lt;=N115,"??損切推奨",IF(H115&lt;=R115,"??STOP推奨","?保有中"))))))</f>
        <v/>
      </c>
      <c r="T115" s="111" t="n"/>
      <c r="U115" s="111" t="n"/>
      <c r="V115" s="113">
        <f>IF(OR(F115="",G115="",U115=""),"",(U115-F115)*G115)</f>
        <v/>
      </c>
      <c r="W115" s="699">
        <f>IF(OR(E115="",B115=""),"",IF(T115&lt;&gt;"",T115-E115,TODAY()-E115))</f>
        <v/>
      </c>
      <c r="X115" s="111" t="n"/>
    </row>
    <row r="116" ht="17.25" customHeight="1" s="574">
      <c r="A116" s="408">
        <f>HYPERLINK("https://kabutan.jp/stock/?code="&amp;TEXT(B116,"0000"),"株探")</f>
        <v/>
      </c>
      <c r="B116" s="111" t="n"/>
      <c r="C116" s="111" t="n"/>
      <c r="D116" s="111" t="n"/>
      <c r="E116" s="698" t="n"/>
      <c r="F116" s="426" t="n"/>
      <c r="G116" s="111" t="n"/>
      <c r="H116" s="113">
        <f>_xll.RssMarket("d7","現在値")</f>
        <v/>
      </c>
      <c r="I116" s="113">
        <f t="array" ref="I116">_xll.RssMarket(B116, "出来高加重平均")</f>
        <v/>
      </c>
      <c r="J116" s="113">
        <f t="array" ref="J116">_xll.RssMarket(B116, "前日比")</f>
        <v/>
      </c>
      <c r="K116" s="113">
        <f>IF(OR(F116="",G116="",H116=""),"",(H116-F116)*G116)</f>
        <v/>
      </c>
      <c r="L116" s="114">
        <f>IF(OR(F116="",H116=""),"",(H116-F116)/F116)</f>
        <v/>
      </c>
      <c r="M116" s="113">
        <f>IF(F116="","",F116*1.07)</f>
        <v/>
      </c>
      <c r="N116" s="113">
        <f>IF(F116="","",F116*0.96)</f>
        <v/>
      </c>
      <c r="O116" s="113">
        <f>IF(B116="","",IF(H116="","保有中",IF(H116&gt;=M116,"🟢利確推奨",IF(H116&gt;=F116*1.06,"🟡利確&amp;TR STOP検討",IF(H116&lt;=N116,"🔴損切推奨",IF(H116&lt;=F116*0.965,"🔴損切間近",IF(H116&lt;=F116*0.97,"⚠️-3%注意",IF(H116&lt;=F116*0.96,"🟡STOP推奨","保持継続"))))))))</f>
        <v/>
      </c>
      <c r="P116" s="113">
        <f t="array" ref="P116">IF(B116="","",IFERROR(MAX(OFFSET(高値!$E$6,MATCH(TEXT(B116,"0"),TEXT(銘柄管理!$B$6:$B$305,"0"),0)-1,0,1,10)),""))</f>
        <v/>
      </c>
      <c r="Q116" s="113">
        <f t="array" ref="Q116">IF(B116="","",IFERROR(MIN(OFFSET(安値!$E$6,MATCH(TEXT(B116,"0"),TEXT(銘柄管理!$B$6:$B$305,"0"),0)-1,0,1,10)),""))</f>
        <v/>
      </c>
      <c r="R116" s="113">
        <f>IF(P116="","",ROUND(P116*0.97,0))</f>
        <v/>
      </c>
      <c r="S116" s="461">
        <f>IF(B116="","",IF(T116&lt;&gt;"","?売却済",IF(H116="","?保有中",IF(H116&gt;=M116,"??利確推奨",IF(H116&lt;=N116,"??損切推奨",IF(H116&lt;=R116,"??STOP推奨","?保有中"))))))</f>
        <v/>
      </c>
      <c r="T116" s="111" t="n"/>
      <c r="U116" s="111" t="n"/>
      <c r="V116" s="113">
        <f>IF(OR(F116="",G116="",U116=""),"",(U116-F116)*G116)</f>
        <v/>
      </c>
      <c r="W116" s="699">
        <f>IF(OR(E116="",B116=""),"",IF(T116&lt;&gt;"",T116-E116,TODAY()-E116))</f>
        <v/>
      </c>
      <c r="X116" s="111" t="n"/>
    </row>
    <row r="117" ht="17.25" customHeight="1" s="574">
      <c r="A117" s="408">
        <f>HYPERLINK("https://kabutan.jp/stock/?code="&amp;TEXT(B117,"0000"),"株探")</f>
        <v/>
      </c>
      <c r="B117" s="111" t="n"/>
      <c r="C117" s="111" t="n"/>
      <c r="D117" s="111" t="n"/>
      <c r="E117" s="698" t="n"/>
      <c r="F117" s="426" t="n"/>
      <c r="G117" s="111" t="n"/>
      <c r="H117" s="113">
        <f>_xll.RssMarket("d7","現在値")</f>
        <v/>
      </c>
      <c r="I117" s="113">
        <f t="array" ref="I117">_xll.RssMarket(B117, "出来高加重平均")</f>
        <v/>
      </c>
      <c r="J117" s="113">
        <f t="array" ref="J117">_xll.RssMarket(B117, "前日比")</f>
        <v/>
      </c>
      <c r="K117" s="113">
        <f>IF(OR(F117="",G117="",H117=""),"",(H117-F117)*G117)</f>
        <v/>
      </c>
      <c r="L117" s="114">
        <f>IF(OR(F117="",H117=""),"",(H117-F117)/F117)</f>
        <v/>
      </c>
      <c r="M117" s="113">
        <f>IF(F117="","",F117*1.07)</f>
        <v/>
      </c>
      <c r="N117" s="113">
        <f>IF(F117="","",F117*0.96)</f>
        <v/>
      </c>
      <c r="O117" s="113">
        <f>IF(B117="","",IF(H117="","保有中",IF(H117&gt;=M117,"🟢利確推奨",IF(H117&gt;=F117*1.06,"🟡利確&amp;TR STOP検討",IF(H117&lt;=N117,"🔴損切推奨",IF(H117&lt;=F117*0.965,"🔴損切間近",IF(H117&lt;=F117*0.97,"⚠️-3%注意",IF(H117&lt;=F117*0.96,"🟡STOP推奨","保持継続"))))))))</f>
        <v/>
      </c>
      <c r="P117" s="113">
        <f t="array" ref="P117">IF(B117="","",IFERROR(MAX(OFFSET(高値!$E$6,MATCH(TEXT(B117,"0"),TEXT(銘柄管理!$B$6:$B$305,"0"),0)-1,0,1,10)),""))</f>
        <v/>
      </c>
      <c r="Q117" s="113">
        <f t="array" ref="Q117">IF(B117="","",IFERROR(MIN(OFFSET(安値!$E$6,MATCH(TEXT(B117,"0"),TEXT(銘柄管理!$B$6:$B$305,"0"),0)-1,0,1,10)),""))</f>
        <v/>
      </c>
      <c r="R117" s="113">
        <f>IF(P117="","",ROUND(P117*0.97,0))</f>
        <v/>
      </c>
      <c r="S117" s="461">
        <f>IF(B117="","",IF(T117&lt;&gt;"","?売却済",IF(H117="","?保有中",IF(H117&gt;=M117,"??利確推奨",IF(H117&lt;=N117,"??損切推奨",IF(H117&lt;=R117,"??STOP推奨","?保有中"))))))</f>
        <v/>
      </c>
      <c r="T117" s="111" t="n"/>
      <c r="U117" s="111" t="n"/>
      <c r="V117" s="113">
        <f>IF(OR(F117="",G117="",U117=""),"",(U117-F117)*G117)</f>
        <v/>
      </c>
      <c r="W117" s="699">
        <f>IF(OR(E117="",B117=""),"",IF(T117&lt;&gt;"",T117-E117,TODAY()-E117))</f>
        <v/>
      </c>
      <c r="X117" s="111" t="n"/>
    </row>
    <row r="118" ht="17.25" customHeight="1" s="574">
      <c r="A118" s="408">
        <f>HYPERLINK("https://kabutan.jp/stock/?code="&amp;TEXT(B118,"0000"),"株探")</f>
        <v/>
      </c>
      <c r="B118" s="111" t="n"/>
      <c r="C118" s="111" t="n"/>
      <c r="D118" s="111" t="n"/>
      <c r="E118" s="698" t="n"/>
      <c r="F118" s="426" t="n"/>
      <c r="G118" s="111" t="n"/>
      <c r="H118" s="113">
        <f>_xll.RssMarket("d7","現在値")</f>
        <v/>
      </c>
      <c r="I118" s="113">
        <f t="array" ref="I118">_xll.RssMarket(B118, "出来高加重平均")</f>
        <v/>
      </c>
      <c r="J118" s="113">
        <f t="array" ref="J118">_xll.RssMarket(B118, "前日比")</f>
        <v/>
      </c>
      <c r="K118" s="113">
        <f>IF(OR(F118="",G118="",H118=""),"",(H118-F118)*G118)</f>
        <v/>
      </c>
      <c r="L118" s="114">
        <f>IF(OR(F118="",H118=""),"",(H118-F118)/F118)</f>
        <v/>
      </c>
      <c r="M118" s="113">
        <f>IF(F118="","",F118*1.07)</f>
        <v/>
      </c>
      <c r="N118" s="113">
        <f>IF(F118="","",F118*0.96)</f>
        <v/>
      </c>
      <c r="O118" s="113">
        <f>IF(B118="","",IF(H118="","保有中",IF(H118&gt;=M118,"🟢利確推奨",IF(H118&gt;=F118*1.06,"🟡利確&amp;TR STOP検討",IF(H118&lt;=N118,"🔴損切推奨",IF(H118&lt;=F118*0.965,"🔴損切間近",IF(H118&lt;=F118*0.97,"⚠️-3%注意",IF(H118&lt;=F118*0.96,"🟡STOP推奨","保持継続"))))))))</f>
        <v/>
      </c>
      <c r="P118" s="113">
        <f t="array" ref="P118">IF(B118="","",IFERROR(MAX(OFFSET(高値!$E$6,MATCH(TEXT(B118,"0"),TEXT(銘柄管理!$B$6:$B$305,"0"),0)-1,0,1,10)),""))</f>
        <v/>
      </c>
      <c r="Q118" s="113">
        <f t="array" ref="Q118">IF(B118="","",IFERROR(MIN(OFFSET(安値!$E$6,MATCH(TEXT(B118,"0"),TEXT(銘柄管理!$B$6:$B$305,"0"),0)-1,0,1,10)),""))</f>
        <v/>
      </c>
      <c r="R118" s="113">
        <f>IF(P118="","",ROUND(P118*0.97,0))</f>
        <v/>
      </c>
      <c r="S118" s="461">
        <f>IF(B118="","",IF(T118&lt;&gt;"","?売却済",IF(H118="","?保有中",IF(H118&gt;=M118,"??利確推奨",IF(H118&lt;=N118,"??損切推奨",IF(H118&lt;=R118,"??STOP推奨","?保有中"))))))</f>
        <v/>
      </c>
      <c r="T118" s="111" t="n"/>
      <c r="U118" s="111" t="n"/>
      <c r="V118" s="113">
        <f>IF(OR(F118="",G118="",U118=""),"",(U118-F118)*G118)</f>
        <v/>
      </c>
      <c r="W118" s="699">
        <f>IF(OR(E118="",B118=""),"",IF(T118&lt;&gt;"",T118-E118,TODAY()-E118))</f>
        <v/>
      </c>
      <c r="X118" s="111" t="n"/>
    </row>
    <row r="119" ht="17.25" customHeight="1" s="574">
      <c r="A119" s="408">
        <f>HYPERLINK("https://kabutan.jp/stock/?code="&amp;TEXT(B119,"0000"),"株探")</f>
        <v/>
      </c>
      <c r="B119" s="111" t="n"/>
      <c r="C119" s="111" t="n"/>
      <c r="D119" s="111" t="n"/>
      <c r="E119" s="698" t="n"/>
      <c r="F119" s="426" t="n"/>
      <c r="G119" s="111" t="n"/>
      <c r="H119" s="113">
        <f>_xll.RssMarket("d7","現在値")</f>
        <v/>
      </c>
      <c r="I119" s="113">
        <f t="array" ref="I119">_xll.RssMarket(B119, "出来高加重平均")</f>
        <v/>
      </c>
      <c r="J119" s="113">
        <f t="array" ref="J119">_xll.RssMarket(B119, "前日比")</f>
        <v/>
      </c>
      <c r="K119" s="113">
        <f>IF(OR(F119="",G119="",H119=""),"",(H119-F119)*G119)</f>
        <v/>
      </c>
      <c r="L119" s="114">
        <f>IF(OR(F119="",H119=""),"",(H119-F119)/F119)</f>
        <v/>
      </c>
      <c r="M119" s="113">
        <f>IF(F119="","",F119*1.07)</f>
        <v/>
      </c>
      <c r="N119" s="113">
        <f>IF(F119="","",F119*0.96)</f>
        <v/>
      </c>
      <c r="O119" s="113">
        <f>IF(B119="","",IF(H119="","保有中",IF(H119&gt;=M119,"🟢利確推奨",IF(H119&gt;=F119*1.06,"🟡利確&amp;TR STOP検討",IF(H119&lt;=N119,"🔴損切推奨",IF(H119&lt;=F119*0.965,"🔴損切間近",IF(H119&lt;=F119*0.97,"⚠️-3%注意",IF(H119&lt;=F119*0.96,"🟡STOP推奨","保持継続"))))))))</f>
        <v/>
      </c>
      <c r="P119" s="113">
        <f t="array" ref="P119">IF(B119="","",IFERROR(MAX(OFFSET(高値!$E$6,MATCH(TEXT(B119,"0"),TEXT(銘柄管理!$B$6:$B$305,"0"),0)-1,0,1,10)),""))</f>
        <v/>
      </c>
      <c r="Q119" s="113">
        <f t="array" ref="Q119">IF(B119="","",IFERROR(MIN(OFFSET(安値!$E$6,MATCH(TEXT(B119,"0"),TEXT(銘柄管理!$B$6:$B$305,"0"),0)-1,0,1,10)),""))</f>
        <v/>
      </c>
      <c r="R119" s="113">
        <f>IF(P119="","",ROUND(P119*0.97,0))</f>
        <v/>
      </c>
      <c r="S119" s="461">
        <f>IF(B119="","",IF(T119&lt;&gt;"","?売却済",IF(H119="","?保有中",IF(H119&gt;=M119,"??利確推奨",IF(H119&lt;=N119,"??損切推奨",IF(H119&lt;=R119,"??STOP推奨","?保有中"))))))</f>
        <v/>
      </c>
      <c r="T119" s="111" t="n"/>
      <c r="U119" s="111" t="n"/>
      <c r="V119" s="113">
        <f>IF(OR(F119="",G119="",U119=""),"",(U119-F119)*G119)</f>
        <v/>
      </c>
      <c r="W119" s="699">
        <f>IF(OR(E119="",B119=""),"",IF(T119&lt;&gt;"",T119-E119,TODAY()-E119))</f>
        <v/>
      </c>
      <c r="X119" s="111" t="n"/>
    </row>
    <row r="120" ht="17.25" customHeight="1" s="574">
      <c r="A120" s="408">
        <f>HYPERLINK("https://kabutan.jp/stock/?code="&amp;TEXT(B120,"0000"),"株探")</f>
        <v/>
      </c>
      <c r="B120" s="111" t="n"/>
      <c r="C120" s="111" t="n"/>
      <c r="D120" s="111" t="n"/>
      <c r="E120" s="698" t="n"/>
      <c r="F120" s="426" t="n"/>
      <c r="G120" s="111" t="n"/>
      <c r="H120" s="113">
        <f>_xll.RssMarket("d7","現在値")</f>
        <v/>
      </c>
      <c r="I120" s="113">
        <f t="array" ref="I120">_xll.RssMarket(B120, "出来高加重平均")</f>
        <v/>
      </c>
      <c r="J120" s="113">
        <f t="array" ref="J120">_xll.RssMarket(B120, "前日比")</f>
        <v/>
      </c>
      <c r="K120" s="113">
        <f>IF(OR(F120="",G120="",H120=""),"",(H120-F120)*G120)</f>
        <v/>
      </c>
      <c r="L120" s="114">
        <f>IF(OR(F120="",H120=""),"",(H120-F120)/F120)</f>
        <v/>
      </c>
      <c r="M120" s="113">
        <f>IF(F120="","",F120*1.07)</f>
        <v/>
      </c>
      <c r="N120" s="113">
        <f>IF(F120="","",F120*0.96)</f>
        <v/>
      </c>
      <c r="O120" s="113">
        <f>IF(B120="","",IF(H120="","保有中",IF(H120&gt;=M120,"🟢利確推奨",IF(H120&gt;=F120*1.06,"🟡利確&amp;TR STOP検討",IF(H120&lt;=N120,"🔴損切推奨",IF(H120&lt;=F120*0.965,"🔴損切間近",IF(H120&lt;=F120*0.97,"⚠️-3%注意",IF(H120&lt;=F120*0.96,"🟡STOP推奨","保持継続"))))))))</f>
        <v/>
      </c>
      <c r="P120" s="113">
        <f t="array" ref="P120">IF(B120="","",IFERROR(MAX(OFFSET(高値!$E$6,MATCH(TEXT(B120,"0"),TEXT(銘柄管理!$B$6:$B$305,"0"),0)-1,0,1,10)),""))</f>
        <v/>
      </c>
      <c r="Q120" s="113">
        <f t="array" ref="Q120">IF(B120="","",IFERROR(MIN(OFFSET(安値!$E$6,MATCH(TEXT(B120,"0"),TEXT(銘柄管理!$B$6:$B$305,"0"),0)-1,0,1,10)),""))</f>
        <v/>
      </c>
      <c r="R120" s="113">
        <f>IF(P120="","",ROUND(P120*0.97,0))</f>
        <v/>
      </c>
      <c r="S120" s="461">
        <f>IF(B120="","",IF(T120&lt;&gt;"","?売却済",IF(H120="","?保有中",IF(H120&gt;=M120,"??利確推奨",IF(H120&lt;=N120,"??損切推奨",IF(H120&lt;=R120,"??STOP推奨","?保有中"))))))</f>
        <v/>
      </c>
      <c r="T120" s="111" t="n"/>
      <c r="U120" s="111" t="n"/>
      <c r="V120" s="113">
        <f>IF(OR(F120="",G120="",U120=""),"",(U120-F120)*G120)</f>
        <v/>
      </c>
      <c r="W120" s="699">
        <f>IF(OR(E120="",B120=""),"",IF(T120&lt;&gt;"",T120-E120,TODAY()-E120))</f>
        <v/>
      </c>
      <c r="X120" s="111" t="n"/>
    </row>
    <row r="121" ht="17.25" customHeight="1" s="574">
      <c r="A121" s="408">
        <f>HYPERLINK("https://kabutan.jp/stock/?code="&amp;TEXT(B121,"0000"),"株探")</f>
        <v/>
      </c>
      <c r="B121" s="111" t="n"/>
      <c r="C121" s="111" t="n"/>
      <c r="D121" s="111" t="n"/>
      <c r="E121" s="698" t="n"/>
      <c r="F121" s="426" t="n"/>
      <c r="G121" s="111" t="n"/>
      <c r="H121" s="113">
        <f>_xll.RssMarket("d7","現在値")</f>
        <v/>
      </c>
      <c r="I121" s="113">
        <f t="array" ref="I121">_xll.RssMarket(B121, "出来高加重平均")</f>
        <v/>
      </c>
      <c r="J121" s="113">
        <f t="array" ref="J121">_xll.RssMarket(B121, "前日比")</f>
        <v/>
      </c>
      <c r="K121" s="113">
        <f>IF(OR(F121="",G121="",H121=""),"",(H121-F121)*G121)</f>
        <v/>
      </c>
      <c r="L121" s="114">
        <f>IF(OR(F121="",H121=""),"",(H121-F121)/F121)</f>
        <v/>
      </c>
      <c r="M121" s="113">
        <f>IF(F121="","",F121*1.07)</f>
        <v/>
      </c>
      <c r="N121" s="113">
        <f>IF(F121="","",F121*0.96)</f>
        <v/>
      </c>
      <c r="O121" s="113">
        <f>IF(B121="","",IF(H121="","保有中",IF(H121&gt;=M121,"🟢利確推奨",IF(H121&gt;=F121*1.06,"🟡利確&amp;TR STOP検討",IF(H121&lt;=N121,"🔴損切推奨",IF(H121&lt;=F121*0.965,"🔴損切間近",IF(H121&lt;=F121*0.97,"⚠️-3%注意",IF(H121&lt;=F121*0.96,"🟡STOP推奨","保持継続"))))))))</f>
        <v/>
      </c>
      <c r="P121" s="113">
        <f t="array" ref="P121">IF(B121="","",IFERROR(MAX(OFFSET(高値!$E$6,MATCH(TEXT(B121,"0"),TEXT(銘柄管理!$B$6:$B$305,"0"),0)-1,0,1,10)),""))</f>
        <v/>
      </c>
      <c r="Q121" s="113">
        <f t="array" ref="Q121">IF(B121="","",IFERROR(MIN(OFFSET(安値!$E$6,MATCH(TEXT(B121,"0"),TEXT(銘柄管理!$B$6:$B$305,"0"),0)-1,0,1,10)),""))</f>
        <v/>
      </c>
      <c r="R121" s="113">
        <f>IF(P121="","",ROUND(P121*0.97,0))</f>
        <v/>
      </c>
      <c r="S121" s="461">
        <f>IF(B121="","",IF(T121&lt;&gt;"","?売却済",IF(H121="","?保有中",IF(H121&gt;=M121,"??利確推奨",IF(H121&lt;=N121,"??損切推奨",IF(H121&lt;=R121,"??STOP推奨","?保有中"))))))</f>
        <v/>
      </c>
      <c r="T121" s="111" t="n"/>
      <c r="U121" s="111" t="n"/>
      <c r="V121" s="113">
        <f>IF(OR(F121="",G121="",U121=""),"",(U121-F121)*G121)</f>
        <v/>
      </c>
      <c r="W121" s="699">
        <f>IF(OR(E121="",B121=""),"",IF(T121&lt;&gt;"",T121-E121,TODAY()-E121))</f>
        <v/>
      </c>
      <c r="X121" s="111" t="n"/>
    </row>
    <row r="122" ht="17.25" customHeight="1" s="574">
      <c r="A122" s="408">
        <f>HYPERLINK("https://kabutan.jp/stock/?code="&amp;TEXT(B122,"0000"),"株探")</f>
        <v/>
      </c>
      <c r="B122" s="111" t="n"/>
      <c r="C122" s="111" t="n"/>
      <c r="D122" s="111" t="n"/>
      <c r="E122" s="698" t="n"/>
      <c r="F122" s="426" t="n"/>
      <c r="G122" s="111" t="n"/>
      <c r="H122" s="113">
        <f>_xll.RssMarket("d7","現在値")</f>
        <v/>
      </c>
      <c r="I122" s="113">
        <f t="array" ref="I122">_xll.RssMarket(B122, "出来高加重平均")</f>
        <v/>
      </c>
      <c r="J122" s="113">
        <f t="array" ref="J122">_xll.RssMarket(B122, "前日比")</f>
        <v/>
      </c>
      <c r="K122" s="113">
        <f>IF(OR(F122="",G122="",H122=""),"",(H122-F122)*G122)</f>
        <v/>
      </c>
      <c r="L122" s="114">
        <f>IF(OR(F122="",H122=""),"",(H122-F122)/F122)</f>
        <v/>
      </c>
      <c r="M122" s="113">
        <f>IF(F122="","",F122*1.07)</f>
        <v/>
      </c>
      <c r="N122" s="113">
        <f>IF(F122="","",F122*0.96)</f>
        <v/>
      </c>
      <c r="O122" s="113">
        <f>IF(B122="","",IF(H122="","保有中",IF(H122&gt;=M122,"🟢利確推奨",IF(H122&gt;=F122*1.06,"🟡利確&amp;TR STOP検討",IF(H122&lt;=N122,"🔴損切推奨",IF(H122&lt;=F122*0.965,"🔴損切間近",IF(H122&lt;=F122*0.97,"⚠️-3%注意",IF(H122&lt;=F122*0.96,"🟡STOP推奨","保持継続"))))))))</f>
        <v/>
      </c>
      <c r="P122" s="113">
        <f t="array" ref="P122">IF(B122="","",IFERROR(MAX(OFFSET(高値!$E$6,MATCH(TEXT(B122,"0"),TEXT(銘柄管理!$B$6:$B$305,"0"),0)-1,0,1,10)),""))</f>
        <v/>
      </c>
      <c r="Q122" s="113">
        <f t="array" ref="Q122">IF(B122="","",IFERROR(MIN(OFFSET(安値!$E$6,MATCH(TEXT(B122,"0"),TEXT(銘柄管理!$B$6:$B$305,"0"),0)-1,0,1,10)),""))</f>
        <v/>
      </c>
      <c r="R122" s="113">
        <f>IF(P122="","",ROUND(P122*0.97,0))</f>
        <v/>
      </c>
      <c r="S122" s="461">
        <f>IF(B122="","",IF(T122&lt;&gt;"","?売却済",IF(H122="","?保有中",IF(H122&gt;=M122,"??利確推奨",IF(H122&lt;=N122,"??損切推奨",IF(H122&lt;=R122,"??STOP推奨","?保有中"))))))</f>
        <v/>
      </c>
      <c r="T122" s="111" t="n"/>
      <c r="U122" s="111" t="n"/>
      <c r="V122" s="113">
        <f>IF(OR(F122="",G122="",U122=""),"",(U122-F122)*G122)</f>
        <v/>
      </c>
      <c r="W122" s="699">
        <f>IF(OR(E122="",B122=""),"",IF(T122&lt;&gt;"",T122-E122,TODAY()-E122))</f>
        <v/>
      </c>
      <c r="X122" s="111" t="n"/>
    </row>
    <row r="123" ht="17.25" customHeight="1" s="574">
      <c r="A123" s="408">
        <f>HYPERLINK("https://kabutan.jp/stock/?code="&amp;TEXT(B123,"0000"),"株探")</f>
        <v/>
      </c>
      <c r="B123" s="111" t="n"/>
      <c r="C123" s="111" t="n"/>
      <c r="D123" s="111" t="n"/>
      <c r="E123" s="698" t="n"/>
      <c r="F123" s="426" t="n"/>
      <c r="G123" s="111" t="n"/>
      <c r="H123" s="113">
        <f>_xll.RssMarket("d7","現在値")</f>
        <v/>
      </c>
      <c r="I123" s="113">
        <f t="array" ref="I123">_xll.RssMarket(B123, "出来高加重平均")</f>
        <v/>
      </c>
      <c r="J123" s="113">
        <f t="array" ref="J123">_xll.RssMarket(B123, "前日比")</f>
        <v/>
      </c>
      <c r="K123" s="113">
        <f>IF(OR(F123="",G123="",H123=""),"",(H123-F123)*G123)</f>
        <v/>
      </c>
      <c r="L123" s="114">
        <f>IF(OR(F123="",H123=""),"",(H123-F123)/F123)</f>
        <v/>
      </c>
      <c r="M123" s="113">
        <f>IF(F123="","",F123*1.07)</f>
        <v/>
      </c>
      <c r="N123" s="113">
        <f>IF(F123="","",F123*0.96)</f>
        <v/>
      </c>
      <c r="O123" s="113">
        <f>IF(B123="","",IF(H123="","保有中",IF(H123&gt;=M123,"🟢利確推奨",IF(H123&gt;=F123*1.06,"🟡利確&amp;TR STOP検討",IF(H123&lt;=N123,"🔴損切推奨",IF(H123&lt;=F123*0.965,"🔴損切間近",IF(H123&lt;=F123*0.97,"⚠️-3%注意",IF(H123&lt;=F123*0.96,"🟡STOP推奨","保持継続"))))))))</f>
        <v/>
      </c>
      <c r="P123" s="113">
        <f t="array" ref="P123">IF(B123="","",IFERROR(MAX(OFFSET(高値!$E$6,MATCH(TEXT(B123,"0"),TEXT(銘柄管理!$B$6:$B$305,"0"),0)-1,0,1,10)),""))</f>
        <v/>
      </c>
      <c r="Q123" s="113">
        <f t="array" ref="Q123">IF(B123="","",IFERROR(MIN(OFFSET(安値!$E$6,MATCH(TEXT(B123,"0"),TEXT(銘柄管理!$B$6:$B$305,"0"),0)-1,0,1,10)),""))</f>
        <v/>
      </c>
      <c r="R123" s="113">
        <f>IF(P123="","",ROUND(P123*0.97,0))</f>
        <v/>
      </c>
      <c r="S123" s="461">
        <f>IF(B123="","",IF(T123&lt;&gt;"","?売却済",IF(H123="","?保有中",IF(H123&gt;=M123,"??利確推奨",IF(H123&lt;=N123,"??損切推奨",IF(H123&lt;=R123,"??STOP推奨","?保有中"))))))</f>
        <v/>
      </c>
      <c r="T123" s="111" t="n"/>
      <c r="U123" s="111" t="n"/>
      <c r="V123" s="113">
        <f>IF(OR(F123="",G123="",U123=""),"",(U123-F123)*G123)</f>
        <v/>
      </c>
      <c r="W123" s="699">
        <f>IF(OR(E123="",B123=""),"",IF(T123&lt;&gt;"",T123-E123,TODAY()-E123))</f>
        <v/>
      </c>
      <c r="X123" s="111" t="n"/>
    </row>
    <row r="124" ht="17.25" customHeight="1" s="574">
      <c r="A124" s="408">
        <f>HYPERLINK("https://kabutan.jp/stock/?code="&amp;TEXT(B124,"0000"),"株探")</f>
        <v/>
      </c>
      <c r="B124" s="111" t="n"/>
      <c r="C124" s="111" t="n"/>
      <c r="D124" s="111" t="n"/>
      <c r="E124" s="698" t="n"/>
      <c r="F124" s="426" t="n"/>
      <c r="G124" s="111" t="n"/>
      <c r="H124" s="113">
        <f>_xll.RssMarket("d7","現在値")</f>
        <v/>
      </c>
      <c r="I124" s="113">
        <f t="array" ref="I124">_xll.RssMarket(B124, "出来高加重平均")</f>
        <v/>
      </c>
      <c r="J124" s="113">
        <f t="array" ref="J124">_xll.RssMarket(B124, "前日比")</f>
        <v/>
      </c>
      <c r="K124" s="113">
        <f>IF(OR(F124="",G124="",H124=""),"",(H124-F124)*G124)</f>
        <v/>
      </c>
      <c r="L124" s="114">
        <f>IF(OR(F124="",H124=""),"",(H124-F124)/F124)</f>
        <v/>
      </c>
      <c r="M124" s="113">
        <f>IF(F124="","",F124*1.07)</f>
        <v/>
      </c>
      <c r="N124" s="113">
        <f>IF(F124="","",F124*0.96)</f>
        <v/>
      </c>
      <c r="O124" s="113">
        <f>IF(B124="","",IF(H124="","保有中",IF(H124&gt;=M124,"🟢利確推奨",IF(H124&gt;=F124*1.06,"🟡利確&amp;TR STOP検討",IF(H124&lt;=N124,"🔴損切推奨",IF(H124&lt;=F124*0.965,"🔴損切間近",IF(H124&lt;=F124*0.97,"⚠️-3%注意",IF(H124&lt;=F124*0.96,"🟡STOP推奨","保持継続"))))))))</f>
        <v/>
      </c>
      <c r="P124" s="113">
        <f t="array" ref="P124">IF(B124="","",IFERROR(MAX(OFFSET(高値!$E$6,MATCH(TEXT(B124,"0"),TEXT(銘柄管理!$B$6:$B$305,"0"),0)-1,0,1,10)),""))</f>
        <v/>
      </c>
      <c r="Q124" s="113">
        <f t="array" ref="Q124">IF(B124="","",IFERROR(MIN(OFFSET(安値!$E$6,MATCH(TEXT(B124,"0"),TEXT(銘柄管理!$B$6:$B$305,"0"),0)-1,0,1,10)),""))</f>
        <v/>
      </c>
      <c r="R124" s="113">
        <f>IF(P124="","",ROUND(P124*0.97,0))</f>
        <v/>
      </c>
      <c r="S124" s="461">
        <f>IF(B124="","",IF(T124&lt;&gt;"","?売却済",IF(H124="","?保有中",IF(H124&gt;=M124,"??利確推奨",IF(H124&lt;=N124,"??損切推奨",IF(H124&lt;=R124,"??STOP推奨","?保有中"))))))</f>
        <v/>
      </c>
      <c r="T124" s="111" t="n"/>
      <c r="U124" s="111" t="n"/>
      <c r="V124" s="113">
        <f>IF(OR(F124="",G124="",U124=""),"",(U124-F124)*G124)</f>
        <v/>
      </c>
      <c r="W124" s="699">
        <f>IF(OR(E124="",B124=""),"",IF(T124&lt;&gt;"",T124-E124,TODAY()-E124))</f>
        <v/>
      </c>
      <c r="X124" s="111" t="n"/>
    </row>
    <row r="125" ht="17.25" customHeight="1" s="574">
      <c r="A125" s="408">
        <f>HYPERLINK("https://kabutan.jp/stock/?code="&amp;TEXT(B125,"0000"),"株探")</f>
        <v/>
      </c>
      <c r="B125" s="111" t="n"/>
      <c r="C125" s="111" t="n"/>
      <c r="D125" s="111" t="n"/>
      <c r="E125" s="698" t="n"/>
      <c r="F125" s="426" t="n"/>
      <c r="G125" s="111" t="n"/>
      <c r="H125" s="113">
        <f>_xll.RssMarket("d7","現在値")</f>
        <v/>
      </c>
      <c r="I125" s="113">
        <f t="array" ref="I125">_xll.RssMarket(B125, "出来高加重平均")</f>
        <v/>
      </c>
      <c r="J125" s="113">
        <f t="array" ref="J125">_xll.RssMarket(B125, "前日比")</f>
        <v/>
      </c>
      <c r="K125" s="113">
        <f>IF(OR(F125="",G125="",H125=""),"",(H125-F125)*G125)</f>
        <v/>
      </c>
      <c r="L125" s="114">
        <f>IF(OR(F125="",H125=""),"",(H125-F125)/F125)</f>
        <v/>
      </c>
      <c r="M125" s="113">
        <f>IF(F125="","",F125*1.07)</f>
        <v/>
      </c>
      <c r="N125" s="113">
        <f>IF(F125="","",F125*0.96)</f>
        <v/>
      </c>
      <c r="O125" s="113">
        <f>IF(B125="","",IF(H125="","保有中",IF(H125&gt;=M125,"🟢利確推奨",IF(H125&gt;=F125*1.06,"🟡利確&amp;TR STOP検討",IF(H125&lt;=N125,"🔴損切推奨",IF(H125&lt;=F125*0.965,"🔴損切間近",IF(H125&lt;=F125*0.97,"⚠️-3%注意",IF(H125&lt;=F125*0.96,"🟡STOP推奨","保持継続"))))))))</f>
        <v/>
      </c>
      <c r="P125" s="113">
        <f t="array" ref="P125">IF(B125="","",IFERROR(MAX(OFFSET(高値!$E$6,MATCH(TEXT(B125,"0"),TEXT(銘柄管理!$B$6:$B$305,"0"),0)-1,0,1,10)),""))</f>
        <v/>
      </c>
      <c r="Q125" s="113">
        <f t="array" ref="Q125">IF(B125="","",IFERROR(MIN(OFFSET(安値!$E$6,MATCH(TEXT(B125,"0"),TEXT(銘柄管理!$B$6:$B$305,"0"),0)-1,0,1,10)),""))</f>
        <v/>
      </c>
      <c r="R125" s="113">
        <f>IF(P125="","",ROUND(P125*0.97,0))</f>
        <v/>
      </c>
      <c r="S125" s="461">
        <f>IF(B125="","",IF(T125&lt;&gt;"","?売却済",IF(H125="","?保有中",IF(H125&gt;=M125,"??利確推奨",IF(H125&lt;=N125,"??損切推奨",IF(H125&lt;=R125,"??STOP推奨","?保有中"))))))</f>
        <v/>
      </c>
      <c r="T125" s="111" t="n"/>
      <c r="U125" s="111" t="n"/>
      <c r="V125" s="113">
        <f>IF(OR(F125="",G125="",U125=""),"",(U125-F125)*G125)</f>
        <v/>
      </c>
      <c r="W125" s="699">
        <f>IF(OR(E125="",B125=""),"",IF(T125&lt;&gt;"",T125-E125,TODAY()-E125))</f>
        <v/>
      </c>
      <c r="X125" s="111" t="n"/>
    </row>
    <row r="126" ht="17.25" customHeight="1" s="574">
      <c r="A126" s="408">
        <f>HYPERLINK("https://kabutan.jp/stock/?code="&amp;TEXT(B126,"0000"),"株探")</f>
        <v/>
      </c>
      <c r="B126" s="111" t="n"/>
      <c r="C126" s="111" t="n"/>
      <c r="D126" s="111" t="n"/>
      <c r="E126" s="698" t="n"/>
      <c r="F126" s="426" t="n"/>
      <c r="G126" s="111" t="n"/>
      <c r="H126" s="113">
        <f>_xll.RssMarket("d7","現在値")</f>
        <v/>
      </c>
      <c r="I126" s="113">
        <f t="array" ref="I126">_xll.RssMarket(B126, "出来高加重平均")</f>
        <v/>
      </c>
      <c r="J126" s="113">
        <f t="array" ref="J126">_xll.RssMarket(B126, "前日比")</f>
        <v/>
      </c>
      <c r="K126" s="113">
        <f>IF(OR(F126="",G126="",H126=""),"",(H126-F126)*G126)</f>
        <v/>
      </c>
      <c r="L126" s="114">
        <f>IF(OR(F126="",H126=""),"",(H126-F126)/F126)</f>
        <v/>
      </c>
      <c r="M126" s="113">
        <f>IF(F126="","",F126*1.07)</f>
        <v/>
      </c>
      <c r="N126" s="113">
        <f>IF(F126="","",F126*0.96)</f>
        <v/>
      </c>
      <c r="O126" s="113">
        <f>IF(B126="","",IF(H126="","保有中",IF(H126&gt;=M126,"🟢利確推奨",IF(H126&gt;=F126*1.06,"🟡利確&amp;TR STOP検討",IF(H126&lt;=N126,"🔴損切推奨",IF(H126&lt;=F126*0.965,"🔴損切間近",IF(H126&lt;=F126*0.97,"⚠️-3%注意",IF(H126&lt;=F126*0.96,"🟡STOP推奨","保持継続"))))))))</f>
        <v/>
      </c>
      <c r="P126" s="113">
        <f t="array" ref="P126">IF(B126="","",IFERROR(MAX(OFFSET(高値!$E$6,MATCH(TEXT(B126,"0"),TEXT(銘柄管理!$B$6:$B$305,"0"),0)-1,0,1,10)),""))</f>
        <v/>
      </c>
      <c r="Q126" s="113">
        <f t="array" ref="Q126">IF(B126="","",IFERROR(MIN(OFFSET(安値!$E$6,MATCH(TEXT(B126,"0"),TEXT(銘柄管理!$B$6:$B$305,"0"),0)-1,0,1,10)),""))</f>
        <v/>
      </c>
      <c r="R126" s="113">
        <f>IF(P126="","",ROUND(P126*0.97,0))</f>
        <v/>
      </c>
      <c r="S126" s="461">
        <f>IF(B126="","",IF(T126&lt;&gt;"","?売却済",IF(H126="","?保有中",IF(H126&gt;=M126,"??利確推奨",IF(H126&lt;=N126,"??損切推奨",IF(H126&lt;=R126,"??STOP推奨","?保有中"))))))</f>
        <v/>
      </c>
      <c r="T126" s="111" t="n"/>
      <c r="U126" s="111" t="n"/>
      <c r="V126" s="113">
        <f>IF(OR(F126="",G126="",U126=""),"",(U126-F126)*G126)</f>
        <v/>
      </c>
      <c r="W126" s="699">
        <f>IF(OR(E126="",B126=""),"",IF(T126&lt;&gt;"",T126-E126,TODAY()-E126))</f>
        <v/>
      </c>
      <c r="X126" s="111" t="n"/>
    </row>
    <row r="127" ht="17.25" customHeight="1" s="574">
      <c r="A127" s="408">
        <f>HYPERLINK("https://kabutan.jp/stock/?code="&amp;TEXT(B127,"0000"),"株探")</f>
        <v/>
      </c>
      <c r="B127" s="111" t="n"/>
      <c r="C127" s="111" t="n"/>
      <c r="D127" s="111" t="n"/>
      <c r="E127" s="698" t="n"/>
      <c r="F127" s="426" t="n"/>
      <c r="G127" s="111" t="n"/>
      <c r="H127" s="113">
        <f>_xll.RssMarket("d7","現在値")</f>
        <v/>
      </c>
      <c r="I127" s="113">
        <f t="array" ref="I127">_xll.RssMarket(B127, "出来高加重平均")</f>
        <v/>
      </c>
      <c r="J127" s="113">
        <f t="array" ref="J127">_xll.RssMarket(B127, "前日比")</f>
        <v/>
      </c>
      <c r="K127" s="113">
        <f>IF(OR(F127="",G127="",H127=""),"",(H127-F127)*G127)</f>
        <v/>
      </c>
      <c r="L127" s="114">
        <f>IF(OR(F127="",H127=""),"",(H127-F127)/F127)</f>
        <v/>
      </c>
      <c r="M127" s="113">
        <f>IF(F127="","",F127*1.07)</f>
        <v/>
      </c>
      <c r="N127" s="113">
        <f>IF(F127="","",F127*0.96)</f>
        <v/>
      </c>
      <c r="O127" s="113">
        <f>IF(B127="","",IF(H127="","保有中",IF(H127&gt;=M127,"🟢利確推奨",IF(H127&gt;=F127*1.06,"🟡利確&amp;TR STOP検討",IF(H127&lt;=N127,"🔴損切推奨",IF(H127&lt;=F127*0.965,"🔴損切間近",IF(H127&lt;=F127*0.97,"⚠️-3%注意",IF(H127&lt;=F127*0.96,"🟡STOP推奨","保持継続"))))))))</f>
        <v/>
      </c>
      <c r="P127" s="113">
        <f t="array" ref="P127">IF(B127="","",IFERROR(MAX(OFFSET(高値!$E$6,MATCH(TEXT(B127,"0"),TEXT(銘柄管理!$B$6:$B$305,"0"),0)-1,0,1,10)),""))</f>
        <v/>
      </c>
      <c r="Q127" s="113">
        <f t="array" ref="Q127">IF(B127="","",IFERROR(MIN(OFFSET(安値!$E$6,MATCH(TEXT(B127,"0"),TEXT(銘柄管理!$B$6:$B$305,"0"),0)-1,0,1,10)),""))</f>
        <v/>
      </c>
      <c r="R127" s="113">
        <f>IF(P127="","",ROUND(P127*0.97,0))</f>
        <v/>
      </c>
      <c r="S127" s="461">
        <f>IF(B127="","",IF(T127&lt;&gt;"","?売却済",IF(H127="","?保有中",IF(H127&gt;=M127,"??利確推奨",IF(H127&lt;=N127,"??損切推奨",IF(H127&lt;=R127,"??STOP推奨","?保有中"))))))</f>
        <v/>
      </c>
      <c r="T127" s="111" t="n"/>
      <c r="U127" s="111" t="n"/>
      <c r="V127" s="113">
        <f>IF(OR(F127="",G127="",U127=""),"",(U127-F127)*G127)</f>
        <v/>
      </c>
      <c r="W127" s="699">
        <f>IF(OR(E127="",B127=""),"",IF(T127&lt;&gt;"",T127-E127,TODAY()-E127))</f>
        <v/>
      </c>
      <c r="X127" s="111" t="n"/>
    </row>
    <row r="128" ht="17.25" customHeight="1" s="574">
      <c r="A128" s="408">
        <f>HYPERLINK("https://kabutan.jp/stock/?code="&amp;TEXT(B128,"0000"),"株探")</f>
        <v/>
      </c>
      <c r="B128" s="111" t="n"/>
      <c r="C128" s="111" t="n"/>
      <c r="D128" s="111" t="n"/>
      <c r="E128" s="698" t="n"/>
      <c r="F128" s="426" t="n"/>
      <c r="G128" s="111" t="n"/>
      <c r="H128" s="113">
        <f>_xll.RssMarket("d7","現在値")</f>
        <v/>
      </c>
      <c r="I128" s="113">
        <f t="array" ref="I128">_xll.RssMarket(B128, "出来高加重平均")</f>
        <v/>
      </c>
      <c r="J128" s="113">
        <f t="array" ref="J128">_xll.RssMarket(B128, "前日比")</f>
        <v/>
      </c>
      <c r="K128" s="113">
        <f>IF(OR(F128="",G128="",H128=""),"",(H128-F128)*G128)</f>
        <v/>
      </c>
      <c r="L128" s="114">
        <f>IF(OR(F128="",H128=""),"",(H128-F128)/F128)</f>
        <v/>
      </c>
      <c r="M128" s="113">
        <f>IF(F128="","",F128*1.07)</f>
        <v/>
      </c>
      <c r="N128" s="113">
        <f>IF(F128="","",F128*0.96)</f>
        <v/>
      </c>
      <c r="O128" s="113">
        <f>IF(B128="","",IF(H128="","保有中",IF(H128&gt;=M128,"🟢利確推奨",IF(H128&gt;=F128*1.06,"🟡利確&amp;TR STOP検討",IF(H128&lt;=N128,"🔴損切推奨",IF(H128&lt;=F128*0.965,"🔴損切間近",IF(H128&lt;=F128*0.97,"⚠️-3%注意",IF(H128&lt;=F128*0.96,"🟡STOP推奨","保持継続"))))))))</f>
        <v/>
      </c>
      <c r="P128" s="113">
        <f t="array" ref="P128">IF(B128="","",IFERROR(MAX(OFFSET(高値!$E$6,MATCH(TEXT(B128,"0"),TEXT(銘柄管理!$B$6:$B$305,"0"),0)-1,0,1,10)),""))</f>
        <v/>
      </c>
      <c r="Q128" s="113">
        <f t="array" ref="Q128">IF(B128="","",IFERROR(MIN(OFFSET(安値!$E$6,MATCH(TEXT(B128,"0"),TEXT(銘柄管理!$B$6:$B$305,"0"),0)-1,0,1,10)),""))</f>
        <v/>
      </c>
      <c r="R128" s="113">
        <f>IF(P128="","",ROUND(P128*0.97,0))</f>
        <v/>
      </c>
      <c r="S128" s="461">
        <f>IF(B128="","",IF(T128&lt;&gt;"","?売却済",IF(H128="","?保有中",IF(H128&gt;=M128,"??利確推奨",IF(H128&lt;=N128,"??損切推奨",IF(H128&lt;=R128,"??STOP推奨","?保有中"))))))</f>
        <v/>
      </c>
      <c r="T128" s="111" t="n"/>
      <c r="U128" s="111" t="n"/>
      <c r="V128" s="113">
        <f>IF(OR(F128="",G128="",U128=""),"",(U128-F128)*G128)</f>
        <v/>
      </c>
      <c r="W128" s="699">
        <f>IF(OR(E128="",B128=""),"",IF(T128&lt;&gt;"",T128-E128,TODAY()-E128))</f>
        <v/>
      </c>
      <c r="X128" s="111" t="n"/>
    </row>
    <row r="129" ht="17.25" customHeight="1" s="574">
      <c r="A129" s="408">
        <f>HYPERLINK("https://kabutan.jp/stock/?code="&amp;TEXT(B129,"0000"),"株探")</f>
        <v/>
      </c>
      <c r="B129" s="111" t="n"/>
      <c r="C129" s="111" t="n"/>
      <c r="D129" s="111" t="n"/>
      <c r="E129" s="698" t="n"/>
      <c r="F129" s="426" t="n"/>
      <c r="G129" s="111" t="n"/>
      <c r="H129" s="113">
        <f>_xll.RssMarket("d7","現在値")</f>
        <v/>
      </c>
      <c r="I129" s="113">
        <f t="array" ref="I129">_xll.RssMarket(B129, "出来高加重平均")</f>
        <v/>
      </c>
      <c r="J129" s="113">
        <f t="array" ref="J129">_xll.RssMarket(B129, "前日比")</f>
        <v/>
      </c>
      <c r="K129" s="113">
        <f>IF(OR(F129="",G129="",H129=""),"",(H129-F129)*G129)</f>
        <v/>
      </c>
      <c r="L129" s="114">
        <f>IF(OR(F129="",H129=""),"",(H129-F129)/F129)</f>
        <v/>
      </c>
      <c r="M129" s="113">
        <f>IF(F129="","",F129*1.07)</f>
        <v/>
      </c>
      <c r="N129" s="113">
        <f>IF(F129="","",F129*0.96)</f>
        <v/>
      </c>
      <c r="O129" s="113">
        <f>IF(B129="","",IF(H129="","保有中",IF(H129&gt;=M129,"🟢利確推奨",IF(H129&gt;=F129*1.06,"🟡利確&amp;TR STOP検討",IF(H129&lt;=N129,"🔴損切推奨",IF(H129&lt;=F129*0.965,"🔴損切間近",IF(H129&lt;=F129*0.97,"⚠️-3%注意",IF(H129&lt;=F129*0.96,"🟡STOP推奨","保持継続"))))))))</f>
        <v/>
      </c>
      <c r="P129" s="113">
        <f t="array" ref="P129">IF(B129="","",IFERROR(MAX(OFFSET(高値!$E$6,MATCH(TEXT(B129,"0"),TEXT(銘柄管理!$B$6:$B$305,"0"),0)-1,0,1,10)),""))</f>
        <v/>
      </c>
      <c r="Q129" s="113">
        <f t="array" ref="Q129">IF(B129="","",IFERROR(MIN(OFFSET(安値!$E$6,MATCH(TEXT(B129,"0"),TEXT(銘柄管理!$B$6:$B$305,"0"),0)-1,0,1,10)),""))</f>
        <v/>
      </c>
      <c r="R129" s="113">
        <f>IF(P129="","",ROUND(P129*0.97,0))</f>
        <v/>
      </c>
      <c r="S129" s="461">
        <f>IF(B129="","",IF(T129&lt;&gt;"","?売却済",IF(H129="","?保有中",IF(H129&gt;=M129,"??利確推奨",IF(H129&lt;=N129,"??損切推奨",IF(H129&lt;=R129,"??STOP推奨","?保有中"))))))</f>
        <v/>
      </c>
      <c r="T129" s="111" t="n"/>
      <c r="U129" s="111" t="n"/>
      <c r="V129" s="113">
        <f>IF(OR(F129="",G129="",U129=""),"",(U129-F129)*G129)</f>
        <v/>
      </c>
      <c r="W129" s="699">
        <f>IF(OR(E129="",B129=""),"",IF(T129&lt;&gt;"",T129-E129,TODAY()-E129))</f>
        <v/>
      </c>
      <c r="X129" s="111" t="n"/>
    </row>
    <row r="130" ht="17.25" customHeight="1" s="574">
      <c r="A130" s="408">
        <f>HYPERLINK("https://kabutan.jp/stock/?code="&amp;TEXT(B130,"0000"),"株探")</f>
        <v/>
      </c>
      <c r="B130" s="111" t="n"/>
      <c r="C130" s="111" t="n"/>
      <c r="D130" s="111" t="n"/>
      <c r="E130" s="698" t="n"/>
      <c r="F130" s="426" t="n"/>
      <c r="G130" s="111" t="n"/>
      <c r="H130" s="113">
        <f>_xll.RssMarket("d7","現在値")</f>
        <v/>
      </c>
      <c r="I130" s="113">
        <f t="array" ref="I130">_xll.RssMarket(B130, "出来高加重平均")</f>
        <v/>
      </c>
      <c r="J130" s="113">
        <f t="array" ref="J130">_xll.RssMarket(B130, "前日比")</f>
        <v/>
      </c>
      <c r="K130" s="113">
        <f>IF(OR(F130="",G130="",H130=""),"",(H130-F130)*G130)</f>
        <v/>
      </c>
      <c r="L130" s="114">
        <f>IF(OR(F130="",H130=""),"",(H130-F130)/F130)</f>
        <v/>
      </c>
      <c r="M130" s="113">
        <f>IF(F130="","",F130*1.07)</f>
        <v/>
      </c>
      <c r="N130" s="113">
        <f>IF(F130="","",F130*0.96)</f>
        <v/>
      </c>
      <c r="O130" s="113">
        <f>IF(B130="","",IF(H130="","保有中",IF(H130&gt;=M130,"🟢利確推奨",IF(H130&gt;=F130*1.06,"🟡利確&amp;TR STOP検討",IF(H130&lt;=N130,"🔴損切推奨",IF(H130&lt;=F130*0.965,"🔴損切間近",IF(H130&lt;=F130*0.97,"⚠️-3%注意",IF(H130&lt;=F130*0.96,"🟡STOP推奨","保持継続"))))))))</f>
        <v/>
      </c>
      <c r="P130" s="113">
        <f t="array" ref="P130">IF(B130="","",IFERROR(MAX(OFFSET(高値!$E$6,MATCH(TEXT(B130,"0"),TEXT(銘柄管理!$B$6:$B$305,"0"),0)-1,0,1,10)),""))</f>
        <v/>
      </c>
      <c r="Q130" s="113">
        <f t="array" ref="Q130">IF(B130="","",IFERROR(MIN(OFFSET(安値!$E$6,MATCH(TEXT(B130,"0"),TEXT(銘柄管理!$B$6:$B$305,"0"),0)-1,0,1,10)),""))</f>
        <v/>
      </c>
      <c r="R130" s="113">
        <f>IF(P130="","",ROUND(P130*0.97,0))</f>
        <v/>
      </c>
      <c r="S130" s="461">
        <f>IF(B130="","",IF(T130&lt;&gt;"","?売却済",IF(H130="","?保有中",IF(H130&gt;=M130,"??利確推奨",IF(H130&lt;=N130,"??損切推奨",IF(H130&lt;=R130,"??STOP推奨","?保有中"))))))</f>
        <v/>
      </c>
      <c r="T130" s="111" t="n"/>
      <c r="U130" s="111" t="n"/>
      <c r="V130" s="113">
        <f>IF(OR(F130="",G130="",U130=""),"",(U130-F130)*G130)</f>
        <v/>
      </c>
      <c r="W130" s="699">
        <f>IF(OR(E130="",B130=""),"",IF(T130&lt;&gt;"",T130-E130,TODAY()-E130))</f>
        <v/>
      </c>
      <c r="X130" s="111" t="n"/>
    </row>
    <row r="131" ht="17.25" customHeight="1" s="574">
      <c r="A131" s="408">
        <f>HYPERLINK("https://kabutan.jp/stock/?code="&amp;TEXT(B131,"0000"),"株探")</f>
        <v/>
      </c>
      <c r="B131" s="111" t="n"/>
      <c r="C131" s="111" t="n"/>
      <c r="D131" s="111" t="n"/>
      <c r="E131" s="698" t="n"/>
      <c r="F131" s="426" t="n"/>
      <c r="G131" s="111" t="n"/>
      <c r="H131" s="113">
        <f>_xll.RssMarket("d7","現在値")</f>
        <v/>
      </c>
      <c r="I131" s="113">
        <f t="array" ref="I131">_xll.RssMarket(B131, "出来高加重平均")</f>
        <v/>
      </c>
      <c r="J131" s="113">
        <f t="array" ref="J131">_xll.RssMarket(B131, "前日比")</f>
        <v/>
      </c>
      <c r="K131" s="113">
        <f>IF(OR(F131="",G131="",H131=""),"",(H131-F131)*G131)</f>
        <v/>
      </c>
      <c r="L131" s="114">
        <f>IF(OR(F131="",H131=""),"",(H131-F131)/F131)</f>
        <v/>
      </c>
      <c r="M131" s="113">
        <f>IF(F131="","",F131*1.07)</f>
        <v/>
      </c>
      <c r="N131" s="113">
        <f>IF(F131="","",F131*0.96)</f>
        <v/>
      </c>
      <c r="O131" s="113">
        <f>IF(B131="","",IF(H131="","保有中",IF(H131&gt;=M131,"🟢利確推奨",IF(H131&gt;=F131*1.06,"🟡利確&amp;TR STOP検討",IF(H131&lt;=N131,"🔴損切推奨",IF(H131&lt;=F131*0.965,"🔴損切間近",IF(H131&lt;=F131*0.97,"⚠️-3%注意",IF(H131&lt;=F131*0.96,"🟡STOP推奨","保持継続"))))))))</f>
        <v/>
      </c>
      <c r="P131" s="113">
        <f t="array" ref="P131">IF(B131="","",IFERROR(MAX(OFFSET(高値!$E$6,MATCH(TEXT(B131,"0"),TEXT(銘柄管理!$B$6:$B$305,"0"),0)-1,0,1,10)),""))</f>
        <v/>
      </c>
      <c r="Q131" s="113">
        <f t="array" ref="Q131">IF(B131="","",IFERROR(MIN(OFFSET(安値!$E$6,MATCH(TEXT(B131,"0"),TEXT(銘柄管理!$B$6:$B$305,"0"),0)-1,0,1,10)),""))</f>
        <v/>
      </c>
      <c r="R131" s="113">
        <f>IF(P131="","",ROUND(P131*0.97,0))</f>
        <v/>
      </c>
      <c r="S131" s="461">
        <f>IF(B131="","",IF(T131&lt;&gt;"","?売却済",IF(H131="","?保有中",IF(H131&gt;=M131,"??利確推奨",IF(H131&lt;=N131,"??損切推奨",IF(H131&lt;=R131,"??STOP推奨","?保有中"))))))</f>
        <v/>
      </c>
      <c r="T131" s="111" t="n"/>
      <c r="U131" s="111" t="n"/>
      <c r="V131" s="113">
        <f>IF(OR(F131="",G131="",U131=""),"",(U131-F131)*G131)</f>
        <v/>
      </c>
      <c r="W131" s="699">
        <f>IF(OR(E131="",B131=""),"",IF(T131&lt;&gt;"",T131-E131,TODAY()-E131))</f>
        <v/>
      </c>
      <c r="X131" s="111" t="n"/>
    </row>
    <row r="132" ht="17.25" customHeight="1" s="574">
      <c r="A132" s="408">
        <f>HYPERLINK("https://kabutan.jp/stock/?code="&amp;TEXT(B132,"0000"),"株探")</f>
        <v/>
      </c>
      <c r="B132" s="111" t="n"/>
      <c r="C132" s="111" t="n"/>
      <c r="D132" s="111" t="n"/>
      <c r="E132" s="698" t="n"/>
      <c r="F132" s="426" t="n"/>
      <c r="G132" s="111" t="n"/>
      <c r="H132" s="113">
        <f>_xll.RssMarket("d7","現在値")</f>
        <v/>
      </c>
      <c r="I132" s="113">
        <f t="array" ref="I132">_xll.RssMarket(B132, "出来高加重平均")</f>
        <v/>
      </c>
      <c r="J132" s="113">
        <f t="array" ref="J132">_xll.RssMarket(B132, "前日比")</f>
        <v/>
      </c>
      <c r="K132" s="113">
        <f>IF(OR(F132="",G132="",H132=""),"",(H132-F132)*G132)</f>
        <v/>
      </c>
      <c r="L132" s="114">
        <f>IF(OR(F132="",H132=""),"",(H132-F132)/F132)</f>
        <v/>
      </c>
      <c r="M132" s="113">
        <f>IF(F132="","",F132*1.07)</f>
        <v/>
      </c>
      <c r="N132" s="113">
        <f>IF(F132="","",F132*0.96)</f>
        <v/>
      </c>
      <c r="O132" s="113">
        <f>IF(B132="","",IF(H132="","保有中",IF(H132&gt;=M132,"🟢利確推奨",IF(H132&gt;=F132*1.06,"🟡利確&amp;TR STOP検討",IF(H132&lt;=N132,"🔴損切推奨",IF(H132&lt;=F132*0.965,"🔴損切間近",IF(H132&lt;=F132*0.97,"⚠️-3%注意",IF(H132&lt;=F132*0.96,"🟡STOP推奨","保持継続"))))))))</f>
        <v/>
      </c>
      <c r="P132" s="113">
        <f t="array" ref="P132">IF(B132="","",IFERROR(MAX(OFFSET(高値!$E$6,MATCH(TEXT(B132,"0"),TEXT(銘柄管理!$B$6:$B$305,"0"),0)-1,0,1,10)),""))</f>
        <v/>
      </c>
      <c r="Q132" s="113">
        <f t="array" ref="Q132">IF(B132="","",IFERROR(MIN(OFFSET(安値!$E$6,MATCH(TEXT(B132,"0"),TEXT(銘柄管理!$B$6:$B$305,"0"),0)-1,0,1,10)),""))</f>
        <v/>
      </c>
      <c r="R132" s="113">
        <f>IF(P132="","",ROUND(P132*0.97,0))</f>
        <v/>
      </c>
      <c r="S132" s="461">
        <f>IF(B132="","",IF(T132&lt;&gt;"","?売却済",IF(H132="","?保有中",IF(H132&gt;=M132,"??利確推奨",IF(H132&lt;=N132,"??損切推奨",IF(H132&lt;=R132,"??STOP推奨","?保有中"))))))</f>
        <v/>
      </c>
      <c r="T132" s="111" t="n"/>
      <c r="U132" s="111" t="n"/>
      <c r="V132" s="113">
        <f>IF(OR(F132="",G132="",U132=""),"",(U132-F132)*G132)</f>
        <v/>
      </c>
      <c r="W132" s="699">
        <f>IF(OR(E132="",B132=""),"",IF(T132&lt;&gt;"",T132-E132,TODAY()-E132))</f>
        <v/>
      </c>
      <c r="X132" s="111" t="n"/>
    </row>
    <row r="133" ht="17.25" customHeight="1" s="574">
      <c r="A133" s="408">
        <f>HYPERLINK("https://kabutan.jp/stock/?code="&amp;TEXT(B133,"0000"),"株探")</f>
        <v/>
      </c>
      <c r="B133" s="111" t="n"/>
      <c r="C133" s="111" t="n"/>
      <c r="D133" s="111" t="n"/>
      <c r="E133" s="698" t="n"/>
      <c r="F133" s="426" t="n"/>
      <c r="G133" s="111" t="n"/>
      <c r="H133" s="113">
        <f>_xll.RssMarket("d7","現在値")</f>
        <v/>
      </c>
      <c r="I133" s="113">
        <f t="array" ref="I133">_xll.RssMarket(B133, "出来高加重平均")</f>
        <v/>
      </c>
      <c r="J133" s="113">
        <f t="array" ref="J133">_xll.RssMarket(B133, "前日比")</f>
        <v/>
      </c>
      <c r="K133" s="113">
        <f>IF(OR(F133="",G133="",H133=""),"",(H133-F133)*G133)</f>
        <v/>
      </c>
      <c r="L133" s="114">
        <f>IF(OR(F133="",H133=""),"",(H133-F133)/F133)</f>
        <v/>
      </c>
      <c r="M133" s="113">
        <f>IF(F133="","",F133*1.07)</f>
        <v/>
      </c>
      <c r="N133" s="113">
        <f>IF(F133="","",F133*0.96)</f>
        <v/>
      </c>
      <c r="O133" s="113">
        <f>IF(B133="","",IF(H133="","保有中",IF(H133&gt;=M133,"🟢利確推奨",IF(H133&gt;=F133*1.06,"🟡利確&amp;TR STOP検討",IF(H133&lt;=N133,"🔴損切推奨",IF(H133&lt;=F133*0.965,"🔴損切間近",IF(H133&lt;=F133*0.97,"⚠️-3%注意",IF(H133&lt;=F133*0.96,"🟡STOP推奨","保持継続"))))))))</f>
        <v/>
      </c>
      <c r="P133" s="113">
        <f t="array" ref="P133">IF(B133="","",IFERROR(MAX(OFFSET(高値!$E$6,MATCH(TEXT(B133,"0"),TEXT(銘柄管理!$B$6:$B$305,"0"),0)-1,0,1,10)),""))</f>
        <v/>
      </c>
      <c r="Q133" s="113">
        <f t="array" ref="Q133">IF(B133="","",IFERROR(MIN(OFFSET(安値!$E$6,MATCH(TEXT(B133,"0"),TEXT(銘柄管理!$B$6:$B$305,"0"),0)-1,0,1,10)),""))</f>
        <v/>
      </c>
      <c r="R133" s="113">
        <f>IF(P133="","",ROUND(P133*0.97,0))</f>
        <v/>
      </c>
      <c r="S133" s="461">
        <f>IF(B133="","",IF(T133&lt;&gt;"","?売却済",IF(H133="","?保有中",IF(H133&gt;=M133,"??利確推奨",IF(H133&lt;=N133,"??損切推奨",IF(H133&lt;=R133,"??STOP推奨","?保有中"))))))</f>
        <v/>
      </c>
      <c r="T133" s="111" t="n"/>
      <c r="U133" s="111" t="n"/>
      <c r="V133" s="113">
        <f>IF(OR(F133="",G133="",U133=""),"",(U133-F133)*G133)</f>
        <v/>
      </c>
      <c r="W133" s="699">
        <f>IF(OR(E133="",B133=""),"",IF(T133&lt;&gt;"",T133-E133,TODAY()-E133))</f>
        <v/>
      </c>
      <c r="X133" s="111" t="n"/>
    </row>
    <row r="134" ht="17.25" customHeight="1" s="574">
      <c r="A134" s="408">
        <f>HYPERLINK("https://kabutan.jp/stock/?code="&amp;TEXT(B134,"0000"),"株探")</f>
        <v/>
      </c>
      <c r="B134" s="111" t="n"/>
      <c r="C134" s="111" t="n"/>
      <c r="D134" s="111" t="n"/>
      <c r="E134" s="698" t="n"/>
      <c r="F134" s="426" t="n"/>
      <c r="G134" s="111" t="n"/>
      <c r="H134" s="113">
        <f>_xll.RssMarket("d7","現在値")</f>
        <v/>
      </c>
      <c r="I134" s="113">
        <f t="array" ref="I134">_xll.RssMarket(B134, "出来高加重平均")</f>
        <v/>
      </c>
      <c r="J134" s="113">
        <f t="array" ref="J134">_xll.RssMarket(B134, "前日比")</f>
        <v/>
      </c>
      <c r="K134" s="113">
        <f>IF(OR(F134="",G134="",H134=""),"",(H134-F134)*G134)</f>
        <v/>
      </c>
      <c r="L134" s="114">
        <f>IF(OR(F134="",H134=""),"",(H134-F134)/F134)</f>
        <v/>
      </c>
      <c r="M134" s="113">
        <f>IF(F134="","",F134*1.07)</f>
        <v/>
      </c>
      <c r="N134" s="113">
        <f>IF(F134="","",F134*0.96)</f>
        <v/>
      </c>
      <c r="O134" s="113">
        <f>IF(B134="","",IF(H134="","保有中",IF(H134&gt;=M134,"🟢利確推奨",IF(H134&gt;=F134*1.06,"🟡利確&amp;TR STOP検討",IF(H134&lt;=N134,"🔴損切推奨",IF(H134&lt;=F134*0.965,"🔴損切間近",IF(H134&lt;=F134*0.97,"⚠️-3%注意",IF(H134&lt;=F134*0.96,"🟡STOP推奨","保持継続"))))))))</f>
        <v/>
      </c>
      <c r="P134" s="113">
        <f t="array" ref="P134">IF(B134="","",IFERROR(MAX(OFFSET(高値!$E$6,MATCH(TEXT(B134,"0"),TEXT(銘柄管理!$B$6:$B$305,"0"),0)-1,0,1,10)),""))</f>
        <v/>
      </c>
      <c r="Q134" s="113">
        <f t="array" ref="Q134">IF(B134="","",IFERROR(MIN(OFFSET(安値!$E$6,MATCH(TEXT(B134,"0"),TEXT(銘柄管理!$B$6:$B$305,"0"),0)-1,0,1,10)),""))</f>
        <v/>
      </c>
      <c r="R134" s="113">
        <f>IF(P134="","",ROUND(P134*0.97,0))</f>
        <v/>
      </c>
      <c r="S134" s="461">
        <f>IF(B134="","",IF(T134&lt;&gt;"","?売却済",IF(H134="","?保有中",IF(H134&gt;=M134,"??利確推奨",IF(H134&lt;=N134,"??損切推奨",IF(H134&lt;=R134,"??STOP推奨","?保有中"))))))</f>
        <v/>
      </c>
      <c r="T134" s="111" t="n"/>
      <c r="U134" s="111" t="n"/>
      <c r="V134" s="113">
        <f>IF(OR(F134="",G134="",U134=""),"",(U134-F134)*G134)</f>
        <v/>
      </c>
      <c r="W134" s="699">
        <f>IF(OR(E134="",B134=""),"",IF(T134&lt;&gt;"",T134-E134,TODAY()-E134))</f>
        <v/>
      </c>
      <c r="X134" s="111" t="n"/>
    </row>
    <row r="135" ht="17.25" customHeight="1" s="574">
      <c r="A135" s="408">
        <f>HYPERLINK("https://kabutan.jp/stock/?code="&amp;TEXT(B135,"0000"),"株探")</f>
        <v/>
      </c>
      <c r="B135" s="111" t="n"/>
      <c r="C135" s="111" t="n"/>
      <c r="D135" s="111" t="n"/>
      <c r="E135" s="698" t="n"/>
      <c r="F135" s="426" t="n"/>
      <c r="G135" s="111" t="n"/>
      <c r="H135" s="113">
        <f>_xll.RssMarket("d7","現在値")</f>
        <v/>
      </c>
      <c r="I135" s="113">
        <f t="array" ref="I135">_xll.RssMarket(B135, "出来高加重平均")</f>
        <v/>
      </c>
      <c r="J135" s="113">
        <f t="array" ref="J135">_xll.RssMarket(B135, "前日比")</f>
        <v/>
      </c>
      <c r="K135" s="113">
        <f>IF(OR(F135="",G135="",H135=""),"",(H135-F135)*G135)</f>
        <v/>
      </c>
      <c r="L135" s="114">
        <f>IF(OR(F135="",H135=""),"",(H135-F135)/F135)</f>
        <v/>
      </c>
      <c r="M135" s="113">
        <f>IF(F135="","",F135*1.07)</f>
        <v/>
      </c>
      <c r="N135" s="113">
        <f>IF(F135="","",F135*0.96)</f>
        <v/>
      </c>
      <c r="O135" s="113">
        <f>IF(B135="","",IF(H135="","保有中",IF(H135&gt;=M135,"🟢利確推奨",IF(H135&gt;=F135*1.06,"🟡利確&amp;TR STOP検討",IF(H135&lt;=N135,"🔴損切推奨",IF(H135&lt;=F135*0.965,"🔴損切間近",IF(H135&lt;=F135*0.97,"⚠️-3%注意",IF(H135&lt;=F135*0.96,"🟡STOP推奨","保持継続"))))))))</f>
        <v/>
      </c>
      <c r="P135" s="113">
        <f t="array" ref="P135">IF(B135="","",IFERROR(MAX(OFFSET(高値!$E$6,MATCH(TEXT(B135,"0"),TEXT(銘柄管理!$B$6:$B$305,"0"),0)-1,0,1,10)),""))</f>
        <v/>
      </c>
      <c r="Q135" s="113">
        <f t="array" ref="Q135">IF(B135="","",IFERROR(MIN(OFFSET(安値!$E$6,MATCH(TEXT(B135,"0"),TEXT(銘柄管理!$B$6:$B$305,"0"),0)-1,0,1,10)),""))</f>
        <v/>
      </c>
      <c r="R135" s="113">
        <f>IF(P135="","",ROUND(P135*0.97,0))</f>
        <v/>
      </c>
      <c r="S135" s="461">
        <f>IF(B135="","",IF(T135&lt;&gt;"","?売却済",IF(H135="","?保有中",IF(H135&gt;=M135,"??利確推奨",IF(H135&lt;=N135,"??損切推奨",IF(H135&lt;=R135,"??STOP推奨","?保有中"))))))</f>
        <v/>
      </c>
      <c r="T135" s="111" t="n"/>
      <c r="U135" s="111" t="n"/>
      <c r="V135" s="113">
        <f>IF(OR(F135="",G135="",U135=""),"",(U135-F135)*G135)</f>
        <v/>
      </c>
      <c r="W135" s="699">
        <f>IF(OR(E135="",B135=""),"",IF(T135&lt;&gt;"",T135-E135,TODAY()-E135))</f>
        <v/>
      </c>
      <c r="X135" s="111" t="n"/>
    </row>
    <row r="136" ht="17.25" customHeight="1" s="574">
      <c r="A136" s="408">
        <f>HYPERLINK("https://kabutan.jp/stock/?code="&amp;TEXT(B136,"0000"),"株探")</f>
        <v/>
      </c>
      <c r="B136" s="111" t="n"/>
      <c r="C136" s="111" t="n"/>
      <c r="D136" s="111" t="n"/>
      <c r="E136" s="698" t="n"/>
      <c r="F136" s="426" t="n"/>
      <c r="G136" s="111" t="n"/>
      <c r="H136" s="113">
        <f>_xll.RssMarket("d7","現在値")</f>
        <v/>
      </c>
      <c r="I136" s="113">
        <f t="array" ref="I136">_xll.RssMarket(B136, "出来高加重平均")</f>
        <v/>
      </c>
      <c r="J136" s="113">
        <f t="array" ref="J136">_xll.RssMarket(B136, "前日比")</f>
        <v/>
      </c>
      <c r="K136" s="113">
        <f>IF(OR(F136="",G136="",H136=""),"",(H136-F136)*G136)</f>
        <v/>
      </c>
      <c r="L136" s="114">
        <f>IF(OR(F136="",H136=""),"",(H136-F136)/F136)</f>
        <v/>
      </c>
      <c r="M136" s="113">
        <f>IF(F136="","",F136*1.07)</f>
        <v/>
      </c>
      <c r="N136" s="113">
        <f>IF(F136="","",F136*0.96)</f>
        <v/>
      </c>
      <c r="O136" s="113">
        <f>IF(B136="","",IF(H136="","保有中",IF(H136&gt;=M136,"🟢利確推奨",IF(H136&gt;=F136*1.06,"🟡利確&amp;TR STOP検討",IF(H136&lt;=N136,"🔴損切推奨",IF(H136&lt;=F136*0.965,"🔴損切間近",IF(H136&lt;=F136*0.97,"⚠️-3%注意",IF(H136&lt;=F136*0.96,"🟡STOP推奨","保持継続"))))))))</f>
        <v/>
      </c>
      <c r="P136" s="113">
        <f t="array" ref="P136">IF(B136="","",IFERROR(MAX(OFFSET(高値!$E$6,MATCH(TEXT(B136,"0"),TEXT(銘柄管理!$B$6:$B$305,"0"),0)-1,0,1,10)),""))</f>
        <v/>
      </c>
      <c r="Q136" s="113">
        <f t="array" ref="Q136">IF(B136="","",IFERROR(MIN(OFFSET(安値!$E$6,MATCH(TEXT(B136,"0"),TEXT(銘柄管理!$B$6:$B$305,"0"),0)-1,0,1,10)),""))</f>
        <v/>
      </c>
      <c r="R136" s="113">
        <f>IF(P136="","",ROUND(P136*0.97,0))</f>
        <v/>
      </c>
      <c r="S136" s="461">
        <f>IF(B136="","",IF(T136&lt;&gt;"","?売却済",IF(H136="","?保有中",IF(H136&gt;=M136,"??利確推奨",IF(H136&lt;=N136,"??損切推奨",IF(H136&lt;=R136,"??STOP推奨","?保有中"))))))</f>
        <v/>
      </c>
      <c r="T136" s="111" t="n"/>
      <c r="U136" s="111" t="n"/>
      <c r="V136" s="113">
        <f>IF(OR(F136="",G136="",U136=""),"",(U136-F136)*G136)</f>
        <v/>
      </c>
      <c r="W136" s="699">
        <f>IF(OR(E136="",B136=""),"",IF(T136&lt;&gt;"",T136-E136,TODAY()-E136))</f>
        <v/>
      </c>
      <c r="X136" s="111" t="n"/>
    </row>
    <row r="137" ht="17.25" customHeight="1" s="574">
      <c r="A137" s="408">
        <f>HYPERLINK("https://kabutan.jp/stock/?code="&amp;TEXT(B137,"0000"),"株探")</f>
        <v/>
      </c>
      <c r="B137" s="111" t="n"/>
      <c r="C137" s="111" t="n"/>
      <c r="D137" s="111" t="n"/>
      <c r="E137" s="698" t="n"/>
      <c r="F137" s="426" t="n"/>
      <c r="G137" s="111" t="n"/>
      <c r="H137" s="113">
        <f>_xll.RssMarket("d7","現在値")</f>
        <v/>
      </c>
      <c r="I137" s="113">
        <f t="array" ref="I137">_xll.RssMarket(B137, "出来高加重平均")</f>
        <v/>
      </c>
      <c r="J137" s="113">
        <f t="array" ref="J137">_xll.RssMarket(B137, "前日比")</f>
        <v/>
      </c>
      <c r="K137" s="113">
        <f>IF(OR(F137="",G137="",H137=""),"",(H137-F137)*G137)</f>
        <v/>
      </c>
      <c r="L137" s="114">
        <f>IF(OR(F137="",H137=""),"",(H137-F137)/F137)</f>
        <v/>
      </c>
      <c r="M137" s="113">
        <f>IF(F137="","",F137*1.07)</f>
        <v/>
      </c>
      <c r="N137" s="113">
        <f>IF(F137="","",F137*0.96)</f>
        <v/>
      </c>
      <c r="O137" s="113">
        <f>IF(B137="","",IF(H137="","保有中",IF(H137&gt;=M137,"🟢利確推奨",IF(H137&gt;=F137*1.06,"🟡利確&amp;TR STOP検討",IF(H137&lt;=N137,"🔴損切推奨",IF(H137&lt;=F137*0.965,"🔴損切間近",IF(H137&lt;=F137*0.97,"⚠️-3%注意",IF(H137&lt;=F137*0.96,"🟡STOP推奨","保持継続"))))))))</f>
        <v/>
      </c>
      <c r="P137" s="113">
        <f t="array" ref="P137">IF(B137="","",IFERROR(MAX(OFFSET(高値!$E$6,MATCH(TEXT(B137,"0"),TEXT(銘柄管理!$B$6:$B$305,"0"),0)-1,0,1,10)),""))</f>
        <v/>
      </c>
      <c r="Q137" s="113">
        <f t="array" ref="Q137">IF(B137="","",IFERROR(MIN(OFFSET(安値!$E$6,MATCH(TEXT(B137,"0"),TEXT(銘柄管理!$B$6:$B$305,"0"),0)-1,0,1,10)),""))</f>
        <v/>
      </c>
      <c r="R137" s="113">
        <f>IF(P137="","",ROUND(P137*0.97,0))</f>
        <v/>
      </c>
      <c r="S137" s="461">
        <f>IF(B137="","",IF(T137&lt;&gt;"","?売却済",IF(H137="","?保有中",IF(H137&gt;=M137,"??利確推奨",IF(H137&lt;=N137,"??損切推奨",IF(H137&lt;=R137,"??STOP推奨","?保有中"))))))</f>
        <v/>
      </c>
      <c r="T137" s="111" t="n"/>
      <c r="U137" s="111" t="n"/>
      <c r="V137" s="113">
        <f>IF(OR(F137="",G137="",U137=""),"",(U137-F137)*G137)</f>
        <v/>
      </c>
      <c r="W137" s="699">
        <f>IF(OR(E137="",B137=""),"",IF(T137&lt;&gt;"",T137-E137,TODAY()-E137))</f>
        <v/>
      </c>
      <c r="X137" s="111" t="n"/>
    </row>
    <row r="138" ht="17.25" customHeight="1" s="574">
      <c r="A138" s="408">
        <f>HYPERLINK("https://kabutan.jp/stock/?code="&amp;TEXT(B138,"0000"),"株探")</f>
        <v/>
      </c>
      <c r="B138" s="111" t="n"/>
      <c r="C138" s="111" t="n"/>
      <c r="D138" s="111" t="n"/>
      <c r="E138" s="698" t="n"/>
      <c r="F138" s="426" t="n"/>
      <c r="G138" s="111" t="n"/>
      <c r="H138" s="113">
        <f>_xll.RssMarket("d7","現在値")</f>
        <v/>
      </c>
      <c r="I138" s="113">
        <f t="array" ref="I138">_xll.RssMarket(B138, "出来高加重平均")</f>
        <v/>
      </c>
      <c r="J138" s="113">
        <f t="array" ref="J138">_xll.RssMarket(B138, "前日比")</f>
        <v/>
      </c>
      <c r="K138" s="113">
        <f>IF(OR(F138="",G138="",H138=""),"",(H138-F138)*G138)</f>
        <v/>
      </c>
      <c r="L138" s="114">
        <f>IF(OR(F138="",H138=""),"",(H138-F138)/F138)</f>
        <v/>
      </c>
      <c r="M138" s="113">
        <f>IF(F138="","",F138*1.07)</f>
        <v/>
      </c>
      <c r="N138" s="113">
        <f>IF(F138="","",F138*0.96)</f>
        <v/>
      </c>
      <c r="O138" s="113">
        <f>IF(B138="","",IF(H138="","保有中",IF(H138&gt;=M138,"🟢利確推奨",IF(H138&gt;=F138*1.06,"🟡利確&amp;TR STOP検討",IF(H138&lt;=N138,"🔴損切推奨",IF(H138&lt;=F138*0.965,"🔴損切間近",IF(H138&lt;=F138*0.97,"⚠️-3%注意",IF(H138&lt;=F138*0.96,"🟡STOP推奨","保持継続"))))))))</f>
        <v/>
      </c>
      <c r="P138" s="113">
        <f t="array" ref="P138">IF(B138="","",IFERROR(MAX(OFFSET(高値!$E$6,MATCH(TEXT(B138,"0"),TEXT(銘柄管理!$B$6:$B$305,"0"),0)-1,0,1,10)),""))</f>
        <v/>
      </c>
      <c r="Q138" s="113">
        <f t="array" ref="Q138">IF(B138="","",IFERROR(MIN(OFFSET(安値!$E$6,MATCH(TEXT(B138,"0"),TEXT(銘柄管理!$B$6:$B$305,"0"),0)-1,0,1,10)),""))</f>
        <v/>
      </c>
      <c r="R138" s="113">
        <f>IF(P138="","",ROUND(P138*0.97,0))</f>
        <v/>
      </c>
      <c r="S138" s="461">
        <f>IF(B138="","",IF(T138&lt;&gt;"","?売却済",IF(H138="","?保有中",IF(H138&gt;=M138,"??利確推奨",IF(H138&lt;=N138,"??損切推奨",IF(H138&lt;=R138,"??STOP推奨","?保有中"))))))</f>
        <v/>
      </c>
      <c r="T138" s="111" t="n"/>
      <c r="U138" s="111" t="n"/>
      <c r="V138" s="113">
        <f>IF(OR(F138="",G138="",U138=""),"",(U138-F138)*G138)</f>
        <v/>
      </c>
      <c r="W138" s="699">
        <f>IF(OR(E138="",B138=""),"",IF(T138&lt;&gt;"",T138-E138,TODAY()-E138))</f>
        <v/>
      </c>
      <c r="X138" s="111" t="n"/>
    </row>
    <row r="139" ht="17.25" customHeight="1" s="574">
      <c r="A139" s="408">
        <f>HYPERLINK("https://kabutan.jp/stock/?code="&amp;TEXT(B139,"0000"),"株探")</f>
        <v/>
      </c>
      <c r="B139" s="111" t="n"/>
      <c r="C139" s="111" t="n"/>
      <c r="D139" s="111" t="n"/>
      <c r="E139" s="698" t="n"/>
      <c r="F139" s="426" t="n"/>
      <c r="G139" s="111" t="n"/>
      <c r="H139" s="113">
        <f>_xll.RssMarket("d7","現在値")</f>
        <v/>
      </c>
      <c r="I139" s="113">
        <f t="array" ref="I139">_xll.RssMarket(B139, "出来高加重平均")</f>
        <v/>
      </c>
      <c r="J139" s="113">
        <f t="array" ref="J139">_xll.RssMarket(B139, "前日比")</f>
        <v/>
      </c>
      <c r="K139" s="113">
        <f>IF(OR(F139="",G139="",H139=""),"",(H139-F139)*G139)</f>
        <v/>
      </c>
      <c r="L139" s="114">
        <f>IF(OR(F139="",H139=""),"",(H139-F139)/F139)</f>
        <v/>
      </c>
      <c r="M139" s="113">
        <f>IF(F139="","",F139*1.07)</f>
        <v/>
      </c>
      <c r="N139" s="113">
        <f>IF(F139="","",F139*0.96)</f>
        <v/>
      </c>
      <c r="O139" s="113">
        <f>IF(B139="","",IF(H139="","保有中",IF(H139&gt;=M139,"🟢利確推奨",IF(H139&gt;=F139*1.06,"🟡利確&amp;TR STOP検討",IF(H139&lt;=N139,"🔴損切推奨",IF(H139&lt;=F139*0.965,"🔴損切間近",IF(H139&lt;=F139*0.97,"⚠️-3%注意",IF(H139&lt;=F139*0.96,"🟡STOP推奨","保持継続"))))))))</f>
        <v/>
      </c>
      <c r="P139" s="113">
        <f t="array" ref="P139">IF(B139="","",IFERROR(MAX(OFFSET(高値!$E$6,MATCH(TEXT(B139,"0"),TEXT(銘柄管理!$B$6:$B$305,"0"),0)-1,0,1,10)),""))</f>
        <v/>
      </c>
      <c r="Q139" s="113">
        <f t="array" ref="Q139">IF(B139="","",IFERROR(MIN(OFFSET(安値!$E$6,MATCH(TEXT(B139,"0"),TEXT(銘柄管理!$B$6:$B$305,"0"),0)-1,0,1,10)),""))</f>
        <v/>
      </c>
      <c r="R139" s="113">
        <f>IF(P139="","",ROUND(P139*0.97,0))</f>
        <v/>
      </c>
      <c r="S139" s="461">
        <f>IF(B139="","",IF(T139&lt;&gt;"","?売却済",IF(H139="","?保有中",IF(H139&gt;=M139,"??利確推奨",IF(H139&lt;=N139,"??損切推奨",IF(H139&lt;=R139,"??STOP推奨","?保有中"))))))</f>
        <v/>
      </c>
      <c r="T139" s="111" t="n"/>
      <c r="U139" s="111" t="n"/>
      <c r="V139" s="113">
        <f>IF(OR(F139="",G139="",U139=""),"",(U139-F139)*G139)</f>
        <v/>
      </c>
      <c r="W139" s="699">
        <f>IF(OR(E139="",B139=""),"",IF(T139&lt;&gt;"",T139-E139,TODAY()-E139))</f>
        <v/>
      </c>
      <c r="X139" s="111" t="n"/>
    </row>
    <row r="140" ht="17.25" customHeight="1" s="574">
      <c r="A140" s="408">
        <f>HYPERLINK("https://kabutan.jp/stock/?code="&amp;TEXT(B140,"0000"),"株探")</f>
        <v/>
      </c>
      <c r="B140" s="111" t="n"/>
      <c r="C140" s="111" t="n"/>
      <c r="D140" s="111" t="n"/>
      <c r="E140" s="698" t="n"/>
      <c r="F140" s="426" t="n"/>
      <c r="G140" s="111" t="n"/>
      <c r="H140" s="113">
        <f>_xll.RssMarket("d7","現在値")</f>
        <v/>
      </c>
      <c r="I140" s="113">
        <f t="array" ref="I140">_xll.RssMarket(B140, "出来高加重平均")</f>
        <v/>
      </c>
      <c r="J140" s="113">
        <f t="array" ref="J140">_xll.RssMarket(B140, "前日比")</f>
        <v/>
      </c>
      <c r="K140" s="113">
        <f>IF(OR(F140="",G140="",H140=""),"",(H140-F140)*G140)</f>
        <v/>
      </c>
      <c r="L140" s="114">
        <f>IF(OR(F140="",H140=""),"",(H140-F140)/F140)</f>
        <v/>
      </c>
      <c r="M140" s="113">
        <f>IF(F140="","",F140*1.07)</f>
        <v/>
      </c>
      <c r="N140" s="113">
        <f>IF(F140="","",F140*0.96)</f>
        <v/>
      </c>
      <c r="O140" s="113">
        <f>IF(B140="","",IF(H140="","保有中",IF(H140&gt;=M140,"🟢利確推奨",IF(H140&gt;=F140*1.06,"🟡利確&amp;TR STOP検討",IF(H140&lt;=N140,"🔴損切推奨",IF(H140&lt;=F140*0.965,"🔴損切間近",IF(H140&lt;=F140*0.97,"⚠️-3%注意",IF(H140&lt;=F140*0.96,"🟡STOP推奨","保持継続"))))))))</f>
        <v/>
      </c>
      <c r="P140" s="113">
        <f t="array" ref="P140">IF(B140="","",IFERROR(MAX(OFFSET(高値!$E$6,MATCH(TEXT(B140,"0"),TEXT(銘柄管理!$B$6:$B$305,"0"),0)-1,0,1,10)),""))</f>
        <v/>
      </c>
      <c r="Q140" s="113">
        <f t="array" ref="Q140">IF(B140="","",IFERROR(MIN(OFFSET(安値!$E$6,MATCH(TEXT(B140,"0"),TEXT(銘柄管理!$B$6:$B$305,"0"),0)-1,0,1,10)),""))</f>
        <v/>
      </c>
      <c r="R140" s="113">
        <f>IF(P140="","",ROUND(P140*0.97,0))</f>
        <v/>
      </c>
      <c r="S140" s="461">
        <f>IF(B140="","",IF(T140&lt;&gt;"","?売却済",IF(H140="","?保有中",IF(H140&gt;=M140,"??利確推奨",IF(H140&lt;=N140,"??損切推奨",IF(H140&lt;=R140,"??STOP推奨","?保有中"))))))</f>
        <v/>
      </c>
      <c r="T140" s="111" t="n"/>
      <c r="U140" s="111" t="n"/>
      <c r="V140" s="113">
        <f>IF(OR(F140="",G140="",U140=""),"",(U140-F140)*G140)</f>
        <v/>
      </c>
      <c r="W140" s="699">
        <f>IF(OR(E140="",B140=""),"",IF(T140&lt;&gt;"",T140-E140,TODAY()-E140))</f>
        <v/>
      </c>
      <c r="X140" s="111" t="n"/>
    </row>
    <row r="141" ht="17.25" customHeight="1" s="574">
      <c r="A141" s="408">
        <f>HYPERLINK("https://kabutan.jp/stock/?code="&amp;TEXT(B141,"0000"),"株探")</f>
        <v/>
      </c>
      <c r="B141" s="111" t="n"/>
      <c r="C141" s="111" t="n"/>
      <c r="D141" s="111" t="n"/>
      <c r="E141" s="698" t="n"/>
      <c r="F141" s="426" t="n"/>
      <c r="G141" s="111" t="n"/>
      <c r="H141" s="113">
        <f>_xll.RssMarket("d7","現在値")</f>
        <v/>
      </c>
      <c r="I141" s="113">
        <f t="array" ref="I141">_xll.RssMarket(B141, "出来高加重平均")</f>
        <v/>
      </c>
      <c r="J141" s="113">
        <f t="array" ref="J141">_xll.RssMarket(B141, "前日比")</f>
        <v/>
      </c>
      <c r="K141" s="113">
        <f>IF(OR(F141="",G141="",H141=""),"",(H141-F141)*G141)</f>
        <v/>
      </c>
      <c r="L141" s="114">
        <f>IF(OR(F141="",H141=""),"",(H141-F141)/F141)</f>
        <v/>
      </c>
      <c r="M141" s="113">
        <f>IF(F141="","",F141*1.07)</f>
        <v/>
      </c>
      <c r="N141" s="113">
        <f>IF(F141="","",F141*0.96)</f>
        <v/>
      </c>
      <c r="O141" s="113">
        <f>IF(B141="","",IF(H141="","保有中",IF(H141&gt;=M141,"🟢利確推奨",IF(H141&gt;=F141*1.06,"🟡利確&amp;TR STOP検討",IF(H141&lt;=N141,"🔴損切推奨",IF(H141&lt;=F141*0.965,"🔴損切間近",IF(H141&lt;=F141*0.97,"⚠️-3%注意",IF(H141&lt;=F141*0.96,"🟡STOP推奨","保持継続"))))))))</f>
        <v/>
      </c>
      <c r="P141" s="113">
        <f t="array" ref="P141">IF(B141="","",IFERROR(MAX(OFFSET(高値!$E$6,MATCH(TEXT(B141,"0"),TEXT(銘柄管理!$B$6:$B$305,"0"),0)-1,0,1,10)),""))</f>
        <v/>
      </c>
      <c r="Q141" s="113">
        <f t="array" ref="Q141">IF(B141="","",IFERROR(MIN(OFFSET(安値!$E$6,MATCH(TEXT(B141,"0"),TEXT(銘柄管理!$B$6:$B$305,"0"),0)-1,0,1,10)),""))</f>
        <v/>
      </c>
      <c r="R141" s="113">
        <f>IF(P141="","",ROUND(P141*0.97,0))</f>
        <v/>
      </c>
      <c r="S141" s="461">
        <f>IF(B141="","",IF(T141&lt;&gt;"","?売却済",IF(H141="","?保有中",IF(H141&gt;=M141,"??利確推奨",IF(H141&lt;=N141,"??損切推奨",IF(H141&lt;=R141,"??STOP推奨","?保有中"))))))</f>
        <v/>
      </c>
      <c r="T141" s="111" t="n"/>
      <c r="U141" s="111" t="n"/>
      <c r="V141" s="113">
        <f>IF(OR(F141="",G141="",U141=""),"",(U141-F141)*G141)</f>
        <v/>
      </c>
      <c r="W141" s="699">
        <f>IF(OR(E141="",B141=""),"",IF(T141&lt;&gt;"",T141-E141,TODAY()-E141))</f>
        <v/>
      </c>
      <c r="X141" s="111" t="n"/>
    </row>
    <row r="142" ht="17.25" customHeight="1" s="574">
      <c r="A142" s="408">
        <f>HYPERLINK("https://kabutan.jp/stock/?code="&amp;TEXT(B142,"0000"),"株探")</f>
        <v/>
      </c>
      <c r="B142" s="111" t="n"/>
      <c r="C142" s="111" t="n"/>
      <c r="D142" s="111" t="n"/>
      <c r="E142" s="698" t="n"/>
      <c r="F142" s="426" t="n"/>
      <c r="G142" s="111" t="n"/>
      <c r="H142" s="113">
        <f>_xll.RssMarket("d7","現在値")</f>
        <v/>
      </c>
      <c r="I142" s="113">
        <f t="array" ref="I142">_xll.RssMarket(B142, "出来高加重平均")</f>
        <v/>
      </c>
      <c r="J142" s="113">
        <f t="array" ref="J142">_xll.RssMarket(B142, "前日比")</f>
        <v/>
      </c>
      <c r="K142" s="113">
        <f>IF(OR(F142="",G142="",H142=""),"",(H142-F142)*G142)</f>
        <v/>
      </c>
      <c r="L142" s="114">
        <f>IF(OR(F142="",H142=""),"",(H142-F142)/F142)</f>
        <v/>
      </c>
      <c r="M142" s="113">
        <f>IF(F142="","",F142*1.07)</f>
        <v/>
      </c>
      <c r="N142" s="113">
        <f>IF(F142="","",F142*0.96)</f>
        <v/>
      </c>
      <c r="O142" s="113">
        <f>IF(B142="","",IF(H142="","保有中",IF(H142&gt;=M142,"🟢利確推奨",IF(H142&gt;=F142*1.06,"🟡利確&amp;TR STOP検討",IF(H142&lt;=N142,"🔴損切推奨",IF(H142&lt;=F142*0.965,"🔴損切間近",IF(H142&lt;=F142*0.97,"⚠️-3%注意",IF(H142&lt;=F142*0.96,"🟡STOP推奨","保持継続"))))))))</f>
        <v/>
      </c>
      <c r="P142" s="113">
        <f t="array" ref="P142">IF(B142="","",IFERROR(MAX(OFFSET(高値!$E$6,MATCH(TEXT(B142,"0"),TEXT(銘柄管理!$B$6:$B$305,"0"),0)-1,0,1,10)),""))</f>
        <v/>
      </c>
      <c r="Q142" s="113">
        <f t="array" ref="Q142">IF(B142="","",IFERROR(MIN(OFFSET(安値!$E$6,MATCH(TEXT(B142,"0"),TEXT(銘柄管理!$B$6:$B$305,"0"),0)-1,0,1,10)),""))</f>
        <v/>
      </c>
      <c r="R142" s="113">
        <f>IF(P142="","",ROUND(P142*0.97,0))</f>
        <v/>
      </c>
      <c r="S142" s="461">
        <f>IF(B142="","",IF(T142&lt;&gt;"","?売却済",IF(H142="","?保有中",IF(H142&gt;=M142,"??利確推奨",IF(H142&lt;=N142,"??損切推奨",IF(H142&lt;=R142,"??STOP推奨","?保有中"))))))</f>
        <v/>
      </c>
      <c r="T142" s="111" t="n"/>
      <c r="U142" s="111" t="n"/>
      <c r="V142" s="113">
        <f>IF(OR(F142="",G142="",U142=""),"",(U142-F142)*G142)</f>
        <v/>
      </c>
      <c r="W142" s="699">
        <f>IF(OR(E142="",B142=""),"",IF(T142&lt;&gt;"",T142-E142,TODAY()-E142))</f>
        <v/>
      </c>
      <c r="X142" s="111" t="n"/>
    </row>
    <row r="143" ht="17.25" customHeight="1" s="574">
      <c r="A143" s="408">
        <f>HYPERLINK("https://kabutan.jp/stock/?code="&amp;TEXT(B143,"0000"),"株探")</f>
        <v/>
      </c>
      <c r="B143" s="111" t="n"/>
      <c r="C143" s="111" t="n"/>
      <c r="D143" s="111" t="n"/>
      <c r="E143" s="698" t="n"/>
      <c r="F143" s="426" t="n"/>
      <c r="G143" s="111" t="n"/>
      <c r="H143" s="113">
        <f>_xll.RssMarket("d7","現在値")</f>
        <v/>
      </c>
      <c r="I143" s="113">
        <f t="array" ref="I143">_xll.RssMarket(B143, "出来高加重平均")</f>
        <v/>
      </c>
      <c r="J143" s="113">
        <f t="array" ref="J143">_xll.RssMarket(B143, "前日比")</f>
        <v/>
      </c>
      <c r="K143" s="113">
        <f>IF(OR(F143="",G143="",H143=""),"",(H143-F143)*G143)</f>
        <v/>
      </c>
      <c r="L143" s="114">
        <f>IF(OR(F143="",H143=""),"",(H143-F143)/F143)</f>
        <v/>
      </c>
      <c r="M143" s="113">
        <f>IF(F143="","",F143*1.07)</f>
        <v/>
      </c>
      <c r="N143" s="113">
        <f>IF(F143="","",F143*0.96)</f>
        <v/>
      </c>
      <c r="O143" s="113">
        <f>IF(B143="","",IF(H143="","保有中",IF(H143&gt;=M143,"🟢利確推奨",IF(H143&gt;=F143*1.06,"🟡利確&amp;TR STOP検討",IF(H143&lt;=N143,"🔴損切推奨",IF(H143&lt;=F143*0.965,"🔴損切間近",IF(H143&lt;=F143*0.97,"⚠️-3%注意",IF(H143&lt;=F143*0.96,"🟡STOP推奨","保持継続"))))))))</f>
        <v/>
      </c>
      <c r="P143" s="113">
        <f t="array" ref="P143">IF(B143="","",IFERROR(MAX(OFFSET(高値!$E$6,MATCH(TEXT(B143,"0"),TEXT(銘柄管理!$B$6:$B$305,"0"),0)-1,0,1,10)),""))</f>
        <v/>
      </c>
      <c r="Q143" s="113">
        <f t="array" ref="Q143">IF(B143="","",IFERROR(MIN(OFFSET(安値!$E$6,MATCH(TEXT(B143,"0"),TEXT(銘柄管理!$B$6:$B$305,"0"),0)-1,0,1,10)),""))</f>
        <v/>
      </c>
      <c r="R143" s="113">
        <f>IF(P143="","",ROUND(P143*0.97,0))</f>
        <v/>
      </c>
      <c r="S143" s="461">
        <f>IF(B143="","",IF(T143&lt;&gt;"","?売却済",IF(H143="","?保有中",IF(H143&gt;=M143,"??利確推奨",IF(H143&lt;=N143,"??損切推奨",IF(H143&lt;=R143,"??STOP推奨","?保有中"))))))</f>
        <v/>
      </c>
      <c r="T143" s="111" t="n"/>
      <c r="U143" s="111" t="n"/>
      <c r="V143" s="113">
        <f>IF(OR(F143="",G143="",U143=""),"",(U143-F143)*G143)</f>
        <v/>
      </c>
      <c r="W143" s="699">
        <f>IF(OR(E143="",B143=""),"",IF(T143&lt;&gt;"",T143-E143,TODAY()-E143))</f>
        <v/>
      </c>
      <c r="X143" s="111" t="n"/>
    </row>
    <row r="144" ht="17.25" customHeight="1" s="574">
      <c r="A144" s="408">
        <f>HYPERLINK("https://kabutan.jp/stock/?code="&amp;TEXT(B144,"0000"),"株探")</f>
        <v/>
      </c>
      <c r="B144" s="111" t="n"/>
      <c r="C144" s="111" t="n"/>
      <c r="D144" s="111" t="n"/>
      <c r="E144" s="698" t="n"/>
      <c r="F144" s="426" t="n"/>
      <c r="G144" s="111" t="n"/>
      <c r="H144" s="113">
        <f>_xll.RssMarket("d7","現在値")</f>
        <v/>
      </c>
      <c r="I144" s="113">
        <f t="array" ref="I144">_xll.RssMarket(B144, "出来高加重平均")</f>
        <v/>
      </c>
      <c r="J144" s="113">
        <f t="array" ref="J144">_xll.RssMarket(B144, "前日比")</f>
        <v/>
      </c>
      <c r="K144" s="113">
        <f>IF(OR(F144="",G144="",H144=""),"",(H144-F144)*G144)</f>
        <v/>
      </c>
      <c r="L144" s="114">
        <f>IF(OR(F144="",H144=""),"",(H144-F144)/F144)</f>
        <v/>
      </c>
      <c r="M144" s="113">
        <f>IF(F144="","",F144*1.07)</f>
        <v/>
      </c>
      <c r="N144" s="113">
        <f>IF(F144="","",F144*0.96)</f>
        <v/>
      </c>
      <c r="O144" s="113">
        <f>IF(B144="","",IF(H144="","保有中",IF(H144&gt;=M144,"🟢利確推奨",IF(H144&gt;=F144*1.06,"🟡利確&amp;TR STOP検討",IF(H144&lt;=N144,"🔴損切推奨",IF(H144&lt;=F144*0.965,"🔴損切間近",IF(H144&lt;=F144*0.97,"⚠️-3%注意",IF(H144&lt;=F144*0.96,"🟡STOP推奨","保持継続"))))))))</f>
        <v/>
      </c>
      <c r="P144" s="113">
        <f t="array" ref="P144">IF(B144="","",IFERROR(MAX(OFFSET(高値!$E$6,MATCH(TEXT(B144,"0"),TEXT(銘柄管理!$B$6:$B$305,"0"),0)-1,0,1,10)),""))</f>
        <v/>
      </c>
      <c r="Q144" s="113">
        <f t="array" ref="Q144">IF(B144="","",IFERROR(MIN(OFFSET(安値!$E$6,MATCH(TEXT(B144,"0"),TEXT(銘柄管理!$B$6:$B$305,"0"),0)-1,0,1,10)),""))</f>
        <v/>
      </c>
      <c r="R144" s="113">
        <f>IF(P144="","",ROUND(P144*0.97,0))</f>
        <v/>
      </c>
      <c r="S144" s="461">
        <f>IF(B144="","",IF(T144&lt;&gt;"","?売却済",IF(H144="","?保有中",IF(H144&gt;=M144,"??利確推奨",IF(H144&lt;=N144,"??損切推奨",IF(H144&lt;=R144,"??STOP推奨","?保有中"))))))</f>
        <v/>
      </c>
      <c r="T144" s="111" t="n"/>
      <c r="U144" s="111" t="n"/>
      <c r="V144" s="113">
        <f>IF(OR(F144="",G144="",U144=""),"",(U144-F144)*G144)</f>
        <v/>
      </c>
      <c r="W144" s="699">
        <f>IF(OR(E144="",B144=""),"",IF(T144&lt;&gt;"",T144-E144,TODAY()-E144))</f>
        <v/>
      </c>
      <c r="X144" s="111" t="n"/>
    </row>
    <row r="145" ht="17.25" customHeight="1" s="574">
      <c r="A145" s="408">
        <f>HYPERLINK("https://kabutan.jp/stock/?code="&amp;TEXT(B145,"0000"),"株探")</f>
        <v/>
      </c>
      <c r="B145" s="111" t="n"/>
      <c r="C145" s="111" t="n"/>
      <c r="D145" s="111" t="n"/>
      <c r="E145" s="698" t="n"/>
      <c r="F145" s="426" t="n"/>
      <c r="G145" s="111" t="n"/>
      <c r="H145" s="113">
        <f>_xll.RssMarket("d7","現在値")</f>
        <v/>
      </c>
      <c r="I145" s="113">
        <f t="array" ref="I145">_xll.RssMarket(B145, "出来高加重平均")</f>
        <v/>
      </c>
      <c r="J145" s="113">
        <f t="array" ref="J145">_xll.RssMarket(B145, "前日比")</f>
        <v/>
      </c>
      <c r="K145" s="113">
        <f>IF(OR(F145="",G145="",H145=""),"",(H145-F145)*G145)</f>
        <v/>
      </c>
      <c r="L145" s="114">
        <f>IF(OR(F145="",H145=""),"",(H145-F145)/F145)</f>
        <v/>
      </c>
      <c r="M145" s="113">
        <f>IF(F145="","",F145*1.07)</f>
        <v/>
      </c>
      <c r="N145" s="113">
        <f>IF(F145="","",F145*0.96)</f>
        <v/>
      </c>
      <c r="O145" s="113">
        <f>IF(B145="","",IF(H145="","保有中",IF(H145&gt;=M145,"🟢利確推奨",IF(H145&gt;=F145*1.06,"🟡利確&amp;TR STOP検討",IF(H145&lt;=N145,"🔴損切推奨",IF(H145&lt;=F145*0.965,"🔴損切間近",IF(H145&lt;=F145*0.97,"⚠️-3%注意",IF(H145&lt;=F145*0.96,"🟡STOP推奨","保持継続"))))))))</f>
        <v/>
      </c>
      <c r="P145" s="113">
        <f t="array" ref="P145">IF(B145="","",IFERROR(MAX(OFFSET(高値!$E$6,MATCH(TEXT(B145,"0"),TEXT(銘柄管理!$B$6:$B$305,"0"),0)-1,0,1,10)),""))</f>
        <v/>
      </c>
      <c r="Q145" s="113">
        <f t="array" ref="Q145">IF(B145="","",IFERROR(MIN(OFFSET(安値!$E$6,MATCH(TEXT(B145,"0"),TEXT(銘柄管理!$B$6:$B$305,"0"),0)-1,0,1,10)),""))</f>
        <v/>
      </c>
      <c r="R145" s="113">
        <f>IF(P145="","",ROUND(P145*0.97,0))</f>
        <v/>
      </c>
      <c r="S145" s="461">
        <f>IF(B145="","",IF(T145&lt;&gt;"","?売却済",IF(H145="","?保有中",IF(H145&gt;=M145,"??利確推奨",IF(H145&lt;=N145,"??損切推奨",IF(H145&lt;=R145,"??STOP推奨","?保有中"))))))</f>
        <v/>
      </c>
      <c r="T145" s="111" t="n"/>
      <c r="U145" s="111" t="n"/>
      <c r="V145" s="113">
        <f>IF(OR(F145="",G145="",U145=""),"",(U145-F145)*G145)</f>
        <v/>
      </c>
      <c r="W145" s="699">
        <f>IF(OR(E145="",B145=""),"",IF(T145&lt;&gt;"",T145-E145,TODAY()-E145))</f>
        <v/>
      </c>
      <c r="X145" s="111" t="n"/>
    </row>
    <row r="146" ht="17.25" customHeight="1" s="574">
      <c r="A146" s="408">
        <f>HYPERLINK("https://kabutan.jp/stock/?code="&amp;TEXT(B146,"0000"),"株探")</f>
        <v/>
      </c>
      <c r="B146" s="111" t="n"/>
      <c r="C146" s="111" t="n"/>
      <c r="D146" s="111" t="n"/>
      <c r="E146" s="698" t="n"/>
      <c r="F146" s="426" t="n"/>
      <c r="G146" s="111" t="n"/>
      <c r="H146" s="113">
        <f>_xll.RssMarket("d7","現在値")</f>
        <v/>
      </c>
      <c r="I146" s="113">
        <f t="array" ref="I146">_xll.RssMarket(B146, "出来高加重平均")</f>
        <v/>
      </c>
      <c r="J146" s="113">
        <f t="array" ref="J146">_xll.RssMarket(B146, "前日比")</f>
        <v/>
      </c>
      <c r="K146" s="113">
        <f>IF(OR(F146="",G146="",H146=""),"",(H146-F146)*G146)</f>
        <v/>
      </c>
      <c r="L146" s="114">
        <f>IF(OR(F146="",H146=""),"",(H146-F146)/F146)</f>
        <v/>
      </c>
      <c r="M146" s="113">
        <f>IF(F146="","",F146*1.07)</f>
        <v/>
      </c>
      <c r="N146" s="113">
        <f>IF(F146="","",F146*0.96)</f>
        <v/>
      </c>
      <c r="O146" s="113">
        <f>IF(B146="","",IF(H146="","保有中",IF(H146&gt;=M146,"🟢利確推奨",IF(H146&gt;=F146*1.06,"🟡利確&amp;TR STOP検討",IF(H146&lt;=N146,"🔴損切推奨",IF(H146&lt;=F146*0.965,"🔴損切間近",IF(H146&lt;=F146*0.97,"⚠️-3%注意",IF(H146&lt;=F146*0.96,"🟡STOP推奨","保持継続"))))))))</f>
        <v/>
      </c>
      <c r="P146" s="113">
        <f t="array" ref="P146">IF(B146="","",IFERROR(MAX(OFFSET(高値!$E$6,MATCH(TEXT(B146,"0"),TEXT(銘柄管理!$B$6:$B$305,"0"),0)-1,0,1,10)),""))</f>
        <v/>
      </c>
      <c r="Q146" s="113">
        <f t="array" ref="Q146">IF(B146="","",IFERROR(MIN(OFFSET(安値!$E$6,MATCH(TEXT(B146,"0"),TEXT(銘柄管理!$B$6:$B$305,"0"),0)-1,0,1,10)),""))</f>
        <v/>
      </c>
      <c r="R146" s="113">
        <f>IF(P146="","",ROUND(P146*0.97,0))</f>
        <v/>
      </c>
      <c r="S146" s="461">
        <f>IF(B146="","",IF(T146&lt;&gt;"","?売却済",IF(H146="","?保有中",IF(H146&gt;=M146,"??利確推奨",IF(H146&lt;=N146,"??損切推奨",IF(H146&lt;=R146,"??STOP推奨","?保有中"))))))</f>
        <v/>
      </c>
      <c r="T146" s="111" t="n"/>
      <c r="U146" s="111" t="n"/>
      <c r="V146" s="113">
        <f>IF(OR(F146="",G146="",U146=""),"",(U146-F146)*G146)</f>
        <v/>
      </c>
      <c r="W146" s="699">
        <f>IF(OR(E146="",B146=""),"",IF(T146&lt;&gt;"",T146-E146,TODAY()-E146))</f>
        <v/>
      </c>
      <c r="X146" s="111" t="n"/>
    </row>
    <row r="147" ht="17.25" customHeight="1" s="574">
      <c r="A147" s="408">
        <f>HYPERLINK("https://kabutan.jp/stock/?code="&amp;TEXT(B147,"0000"),"株探")</f>
        <v/>
      </c>
      <c r="B147" s="111" t="n"/>
      <c r="C147" s="111" t="n"/>
      <c r="D147" s="111" t="n"/>
      <c r="E147" s="698" t="n"/>
      <c r="F147" s="426" t="n"/>
      <c r="G147" s="111" t="n"/>
      <c r="H147" s="113">
        <f>_xll.RssMarket("d7","現在値")</f>
        <v/>
      </c>
      <c r="I147" s="113">
        <f t="array" ref="I147">_xll.RssMarket(B147, "出来高加重平均")</f>
        <v/>
      </c>
      <c r="J147" s="113">
        <f t="array" ref="J147">_xll.RssMarket(B147, "前日比")</f>
        <v/>
      </c>
      <c r="K147" s="113">
        <f>IF(OR(F147="",G147="",H147=""),"",(H147-F147)*G147)</f>
        <v/>
      </c>
      <c r="L147" s="114">
        <f>IF(OR(F147="",H147=""),"",(H147-F147)/F147)</f>
        <v/>
      </c>
      <c r="M147" s="113">
        <f>IF(F147="","",F147*1.07)</f>
        <v/>
      </c>
      <c r="N147" s="113">
        <f>IF(F147="","",F147*0.96)</f>
        <v/>
      </c>
      <c r="O147" s="113">
        <f>IF(B147="","",IF(H147="","保有中",IF(H147&gt;=M147,"🟢利確推奨",IF(H147&gt;=F147*1.06,"🟡利確&amp;TR STOP検討",IF(H147&lt;=N147,"🔴損切推奨",IF(H147&lt;=F147*0.965,"🔴損切間近",IF(H147&lt;=F147*0.97,"⚠️-3%注意",IF(H147&lt;=F147*0.96,"🟡STOP推奨","保持継続"))))))))</f>
        <v/>
      </c>
      <c r="P147" s="113">
        <f t="array" ref="P147">IF(B147="","",IFERROR(MAX(OFFSET(高値!$E$6,MATCH(TEXT(B147,"0"),TEXT(銘柄管理!$B$6:$B$305,"0"),0)-1,0,1,10)),""))</f>
        <v/>
      </c>
      <c r="Q147" s="113">
        <f t="array" ref="Q147">IF(B147="","",IFERROR(MIN(OFFSET(安値!$E$6,MATCH(TEXT(B147,"0"),TEXT(銘柄管理!$B$6:$B$305,"0"),0)-1,0,1,10)),""))</f>
        <v/>
      </c>
      <c r="R147" s="113">
        <f>IF(P147="","",ROUND(P147*0.97,0))</f>
        <v/>
      </c>
      <c r="S147" s="461">
        <f>IF(B147="","",IF(T147&lt;&gt;"","?売却済",IF(H147="","?保有中",IF(H147&gt;=M147,"??利確推奨",IF(H147&lt;=N147,"??損切推奨",IF(H147&lt;=R147,"??STOP推奨","?保有中"))))))</f>
        <v/>
      </c>
      <c r="T147" s="111" t="n"/>
      <c r="U147" s="111" t="n"/>
      <c r="V147" s="113">
        <f>IF(OR(F147="",G147="",U147=""),"",(U147-F147)*G147)</f>
        <v/>
      </c>
      <c r="W147" s="699">
        <f>IF(OR(E147="",B147=""),"",IF(T147&lt;&gt;"",T147-E147,TODAY()-E147))</f>
        <v/>
      </c>
      <c r="X147" s="111" t="n"/>
    </row>
    <row r="148" ht="17.25" customHeight="1" s="574">
      <c r="A148" s="408">
        <f>HYPERLINK("https://kabutan.jp/stock/?code="&amp;TEXT(B148,"0000"),"株探")</f>
        <v/>
      </c>
      <c r="B148" s="111" t="n"/>
      <c r="C148" s="111" t="n"/>
      <c r="D148" s="111" t="n"/>
      <c r="E148" s="698" t="n"/>
      <c r="F148" s="426" t="n"/>
      <c r="G148" s="111" t="n"/>
      <c r="H148" s="113">
        <f>_xll.RssMarket("d7","現在値")</f>
        <v/>
      </c>
      <c r="I148" s="113">
        <f t="array" ref="I148">_xll.RssMarket(B148, "出来高加重平均")</f>
        <v/>
      </c>
      <c r="J148" s="113">
        <f t="array" ref="J148">_xll.RssMarket(B148, "前日比")</f>
        <v/>
      </c>
      <c r="K148" s="113">
        <f>IF(OR(F148="",G148="",H148=""),"",(H148-F148)*G148)</f>
        <v/>
      </c>
      <c r="L148" s="114">
        <f>IF(OR(F148="",H148=""),"",(H148-F148)/F148)</f>
        <v/>
      </c>
      <c r="M148" s="113">
        <f>IF(F148="","",F148*1.07)</f>
        <v/>
      </c>
      <c r="N148" s="113">
        <f>IF(F148="","",F148*0.96)</f>
        <v/>
      </c>
      <c r="O148" s="113">
        <f>IF(B148="","",IF(H148="","保有中",IF(H148&gt;=M148,"🟢利確推奨",IF(H148&gt;=F148*1.06,"🟡利確&amp;TR STOP検討",IF(H148&lt;=N148,"🔴損切推奨",IF(H148&lt;=F148*0.965,"🔴損切間近",IF(H148&lt;=F148*0.97,"⚠️-3%注意",IF(H148&lt;=F148*0.96,"🟡STOP推奨","保持継続"))))))))</f>
        <v/>
      </c>
      <c r="P148" s="113">
        <f t="array" ref="P148">IF(B148="","",IFERROR(MAX(OFFSET(高値!$E$6,MATCH(TEXT(B148,"0"),TEXT(銘柄管理!$B$6:$B$305,"0"),0)-1,0,1,10)),""))</f>
        <v/>
      </c>
      <c r="Q148" s="113">
        <f t="array" ref="Q148">IF(B148="","",IFERROR(MIN(OFFSET(安値!$E$6,MATCH(TEXT(B148,"0"),TEXT(銘柄管理!$B$6:$B$305,"0"),0)-1,0,1,10)),""))</f>
        <v/>
      </c>
      <c r="R148" s="113">
        <f>IF(P148="","",ROUND(P148*0.97,0))</f>
        <v/>
      </c>
      <c r="S148" s="461">
        <f>IF(B148="","",IF(T148&lt;&gt;"","?売却済",IF(H148="","?保有中",IF(H148&gt;=M148,"??利確推奨",IF(H148&lt;=N148,"??損切推奨",IF(H148&lt;=R148,"??STOP推奨","?保有中"))))))</f>
        <v/>
      </c>
      <c r="T148" s="111" t="n"/>
      <c r="U148" s="111" t="n"/>
      <c r="V148" s="113">
        <f>IF(OR(F148="",G148="",U148=""),"",(U148-F148)*G148)</f>
        <v/>
      </c>
      <c r="W148" s="699">
        <f>IF(OR(E148="",B148=""),"",IF(T148&lt;&gt;"",T148-E148,TODAY()-E148))</f>
        <v/>
      </c>
      <c r="X148" s="111" t="n"/>
    </row>
    <row r="149" ht="17.25" customHeight="1" s="574">
      <c r="A149" s="408">
        <f>HYPERLINK("https://kabutan.jp/stock/?code="&amp;TEXT(B149,"0000"),"株探")</f>
        <v/>
      </c>
      <c r="B149" s="111" t="n"/>
      <c r="C149" s="111" t="n"/>
      <c r="D149" s="111" t="n"/>
      <c r="E149" s="698" t="n"/>
      <c r="F149" s="426" t="n"/>
      <c r="G149" s="111" t="n"/>
      <c r="H149" s="113">
        <f>_xll.RssMarket("d7","現在値")</f>
        <v/>
      </c>
      <c r="I149" s="113">
        <f t="array" ref="I149">_xll.RssMarket(B149, "出来高加重平均")</f>
        <v/>
      </c>
      <c r="J149" s="113">
        <f t="array" ref="J149">_xll.RssMarket(B149, "前日比")</f>
        <v/>
      </c>
      <c r="K149" s="113">
        <f>IF(OR(F149="",G149="",H149=""),"",(H149-F149)*G149)</f>
        <v/>
      </c>
      <c r="L149" s="114">
        <f>IF(OR(F149="",H149=""),"",(H149-F149)/F149)</f>
        <v/>
      </c>
      <c r="M149" s="113">
        <f>IF(F149="","",F149*1.07)</f>
        <v/>
      </c>
      <c r="N149" s="113">
        <f>IF(F149="","",F149*0.96)</f>
        <v/>
      </c>
      <c r="O149" s="113">
        <f>IF(B149="","",IF(H149="","保有中",IF(H149&gt;=M149,"🟢利確推奨",IF(H149&gt;=F149*1.06,"🟡利確&amp;TR STOP検討",IF(H149&lt;=N149,"🔴損切推奨",IF(H149&lt;=F149*0.965,"🔴損切間近",IF(H149&lt;=F149*0.97,"⚠️-3%注意",IF(H149&lt;=F149*0.96,"🟡STOP推奨","保持継続"))))))))</f>
        <v/>
      </c>
      <c r="P149" s="113">
        <f t="array" ref="P149">IF(B149="","",IFERROR(MAX(OFFSET(高値!$E$6,MATCH(TEXT(B149,"0"),TEXT(銘柄管理!$B$6:$B$305,"0"),0)-1,0,1,10)),""))</f>
        <v/>
      </c>
      <c r="Q149" s="113">
        <f t="array" ref="Q149">IF(B149="","",IFERROR(MIN(OFFSET(安値!$E$6,MATCH(TEXT(B149,"0"),TEXT(銘柄管理!$B$6:$B$305,"0"),0)-1,0,1,10)),""))</f>
        <v/>
      </c>
      <c r="R149" s="113">
        <f>IF(P149="","",ROUND(P149*0.97,0))</f>
        <v/>
      </c>
      <c r="S149" s="461">
        <f>IF(B149="","",IF(T149&lt;&gt;"","?売却済",IF(H149="","?保有中",IF(H149&gt;=M149,"??利確推奨",IF(H149&lt;=N149,"??損切推奨",IF(H149&lt;=R149,"??STOP推奨","?保有中"))))))</f>
        <v/>
      </c>
      <c r="T149" s="111" t="n"/>
      <c r="U149" s="111" t="n"/>
      <c r="V149" s="113">
        <f>IF(OR(F149="",G149="",U149=""),"",(U149-F149)*G149)</f>
        <v/>
      </c>
      <c r="W149" s="699">
        <f>IF(OR(E149="",B149=""),"",IF(T149&lt;&gt;"",T149-E149,TODAY()-E149))</f>
        <v/>
      </c>
      <c r="X149" s="111" t="n"/>
    </row>
    <row r="150" ht="17.25" customHeight="1" s="574">
      <c r="A150" s="408">
        <f>HYPERLINK("https://kabutan.jp/stock/?code="&amp;TEXT(B150,"0000"),"株探")</f>
        <v/>
      </c>
      <c r="B150" s="111" t="n"/>
      <c r="C150" s="111" t="n"/>
      <c r="D150" s="111" t="n"/>
      <c r="E150" s="698" t="n"/>
      <c r="F150" s="426" t="n"/>
      <c r="G150" s="111" t="n"/>
      <c r="H150" s="113">
        <f>_xll.RssMarket("d7","現在値")</f>
        <v/>
      </c>
      <c r="I150" s="113">
        <f t="array" ref="I150">_xll.RssMarket(B150, "出来高加重平均")</f>
        <v/>
      </c>
      <c r="J150" s="113">
        <f t="array" ref="J150">_xll.RssMarket(B150, "前日比")</f>
        <v/>
      </c>
      <c r="K150" s="113">
        <f>IF(OR(F150="",G150="",H150=""),"",(H150-F150)*G150)</f>
        <v/>
      </c>
      <c r="L150" s="114">
        <f>IF(OR(F150="",H150=""),"",(H150-F150)/F150)</f>
        <v/>
      </c>
      <c r="M150" s="113">
        <f>IF(F150="","",F150*1.07)</f>
        <v/>
      </c>
      <c r="N150" s="113">
        <f>IF(F150="","",F150*0.96)</f>
        <v/>
      </c>
      <c r="O150" s="113">
        <f>IF(B150="","",IF(H150="","保有中",IF(H150&gt;=M150,"🟢利確推奨",IF(H150&gt;=F150*1.06,"🟡利確&amp;TR STOP検討",IF(H150&lt;=N150,"🔴損切推奨",IF(H150&lt;=F150*0.965,"🔴損切間近",IF(H150&lt;=F150*0.97,"⚠️-3%注意",IF(H150&lt;=F150*0.96,"🟡STOP推奨","保持継続"))))))))</f>
        <v/>
      </c>
      <c r="P150" s="113">
        <f t="array" ref="P150">IF(B150="","",IFERROR(MAX(OFFSET(高値!$E$6,MATCH(TEXT(B150,"0"),TEXT(銘柄管理!$B$6:$B$305,"0"),0)-1,0,1,10)),""))</f>
        <v/>
      </c>
      <c r="Q150" s="113">
        <f t="array" ref="Q150">IF(B150="","",IFERROR(MIN(OFFSET(安値!$E$6,MATCH(TEXT(B150,"0"),TEXT(銘柄管理!$B$6:$B$305,"0"),0)-1,0,1,10)),""))</f>
        <v/>
      </c>
      <c r="R150" s="113">
        <f>IF(P150="","",ROUND(P150*0.97,0))</f>
        <v/>
      </c>
      <c r="S150" s="461">
        <f>IF(B150="","",IF(T150&lt;&gt;"","?売却済",IF(H150="","?保有中",IF(H150&gt;=M150,"??利確推奨",IF(H150&lt;=N150,"??損切推奨",IF(H150&lt;=R150,"??STOP推奨","?保有中"))))))</f>
        <v/>
      </c>
      <c r="T150" s="111" t="n"/>
      <c r="U150" s="111" t="n"/>
      <c r="V150" s="113">
        <f>IF(OR(F150="",G150="",U150=""),"",(U150-F150)*G150)</f>
        <v/>
      </c>
      <c r="W150" s="699">
        <f>IF(OR(E150="",B150=""),"",IF(T150&lt;&gt;"",T150-E150,TODAY()-E150))</f>
        <v/>
      </c>
      <c r="X150" s="111" t="n"/>
    </row>
    <row r="151" ht="17.25" customHeight="1" s="574">
      <c r="A151" s="408">
        <f>HYPERLINK("https://kabutan.jp/stock/?code="&amp;TEXT(B151,"0000"),"株探")</f>
        <v/>
      </c>
      <c r="B151" s="111" t="n"/>
      <c r="C151" s="111" t="n"/>
      <c r="D151" s="111" t="n"/>
      <c r="E151" s="698" t="n"/>
      <c r="F151" s="426" t="n"/>
      <c r="G151" s="111" t="n"/>
      <c r="H151" s="113">
        <f>_xll.RssMarket("d7","現在値")</f>
        <v/>
      </c>
      <c r="I151" s="113">
        <f t="array" ref="I151">_xll.RssMarket(B151, "出来高加重平均")</f>
        <v/>
      </c>
      <c r="J151" s="113">
        <f t="array" ref="J151">_xll.RssMarket(B151, "前日比")</f>
        <v/>
      </c>
      <c r="K151" s="113">
        <f>IF(OR(F151="",G151="",H151=""),"",(H151-F151)*G151)</f>
        <v/>
      </c>
      <c r="L151" s="114">
        <f>IF(OR(F151="",H151=""),"",(H151-F151)/F151)</f>
        <v/>
      </c>
      <c r="M151" s="113">
        <f>IF(F151="","",F151*1.07)</f>
        <v/>
      </c>
      <c r="N151" s="113">
        <f>IF(F151="","",F151*0.96)</f>
        <v/>
      </c>
      <c r="O151" s="113">
        <f>IF(B151="","",IF(H151="","保有中",IF(H151&gt;=M151,"🟢利確推奨",IF(H151&gt;=F151*1.06,"🟡利確&amp;TR STOP検討",IF(H151&lt;=N151,"🔴損切推奨",IF(H151&lt;=F151*0.965,"🔴損切間近",IF(H151&lt;=F151*0.97,"⚠️-3%注意",IF(H151&lt;=F151*0.96,"🟡STOP推奨","保持継続"))))))))</f>
        <v/>
      </c>
      <c r="P151" s="113">
        <f t="array" ref="P151">IF(B151="","",IFERROR(MAX(OFFSET(高値!$E$6,MATCH(TEXT(B151,"0"),TEXT(銘柄管理!$B$6:$B$305,"0"),0)-1,0,1,10)),""))</f>
        <v/>
      </c>
      <c r="Q151" s="113">
        <f t="array" ref="Q151">IF(B151="","",IFERROR(MIN(OFFSET(安値!$E$6,MATCH(TEXT(B151,"0"),TEXT(銘柄管理!$B$6:$B$305,"0"),0)-1,0,1,10)),""))</f>
        <v/>
      </c>
      <c r="R151" s="113">
        <f>IF(P151="","",ROUND(P151*0.97,0))</f>
        <v/>
      </c>
      <c r="S151" s="461">
        <f>IF(B151="","",IF(T151&lt;&gt;"","?売却済",IF(H151="","?保有中",IF(H151&gt;=M151,"??利確推奨",IF(H151&lt;=N151,"??損切推奨",IF(H151&lt;=R151,"??STOP推奨","?保有中"))))))</f>
        <v/>
      </c>
      <c r="T151" s="111" t="n"/>
      <c r="U151" s="111" t="n"/>
      <c r="V151" s="113">
        <f>IF(OR(F151="",G151="",U151=""),"",(U151-F151)*G151)</f>
        <v/>
      </c>
      <c r="W151" s="699">
        <f>IF(OR(E151="",B151=""),"",IF(T151&lt;&gt;"",T151-E151,TODAY()-E151))</f>
        <v/>
      </c>
      <c r="X151" s="111" t="n"/>
    </row>
    <row r="152" ht="17.25" customHeight="1" s="574">
      <c r="A152" s="408">
        <f>HYPERLINK("https://kabutan.jp/stock/?code="&amp;TEXT(B152,"0000"),"株探")</f>
        <v/>
      </c>
      <c r="B152" s="111" t="n"/>
      <c r="C152" s="111" t="n"/>
      <c r="D152" s="111" t="n"/>
      <c r="E152" s="698" t="n"/>
      <c r="F152" s="426" t="n"/>
      <c r="G152" s="111" t="n"/>
      <c r="H152" s="113">
        <f>_xll.RssMarket("d7","現在値")</f>
        <v/>
      </c>
      <c r="I152" s="113">
        <f t="array" ref="I152">_xll.RssMarket(B152, "出来高加重平均")</f>
        <v/>
      </c>
      <c r="J152" s="113">
        <f t="array" ref="J152">_xll.RssMarket(B152, "前日比")</f>
        <v/>
      </c>
      <c r="K152" s="113">
        <f>IF(OR(F152="",G152="",H152=""),"",(H152-F152)*G152)</f>
        <v/>
      </c>
      <c r="L152" s="114">
        <f>IF(OR(F152="",H152=""),"",(H152-F152)/F152)</f>
        <v/>
      </c>
      <c r="M152" s="113">
        <f>IF(F152="","",F152*1.07)</f>
        <v/>
      </c>
      <c r="N152" s="113">
        <f>IF(F152="","",F152*0.96)</f>
        <v/>
      </c>
      <c r="O152" s="113">
        <f>IF(B152="","",IF(H152="","保有中",IF(H152&gt;=M152,"🟢利確推奨",IF(H152&gt;=F152*1.06,"🟡利確&amp;TR STOP検討",IF(H152&lt;=N152,"🔴損切推奨",IF(H152&lt;=F152*0.965,"🔴損切間近",IF(H152&lt;=F152*0.97,"⚠️-3%注意",IF(H152&lt;=F152*0.96,"🟡STOP推奨","保持継続"))))))))</f>
        <v/>
      </c>
      <c r="P152" s="113">
        <f t="array" ref="P152">IF(B152="","",IFERROR(MAX(OFFSET(高値!$E$6,MATCH(TEXT(B152,"0"),TEXT(銘柄管理!$B$6:$B$305,"0"),0)-1,0,1,10)),""))</f>
        <v/>
      </c>
      <c r="Q152" s="113">
        <f t="array" ref="Q152">IF(B152="","",IFERROR(MIN(OFFSET(安値!$E$6,MATCH(TEXT(B152,"0"),TEXT(銘柄管理!$B$6:$B$305,"0"),0)-1,0,1,10)),""))</f>
        <v/>
      </c>
      <c r="R152" s="113">
        <f>IF(P152="","",ROUND(P152*0.97,0))</f>
        <v/>
      </c>
      <c r="S152" s="461">
        <f>IF(B152="","",IF(T152&lt;&gt;"","?売却済",IF(H152="","?保有中",IF(H152&gt;=M152,"??利確推奨",IF(H152&lt;=N152,"??損切推奨",IF(H152&lt;=R152,"??STOP推奨","?保有中"))))))</f>
        <v/>
      </c>
      <c r="T152" s="111" t="n"/>
      <c r="U152" s="111" t="n"/>
      <c r="V152" s="113">
        <f>IF(OR(F152="",G152="",U152=""),"",(U152-F152)*G152)</f>
        <v/>
      </c>
      <c r="W152" s="699">
        <f>IF(OR(E152="",B152=""),"",IF(T152&lt;&gt;"",T152-E152,TODAY()-E152))</f>
        <v/>
      </c>
      <c r="X152" s="111" t="n"/>
    </row>
    <row r="153" ht="17.25" customHeight="1" s="574">
      <c r="A153" s="408">
        <f>HYPERLINK("https://kabutan.jp/stock/?code="&amp;TEXT(B153,"0000"),"株探")</f>
        <v/>
      </c>
      <c r="B153" s="111" t="n"/>
      <c r="C153" s="111" t="n"/>
      <c r="D153" s="111" t="n"/>
      <c r="E153" s="698" t="n"/>
      <c r="F153" s="426" t="n"/>
      <c r="G153" s="111" t="n"/>
      <c r="H153" s="113">
        <f>_xll.RssMarket("d7","現在値")</f>
        <v/>
      </c>
      <c r="I153" s="113">
        <f t="array" ref="I153">_xll.RssMarket(B153, "出来高加重平均")</f>
        <v/>
      </c>
      <c r="J153" s="113">
        <f t="array" ref="J153">_xll.RssMarket(B153, "前日比")</f>
        <v/>
      </c>
      <c r="K153" s="113">
        <f>IF(OR(F153="",G153="",H153=""),"",(H153-F153)*G153)</f>
        <v/>
      </c>
      <c r="L153" s="114">
        <f>IF(OR(F153="",H153=""),"",(H153-F153)/F153)</f>
        <v/>
      </c>
      <c r="M153" s="113">
        <f>IF(F153="","",F153*1.07)</f>
        <v/>
      </c>
      <c r="N153" s="113">
        <f>IF(F153="","",F153*0.96)</f>
        <v/>
      </c>
      <c r="O153" s="113">
        <f>IF(B153="","",IF(H153="","保有中",IF(H153&gt;=M153,"🟢利確推奨",IF(H153&gt;=F153*1.06,"🟡利確&amp;TR STOP検討",IF(H153&lt;=N153,"🔴損切推奨",IF(H153&lt;=F153*0.965,"🔴損切間近",IF(H153&lt;=F153*0.97,"⚠️-3%注意",IF(H153&lt;=F153*0.96,"🟡STOP推奨","保持継続"))))))))</f>
        <v/>
      </c>
      <c r="P153" s="113">
        <f t="array" ref="P153">IF(B153="","",IFERROR(MAX(OFFSET(高値!$E$6,MATCH(TEXT(B153,"0"),TEXT(銘柄管理!$B$6:$B$305,"0"),0)-1,0,1,10)),""))</f>
        <v/>
      </c>
      <c r="Q153" s="113">
        <f t="array" ref="Q153">IF(B153="","",IFERROR(MIN(OFFSET(安値!$E$6,MATCH(TEXT(B153,"0"),TEXT(銘柄管理!$B$6:$B$305,"0"),0)-1,0,1,10)),""))</f>
        <v/>
      </c>
      <c r="R153" s="113">
        <f>IF(P153="","",ROUND(P153*0.97,0))</f>
        <v/>
      </c>
      <c r="S153" s="461">
        <f>IF(B153="","",IF(T153&lt;&gt;"","?売却済",IF(H153="","?保有中",IF(H153&gt;=M153,"??利確推奨",IF(H153&lt;=N153,"??損切推奨",IF(H153&lt;=R153,"??STOP推奨","?保有中"))))))</f>
        <v/>
      </c>
      <c r="T153" s="111" t="n"/>
      <c r="U153" s="111" t="n"/>
      <c r="V153" s="113">
        <f>IF(OR(F153="",G153="",U153=""),"",(U153-F153)*G153)</f>
        <v/>
      </c>
      <c r="W153" s="699">
        <f>IF(OR(E153="",B153=""),"",IF(T153&lt;&gt;"",T153-E153,TODAY()-E153))</f>
        <v/>
      </c>
      <c r="X153" s="111" t="n"/>
    </row>
    <row r="154" ht="17.25" customHeight="1" s="574">
      <c r="A154" s="408">
        <f>HYPERLINK("https://kabutan.jp/stock/?code="&amp;TEXT(B154,"0000"),"株探")</f>
        <v/>
      </c>
      <c r="B154" s="111" t="n"/>
      <c r="C154" s="111" t="n"/>
      <c r="D154" s="111" t="n"/>
      <c r="E154" s="698" t="n"/>
      <c r="F154" s="426" t="n"/>
      <c r="G154" s="111" t="n"/>
      <c r="H154" s="113">
        <f>_xll.RssMarket("d7","現在値")</f>
        <v/>
      </c>
      <c r="I154" s="113">
        <f t="array" ref="I154">_xll.RssMarket(B154, "出来高加重平均")</f>
        <v/>
      </c>
      <c r="J154" s="113">
        <f t="array" ref="J154">_xll.RssMarket(B154, "前日比")</f>
        <v/>
      </c>
      <c r="K154" s="113">
        <f>IF(OR(F154="",G154="",H154=""),"",(H154-F154)*G154)</f>
        <v/>
      </c>
      <c r="L154" s="114">
        <f>IF(OR(F154="",H154=""),"",(H154-F154)/F154)</f>
        <v/>
      </c>
      <c r="M154" s="113">
        <f>IF(F154="","",F154*1.07)</f>
        <v/>
      </c>
      <c r="N154" s="113">
        <f>IF(F154="","",F154*0.96)</f>
        <v/>
      </c>
      <c r="O154" s="113">
        <f>IF(B154="","",IF(H154="","保有中",IF(H154&gt;=M154,"🟢利確推奨",IF(H154&gt;=F154*1.06,"🟡利確&amp;TR STOP検討",IF(H154&lt;=N154,"🔴損切推奨",IF(H154&lt;=F154*0.965,"🔴損切間近",IF(H154&lt;=F154*0.97,"⚠️-3%注意",IF(H154&lt;=F154*0.96,"🟡STOP推奨","保持継続"))))))))</f>
        <v/>
      </c>
      <c r="P154" s="113">
        <f t="array" ref="P154">IF(B154="","",IFERROR(MAX(OFFSET(高値!$E$6,MATCH(TEXT(B154,"0"),TEXT(銘柄管理!$B$6:$B$305,"0"),0)-1,0,1,10)),""))</f>
        <v/>
      </c>
      <c r="Q154" s="113">
        <f t="array" ref="Q154">IF(B154="","",IFERROR(MIN(OFFSET(安値!$E$6,MATCH(TEXT(B154,"0"),TEXT(銘柄管理!$B$6:$B$305,"0"),0)-1,0,1,10)),""))</f>
        <v/>
      </c>
      <c r="R154" s="113">
        <f>IF(P154="","",ROUND(P154*0.97,0))</f>
        <v/>
      </c>
      <c r="S154" s="461">
        <f>IF(B154="","",IF(T154&lt;&gt;"","?売却済",IF(H154="","?保有中",IF(H154&gt;=M154,"??利確推奨",IF(H154&lt;=N154,"??損切推奨",IF(H154&lt;=R154,"??STOP推奨","?保有中"))))))</f>
        <v/>
      </c>
      <c r="T154" s="111" t="n"/>
      <c r="U154" s="111" t="n"/>
      <c r="V154" s="113">
        <f>IF(OR(F154="",G154="",U154=""),"",(U154-F154)*G154)</f>
        <v/>
      </c>
      <c r="W154" s="699">
        <f>IF(OR(E154="",B154=""),"",IF(T154&lt;&gt;"",T154-E154,TODAY()-E154))</f>
        <v/>
      </c>
      <c r="X154" s="111" t="n"/>
    </row>
    <row r="155" ht="17.25" customHeight="1" s="574">
      <c r="A155" s="408">
        <f>HYPERLINK("https://kabutan.jp/stock/?code="&amp;TEXT(B155,"0000"),"株探")</f>
        <v/>
      </c>
      <c r="B155" s="111" t="n"/>
      <c r="C155" s="111" t="n"/>
      <c r="D155" s="111" t="n"/>
      <c r="E155" s="698" t="n"/>
      <c r="F155" s="426" t="n"/>
      <c r="G155" s="111" t="n"/>
      <c r="H155" s="113">
        <f>_xll.RssMarket("d7","現在値")</f>
        <v/>
      </c>
      <c r="I155" s="113">
        <f t="array" ref="I155">_xll.RssMarket(B155, "出来高加重平均")</f>
        <v/>
      </c>
      <c r="J155" s="113">
        <f t="array" ref="J155">_xll.RssMarket(B155, "前日比")</f>
        <v/>
      </c>
      <c r="K155" s="113">
        <f>IF(OR(F155="",G155="",H155=""),"",(H155-F155)*G155)</f>
        <v/>
      </c>
      <c r="L155" s="114">
        <f>IF(OR(F155="",H155=""),"",(H155-F155)/F155)</f>
        <v/>
      </c>
      <c r="M155" s="113">
        <f>IF(F155="","",F155*1.07)</f>
        <v/>
      </c>
      <c r="N155" s="113">
        <f>IF(F155="","",F155*0.96)</f>
        <v/>
      </c>
      <c r="O155" s="113">
        <f>IF(B155="","",IF(H155="","保有中",IF(H155&gt;=M155,"🟢利確推奨",IF(H155&gt;=F155*1.06,"🟡利確&amp;TR STOP検討",IF(H155&lt;=N155,"🔴損切推奨",IF(H155&lt;=F155*0.965,"🔴損切間近",IF(H155&lt;=F155*0.97,"⚠️-3%注意",IF(H155&lt;=F155*0.96,"🟡STOP推奨","保持継続"))))))))</f>
        <v/>
      </c>
      <c r="P155" s="113">
        <f t="array" ref="P155">IF(B155="","",IFERROR(MAX(OFFSET(高値!$E$6,MATCH(TEXT(B155,"0"),TEXT(銘柄管理!$B$6:$B$305,"0"),0)-1,0,1,10)),""))</f>
        <v/>
      </c>
      <c r="Q155" s="113">
        <f t="array" ref="Q155">IF(B155="","",IFERROR(MIN(OFFSET(安値!$E$6,MATCH(TEXT(B155,"0"),TEXT(銘柄管理!$B$6:$B$305,"0"),0)-1,0,1,10)),""))</f>
        <v/>
      </c>
      <c r="R155" s="113">
        <f>IF(P155="","",ROUND(P155*0.97,0))</f>
        <v/>
      </c>
      <c r="S155" s="461">
        <f>IF(B155="","",IF(T155&lt;&gt;"","?売却済",IF(H155="","?保有中",IF(H155&gt;=M155,"??利確推奨",IF(H155&lt;=N155,"??損切推奨",IF(H155&lt;=R155,"??STOP推奨","?保有中"))))))</f>
        <v/>
      </c>
      <c r="T155" s="111" t="n"/>
      <c r="U155" s="111" t="n"/>
      <c r="V155" s="113">
        <f>IF(OR(F155="",G155="",U155=""),"",(U155-F155)*G155)</f>
        <v/>
      </c>
      <c r="W155" s="699">
        <f>IF(OR(E155="",B155=""),"",IF(T155&lt;&gt;"",T155-E155,TODAY()-E155))</f>
        <v/>
      </c>
      <c r="X155" s="111" t="n"/>
    </row>
    <row r="156" ht="17.25" customHeight="1" s="574">
      <c r="A156" s="408">
        <f>HYPERLINK("https://kabutan.jp/stock/?code="&amp;TEXT(B156,"0000"),"株探")</f>
        <v/>
      </c>
      <c r="B156" s="111" t="n"/>
      <c r="C156" s="111" t="n"/>
      <c r="D156" s="111" t="n"/>
      <c r="E156" s="698" t="n"/>
      <c r="F156" s="426" t="n"/>
      <c r="G156" s="111" t="n"/>
      <c r="H156" s="113">
        <f>_xll.RssMarket("d7","現在値")</f>
        <v/>
      </c>
      <c r="I156" s="113">
        <f t="array" ref="I156">_xll.RssMarket(B156, "出来高加重平均")</f>
        <v/>
      </c>
      <c r="J156" s="113">
        <f t="array" ref="J156">_xll.RssMarket(B156, "前日比")</f>
        <v/>
      </c>
      <c r="K156" s="113">
        <f>IF(OR(F156="",G156="",H156=""),"",(H156-F156)*G156)</f>
        <v/>
      </c>
      <c r="L156" s="114">
        <f>IF(OR(F156="",H156=""),"",(H156-F156)/F156)</f>
        <v/>
      </c>
      <c r="M156" s="113">
        <f>IF(F156="","",F156*1.07)</f>
        <v/>
      </c>
      <c r="N156" s="113">
        <f>IF(F156="","",F156*0.96)</f>
        <v/>
      </c>
      <c r="O156" s="113">
        <f>IF(B156="","",IF(H156="","保有中",IF(H156&gt;=M156,"🟢利確推奨",IF(H156&gt;=F156*1.06,"🟡利確&amp;TR STOP検討",IF(H156&lt;=N156,"🔴損切推奨",IF(H156&lt;=F156*0.965,"🔴損切間近",IF(H156&lt;=F156*0.97,"⚠️-3%注意",IF(H156&lt;=F156*0.96,"🟡STOP推奨","保持継続"))))))))</f>
        <v/>
      </c>
      <c r="P156" s="113">
        <f t="array" ref="P156">IF(B156="","",IFERROR(MAX(OFFSET(高値!$E$6,MATCH(TEXT(B156,"0"),TEXT(銘柄管理!$B$6:$B$305,"0"),0)-1,0,1,10)),""))</f>
        <v/>
      </c>
      <c r="Q156" s="113">
        <f t="array" ref="Q156">IF(B156="","",IFERROR(MIN(OFFSET(安値!$E$6,MATCH(TEXT(B156,"0"),TEXT(銘柄管理!$B$6:$B$305,"0"),0)-1,0,1,10)),""))</f>
        <v/>
      </c>
      <c r="R156" s="113">
        <f>IF(P156="","",ROUND(P156*0.97,0))</f>
        <v/>
      </c>
      <c r="S156" s="461">
        <f>IF(B156="","",IF(T156&lt;&gt;"","?売却済",IF(H156="","?保有中",IF(H156&gt;=M156,"??利確推奨",IF(H156&lt;=N156,"??損切推奨",IF(H156&lt;=R156,"??STOP推奨","?保有中"))))))</f>
        <v/>
      </c>
      <c r="T156" s="111" t="n"/>
      <c r="U156" s="111" t="n"/>
      <c r="V156" s="113">
        <f>IF(OR(F156="",G156="",U156=""),"",(U156-F156)*G156)</f>
        <v/>
      </c>
      <c r="W156" s="699">
        <f>IF(OR(E156="",B156=""),"",IF(T156&lt;&gt;"",T156-E156,TODAY()-E156))</f>
        <v/>
      </c>
      <c r="X156" s="111" t="n"/>
    </row>
    <row r="157" ht="17.25" customHeight="1" s="574">
      <c r="A157" s="408">
        <f>HYPERLINK("https://kabutan.jp/stock/?code="&amp;TEXT(B157,"0000"),"株探")</f>
        <v/>
      </c>
      <c r="B157" s="111" t="n"/>
      <c r="C157" s="111" t="n"/>
      <c r="D157" s="111" t="n"/>
      <c r="E157" s="698" t="n"/>
      <c r="F157" s="426" t="n"/>
      <c r="G157" s="111" t="n"/>
      <c r="H157" s="113">
        <f>_xll.RssMarket("d7","現在値")</f>
        <v/>
      </c>
      <c r="I157" s="113">
        <f t="array" ref="I157">_xll.RssMarket(B157, "出来高加重平均")</f>
        <v/>
      </c>
      <c r="J157" s="113">
        <f t="array" ref="J157">_xll.RssMarket(B157, "前日比")</f>
        <v/>
      </c>
      <c r="K157" s="113">
        <f>IF(OR(F157="",G157="",H157=""),"",(H157-F157)*G157)</f>
        <v/>
      </c>
      <c r="L157" s="114">
        <f>IF(OR(F157="",H157=""),"",(H157-F157)/F157)</f>
        <v/>
      </c>
      <c r="M157" s="113">
        <f>IF(F157="","",F157*1.07)</f>
        <v/>
      </c>
      <c r="N157" s="113">
        <f>IF(F157="","",F157*0.96)</f>
        <v/>
      </c>
      <c r="O157" s="113">
        <f>IF(B157="","",IF(H157="","保有中",IF(H157&gt;=M157,"🟢利確推奨",IF(H157&gt;=F157*1.06,"🟡利確&amp;TR STOP検討",IF(H157&lt;=N157,"🔴損切推奨",IF(H157&lt;=F157*0.965,"🔴損切間近",IF(H157&lt;=F157*0.97,"⚠️-3%注意",IF(H157&lt;=F157*0.96,"🟡STOP推奨","保持継続"))))))))</f>
        <v/>
      </c>
      <c r="P157" s="113">
        <f t="array" ref="P157">IF(B157="","",IFERROR(MAX(OFFSET(高値!$E$6,MATCH(TEXT(B157,"0"),TEXT(銘柄管理!$B$6:$B$305,"0"),0)-1,0,1,10)),""))</f>
        <v/>
      </c>
      <c r="Q157" s="113">
        <f t="array" ref="Q157">IF(B157="","",IFERROR(MIN(OFFSET(安値!$E$6,MATCH(TEXT(B157,"0"),TEXT(銘柄管理!$B$6:$B$305,"0"),0)-1,0,1,10)),""))</f>
        <v/>
      </c>
      <c r="R157" s="113">
        <f>IF(P157="","",ROUND(P157*0.97,0))</f>
        <v/>
      </c>
      <c r="S157" s="461">
        <f>IF(B157="","",IF(T157&lt;&gt;"","?売却済",IF(H157="","?保有中",IF(H157&gt;=M157,"??利確推奨",IF(H157&lt;=N157,"??損切推奨",IF(H157&lt;=R157,"??STOP推奨","?保有中"))))))</f>
        <v/>
      </c>
      <c r="T157" s="111" t="n"/>
      <c r="U157" s="111" t="n"/>
      <c r="V157" s="113">
        <f>IF(OR(F157="",G157="",U157=""),"",(U157-F157)*G157)</f>
        <v/>
      </c>
      <c r="W157" s="699">
        <f>IF(OR(E157="",B157=""),"",IF(T157&lt;&gt;"",T157-E157,TODAY()-E157))</f>
        <v/>
      </c>
      <c r="X157" s="111" t="n"/>
    </row>
    <row r="158" ht="17.25" customHeight="1" s="574">
      <c r="A158" s="408">
        <f>HYPERLINK("https://kabutan.jp/stock/?code="&amp;TEXT(B158,"0000"),"株探")</f>
        <v/>
      </c>
      <c r="B158" s="111" t="n"/>
      <c r="C158" s="111" t="n"/>
      <c r="D158" s="111" t="n"/>
      <c r="E158" s="698" t="n"/>
      <c r="F158" s="426" t="n"/>
      <c r="G158" s="111" t="n"/>
      <c r="H158" s="113">
        <f>_xll.RssMarket("d7","現在値")</f>
        <v/>
      </c>
      <c r="I158" s="113">
        <f t="array" ref="I158">_xll.RssMarket(B158, "出来高加重平均")</f>
        <v/>
      </c>
      <c r="J158" s="113">
        <f t="array" ref="J158">_xll.RssMarket(B158, "前日比")</f>
        <v/>
      </c>
      <c r="K158" s="113">
        <f>IF(OR(F158="",G158="",H158=""),"",(H158-F158)*G158)</f>
        <v/>
      </c>
      <c r="L158" s="114">
        <f>IF(OR(F158="",H158=""),"",(H158-F158)/F158)</f>
        <v/>
      </c>
      <c r="M158" s="113">
        <f>IF(F158="","",F158*1.07)</f>
        <v/>
      </c>
      <c r="N158" s="113">
        <f>IF(F158="","",F158*0.96)</f>
        <v/>
      </c>
      <c r="O158" s="113">
        <f>IF(B158="","",IF(H158="","保有中",IF(H158&gt;=M158,"🟢利確推奨",IF(H158&gt;=F158*1.06,"🟡利確&amp;TR STOP検討",IF(H158&lt;=N158,"🔴損切推奨",IF(H158&lt;=F158*0.965,"🔴損切間近",IF(H158&lt;=F158*0.97,"⚠️-3%注意",IF(H158&lt;=F158*0.96,"🟡STOP推奨","保持継続"))))))))</f>
        <v/>
      </c>
      <c r="P158" s="113">
        <f t="array" ref="P158">IF(B158="","",IFERROR(MAX(OFFSET(高値!$E$6,MATCH(TEXT(B158,"0"),TEXT(銘柄管理!$B$6:$B$305,"0"),0)-1,0,1,10)),""))</f>
        <v/>
      </c>
      <c r="Q158" s="113">
        <f t="array" ref="Q158">IF(B158="","",IFERROR(MIN(OFFSET(安値!$E$6,MATCH(TEXT(B158,"0"),TEXT(銘柄管理!$B$6:$B$305,"0"),0)-1,0,1,10)),""))</f>
        <v/>
      </c>
      <c r="R158" s="113">
        <f>IF(P158="","",ROUND(P158*0.97,0))</f>
        <v/>
      </c>
      <c r="S158" s="461">
        <f>IF(B158="","",IF(T158&lt;&gt;"","?売却済",IF(H158="","?保有中",IF(H158&gt;=M158,"??利確推奨",IF(H158&lt;=N158,"??損切推奨",IF(H158&lt;=R158,"??STOP推奨","?保有中"))))))</f>
        <v/>
      </c>
      <c r="T158" s="111" t="n"/>
      <c r="U158" s="111" t="n"/>
      <c r="V158" s="113">
        <f>IF(OR(F158="",G158="",U158=""),"",(U158-F158)*G158)</f>
        <v/>
      </c>
      <c r="W158" s="699">
        <f>IF(OR(E158="",B158=""),"",IF(T158&lt;&gt;"",T158-E158,TODAY()-E158))</f>
        <v/>
      </c>
      <c r="X158" s="111" t="n"/>
    </row>
    <row r="159" ht="17.25" customHeight="1" s="574">
      <c r="A159" s="408">
        <f>HYPERLINK("https://kabutan.jp/stock/?code="&amp;TEXT(B159,"0000"),"株探")</f>
        <v/>
      </c>
      <c r="B159" s="111" t="n"/>
      <c r="C159" s="111" t="n"/>
      <c r="D159" s="111" t="n"/>
      <c r="E159" s="698" t="n"/>
      <c r="F159" s="426" t="n"/>
      <c r="G159" s="111" t="n"/>
      <c r="H159" s="113">
        <f>_xll.RssMarket("d7","現在値")</f>
        <v/>
      </c>
      <c r="I159" s="113">
        <f t="array" ref="I159">_xll.RssMarket(B159, "出来高加重平均")</f>
        <v/>
      </c>
      <c r="J159" s="113">
        <f t="array" ref="J159">_xll.RssMarket(B159, "前日比")</f>
        <v/>
      </c>
      <c r="K159" s="113">
        <f>IF(OR(F159="",G159="",H159=""),"",(H159-F159)*G159)</f>
        <v/>
      </c>
      <c r="L159" s="114">
        <f>IF(OR(F159="",H159=""),"",(H159-F159)/F159)</f>
        <v/>
      </c>
      <c r="M159" s="113">
        <f>IF(F159="","",F159*1.07)</f>
        <v/>
      </c>
      <c r="N159" s="113">
        <f>IF(F159="","",F159*0.96)</f>
        <v/>
      </c>
      <c r="O159" s="113">
        <f>IF(B159="","",IF(H159="","保有中",IF(H159&gt;=M159,"🟢利確推奨",IF(H159&gt;=F159*1.06,"🟡利確&amp;TR STOP検討",IF(H159&lt;=N159,"🔴損切推奨",IF(H159&lt;=F159*0.965,"🔴損切間近",IF(H159&lt;=F159*0.97,"⚠️-3%注意",IF(H159&lt;=F159*0.96,"🟡STOP推奨","保持継続"))))))))</f>
        <v/>
      </c>
      <c r="P159" s="113">
        <f t="array" ref="P159">IF(B159="","",IFERROR(MAX(OFFSET(高値!$E$6,MATCH(TEXT(B159,"0"),TEXT(銘柄管理!$B$6:$B$305,"0"),0)-1,0,1,10)),""))</f>
        <v/>
      </c>
      <c r="Q159" s="113">
        <f t="array" ref="Q159">IF(B159="","",IFERROR(MIN(OFFSET(安値!$E$6,MATCH(TEXT(B159,"0"),TEXT(銘柄管理!$B$6:$B$305,"0"),0)-1,0,1,10)),""))</f>
        <v/>
      </c>
      <c r="R159" s="113">
        <f>IF(P159="","",ROUND(P159*0.97,0))</f>
        <v/>
      </c>
      <c r="S159" s="461">
        <f>IF(B159="","",IF(T159&lt;&gt;"","?売却済",IF(H159="","?保有中",IF(H159&gt;=M159,"??利確推奨",IF(H159&lt;=N159,"??損切推奨",IF(H159&lt;=R159,"??STOP推奨","?保有中"))))))</f>
        <v/>
      </c>
      <c r="T159" s="111" t="n"/>
      <c r="U159" s="111" t="n"/>
      <c r="V159" s="113">
        <f>IF(OR(F159="",G159="",U159=""),"",(U159-F159)*G159)</f>
        <v/>
      </c>
      <c r="W159" s="699">
        <f>IF(OR(E159="",B159=""),"",IF(T159&lt;&gt;"",T159-E159,TODAY()-E159))</f>
        <v/>
      </c>
      <c r="X159" s="111" t="n"/>
    </row>
    <row r="160" ht="17.25" customHeight="1" s="574">
      <c r="A160" s="408">
        <f>HYPERLINK("https://kabutan.jp/stock/?code="&amp;TEXT(B160,"0000"),"株探")</f>
        <v/>
      </c>
      <c r="B160" s="111" t="n"/>
      <c r="C160" s="111" t="n"/>
      <c r="D160" s="111" t="n"/>
      <c r="E160" s="698" t="n"/>
      <c r="F160" s="426" t="n"/>
      <c r="G160" s="111" t="n"/>
      <c r="H160" s="113">
        <f>_xll.RssMarket("d7","現在値")</f>
        <v/>
      </c>
      <c r="I160" s="113">
        <f t="array" ref="I160">_xll.RssMarket(B160, "出来高加重平均")</f>
        <v/>
      </c>
      <c r="J160" s="113">
        <f t="array" ref="J160">_xll.RssMarket(B160, "前日比")</f>
        <v/>
      </c>
      <c r="K160" s="113">
        <f>IF(OR(F160="",G160="",H160=""),"",(H160-F160)*G160)</f>
        <v/>
      </c>
      <c r="L160" s="114">
        <f>IF(OR(F160="",H160=""),"",(H160-F160)/F160)</f>
        <v/>
      </c>
      <c r="M160" s="113">
        <f>IF(F160="","",F160*1.07)</f>
        <v/>
      </c>
      <c r="N160" s="113">
        <f>IF(F160="","",F160*0.96)</f>
        <v/>
      </c>
      <c r="O160" s="113">
        <f>IF(B160="","",IF(H160="","保有中",IF(H160&gt;=M160,"🟢利確推奨",IF(H160&gt;=F160*1.06,"🟡利確&amp;TR STOP検討",IF(H160&lt;=N160,"🔴損切推奨",IF(H160&lt;=F160*0.965,"🔴損切間近",IF(H160&lt;=F160*0.97,"⚠️-3%注意",IF(H160&lt;=F160*0.96,"🟡STOP推奨","保持継続"))))))))</f>
        <v/>
      </c>
      <c r="P160" s="113">
        <f t="array" ref="P160">IF(B160="","",IFERROR(MAX(OFFSET(高値!$E$6,MATCH(TEXT(B160,"0"),TEXT(銘柄管理!$B$6:$B$305,"0"),0)-1,0,1,10)),""))</f>
        <v/>
      </c>
      <c r="Q160" s="113">
        <f t="array" ref="Q160">IF(B160="","",IFERROR(MIN(OFFSET(安値!$E$6,MATCH(TEXT(B160,"0"),TEXT(銘柄管理!$B$6:$B$305,"0"),0)-1,0,1,10)),""))</f>
        <v/>
      </c>
      <c r="R160" s="113">
        <f>IF(P160="","",ROUND(P160*0.97,0))</f>
        <v/>
      </c>
      <c r="S160" s="461">
        <f>IF(B160="","",IF(T160&lt;&gt;"","?売却済",IF(H160="","?保有中",IF(H160&gt;=M160,"??利確推奨",IF(H160&lt;=N160,"??損切推奨",IF(H160&lt;=R160,"??STOP推奨","?保有中"))))))</f>
        <v/>
      </c>
      <c r="T160" s="111" t="n"/>
      <c r="U160" s="111" t="n"/>
      <c r="V160" s="113">
        <f>IF(OR(F160="",G160="",U160=""),"",(U160-F160)*G160)</f>
        <v/>
      </c>
      <c r="W160" s="699">
        <f>IF(OR(E160="",B160=""),"",IF(T160&lt;&gt;"",T160-E160,TODAY()-E160))</f>
        <v/>
      </c>
      <c r="X160" s="111" t="n"/>
    </row>
    <row r="161" ht="17.25" customHeight="1" s="574">
      <c r="A161" s="408">
        <f>HYPERLINK("https://kabutan.jp/stock/?code="&amp;TEXT(B161,"0000"),"株探")</f>
        <v/>
      </c>
      <c r="B161" s="111" t="n"/>
      <c r="C161" s="111" t="n"/>
      <c r="D161" s="111" t="n"/>
      <c r="E161" s="698" t="n"/>
      <c r="F161" s="426" t="n"/>
      <c r="G161" s="111" t="n"/>
      <c r="H161" s="113">
        <f>_xll.RssMarket("d7","現在値")</f>
        <v/>
      </c>
      <c r="I161" s="113">
        <f t="array" ref="I161">_xll.RssMarket(B161, "出来高加重平均")</f>
        <v/>
      </c>
      <c r="J161" s="113">
        <f t="array" ref="J161">_xll.RssMarket(B161, "前日比")</f>
        <v/>
      </c>
      <c r="K161" s="113">
        <f>IF(OR(F161="",G161="",H161=""),"",(H161-F161)*G161)</f>
        <v/>
      </c>
      <c r="L161" s="114">
        <f>IF(OR(F161="",H161=""),"",(H161-F161)/F161)</f>
        <v/>
      </c>
      <c r="M161" s="113">
        <f>IF(F161="","",F161*1.07)</f>
        <v/>
      </c>
      <c r="N161" s="113">
        <f>IF(F161="","",F161*0.96)</f>
        <v/>
      </c>
      <c r="O161" s="113">
        <f>IF(B161="","",IF(H161="","保有中",IF(H161&gt;=M161,"🟢利確推奨",IF(H161&gt;=F161*1.06,"🟡利確&amp;TR STOP検討",IF(H161&lt;=N161,"🔴損切推奨",IF(H161&lt;=F161*0.965,"🔴損切間近",IF(H161&lt;=F161*0.97,"⚠️-3%注意",IF(H161&lt;=F161*0.96,"🟡STOP推奨","保持継続"))))))))</f>
        <v/>
      </c>
      <c r="P161" s="113">
        <f t="array" ref="P161">IF(B161="","",IFERROR(MAX(OFFSET(高値!$E$6,MATCH(TEXT(B161,"0"),TEXT(銘柄管理!$B$6:$B$305,"0"),0)-1,0,1,10)),""))</f>
        <v/>
      </c>
      <c r="Q161" s="113">
        <f t="array" ref="Q161">IF(B161="","",IFERROR(MIN(OFFSET(安値!$E$6,MATCH(TEXT(B161,"0"),TEXT(銘柄管理!$B$6:$B$305,"0"),0)-1,0,1,10)),""))</f>
        <v/>
      </c>
      <c r="R161" s="113">
        <f>IF(P161="","",ROUND(P161*0.97,0))</f>
        <v/>
      </c>
      <c r="S161" s="461">
        <f>IF(B161="","",IF(T161&lt;&gt;"","?売却済",IF(H161="","?保有中",IF(H161&gt;=M161,"??利確推奨",IF(H161&lt;=N161,"??損切推奨",IF(H161&lt;=R161,"??STOP推奨","?保有中"))))))</f>
        <v/>
      </c>
      <c r="T161" s="111" t="n"/>
      <c r="U161" s="111" t="n"/>
      <c r="V161" s="113">
        <f>IF(OR(F161="",G161="",U161=""),"",(U161-F161)*G161)</f>
        <v/>
      </c>
      <c r="W161" s="699">
        <f>IF(OR(E161="",B161=""),"",IF(T161&lt;&gt;"",T161-E161,TODAY()-E161))</f>
        <v/>
      </c>
      <c r="X161" s="111" t="n"/>
    </row>
    <row r="162" ht="17.25" customHeight="1" s="574">
      <c r="A162" s="408">
        <f>HYPERLINK("https://kabutan.jp/stock/?code="&amp;TEXT(B162,"0000"),"株探")</f>
        <v/>
      </c>
      <c r="B162" s="111" t="n"/>
      <c r="C162" s="111" t="n"/>
      <c r="D162" s="111" t="n"/>
      <c r="E162" s="698" t="n"/>
      <c r="F162" s="426" t="n"/>
      <c r="G162" s="111" t="n"/>
      <c r="H162" s="113">
        <f>_xll.RssMarket("d7","現在値")</f>
        <v/>
      </c>
      <c r="I162" s="113">
        <f t="array" ref="I162">_xll.RssMarket(B162, "出来高加重平均")</f>
        <v/>
      </c>
      <c r="J162" s="113">
        <f t="array" ref="J162">_xll.RssMarket(B162, "前日比")</f>
        <v/>
      </c>
      <c r="K162" s="113">
        <f>IF(OR(F162="",G162="",H162=""),"",(H162-F162)*G162)</f>
        <v/>
      </c>
      <c r="L162" s="114">
        <f>IF(OR(F162="",H162=""),"",(H162-F162)/F162)</f>
        <v/>
      </c>
      <c r="M162" s="113">
        <f>IF(F162="","",F162*1.07)</f>
        <v/>
      </c>
      <c r="N162" s="113">
        <f>IF(F162="","",F162*0.96)</f>
        <v/>
      </c>
      <c r="O162" s="113">
        <f>IF(B162="","",IF(H162="","保有中",IF(H162&gt;=M162,"🟢利確推奨",IF(H162&gt;=F162*1.06,"🟡利確&amp;TR STOP検討",IF(H162&lt;=N162,"🔴損切推奨",IF(H162&lt;=F162*0.965,"🔴損切間近",IF(H162&lt;=F162*0.97,"⚠️-3%注意",IF(H162&lt;=F162*0.96,"🟡STOP推奨","保持継続"))))))))</f>
        <v/>
      </c>
      <c r="P162" s="113">
        <f t="array" ref="P162">IF(B162="","",IFERROR(MAX(OFFSET(高値!$E$6,MATCH(TEXT(B162,"0"),TEXT(銘柄管理!$B$6:$B$305,"0"),0)-1,0,1,10)),""))</f>
        <v/>
      </c>
      <c r="Q162" s="113">
        <f t="array" ref="Q162">IF(B162="","",IFERROR(MIN(OFFSET(安値!$E$6,MATCH(TEXT(B162,"0"),TEXT(銘柄管理!$B$6:$B$305,"0"),0)-1,0,1,10)),""))</f>
        <v/>
      </c>
      <c r="R162" s="113">
        <f>IF(P162="","",ROUND(P162*0.97,0))</f>
        <v/>
      </c>
      <c r="S162" s="461">
        <f>IF(B162="","",IF(T162&lt;&gt;"","?売却済",IF(H162="","?保有中",IF(H162&gt;=M162,"??利確推奨",IF(H162&lt;=N162,"??損切推奨",IF(H162&lt;=R162,"??STOP推奨","?保有中"))))))</f>
        <v/>
      </c>
      <c r="T162" s="111" t="n"/>
      <c r="U162" s="111" t="n"/>
      <c r="V162" s="113">
        <f>IF(OR(F162="",G162="",U162=""),"",(U162-F162)*G162)</f>
        <v/>
      </c>
      <c r="W162" s="699">
        <f>IF(OR(E162="",B162=""),"",IF(T162&lt;&gt;"",T162-E162,TODAY()-E162))</f>
        <v/>
      </c>
      <c r="X162" s="111" t="n"/>
    </row>
    <row r="163" ht="17.25" customHeight="1" s="574">
      <c r="A163" s="408">
        <f>HYPERLINK("https://kabutan.jp/stock/?code="&amp;TEXT(B163,"0000"),"株探")</f>
        <v/>
      </c>
      <c r="B163" s="111" t="n"/>
      <c r="C163" s="111" t="n"/>
      <c r="D163" s="111" t="n"/>
      <c r="E163" s="698" t="n"/>
      <c r="F163" s="426" t="n"/>
      <c r="G163" s="111" t="n"/>
      <c r="H163" s="113">
        <f>_xll.RssMarket("d7","現在値")</f>
        <v/>
      </c>
      <c r="I163" s="113">
        <f t="array" ref="I163">_xll.RssMarket(B163, "出来高加重平均")</f>
        <v/>
      </c>
      <c r="J163" s="113">
        <f t="array" ref="J163">_xll.RssMarket(B163, "前日比")</f>
        <v/>
      </c>
      <c r="K163" s="113">
        <f>IF(OR(F163="",G163="",H163=""),"",(H163-F163)*G163)</f>
        <v/>
      </c>
      <c r="L163" s="114">
        <f>IF(OR(F163="",H163=""),"",(H163-F163)/F163)</f>
        <v/>
      </c>
      <c r="M163" s="113">
        <f>IF(F163="","",F163*1.07)</f>
        <v/>
      </c>
      <c r="N163" s="113">
        <f>IF(F163="","",F163*0.96)</f>
        <v/>
      </c>
      <c r="O163" s="113">
        <f>IF(B163="","",IF(H163="","保有中",IF(H163&gt;=M163,"🟢利確推奨",IF(H163&gt;=F163*1.06,"🟡利確&amp;TR STOP検討",IF(H163&lt;=N163,"🔴損切推奨",IF(H163&lt;=F163*0.965,"🔴損切間近",IF(H163&lt;=F163*0.97,"⚠️-3%注意",IF(H163&lt;=F163*0.96,"🟡STOP推奨","保持継続"))))))))</f>
        <v/>
      </c>
      <c r="P163" s="113">
        <f t="array" ref="P163">IF(B163="","",IFERROR(MAX(OFFSET(高値!$E$6,MATCH(TEXT(B163,"0"),TEXT(銘柄管理!$B$6:$B$305,"0"),0)-1,0,1,10)),""))</f>
        <v/>
      </c>
      <c r="Q163" s="113">
        <f t="array" ref="Q163">IF(B163="","",IFERROR(MIN(OFFSET(安値!$E$6,MATCH(TEXT(B163,"0"),TEXT(銘柄管理!$B$6:$B$305,"0"),0)-1,0,1,10)),""))</f>
        <v/>
      </c>
      <c r="R163" s="113">
        <f>IF(P163="","",ROUND(P163*0.97,0))</f>
        <v/>
      </c>
      <c r="S163" s="461">
        <f>IF(B163="","",IF(T163&lt;&gt;"","?売却済",IF(H163="","?保有中",IF(H163&gt;=M163,"??利確推奨",IF(H163&lt;=N163,"??損切推奨",IF(H163&lt;=R163,"??STOP推奨","?保有中"))))))</f>
        <v/>
      </c>
      <c r="T163" s="111" t="n"/>
      <c r="U163" s="111" t="n"/>
      <c r="V163" s="113">
        <f>IF(OR(F163="",G163="",U163=""),"",(U163-F163)*G163)</f>
        <v/>
      </c>
      <c r="W163" s="699">
        <f>IF(OR(E163="",B163=""),"",IF(T163&lt;&gt;"",T163-E163,TODAY()-E163))</f>
        <v/>
      </c>
      <c r="X163" s="111" t="n"/>
    </row>
    <row r="164" ht="17.25" customHeight="1" s="574">
      <c r="A164" s="408">
        <f>HYPERLINK("https://kabutan.jp/stock/?code="&amp;TEXT(B164,"0000"),"株探")</f>
        <v/>
      </c>
      <c r="B164" s="111" t="n"/>
      <c r="C164" s="111" t="n"/>
      <c r="D164" s="111" t="n"/>
      <c r="E164" s="698" t="n"/>
      <c r="F164" s="426" t="n"/>
      <c r="G164" s="111" t="n"/>
      <c r="H164" s="113">
        <f>_xll.RssMarket("d7","現在値")</f>
        <v/>
      </c>
      <c r="I164" s="113">
        <f t="array" ref="I164">_xll.RssMarket(B164, "出来高加重平均")</f>
        <v/>
      </c>
      <c r="J164" s="113">
        <f t="array" ref="J164">_xll.RssMarket(B164, "前日比")</f>
        <v/>
      </c>
      <c r="K164" s="113">
        <f>IF(OR(F164="",G164="",H164=""),"",(H164-F164)*G164)</f>
        <v/>
      </c>
      <c r="L164" s="114">
        <f>IF(OR(F164="",H164=""),"",(H164-F164)/F164)</f>
        <v/>
      </c>
      <c r="M164" s="113">
        <f>IF(F164="","",F164*1.07)</f>
        <v/>
      </c>
      <c r="N164" s="113">
        <f>IF(F164="","",F164*0.96)</f>
        <v/>
      </c>
      <c r="O164" s="113">
        <f>IF(B164="","",IF(H164="","保有中",IF(H164&gt;=M164,"🟢利確推奨",IF(H164&gt;=F164*1.06,"🟡利確&amp;TR STOP検討",IF(H164&lt;=N164,"🔴損切推奨",IF(H164&lt;=F164*0.965,"🔴損切間近",IF(H164&lt;=F164*0.97,"⚠️-3%注意",IF(H164&lt;=F164*0.96,"🟡STOP推奨","保持継続"))))))))</f>
        <v/>
      </c>
      <c r="P164" s="113">
        <f t="array" ref="P164">IF(B164="","",IFERROR(MAX(OFFSET(高値!$E$6,MATCH(TEXT(B164,"0"),TEXT(銘柄管理!$B$6:$B$305,"0"),0)-1,0,1,10)),""))</f>
        <v/>
      </c>
      <c r="Q164" s="113">
        <f t="array" ref="Q164">IF(B164="","",IFERROR(MIN(OFFSET(安値!$E$6,MATCH(TEXT(B164,"0"),TEXT(銘柄管理!$B$6:$B$305,"0"),0)-1,0,1,10)),""))</f>
        <v/>
      </c>
      <c r="R164" s="113">
        <f>IF(P164="","",ROUND(P164*0.97,0))</f>
        <v/>
      </c>
      <c r="S164" s="461">
        <f>IF(B164="","",IF(T164&lt;&gt;"","?売却済",IF(H164="","?保有中",IF(H164&gt;=M164,"??利確推奨",IF(H164&lt;=N164,"??損切推奨",IF(H164&lt;=R164,"??STOP推奨","?保有中"))))))</f>
        <v/>
      </c>
      <c r="T164" s="111" t="n"/>
      <c r="U164" s="111" t="n"/>
      <c r="V164" s="113">
        <f>IF(OR(F164="",G164="",U164=""),"",(U164-F164)*G164)</f>
        <v/>
      </c>
      <c r="W164" s="699">
        <f>IF(OR(E164="",B164=""),"",IF(T164&lt;&gt;"",T164-E164,TODAY()-E164))</f>
        <v/>
      </c>
      <c r="X164" s="111" t="n"/>
    </row>
    <row r="165" ht="17.25" customHeight="1" s="574">
      <c r="A165" s="408">
        <f>HYPERLINK("https://kabutan.jp/stock/?code="&amp;TEXT(B165,"0000"),"株探")</f>
        <v/>
      </c>
      <c r="B165" s="111" t="n"/>
      <c r="C165" s="111" t="n"/>
      <c r="D165" s="111" t="n"/>
      <c r="E165" s="698" t="n"/>
      <c r="F165" s="426" t="n"/>
      <c r="G165" s="111" t="n"/>
      <c r="H165" s="113">
        <f>_xll.RssMarket("d7","現在値")</f>
        <v/>
      </c>
      <c r="I165" s="113">
        <f t="array" ref="I165">_xll.RssMarket(B165, "出来高加重平均")</f>
        <v/>
      </c>
      <c r="J165" s="113">
        <f t="array" ref="J165">_xll.RssMarket(B165, "前日比")</f>
        <v/>
      </c>
      <c r="K165" s="113">
        <f>IF(OR(F165="",G165="",H165=""),"",(H165-F165)*G165)</f>
        <v/>
      </c>
      <c r="L165" s="114">
        <f>IF(OR(F165="",H165=""),"",(H165-F165)/F165)</f>
        <v/>
      </c>
      <c r="M165" s="113">
        <f>IF(F165="","",F165*1.07)</f>
        <v/>
      </c>
      <c r="N165" s="113">
        <f>IF(F165="","",F165*0.96)</f>
        <v/>
      </c>
      <c r="O165" s="113">
        <f>IF(B165="","",IF(H165="","保有中",IF(H165&gt;=M165,"🟢利確推奨",IF(H165&gt;=F165*1.06,"🟡利確&amp;TR STOP検討",IF(H165&lt;=N165,"🔴損切推奨",IF(H165&lt;=F165*0.965,"🔴損切間近",IF(H165&lt;=F165*0.97,"⚠️-3%注意",IF(H165&lt;=F165*0.96,"🟡STOP推奨","保持継続"))))))))</f>
        <v/>
      </c>
      <c r="P165" s="113">
        <f t="array" ref="P165">IF(B165="","",IFERROR(MAX(OFFSET(高値!$E$6,MATCH(TEXT(B165,"0"),TEXT(銘柄管理!$B$6:$B$305,"0"),0)-1,0,1,10)),""))</f>
        <v/>
      </c>
      <c r="Q165" s="113">
        <f t="array" ref="Q165">IF(B165="","",IFERROR(MIN(OFFSET(安値!$E$6,MATCH(TEXT(B165,"0"),TEXT(銘柄管理!$B$6:$B$305,"0"),0)-1,0,1,10)),""))</f>
        <v/>
      </c>
      <c r="R165" s="113">
        <f>IF(P165="","",ROUND(P165*0.97,0))</f>
        <v/>
      </c>
      <c r="S165" s="461">
        <f>IF(B165="","",IF(T165&lt;&gt;"","?売却済",IF(H165="","?保有中",IF(H165&gt;=M165,"??利確推奨",IF(H165&lt;=N165,"??損切推奨",IF(H165&lt;=R165,"??STOP推奨","?保有中"))))))</f>
        <v/>
      </c>
      <c r="T165" s="111" t="n"/>
      <c r="U165" s="111" t="n"/>
      <c r="V165" s="113">
        <f>IF(OR(F165="",G165="",U165=""),"",(U165-F165)*G165)</f>
        <v/>
      </c>
      <c r="W165" s="699">
        <f>IF(OR(E165="",B165=""),"",IF(T165&lt;&gt;"",T165-E165,TODAY()-E165))</f>
        <v/>
      </c>
      <c r="X165" s="111" t="n"/>
    </row>
    <row r="166" ht="17.25" customHeight="1" s="574">
      <c r="A166" s="408">
        <f>HYPERLINK("https://kabutan.jp/stock/?code="&amp;TEXT(B166,"0000"),"株探")</f>
        <v/>
      </c>
      <c r="B166" s="111" t="n"/>
      <c r="C166" s="111" t="n"/>
      <c r="D166" s="111" t="n"/>
      <c r="E166" s="698" t="n"/>
      <c r="F166" s="426" t="n"/>
      <c r="G166" s="111" t="n"/>
      <c r="H166" s="113">
        <f>_xll.RssMarket("d7","現在値")</f>
        <v/>
      </c>
      <c r="I166" s="113">
        <f t="array" ref="I166">_xll.RssMarket(B166, "出来高加重平均")</f>
        <v/>
      </c>
      <c r="J166" s="113">
        <f t="array" ref="J166">_xll.RssMarket(B166, "前日比")</f>
        <v/>
      </c>
      <c r="K166" s="113">
        <f>IF(OR(F166="",G166="",H166=""),"",(H166-F166)*G166)</f>
        <v/>
      </c>
      <c r="L166" s="114">
        <f>IF(OR(F166="",H166=""),"",(H166-F166)/F166)</f>
        <v/>
      </c>
      <c r="M166" s="113">
        <f>IF(F166="","",F166*1.07)</f>
        <v/>
      </c>
      <c r="N166" s="113">
        <f>IF(F166="","",F166*0.96)</f>
        <v/>
      </c>
      <c r="O166" s="113">
        <f>IF(B166="","",IF(H166="","保有中",IF(H166&gt;=M166,"🟢利確推奨",IF(H166&gt;=F166*1.06,"🟡利確&amp;TR STOP検討",IF(H166&lt;=N166,"🔴損切推奨",IF(H166&lt;=F166*0.965,"🔴損切間近",IF(H166&lt;=F166*0.97,"⚠️-3%注意",IF(H166&lt;=F166*0.96,"🟡STOP推奨","保持継続"))))))))</f>
        <v/>
      </c>
      <c r="P166" s="113">
        <f t="array" ref="P166">IF(B166="","",IFERROR(MAX(OFFSET(高値!$E$6,MATCH(TEXT(B166,"0"),TEXT(銘柄管理!$B$6:$B$305,"0"),0)-1,0,1,10)),""))</f>
        <v/>
      </c>
      <c r="Q166" s="113">
        <f t="array" ref="Q166">IF(B166="","",IFERROR(MIN(OFFSET(安値!$E$6,MATCH(TEXT(B166,"0"),TEXT(銘柄管理!$B$6:$B$305,"0"),0)-1,0,1,10)),""))</f>
        <v/>
      </c>
      <c r="R166" s="113">
        <f>IF(P166="","",ROUND(P166*0.97,0))</f>
        <v/>
      </c>
      <c r="S166" s="461">
        <f>IF(B166="","",IF(T166&lt;&gt;"","?売却済",IF(H166="","?保有中",IF(H166&gt;=M166,"??利確推奨",IF(H166&lt;=N166,"??損切推奨",IF(H166&lt;=R166,"??STOP推奨","?保有中"))))))</f>
        <v/>
      </c>
      <c r="T166" s="111" t="n"/>
      <c r="U166" s="111" t="n"/>
      <c r="V166" s="113">
        <f>IF(OR(F166="",G166="",U166=""),"",(U166-F166)*G166)</f>
        <v/>
      </c>
      <c r="W166" s="699">
        <f>IF(OR(E166="",B166=""),"",IF(T166&lt;&gt;"",T166-E166,TODAY()-E166))</f>
        <v/>
      </c>
      <c r="X166" s="111" t="n"/>
    </row>
    <row r="167" ht="17.25" customHeight="1" s="574">
      <c r="A167" s="408">
        <f>HYPERLINK("https://kabutan.jp/stock/?code="&amp;TEXT(B167,"0000"),"株探")</f>
        <v/>
      </c>
      <c r="B167" s="111" t="n"/>
      <c r="C167" s="111" t="n"/>
      <c r="D167" s="111" t="n"/>
      <c r="E167" s="698" t="n"/>
      <c r="F167" s="426" t="n"/>
      <c r="G167" s="111" t="n"/>
      <c r="H167" s="113">
        <f>_xll.RssMarket("d7","現在値")</f>
        <v/>
      </c>
      <c r="I167" s="113">
        <f t="array" ref="I167">_xll.RssMarket(B167, "出来高加重平均")</f>
        <v/>
      </c>
      <c r="J167" s="113">
        <f t="array" ref="J167">_xll.RssMarket(B167, "前日比")</f>
        <v/>
      </c>
      <c r="K167" s="113">
        <f>IF(OR(F167="",G167="",H167=""),"",(H167-F167)*G167)</f>
        <v/>
      </c>
      <c r="L167" s="114">
        <f>IF(OR(F167="",H167=""),"",(H167-F167)/F167)</f>
        <v/>
      </c>
      <c r="M167" s="113">
        <f>IF(F167="","",F167*1.07)</f>
        <v/>
      </c>
      <c r="N167" s="113">
        <f>IF(F167="","",F167*0.96)</f>
        <v/>
      </c>
      <c r="O167" s="113">
        <f>IF(B167="","",IF(H167="","保有中",IF(H167&gt;=M167,"🟢利確推奨",IF(H167&gt;=F167*1.06,"🟡利確&amp;TR STOP検討",IF(H167&lt;=N167,"🔴損切推奨",IF(H167&lt;=F167*0.965,"🔴損切間近",IF(H167&lt;=F167*0.97,"⚠️-3%注意",IF(H167&lt;=F167*0.96,"🟡STOP推奨","保持継続"))))))))</f>
        <v/>
      </c>
      <c r="P167" s="113">
        <f t="array" ref="P167">IF(B167="","",IFERROR(MAX(OFFSET(高値!$E$6,MATCH(TEXT(B167,"0"),TEXT(銘柄管理!$B$6:$B$305,"0"),0)-1,0,1,10)),""))</f>
        <v/>
      </c>
      <c r="Q167" s="113">
        <f t="array" ref="Q167">IF(B167="","",IFERROR(MIN(OFFSET(安値!$E$6,MATCH(TEXT(B167,"0"),TEXT(銘柄管理!$B$6:$B$305,"0"),0)-1,0,1,10)),""))</f>
        <v/>
      </c>
      <c r="R167" s="113">
        <f>IF(P167="","",ROUND(P167*0.97,0))</f>
        <v/>
      </c>
      <c r="S167" s="461">
        <f>IF(B167="","",IF(T167&lt;&gt;"","?売却済",IF(H167="","?保有中",IF(H167&gt;=M167,"??利確推奨",IF(H167&lt;=N167,"??損切推奨",IF(H167&lt;=R167,"??STOP推奨","?保有中"))))))</f>
        <v/>
      </c>
      <c r="T167" s="111" t="n"/>
      <c r="U167" s="111" t="n"/>
      <c r="V167" s="113">
        <f>IF(OR(F167="",G167="",U167=""),"",(U167-F167)*G167)</f>
        <v/>
      </c>
      <c r="W167" s="699">
        <f>IF(OR(E167="",B167=""),"",IF(T167&lt;&gt;"",T167-E167,TODAY()-E167))</f>
        <v/>
      </c>
      <c r="X167" s="111" t="n"/>
    </row>
    <row r="168" ht="17.25" customHeight="1" s="574">
      <c r="A168" s="408">
        <f>HYPERLINK("https://kabutan.jp/stock/?code="&amp;TEXT(B168,"0000"),"株探")</f>
        <v/>
      </c>
      <c r="B168" s="111" t="n"/>
      <c r="C168" s="111" t="n"/>
      <c r="D168" s="111" t="n"/>
      <c r="E168" s="698" t="n"/>
      <c r="F168" s="426" t="n"/>
      <c r="G168" s="111" t="n"/>
      <c r="H168" s="113">
        <f>_xll.RssMarket("d7","現在値")</f>
        <v/>
      </c>
      <c r="I168" s="113">
        <f t="array" ref="I168">_xll.RssMarket(B168, "出来高加重平均")</f>
        <v/>
      </c>
      <c r="J168" s="113">
        <f t="array" ref="J168">_xll.RssMarket(B168, "前日比")</f>
        <v/>
      </c>
      <c r="K168" s="113">
        <f>IF(OR(F168="",G168="",H168=""),"",(H168-F168)*G168)</f>
        <v/>
      </c>
      <c r="L168" s="114">
        <f>IF(OR(F168="",H168=""),"",(H168-F168)/F168)</f>
        <v/>
      </c>
      <c r="M168" s="113">
        <f>IF(F168="","",F168*1.07)</f>
        <v/>
      </c>
      <c r="N168" s="113">
        <f>IF(F168="","",F168*0.96)</f>
        <v/>
      </c>
      <c r="O168" s="113">
        <f>IF(B168="","",IF(H168="","保有中",IF(H168&gt;=M168,"🟢利確推奨",IF(H168&gt;=F168*1.06,"🟡利確&amp;TR STOP検討",IF(H168&lt;=N168,"🔴損切推奨",IF(H168&lt;=F168*0.965,"🔴損切間近",IF(H168&lt;=F168*0.97,"⚠️-3%注意",IF(H168&lt;=F168*0.96,"🟡STOP推奨","保持継続"))))))))</f>
        <v/>
      </c>
      <c r="P168" s="113">
        <f t="array" ref="P168">IF(B168="","",IFERROR(MAX(OFFSET(高値!$E$6,MATCH(TEXT(B168,"0"),TEXT(銘柄管理!$B$6:$B$305,"0"),0)-1,0,1,10)),""))</f>
        <v/>
      </c>
      <c r="Q168" s="113">
        <f t="array" ref="Q168">IF(B168="","",IFERROR(MIN(OFFSET(安値!$E$6,MATCH(TEXT(B168,"0"),TEXT(銘柄管理!$B$6:$B$305,"0"),0)-1,0,1,10)),""))</f>
        <v/>
      </c>
      <c r="R168" s="113">
        <f>IF(P168="","",ROUND(P168*0.97,0))</f>
        <v/>
      </c>
      <c r="S168" s="461">
        <f>IF(B168="","",IF(T168&lt;&gt;"","?売却済",IF(H168="","?保有中",IF(H168&gt;=M168,"??利確推奨",IF(H168&lt;=N168,"??損切推奨",IF(H168&lt;=R168,"??STOP推奨","?保有中"))))))</f>
        <v/>
      </c>
      <c r="T168" s="111" t="n"/>
      <c r="U168" s="111" t="n"/>
      <c r="V168" s="113">
        <f>IF(OR(F168="",G168="",U168=""),"",(U168-F168)*G168)</f>
        <v/>
      </c>
      <c r="W168" s="699">
        <f>IF(OR(E168="",B168=""),"",IF(T168&lt;&gt;"",T168-E168,TODAY()-E168))</f>
        <v/>
      </c>
      <c r="X168" s="111" t="n"/>
    </row>
    <row r="169" ht="17.25" customHeight="1" s="574">
      <c r="A169" s="408">
        <f>HYPERLINK("https://kabutan.jp/stock/?code="&amp;TEXT(B169,"0000"),"株探")</f>
        <v/>
      </c>
      <c r="B169" s="111" t="n"/>
      <c r="C169" s="111" t="n"/>
      <c r="D169" s="111" t="n"/>
      <c r="E169" s="698" t="n"/>
      <c r="F169" s="426" t="n"/>
      <c r="G169" s="111" t="n"/>
      <c r="H169" s="113">
        <f>_xll.RssMarket("d7","現在値")</f>
        <v/>
      </c>
      <c r="I169" s="113">
        <f t="array" ref="I169">_xll.RssMarket(B169, "出来高加重平均")</f>
        <v/>
      </c>
      <c r="J169" s="113">
        <f t="array" ref="J169">_xll.RssMarket(B169, "前日比")</f>
        <v/>
      </c>
      <c r="K169" s="113">
        <f>IF(OR(F169="",G169="",H169=""),"",(H169-F169)*G169)</f>
        <v/>
      </c>
      <c r="L169" s="114">
        <f>IF(OR(F169="",H169=""),"",(H169-F169)/F169)</f>
        <v/>
      </c>
      <c r="M169" s="113">
        <f>IF(F169="","",F169*1.07)</f>
        <v/>
      </c>
      <c r="N169" s="113">
        <f>IF(F169="","",F169*0.96)</f>
        <v/>
      </c>
      <c r="O169" s="113">
        <f>IF(B169="","",IF(H169="","保有中",IF(H169&gt;=M169,"🟢利確推奨",IF(H169&gt;=F169*1.06,"🟡利確&amp;TR STOP検討",IF(H169&lt;=N169,"🔴損切推奨",IF(H169&lt;=F169*0.965,"🔴損切間近",IF(H169&lt;=F169*0.97,"⚠️-3%注意",IF(H169&lt;=F169*0.96,"🟡STOP推奨","保持継続"))))))))</f>
        <v/>
      </c>
      <c r="P169" s="113">
        <f t="array" ref="P169">IF(B169="","",IFERROR(MAX(OFFSET(高値!$E$6,MATCH(TEXT(B169,"0"),TEXT(銘柄管理!$B$6:$B$305,"0"),0)-1,0,1,10)),""))</f>
        <v/>
      </c>
      <c r="Q169" s="113">
        <f t="array" ref="Q169">IF(B169="","",IFERROR(MIN(OFFSET(安値!$E$6,MATCH(TEXT(B169,"0"),TEXT(銘柄管理!$B$6:$B$305,"0"),0)-1,0,1,10)),""))</f>
        <v/>
      </c>
      <c r="R169" s="113">
        <f>IF(P169="","",ROUND(P169*0.97,0))</f>
        <v/>
      </c>
      <c r="S169" s="461">
        <f>IF(B169="","",IF(T169&lt;&gt;"","?売却済",IF(H169="","?保有中",IF(H169&gt;=M169,"??利確推奨",IF(H169&lt;=N169,"??損切推奨",IF(H169&lt;=R169,"??STOP推奨","?保有中"))))))</f>
        <v/>
      </c>
      <c r="T169" s="111" t="n"/>
      <c r="U169" s="111" t="n"/>
      <c r="V169" s="113">
        <f>IF(OR(F169="",G169="",U169=""),"",(U169-F169)*G169)</f>
        <v/>
      </c>
      <c r="W169" s="699">
        <f>IF(OR(E169="",B169=""),"",IF(T169&lt;&gt;"",T169-E169,TODAY()-E169))</f>
        <v/>
      </c>
      <c r="X169" s="111" t="n"/>
    </row>
    <row r="170" ht="17.25" customHeight="1" s="574">
      <c r="A170" s="408">
        <f>HYPERLINK("https://kabutan.jp/stock/?code="&amp;TEXT(B170,"0000"),"株探")</f>
        <v/>
      </c>
      <c r="B170" s="111" t="n"/>
      <c r="C170" s="111" t="n"/>
      <c r="D170" s="111" t="n"/>
      <c r="E170" s="698" t="n"/>
      <c r="F170" s="426" t="n"/>
      <c r="G170" s="111" t="n"/>
      <c r="H170" s="113">
        <f>_xll.RssMarket("d7","現在値")</f>
        <v/>
      </c>
      <c r="I170" s="113">
        <f t="array" ref="I170">_xll.RssMarket(B170, "出来高加重平均")</f>
        <v/>
      </c>
      <c r="J170" s="113">
        <f t="array" ref="J170">_xll.RssMarket(B170, "前日比")</f>
        <v/>
      </c>
      <c r="K170" s="113">
        <f>IF(OR(F170="",G170="",H170=""),"",(H170-F170)*G170)</f>
        <v/>
      </c>
      <c r="L170" s="114">
        <f>IF(OR(F170="",H170=""),"",(H170-F170)/F170)</f>
        <v/>
      </c>
      <c r="M170" s="113">
        <f>IF(F170="","",F170*1.07)</f>
        <v/>
      </c>
      <c r="N170" s="113">
        <f>IF(F170="","",F170*0.96)</f>
        <v/>
      </c>
      <c r="O170" s="113">
        <f>IF(B170="","",IF(H170="","保有中",IF(H170&gt;=M170,"🟢利確推奨",IF(H170&gt;=F170*1.06,"🟡利確&amp;TR STOP検討",IF(H170&lt;=N170,"🔴損切推奨",IF(H170&lt;=F170*0.965,"🔴損切間近",IF(H170&lt;=F170*0.97,"⚠️-3%注意",IF(H170&lt;=F170*0.96,"🟡STOP推奨","保持継続"))))))))</f>
        <v/>
      </c>
      <c r="P170" s="113">
        <f t="array" ref="P170">IF(B170="","",IFERROR(MAX(OFFSET(高値!$E$6,MATCH(TEXT(B170,"0"),TEXT(銘柄管理!$B$6:$B$305,"0"),0)-1,0,1,10)),""))</f>
        <v/>
      </c>
      <c r="Q170" s="113">
        <f t="array" ref="Q170">IF(B170="","",IFERROR(MIN(OFFSET(安値!$E$6,MATCH(TEXT(B170,"0"),TEXT(銘柄管理!$B$6:$B$305,"0"),0)-1,0,1,10)),""))</f>
        <v/>
      </c>
      <c r="R170" s="113">
        <f>IF(P170="","",ROUND(P170*0.97,0))</f>
        <v/>
      </c>
      <c r="S170" s="461">
        <f>IF(B170="","",IF(T170&lt;&gt;"","?売却済",IF(H170="","?保有中",IF(H170&gt;=M170,"??利確推奨",IF(H170&lt;=N170,"??損切推奨",IF(H170&lt;=R170,"??STOP推奨","?保有中"))))))</f>
        <v/>
      </c>
      <c r="T170" s="111" t="n"/>
      <c r="U170" s="111" t="n"/>
      <c r="V170" s="113">
        <f>IF(OR(F170="",G170="",U170=""),"",(U170-F170)*G170)</f>
        <v/>
      </c>
      <c r="W170" s="699">
        <f>IF(OR(E170="",B170=""),"",IF(T170&lt;&gt;"",T170-E170,TODAY()-E170))</f>
        <v/>
      </c>
      <c r="X170" s="111" t="n"/>
    </row>
    <row r="171" ht="17.25" customHeight="1" s="574">
      <c r="A171" s="408">
        <f>HYPERLINK("https://kabutan.jp/stock/?code="&amp;TEXT(B171,"0000"),"株探")</f>
        <v/>
      </c>
      <c r="B171" s="111" t="n"/>
      <c r="C171" s="111" t="n"/>
      <c r="D171" s="111" t="n"/>
      <c r="E171" s="698" t="n"/>
      <c r="F171" s="426" t="n"/>
      <c r="G171" s="111" t="n"/>
      <c r="H171" s="113">
        <f>_xll.RssMarket("d7","現在値")</f>
        <v/>
      </c>
      <c r="I171" s="113">
        <f t="array" ref="I171">_xll.RssMarket(B171, "出来高加重平均")</f>
        <v/>
      </c>
      <c r="J171" s="113">
        <f t="array" ref="J171">_xll.RssMarket(B171, "前日比")</f>
        <v/>
      </c>
      <c r="K171" s="113">
        <f>IF(OR(F171="",G171="",H171=""),"",(H171-F171)*G171)</f>
        <v/>
      </c>
      <c r="L171" s="114">
        <f>IF(OR(F171="",H171=""),"",(H171-F171)/F171)</f>
        <v/>
      </c>
      <c r="M171" s="113">
        <f>IF(F171="","",F171*1.07)</f>
        <v/>
      </c>
      <c r="N171" s="113">
        <f>IF(F171="","",F171*0.96)</f>
        <v/>
      </c>
      <c r="O171" s="113">
        <f>IF(B171="","",IF(H171="","保有中",IF(H171&gt;=M171,"🟢利確推奨",IF(H171&gt;=F171*1.06,"🟡利確&amp;TR STOP検討",IF(H171&lt;=N171,"🔴損切推奨",IF(H171&lt;=F171*0.965,"🔴損切間近",IF(H171&lt;=F171*0.97,"⚠️-3%注意",IF(H171&lt;=F171*0.96,"🟡STOP推奨","保持継続"))))))))</f>
        <v/>
      </c>
      <c r="P171" s="113">
        <f t="array" ref="P171">IF(B171="","",IFERROR(MAX(OFFSET(高値!$E$6,MATCH(TEXT(B171,"0"),TEXT(銘柄管理!$B$6:$B$305,"0"),0)-1,0,1,10)),""))</f>
        <v/>
      </c>
      <c r="Q171" s="113">
        <f t="array" ref="Q171">IF(B171="","",IFERROR(MIN(OFFSET(安値!$E$6,MATCH(TEXT(B171,"0"),TEXT(銘柄管理!$B$6:$B$305,"0"),0)-1,0,1,10)),""))</f>
        <v/>
      </c>
      <c r="R171" s="113">
        <f>IF(P171="","",ROUND(P171*0.97,0))</f>
        <v/>
      </c>
      <c r="S171" s="461">
        <f>IF(B171="","",IF(T171&lt;&gt;"","?売却済",IF(H171="","?保有中",IF(H171&gt;=M171,"??利確推奨",IF(H171&lt;=N171,"??損切推奨",IF(H171&lt;=R171,"??STOP推奨","?保有中"))))))</f>
        <v/>
      </c>
      <c r="T171" s="111" t="n"/>
      <c r="U171" s="111" t="n"/>
      <c r="V171" s="113">
        <f>IF(OR(F171="",G171="",U171=""),"",(U171-F171)*G171)</f>
        <v/>
      </c>
      <c r="W171" s="699">
        <f>IF(OR(E171="",B171=""),"",IF(T171&lt;&gt;"",T171-E171,TODAY()-E171))</f>
        <v/>
      </c>
      <c r="X171" s="111" t="n"/>
    </row>
    <row r="172" ht="17.25" customHeight="1" s="574">
      <c r="A172" s="408">
        <f>HYPERLINK("https://kabutan.jp/stock/?code="&amp;TEXT(B172,"0000"),"株探")</f>
        <v/>
      </c>
      <c r="B172" s="111" t="n"/>
      <c r="C172" s="111" t="n"/>
      <c r="D172" s="111" t="n"/>
      <c r="E172" s="698" t="n"/>
      <c r="F172" s="426" t="n"/>
      <c r="G172" s="111" t="n"/>
      <c r="H172" s="113">
        <f>_xll.RssMarket("d7","現在値")</f>
        <v/>
      </c>
      <c r="I172" s="113">
        <f t="array" ref="I172">_xll.RssMarket(B172, "出来高加重平均")</f>
        <v/>
      </c>
      <c r="J172" s="113">
        <f t="array" ref="J172">_xll.RssMarket(B172, "前日比")</f>
        <v/>
      </c>
      <c r="K172" s="113">
        <f>IF(OR(F172="",G172="",H172=""),"",(H172-F172)*G172)</f>
        <v/>
      </c>
      <c r="L172" s="114">
        <f>IF(OR(F172="",H172=""),"",(H172-F172)/F172)</f>
        <v/>
      </c>
      <c r="M172" s="113">
        <f>IF(F172="","",F172*1.07)</f>
        <v/>
      </c>
      <c r="N172" s="113">
        <f>IF(F172="","",F172*0.96)</f>
        <v/>
      </c>
      <c r="O172" s="113">
        <f>IF(B172="","",IF(H172="","保有中",IF(H172&gt;=M172,"🟢利確推奨",IF(H172&gt;=F172*1.06,"🟡利確&amp;TR STOP検討",IF(H172&lt;=N172,"🔴損切推奨",IF(H172&lt;=F172*0.965,"🔴損切間近",IF(H172&lt;=F172*0.97,"⚠️-3%注意",IF(H172&lt;=F172*0.96,"🟡STOP推奨","保持継続"))))))))</f>
        <v/>
      </c>
      <c r="P172" s="113">
        <f t="array" ref="P172">IF(B172="","",IFERROR(MAX(OFFSET(高値!$E$6,MATCH(TEXT(B172,"0"),TEXT(銘柄管理!$B$6:$B$305,"0"),0)-1,0,1,10)),""))</f>
        <v/>
      </c>
      <c r="Q172" s="113">
        <f t="array" ref="Q172">IF(B172="","",IFERROR(MIN(OFFSET(安値!$E$6,MATCH(TEXT(B172,"0"),TEXT(銘柄管理!$B$6:$B$305,"0"),0)-1,0,1,10)),""))</f>
        <v/>
      </c>
      <c r="R172" s="113">
        <f>IF(P172="","",ROUND(P172*0.97,0))</f>
        <v/>
      </c>
      <c r="S172" s="461">
        <f>IF(B172="","",IF(T172&lt;&gt;"","?売却済",IF(H172="","?保有中",IF(H172&gt;=M172,"??利確推奨",IF(H172&lt;=N172,"??損切推奨",IF(H172&lt;=R172,"??STOP推奨","?保有中"))))))</f>
        <v/>
      </c>
      <c r="T172" s="111" t="n"/>
      <c r="U172" s="111" t="n"/>
      <c r="V172" s="113">
        <f>IF(OR(F172="",G172="",U172=""),"",(U172-F172)*G172)</f>
        <v/>
      </c>
      <c r="W172" s="699">
        <f>IF(OR(E172="",B172=""),"",IF(T172&lt;&gt;"",T172-E172,TODAY()-E172))</f>
        <v/>
      </c>
      <c r="X172" s="111" t="n"/>
    </row>
    <row r="173" ht="17.25" customHeight="1" s="574">
      <c r="A173" s="408">
        <f>HYPERLINK("https://kabutan.jp/stock/?code="&amp;TEXT(B173,"0000"),"株探")</f>
        <v/>
      </c>
      <c r="B173" s="111" t="n"/>
      <c r="C173" s="111" t="n"/>
      <c r="D173" s="111" t="n"/>
      <c r="E173" s="698" t="n"/>
      <c r="F173" s="426" t="n"/>
      <c r="G173" s="111" t="n"/>
      <c r="H173" s="113">
        <f>_xll.RssMarket("d7","現在値")</f>
        <v/>
      </c>
      <c r="I173" s="113">
        <f t="array" ref="I173">_xll.RssMarket(B173, "出来高加重平均")</f>
        <v/>
      </c>
      <c r="J173" s="113">
        <f t="array" ref="J173">_xll.RssMarket(B173, "前日比")</f>
        <v/>
      </c>
      <c r="K173" s="113">
        <f>IF(OR(F173="",G173="",H173=""),"",(H173-F173)*G173)</f>
        <v/>
      </c>
      <c r="L173" s="114">
        <f>IF(OR(F173="",H173=""),"",(H173-F173)/F173)</f>
        <v/>
      </c>
      <c r="M173" s="113">
        <f>IF(F173="","",F173*1.07)</f>
        <v/>
      </c>
      <c r="N173" s="113">
        <f>IF(F173="","",F173*0.96)</f>
        <v/>
      </c>
      <c r="O173" s="113">
        <f>IF(B173="","",IF(H173="","保有中",IF(H173&gt;=M173,"🟢利確推奨",IF(H173&gt;=F173*1.06,"🟡利確&amp;TR STOP検討",IF(H173&lt;=N173,"🔴損切推奨",IF(H173&lt;=F173*0.965,"🔴損切間近",IF(H173&lt;=F173*0.97,"⚠️-3%注意",IF(H173&lt;=F173*0.96,"🟡STOP推奨","保持継続"))))))))</f>
        <v/>
      </c>
      <c r="P173" s="113">
        <f t="array" ref="P173">IF(B173="","",IFERROR(MAX(OFFSET(高値!$E$6,MATCH(TEXT(B173,"0"),TEXT(銘柄管理!$B$6:$B$305,"0"),0)-1,0,1,10)),""))</f>
        <v/>
      </c>
      <c r="Q173" s="113">
        <f t="array" ref="Q173">IF(B173="","",IFERROR(MIN(OFFSET(安値!$E$6,MATCH(TEXT(B173,"0"),TEXT(銘柄管理!$B$6:$B$305,"0"),0)-1,0,1,10)),""))</f>
        <v/>
      </c>
      <c r="R173" s="113">
        <f>IF(P173="","",ROUND(P173*0.97,0))</f>
        <v/>
      </c>
      <c r="S173" s="461">
        <f>IF(B173="","",IF(T173&lt;&gt;"","?売却済",IF(H173="","?保有中",IF(H173&gt;=M173,"??利確推奨",IF(H173&lt;=N173,"??損切推奨",IF(H173&lt;=R173,"??STOP推奨","?保有中"))))))</f>
        <v/>
      </c>
      <c r="T173" s="111" t="n"/>
      <c r="U173" s="111" t="n"/>
      <c r="V173" s="113">
        <f>IF(OR(F173="",G173="",U173=""),"",(U173-F173)*G173)</f>
        <v/>
      </c>
      <c r="W173" s="699">
        <f>IF(OR(E173="",B173=""),"",IF(T173&lt;&gt;"",T173-E173,TODAY()-E173))</f>
        <v/>
      </c>
      <c r="X173" s="111" t="n"/>
    </row>
    <row r="174" ht="17.25" customHeight="1" s="574">
      <c r="A174" s="408">
        <f>HYPERLINK("https://kabutan.jp/stock/?code="&amp;TEXT(B174,"0000"),"株探")</f>
        <v/>
      </c>
      <c r="B174" s="111" t="n"/>
      <c r="C174" s="111" t="n"/>
      <c r="D174" s="111" t="n"/>
      <c r="E174" s="698" t="n"/>
      <c r="F174" s="426" t="n"/>
      <c r="G174" s="111" t="n"/>
      <c r="H174" s="113">
        <f>_xll.RssMarket("d7","現在値")</f>
        <v/>
      </c>
      <c r="I174" s="113">
        <f t="array" ref="I174">_xll.RssMarket(B174, "出来高加重平均")</f>
        <v/>
      </c>
      <c r="J174" s="113">
        <f t="array" ref="J174">_xll.RssMarket(B174, "前日比")</f>
        <v/>
      </c>
      <c r="K174" s="113">
        <f>IF(OR(F174="",G174="",H174=""),"",(H174-F174)*G174)</f>
        <v/>
      </c>
      <c r="L174" s="114">
        <f>IF(OR(F174="",H174=""),"",(H174-F174)/F174)</f>
        <v/>
      </c>
      <c r="M174" s="113">
        <f>IF(F174="","",F174*1.07)</f>
        <v/>
      </c>
      <c r="N174" s="113">
        <f>IF(F174="","",F174*0.96)</f>
        <v/>
      </c>
      <c r="O174" s="113">
        <f>IF(B174="","",IF(H174="","保有中",IF(H174&gt;=M174,"🟢利確推奨",IF(H174&gt;=F174*1.06,"🟡利確&amp;TR STOP検討",IF(H174&lt;=N174,"🔴損切推奨",IF(H174&lt;=F174*0.965,"🔴損切間近",IF(H174&lt;=F174*0.97,"⚠️-3%注意",IF(H174&lt;=F174*0.96,"🟡STOP推奨","保持継続"))))))))</f>
        <v/>
      </c>
      <c r="P174" s="113">
        <f t="array" ref="P174">IF(B174="","",IFERROR(MAX(OFFSET(高値!$E$6,MATCH(TEXT(B174,"0"),TEXT(銘柄管理!$B$6:$B$305,"0"),0)-1,0,1,10)),""))</f>
        <v/>
      </c>
      <c r="Q174" s="113">
        <f t="array" ref="Q174">IF(B174="","",IFERROR(MIN(OFFSET(安値!$E$6,MATCH(TEXT(B174,"0"),TEXT(銘柄管理!$B$6:$B$305,"0"),0)-1,0,1,10)),""))</f>
        <v/>
      </c>
      <c r="R174" s="113">
        <f>IF(P174="","",ROUND(P174*0.97,0))</f>
        <v/>
      </c>
      <c r="S174" s="461">
        <f>IF(B174="","",IF(T174&lt;&gt;"","?売却済",IF(H174="","?保有中",IF(H174&gt;=M174,"??利確推奨",IF(H174&lt;=N174,"??損切推奨",IF(H174&lt;=R174,"??STOP推奨","?保有中"))))))</f>
        <v/>
      </c>
      <c r="T174" s="111" t="n"/>
      <c r="U174" s="111" t="n"/>
      <c r="V174" s="113">
        <f>IF(OR(F174="",G174="",U174=""),"",(U174-F174)*G174)</f>
        <v/>
      </c>
      <c r="W174" s="699">
        <f>IF(OR(E174="",B174=""),"",IF(T174&lt;&gt;"",T174-E174,TODAY()-E174))</f>
        <v/>
      </c>
      <c r="X174" s="111" t="n"/>
    </row>
    <row r="175" ht="17.25" customHeight="1" s="574">
      <c r="A175" s="408">
        <f>HYPERLINK("https://kabutan.jp/stock/?code="&amp;TEXT(B175,"0000"),"株探")</f>
        <v/>
      </c>
      <c r="B175" s="111" t="n"/>
      <c r="C175" s="111" t="n"/>
      <c r="D175" s="111" t="n"/>
      <c r="E175" s="698" t="n"/>
      <c r="F175" s="426" t="n"/>
      <c r="G175" s="111" t="n"/>
      <c r="H175" s="113">
        <f>_xll.RssMarket("d7","現在値")</f>
        <v/>
      </c>
      <c r="I175" s="113">
        <f t="array" ref="I175">_xll.RssMarket(B175, "出来高加重平均")</f>
        <v/>
      </c>
      <c r="J175" s="113">
        <f t="array" ref="J175">_xll.RssMarket(B175, "前日比")</f>
        <v/>
      </c>
      <c r="K175" s="113">
        <f>IF(OR(F175="",G175="",H175=""),"",(H175-F175)*G175)</f>
        <v/>
      </c>
      <c r="L175" s="114">
        <f>IF(OR(F175="",H175=""),"",(H175-F175)/F175)</f>
        <v/>
      </c>
      <c r="M175" s="113">
        <f>IF(F175="","",F175*1.07)</f>
        <v/>
      </c>
      <c r="N175" s="113">
        <f>IF(F175="","",F175*0.96)</f>
        <v/>
      </c>
      <c r="O175" s="113">
        <f>IF(B175="","",IF(H175="","保有中",IF(H175&gt;=M175,"🟢利確推奨",IF(H175&gt;=F175*1.06,"🟡利確&amp;TR STOP検討",IF(H175&lt;=N175,"🔴損切推奨",IF(H175&lt;=F175*0.965,"🔴損切間近",IF(H175&lt;=F175*0.97,"⚠️-3%注意",IF(H175&lt;=F175*0.96,"🟡STOP推奨","保持継続"))))))))</f>
        <v/>
      </c>
      <c r="P175" s="113">
        <f t="array" ref="P175">IF(B175="","",IFERROR(MAX(OFFSET(高値!$E$6,MATCH(TEXT(B175,"0"),TEXT(銘柄管理!$B$6:$B$305,"0"),0)-1,0,1,10)),""))</f>
        <v/>
      </c>
      <c r="Q175" s="113">
        <f t="array" ref="Q175">IF(B175="","",IFERROR(MIN(OFFSET(安値!$E$6,MATCH(TEXT(B175,"0"),TEXT(銘柄管理!$B$6:$B$305,"0"),0)-1,0,1,10)),""))</f>
        <v/>
      </c>
      <c r="R175" s="113">
        <f>IF(P175="","",ROUND(P175*0.97,0))</f>
        <v/>
      </c>
      <c r="S175" s="461">
        <f>IF(B175="","",IF(T175&lt;&gt;"","?売却済",IF(H175="","?保有中",IF(H175&gt;=M175,"??利確推奨",IF(H175&lt;=N175,"??損切推奨",IF(H175&lt;=R175,"??STOP推奨","?保有中"))))))</f>
        <v/>
      </c>
      <c r="T175" s="111" t="n"/>
      <c r="U175" s="111" t="n"/>
      <c r="V175" s="113">
        <f>IF(OR(F175="",G175="",U175=""),"",(U175-F175)*G175)</f>
        <v/>
      </c>
      <c r="W175" s="699">
        <f>IF(OR(E175="",B175=""),"",IF(T175&lt;&gt;"",T175-E175,TODAY()-E175))</f>
        <v/>
      </c>
      <c r="X175" s="111" t="n"/>
    </row>
    <row r="176" ht="17.25" customHeight="1" s="574">
      <c r="A176" s="408">
        <f>HYPERLINK("https://kabutan.jp/stock/?code="&amp;TEXT(B176,"0000"),"株探")</f>
        <v/>
      </c>
      <c r="B176" s="111" t="n"/>
      <c r="C176" s="111" t="n"/>
      <c r="D176" s="111" t="n"/>
      <c r="E176" s="698" t="n"/>
      <c r="F176" s="426" t="n"/>
      <c r="G176" s="111" t="n"/>
      <c r="H176" s="113">
        <f>_xll.RssMarket("d7","現在値")</f>
        <v/>
      </c>
      <c r="I176" s="113">
        <f t="array" ref="I176">_xll.RssMarket(B176, "出来高加重平均")</f>
        <v/>
      </c>
      <c r="J176" s="113">
        <f t="array" ref="J176">_xll.RssMarket(B176, "前日比")</f>
        <v/>
      </c>
      <c r="K176" s="113">
        <f>IF(OR(F176="",G176="",H176=""),"",(H176-F176)*G176)</f>
        <v/>
      </c>
      <c r="L176" s="114">
        <f>IF(OR(F176="",H176=""),"",(H176-F176)/F176)</f>
        <v/>
      </c>
      <c r="M176" s="113">
        <f>IF(F176="","",F176*1.07)</f>
        <v/>
      </c>
      <c r="N176" s="113">
        <f>IF(F176="","",F176*0.96)</f>
        <v/>
      </c>
      <c r="O176" s="113">
        <f>IF(B176="","",IF(H176="","保有中",IF(H176&gt;=M176,"🟢利確推奨",IF(H176&gt;=F176*1.06,"🟡利確&amp;TR STOP検討",IF(H176&lt;=N176,"🔴損切推奨",IF(H176&lt;=F176*0.965,"🔴損切間近",IF(H176&lt;=F176*0.97,"⚠️-3%注意",IF(H176&lt;=F176*0.96,"🟡STOP推奨","保持継続"))))))))</f>
        <v/>
      </c>
      <c r="P176" s="113">
        <f t="array" ref="P176">IF(B176="","",IFERROR(MAX(OFFSET(高値!$E$6,MATCH(TEXT(B176,"0"),TEXT(銘柄管理!$B$6:$B$305,"0"),0)-1,0,1,10)),""))</f>
        <v/>
      </c>
      <c r="Q176" s="113">
        <f t="array" ref="Q176">IF(B176="","",IFERROR(MIN(OFFSET(安値!$E$6,MATCH(TEXT(B176,"0"),TEXT(銘柄管理!$B$6:$B$305,"0"),0)-1,0,1,10)),""))</f>
        <v/>
      </c>
      <c r="R176" s="113">
        <f>IF(P176="","",ROUND(P176*0.97,0))</f>
        <v/>
      </c>
      <c r="S176" s="461">
        <f>IF(B176="","",IF(T176&lt;&gt;"","?売却済",IF(H176="","?保有中",IF(H176&gt;=M176,"??利確推奨",IF(H176&lt;=N176,"??損切推奨",IF(H176&lt;=R176,"??STOP推奨","?保有中"))))))</f>
        <v/>
      </c>
      <c r="T176" s="111" t="n"/>
      <c r="U176" s="111" t="n"/>
      <c r="V176" s="113">
        <f>IF(OR(F176="",G176="",U176=""),"",(U176-F176)*G176)</f>
        <v/>
      </c>
      <c r="W176" s="699">
        <f>IF(OR(E176="",B176=""),"",IF(T176&lt;&gt;"",T176-E176,TODAY()-E176))</f>
        <v/>
      </c>
      <c r="X176" s="111" t="n"/>
    </row>
    <row r="177" ht="17.25" customHeight="1" s="574">
      <c r="A177" s="408">
        <f>HYPERLINK("https://kabutan.jp/stock/?code="&amp;TEXT(B177,"0000"),"株探")</f>
        <v/>
      </c>
      <c r="B177" s="111" t="n"/>
      <c r="C177" s="111" t="n"/>
      <c r="D177" s="111" t="n"/>
      <c r="E177" s="698" t="n"/>
      <c r="F177" s="426" t="n"/>
      <c r="G177" s="111" t="n"/>
      <c r="H177" s="113">
        <f>_xll.RssMarket("d7","現在値")</f>
        <v/>
      </c>
      <c r="I177" s="113">
        <f t="array" ref="I177">_xll.RssMarket(B177, "出来高加重平均")</f>
        <v/>
      </c>
      <c r="J177" s="113">
        <f t="array" ref="J177">_xll.RssMarket(B177, "前日比")</f>
        <v/>
      </c>
      <c r="K177" s="113">
        <f>IF(OR(F177="",G177="",H177=""),"",(H177-F177)*G177)</f>
        <v/>
      </c>
      <c r="L177" s="114">
        <f>IF(OR(F177="",H177=""),"",(H177-F177)/F177)</f>
        <v/>
      </c>
      <c r="M177" s="113">
        <f>IF(F177="","",F177*1.07)</f>
        <v/>
      </c>
      <c r="N177" s="113">
        <f>IF(F177="","",F177*0.96)</f>
        <v/>
      </c>
      <c r="O177" s="113">
        <f>IF(B177="","",IF(H177="","保有中",IF(H177&gt;=M177,"🟢利確推奨",IF(H177&gt;=F177*1.06,"🟡利確&amp;TR STOP検討",IF(H177&lt;=N177,"🔴損切推奨",IF(H177&lt;=F177*0.965,"🔴損切間近",IF(H177&lt;=F177*0.97,"⚠️-3%注意",IF(H177&lt;=F177*0.96,"🟡STOP推奨","保持継続"))))))))</f>
        <v/>
      </c>
      <c r="P177" s="113">
        <f t="array" ref="P177">IF(B177="","",IFERROR(MAX(OFFSET(高値!$E$6,MATCH(TEXT(B177,"0"),TEXT(銘柄管理!$B$6:$B$305,"0"),0)-1,0,1,10)),""))</f>
        <v/>
      </c>
      <c r="Q177" s="113">
        <f t="array" ref="Q177">IF(B177="","",IFERROR(MIN(OFFSET(安値!$E$6,MATCH(TEXT(B177,"0"),TEXT(銘柄管理!$B$6:$B$305,"0"),0)-1,0,1,10)),""))</f>
        <v/>
      </c>
      <c r="R177" s="113">
        <f>IF(P177="","",ROUND(P177*0.97,0))</f>
        <v/>
      </c>
      <c r="S177" s="461">
        <f>IF(B177="","",IF(T177&lt;&gt;"","?売却済",IF(H177="","?保有中",IF(H177&gt;=M177,"??利確推奨",IF(H177&lt;=N177,"??損切推奨",IF(H177&lt;=R177,"??STOP推奨","?保有中"))))))</f>
        <v/>
      </c>
      <c r="T177" s="111" t="n"/>
      <c r="U177" s="111" t="n"/>
      <c r="V177" s="113">
        <f>IF(OR(F177="",G177="",U177=""),"",(U177-F177)*G177)</f>
        <v/>
      </c>
      <c r="W177" s="699">
        <f>IF(OR(E177="",B177=""),"",IF(T177&lt;&gt;"",T177-E177,TODAY()-E177))</f>
        <v/>
      </c>
      <c r="X177" s="111" t="n"/>
    </row>
    <row r="178" ht="17.25" customHeight="1" s="574">
      <c r="A178" s="408">
        <f>HYPERLINK("https://kabutan.jp/stock/?code="&amp;TEXT(B178,"0000"),"株探")</f>
        <v/>
      </c>
      <c r="B178" s="111" t="n"/>
      <c r="C178" s="111" t="n"/>
      <c r="D178" s="111" t="n"/>
      <c r="E178" s="698" t="n"/>
      <c r="F178" s="426" t="n"/>
      <c r="G178" s="111" t="n"/>
      <c r="H178" s="113">
        <f>_xll.RssMarket("d7","現在値")</f>
        <v/>
      </c>
      <c r="I178" s="113">
        <f t="array" ref="I178">_xll.RssMarket(B178, "出来高加重平均")</f>
        <v/>
      </c>
      <c r="J178" s="113">
        <f t="array" ref="J178">_xll.RssMarket(B178, "前日比")</f>
        <v/>
      </c>
      <c r="K178" s="113">
        <f>IF(OR(F178="",G178="",H178=""),"",(H178-F178)*G178)</f>
        <v/>
      </c>
      <c r="L178" s="114">
        <f>IF(OR(F178="",H178=""),"",(H178-F178)/F178)</f>
        <v/>
      </c>
      <c r="M178" s="113">
        <f>IF(F178="","",F178*1.07)</f>
        <v/>
      </c>
      <c r="N178" s="113">
        <f>IF(F178="","",F178*0.96)</f>
        <v/>
      </c>
      <c r="O178" s="113">
        <f>IF(B178="","",IF(H178="","保有中",IF(H178&gt;=M178,"🟢利確推奨",IF(H178&gt;=F178*1.06,"🟡利確&amp;TR STOP検討",IF(H178&lt;=N178,"🔴損切推奨",IF(H178&lt;=F178*0.965,"🔴損切間近",IF(H178&lt;=F178*0.97,"⚠️-3%注意",IF(H178&lt;=F178*0.96,"🟡STOP推奨","保持継続"))))))))</f>
        <v/>
      </c>
      <c r="P178" s="113">
        <f t="array" ref="P178">IF(B178="","",IFERROR(MAX(OFFSET(高値!$E$6,MATCH(TEXT(B178,"0"),TEXT(銘柄管理!$B$6:$B$305,"0"),0)-1,0,1,10)),""))</f>
        <v/>
      </c>
      <c r="Q178" s="113">
        <f t="array" ref="Q178">IF(B178="","",IFERROR(MIN(OFFSET(安値!$E$6,MATCH(TEXT(B178,"0"),TEXT(銘柄管理!$B$6:$B$305,"0"),0)-1,0,1,10)),""))</f>
        <v/>
      </c>
      <c r="R178" s="113">
        <f>IF(P178="","",ROUND(P178*0.97,0))</f>
        <v/>
      </c>
      <c r="S178" s="461">
        <f>IF(B178="","",IF(T178&lt;&gt;"","?売却済",IF(H178="","?保有中",IF(H178&gt;=M178,"??利確推奨",IF(H178&lt;=N178,"??損切推奨",IF(H178&lt;=R178,"??STOP推奨","?保有中"))))))</f>
        <v/>
      </c>
      <c r="T178" s="111" t="n"/>
      <c r="U178" s="111" t="n"/>
      <c r="V178" s="113">
        <f>IF(OR(F178="",G178="",U178=""),"",(U178-F178)*G178)</f>
        <v/>
      </c>
      <c r="W178" s="699">
        <f>IF(OR(E178="",B178=""),"",IF(T178&lt;&gt;"",T178-E178,TODAY()-E178))</f>
        <v/>
      </c>
      <c r="X178" s="111" t="n"/>
    </row>
    <row r="179" ht="17.25" customHeight="1" s="574">
      <c r="A179" s="408">
        <f>HYPERLINK("https://kabutan.jp/stock/?code="&amp;TEXT(B179,"0000"),"株探")</f>
        <v/>
      </c>
      <c r="B179" s="111" t="n"/>
      <c r="C179" s="111" t="n"/>
      <c r="D179" s="111" t="n"/>
      <c r="E179" s="698" t="n"/>
      <c r="F179" s="426" t="n"/>
      <c r="G179" s="111" t="n"/>
      <c r="H179" s="113">
        <f>_xll.RssMarket("d7","現在値")</f>
        <v/>
      </c>
      <c r="I179" s="113">
        <f t="array" ref="I179">_xll.RssMarket(B179, "出来高加重平均")</f>
        <v/>
      </c>
      <c r="J179" s="113">
        <f t="array" ref="J179">_xll.RssMarket(B179, "前日比")</f>
        <v/>
      </c>
      <c r="K179" s="113">
        <f>IF(OR(F179="",G179="",H179=""),"",(H179-F179)*G179)</f>
        <v/>
      </c>
      <c r="L179" s="114">
        <f>IF(OR(F179="",H179=""),"",(H179-F179)/F179)</f>
        <v/>
      </c>
      <c r="M179" s="113">
        <f>IF(F179="","",F179*1.07)</f>
        <v/>
      </c>
      <c r="N179" s="113">
        <f>IF(F179="","",F179*0.96)</f>
        <v/>
      </c>
      <c r="O179" s="113">
        <f>IF(B179="","",IF(H179="","保有中",IF(H179&gt;=M179,"🟢利確推奨",IF(H179&gt;=F179*1.06,"🟡利確&amp;TR STOP検討",IF(H179&lt;=N179,"🔴損切推奨",IF(H179&lt;=F179*0.965,"🔴損切間近",IF(H179&lt;=F179*0.97,"⚠️-3%注意",IF(H179&lt;=F179*0.96,"🟡STOP推奨","保持継続"))))))))</f>
        <v/>
      </c>
      <c r="P179" s="113">
        <f t="array" ref="P179">IF(B179="","",IFERROR(MAX(OFFSET(高値!$E$6,MATCH(TEXT(B179,"0"),TEXT(銘柄管理!$B$6:$B$305,"0"),0)-1,0,1,10)),""))</f>
        <v/>
      </c>
      <c r="Q179" s="113">
        <f t="array" ref="Q179">IF(B179="","",IFERROR(MIN(OFFSET(安値!$E$6,MATCH(TEXT(B179,"0"),TEXT(銘柄管理!$B$6:$B$305,"0"),0)-1,0,1,10)),""))</f>
        <v/>
      </c>
      <c r="R179" s="113">
        <f>IF(P179="","",ROUND(P179*0.97,0))</f>
        <v/>
      </c>
      <c r="S179" s="461">
        <f>IF(B179="","",IF(T179&lt;&gt;"","?売却済",IF(H179="","?保有中",IF(H179&gt;=M179,"??利確推奨",IF(H179&lt;=N179,"??損切推奨",IF(H179&lt;=R179,"??STOP推奨","?保有中"))))))</f>
        <v/>
      </c>
      <c r="T179" s="111" t="n"/>
      <c r="U179" s="111" t="n"/>
      <c r="V179" s="113">
        <f>IF(OR(F179="",G179="",U179=""),"",(U179-F179)*G179)</f>
        <v/>
      </c>
      <c r="W179" s="699">
        <f>IF(OR(E179="",B179=""),"",IF(T179&lt;&gt;"",T179-E179,TODAY()-E179))</f>
        <v/>
      </c>
      <c r="X179" s="111" t="n"/>
    </row>
    <row r="180" ht="17.25" customHeight="1" s="574">
      <c r="A180" s="408">
        <f>HYPERLINK("https://kabutan.jp/stock/?code="&amp;TEXT(B180,"0000"),"株探")</f>
        <v/>
      </c>
      <c r="B180" s="111" t="n"/>
      <c r="C180" s="111" t="n"/>
      <c r="D180" s="111" t="n"/>
      <c r="E180" s="698" t="n"/>
      <c r="F180" s="426" t="n"/>
      <c r="G180" s="111" t="n"/>
      <c r="H180" s="113">
        <f>_xll.RssMarket("d7","現在値")</f>
        <v/>
      </c>
      <c r="I180" s="113">
        <f t="array" ref="I180">_xll.RssMarket(B180, "出来高加重平均")</f>
        <v/>
      </c>
      <c r="J180" s="113">
        <f t="array" ref="J180">_xll.RssMarket(B180, "前日比")</f>
        <v/>
      </c>
      <c r="K180" s="113">
        <f>IF(OR(F180="",G180="",H180=""),"",(H180-F180)*G180)</f>
        <v/>
      </c>
      <c r="L180" s="114">
        <f>IF(OR(F180="",H180=""),"",(H180-F180)/F180)</f>
        <v/>
      </c>
      <c r="M180" s="113">
        <f>IF(F180="","",F180*1.07)</f>
        <v/>
      </c>
      <c r="N180" s="113">
        <f>IF(F180="","",F180*0.96)</f>
        <v/>
      </c>
      <c r="O180" s="113">
        <f>IF(B180="","",IF(H180="","保有中",IF(H180&gt;=M180,"🟢利確推奨",IF(H180&gt;=F180*1.06,"🟡利確&amp;TR STOP検討",IF(H180&lt;=N180,"🔴損切推奨",IF(H180&lt;=F180*0.965,"🔴損切間近",IF(H180&lt;=F180*0.97,"⚠️-3%注意",IF(H180&lt;=F180*0.96,"🟡STOP推奨","保持継続"))))))))</f>
        <v/>
      </c>
      <c r="P180" s="113">
        <f t="array" ref="P180">IF(B180="","",IFERROR(MAX(OFFSET(高値!$E$6,MATCH(TEXT(B180,"0"),TEXT(銘柄管理!$B$6:$B$305,"0"),0)-1,0,1,10)),""))</f>
        <v/>
      </c>
      <c r="Q180" s="113">
        <f t="array" ref="Q180">IF(B180="","",IFERROR(MIN(OFFSET(安値!$E$6,MATCH(TEXT(B180,"0"),TEXT(銘柄管理!$B$6:$B$305,"0"),0)-1,0,1,10)),""))</f>
        <v/>
      </c>
      <c r="R180" s="113">
        <f>IF(P180="","",ROUND(P180*0.97,0))</f>
        <v/>
      </c>
      <c r="S180" s="461">
        <f>IF(B180="","",IF(T180&lt;&gt;"","?売却済",IF(H180="","?保有中",IF(H180&gt;=M180,"??利確推奨",IF(H180&lt;=N180,"??損切推奨",IF(H180&lt;=R180,"??STOP推奨","?保有中"))))))</f>
        <v/>
      </c>
      <c r="T180" s="111" t="n"/>
      <c r="U180" s="111" t="n"/>
      <c r="V180" s="113">
        <f>IF(OR(F180="",G180="",U180=""),"",(U180-F180)*G180)</f>
        <v/>
      </c>
      <c r="W180" s="699">
        <f>IF(OR(E180="",B180=""),"",IF(T180&lt;&gt;"",T180-E180,TODAY()-E180))</f>
        <v/>
      </c>
      <c r="X180" s="111" t="n"/>
    </row>
    <row r="181" ht="17.25" customHeight="1" s="574">
      <c r="A181" s="408">
        <f>HYPERLINK("https://kabutan.jp/stock/?code="&amp;TEXT(B181,"0000"),"株探")</f>
        <v/>
      </c>
      <c r="B181" s="111" t="n"/>
      <c r="C181" s="111" t="n"/>
      <c r="D181" s="111" t="n"/>
      <c r="E181" s="698" t="n"/>
      <c r="F181" s="426" t="n"/>
      <c r="G181" s="111" t="n"/>
      <c r="H181" s="113">
        <f>_xll.RssMarket("d7","現在値")</f>
        <v/>
      </c>
      <c r="I181" s="113">
        <f t="array" ref="I181">_xll.RssMarket(B181, "出来高加重平均")</f>
        <v/>
      </c>
      <c r="J181" s="113">
        <f t="array" ref="J181">_xll.RssMarket(B181, "前日比")</f>
        <v/>
      </c>
      <c r="K181" s="113">
        <f>IF(OR(F181="",G181="",H181=""),"",(H181-F181)*G181)</f>
        <v/>
      </c>
      <c r="L181" s="114">
        <f>IF(OR(F181="",H181=""),"",(H181-F181)/F181)</f>
        <v/>
      </c>
      <c r="M181" s="113">
        <f>IF(F181="","",F181*1.07)</f>
        <v/>
      </c>
      <c r="N181" s="113">
        <f>IF(F181="","",F181*0.96)</f>
        <v/>
      </c>
      <c r="O181" s="113">
        <f>IF(B181="","",IF(H181="","保有中",IF(H181&gt;=M181,"🟢利確推奨",IF(H181&gt;=F181*1.06,"🟡利確&amp;TR STOP検討",IF(H181&lt;=N181,"🔴損切推奨",IF(H181&lt;=F181*0.965,"🔴損切間近",IF(H181&lt;=F181*0.97,"⚠️-3%注意",IF(H181&lt;=F181*0.96,"🟡STOP推奨","保持継続"))))))))</f>
        <v/>
      </c>
      <c r="P181" s="113">
        <f t="array" ref="P181">IF(B181="","",IFERROR(MAX(OFFSET(高値!$E$6,MATCH(TEXT(B181,"0"),TEXT(銘柄管理!$B$6:$B$305,"0"),0)-1,0,1,10)),""))</f>
        <v/>
      </c>
      <c r="Q181" s="113">
        <f t="array" ref="Q181">IF(B181="","",IFERROR(MIN(OFFSET(安値!$E$6,MATCH(TEXT(B181,"0"),TEXT(銘柄管理!$B$6:$B$305,"0"),0)-1,0,1,10)),""))</f>
        <v/>
      </c>
      <c r="R181" s="113">
        <f>IF(P181="","",ROUND(P181*0.97,0))</f>
        <v/>
      </c>
      <c r="S181" s="461">
        <f>IF(B181="","",IF(T181&lt;&gt;"","?売却済",IF(H181="","?保有中",IF(H181&gt;=M181,"??利確推奨",IF(H181&lt;=N181,"??損切推奨",IF(H181&lt;=R181,"??STOP推奨","?保有中"))))))</f>
        <v/>
      </c>
      <c r="T181" s="111" t="n"/>
      <c r="U181" s="111" t="n"/>
      <c r="V181" s="113">
        <f>IF(OR(F181="",G181="",U181=""),"",(U181-F181)*G181)</f>
        <v/>
      </c>
      <c r="W181" s="699">
        <f>IF(OR(E181="",B181=""),"",IF(T181&lt;&gt;"",T181-E181,TODAY()-E181))</f>
        <v/>
      </c>
      <c r="X181" s="111" t="n"/>
    </row>
    <row r="182" ht="17.25" customHeight="1" s="574">
      <c r="A182" s="408">
        <f>HYPERLINK("https://kabutan.jp/stock/?code="&amp;TEXT(B182,"0000"),"株探")</f>
        <v/>
      </c>
      <c r="B182" s="111" t="n"/>
      <c r="C182" s="111" t="n"/>
      <c r="D182" s="111" t="n"/>
      <c r="E182" s="698" t="n"/>
      <c r="F182" s="426" t="n"/>
      <c r="G182" s="111" t="n"/>
      <c r="H182" s="113">
        <f>_xll.RssMarket("d7","現在値")</f>
        <v/>
      </c>
      <c r="I182" s="113">
        <f t="array" ref="I182">_xll.RssMarket(B182, "出来高加重平均")</f>
        <v/>
      </c>
      <c r="J182" s="113">
        <f t="array" ref="J182">_xll.RssMarket(B182, "前日比")</f>
        <v/>
      </c>
      <c r="K182" s="113">
        <f>IF(OR(F182="",G182="",H182=""),"",(H182-F182)*G182)</f>
        <v/>
      </c>
      <c r="L182" s="114">
        <f>IF(OR(F182="",H182=""),"",(H182-F182)/F182)</f>
        <v/>
      </c>
      <c r="M182" s="113">
        <f>IF(F182="","",F182*1.07)</f>
        <v/>
      </c>
      <c r="N182" s="113">
        <f>IF(F182="","",F182*0.96)</f>
        <v/>
      </c>
      <c r="O182" s="113">
        <f>IF(B182="","",IF(H182="","保有中",IF(H182&gt;=M182,"🟢利確推奨",IF(H182&gt;=F182*1.06,"🟡利確&amp;TR STOP検討",IF(H182&lt;=N182,"🔴損切推奨",IF(H182&lt;=F182*0.965,"🔴損切間近",IF(H182&lt;=F182*0.97,"⚠️-3%注意",IF(H182&lt;=F182*0.96,"🟡STOP推奨","保持継続"))))))))</f>
        <v/>
      </c>
      <c r="P182" s="113">
        <f t="array" ref="P182">IF(B182="","",IFERROR(MAX(OFFSET(高値!$E$6,MATCH(TEXT(B182,"0"),TEXT(銘柄管理!$B$6:$B$305,"0"),0)-1,0,1,10)),""))</f>
        <v/>
      </c>
      <c r="Q182" s="113">
        <f t="array" ref="Q182">IF(B182="","",IFERROR(MIN(OFFSET(安値!$E$6,MATCH(TEXT(B182,"0"),TEXT(銘柄管理!$B$6:$B$305,"0"),0)-1,0,1,10)),""))</f>
        <v/>
      </c>
      <c r="R182" s="113">
        <f>IF(P182="","",ROUND(P182*0.97,0))</f>
        <v/>
      </c>
      <c r="S182" s="461">
        <f>IF(B182="","",IF(T182&lt;&gt;"","?売却済",IF(H182="","?保有中",IF(H182&gt;=M182,"??利確推奨",IF(H182&lt;=N182,"??損切推奨",IF(H182&lt;=R182,"??STOP推奨","?保有中"))))))</f>
        <v/>
      </c>
      <c r="T182" s="111" t="n"/>
      <c r="U182" s="111" t="n"/>
      <c r="V182" s="113">
        <f>IF(OR(F182="",G182="",U182=""),"",(U182-F182)*G182)</f>
        <v/>
      </c>
      <c r="W182" s="699">
        <f>IF(OR(E182="",B182=""),"",IF(T182&lt;&gt;"",T182-E182,TODAY()-E182))</f>
        <v/>
      </c>
      <c r="X182" s="111" t="n"/>
    </row>
    <row r="183" ht="17.25" customHeight="1" s="574">
      <c r="A183" s="408">
        <f>HYPERLINK("https://kabutan.jp/stock/?code="&amp;TEXT(B183,"0000"),"株探")</f>
        <v/>
      </c>
      <c r="B183" s="111" t="n"/>
      <c r="C183" s="111" t="n"/>
      <c r="D183" s="111" t="n"/>
      <c r="E183" s="698" t="n"/>
      <c r="F183" s="426" t="n"/>
      <c r="G183" s="111" t="n"/>
      <c r="H183" s="113">
        <f>_xll.RssMarket("d7","現在値")</f>
        <v/>
      </c>
      <c r="I183" s="113">
        <f t="array" ref="I183">_xll.RssMarket(B183, "出来高加重平均")</f>
        <v/>
      </c>
      <c r="J183" s="113">
        <f t="array" ref="J183">_xll.RssMarket(B183, "前日比")</f>
        <v/>
      </c>
      <c r="K183" s="113">
        <f>IF(OR(F183="",G183="",H183=""),"",(H183-F183)*G183)</f>
        <v/>
      </c>
      <c r="L183" s="114">
        <f>IF(OR(F183="",H183=""),"",(H183-F183)/F183)</f>
        <v/>
      </c>
      <c r="M183" s="113">
        <f>IF(F183="","",F183*1.07)</f>
        <v/>
      </c>
      <c r="N183" s="113">
        <f>IF(F183="","",F183*0.96)</f>
        <v/>
      </c>
      <c r="O183" s="113">
        <f>IF(B183="","",IF(H183="","保有中",IF(H183&gt;=M183,"🟢利確推奨",IF(H183&gt;=F183*1.06,"🟡利確&amp;TR STOP検討",IF(H183&lt;=N183,"🔴損切推奨",IF(H183&lt;=F183*0.965,"🔴損切間近",IF(H183&lt;=F183*0.97,"⚠️-3%注意",IF(H183&lt;=F183*0.96,"🟡STOP推奨","保持継続"))))))))</f>
        <v/>
      </c>
      <c r="P183" s="113">
        <f t="array" ref="P183">IF(B183="","",IFERROR(MAX(OFFSET(高値!$E$6,MATCH(TEXT(B183,"0"),TEXT(銘柄管理!$B$6:$B$305,"0"),0)-1,0,1,10)),""))</f>
        <v/>
      </c>
      <c r="Q183" s="113">
        <f t="array" ref="Q183">IF(B183="","",IFERROR(MIN(OFFSET(安値!$E$6,MATCH(TEXT(B183,"0"),TEXT(銘柄管理!$B$6:$B$305,"0"),0)-1,0,1,10)),""))</f>
        <v/>
      </c>
      <c r="R183" s="113">
        <f>IF(P183="","",ROUND(P183*0.97,0))</f>
        <v/>
      </c>
      <c r="S183" s="461">
        <f>IF(B183="","",IF(T183&lt;&gt;"","?売却済",IF(H183="","?保有中",IF(H183&gt;=M183,"??利確推奨",IF(H183&lt;=N183,"??損切推奨",IF(H183&lt;=R183,"??STOP推奨","?保有中"))))))</f>
        <v/>
      </c>
      <c r="T183" s="111" t="n"/>
      <c r="U183" s="111" t="n"/>
      <c r="V183" s="113">
        <f>IF(OR(F183="",G183="",U183=""),"",(U183-F183)*G183)</f>
        <v/>
      </c>
      <c r="W183" s="699">
        <f>IF(OR(E183="",B183=""),"",IF(T183&lt;&gt;"",T183-E183,TODAY()-E183))</f>
        <v/>
      </c>
      <c r="X183" s="111" t="n"/>
    </row>
    <row r="184" ht="17.25" customHeight="1" s="574">
      <c r="A184" s="408">
        <f>HYPERLINK("https://kabutan.jp/stock/?code="&amp;TEXT(B184,"0000"),"株探")</f>
        <v/>
      </c>
      <c r="B184" s="111" t="n"/>
      <c r="C184" s="111" t="n"/>
      <c r="D184" s="111" t="n"/>
      <c r="E184" s="698" t="n"/>
      <c r="F184" s="426" t="n"/>
      <c r="G184" s="111" t="n"/>
      <c r="H184" s="113">
        <f>_xll.RssMarket("d7","現在値")</f>
        <v/>
      </c>
      <c r="I184" s="113">
        <f t="array" ref="I184">_xll.RssMarket(B184, "出来高加重平均")</f>
        <v/>
      </c>
      <c r="J184" s="113">
        <f t="array" ref="J184">_xll.RssMarket(B184, "前日比")</f>
        <v/>
      </c>
      <c r="K184" s="113">
        <f>IF(OR(F184="",G184="",H184=""),"",(H184-F184)*G184)</f>
        <v/>
      </c>
      <c r="L184" s="114">
        <f>IF(OR(F184="",H184=""),"",(H184-F184)/F184)</f>
        <v/>
      </c>
      <c r="M184" s="113">
        <f>IF(F184="","",F184*1.07)</f>
        <v/>
      </c>
      <c r="N184" s="113">
        <f>IF(F184="","",F184*0.96)</f>
        <v/>
      </c>
      <c r="O184" s="113">
        <f>IF(B184="","",IF(H184="","保有中",IF(H184&gt;=M184,"🟢利確推奨",IF(H184&gt;=F184*1.06,"🟡利確&amp;TR STOP検討",IF(H184&lt;=N184,"🔴損切推奨",IF(H184&lt;=F184*0.965,"🔴損切間近",IF(H184&lt;=F184*0.97,"⚠️-3%注意",IF(H184&lt;=F184*0.96,"🟡STOP推奨","保持継続"))))))))</f>
        <v/>
      </c>
      <c r="P184" s="113">
        <f t="array" ref="P184">IF(B184="","",IFERROR(MAX(OFFSET(高値!$E$6,MATCH(TEXT(B184,"0"),TEXT(銘柄管理!$B$6:$B$305,"0"),0)-1,0,1,10)),""))</f>
        <v/>
      </c>
      <c r="Q184" s="113">
        <f t="array" ref="Q184">IF(B184="","",IFERROR(MIN(OFFSET(安値!$E$6,MATCH(TEXT(B184,"0"),TEXT(銘柄管理!$B$6:$B$305,"0"),0)-1,0,1,10)),""))</f>
        <v/>
      </c>
      <c r="R184" s="113">
        <f>IF(P184="","",ROUND(P184*0.97,0))</f>
        <v/>
      </c>
      <c r="S184" s="461">
        <f>IF(B184="","",IF(T184&lt;&gt;"","?売却済",IF(H184="","?保有中",IF(H184&gt;=M184,"??利確推奨",IF(H184&lt;=N184,"??損切推奨",IF(H184&lt;=R184,"??STOP推奨","?保有中"))))))</f>
        <v/>
      </c>
      <c r="T184" s="111" t="n"/>
      <c r="U184" s="111" t="n"/>
      <c r="V184" s="113">
        <f>IF(OR(F184="",G184="",U184=""),"",(U184-F184)*G184)</f>
        <v/>
      </c>
      <c r="W184" s="699">
        <f>IF(OR(E184="",B184=""),"",IF(T184&lt;&gt;"",T184-E184,TODAY()-E184))</f>
        <v/>
      </c>
      <c r="X184" s="111" t="n"/>
    </row>
    <row r="185" ht="17.25" customHeight="1" s="574">
      <c r="A185" s="408">
        <f>HYPERLINK("https://kabutan.jp/stock/?code="&amp;TEXT(B185,"0000"),"株探")</f>
        <v/>
      </c>
      <c r="B185" s="111" t="n"/>
      <c r="C185" s="111" t="n"/>
      <c r="D185" s="111" t="n"/>
      <c r="E185" s="698" t="n"/>
      <c r="F185" s="426" t="n"/>
      <c r="G185" s="111" t="n"/>
      <c r="H185" s="113">
        <f>_xll.RssMarket("d7","現在値")</f>
        <v/>
      </c>
      <c r="I185" s="113">
        <f t="array" ref="I185">_xll.RssMarket(B185, "出来高加重平均")</f>
        <v/>
      </c>
      <c r="J185" s="113">
        <f t="array" ref="J185">_xll.RssMarket(B185, "前日比")</f>
        <v/>
      </c>
      <c r="K185" s="113">
        <f>IF(OR(F185="",G185="",H185=""),"",(H185-F185)*G185)</f>
        <v/>
      </c>
      <c r="L185" s="114">
        <f>IF(OR(F185="",H185=""),"",(H185-F185)/F185)</f>
        <v/>
      </c>
      <c r="M185" s="113">
        <f>IF(F185="","",F185*1.07)</f>
        <v/>
      </c>
      <c r="N185" s="113">
        <f>IF(F185="","",F185*0.96)</f>
        <v/>
      </c>
      <c r="O185" s="113">
        <f>IF(B185="","",IF(H185="","保有中",IF(H185&gt;=M185,"🟢利確推奨",IF(H185&gt;=F185*1.06,"🟡利確&amp;TR STOP検討",IF(H185&lt;=N185,"🔴損切推奨",IF(H185&lt;=F185*0.965,"🔴損切間近",IF(H185&lt;=F185*0.97,"⚠️-3%注意",IF(H185&lt;=F185*0.96,"🟡STOP推奨","保持継続"))))))))</f>
        <v/>
      </c>
      <c r="P185" s="113">
        <f t="array" ref="P185">IF(B185="","",IFERROR(MAX(OFFSET(高値!$E$6,MATCH(TEXT(B185,"0"),TEXT(銘柄管理!$B$6:$B$305,"0"),0)-1,0,1,10)),""))</f>
        <v/>
      </c>
      <c r="Q185" s="113">
        <f t="array" ref="Q185">IF(B185="","",IFERROR(MIN(OFFSET(安値!$E$6,MATCH(TEXT(B185,"0"),TEXT(銘柄管理!$B$6:$B$305,"0"),0)-1,0,1,10)),""))</f>
        <v/>
      </c>
      <c r="R185" s="113">
        <f>IF(P185="","",ROUND(P185*0.97,0))</f>
        <v/>
      </c>
      <c r="S185" s="461">
        <f>IF(B185="","",IF(T185&lt;&gt;"","?売却済",IF(H185="","?保有中",IF(H185&gt;=M185,"??利確推奨",IF(H185&lt;=N185,"??損切推奨",IF(H185&lt;=R185,"??STOP推奨","?保有中"))))))</f>
        <v/>
      </c>
      <c r="T185" s="111" t="n"/>
      <c r="U185" s="111" t="n"/>
      <c r="V185" s="113">
        <f>IF(OR(F185="",G185="",U185=""),"",(U185-F185)*G185)</f>
        <v/>
      </c>
      <c r="W185" s="699">
        <f>IF(OR(E185="",B185=""),"",IF(T185&lt;&gt;"",T185-E185,TODAY()-E185))</f>
        <v/>
      </c>
      <c r="X185" s="111" t="n"/>
    </row>
    <row r="186" ht="17.25" customHeight="1" s="574">
      <c r="A186" s="408">
        <f>HYPERLINK("https://kabutan.jp/stock/?code="&amp;TEXT(B186,"0000"),"株探")</f>
        <v/>
      </c>
      <c r="B186" s="111" t="n"/>
      <c r="C186" s="111" t="n"/>
      <c r="D186" s="111" t="n"/>
      <c r="E186" s="698" t="n"/>
      <c r="F186" s="426" t="n"/>
      <c r="G186" s="111" t="n"/>
      <c r="H186" s="113">
        <f>_xll.RssMarket("d7","現在値")</f>
        <v/>
      </c>
      <c r="I186" s="113">
        <f t="array" ref="I186">_xll.RssMarket(B186, "出来高加重平均")</f>
        <v/>
      </c>
      <c r="J186" s="113">
        <f t="array" ref="J186">_xll.RssMarket(B186, "前日比")</f>
        <v/>
      </c>
      <c r="K186" s="113">
        <f>IF(OR(F186="",G186="",H186=""),"",(H186-F186)*G186)</f>
        <v/>
      </c>
      <c r="L186" s="114">
        <f>IF(OR(F186="",H186=""),"",(H186-F186)/F186)</f>
        <v/>
      </c>
      <c r="M186" s="113">
        <f>IF(F186="","",F186*1.07)</f>
        <v/>
      </c>
      <c r="N186" s="113">
        <f>IF(F186="","",F186*0.96)</f>
        <v/>
      </c>
      <c r="O186" s="113">
        <f>IF(B186="","",IF(H186="","保有中",IF(H186&gt;=M186,"🟢利確推奨",IF(H186&gt;=F186*1.06,"🟡利確&amp;TR STOP検討",IF(H186&lt;=N186,"🔴損切推奨",IF(H186&lt;=F186*0.965,"🔴損切間近",IF(H186&lt;=F186*0.97,"⚠️-3%注意",IF(H186&lt;=F186*0.96,"🟡STOP推奨","保持継続"))))))))</f>
        <v/>
      </c>
      <c r="P186" s="113">
        <f t="array" ref="P186">IF(B186="","",IFERROR(MAX(OFFSET(高値!$E$6,MATCH(TEXT(B186,"0"),TEXT(銘柄管理!$B$6:$B$305,"0"),0)-1,0,1,10)),""))</f>
        <v/>
      </c>
      <c r="Q186" s="113">
        <f t="array" ref="Q186">IF(B186="","",IFERROR(MIN(OFFSET(安値!$E$6,MATCH(TEXT(B186,"0"),TEXT(銘柄管理!$B$6:$B$305,"0"),0)-1,0,1,10)),""))</f>
        <v/>
      </c>
      <c r="R186" s="113">
        <f>IF(P186="","",ROUND(P186*0.97,0))</f>
        <v/>
      </c>
      <c r="S186" s="461">
        <f>IF(B186="","",IF(T186&lt;&gt;"","?売却済",IF(H186="","?保有中",IF(H186&gt;=M186,"??利確推奨",IF(H186&lt;=N186,"??損切推奨",IF(H186&lt;=R186,"??STOP推奨","?保有中"))))))</f>
        <v/>
      </c>
      <c r="T186" s="111" t="n"/>
      <c r="U186" s="111" t="n"/>
      <c r="V186" s="113">
        <f>IF(OR(F186="",G186="",U186=""),"",(U186-F186)*G186)</f>
        <v/>
      </c>
      <c r="W186" s="699">
        <f>IF(OR(E186="",B186=""),"",IF(T186&lt;&gt;"",T186-E186,TODAY()-E186))</f>
        <v/>
      </c>
      <c r="X186" s="111" t="n"/>
    </row>
    <row r="187" ht="17.25" customHeight="1" s="574">
      <c r="A187" s="408">
        <f>HYPERLINK("https://kabutan.jp/stock/?code="&amp;TEXT(B187,"0000"),"株探")</f>
        <v/>
      </c>
      <c r="B187" s="111" t="n"/>
      <c r="C187" s="111" t="n"/>
      <c r="D187" s="111" t="n"/>
      <c r="E187" s="698" t="n"/>
      <c r="F187" s="426" t="n"/>
      <c r="G187" s="111" t="n"/>
      <c r="H187" s="113">
        <f>_xll.RssMarket("d7","現在値")</f>
        <v/>
      </c>
      <c r="I187" s="113">
        <f t="array" ref="I187">_xll.RssMarket(B187, "出来高加重平均")</f>
        <v/>
      </c>
      <c r="J187" s="113">
        <f t="array" ref="J187">_xll.RssMarket(B187, "前日比")</f>
        <v/>
      </c>
      <c r="K187" s="113">
        <f>IF(OR(F187="",G187="",H187=""),"",(H187-F187)*G187)</f>
        <v/>
      </c>
      <c r="L187" s="114">
        <f>IF(OR(F187="",H187=""),"",(H187-F187)/F187)</f>
        <v/>
      </c>
      <c r="M187" s="113">
        <f>IF(F187="","",F187*1.07)</f>
        <v/>
      </c>
      <c r="N187" s="113">
        <f>IF(F187="","",F187*0.96)</f>
        <v/>
      </c>
      <c r="O187" s="113">
        <f>IF(B187="","",IF(H187="","保有中",IF(H187&gt;=M187,"🟢利確推奨",IF(H187&gt;=F187*1.06,"🟡利確&amp;TR STOP検討",IF(H187&lt;=N187,"🔴損切推奨",IF(H187&lt;=F187*0.965,"🔴損切間近",IF(H187&lt;=F187*0.97,"⚠️-3%注意",IF(H187&lt;=F187*0.96,"🟡STOP推奨","保持継続"))))))))</f>
        <v/>
      </c>
      <c r="P187" s="113">
        <f t="array" ref="P187">IF(B187="","",IFERROR(MAX(OFFSET(高値!$E$6,MATCH(TEXT(B187,"0"),TEXT(銘柄管理!$B$6:$B$305,"0"),0)-1,0,1,10)),""))</f>
        <v/>
      </c>
      <c r="Q187" s="113">
        <f t="array" ref="Q187">IF(B187="","",IFERROR(MIN(OFFSET(安値!$E$6,MATCH(TEXT(B187,"0"),TEXT(銘柄管理!$B$6:$B$305,"0"),0)-1,0,1,10)),""))</f>
        <v/>
      </c>
      <c r="R187" s="113">
        <f>IF(P187="","",ROUND(P187*0.97,0))</f>
        <v/>
      </c>
      <c r="S187" s="461">
        <f>IF(B187="","",IF(T187&lt;&gt;"","?売却済",IF(H187="","?保有中",IF(H187&gt;=M187,"??利確推奨",IF(H187&lt;=N187,"??損切推奨",IF(H187&lt;=R187,"??STOP推奨","?保有中"))))))</f>
        <v/>
      </c>
      <c r="T187" s="111" t="n"/>
      <c r="U187" s="111" t="n"/>
      <c r="V187" s="113">
        <f>IF(OR(F187="",G187="",U187=""),"",(U187-F187)*G187)</f>
        <v/>
      </c>
      <c r="W187" s="699">
        <f>IF(OR(E187="",B187=""),"",IF(T187&lt;&gt;"",T187-E187,TODAY()-E187))</f>
        <v/>
      </c>
      <c r="X187" s="111" t="n"/>
    </row>
    <row r="188" ht="17.25" customHeight="1" s="574">
      <c r="A188" s="408">
        <f>HYPERLINK("https://kabutan.jp/stock/?code="&amp;TEXT(B188,"0000"),"株探")</f>
        <v/>
      </c>
      <c r="B188" s="111" t="n"/>
      <c r="C188" s="111" t="n"/>
      <c r="D188" s="111" t="n"/>
      <c r="E188" s="698" t="n"/>
      <c r="F188" s="426" t="n"/>
      <c r="G188" s="111" t="n"/>
      <c r="H188" s="113">
        <f>_xll.RssMarket("d7","現在値")</f>
        <v/>
      </c>
      <c r="I188" s="113">
        <f t="array" ref="I188">_xll.RssMarket(B188, "出来高加重平均")</f>
        <v/>
      </c>
      <c r="J188" s="113">
        <f t="array" ref="J188">_xll.RssMarket(B188, "前日比")</f>
        <v/>
      </c>
      <c r="K188" s="113">
        <f>IF(OR(F188="",G188="",H188=""),"",(H188-F188)*G188)</f>
        <v/>
      </c>
      <c r="L188" s="114">
        <f>IF(OR(F188="",H188=""),"",(H188-F188)/F188)</f>
        <v/>
      </c>
      <c r="M188" s="113">
        <f>IF(F188="","",F188*1.07)</f>
        <v/>
      </c>
      <c r="N188" s="113">
        <f>IF(F188="","",F188*0.96)</f>
        <v/>
      </c>
      <c r="O188" s="113">
        <f>IF(B188="","",IF(H188="","保有中",IF(H188&gt;=M188,"🟢利確推奨",IF(H188&gt;=F188*1.06,"🟡利確&amp;TR STOP検討",IF(H188&lt;=N188,"🔴損切推奨",IF(H188&lt;=F188*0.965,"🔴損切間近",IF(H188&lt;=F188*0.97,"⚠️-3%注意",IF(H188&lt;=F188*0.96,"🟡STOP推奨","保持継続"))))))))</f>
        <v/>
      </c>
      <c r="P188" s="113">
        <f t="array" ref="P188">IF(B188="","",IFERROR(MAX(OFFSET(高値!$E$6,MATCH(TEXT(B188,"0"),TEXT(銘柄管理!$B$6:$B$305,"0"),0)-1,0,1,10)),""))</f>
        <v/>
      </c>
      <c r="Q188" s="113">
        <f t="array" ref="Q188">IF(B188="","",IFERROR(MIN(OFFSET(安値!$E$6,MATCH(TEXT(B188,"0"),TEXT(銘柄管理!$B$6:$B$305,"0"),0)-1,0,1,10)),""))</f>
        <v/>
      </c>
      <c r="R188" s="113">
        <f>IF(P188="","",ROUND(P188*0.97,0))</f>
        <v/>
      </c>
      <c r="S188" s="461">
        <f>IF(B188="","",IF(T188&lt;&gt;"","?売却済",IF(H188="","?保有中",IF(H188&gt;=M188,"??利確推奨",IF(H188&lt;=N188,"??損切推奨",IF(H188&lt;=R188,"??STOP推奨","?保有中"))))))</f>
        <v/>
      </c>
      <c r="T188" s="111" t="n"/>
      <c r="U188" s="111" t="n"/>
      <c r="V188" s="113">
        <f>IF(OR(F188="",G188="",U188=""),"",(U188-F188)*G188)</f>
        <v/>
      </c>
      <c r="W188" s="699">
        <f>IF(OR(E188="",B188=""),"",IF(T188&lt;&gt;"",T188-E188,TODAY()-E188))</f>
        <v/>
      </c>
      <c r="X188" s="111" t="n"/>
    </row>
    <row r="189" ht="17.25" customHeight="1" s="574">
      <c r="A189" s="408">
        <f>HYPERLINK("https://kabutan.jp/stock/?code="&amp;TEXT(B189,"0000"),"株探")</f>
        <v/>
      </c>
      <c r="B189" s="111" t="n"/>
      <c r="C189" s="111" t="n"/>
      <c r="D189" s="111" t="n"/>
      <c r="E189" s="698" t="n"/>
      <c r="F189" s="426" t="n"/>
      <c r="G189" s="111" t="n"/>
      <c r="H189" s="113">
        <f>_xll.RssMarket("d7","現在値")</f>
        <v/>
      </c>
      <c r="I189" s="113">
        <f t="array" ref="I189">_xll.RssMarket(B189, "出来高加重平均")</f>
        <v/>
      </c>
      <c r="J189" s="113">
        <f t="array" ref="J189">_xll.RssMarket(B189, "前日比")</f>
        <v/>
      </c>
      <c r="K189" s="113">
        <f>IF(OR(F189="",G189="",H189=""),"",(H189-F189)*G189)</f>
        <v/>
      </c>
      <c r="L189" s="114">
        <f>IF(OR(F189="",H189=""),"",(H189-F189)/F189)</f>
        <v/>
      </c>
      <c r="M189" s="113">
        <f>IF(F189="","",F189*1.07)</f>
        <v/>
      </c>
      <c r="N189" s="113">
        <f>IF(F189="","",F189*0.96)</f>
        <v/>
      </c>
      <c r="O189" s="113">
        <f>IF(B189="","",IF(H189="","保有中",IF(H189&gt;=M189,"🟢利確推奨",IF(H189&gt;=F189*1.06,"🟡利確&amp;TR STOP検討",IF(H189&lt;=N189,"🔴損切推奨",IF(H189&lt;=F189*0.965,"🔴損切間近",IF(H189&lt;=F189*0.97,"⚠️-3%注意",IF(H189&lt;=F189*0.96,"🟡STOP推奨","保持継続"))))))))</f>
        <v/>
      </c>
      <c r="P189" s="113">
        <f t="array" ref="P189">IF(B189="","",IFERROR(MAX(OFFSET(高値!$E$6,MATCH(TEXT(B189,"0"),TEXT(銘柄管理!$B$6:$B$305,"0"),0)-1,0,1,10)),""))</f>
        <v/>
      </c>
      <c r="Q189" s="113">
        <f t="array" ref="Q189">IF(B189="","",IFERROR(MIN(OFFSET(安値!$E$6,MATCH(TEXT(B189,"0"),TEXT(銘柄管理!$B$6:$B$305,"0"),0)-1,0,1,10)),""))</f>
        <v/>
      </c>
      <c r="R189" s="113">
        <f>IF(P189="","",ROUND(P189*0.97,0))</f>
        <v/>
      </c>
      <c r="S189" s="461">
        <f>IF(B189="","",IF(T189&lt;&gt;"","?売却済",IF(H189="","?保有中",IF(H189&gt;=M189,"??利確推奨",IF(H189&lt;=N189,"??損切推奨",IF(H189&lt;=R189,"??STOP推奨","?保有中"))))))</f>
        <v/>
      </c>
      <c r="T189" s="111" t="n"/>
      <c r="U189" s="111" t="n"/>
      <c r="V189" s="113">
        <f>IF(OR(F189="",G189="",U189=""),"",(U189-F189)*G189)</f>
        <v/>
      </c>
      <c r="W189" s="699">
        <f>IF(OR(E189="",B189=""),"",IF(T189&lt;&gt;"",T189-E189,TODAY()-E189))</f>
        <v/>
      </c>
      <c r="X189" s="111" t="n"/>
    </row>
    <row r="190" ht="17.25" customHeight="1" s="574">
      <c r="A190" s="408">
        <f>HYPERLINK("https://kabutan.jp/stock/?code="&amp;TEXT(B190,"0000"),"株探")</f>
        <v/>
      </c>
      <c r="B190" s="111" t="n"/>
      <c r="C190" s="111" t="n"/>
      <c r="D190" s="111" t="n"/>
      <c r="E190" s="698" t="n"/>
      <c r="F190" s="426" t="n"/>
      <c r="G190" s="111" t="n"/>
      <c r="H190" s="113">
        <f>_xll.RssMarket("d7","現在値")</f>
        <v/>
      </c>
      <c r="I190" s="113">
        <f t="array" ref="I190">_xll.RssMarket(B190, "出来高加重平均")</f>
        <v/>
      </c>
      <c r="J190" s="113">
        <f t="array" ref="J190">_xll.RssMarket(B190, "前日比")</f>
        <v/>
      </c>
      <c r="K190" s="113">
        <f>IF(OR(F190="",G190="",H190=""),"",(H190-F190)*G190)</f>
        <v/>
      </c>
      <c r="L190" s="114">
        <f>IF(OR(F190="",H190=""),"",(H190-F190)/F190)</f>
        <v/>
      </c>
      <c r="M190" s="113">
        <f>IF(F190="","",F190*1.07)</f>
        <v/>
      </c>
      <c r="N190" s="113">
        <f>IF(F190="","",F190*0.96)</f>
        <v/>
      </c>
      <c r="O190" s="113">
        <f>IF(B190="","",IF(H190="","保有中",IF(H190&gt;=M190,"🟢利確推奨",IF(H190&gt;=F190*1.06,"🟡利確&amp;TR STOP検討",IF(H190&lt;=N190,"🔴損切推奨",IF(H190&lt;=F190*0.965,"🔴損切間近",IF(H190&lt;=F190*0.97,"⚠️-3%注意",IF(H190&lt;=F190*0.96,"🟡STOP推奨","保持継続"))))))))</f>
        <v/>
      </c>
      <c r="P190" s="113">
        <f t="array" ref="P190">IF(B190="","",IFERROR(MAX(OFFSET(高値!$E$6,MATCH(TEXT(B190,"0"),TEXT(銘柄管理!$B$6:$B$305,"0"),0)-1,0,1,10)),""))</f>
        <v/>
      </c>
      <c r="Q190" s="113">
        <f t="array" ref="Q190">IF(B190="","",IFERROR(MIN(OFFSET(安値!$E$6,MATCH(TEXT(B190,"0"),TEXT(銘柄管理!$B$6:$B$305,"0"),0)-1,0,1,10)),""))</f>
        <v/>
      </c>
      <c r="R190" s="113">
        <f>IF(P190="","",ROUND(P190*0.97,0))</f>
        <v/>
      </c>
      <c r="S190" s="461">
        <f>IF(B190="","",IF(T190&lt;&gt;"","?売却済",IF(H190="","?保有中",IF(H190&gt;=M190,"??利確推奨",IF(H190&lt;=N190,"??損切推奨",IF(H190&lt;=R190,"??STOP推奨","?保有中"))))))</f>
        <v/>
      </c>
      <c r="T190" s="111" t="n"/>
      <c r="U190" s="111" t="n"/>
      <c r="V190" s="113">
        <f>IF(OR(F190="",G190="",U190=""),"",(U190-F190)*G190)</f>
        <v/>
      </c>
      <c r="W190" s="699">
        <f>IF(OR(E190="",B190=""),"",IF(T190&lt;&gt;"",T190-E190,TODAY()-E190))</f>
        <v/>
      </c>
      <c r="X190" s="111" t="n"/>
    </row>
    <row r="191" ht="17.25" customHeight="1" s="574">
      <c r="A191" s="408">
        <f>HYPERLINK("https://kabutan.jp/stock/?code="&amp;TEXT(B191,"0000"),"株探")</f>
        <v/>
      </c>
      <c r="B191" s="111" t="n"/>
      <c r="C191" s="111" t="n"/>
      <c r="D191" s="111" t="n"/>
      <c r="E191" s="698" t="n"/>
      <c r="F191" s="426" t="n"/>
      <c r="G191" s="111" t="n"/>
      <c r="H191" s="113">
        <f>_xll.RssMarket("d7","現在値")</f>
        <v/>
      </c>
      <c r="I191" s="113">
        <f t="array" ref="I191">_xll.RssMarket(B191, "出来高加重平均")</f>
        <v/>
      </c>
      <c r="J191" s="113">
        <f t="array" ref="J191">_xll.RssMarket(B191, "前日比")</f>
        <v/>
      </c>
      <c r="K191" s="113">
        <f>IF(OR(F191="",G191="",H191=""),"",(H191-F191)*G191)</f>
        <v/>
      </c>
      <c r="L191" s="114">
        <f>IF(OR(F191="",H191=""),"",(H191-F191)/F191)</f>
        <v/>
      </c>
      <c r="M191" s="113">
        <f>IF(F191="","",F191*1.07)</f>
        <v/>
      </c>
      <c r="N191" s="113">
        <f>IF(F191="","",F191*0.96)</f>
        <v/>
      </c>
      <c r="O191" s="113">
        <f>IF(B191="","",IF(H191="","保有中",IF(H191&gt;=M191,"🟢利確推奨",IF(H191&gt;=F191*1.06,"🟡利確&amp;TR STOP検討",IF(H191&lt;=N191,"🔴損切推奨",IF(H191&lt;=F191*0.965,"🔴損切間近",IF(H191&lt;=F191*0.97,"⚠️-3%注意",IF(H191&lt;=F191*0.96,"🟡STOP推奨","保持継続"))))))))</f>
        <v/>
      </c>
      <c r="P191" s="113">
        <f t="array" ref="P191">IF(B191="","",IFERROR(MAX(OFFSET(高値!$E$6,MATCH(TEXT(B191,"0"),TEXT(銘柄管理!$B$6:$B$305,"0"),0)-1,0,1,10)),""))</f>
        <v/>
      </c>
      <c r="Q191" s="113">
        <f t="array" ref="Q191">IF(B191="","",IFERROR(MIN(OFFSET(安値!$E$6,MATCH(TEXT(B191,"0"),TEXT(銘柄管理!$B$6:$B$305,"0"),0)-1,0,1,10)),""))</f>
        <v/>
      </c>
      <c r="R191" s="113">
        <f>IF(P191="","",ROUND(P191*0.97,0))</f>
        <v/>
      </c>
      <c r="S191" s="461">
        <f>IF(B191="","",IF(T191&lt;&gt;"","?売却済",IF(H191="","?保有中",IF(H191&gt;=M191,"??利確推奨",IF(H191&lt;=N191,"??損切推奨",IF(H191&lt;=R191,"??STOP推奨","?保有中"))))))</f>
        <v/>
      </c>
      <c r="T191" s="111" t="n"/>
      <c r="U191" s="111" t="n"/>
      <c r="V191" s="113">
        <f>IF(OR(F191="",G191="",U191=""),"",(U191-F191)*G191)</f>
        <v/>
      </c>
      <c r="W191" s="699">
        <f>IF(OR(E191="",B191=""),"",IF(T191&lt;&gt;"",T191-E191,TODAY()-E191))</f>
        <v/>
      </c>
      <c r="X191" s="111" t="n"/>
    </row>
    <row r="192" ht="17.25" customHeight="1" s="574">
      <c r="A192" s="408">
        <f>HYPERLINK("https://kabutan.jp/stock/?code="&amp;TEXT(B192,"0000"),"株探")</f>
        <v/>
      </c>
      <c r="B192" s="111" t="n"/>
      <c r="C192" s="111" t="n"/>
      <c r="D192" s="111" t="n"/>
      <c r="E192" s="698" t="n"/>
      <c r="F192" s="426" t="n"/>
      <c r="G192" s="111" t="n"/>
      <c r="H192" s="113">
        <f>_xll.RssMarket("d7","現在値")</f>
        <v/>
      </c>
      <c r="I192" s="113">
        <f t="array" ref="I192">_xll.RssMarket(B192, "出来高加重平均")</f>
        <v/>
      </c>
      <c r="J192" s="113">
        <f t="array" ref="J192">_xll.RssMarket(B192, "前日比")</f>
        <v/>
      </c>
      <c r="K192" s="113">
        <f>IF(OR(F192="",G192="",H192=""),"",(H192-F192)*G192)</f>
        <v/>
      </c>
      <c r="L192" s="114">
        <f>IF(OR(F192="",H192=""),"",(H192-F192)/F192)</f>
        <v/>
      </c>
      <c r="M192" s="113">
        <f>IF(F192="","",F192*1.07)</f>
        <v/>
      </c>
      <c r="N192" s="113">
        <f>IF(F192="","",F192*0.96)</f>
        <v/>
      </c>
      <c r="O192" s="113">
        <f>IF(B192="","",IF(H192="","保有中",IF(H192&gt;=M192,"🟢利確推奨",IF(H192&gt;=F192*1.06,"🟡利確&amp;TR STOP検討",IF(H192&lt;=N192,"🔴損切推奨",IF(H192&lt;=F192*0.965,"🔴損切間近",IF(H192&lt;=F192*0.97,"⚠️-3%注意",IF(H192&lt;=F192*0.96,"🟡STOP推奨","保持継続"))))))))</f>
        <v/>
      </c>
      <c r="P192" s="113">
        <f t="array" ref="P192">IF(B192="","",IFERROR(MAX(OFFSET(高値!$E$6,MATCH(TEXT(B192,"0"),TEXT(銘柄管理!$B$6:$B$305,"0"),0)-1,0,1,10)),""))</f>
        <v/>
      </c>
      <c r="Q192" s="113">
        <f t="array" ref="Q192">IF(B192="","",IFERROR(MIN(OFFSET(安値!$E$6,MATCH(TEXT(B192,"0"),TEXT(銘柄管理!$B$6:$B$305,"0"),0)-1,0,1,10)),""))</f>
        <v/>
      </c>
      <c r="R192" s="113">
        <f>IF(P192="","",ROUND(P192*0.97,0))</f>
        <v/>
      </c>
      <c r="S192" s="461">
        <f>IF(B192="","",IF(T192&lt;&gt;"","?売却済",IF(H192="","?保有中",IF(H192&gt;=M192,"??利確推奨",IF(H192&lt;=N192,"??損切推奨",IF(H192&lt;=R192,"??STOP推奨","?保有中"))))))</f>
        <v/>
      </c>
      <c r="T192" s="111" t="n"/>
      <c r="U192" s="111" t="n"/>
      <c r="V192" s="113">
        <f>IF(OR(F192="",G192="",U192=""),"",(U192-F192)*G192)</f>
        <v/>
      </c>
      <c r="W192" s="699">
        <f>IF(OR(E192="",B192=""),"",IF(T192&lt;&gt;"",T192-E192,TODAY()-E192))</f>
        <v/>
      </c>
      <c r="X192" s="111" t="n"/>
    </row>
    <row r="193" ht="17.25" customHeight="1" s="574">
      <c r="A193" s="408">
        <f>HYPERLINK("https://kabutan.jp/stock/?code="&amp;TEXT(B193,"0000"),"株探")</f>
        <v/>
      </c>
      <c r="B193" s="111" t="n"/>
      <c r="C193" s="111" t="n"/>
      <c r="D193" s="111" t="n"/>
      <c r="E193" s="698" t="n"/>
      <c r="F193" s="426" t="n"/>
      <c r="G193" s="111" t="n"/>
      <c r="H193" s="113">
        <f>_xll.RssMarket("d7","現在値")</f>
        <v/>
      </c>
      <c r="I193" s="113">
        <f t="array" ref="I193">_xll.RssMarket(B193, "出来高加重平均")</f>
        <v/>
      </c>
      <c r="J193" s="113">
        <f t="array" ref="J193">_xll.RssMarket(B193, "前日比")</f>
        <v/>
      </c>
      <c r="K193" s="113">
        <f>IF(OR(F193="",G193="",H193=""),"",(H193-F193)*G193)</f>
        <v/>
      </c>
      <c r="L193" s="114">
        <f>IF(OR(F193="",H193=""),"",(H193-F193)/F193)</f>
        <v/>
      </c>
      <c r="M193" s="113">
        <f>IF(F193="","",F193*1.07)</f>
        <v/>
      </c>
      <c r="N193" s="113">
        <f>IF(F193="","",F193*0.96)</f>
        <v/>
      </c>
      <c r="O193" s="113">
        <f>IF(B193="","",IF(H193="","保有中",IF(H193&gt;=M193,"🟢利確推奨",IF(H193&gt;=F193*1.06,"🟡利確&amp;TR STOP検討",IF(H193&lt;=N193,"🔴損切推奨",IF(H193&lt;=F193*0.965,"🔴損切間近",IF(H193&lt;=F193*0.97,"⚠️-3%注意",IF(H193&lt;=F193*0.96,"🟡STOP推奨","保持継続"))))))))</f>
        <v/>
      </c>
      <c r="P193" s="113">
        <f t="array" ref="P193">IF(B193="","",IFERROR(MAX(OFFSET(高値!$E$6,MATCH(TEXT(B193,"0"),TEXT(銘柄管理!$B$6:$B$305,"0"),0)-1,0,1,10)),""))</f>
        <v/>
      </c>
      <c r="Q193" s="113">
        <f t="array" ref="Q193">IF(B193="","",IFERROR(MIN(OFFSET(安値!$E$6,MATCH(TEXT(B193,"0"),TEXT(銘柄管理!$B$6:$B$305,"0"),0)-1,0,1,10)),""))</f>
        <v/>
      </c>
      <c r="R193" s="113">
        <f>IF(P193="","",ROUND(P193*0.97,0))</f>
        <v/>
      </c>
      <c r="S193" s="461">
        <f>IF(B193="","",IF(T193&lt;&gt;"","?売却済",IF(H193="","?保有中",IF(H193&gt;=M193,"??利確推奨",IF(H193&lt;=N193,"??損切推奨",IF(H193&lt;=R193,"??STOP推奨","?保有中"))))))</f>
        <v/>
      </c>
      <c r="T193" s="111" t="n"/>
      <c r="U193" s="111" t="n"/>
      <c r="V193" s="113">
        <f>IF(OR(F193="",G193="",U193=""),"",(U193-F193)*G193)</f>
        <v/>
      </c>
      <c r="W193" s="699">
        <f>IF(OR(E193="",B193=""),"",IF(T193&lt;&gt;"",T193-E193,TODAY()-E193))</f>
        <v/>
      </c>
      <c r="X193" s="111" t="n"/>
    </row>
    <row r="194" ht="17.25" customHeight="1" s="574">
      <c r="A194" s="408">
        <f>HYPERLINK("https://kabutan.jp/stock/?code="&amp;TEXT(B194,"0000"),"株探")</f>
        <v/>
      </c>
      <c r="B194" s="111" t="n"/>
      <c r="C194" s="111" t="n"/>
      <c r="D194" s="111" t="n"/>
      <c r="E194" s="698" t="n"/>
      <c r="F194" s="426" t="n"/>
      <c r="G194" s="111" t="n"/>
      <c r="H194" s="113">
        <f>_xll.RssMarket("d7","現在値")</f>
        <v/>
      </c>
      <c r="I194" s="113">
        <f t="array" ref="I194">_xll.RssMarket(B194, "出来高加重平均")</f>
        <v/>
      </c>
      <c r="J194" s="113">
        <f t="array" ref="J194">_xll.RssMarket(B194, "前日比")</f>
        <v/>
      </c>
      <c r="K194" s="113">
        <f>IF(OR(F194="",G194="",H194=""),"",(H194-F194)*G194)</f>
        <v/>
      </c>
      <c r="L194" s="114">
        <f>IF(OR(F194="",H194=""),"",(H194-F194)/F194)</f>
        <v/>
      </c>
      <c r="M194" s="113">
        <f>IF(F194="","",F194*1.07)</f>
        <v/>
      </c>
      <c r="N194" s="113">
        <f>IF(F194="","",F194*0.96)</f>
        <v/>
      </c>
      <c r="O194" s="113">
        <f>IF(B194="","",IF(H194="","保有中",IF(H194&gt;=M194,"🟢利確推奨",IF(H194&gt;=F194*1.06,"🟡利確&amp;TR STOP検討",IF(H194&lt;=N194,"🔴損切推奨",IF(H194&lt;=F194*0.965,"🔴損切間近",IF(H194&lt;=F194*0.97,"⚠️-3%注意",IF(H194&lt;=F194*0.96,"🟡STOP推奨","保持継続"))))))))</f>
        <v/>
      </c>
      <c r="P194" s="113">
        <f t="array" ref="P194">IF(B194="","",IFERROR(MAX(OFFSET(高値!$E$6,MATCH(TEXT(B194,"0"),TEXT(銘柄管理!$B$6:$B$305,"0"),0)-1,0,1,10)),""))</f>
        <v/>
      </c>
      <c r="Q194" s="113">
        <f t="array" ref="Q194">IF(B194="","",IFERROR(MIN(OFFSET(安値!$E$6,MATCH(TEXT(B194,"0"),TEXT(銘柄管理!$B$6:$B$305,"0"),0)-1,0,1,10)),""))</f>
        <v/>
      </c>
      <c r="R194" s="113">
        <f>IF(P194="","",ROUND(P194*0.97,0))</f>
        <v/>
      </c>
      <c r="S194" s="461">
        <f>IF(B194="","",IF(T194&lt;&gt;"","?売却済",IF(H194="","?保有中",IF(H194&gt;=M194,"??利確推奨",IF(H194&lt;=N194,"??損切推奨",IF(H194&lt;=R194,"??STOP推奨","?保有中"))))))</f>
        <v/>
      </c>
      <c r="T194" s="111" t="n"/>
      <c r="U194" s="111" t="n"/>
      <c r="V194" s="113">
        <f>IF(OR(F194="",G194="",U194=""),"",(U194-F194)*G194)</f>
        <v/>
      </c>
      <c r="W194" s="699">
        <f>IF(OR(E194="",B194=""),"",IF(T194&lt;&gt;"",T194-E194,TODAY()-E194))</f>
        <v/>
      </c>
      <c r="X194" s="111" t="n"/>
    </row>
    <row r="195" ht="17.25" customHeight="1" s="574">
      <c r="A195" s="408">
        <f>HYPERLINK("https://kabutan.jp/stock/?code="&amp;TEXT(B195,"0000"),"株探")</f>
        <v/>
      </c>
      <c r="B195" s="111" t="n"/>
      <c r="C195" s="111" t="n"/>
      <c r="D195" s="111" t="n"/>
      <c r="E195" s="698" t="n"/>
      <c r="F195" s="426" t="n"/>
      <c r="G195" s="111" t="n"/>
      <c r="H195" s="113">
        <f>_xll.RssMarket("d7","現在値")</f>
        <v/>
      </c>
      <c r="I195" s="113">
        <f t="array" ref="I195">_xll.RssMarket(B195, "出来高加重平均")</f>
        <v/>
      </c>
      <c r="J195" s="113">
        <f t="array" ref="J195">_xll.RssMarket(B195, "前日比")</f>
        <v/>
      </c>
      <c r="K195" s="113">
        <f>IF(OR(F195="",G195="",H195=""),"",(H195-F195)*G195)</f>
        <v/>
      </c>
      <c r="L195" s="114">
        <f>IF(OR(F195="",H195=""),"",(H195-F195)/F195)</f>
        <v/>
      </c>
      <c r="M195" s="113">
        <f>IF(F195="","",F195*1.07)</f>
        <v/>
      </c>
      <c r="N195" s="113">
        <f>IF(F195="","",F195*0.96)</f>
        <v/>
      </c>
      <c r="O195" s="113">
        <f>IF(B195="","",IF(H195="","保有中",IF(H195&gt;=M195,"🟢利確推奨",IF(H195&gt;=F195*1.06,"🟡利確&amp;TR STOP検討",IF(H195&lt;=N195,"🔴損切推奨",IF(H195&lt;=F195*0.965,"🔴損切間近",IF(H195&lt;=F195*0.97,"⚠️-3%注意",IF(H195&lt;=F195*0.96,"🟡STOP推奨","保持継続"))))))))</f>
        <v/>
      </c>
      <c r="P195" s="113">
        <f t="array" ref="P195">IF(B195="","",IFERROR(MAX(OFFSET(高値!$E$6,MATCH(TEXT(B195,"0"),TEXT(銘柄管理!$B$6:$B$305,"0"),0)-1,0,1,10)),""))</f>
        <v/>
      </c>
      <c r="Q195" s="113">
        <f t="array" ref="Q195">IF(B195="","",IFERROR(MIN(OFFSET(安値!$E$6,MATCH(TEXT(B195,"0"),TEXT(銘柄管理!$B$6:$B$305,"0"),0)-1,0,1,10)),""))</f>
        <v/>
      </c>
      <c r="R195" s="113">
        <f>IF(P195="","",ROUND(P195*0.97,0))</f>
        <v/>
      </c>
      <c r="S195" s="461">
        <f>IF(B195="","",IF(T195&lt;&gt;"","?売却済",IF(H195="","?保有中",IF(H195&gt;=M195,"??利確推奨",IF(H195&lt;=N195,"??損切推奨",IF(H195&lt;=R195,"??STOP推奨","?保有中"))))))</f>
        <v/>
      </c>
      <c r="T195" s="111" t="n"/>
      <c r="U195" s="111" t="n"/>
      <c r="V195" s="113">
        <f>IF(OR(F195="",G195="",U195=""),"",(U195-F195)*G195)</f>
        <v/>
      </c>
      <c r="W195" s="699">
        <f>IF(OR(E195="",B195=""),"",IF(T195&lt;&gt;"",T195-E195,TODAY()-E195))</f>
        <v/>
      </c>
      <c r="X195" s="111" t="n"/>
    </row>
    <row r="196" ht="17.25" customHeight="1" s="574">
      <c r="A196" s="408">
        <f>HYPERLINK("https://kabutan.jp/stock/?code="&amp;TEXT(B196,"0000"),"株探")</f>
        <v/>
      </c>
      <c r="B196" s="111" t="n"/>
      <c r="C196" s="111" t="n"/>
      <c r="D196" s="111" t="n"/>
      <c r="E196" s="698" t="n"/>
      <c r="F196" s="426" t="n"/>
      <c r="G196" s="111" t="n"/>
      <c r="H196" s="113">
        <f>_xll.RssMarket("d7","現在値")</f>
        <v/>
      </c>
      <c r="I196" s="113">
        <f t="array" ref="I196">_xll.RssMarket(B196, "出来高加重平均")</f>
        <v/>
      </c>
      <c r="J196" s="113">
        <f t="array" ref="J196">_xll.RssMarket(B196, "前日比")</f>
        <v/>
      </c>
      <c r="K196" s="113">
        <f>IF(OR(F196="",G196="",H196=""),"",(H196-F196)*G196)</f>
        <v/>
      </c>
      <c r="L196" s="114">
        <f>IF(OR(F196="",H196=""),"",(H196-F196)/F196)</f>
        <v/>
      </c>
      <c r="M196" s="113">
        <f>IF(F196="","",F196*1.07)</f>
        <v/>
      </c>
      <c r="N196" s="113">
        <f>IF(F196="","",F196*0.96)</f>
        <v/>
      </c>
      <c r="O196" s="113">
        <f>IF(B196="","",IF(H196="","保有中",IF(H196&gt;=M196,"🟢利確推奨",IF(H196&gt;=F196*1.06,"🟡利確&amp;TR STOP検討",IF(H196&lt;=N196,"🔴損切推奨",IF(H196&lt;=F196*0.965,"🔴損切間近",IF(H196&lt;=F196*0.97,"⚠️-3%注意",IF(H196&lt;=F196*0.96,"🟡STOP推奨","保持継続"))))))))</f>
        <v/>
      </c>
      <c r="P196" s="113">
        <f t="array" ref="P196">IF(B196="","",IFERROR(MAX(OFFSET(高値!$E$6,MATCH(TEXT(B196,"0"),TEXT(銘柄管理!$B$6:$B$305,"0"),0)-1,0,1,10)),""))</f>
        <v/>
      </c>
      <c r="Q196" s="113">
        <f t="array" ref="Q196">IF(B196="","",IFERROR(MIN(OFFSET(安値!$E$6,MATCH(TEXT(B196,"0"),TEXT(銘柄管理!$B$6:$B$305,"0"),0)-1,0,1,10)),""))</f>
        <v/>
      </c>
      <c r="R196" s="113">
        <f>IF(P196="","",ROUND(P196*0.97,0))</f>
        <v/>
      </c>
      <c r="S196" s="461">
        <f>IF(B196="","",IF(T196&lt;&gt;"","?売却済",IF(H196="","?保有中",IF(H196&gt;=M196,"??利確推奨",IF(H196&lt;=N196,"??損切推奨",IF(H196&lt;=R196,"??STOP推奨","?保有中"))))))</f>
        <v/>
      </c>
      <c r="T196" s="111" t="n"/>
      <c r="U196" s="111" t="n"/>
      <c r="V196" s="113">
        <f>IF(OR(F196="",G196="",U196=""),"",(U196-F196)*G196)</f>
        <v/>
      </c>
      <c r="W196" s="699">
        <f>IF(OR(E196="",B196=""),"",IF(T196&lt;&gt;"",T196-E196,TODAY()-E196))</f>
        <v/>
      </c>
      <c r="X196" s="111" t="n"/>
    </row>
    <row r="197" ht="17.25" customHeight="1" s="574">
      <c r="A197" s="408">
        <f>HYPERLINK("https://kabutan.jp/stock/?code="&amp;TEXT(B197,"0000"),"株探")</f>
        <v/>
      </c>
      <c r="B197" s="111" t="n"/>
      <c r="C197" s="111" t="n"/>
      <c r="D197" s="111" t="n"/>
      <c r="E197" s="698" t="n"/>
      <c r="F197" s="426" t="n"/>
      <c r="G197" s="111" t="n"/>
      <c r="H197" s="113">
        <f>_xll.RssMarket("d7","現在値")</f>
        <v/>
      </c>
      <c r="I197" s="113">
        <f t="array" ref="I197">_xll.RssMarket(B197, "出来高加重平均")</f>
        <v/>
      </c>
      <c r="J197" s="113">
        <f t="array" ref="J197">_xll.RssMarket(B197, "前日比")</f>
        <v/>
      </c>
      <c r="K197" s="113">
        <f>IF(OR(F197="",G197="",H197=""),"",(H197-F197)*G197)</f>
        <v/>
      </c>
      <c r="L197" s="114">
        <f>IF(OR(F197="",H197=""),"",(H197-F197)/F197)</f>
        <v/>
      </c>
      <c r="M197" s="113">
        <f>IF(F197="","",F197*1.07)</f>
        <v/>
      </c>
      <c r="N197" s="113">
        <f>IF(F197="","",F197*0.96)</f>
        <v/>
      </c>
      <c r="O197" s="113">
        <f>IF(B197="","",IF(H197="","保有中",IF(H197&gt;=M197,"🟢利確推奨",IF(H197&gt;=F197*1.06,"🟡利確&amp;TR STOP検討",IF(H197&lt;=N197,"🔴損切推奨",IF(H197&lt;=F197*0.965,"🔴損切間近",IF(H197&lt;=F197*0.97,"⚠️-3%注意",IF(H197&lt;=F197*0.96,"🟡STOP推奨","保持継続"))))))))</f>
        <v/>
      </c>
      <c r="P197" s="113">
        <f t="array" ref="P197">IF(B197="","",IFERROR(MAX(OFFSET(高値!$E$6,MATCH(TEXT(B197,"0"),TEXT(銘柄管理!$B$6:$B$305,"0"),0)-1,0,1,10)),""))</f>
        <v/>
      </c>
      <c r="Q197" s="113">
        <f t="array" ref="Q197">IF(B197="","",IFERROR(MIN(OFFSET(安値!$E$6,MATCH(TEXT(B197,"0"),TEXT(銘柄管理!$B$6:$B$305,"0"),0)-1,0,1,10)),""))</f>
        <v/>
      </c>
      <c r="R197" s="113">
        <f>IF(P197="","",ROUND(P197*0.97,0))</f>
        <v/>
      </c>
      <c r="S197" s="461">
        <f>IF(B197="","",IF(T197&lt;&gt;"","?売却済",IF(H197="","?保有中",IF(H197&gt;=M197,"??利確推奨",IF(H197&lt;=N197,"??損切推奨",IF(H197&lt;=R197,"??STOP推奨","?保有中"))))))</f>
        <v/>
      </c>
      <c r="T197" s="111" t="n"/>
      <c r="U197" s="111" t="n"/>
      <c r="V197" s="113">
        <f>IF(OR(F197="",G197="",U197=""),"",(U197-F197)*G197)</f>
        <v/>
      </c>
      <c r="W197" s="699">
        <f>IF(OR(E197="",B197=""),"",IF(T197&lt;&gt;"",T197-E197,TODAY()-E197))</f>
        <v/>
      </c>
      <c r="X197" s="111" t="n"/>
    </row>
    <row r="198" ht="17.25" customHeight="1" s="574">
      <c r="A198" s="408">
        <f>HYPERLINK("https://kabutan.jp/stock/?code="&amp;TEXT(B198,"0000"),"株探")</f>
        <v/>
      </c>
      <c r="B198" s="111" t="n"/>
      <c r="C198" s="111" t="n"/>
      <c r="D198" s="111" t="n"/>
      <c r="E198" s="698" t="n"/>
      <c r="F198" s="426" t="n"/>
      <c r="G198" s="111" t="n"/>
      <c r="H198" s="113">
        <f>_xll.RssMarket("d7","現在値")</f>
        <v/>
      </c>
      <c r="I198" s="113">
        <f t="array" ref="I198">_xll.RssMarket(B198, "出来高加重平均")</f>
        <v/>
      </c>
      <c r="J198" s="113">
        <f t="array" ref="J198">_xll.RssMarket(B198, "前日比")</f>
        <v/>
      </c>
      <c r="K198" s="113">
        <f>IF(OR(F198="",G198="",H198=""),"",(H198-F198)*G198)</f>
        <v/>
      </c>
      <c r="L198" s="114">
        <f>IF(OR(F198="",H198=""),"",(H198-F198)/F198)</f>
        <v/>
      </c>
      <c r="M198" s="113">
        <f>IF(F198="","",F198*1.07)</f>
        <v/>
      </c>
      <c r="N198" s="113">
        <f>IF(F198="","",F198*0.96)</f>
        <v/>
      </c>
      <c r="O198" s="113">
        <f>IF(B198="","",IF(H198="","保有中",IF(H198&gt;=M198,"🟢利確推奨",IF(H198&gt;=F198*1.06,"🟡利確&amp;TR STOP検討",IF(H198&lt;=N198,"🔴損切推奨",IF(H198&lt;=F198*0.965,"🔴損切間近",IF(H198&lt;=F198*0.97,"⚠️-3%注意",IF(H198&lt;=F198*0.96,"🟡STOP推奨","保持継続"))))))))</f>
        <v/>
      </c>
      <c r="P198" s="113">
        <f t="array" ref="P198">IF(B198="","",IFERROR(MAX(OFFSET(高値!$E$6,MATCH(TEXT(B198,"0"),TEXT(銘柄管理!$B$6:$B$305,"0"),0)-1,0,1,10)),""))</f>
        <v/>
      </c>
      <c r="Q198" s="113">
        <f t="array" ref="Q198">IF(B198="","",IFERROR(MIN(OFFSET(安値!$E$6,MATCH(TEXT(B198,"0"),TEXT(銘柄管理!$B$6:$B$305,"0"),0)-1,0,1,10)),""))</f>
        <v/>
      </c>
      <c r="R198" s="113">
        <f>IF(P198="","",ROUND(P198*0.97,0))</f>
        <v/>
      </c>
      <c r="S198" s="461">
        <f>IF(B198="","",IF(T198&lt;&gt;"","?売却済",IF(H198="","?保有中",IF(H198&gt;=M198,"??利確推奨",IF(H198&lt;=N198,"??損切推奨",IF(H198&lt;=R198,"??STOP推奨","?保有中"))))))</f>
        <v/>
      </c>
      <c r="T198" s="111" t="n"/>
      <c r="U198" s="111" t="n"/>
      <c r="V198" s="113">
        <f>IF(OR(F198="",G198="",U198=""),"",(U198-F198)*G198)</f>
        <v/>
      </c>
      <c r="W198" s="699">
        <f>IF(OR(E198="",B198=""),"",IF(T198&lt;&gt;"",T198-E198,TODAY()-E198))</f>
        <v/>
      </c>
      <c r="X198" s="111" t="n"/>
    </row>
    <row r="199" ht="17.25" customHeight="1" s="574">
      <c r="A199" s="408">
        <f>HYPERLINK("https://kabutan.jp/stock/?code="&amp;TEXT(B199,"0000"),"株探")</f>
        <v/>
      </c>
      <c r="B199" s="111" t="n"/>
      <c r="C199" s="111" t="n"/>
      <c r="D199" s="111" t="n"/>
      <c r="E199" s="698" t="n"/>
      <c r="F199" s="426" t="n"/>
      <c r="G199" s="111" t="n"/>
      <c r="H199" s="113">
        <f>_xll.RssMarket("d7","現在値")</f>
        <v/>
      </c>
      <c r="I199" s="113">
        <f t="array" ref="I199">_xll.RssMarket(B199, "出来高加重平均")</f>
        <v/>
      </c>
      <c r="J199" s="113">
        <f t="array" ref="J199">_xll.RssMarket(B199, "前日比")</f>
        <v/>
      </c>
      <c r="K199" s="113">
        <f>IF(OR(F199="",G199="",H199=""),"",(H199-F199)*G199)</f>
        <v/>
      </c>
      <c r="L199" s="114">
        <f>IF(OR(F199="",H199=""),"",(H199-F199)/F199)</f>
        <v/>
      </c>
      <c r="M199" s="113">
        <f>IF(F199="","",F199*1.07)</f>
        <v/>
      </c>
      <c r="N199" s="113">
        <f>IF(F199="","",F199*0.96)</f>
        <v/>
      </c>
      <c r="O199" s="113">
        <f>IF(B199="","",IF(H199="","保有中",IF(H199&gt;=M199,"🟢利確推奨",IF(H199&gt;=F199*1.06,"🟡利確&amp;TR STOP検討",IF(H199&lt;=N199,"🔴損切推奨",IF(H199&lt;=F199*0.965,"🔴損切間近",IF(H199&lt;=F199*0.97,"⚠️-3%注意",IF(H199&lt;=F199*0.96,"🟡STOP推奨","保持継続"))))))))</f>
        <v/>
      </c>
      <c r="P199" s="113">
        <f t="array" ref="P199">IF(B199="","",IFERROR(MAX(OFFSET(高値!$E$6,MATCH(TEXT(B199,"0"),TEXT(銘柄管理!$B$6:$B$305,"0"),0)-1,0,1,10)),""))</f>
        <v/>
      </c>
      <c r="Q199" s="113">
        <f t="array" ref="Q199">IF(B199="","",IFERROR(MIN(OFFSET(安値!$E$6,MATCH(TEXT(B199,"0"),TEXT(銘柄管理!$B$6:$B$305,"0"),0)-1,0,1,10)),""))</f>
        <v/>
      </c>
      <c r="R199" s="113">
        <f>IF(P199="","",ROUND(P199*0.97,0))</f>
        <v/>
      </c>
      <c r="S199" s="461">
        <f>IF(B199="","",IF(T199&lt;&gt;"","?売却済",IF(H199="","?保有中",IF(H199&gt;=M199,"??利確推奨",IF(H199&lt;=N199,"??損切推奨",IF(H199&lt;=R199,"??STOP推奨","?保有中"))))))</f>
        <v/>
      </c>
      <c r="T199" s="111" t="n"/>
      <c r="U199" s="111" t="n"/>
      <c r="V199" s="113">
        <f>IF(OR(F199="",G199="",U199=""),"",(U199-F199)*G199)</f>
        <v/>
      </c>
      <c r="W199" s="699">
        <f>IF(OR(E199="",B199=""),"",IF(T199&lt;&gt;"",T199-E199,TODAY()-E199))</f>
        <v/>
      </c>
      <c r="X199" s="111" t="n"/>
    </row>
    <row r="200" ht="17.25" customHeight="1" s="574">
      <c r="A200" s="408">
        <f>HYPERLINK("https://kabutan.jp/stock/?code="&amp;TEXT(B200,"0000"),"株探")</f>
        <v/>
      </c>
      <c r="B200" s="111" t="n"/>
      <c r="C200" s="111" t="n"/>
      <c r="D200" s="111" t="n"/>
      <c r="E200" s="698" t="n"/>
      <c r="F200" s="426" t="n"/>
      <c r="G200" s="111" t="n"/>
      <c r="H200" s="113">
        <f>_xll.RssMarket("d7","現在値")</f>
        <v/>
      </c>
      <c r="I200" s="113">
        <f t="array" ref="I200">_xll.RssMarket(B200, "出来高加重平均")</f>
        <v/>
      </c>
      <c r="J200" s="113">
        <f t="array" ref="J200">_xll.RssMarket(B200, "前日比")</f>
        <v/>
      </c>
      <c r="K200" s="113">
        <f>IF(OR(F200="",G200="",H200=""),"",(H200-F200)*G200)</f>
        <v/>
      </c>
      <c r="L200" s="114">
        <f>IF(OR(F200="",H200=""),"",(H200-F200)/F200)</f>
        <v/>
      </c>
      <c r="M200" s="113">
        <f>IF(F200="","",F200*1.07)</f>
        <v/>
      </c>
      <c r="N200" s="113">
        <f>IF(F200="","",F200*0.96)</f>
        <v/>
      </c>
      <c r="O200" s="113">
        <f>IF(B200="","",IF(H200="","保有中",IF(H200&gt;=M200,"🟢利確推奨",IF(H200&gt;=F200*1.06,"🟡利確&amp;TR STOP検討",IF(H200&lt;=N200,"🔴損切推奨",IF(H200&lt;=F200*0.965,"🔴損切間近",IF(H200&lt;=F200*0.97,"⚠️-3%注意",IF(H200&lt;=F200*0.96,"🟡STOP推奨","保持継続"))))))))</f>
        <v/>
      </c>
      <c r="P200" s="113">
        <f t="array" ref="P200">IF(B200="","",IFERROR(MAX(OFFSET(高値!$E$6,MATCH(TEXT(B200,"0"),TEXT(銘柄管理!$B$6:$B$305,"0"),0)-1,0,1,10)),""))</f>
        <v/>
      </c>
      <c r="Q200" s="113">
        <f t="array" ref="Q200">IF(B200="","",IFERROR(MIN(OFFSET(安値!$E$6,MATCH(TEXT(B200,"0"),TEXT(銘柄管理!$B$6:$B$305,"0"),0)-1,0,1,10)),""))</f>
        <v/>
      </c>
      <c r="R200" s="113">
        <f>IF(P200="","",ROUND(P200*0.97,0))</f>
        <v/>
      </c>
      <c r="S200" s="461">
        <f>IF(B200="","",IF(T200&lt;&gt;"","?売却済",IF(H200="","?保有中",IF(H200&gt;=M200,"??利確推奨",IF(H200&lt;=N200,"??損切推奨",IF(H200&lt;=R200,"??STOP推奨","?保有中"))))))</f>
        <v/>
      </c>
      <c r="T200" s="111" t="n"/>
      <c r="U200" s="111" t="n"/>
      <c r="V200" s="113">
        <f>IF(OR(F200="",G200="",U200=""),"",(U200-F200)*G200)</f>
        <v/>
      </c>
      <c r="W200" s="699">
        <f>IF(OR(E200="",B200=""),"",IF(T200&lt;&gt;"",T200-E200,TODAY()-E200))</f>
        <v/>
      </c>
      <c r="X200" s="111" t="n"/>
    </row>
    <row r="201" ht="17.25" customHeight="1" s="574">
      <c r="A201" s="408">
        <f>HYPERLINK("https://kabutan.jp/stock/?code="&amp;TEXT(B201,"0000"),"株探")</f>
        <v/>
      </c>
      <c r="B201" s="111" t="n"/>
      <c r="C201" s="111" t="n"/>
      <c r="D201" s="111" t="n"/>
      <c r="E201" s="698" t="n"/>
      <c r="F201" s="426" t="n"/>
      <c r="G201" s="111" t="n"/>
      <c r="H201" s="113">
        <f>_xll.RssMarket("d7","現在値")</f>
        <v/>
      </c>
      <c r="I201" s="113">
        <f t="array" ref="I201">_xll.RssMarket(B201, "出来高加重平均")</f>
        <v/>
      </c>
      <c r="J201" s="113">
        <f t="array" ref="J201">_xll.RssMarket(B201, "前日比")</f>
        <v/>
      </c>
      <c r="K201" s="113">
        <f>IF(OR(F201="",G201="",H201=""),"",(H201-F201)*G201)</f>
        <v/>
      </c>
      <c r="L201" s="114">
        <f>IF(OR(F201="",H201=""),"",(H201-F201)/F201)</f>
        <v/>
      </c>
      <c r="M201" s="113">
        <f>IF(F201="","",F201*1.07)</f>
        <v/>
      </c>
      <c r="N201" s="113">
        <f>IF(F201="","",F201*0.96)</f>
        <v/>
      </c>
      <c r="O201" s="113">
        <f>IF(B201="","",IF(H201="","保有中",IF(H201&gt;=M201,"🟢利確推奨",IF(H201&gt;=F201*1.06,"🟡利確&amp;TR STOP検討",IF(H201&lt;=N201,"🔴損切推奨",IF(H201&lt;=F201*0.965,"🔴損切間近",IF(H201&lt;=F201*0.97,"⚠️-3%注意",IF(H201&lt;=F201*0.96,"🟡STOP推奨","保持継続"))))))))</f>
        <v/>
      </c>
      <c r="P201" s="113">
        <f t="array" ref="P201">IF(B201="","",IFERROR(MAX(OFFSET(高値!$E$6,MATCH(TEXT(B201,"0"),TEXT(銘柄管理!$B$6:$B$305,"0"),0)-1,0,1,10)),""))</f>
        <v/>
      </c>
      <c r="Q201" s="113">
        <f t="array" ref="Q201">IF(B201="","",IFERROR(MIN(OFFSET(安値!$E$6,MATCH(TEXT(B201,"0"),TEXT(銘柄管理!$B$6:$B$305,"0"),0)-1,0,1,10)),""))</f>
        <v/>
      </c>
      <c r="R201" s="113">
        <f>IF(P201="","",ROUND(P201*0.97,0))</f>
        <v/>
      </c>
      <c r="S201" s="461">
        <f>IF(B201="","",IF(T201&lt;&gt;"","?売却済",IF(H201="","?保有中",IF(H201&gt;=M201,"??利確推奨",IF(H201&lt;=N201,"??損切推奨",IF(H201&lt;=R201,"??STOP推奨","?保有中"))))))</f>
        <v/>
      </c>
      <c r="T201" s="111" t="n"/>
      <c r="U201" s="111" t="n"/>
      <c r="V201" s="113">
        <f>IF(OR(F201="",G201="",U201=""),"",(U201-F201)*G201)</f>
        <v/>
      </c>
      <c r="W201" s="699">
        <f>IF(OR(E201="",B201=""),"",IF(T201&lt;&gt;"",T201-E201,TODAY()-E201))</f>
        <v/>
      </c>
      <c r="X201" s="111" t="n"/>
    </row>
    <row r="202" ht="17.25" customHeight="1" s="574">
      <c r="A202" s="408">
        <f>HYPERLINK("https://kabutan.jp/stock/?code="&amp;TEXT(B202,"0000"),"株探")</f>
        <v/>
      </c>
      <c r="B202" s="111" t="n"/>
      <c r="C202" s="111" t="n"/>
      <c r="D202" s="111" t="n"/>
      <c r="E202" s="698" t="n"/>
      <c r="F202" s="426" t="n"/>
      <c r="G202" s="111" t="n"/>
      <c r="H202" s="113">
        <f>_xll.RssMarket("d7","現在値")</f>
        <v/>
      </c>
      <c r="I202" s="113">
        <f t="array" ref="I202">_xll.RssMarket(B202, "出来高加重平均")</f>
        <v/>
      </c>
      <c r="J202" s="113">
        <f t="array" ref="J202">_xll.RssMarket(B202, "前日比")</f>
        <v/>
      </c>
      <c r="K202" s="113">
        <f>IF(OR(F202="",G202="",H202=""),"",(H202-F202)*G202)</f>
        <v/>
      </c>
      <c r="L202" s="114">
        <f>IF(OR(F202="",H202=""),"",(H202-F202)/F202)</f>
        <v/>
      </c>
      <c r="M202" s="113">
        <f>IF(F202="","",F202*1.07)</f>
        <v/>
      </c>
      <c r="N202" s="113">
        <f>IF(F202="","",F202*0.96)</f>
        <v/>
      </c>
      <c r="O202" s="113">
        <f>IF(B202="","",IF(H202="","保有中",IF(H202&gt;=M202,"🟢利確推奨",IF(H202&gt;=F202*1.06,"🟡利確&amp;TR STOP検討",IF(H202&lt;=N202,"🔴損切推奨",IF(H202&lt;=F202*0.965,"🔴損切間近",IF(H202&lt;=F202*0.97,"⚠️-3%注意",IF(H202&lt;=F202*0.96,"🟡STOP推奨","保持継続"))))))))</f>
        <v/>
      </c>
      <c r="P202" s="113">
        <f t="array" ref="P202">IF(B202="","",IFERROR(MAX(OFFSET(高値!$E$6,MATCH(TEXT(B202,"0"),TEXT(銘柄管理!$B$6:$B$305,"0"),0)-1,0,1,10)),""))</f>
        <v/>
      </c>
      <c r="Q202" s="113">
        <f t="array" ref="Q202">IF(B202="","",IFERROR(MIN(OFFSET(安値!$E$6,MATCH(TEXT(B202,"0"),TEXT(銘柄管理!$B$6:$B$305,"0"),0)-1,0,1,10)),""))</f>
        <v/>
      </c>
      <c r="R202" s="113">
        <f>IF(P202="","",ROUND(P202*0.97,0))</f>
        <v/>
      </c>
      <c r="S202" s="461">
        <f>IF(B202="","",IF(T202&lt;&gt;"","?売却済",IF(H202="","?保有中",IF(H202&gt;=M202,"??利確推奨",IF(H202&lt;=N202,"??損切推奨",IF(H202&lt;=R202,"??STOP推奨","?保有中"))))))</f>
        <v/>
      </c>
      <c r="T202" s="111" t="n"/>
      <c r="U202" s="111" t="n"/>
      <c r="V202" s="113">
        <f>IF(OR(F202="",G202="",U202=""),"",(U202-F202)*G202)</f>
        <v/>
      </c>
      <c r="W202" s="699">
        <f>IF(OR(E202="",B202=""),"",IF(T202&lt;&gt;"",T202-E202,TODAY()-E202))</f>
        <v/>
      </c>
      <c r="X202" s="111" t="n"/>
    </row>
    <row r="203" ht="17.25" customHeight="1" s="574">
      <c r="A203" s="408">
        <f>HYPERLINK("https://kabutan.jp/stock/?code="&amp;TEXT(B203,"0000"),"株探")</f>
        <v/>
      </c>
      <c r="B203" s="111" t="n"/>
      <c r="C203" s="111" t="n"/>
      <c r="D203" s="111" t="n"/>
      <c r="E203" s="698" t="n"/>
      <c r="F203" s="426" t="n"/>
      <c r="G203" s="111" t="n"/>
      <c r="H203" s="113">
        <f>_xll.RssMarket("d7","現在値")</f>
        <v/>
      </c>
      <c r="I203" s="113">
        <f t="array" ref="I203">_xll.RssMarket(B203, "出来高加重平均")</f>
        <v/>
      </c>
      <c r="J203" s="113">
        <f t="array" ref="J203">_xll.RssMarket(B203, "前日比")</f>
        <v/>
      </c>
      <c r="K203" s="113">
        <f>IF(OR(F203="",G203="",H203=""),"",(H203-F203)*G203)</f>
        <v/>
      </c>
      <c r="L203" s="114">
        <f>IF(OR(F203="",H203=""),"",(H203-F203)/F203)</f>
        <v/>
      </c>
      <c r="M203" s="113">
        <f>IF(F203="","",F203*1.07)</f>
        <v/>
      </c>
      <c r="N203" s="113">
        <f>IF(F203="","",F203*0.96)</f>
        <v/>
      </c>
      <c r="O203" s="113">
        <f>IF(B203="","",IF(H203="","保有中",IF(H203&gt;=M203,"🟢利確推奨",IF(H203&gt;=F203*1.06,"🟡利確&amp;TR STOP検討",IF(H203&lt;=N203,"🔴損切推奨",IF(H203&lt;=F203*0.965,"🔴損切間近",IF(H203&lt;=F203*0.97,"⚠️-3%注意",IF(H203&lt;=F203*0.96,"🟡STOP推奨","保持継続"))))))))</f>
        <v/>
      </c>
      <c r="P203" s="113">
        <f t="array" ref="P203">IF(B203="","",IFERROR(MAX(OFFSET(高値!$E$6,MATCH(TEXT(B203,"0"),TEXT(銘柄管理!$B$6:$B$305,"0"),0)-1,0,1,10)),""))</f>
        <v/>
      </c>
      <c r="Q203" s="113">
        <f t="array" ref="Q203">IF(B203="","",IFERROR(MIN(OFFSET(安値!$E$6,MATCH(TEXT(B203,"0"),TEXT(銘柄管理!$B$6:$B$305,"0"),0)-1,0,1,10)),""))</f>
        <v/>
      </c>
      <c r="R203" s="113">
        <f>IF(P203="","",ROUND(P203*0.97,0))</f>
        <v/>
      </c>
      <c r="S203" s="461">
        <f>IF(B203="","",IF(T203&lt;&gt;"","?売却済",IF(H203="","?保有中",IF(H203&gt;=M203,"??利確推奨",IF(H203&lt;=N203,"??損切推奨",IF(H203&lt;=R203,"??STOP推奨","?保有中"))))))</f>
        <v/>
      </c>
      <c r="T203" s="111" t="n"/>
      <c r="U203" s="111" t="n"/>
      <c r="V203" s="113">
        <f>IF(OR(F203="",G203="",U203=""),"",(U203-F203)*G203)</f>
        <v/>
      </c>
      <c r="W203" s="699">
        <f>IF(OR(E203="",B203=""),"",IF(T203&lt;&gt;"",T203-E203,TODAY()-E203))</f>
        <v/>
      </c>
      <c r="X203" s="111" t="n"/>
    </row>
    <row r="204" ht="17.25" customHeight="1" s="574">
      <c r="A204" s="408">
        <f>HYPERLINK("https://kabutan.jp/stock/?code="&amp;TEXT(B204,"0000"),"株探")</f>
        <v/>
      </c>
      <c r="B204" s="111" t="n"/>
      <c r="C204" s="111" t="n"/>
      <c r="D204" s="111" t="n"/>
      <c r="E204" s="698" t="n"/>
      <c r="F204" s="426" t="n"/>
      <c r="G204" s="111" t="n"/>
      <c r="H204" s="113">
        <f>_xll.RssMarket("d7","現在値")</f>
        <v/>
      </c>
      <c r="I204" s="113">
        <f t="array" ref="I204">_xll.RssMarket(B204, "出来高加重平均")</f>
        <v/>
      </c>
      <c r="J204" s="113">
        <f t="array" ref="J204">_xll.RssMarket(B204, "前日比")</f>
        <v/>
      </c>
      <c r="K204" s="113">
        <f>IF(OR(F204="",G204="",H204=""),"",(H204-F204)*G204)</f>
        <v/>
      </c>
      <c r="L204" s="114">
        <f>IF(OR(F204="",H204=""),"",(H204-F204)/F204)</f>
        <v/>
      </c>
      <c r="M204" s="113">
        <f>IF(F204="","",F204*1.07)</f>
        <v/>
      </c>
      <c r="N204" s="113">
        <f>IF(F204="","",F204*0.96)</f>
        <v/>
      </c>
      <c r="O204" s="113">
        <f>IF(B204="","",IF(H204="","保有中",IF(H204&gt;=M204,"🟢利確推奨",IF(H204&gt;=F204*1.06,"🟡利確&amp;TR STOP検討",IF(H204&lt;=N204,"🔴損切推奨",IF(H204&lt;=F204*0.965,"🔴損切間近",IF(H204&lt;=F204*0.97,"⚠️-3%注意",IF(H204&lt;=F204*0.96,"🟡STOP推奨","保持継続"))))))))</f>
        <v/>
      </c>
      <c r="P204" s="113">
        <f t="array" ref="P204">IF(B204="","",IFERROR(MAX(OFFSET(高値!$E$6,MATCH(TEXT(B204,"0"),TEXT(銘柄管理!$B$6:$B$305,"0"),0)-1,0,1,10)),""))</f>
        <v/>
      </c>
      <c r="Q204" s="113">
        <f t="array" ref="Q204">IF(B204="","",IFERROR(MIN(OFFSET(安値!$E$6,MATCH(TEXT(B204,"0"),TEXT(銘柄管理!$B$6:$B$305,"0"),0)-1,0,1,10)),""))</f>
        <v/>
      </c>
      <c r="R204" s="113">
        <f>IF(P204="","",ROUND(P204*0.97,0))</f>
        <v/>
      </c>
      <c r="S204" s="461">
        <f>IF(B204="","",IF(T204&lt;&gt;"","?売却済",IF(H204="","?保有中",IF(H204&gt;=M204,"??利確推奨",IF(H204&lt;=N204,"??損切推奨",IF(H204&lt;=R204,"??STOP推奨","?保有中"))))))</f>
        <v/>
      </c>
      <c r="T204" s="111" t="n"/>
      <c r="U204" s="111" t="n"/>
      <c r="V204" s="113">
        <f>IF(OR(F204="",G204="",U204=""),"",(U204-F204)*G204)</f>
        <v/>
      </c>
      <c r="W204" s="699">
        <f>IF(OR(E204="",B204=""),"",IF(T204&lt;&gt;"",T204-E204,TODAY()-E204))</f>
        <v/>
      </c>
      <c r="X204" s="111" t="n"/>
    </row>
    <row r="205" ht="17.25" customHeight="1" s="574">
      <c r="A205" s="408">
        <f>HYPERLINK("https://kabutan.jp/stock/?code="&amp;TEXT(B205,"0000"),"株探")</f>
        <v/>
      </c>
      <c r="B205" s="111" t="n"/>
      <c r="C205" s="111" t="n"/>
      <c r="D205" s="111" t="n"/>
      <c r="E205" s="698" t="n"/>
      <c r="F205" s="426" t="n"/>
      <c r="G205" s="111" t="n"/>
      <c r="H205" s="113">
        <f>_xll.RssMarket("d7","現在値")</f>
        <v/>
      </c>
      <c r="I205" s="113">
        <f t="array" ref="I205">_xll.RssMarket(B205, "出来高加重平均")</f>
        <v/>
      </c>
      <c r="J205" s="113">
        <f t="array" ref="J205">_xll.RssMarket(B205, "前日比")</f>
        <v/>
      </c>
      <c r="K205" s="113">
        <f>IF(OR(F205="",G205="",H205=""),"",(H205-F205)*G205)</f>
        <v/>
      </c>
      <c r="L205" s="114">
        <f>IF(OR(F205="",H205=""),"",(H205-F205)/F205)</f>
        <v/>
      </c>
      <c r="M205" s="113">
        <f>IF(F205="","",F205*1.07)</f>
        <v/>
      </c>
      <c r="N205" s="113">
        <f>IF(F205="","",F205*0.96)</f>
        <v/>
      </c>
      <c r="O205" s="113">
        <f>IF(B205="","",IF(H205="","保有中",IF(H205&gt;=M205,"🟢利確推奨",IF(H205&gt;=F205*1.06,"🟡利確&amp;TR STOP検討",IF(H205&lt;=N205,"🔴損切推奨",IF(H205&lt;=F205*0.965,"🔴損切間近",IF(H205&lt;=F205*0.97,"⚠️-3%注意",IF(H205&lt;=F205*0.96,"🟡STOP推奨","保持継続"))))))))</f>
        <v/>
      </c>
      <c r="P205" s="113">
        <f t="array" ref="P205">IF(B205="","",IFERROR(MAX(OFFSET(高値!$E$6,MATCH(TEXT(B205,"0"),TEXT(銘柄管理!$B$6:$B$305,"0"),0)-1,0,1,10)),""))</f>
        <v/>
      </c>
      <c r="Q205" s="113">
        <f t="array" ref="Q205">IF(B205="","",IFERROR(MIN(OFFSET(安値!$E$6,MATCH(TEXT(B205,"0"),TEXT(銘柄管理!$B$6:$B$305,"0"),0)-1,0,1,10)),""))</f>
        <v/>
      </c>
      <c r="R205" s="113">
        <f>IF(P205="","",ROUND(P205*0.97,0))</f>
        <v/>
      </c>
      <c r="S205" s="461">
        <f>IF(B205="","",IF(T205&lt;&gt;"","?売却済",IF(H205="","?保有中",IF(H205&gt;=M205,"??利確推奨",IF(H205&lt;=N205,"??損切推奨",IF(H205&lt;=R205,"??STOP推奨","?保有中"))))))</f>
        <v/>
      </c>
      <c r="T205" s="111" t="n"/>
      <c r="U205" s="111" t="n"/>
      <c r="V205" s="113">
        <f>IF(OR(F205="",G205="",U205=""),"",(U205-F205)*G205)</f>
        <v/>
      </c>
      <c r="W205" s="699">
        <f>IF(OR(E205="",B205=""),"",IF(T205&lt;&gt;"",T205-E205,TODAY()-E205))</f>
        <v/>
      </c>
      <c r="X205" s="111" t="n"/>
    </row>
    <row r="206" ht="17.25" customHeight="1" s="574">
      <c r="A206" s="408">
        <f>HYPERLINK("https://kabutan.jp/stock/?code="&amp;TEXT(B206,"0000"),"株探")</f>
        <v/>
      </c>
      <c r="B206" s="111" t="n"/>
      <c r="C206" s="111" t="n"/>
      <c r="D206" s="111" t="n"/>
      <c r="E206" s="698" t="n"/>
      <c r="F206" s="426" t="n"/>
      <c r="G206" s="111" t="n"/>
      <c r="H206" s="113">
        <f>_xll.RssMarket("d7","現在値")</f>
        <v/>
      </c>
      <c r="I206" s="113">
        <f t="array" ref="I206">_xll.RssMarket(B206, "出来高加重平均")</f>
        <v/>
      </c>
      <c r="J206" s="113">
        <f t="array" ref="J206">_xll.RssMarket(B206, "前日比")</f>
        <v/>
      </c>
      <c r="K206" s="113">
        <f>IF(OR(F206="",G206="",H206=""),"",(H206-F206)*G206)</f>
        <v/>
      </c>
      <c r="L206" s="114">
        <f>IF(OR(F206="",H206=""),"",(H206-F206)/F206)</f>
        <v/>
      </c>
      <c r="M206" s="113">
        <f>IF(F206="","",F206*1.07)</f>
        <v/>
      </c>
      <c r="N206" s="113">
        <f>IF(F206="","",F206*0.96)</f>
        <v/>
      </c>
      <c r="O206" s="113">
        <f>IF(B206="","",IF(H206="","保有中",IF(H206&gt;=M206,"🟢利確推奨",IF(H206&gt;=F206*1.06,"🟡利確&amp;TR STOP検討",IF(H206&lt;=N206,"🔴損切推奨",IF(H206&lt;=F206*0.965,"🔴損切間近",IF(H206&lt;=F206*0.97,"⚠️-3%注意",IF(H206&lt;=F206*0.96,"🟡STOP推奨","保持継続"))))))))</f>
        <v/>
      </c>
      <c r="P206" s="113">
        <f t="array" ref="P206">IF(B206="","",IFERROR(MAX(OFFSET(高値!$E$6,MATCH(TEXT(B206,"0"),TEXT(銘柄管理!$B$6:$B$305,"0"),0)-1,0,1,10)),""))</f>
        <v/>
      </c>
      <c r="Q206" s="113">
        <f t="array" ref="Q206">IF(B206="","",IFERROR(MIN(OFFSET(安値!$E$6,MATCH(TEXT(B206,"0"),TEXT(銘柄管理!$B$6:$B$305,"0"),0)-1,0,1,10)),""))</f>
        <v/>
      </c>
      <c r="R206" s="113">
        <f>IF(P206="","",ROUND(P206*0.97,0))</f>
        <v/>
      </c>
      <c r="S206" s="461">
        <f>IF(B206="","",IF(T206&lt;&gt;"","?売却済",IF(H206="","?保有中",IF(H206&gt;=M206,"??利確推奨",IF(H206&lt;=N206,"??損切推奨",IF(H206&lt;=R206,"??STOP推奨","?保有中"))))))</f>
        <v/>
      </c>
      <c r="T206" s="111" t="n"/>
      <c r="U206" s="111" t="n"/>
      <c r="V206" s="113">
        <f>IF(OR(F206="",G206="",U206=""),"",(U206-F206)*G206)</f>
        <v/>
      </c>
      <c r="W206" s="699">
        <f>IF(OR(E206="",B206=""),"",IF(T206&lt;&gt;"",T206-E206,TODAY()-E206))</f>
        <v/>
      </c>
      <c r="X206" s="111" t="n"/>
    </row>
    <row r="207" ht="17.25" customHeight="1" s="574">
      <c r="A207" s="408">
        <f>HYPERLINK("https://kabutan.jp/stock/?code="&amp;TEXT(B207,"0000"),"株探")</f>
        <v/>
      </c>
      <c r="B207" s="111" t="n"/>
      <c r="C207" s="111" t="n"/>
      <c r="D207" s="111" t="n"/>
      <c r="E207" s="698" t="n"/>
      <c r="F207" s="426" t="n"/>
      <c r="G207" s="111" t="n"/>
      <c r="H207" s="113">
        <f>_xll.RssMarket("d7","現在値")</f>
        <v/>
      </c>
      <c r="I207" s="113">
        <f t="array" ref="I207">_xll.RssMarket(B207, "出来高加重平均")</f>
        <v/>
      </c>
      <c r="J207" s="113">
        <f t="array" ref="J207">_xll.RssMarket(B207, "前日比")</f>
        <v/>
      </c>
      <c r="K207" s="113">
        <f>IF(OR(F207="",G207="",H207=""),"",(H207-F207)*G207)</f>
        <v/>
      </c>
      <c r="L207" s="114">
        <f>IF(OR(F207="",H207=""),"",(H207-F207)/F207)</f>
        <v/>
      </c>
      <c r="M207" s="113">
        <f>IF(F207="","",F207*1.07)</f>
        <v/>
      </c>
      <c r="N207" s="113">
        <f>IF(F207="","",F207*0.96)</f>
        <v/>
      </c>
      <c r="O207" s="113">
        <f>IF(B207="","",IF(H207="","保有中",IF(H207&gt;=M207,"🟢利確推奨",IF(H207&gt;=F207*1.06,"🟡利確&amp;TR STOP検討",IF(H207&lt;=N207,"🔴損切推奨",IF(H207&lt;=F207*0.965,"🔴損切間近",IF(H207&lt;=F207*0.97,"⚠️-3%注意",IF(H207&lt;=F207*0.96,"🟡STOP推奨","保持継続"))))))))</f>
        <v/>
      </c>
      <c r="P207" s="113">
        <f t="array" ref="P207">IF(B207="","",IFERROR(MAX(OFFSET(高値!$E$6,MATCH(TEXT(B207,"0"),TEXT(銘柄管理!$B$6:$B$305,"0"),0)-1,0,1,10)),""))</f>
        <v/>
      </c>
      <c r="Q207" s="113">
        <f t="array" ref="Q207">IF(B207="","",IFERROR(MIN(OFFSET(安値!$E$6,MATCH(TEXT(B207,"0"),TEXT(銘柄管理!$B$6:$B$305,"0"),0)-1,0,1,10)),""))</f>
        <v/>
      </c>
      <c r="R207" s="113">
        <f>IF(P207="","",ROUND(P207*0.97,0))</f>
        <v/>
      </c>
      <c r="S207" s="461">
        <f>IF(B207="","",IF(T207&lt;&gt;"","?売却済",IF(H207="","?保有中",IF(H207&gt;=M207,"??利確推奨",IF(H207&lt;=N207,"??損切推奨",IF(H207&lt;=R207,"??STOP推奨","?保有中"))))))</f>
        <v/>
      </c>
      <c r="T207" s="111" t="n"/>
      <c r="U207" s="111" t="n"/>
      <c r="V207" s="113">
        <f>IF(OR(F207="",G207="",U207=""),"",(U207-F207)*G207)</f>
        <v/>
      </c>
      <c r="W207" s="699">
        <f>IF(OR(E207="",B207=""),"",IF(T207&lt;&gt;"",T207-E207,TODAY()-E207))</f>
        <v/>
      </c>
      <c r="X207" s="111" t="n"/>
    </row>
    <row r="208" ht="17.25" customHeight="1" s="574">
      <c r="A208" s="408">
        <f>HYPERLINK("https://kabutan.jp/stock/?code="&amp;TEXT(B208,"0000"),"株探")</f>
        <v/>
      </c>
      <c r="B208" s="111" t="n"/>
      <c r="C208" s="111" t="n"/>
      <c r="D208" s="111" t="n"/>
      <c r="E208" s="698" t="n"/>
      <c r="F208" s="426" t="n"/>
      <c r="G208" s="111" t="n"/>
      <c r="H208" s="113">
        <f>_xll.RssMarket("d7","現在値")</f>
        <v/>
      </c>
      <c r="I208" s="113">
        <f t="array" ref="I208">_xll.RssMarket(B208, "出来高加重平均")</f>
        <v/>
      </c>
      <c r="J208" s="113">
        <f t="array" ref="J208">_xll.RssMarket(B208, "前日比")</f>
        <v/>
      </c>
      <c r="K208" s="113">
        <f>IF(OR(F208="",G208="",H208=""),"",(H208-F208)*G208)</f>
        <v/>
      </c>
      <c r="L208" s="114">
        <f>IF(OR(F208="",H208=""),"",(H208-F208)/F208)</f>
        <v/>
      </c>
      <c r="M208" s="113">
        <f>IF(F208="","",F208*1.07)</f>
        <v/>
      </c>
      <c r="N208" s="113">
        <f>IF(F208="","",F208*0.96)</f>
        <v/>
      </c>
      <c r="O208" s="113">
        <f>IF(B208="","",IF(H208="","保有中",IF(H208&gt;=M208,"🟢利確推奨",IF(H208&gt;=F208*1.06,"🟡利確&amp;TR STOP検討",IF(H208&lt;=N208,"🔴損切推奨",IF(H208&lt;=F208*0.965,"🔴損切間近",IF(H208&lt;=F208*0.97,"⚠️-3%注意",IF(H208&lt;=F208*0.96,"🟡STOP推奨","保持継続"))))))))</f>
        <v/>
      </c>
      <c r="P208" s="113">
        <f t="array" ref="P208">IF(B208="","",IFERROR(MAX(OFFSET(高値!$E$6,MATCH(TEXT(B208,"0"),TEXT(銘柄管理!$B$6:$B$305,"0"),0)-1,0,1,10)),""))</f>
        <v/>
      </c>
      <c r="Q208" s="113">
        <f t="array" ref="Q208">IF(B208="","",IFERROR(MIN(OFFSET(安値!$E$6,MATCH(TEXT(B208,"0"),TEXT(銘柄管理!$B$6:$B$305,"0"),0)-1,0,1,10)),""))</f>
        <v/>
      </c>
      <c r="R208" s="113">
        <f>IF(P208="","",ROUND(P208*0.97,0))</f>
        <v/>
      </c>
      <c r="S208" s="461">
        <f>IF(B208="","",IF(T208&lt;&gt;"","?売却済",IF(H208="","?保有中",IF(H208&gt;=M208,"??利確推奨",IF(H208&lt;=N208,"??損切推奨",IF(H208&lt;=R208,"??STOP推奨","?保有中"))))))</f>
        <v/>
      </c>
      <c r="T208" s="111" t="n"/>
      <c r="U208" s="111" t="n"/>
      <c r="V208" s="113">
        <f>IF(OR(F208="",G208="",U208=""),"",(U208-F208)*G208)</f>
        <v/>
      </c>
      <c r="W208" s="699">
        <f>IF(OR(E208="",B208=""),"",IF(T208&lt;&gt;"",T208-E208,TODAY()-E208))</f>
        <v/>
      </c>
      <c r="X208" s="111" t="n"/>
    </row>
    <row r="209" ht="17.25" customHeight="1" s="574">
      <c r="A209" s="408">
        <f>HYPERLINK("https://kabutan.jp/stock/?code="&amp;TEXT(B209,"0000"),"株探")</f>
        <v/>
      </c>
      <c r="B209" s="111" t="n"/>
      <c r="C209" s="111" t="n"/>
      <c r="D209" s="111" t="n"/>
      <c r="E209" s="698" t="n"/>
      <c r="F209" s="426" t="n"/>
      <c r="G209" s="111" t="n"/>
      <c r="H209" s="113">
        <f>_xll.RssMarket("d7","現在値")</f>
        <v/>
      </c>
      <c r="I209" s="113">
        <f t="array" ref="I209">_xll.RssMarket(B209, "出来高加重平均")</f>
        <v/>
      </c>
      <c r="J209" s="113" t="n"/>
      <c r="K209" s="113">
        <f>IF(OR(F209="",G209="",H209=""),"",(H209-F209)*G209)</f>
        <v/>
      </c>
      <c r="L209" s="114">
        <f>IF(OR(F209="",H209=""),"",(H209-F209)/F209)</f>
        <v/>
      </c>
      <c r="M209" s="113">
        <f>IF(F209="","",F209*1.07)</f>
        <v/>
      </c>
      <c r="N209" s="113">
        <f>IF(F209="","",F209*0.96)</f>
        <v/>
      </c>
      <c r="O209" s="113">
        <f>IF(B209="","",IF(H209="","保有中",IF(H209&gt;=M209,"🟢利確推奨",IF(H209&gt;=F209*1.06,"🟡利確&amp;TR STOP検討",IF(H209&lt;=N209,"🔴損切推奨",IF(H209&lt;=F209*0.965,"🔴損切間近",IF(H209&lt;=F209*0.97,"⚠️-3%注意",IF(H209&lt;=F209*0.96,"🟡STOP推奨","保持継続"))))))))</f>
        <v/>
      </c>
      <c r="P209" s="113">
        <f t="array" ref="P209">IF(B209="","",IFERROR(MAX(OFFSET(高値!$E$6,MATCH(TEXT(B209,"0"),TEXT(銘柄管理!$B$6:$B$305,"0"),0)-1,0,1,10)),""))</f>
        <v/>
      </c>
      <c r="Q209" s="113">
        <f t="array" ref="Q209">IF(B209="","",IFERROR(MIN(OFFSET(安値!$E$6,MATCH(TEXT(B209,"0"),TEXT(銘柄管理!$B$6:$B$305,"0"),0)-1,0,1,10)),""))</f>
        <v/>
      </c>
      <c r="R209" s="113">
        <f>IF(P209="","",ROUND(P209*0.97,0))</f>
        <v/>
      </c>
      <c r="S209" s="461">
        <f>IF(B209="","",IF(T209&lt;&gt;"","?売却済",IF(H209="","?保有中",IF(H209&gt;=M209,"??利確推奨",IF(H209&lt;=N209,"??損切推奨",IF(H209&lt;=R209,"??STOP推奨","?保有中"))))))</f>
        <v/>
      </c>
      <c r="T209" s="111" t="n"/>
      <c r="U209" s="111" t="n"/>
      <c r="V209" s="113">
        <f>IF(OR(F209="",G209="",U209=""),"",(U209-F209)*G209)</f>
        <v/>
      </c>
      <c r="W209" s="699">
        <f>IF(OR(E209="",B209=""),"",IF(T209&lt;&gt;"",T209-E209,TODAY()-E209))</f>
        <v/>
      </c>
      <c r="X209" s="111" t="n"/>
    </row>
    <row r="210" ht="17.25" customHeight="1" s="574">
      <c r="A210" s="408">
        <f>HYPERLINK("https://kabutan.jp/stock/?code="&amp;TEXT(B210,"0000"),"株探")</f>
        <v/>
      </c>
      <c r="B210" s="111" t="n"/>
      <c r="C210" s="111" t="n"/>
      <c r="D210" s="111" t="n"/>
      <c r="E210" s="698" t="n"/>
      <c r="F210" s="426" t="n"/>
      <c r="G210" s="111" t="n"/>
      <c r="H210" s="113">
        <f>_xll.RssMarket("d7","現在値")</f>
        <v/>
      </c>
      <c r="I210" s="113">
        <f t="array" ref="I210">_xll.RssMarket(B210, "出来高加重平均")</f>
        <v/>
      </c>
      <c r="J210" s="113" t="n"/>
      <c r="K210" s="113">
        <f>IF(OR(F210="",G210="",H210=""),"",(H210-F210)*G210)</f>
        <v/>
      </c>
      <c r="L210" s="114">
        <f>IF(OR(F210="",H210=""),"",(H210-F210)/F210)</f>
        <v/>
      </c>
      <c r="M210" s="113">
        <f>IF(F210="","",F210*1.07)</f>
        <v/>
      </c>
      <c r="N210" s="113">
        <f>IF(F210="","",F210*0.96)</f>
        <v/>
      </c>
      <c r="O210" s="113">
        <f>IF(B210="","",IF(H210="","保有中",IF(H210&gt;=M210,"🟢利確推奨",IF(H210&gt;=F210*1.06,"🟡利確&amp;TR STOP検討",IF(H210&lt;=N210,"🔴損切推奨",IF(H210&lt;=F210*0.965,"🔴損切間近",IF(H210&lt;=F210*0.97,"⚠️-3%注意",IF(H210&lt;=F210*0.96,"🟡STOP推奨","保持継続"))))))))</f>
        <v/>
      </c>
      <c r="P210" s="113">
        <f t="array" ref="P210">IF(B210="","",IFERROR(MAX(OFFSET(高値!$E$6,MATCH(TEXT(B210,"0"),TEXT(銘柄管理!$B$6:$B$305,"0"),0)-1,0,1,10)),""))</f>
        <v/>
      </c>
      <c r="Q210" s="113">
        <f t="array" ref="Q210">IF(B210="","",IFERROR(MIN(OFFSET(安値!$E$6,MATCH(TEXT(B210,"0"),TEXT(銘柄管理!$B$6:$B$305,"0"),0)-1,0,1,10)),""))</f>
        <v/>
      </c>
      <c r="R210" s="113">
        <f>IF(P210="","",ROUND(P210*0.97,0))</f>
        <v/>
      </c>
      <c r="S210" s="461">
        <f>IF(B210="","",IF(T210&lt;&gt;"","?売却済",IF(H210="","?保有中",IF(H210&gt;=M210,"??利確推奨",IF(H210&lt;=N210,"??損切推奨",IF(H210&lt;=R210,"??STOP推奨","?保有中"))))))</f>
        <v/>
      </c>
      <c r="T210" s="111" t="n"/>
      <c r="U210" s="111" t="n"/>
      <c r="V210" s="113">
        <f>IF(OR(F210="",G210="",U210=""),"",(U210-F210)*G210)</f>
        <v/>
      </c>
      <c r="W210" s="699">
        <f>IF(OR(E210="",B210=""),"",IF(T210&lt;&gt;"",T210-E210,TODAY()-E210))</f>
        <v/>
      </c>
      <c r="X210" s="111" t="n"/>
    </row>
    <row r="211" ht="17.25" customHeight="1" s="574">
      <c r="A211" s="408">
        <f>HYPERLINK("https://kabutan.jp/stock/?code="&amp;TEXT(B211,"0000"),"株探")</f>
        <v/>
      </c>
      <c r="B211" s="111" t="n"/>
      <c r="C211" s="111" t="n"/>
      <c r="D211" s="111" t="n"/>
      <c r="E211" s="698" t="n"/>
      <c r="F211" s="426" t="n"/>
      <c r="G211" s="111" t="n"/>
      <c r="H211" s="113">
        <f>_xll.RssMarket("d7","現在値")</f>
        <v/>
      </c>
      <c r="I211" s="113">
        <f t="array" ref="I211">_xll.RssMarket(B211, "出来高加重平均")</f>
        <v/>
      </c>
      <c r="J211" s="113" t="n"/>
      <c r="K211" s="113">
        <f>IF(OR(F211="",G211="",H211=""),"",(H211-F211)*G211)</f>
        <v/>
      </c>
      <c r="L211" s="114">
        <f>IF(OR(F211="",H211=""),"",(H211-F211)/F211)</f>
        <v/>
      </c>
      <c r="M211" s="113">
        <f>IF(F211="","",F211*1.07)</f>
        <v/>
      </c>
      <c r="N211" s="113">
        <f>IF(F211="","",F211*0.96)</f>
        <v/>
      </c>
      <c r="O211" s="113">
        <f>IF(B211="","",IF(H211="","保有中",IF(H211&gt;=M211,"🟢利確推奨",IF(H211&gt;=F211*1.06,"🟡利確&amp;TR STOP検討",IF(H211&lt;=N211,"🔴損切推奨",IF(H211&lt;=F211*0.965,"🔴損切間近",IF(H211&lt;=F211*0.97,"⚠️-3%注意",IF(H211&lt;=F211*0.96,"🟡STOP推奨","保持継続"))))))))</f>
        <v/>
      </c>
      <c r="P211" s="113">
        <f t="array" ref="P211">IF(B211="","",IFERROR(MAX(OFFSET(高値!$E$6,MATCH(TEXT(B211,"0"),TEXT(銘柄管理!$B$6:$B$305,"0"),0)-1,0,1,10)),""))</f>
        <v/>
      </c>
      <c r="Q211" s="113">
        <f t="array" ref="Q211">IF(B211="","",IFERROR(MIN(OFFSET(安値!$E$6,MATCH(TEXT(B211,"0"),TEXT(銘柄管理!$B$6:$B$305,"0"),0)-1,0,1,10)),""))</f>
        <v/>
      </c>
      <c r="R211" s="113">
        <f>IF(P211="","",ROUND(P211*0.97,0))</f>
        <v/>
      </c>
      <c r="S211" s="461">
        <f>IF(B211="","",IF(T211&lt;&gt;"","?売却済",IF(H211="","?保有中",IF(H211&gt;=M211,"??利確推奨",IF(H211&lt;=N211,"??損切推奨",IF(H211&lt;=R211,"??STOP推奨","?保有中"))))))</f>
        <v/>
      </c>
      <c r="T211" s="111" t="n"/>
      <c r="U211" s="111" t="n"/>
      <c r="V211" s="113">
        <f>IF(OR(F211="",G211="",U211=""),"",(U211-F211)*G211)</f>
        <v/>
      </c>
      <c r="W211" s="699">
        <f>IF(OR(E211="",B211=""),"",IF(T211&lt;&gt;"",T211-E211,TODAY()-E211))</f>
        <v/>
      </c>
      <c r="X211" s="111" t="n"/>
    </row>
    <row r="212" ht="17.25" customHeight="1" s="574">
      <c r="A212" s="408">
        <f>HYPERLINK("https://kabutan.jp/stock/?code="&amp;TEXT(B212,"0000"),"株探")</f>
        <v/>
      </c>
      <c r="B212" s="111" t="n"/>
      <c r="C212" s="111" t="n"/>
      <c r="D212" s="111" t="n"/>
      <c r="E212" s="698" t="n"/>
      <c r="F212" s="426" t="n"/>
      <c r="G212" s="111" t="n"/>
      <c r="H212" s="113">
        <f>_xll.RssMarket("d7","現在値")</f>
        <v/>
      </c>
      <c r="I212" s="113">
        <f t="array" ref="I212">_xll.RssMarket(B212, "出来高加重平均")</f>
        <v/>
      </c>
      <c r="J212" s="113" t="n"/>
      <c r="K212" s="113">
        <f>IF(OR(F212="",G212="",H212=""),"",(H212-F212)*G212)</f>
        <v/>
      </c>
      <c r="L212" s="114">
        <f>IF(OR(F212="",H212=""),"",(H212-F212)/F212)</f>
        <v/>
      </c>
      <c r="M212" s="113">
        <f>IF(F212="","",F212*1.07)</f>
        <v/>
      </c>
      <c r="N212" s="113">
        <f>IF(F212="","",F212*0.96)</f>
        <v/>
      </c>
      <c r="O212" s="113">
        <f>IF(B212="","",IF(H212="","保有中",IF(H212&gt;=M212,"🟢利確推奨",IF(H212&gt;=F212*1.06,"🟡利確&amp;TR STOP検討",IF(H212&lt;=N212,"🔴損切推奨",IF(H212&lt;=F212*0.965,"🔴損切間近",IF(H212&lt;=F212*0.97,"⚠️-3%注意",IF(H212&lt;=F212*0.96,"🟡STOP推奨","保持継続"))))))))</f>
        <v/>
      </c>
      <c r="P212" s="113">
        <f t="array" ref="P212">IF(B212="","",IFERROR(MAX(OFFSET(高値!$E$6,MATCH(TEXT(B212,"0"),TEXT(銘柄管理!$B$6:$B$305,"0"),0)-1,0,1,10)),""))</f>
        <v/>
      </c>
      <c r="Q212" s="113">
        <f t="array" ref="Q212">IF(B212="","",IFERROR(MIN(OFFSET(安値!$E$6,MATCH(TEXT(B212,"0"),TEXT(銘柄管理!$B$6:$B$305,"0"),0)-1,0,1,10)),""))</f>
        <v/>
      </c>
      <c r="R212" s="113">
        <f>IF(P212="","",ROUND(P212*0.97,0))</f>
        <v/>
      </c>
      <c r="S212" s="461">
        <f>IF(B212="","",IF(T212&lt;&gt;"","?売却済",IF(H212="","?保有中",IF(H212&gt;=M212,"??利確推奨",IF(H212&lt;=N212,"??損切推奨",IF(H212&lt;=R212,"??STOP推奨","?保有中"))))))</f>
        <v/>
      </c>
      <c r="T212" s="111" t="n"/>
      <c r="U212" s="111" t="n"/>
      <c r="V212" s="113">
        <f>IF(OR(F212="",G212="",U212=""),"",(U212-F212)*G212)</f>
        <v/>
      </c>
      <c r="W212" s="699">
        <f>IF(OR(E212="",B212=""),"",IF(T212&lt;&gt;"",T212-E212,TODAY()-E212))</f>
        <v/>
      </c>
      <c r="X212" s="111" t="n"/>
    </row>
    <row r="213" ht="17.25" customHeight="1" s="574">
      <c r="A213" s="408">
        <f>HYPERLINK("https://kabutan.jp/stock/?code="&amp;TEXT(B213,"0000"),"株探")</f>
        <v/>
      </c>
      <c r="B213" s="111" t="n"/>
      <c r="C213" s="111" t="n"/>
      <c r="D213" s="111" t="n"/>
      <c r="E213" s="698" t="n"/>
      <c r="F213" s="426" t="n"/>
      <c r="G213" s="111" t="n"/>
      <c r="H213" s="113">
        <f>_xll.RssMarket("d7","現在値")</f>
        <v/>
      </c>
      <c r="I213" s="113">
        <f t="array" ref="I213">_xll.RssMarket(B213, "出来高加重平均")</f>
        <v/>
      </c>
      <c r="J213" s="113" t="n"/>
      <c r="K213" s="113">
        <f>IF(OR(F213="",G213="",H213=""),"",(H213-F213)*G213)</f>
        <v/>
      </c>
      <c r="L213" s="114">
        <f>IF(OR(F213="",H213=""),"",(H213-F213)/F213)</f>
        <v/>
      </c>
      <c r="M213" s="113">
        <f>IF(F213="","",F213*1.07)</f>
        <v/>
      </c>
      <c r="N213" s="113">
        <f>IF(F213="","",F213*0.96)</f>
        <v/>
      </c>
      <c r="O213" s="113">
        <f>IF(B213="","",IF(H213="","保有中",IF(H213&gt;=M213,"🟢利確推奨",IF(H213&gt;=F213*1.06,"🟡利確&amp;TR STOP検討",IF(H213&lt;=N213,"🔴損切推奨",IF(H213&lt;=F213*0.965,"🔴損切間近",IF(H213&lt;=F213*0.97,"⚠️-3%注意",IF(H213&lt;=F213*0.96,"🟡STOP推奨","保持継続"))))))))</f>
        <v/>
      </c>
      <c r="P213" s="113">
        <f t="array" ref="P213">IF(B213="","",IFERROR(MAX(OFFSET(高値!$E$6,MATCH(TEXT(B213,"0"),TEXT(銘柄管理!$B$6:$B$305,"0"),0)-1,0,1,10)),""))</f>
        <v/>
      </c>
      <c r="Q213" s="113">
        <f t="array" ref="Q213">IF(B213="","",IFERROR(MIN(OFFSET(安値!$E$6,MATCH(TEXT(B213,"0"),TEXT(銘柄管理!$B$6:$B$305,"0"),0)-1,0,1,10)),""))</f>
        <v/>
      </c>
      <c r="R213" s="113">
        <f>IF(P213="","",ROUND(P213*0.97,0))</f>
        <v/>
      </c>
      <c r="S213" s="461">
        <f>IF(B213="","",IF(T213&lt;&gt;"","?売却済",IF(H213="","?保有中",IF(H213&gt;=M213,"??利確推奨",IF(H213&lt;=N213,"??損切推奨",IF(H213&lt;=R213,"??STOP推奨","?保有中"))))))</f>
        <v/>
      </c>
      <c r="T213" s="111" t="n"/>
      <c r="U213" s="111" t="n"/>
      <c r="V213" s="113">
        <f>IF(OR(F213="",G213="",U213=""),"",(U213-F213)*G213)</f>
        <v/>
      </c>
      <c r="W213" s="699">
        <f>IF(OR(E213="",B213=""),"",IF(T213&lt;&gt;"",T213-E213,TODAY()-E213))</f>
        <v/>
      </c>
      <c r="X213" s="111" t="n"/>
    </row>
    <row r="214" ht="17.25" customHeight="1" s="574">
      <c r="J214" s="113" t="n"/>
      <c r="P214" s="113">
        <f t="array" ref="P214">IF(B214="","",IFERROR(MAX(OFFSET(高値!$E$6,MATCH(TEXT(B214,"0"),TEXT(銘柄管理!$B$6:$B$305,"0"),0)-1,0,1,10)),""))</f>
        <v/>
      </c>
      <c r="Q214" s="113">
        <f t="array" ref="Q214">IF(B214="","",IFERROR(MIN(OFFSET(安値!$E$6,MATCH(TEXT(B214,"0"),TEXT(銘柄管理!$B$6:$B$305,"0"),0)-1,0,1,10)),""))</f>
        <v/>
      </c>
    </row>
    <row r="215" ht="17.25" customHeight="1" s="574">
      <c r="J215" s="113" t="n"/>
      <c r="P215" s="113">
        <f t="array" ref="P215">IF(B215="","",IFERROR(MAX(OFFSET(高値!$E$6,MATCH(TEXT(B215,"0"),TEXT(銘柄管理!$B$6:$B$305,"0"),0)-1,0,1,10)),""))</f>
        <v/>
      </c>
      <c r="Q215" s="113">
        <f t="array" ref="Q215">IF(B215="","",IFERROR(MIN(OFFSET(安値!$E$6,MATCH(TEXT(B215,"0"),TEXT(銘柄管理!$B$6:$B$305,"0"),0)-1,0,1,10)),""))</f>
        <v/>
      </c>
    </row>
    <row r="216" ht="17.25" customHeight="1" s="574">
      <c r="J216" s="113" t="n"/>
      <c r="P216" s="113">
        <f t="array" ref="P216">IF(B216="","",IFERROR(MAX(OFFSET(高値!$E$6,MATCH(TEXT(B216,"0"),TEXT(銘柄管理!$B$6:$B$305,"0"),0)-1,0,1,10)),""))</f>
        <v/>
      </c>
      <c r="Q216" s="113">
        <f t="array" ref="Q216">IF(B216="","",IFERROR(MIN(OFFSET(安値!$E$6,MATCH(TEXT(B216,"0"),TEXT(銘柄管理!$B$6:$B$305,"0"),0)-1,0,1,10)),""))</f>
        <v/>
      </c>
    </row>
    <row r="217" ht="17.25" customHeight="1" s="574">
      <c r="J217" s="113" t="n"/>
      <c r="P217" s="113">
        <f t="array" ref="P217">IF(B217="","",IFERROR(MAX(OFFSET(高値!$E$6,MATCH(TEXT(B217,"0"),TEXT(銘柄管理!$B$6:$B$305,"0"),0)-1,0,1,10)),""))</f>
        <v/>
      </c>
      <c r="Q217" s="113">
        <f t="array" ref="Q217">IF(B217="","",IFERROR(MIN(OFFSET(安値!$E$6,MATCH(TEXT(B217,"0"),TEXT(銘柄管理!$B$6:$B$305,"0"),0)-1,0,1,10)),""))</f>
        <v/>
      </c>
    </row>
    <row r="218" ht="17.25" customHeight="1" s="574">
      <c r="J218" s="113" t="n"/>
      <c r="P218" s="113">
        <f t="array" ref="P218">IF(B218="","",IFERROR(MAX(OFFSET(高値!$E$6,MATCH(TEXT(B218,"0"),TEXT(銘柄管理!$B$6:$B$305,"0"),0)-1,0,1,10)),""))</f>
        <v/>
      </c>
      <c r="Q218" s="113">
        <f t="array" ref="Q218">IF(B218="","",IFERROR(MIN(OFFSET(安値!$E$6,MATCH(TEXT(B218,"0"),TEXT(銘柄管理!$B$6:$B$305,"0"),0)-1,0,1,10)),""))</f>
        <v/>
      </c>
    </row>
    <row r="219" ht="17.25" customHeight="1" s="574">
      <c r="J219" s="113" t="n"/>
      <c r="P219" s="113">
        <f t="array" ref="P219">IF(B219="","",IFERROR(MAX(OFFSET(高値!$E$6,MATCH(TEXT(B219,"0"),TEXT(銘柄管理!$B$6:$B$305,"0"),0)-1,0,1,10)),""))</f>
        <v/>
      </c>
      <c r="Q219" s="113">
        <f t="array" ref="Q219">IF(B219="","",IFERROR(MIN(OFFSET(安値!$E$6,MATCH(TEXT(B219,"0"),TEXT(銘柄管理!$B$6:$B$305,"0"),0)-1,0,1,10)),""))</f>
        <v/>
      </c>
    </row>
    <row r="220" ht="17.25" customHeight="1" s="574">
      <c r="J220" s="113" t="n"/>
      <c r="P220" s="113">
        <f t="array" ref="P220">IF(B220="","",IFERROR(MAX(OFFSET(高値!$E$6,MATCH(TEXT(B220,"0"),TEXT(銘柄管理!$B$6:$B$305,"0"),0)-1,0,1,10)),""))</f>
        <v/>
      </c>
      <c r="Q220" s="113">
        <f t="array" ref="Q220">IF(B220="","",IFERROR(MIN(OFFSET(安値!$E$6,MATCH(TEXT(B220,"0"),TEXT(銘柄管理!$B$6:$B$305,"0"),0)-1,0,1,10)),""))</f>
        <v/>
      </c>
    </row>
    <row r="221" ht="17.25" customHeight="1" s="574">
      <c r="J221" s="113" t="n"/>
      <c r="P221" s="113">
        <f t="array" ref="P221">IF(B221="","",IFERROR(MAX(OFFSET(高値!$E$6,MATCH(TEXT(B221,"0"),TEXT(銘柄管理!$B$6:$B$305,"0"),0)-1,0,1,10)),""))</f>
        <v/>
      </c>
      <c r="Q221" s="113">
        <f t="array" ref="Q221">IF(B221="","",IFERROR(MIN(OFFSET(安値!$E$6,MATCH(TEXT(B221,"0"),TEXT(銘柄管理!$B$6:$B$305,"0"),0)-1,0,1,10)),""))</f>
        <v/>
      </c>
    </row>
    <row r="222" ht="17.25" customHeight="1" s="574">
      <c r="J222" s="113" t="n"/>
      <c r="P222" s="113">
        <f t="array" ref="P222">IF(B222="","",IFERROR(MAX(OFFSET(高値!$E$6,MATCH(TEXT(B222,"0"),TEXT(銘柄管理!$B$6:$B$305,"0"),0)-1,0,1,10)),""))</f>
        <v/>
      </c>
      <c r="Q222" s="113">
        <f t="array" ref="Q222">IF(B222="","",IFERROR(MIN(OFFSET(安値!$E$6,MATCH(TEXT(B222,"0"),TEXT(銘柄管理!$B$6:$B$305,"0"),0)-1,0,1,10)),""))</f>
        <v/>
      </c>
    </row>
    <row r="223" ht="17.25" customHeight="1" s="574">
      <c r="J223" s="113" t="n"/>
      <c r="P223" s="113">
        <f t="array" ref="P223">IF(B223="","",IFERROR(MAX(OFFSET(高値!$E$6,MATCH(TEXT(B223,"0"),TEXT(銘柄管理!$B$6:$B$305,"0"),0)-1,0,1,10)),""))</f>
        <v/>
      </c>
      <c r="Q223" s="113">
        <f t="array" ref="Q223">IF(B223="","",IFERROR(MIN(OFFSET(安値!$E$6,MATCH(TEXT(B223,"0"),TEXT(銘柄管理!$B$6:$B$305,"0"),0)-1,0,1,10)),""))</f>
        <v/>
      </c>
    </row>
    <row r="224" ht="17.25" customHeight="1" s="574">
      <c r="J224" s="113" t="n"/>
      <c r="P224" s="113">
        <f t="array" ref="P224">IF(B224="","",IFERROR(MAX(OFFSET(高値!$E$6,MATCH(TEXT(B224,"0"),TEXT(銘柄管理!$B$6:$B$305,"0"),0)-1,0,1,10)),""))</f>
        <v/>
      </c>
      <c r="Q224" s="113">
        <f t="array" ref="Q224">IF(B224="","",IFERROR(MIN(OFFSET(安値!$E$6,MATCH(TEXT(B224,"0"),TEXT(銘柄管理!$B$6:$B$305,"0"),0)-1,0,1,10)),""))</f>
        <v/>
      </c>
    </row>
    <row r="225" ht="17.25" customHeight="1" s="574">
      <c r="J225" s="113" t="n"/>
      <c r="P225" s="113">
        <f t="array" ref="P225">IF(B225="","",IFERROR(MAX(OFFSET(高値!$E$6,MATCH(TEXT(B225,"0"),TEXT(銘柄管理!$B$6:$B$305,"0"),0)-1,0,1,10)),""))</f>
        <v/>
      </c>
      <c r="Q225" s="113">
        <f t="array" ref="Q225">IF(B225="","",IFERROR(MIN(OFFSET(安値!$E$6,MATCH(TEXT(B225,"0"),TEXT(銘柄管理!$B$6:$B$305,"0"),0)-1,0,1,10)),""))</f>
        <v/>
      </c>
    </row>
    <row r="226" ht="17.25" customHeight="1" s="574">
      <c r="J226" s="113" t="n"/>
      <c r="P226" s="113">
        <f t="array" ref="P226">IF(B226="","",IFERROR(MAX(OFFSET(高値!$E$6,MATCH(TEXT(B226,"0"),TEXT(銘柄管理!$B$6:$B$305,"0"),0)-1,0,1,10)),""))</f>
        <v/>
      </c>
      <c r="Q226" s="113">
        <f t="array" ref="Q226">IF(B226="","",IFERROR(MIN(OFFSET(安値!$E$6,MATCH(TEXT(B226,"0"),TEXT(銘柄管理!$B$6:$B$305,"0"),0)-1,0,1,10)),""))</f>
        <v/>
      </c>
    </row>
    <row r="227" ht="17.25" customHeight="1" s="574">
      <c r="J227" s="113" t="n"/>
      <c r="P227" s="113">
        <f t="array" ref="P227">IF(B227="","",IFERROR(MAX(OFFSET(高値!$E$6,MATCH(TEXT(B227,"0"),TEXT(銘柄管理!$B$6:$B$305,"0"),0)-1,0,1,10)),""))</f>
        <v/>
      </c>
      <c r="Q227" s="113">
        <f t="array" ref="Q227">IF(B227="","",IFERROR(MIN(OFFSET(安値!$E$6,MATCH(TEXT(B227,"0"),TEXT(銘柄管理!$B$6:$B$305,"0"),0)-1,0,1,10)),""))</f>
        <v/>
      </c>
    </row>
    <row r="228" ht="17.25" customHeight="1" s="574">
      <c r="J228" s="113" t="n"/>
      <c r="P228" s="113">
        <f t="array" ref="P228">IF(B228="","",IFERROR(MAX(OFFSET(高値!$E$6,MATCH(TEXT(B228,"0"),TEXT(銘柄管理!$B$6:$B$305,"0"),0)-1,0,1,10)),""))</f>
        <v/>
      </c>
      <c r="Q228" s="113">
        <f t="array" ref="Q228">IF(B228="","",IFERROR(MIN(OFFSET(安値!$E$6,MATCH(TEXT(B228,"0"),TEXT(銘柄管理!$B$6:$B$305,"0"),0)-1,0,1,10)),""))</f>
        <v/>
      </c>
    </row>
    <row r="229" ht="17.25" customHeight="1" s="574">
      <c r="J229" s="113" t="n"/>
      <c r="P229" s="113">
        <f t="array" ref="P229">IF(B229="","",IFERROR(MAX(OFFSET(高値!$E$6,MATCH(TEXT(B229,"0"),TEXT(銘柄管理!$B$6:$B$305,"0"),0)-1,0,1,10)),""))</f>
        <v/>
      </c>
      <c r="Q229" s="113">
        <f t="array" ref="Q229">IF(B229="","",IFERROR(MIN(OFFSET(安値!$E$6,MATCH(TEXT(B229,"0"),TEXT(銘柄管理!$B$6:$B$305,"0"),0)-1,0,1,10)),""))</f>
        <v/>
      </c>
    </row>
    <row r="230" ht="17.25" customHeight="1" s="574">
      <c r="J230" s="113" t="n"/>
      <c r="P230" s="113">
        <f t="array" ref="P230">IF(B230="","",IFERROR(MAX(OFFSET(高値!$E$6,MATCH(TEXT(B230,"0"),TEXT(銘柄管理!$B$6:$B$305,"0"),0)-1,0,1,10)),""))</f>
        <v/>
      </c>
      <c r="Q230" s="113">
        <f t="array" ref="Q230">IF(B230="","",IFERROR(MIN(OFFSET(安値!$E$6,MATCH(TEXT(B230,"0"),TEXT(銘柄管理!$B$6:$B$305,"0"),0)-1,0,1,10)),""))</f>
        <v/>
      </c>
    </row>
    <row r="231" ht="17.25" customHeight="1" s="574">
      <c r="J231" s="113" t="n"/>
      <c r="P231" s="113">
        <f t="array" ref="P231">IF(B231="","",IFERROR(MAX(OFFSET(高値!$E$6,MATCH(TEXT(B231,"0"),TEXT(銘柄管理!$B$6:$B$305,"0"),0)-1,0,1,10)),""))</f>
        <v/>
      </c>
      <c r="Q231" s="113">
        <f t="array" ref="Q231">IF(B231="","",IFERROR(MIN(OFFSET(安値!$E$6,MATCH(TEXT(B231,"0"),TEXT(銘柄管理!$B$6:$B$305,"0"),0)-1,0,1,10)),""))</f>
        <v/>
      </c>
    </row>
    <row r="232" ht="17.25" customHeight="1" s="574">
      <c r="J232" s="113" t="n"/>
      <c r="P232" s="113">
        <f t="array" ref="P232">IF(B232="","",IFERROR(MAX(OFFSET(高値!$E$6,MATCH(TEXT(B232,"0"),TEXT(銘柄管理!$B$6:$B$305,"0"),0)-1,0,1,10)),""))</f>
        <v/>
      </c>
      <c r="Q232" s="113">
        <f t="array" ref="Q232">IF(B232="","",IFERROR(MIN(OFFSET(安値!$E$6,MATCH(TEXT(B232,"0"),TEXT(銘柄管理!$B$6:$B$305,"0"),0)-1,0,1,10)),""))</f>
        <v/>
      </c>
    </row>
    <row r="233" ht="17.25" customHeight="1" s="574">
      <c r="J233" s="113" t="n"/>
      <c r="P233" s="113">
        <f t="array" ref="P233">IF(B233="","",IFERROR(MAX(OFFSET(高値!$E$6,MATCH(TEXT(B233,"0"),TEXT(銘柄管理!$B$6:$B$305,"0"),0)-1,0,1,10)),""))</f>
        <v/>
      </c>
      <c r="Q233" s="113">
        <f t="array" ref="Q233">IF(B233="","",IFERROR(MIN(OFFSET(安値!$E$6,MATCH(TEXT(B233,"0"),TEXT(銘柄管理!$B$6:$B$305,"0"),0)-1,0,1,10)),""))</f>
        <v/>
      </c>
    </row>
    <row r="234" ht="17.25" customHeight="1" s="574">
      <c r="J234" s="113" t="n"/>
      <c r="P234" s="113">
        <f t="array" ref="P234">IF(B234="","",IFERROR(MAX(OFFSET(高値!$E$6,MATCH(TEXT(B234,"0"),TEXT(銘柄管理!$B$6:$B$305,"0"),0)-1,0,1,10)),""))</f>
        <v/>
      </c>
      <c r="Q234" s="113">
        <f t="array" ref="Q234">IF(B234="","",IFERROR(MIN(OFFSET(安値!$E$6,MATCH(TEXT(B234,"0"),TEXT(銘柄管理!$B$6:$B$305,"0"),0)-1,0,1,10)),""))</f>
        <v/>
      </c>
    </row>
    <row r="235" ht="17.25" customHeight="1" s="574">
      <c r="J235" s="113" t="n"/>
      <c r="P235" s="113">
        <f t="array" ref="P235">IF(B235="","",IFERROR(MAX(OFFSET(高値!$E$6,MATCH(TEXT(B235,"0"),TEXT(銘柄管理!$B$6:$B$305,"0"),0)-1,0,1,10)),""))</f>
        <v/>
      </c>
      <c r="Q235" s="113">
        <f t="array" ref="Q235">IF(B235="","",IFERROR(MIN(OFFSET(安値!$E$6,MATCH(TEXT(B235,"0"),TEXT(銘柄管理!$B$6:$B$305,"0"),0)-1,0,1,10)),""))</f>
        <v/>
      </c>
    </row>
    <row r="236" ht="17.25" customHeight="1" s="574">
      <c r="J236" s="113" t="n"/>
      <c r="P236" s="113">
        <f t="array" ref="P236">IF(B236="","",IFERROR(MAX(OFFSET(高値!$E$6,MATCH(TEXT(B236,"0"),TEXT(銘柄管理!$B$6:$B$305,"0"),0)-1,0,1,10)),""))</f>
        <v/>
      </c>
      <c r="Q236" s="113">
        <f t="array" ref="Q236">IF(B236="","",IFERROR(MIN(OFFSET(安値!$E$6,MATCH(TEXT(B236,"0"),TEXT(銘柄管理!$B$6:$B$305,"0"),0)-1,0,1,10)),""))</f>
        <v/>
      </c>
    </row>
    <row r="237" ht="17.25" customHeight="1" s="574">
      <c r="J237" s="113" t="n"/>
      <c r="P237" s="113">
        <f t="array" ref="P237">IF(B237="","",IFERROR(MAX(OFFSET(高値!$E$6,MATCH(TEXT(B237,"0"),TEXT(銘柄管理!$B$6:$B$305,"0"),0)-1,0,1,10)),""))</f>
        <v/>
      </c>
      <c r="Q237" s="113">
        <f t="array" ref="Q237">IF(B237="","",IFERROR(MIN(OFFSET(安値!$E$6,MATCH(TEXT(B237,"0"),TEXT(銘柄管理!$B$6:$B$305,"0"),0)-1,0,1,10)),""))</f>
        <v/>
      </c>
    </row>
    <row r="238" ht="17.25" customHeight="1" s="574">
      <c r="J238" s="113" t="n"/>
      <c r="P238" s="113">
        <f t="array" ref="P238">IF(B238="","",IFERROR(MAX(OFFSET(高値!$E$6,MATCH(TEXT(B238,"0"),TEXT(銘柄管理!$B$6:$B$305,"0"),0)-1,0,1,10)),""))</f>
        <v/>
      </c>
      <c r="Q238" s="113">
        <f t="array" ref="Q238">IF(B238="","",IFERROR(MIN(OFFSET(安値!$E$6,MATCH(TEXT(B238,"0"),TEXT(銘柄管理!$B$6:$B$305,"0"),0)-1,0,1,10)),""))</f>
        <v/>
      </c>
    </row>
    <row r="239" ht="17.25" customHeight="1" s="574">
      <c r="J239" s="113" t="n"/>
      <c r="P239" s="113">
        <f t="array" ref="P239">IF(B239="","",IFERROR(MAX(OFFSET(高値!$E$6,MATCH(TEXT(B239,"0"),TEXT(銘柄管理!$B$6:$B$305,"0"),0)-1,0,1,10)),""))</f>
        <v/>
      </c>
      <c r="Q239" s="113">
        <f t="array" ref="Q239">IF(B239="","",IFERROR(MIN(OFFSET(安値!$E$6,MATCH(TEXT(B239,"0"),TEXT(銘柄管理!$B$6:$B$305,"0"),0)-1,0,1,10)),""))</f>
        <v/>
      </c>
    </row>
    <row r="240" ht="17.25" customHeight="1" s="574">
      <c r="J240" s="113" t="n"/>
      <c r="P240" s="113">
        <f t="array" ref="P240">IF(B240="","",IFERROR(MAX(OFFSET(高値!$E$6,MATCH(TEXT(B240,"0"),TEXT(銘柄管理!$B$6:$B$305,"0"),0)-1,0,1,10)),""))</f>
        <v/>
      </c>
      <c r="Q240" s="113">
        <f t="array" ref="Q240">IF(B240="","",IFERROR(MIN(OFFSET(安値!$E$6,MATCH(TEXT(B240,"0"),TEXT(銘柄管理!$B$6:$B$305,"0"),0)-1,0,1,10)),""))</f>
        <v/>
      </c>
    </row>
    <row r="241" ht="17.25" customHeight="1" s="574">
      <c r="J241" s="113" t="n"/>
      <c r="P241" s="113">
        <f t="array" ref="P241">IF(B241="","",IFERROR(MAX(OFFSET(高値!$E$6,MATCH(TEXT(B241,"0"),TEXT(銘柄管理!$B$6:$B$305,"0"),0)-1,0,1,10)),""))</f>
        <v/>
      </c>
      <c r="Q241" s="113">
        <f t="array" ref="Q241">IF(B241="","",IFERROR(MIN(OFFSET(安値!$E$6,MATCH(TEXT(B241,"0"),TEXT(銘柄管理!$B$6:$B$305,"0"),0)-1,0,1,10)),""))</f>
        <v/>
      </c>
    </row>
    <row r="242" ht="17.25" customHeight="1" s="574">
      <c r="J242" s="113" t="n"/>
      <c r="P242" s="113">
        <f t="array" ref="P242">IF(B242="","",IFERROR(MAX(OFFSET(高値!$E$6,MATCH(TEXT(B242,"0"),TEXT(銘柄管理!$B$6:$B$305,"0"),0)-1,0,1,10)),""))</f>
        <v/>
      </c>
      <c r="Q242" s="113">
        <f t="array" ref="Q242">IF(B242="","",IFERROR(MIN(OFFSET(安値!$E$6,MATCH(TEXT(B242,"0"),TEXT(銘柄管理!$B$6:$B$305,"0"),0)-1,0,1,10)),""))</f>
        <v/>
      </c>
    </row>
    <row r="243" ht="17.25" customHeight="1" s="574">
      <c r="J243" s="113" t="n"/>
      <c r="P243" s="113">
        <f t="array" ref="P243">IF(B243="","",IFERROR(MAX(OFFSET(高値!$E$6,MATCH(TEXT(B243,"0"),TEXT(銘柄管理!$B$6:$B$305,"0"),0)-1,0,1,10)),""))</f>
        <v/>
      </c>
      <c r="Q243" s="113">
        <f t="array" ref="Q243">IF(B243="","",IFERROR(MIN(OFFSET(安値!$E$6,MATCH(TEXT(B243,"0"),TEXT(銘柄管理!$B$6:$B$305,"0"),0)-1,0,1,10)),""))</f>
        <v/>
      </c>
    </row>
    <row r="244" ht="17.25" customHeight="1" s="574">
      <c r="J244" s="113" t="n"/>
      <c r="P244" s="113">
        <f t="array" ref="P244">IF(B244="","",IFERROR(MAX(OFFSET(高値!$E$6,MATCH(TEXT(B244,"0"),TEXT(銘柄管理!$B$6:$B$305,"0"),0)-1,0,1,10)),""))</f>
        <v/>
      </c>
      <c r="Q244" s="113">
        <f t="array" ref="Q244">IF(B244="","",IFERROR(MIN(OFFSET(安値!$E$6,MATCH(TEXT(B244,"0"),TEXT(銘柄管理!$B$6:$B$305,"0"),0)-1,0,1,10)),""))</f>
        <v/>
      </c>
    </row>
    <row r="245" ht="17.25" customHeight="1" s="574">
      <c r="J245" s="113" t="n"/>
      <c r="P245" s="113">
        <f t="array" ref="P245">IF(B245="","",IFERROR(MAX(OFFSET(高値!$E$6,MATCH(TEXT(B245,"0"),TEXT(銘柄管理!$B$6:$B$305,"0"),0)-1,0,1,10)),""))</f>
        <v/>
      </c>
      <c r="Q245" s="113">
        <f t="array" ref="Q245">IF(B245="","",IFERROR(MIN(OFFSET(安値!$E$6,MATCH(TEXT(B245,"0"),TEXT(銘柄管理!$B$6:$B$305,"0"),0)-1,0,1,10)),""))</f>
        <v/>
      </c>
    </row>
    <row r="246" ht="17.25" customHeight="1" s="574">
      <c r="J246" s="113" t="n"/>
      <c r="P246" s="113">
        <f t="array" ref="P246">IF(B246="","",IFERROR(MAX(OFFSET(高値!$E$6,MATCH(TEXT(B246,"0"),TEXT(銘柄管理!$B$6:$B$305,"0"),0)-1,0,1,10)),""))</f>
        <v/>
      </c>
      <c r="Q246" s="113">
        <f t="array" ref="Q246">IF(B246="","",IFERROR(MIN(OFFSET(安値!$E$6,MATCH(TEXT(B246,"0"),TEXT(銘柄管理!$B$6:$B$305,"0"),0)-1,0,1,10)),""))</f>
        <v/>
      </c>
    </row>
    <row r="247" ht="17.25" customHeight="1" s="574">
      <c r="J247" s="113" t="n"/>
      <c r="P247" s="113">
        <f t="array" ref="P247">IF(B247="","",IFERROR(MAX(OFFSET(高値!$E$6,MATCH(TEXT(B247,"0"),TEXT(銘柄管理!$B$6:$B$305,"0"),0)-1,0,1,10)),""))</f>
        <v/>
      </c>
      <c r="Q247" s="113">
        <f t="array" ref="Q247">IF(B247="","",IFERROR(MIN(OFFSET(安値!$E$6,MATCH(TEXT(B247,"0"),TEXT(銘柄管理!$B$6:$B$305,"0"),0)-1,0,1,10)),""))</f>
        <v/>
      </c>
    </row>
    <row r="248" ht="17.25" customHeight="1" s="574">
      <c r="J248" s="113" t="n"/>
      <c r="P248" s="113">
        <f t="array" ref="P248">IF(B248="","",IFERROR(MAX(OFFSET(高値!$E$6,MATCH(TEXT(B248,"0"),TEXT(銘柄管理!$B$6:$B$305,"0"),0)-1,0,1,10)),""))</f>
        <v/>
      </c>
      <c r="Q248" s="113">
        <f t="array" ref="Q248">IF(B248="","",IFERROR(MIN(OFFSET(安値!$E$6,MATCH(TEXT(B248,"0"),TEXT(銘柄管理!$B$6:$B$305,"0"),0)-1,0,1,10)),""))</f>
        <v/>
      </c>
    </row>
    <row r="249" ht="17.25" customHeight="1" s="574">
      <c r="J249" s="113" t="n"/>
      <c r="P249" s="113">
        <f t="array" ref="P249">IF(B249="","",IFERROR(MAX(OFFSET(高値!$E$6,MATCH(TEXT(B249,"0"),TEXT(銘柄管理!$B$6:$B$305,"0"),0)-1,0,1,10)),""))</f>
        <v/>
      </c>
      <c r="Q249" s="113">
        <f t="array" ref="Q249">IF(B249="","",IFERROR(MIN(OFFSET(安値!$E$6,MATCH(TEXT(B249,"0"),TEXT(銘柄管理!$B$6:$B$305,"0"),0)-1,0,1,10)),""))</f>
        <v/>
      </c>
    </row>
    <row r="250" ht="17.25" customHeight="1" s="574">
      <c r="J250" s="113" t="n"/>
      <c r="P250" s="113">
        <f t="array" ref="P250">IF(B250="","",IFERROR(MAX(OFFSET(高値!$E$6,MATCH(TEXT(B250,"0"),TEXT(銘柄管理!$B$6:$B$305,"0"),0)-1,0,1,10)),""))</f>
        <v/>
      </c>
      <c r="Q250" s="113">
        <f t="array" ref="Q250">IF(B250="","",IFERROR(MIN(OFFSET(安値!$E$6,MATCH(TEXT(B250,"0"),TEXT(銘柄管理!$B$6:$B$305,"0"),0)-1,0,1,10)),""))</f>
        <v/>
      </c>
    </row>
    <row r="251" ht="17.25" customHeight="1" s="574">
      <c r="J251" s="113" t="n"/>
      <c r="P251" s="113">
        <f t="array" ref="P251">IF(B251="","",IFERROR(MAX(OFFSET(高値!$E$6,MATCH(TEXT(B251,"0"),TEXT(銘柄管理!$B$6:$B$305,"0"),0)-1,0,1,10)),""))</f>
        <v/>
      </c>
      <c r="Q251" s="113">
        <f t="array" ref="Q251">IF(B251="","",IFERROR(MIN(OFFSET(安値!$E$6,MATCH(TEXT(B251,"0"),TEXT(銘柄管理!$B$6:$B$305,"0"),0)-1,0,1,10)),""))</f>
        <v/>
      </c>
    </row>
    <row r="252" ht="17.25" customHeight="1" s="574">
      <c r="J252" s="113" t="n"/>
      <c r="P252" s="113">
        <f t="array" ref="P252">IF(B252="","",IFERROR(MAX(OFFSET(高値!$E$6,MATCH(TEXT(B252,"0"),TEXT(銘柄管理!$B$6:$B$305,"0"),0)-1,0,1,10)),""))</f>
        <v/>
      </c>
      <c r="Q252" s="113">
        <f t="array" ref="Q252">IF(B252="","",IFERROR(MIN(OFFSET(安値!$E$6,MATCH(TEXT(B252,"0"),TEXT(銘柄管理!$B$6:$B$305,"0"),0)-1,0,1,10)),""))</f>
        <v/>
      </c>
    </row>
    <row r="253" ht="17.25" customHeight="1" s="574">
      <c r="J253" s="113" t="n"/>
      <c r="P253" s="113">
        <f t="array" ref="P253">IF(B253="","",IFERROR(MAX(OFFSET(高値!$E$6,MATCH(TEXT(B253,"0"),TEXT(銘柄管理!$B$6:$B$305,"0"),0)-1,0,1,10)),""))</f>
        <v/>
      </c>
      <c r="Q253" s="113">
        <f t="array" ref="Q253">IF(B253="","",IFERROR(MIN(OFFSET(安値!$E$6,MATCH(TEXT(B253,"0"),TEXT(銘柄管理!$B$6:$B$305,"0"),0)-1,0,1,10)),""))</f>
        <v/>
      </c>
    </row>
    <row r="254" ht="17.25" customHeight="1" s="574">
      <c r="J254" s="113" t="n"/>
      <c r="P254" s="113">
        <f t="array" ref="P254">IF(B254="","",IFERROR(MAX(OFFSET(高値!$E$6,MATCH(TEXT(B254,"0"),TEXT(銘柄管理!$B$6:$B$305,"0"),0)-1,0,1,10)),""))</f>
        <v/>
      </c>
      <c r="Q254" s="113">
        <f t="array" ref="Q254">IF(B254="","",IFERROR(MIN(OFFSET(安値!$E$6,MATCH(TEXT(B254,"0"),TEXT(銘柄管理!$B$6:$B$305,"0"),0)-1,0,1,10)),""))</f>
        <v/>
      </c>
    </row>
    <row r="255" ht="17.25" customHeight="1" s="574">
      <c r="J255" s="113" t="n"/>
      <c r="P255" s="113">
        <f t="array" ref="P255">IF(B255="","",IFERROR(MAX(OFFSET(高値!$E$6,MATCH(TEXT(B255,"0"),TEXT(銘柄管理!$B$6:$B$305,"0"),0)-1,0,1,10)),""))</f>
        <v/>
      </c>
      <c r="Q255" s="113">
        <f t="array" ref="Q255">IF(B255="","",IFERROR(MIN(OFFSET(安値!$E$6,MATCH(TEXT(B255,"0"),TEXT(銘柄管理!$B$6:$B$305,"0"),0)-1,0,1,10)),""))</f>
        <v/>
      </c>
    </row>
    <row r="256" ht="17.25" customHeight="1" s="574">
      <c r="J256" s="113" t="n"/>
      <c r="P256" s="113">
        <f t="array" ref="P256">IF(B256="","",IFERROR(MAX(OFFSET(高値!$E$6,MATCH(TEXT(B256,"0"),TEXT(銘柄管理!$B$6:$B$305,"0"),0)-1,0,1,10)),""))</f>
        <v/>
      </c>
      <c r="Q256" s="113">
        <f t="array" ref="Q256">IF(B256="","",IFERROR(MIN(OFFSET(安値!$E$6,MATCH(TEXT(B256,"0"),TEXT(銘柄管理!$B$6:$B$305,"0"),0)-1,0,1,10)),""))</f>
        <v/>
      </c>
    </row>
    <row r="257" ht="17.25" customHeight="1" s="574">
      <c r="J257" s="113" t="n"/>
      <c r="P257" s="113">
        <f t="array" ref="P257">IF(B257="","",IFERROR(MAX(OFFSET(高値!$E$6,MATCH(TEXT(B257,"0"),TEXT(銘柄管理!$B$6:$B$305,"0"),0)-1,0,1,10)),""))</f>
        <v/>
      </c>
      <c r="Q257" s="113">
        <f t="array" ref="Q257">IF(B257="","",IFERROR(MIN(OFFSET(安値!$E$6,MATCH(TEXT(B257,"0"),TEXT(銘柄管理!$B$6:$B$305,"0"),0)-1,0,1,10)),""))</f>
        <v/>
      </c>
    </row>
    <row r="258" ht="17.25" customHeight="1" s="574">
      <c r="J258" s="113" t="n"/>
      <c r="P258" s="113">
        <f t="array" ref="P258">IF(B258="","",IFERROR(MAX(OFFSET(高値!$E$6,MATCH(TEXT(B258,"0"),TEXT(銘柄管理!$B$6:$B$305,"0"),0)-1,0,1,10)),""))</f>
        <v/>
      </c>
      <c r="Q258" s="113">
        <f t="array" ref="Q258">IF(B258="","",IFERROR(MIN(OFFSET(安値!$E$6,MATCH(TEXT(B258,"0"),TEXT(銘柄管理!$B$6:$B$305,"0"),0)-1,0,1,10)),""))</f>
        <v/>
      </c>
    </row>
    <row r="259" ht="17.25" customHeight="1" s="574">
      <c r="J259" s="113" t="n"/>
      <c r="P259" s="113">
        <f t="array" ref="P259">IF(B259="","",IFERROR(MAX(OFFSET(高値!$E$6,MATCH(TEXT(B259,"0"),TEXT(銘柄管理!$B$6:$B$305,"0"),0)-1,0,1,10)),""))</f>
        <v/>
      </c>
      <c r="Q259" s="113">
        <f t="array" ref="Q259">IF(B259="","",IFERROR(MIN(OFFSET(安値!$E$6,MATCH(TEXT(B259,"0"),TEXT(銘柄管理!$B$6:$B$305,"0"),0)-1,0,1,10)),""))</f>
        <v/>
      </c>
    </row>
    <row r="260" ht="17.25" customHeight="1" s="574">
      <c r="J260" s="113" t="n"/>
      <c r="P260" s="113">
        <f t="array" ref="P260">IF(B260="","",IFERROR(MAX(OFFSET(高値!$E$6,MATCH(TEXT(B260,"0"),TEXT(銘柄管理!$B$6:$B$305,"0"),0)-1,0,1,10)),""))</f>
        <v/>
      </c>
      <c r="Q260" s="113">
        <f t="array" ref="Q260">IF(B260="","",IFERROR(MIN(OFFSET(安値!$E$6,MATCH(TEXT(B260,"0"),TEXT(銘柄管理!$B$6:$B$305,"0"),0)-1,0,1,10)),""))</f>
        <v/>
      </c>
    </row>
    <row r="261" ht="17.25" customHeight="1" s="574">
      <c r="J261" s="113" t="n"/>
      <c r="P261" s="113">
        <f t="array" ref="P261">IF(B261="","",IFERROR(MAX(OFFSET(高値!$E$6,MATCH(TEXT(B261,"0"),TEXT(銘柄管理!$B$6:$B$305,"0"),0)-1,0,1,10)),""))</f>
        <v/>
      </c>
      <c r="Q261" s="113">
        <f t="array" ref="Q261">IF(B261="","",IFERROR(MIN(OFFSET(安値!$E$6,MATCH(TEXT(B261,"0"),TEXT(銘柄管理!$B$6:$B$305,"0"),0)-1,0,1,10)),""))</f>
        <v/>
      </c>
    </row>
    <row r="262" ht="17.25" customHeight="1" s="574">
      <c r="J262" s="113" t="n"/>
      <c r="P262" s="113">
        <f t="array" ref="P262">IF(B262="","",IFERROR(MAX(OFFSET(高値!$E$6,MATCH(TEXT(B262,"0"),TEXT(銘柄管理!$B$6:$B$305,"0"),0)-1,0,1,10)),""))</f>
        <v/>
      </c>
      <c r="Q262" s="113">
        <f t="array" ref="Q262">IF(B262="","",IFERROR(MIN(OFFSET(安値!$E$6,MATCH(TEXT(B262,"0"),TEXT(銘柄管理!$B$6:$B$305,"0"),0)-1,0,1,10)),""))</f>
        <v/>
      </c>
    </row>
    <row r="263" ht="17.25" customHeight="1" s="574">
      <c r="J263" s="113" t="n"/>
      <c r="P263" s="113">
        <f t="array" ref="P263">IF(B263="","",IFERROR(MAX(OFFSET(高値!$E$6,MATCH(TEXT(B263,"0"),TEXT(銘柄管理!$B$6:$B$305,"0"),0)-1,0,1,10)),""))</f>
        <v/>
      </c>
      <c r="Q263" s="113">
        <f t="array" ref="Q263">IF(B263="","",IFERROR(MIN(OFFSET(安値!$E$6,MATCH(TEXT(B263,"0"),TEXT(銘柄管理!$B$6:$B$305,"0"),0)-1,0,1,10)),""))</f>
        <v/>
      </c>
    </row>
    <row r="264" ht="17.25" customHeight="1" s="574">
      <c r="J264" s="113" t="n"/>
      <c r="P264" s="113">
        <f t="array" ref="P264">IF(B264="","",IFERROR(MAX(OFFSET(高値!$E$6,MATCH(TEXT(B264,"0"),TEXT(銘柄管理!$B$6:$B$305,"0"),0)-1,0,1,10)),""))</f>
        <v/>
      </c>
      <c r="Q264" s="113">
        <f t="array" ref="Q264">IF(B264="","",IFERROR(MIN(OFFSET(安値!$E$6,MATCH(TEXT(B264,"0"),TEXT(銘柄管理!$B$6:$B$305,"0"),0)-1,0,1,10)),""))</f>
        <v/>
      </c>
    </row>
    <row r="265" ht="17.25" customHeight="1" s="574">
      <c r="J265" s="113" t="n"/>
      <c r="P265" s="113">
        <f t="array" ref="P265">IF(B265="","",IFERROR(MAX(OFFSET(高値!$E$6,MATCH(TEXT(B265,"0"),TEXT(銘柄管理!$B$6:$B$305,"0"),0)-1,0,1,10)),""))</f>
        <v/>
      </c>
      <c r="Q265" s="113">
        <f t="array" ref="Q265">IF(B265="","",IFERROR(MIN(OFFSET(安値!$E$6,MATCH(TEXT(B265,"0"),TEXT(銘柄管理!$B$6:$B$305,"0"),0)-1,0,1,10)),""))</f>
        <v/>
      </c>
    </row>
    <row r="266" ht="17.25" customHeight="1" s="574">
      <c r="J266" s="113" t="n"/>
      <c r="P266" s="113">
        <f t="array" ref="P266">IF(B266="","",IFERROR(MAX(OFFSET(高値!$E$6,MATCH(TEXT(B266,"0"),TEXT(銘柄管理!$B$6:$B$305,"0"),0)-1,0,1,10)),""))</f>
        <v/>
      </c>
      <c r="Q266" s="113">
        <f t="array" ref="Q266">IF(B266="","",IFERROR(MIN(OFFSET(安値!$E$6,MATCH(TEXT(B266,"0"),TEXT(銘柄管理!$B$6:$B$305,"0"),0)-1,0,1,10)),""))</f>
        <v/>
      </c>
    </row>
    <row r="267" ht="17.25" customHeight="1" s="574">
      <c r="J267" s="113" t="n"/>
      <c r="P267" s="113">
        <f t="array" ref="P267">IF(B267="","",IFERROR(MAX(OFFSET(高値!$E$6,MATCH(TEXT(B267,"0"),TEXT(銘柄管理!$B$6:$B$305,"0"),0)-1,0,1,10)),""))</f>
        <v/>
      </c>
      <c r="Q267" s="113">
        <f t="array" ref="Q267">IF(B267="","",IFERROR(MIN(OFFSET(安値!$E$6,MATCH(TEXT(B267,"0"),TEXT(銘柄管理!$B$6:$B$305,"0"),0)-1,0,1,10)),""))</f>
        <v/>
      </c>
    </row>
    <row r="268" ht="17.25" customHeight="1" s="574">
      <c r="J268" s="113" t="n"/>
      <c r="P268" s="113">
        <f t="array" ref="P268">IF(B268="","",IFERROR(MAX(OFFSET(高値!$E$6,MATCH(TEXT(B268,"0"),TEXT(銘柄管理!$B$6:$B$305,"0"),0)-1,0,1,10)),""))</f>
        <v/>
      </c>
      <c r="Q268" s="113">
        <f t="array" ref="Q268">IF(B268="","",IFERROR(MIN(OFFSET(安値!$E$6,MATCH(TEXT(B268,"0"),TEXT(銘柄管理!$B$6:$B$305,"0"),0)-1,0,1,10)),""))</f>
        <v/>
      </c>
    </row>
    <row r="269" ht="17.25" customHeight="1" s="574">
      <c r="J269" s="113" t="n"/>
      <c r="P269" s="113">
        <f t="array" ref="P269">IF(B269="","",IFERROR(MAX(OFFSET(高値!$E$6,MATCH(TEXT(B269,"0"),TEXT(銘柄管理!$B$6:$B$305,"0"),0)-1,0,1,10)),""))</f>
        <v/>
      </c>
      <c r="Q269" s="113">
        <f t="array" ref="Q269">IF(B269="","",IFERROR(MIN(OFFSET(安値!$E$6,MATCH(TEXT(B269,"0"),TEXT(銘柄管理!$B$6:$B$305,"0"),0)-1,0,1,10)),""))</f>
        <v/>
      </c>
    </row>
    <row r="270" ht="17.25" customHeight="1" s="574">
      <c r="J270" s="113" t="n"/>
      <c r="P270" s="113">
        <f t="array" ref="P270">IF(B270="","",IFERROR(MAX(OFFSET(高値!$E$6,MATCH(TEXT(B270,"0"),TEXT(銘柄管理!$B$6:$B$305,"0"),0)-1,0,1,10)),""))</f>
        <v/>
      </c>
      <c r="Q270" s="113">
        <f t="array" ref="Q270">IF(B270="","",IFERROR(MIN(OFFSET(安値!$E$6,MATCH(TEXT(B270,"0"),TEXT(銘柄管理!$B$6:$B$305,"0"),0)-1,0,1,10)),""))</f>
        <v/>
      </c>
    </row>
    <row r="271" ht="17.25" customHeight="1" s="574">
      <c r="J271" s="113" t="n"/>
      <c r="P271" s="113">
        <f t="array" ref="P271">IF(B271="","",IFERROR(MAX(OFFSET(高値!$E$6,MATCH(TEXT(B271,"0"),TEXT(銘柄管理!$B$6:$B$305,"0"),0)-1,0,1,10)),""))</f>
        <v/>
      </c>
      <c r="Q271" s="113">
        <f t="array" ref="Q271">IF(B271="","",IFERROR(MIN(OFFSET(安値!$E$6,MATCH(TEXT(B271,"0"),TEXT(銘柄管理!$B$6:$B$305,"0"),0)-1,0,1,10)),""))</f>
        <v/>
      </c>
    </row>
    <row r="272" ht="17.25" customHeight="1" s="574">
      <c r="J272" s="113" t="n"/>
      <c r="P272" s="113">
        <f t="array" ref="P272">IF(B272="","",IFERROR(MAX(OFFSET(高値!$E$6,MATCH(TEXT(B272,"0"),TEXT(銘柄管理!$B$6:$B$305,"0"),0)-1,0,1,10)),""))</f>
        <v/>
      </c>
      <c r="Q272" s="113">
        <f t="array" ref="Q272">IF(B272="","",IFERROR(MIN(OFFSET(安値!$E$6,MATCH(TEXT(B272,"0"),TEXT(銘柄管理!$B$6:$B$305,"0"),0)-1,0,1,10)),""))</f>
        <v/>
      </c>
    </row>
    <row r="273" ht="17.25" customHeight="1" s="574">
      <c r="J273" s="113" t="n"/>
      <c r="P273" s="113">
        <f t="array" ref="P273">IF(B273="","",IFERROR(MAX(OFFSET(高値!$E$6,MATCH(TEXT(B273,"0"),TEXT(銘柄管理!$B$6:$B$305,"0"),0)-1,0,1,10)),""))</f>
        <v/>
      </c>
      <c r="Q273" s="113">
        <f t="array" ref="Q273">IF(B273="","",IFERROR(MIN(OFFSET(安値!$E$6,MATCH(TEXT(B273,"0"),TEXT(銘柄管理!$B$6:$B$305,"0"),0)-1,0,1,10)),""))</f>
        <v/>
      </c>
    </row>
    <row r="274" ht="17.25" customHeight="1" s="574">
      <c r="J274" s="113" t="n"/>
      <c r="P274" s="113">
        <f t="array" ref="P274">IF(B274="","",IFERROR(MAX(OFFSET(高値!$E$6,MATCH(TEXT(B274,"0"),TEXT(銘柄管理!$B$6:$B$305,"0"),0)-1,0,1,10)),""))</f>
        <v/>
      </c>
      <c r="Q274" s="113">
        <f t="array" ref="Q274">IF(B274="","",IFERROR(MIN(OFFSET(安値!$E$6,MATCH(TEXT(B274,"0"),TEXT(銘柄管理!$B$6:$B$305,"0"),0)-1,0,1,10)),""))</f>
        <v/>
      </c>
    </row>
    <row r="275" ht="17.25" customHeight="1" s="574">
      <c r="J275" s="113" t="n"/>
      <c r="P275" s="113">
        <f t="array" ref="P275">IF(B275="","",IFERROR(MAX(OFFSET(高値!$E$6,MATCH(TEXT(B275,"0"),TEXT(銘柄管理!$B$6:$B$305,"0"),0)-1,0,1,10)),""))</f>
        <v/>
      </c>
      <c r="Q275" s="113">
        <f t="array" ref="Q275">IF(B275="","",IFERROR(MIN(OFFSET(安値!$E$6,MATCH(TEXT(B275,"0"),TEXT(銘柄管理!$B$6:$B$305,"0"),0)-1,0,1,10)),""))</f>
        <v/>
      </c>
    </row>
    <row r="276" ht="17.25" customHeight="1" s="574">
      <c r="J276" s="113" t="n"/>
      <c r="P276" s="113">
        <f t="array" ref="P276">IF(B276="","",IFERROR(MAX(OFFSET(高値!$E$6,MATCH(TEXT(B276,"0"),TEXT(銘柄管理!$B$6:$B$305,"0"),0)-1,0,1,10)),""))</f>
        <v/>
      </c>
      <c r="Q276" s="113">
        <f t="array" ref="Q276">IF(B276="","",IFERROR(MIN(OFFSET(安値!$E$6,MATCH(TEXT(B276,"0"),TEXT(銘柄管理!$B$6:$B$305,"0"),0)-1,0,1,10)),""))</f>
        <v/>
      </c>
    </row>
    <row r="277" ht="17.25" customHeight="1" s="574">
      <c r="J277" s="113" t="n"/>
      <c r="P277" s="113">
        <f t="array" ref="P277">IF(B277="","",IFERROR(MAX(OFFSET(高値!$E$6,MATCH(TEXT(B277,"0"),TEXT(銘柄管理!$B$6:$B$305,"0"),0)-1,0,1,10)),""))</f>
        <v/>
      </c>
      <c r="Q277" s="113">
        <f t="array" ref="Q277">IF(B277="","",IFERROR(MIN(OFFSET(安値!$E$6,MATCH(TEXT(B277,"0"),TEXT(銘柄管理!$B$6:$B$305,"0"),0)-1,0,1,10)),""))</f>
        <v/>
      </c>
    </row>
    <row r="278" ht="17.25" customHeight="1" s="574">
      <c r="J278" s="113" t="n"/>
      <c r="P278" s="113">
        <f t="array" ref="P278">IF(B278="","",IFERROR(MAX(OFFSET(高値!$E$6,MATCH(TEXT(B278,"0"),TEXT(銘柄管理!$B$6:$B$305,"0"),0)-1,0,1,10)),""))</f>
        <v/>
      </c>
      <c r="Q278" s="113">
        <f t="array" ref="Q278">IF(B278="","",IFERROR(MIN(OFFSET(安値!$E$6,MATCH(TEXT(B278,"0"),TEXT(銘柄管理!$B$6:$B$305,"0"),0)-1,0,1,10)),""))</f>
        <v/>
      </c>
    </row>
    <row r="279" ht="17.25" customHeight="1" s="574">
      <c r="J279" s="113" t="n"/>
      <c r="P279" s="113">
        <f t="array" ref="P279">IF(B279="","",IFERROR(MAX(OFFSET(高値!$E$6,MATCH(TEXT(B279,"0"),TEXT(銘柄管理!$B$6:$B$305,"0"),0)-1,0,1,10)),""))</f>
        <v/>
      </c>
      <c r="Q279" s="113">
        <f t="array" ref="Q279">IF(B279="","",IFERROR(MIN(OFFSET(安値!$E$6,MATCH(TEXT(B279,"0"),TEXT(銘柄管理!$B$6:$B$305,"0"),0)-1,0,1,10)),""))</f>
        <v/>
      </c>
    </row>
    <row r="280" ht="17.25" customHeight="1" s="574">
      <c r="J280" s="113" t="n"/>
      <c r="P280" s="113">
        <f t="array" ref="P280">IF(B280="","",IFERROR(MAX(OFFSET(高値!$E$6,MATCH(TEXT(B280,"0"),TEXT(銘柄管理!$B$6:$B$305,"0"),0)-1,0,1,10)),""))</f>
        <v/>
      </c>
      <c r="Q280" s="113">
        <f t="array" ref="Q280">IF(B280="","",IFERROR(MIN(OFFSET(安値!$E$6,MATCH(TEXT(B280,"0"),TEXT(銘柄管理!$B$6:$B$305,"0"),0)-1,0,1,10)),""))</f>
        <v/>
      </c>
    </row>
    <row r="281" ht="17.25" customHeight="1" s="574">
      <c r="J281" s="113" t="n"/>
      <c r="P281" s="113">
        <f t="array" ref="P281">IF(B281="","",IFERROR(MAX(OFFSET(高値!$E$6,MATCH(TEXT(B281,"0"),TEXT(銘柄管理!$B$6:$B$305,"0"),0)-1,0,1,10)),""))</f>
        <v/>
      </c>
      <c r="Q281" s="113">
        <f t="array" ref="Q281">IF(B281="","",IFERROR(MIN(OFFSET(安値!$E$6,MATCH(TEXT(B281,"0"),TEXT(銘柄管理!$B$6:$B$305,"0"),0)-1,0,1,10)),""))</f>
        <v/>
      </c>
    </row>
    <row r="282" ht="17.25" customHeight="1" s="574">
      <c r="J282" s="113" t="n"/>
      <c r="P282" s="113">
        <f t="array" ref="P282">IF(B282="","",IFERROR(MAX(OFFSET(高値!$E$6,MATCH(TEXT(B282,"0"),TEXT(銘柄管理!$B$6:$B$305,"0"),0)-1,0,1,10)),""))</f>
        <v/>
      </c>
      <c r="Q282" s="113">
        <f t="array" ref="Q282">IF(B282="","",IFERROR(MIN(OFFSET(安値!$E$6,MATCH(TEXT(B282,"0"),TEXT(銘柄管理!$B$6:$B$305,"0"),0)-1,0,1,10)),""))</f>
        <v/>
      </c>
    </row>
    <row r="283" ht="17.25" customHeight="1" s="574">
      <c r="J283" s="113" t="n"/>
      <c r="P283" s="113">
        <f t="array" ref="P283">IF(B283="","",IFERROR(MAX(OFFSET(高値!$E$6,MATCH(TEXT(B283,"0"),TEXT(銘柄管理!$B$6:$B$305,"0"),0)-1,0,1,10)),""))</f>
        <v/>
      </c>
      <c r="Q283" s="113">
        <f t="array" ref="Q283">IF(B283="","",IFERROR(MIN(OFFSET(安値!$E$6,MATCH(TEXT(B283,"0"),TEXT(銘柄管理!$B$6:$B$305,"0"),0)-1,0,1,10)),""))</f>
        <v/>
      </c>
    </row>
    <row r="284" ht="17.25" customHeight="1" s="574">
      <c r="J284" s="113" t="n"/>
      <c r="P284" s="113">
        <f t="array" ref="P284">IF(B284="","",IFERROR(MAX(OFFSET(高値!$E$6,MATCH(TEXT(B284,"0"),TEXT(銘柄管理!$B$6:$B$305,"0"),0)-1,0,1,10)),""))</f>
        <v/>
      </c>
      <c r="Q284" s="113">
        <f t="array" ref="Q284">IF(B284="","",IFERROR(MIN(OFFSET(安値!$E$6,MATCH(TEXT(B284,"0"),TEXT(銘柄管理!$B$6:$B$305,"0"),0)-1,0,1,10)),""))</f>
        <v/>
      </c>
    </row>
    <row r="285" ht="17.25" customHeight="1" s="574">
      <c r="J285" s="113" t="n"/>
      <c r="P285" s="113">
        <f t="array" ref="P285">IF(B285="","",IFERROR(MAX(OFFSET(高値!$E$6,MATCH(TEXT(B285,"0"),TEXT(銘柄管理!$B$6:$B$305,"0"),0)-1,0,1,10)),""))</f>
        <v/>
      </c>
      <c r="Q285" s="113">
        <f t="array" ref="Q285">IF(B285="","",IFERROR(MIN(OFFSET(安値!$E$6,MATCH(TEXT(B285,"0"),TEXT(銘柄管理!$B$6:$B$305,"0"),0)-1,0,1,10)),""))</f>
        <v/>
      </c>
    </row>
    <row r="286" ht="17.25" customHeight="1" s="574">
      <c r="J286" s="113" t="n"/>
      <c r="P286" s="113">
        <f t="array" ref="P286">IF(B286="","",IFERROR(MAX(OFFSET(高値!$E$6,MATCH(TEXT(B286,"0"),TEXT(銘柄管理!$B$6:$B$305,"0"),0)-1,0,1,10)),""))</f>
        <v/>
      </c>
      <c r="Q286" s="113">
        <f t="array" ref="Q286">IF(B286="","",IFERROR(MIN(OFFSET(安値!$E$6,MATCH(TEXT(B286,"0"),TEXT(銘柄管理!$B$6:$B$305,"0"),0)-1,0,1,10)),""))</f>
        <v/>
      </c>
    </row>
    <row r="287" ht="17.25" customHeight="1" s="574">
      <c r="J287" s="113" t="n"/>
      <c r="P287" s="113">
        <f t="array" ref="P287">IF(B287="","",IFERROR(MAX(OFFSET(高値!$E$6,MATCH(TEXT(B287,"0"),TEXT(銘柄管理!$B$6:$B$305,"0"),0)-1,0,1,10)),""))</f>
        <v/>
      </c>
      <c r="Q287" s="113">
        <f t="array" ref="Q287">IF(B287="","",IFERROR(MIN(OFFSET(安値!$E$6,MATCH(TEXT(B287,"0"),TEXT(銘柄管理!$B$6:$B$305,"0"),0)-1,0,1,10)),""))</f>
        <v/>
      </c>
    </row>
    <row r="288" ht="17.25" customHeight="1" s="574">
      <c r="J288" s="113" t="n"/>
      <c r="P288" s="113">
        <f t="array" ref="P288">IF(B288="","",IFERROR(MAX(OFFSET(高値!$E$6,MATCH(TEXT(B288,"0"),TEXT(銘柄管理!$B$6:$B$305,"0"),0)-1,0,1,10)),""))</f>
        <v/>
      </c>
      <c r="Q288" s="113">
        <f t="array" ref="Q288">IF(B288="","",IFERROR(MIN(OFFSET(安値!$E$6,MATCH(TEXT(B288,"0"),TEXT(銘柄管理!$B$6:$B$305,"0"),0)-1,0,1,10)),""))</f>
        <v/>
      </c>
    </row>
    <row r="289" ht="17.25" customHeight="1" s="574">
      <c r="J289" s="113" t="n"/>
      <c r="P289" s="113">
        <f t="array" ref="P289">IF(B289="","",IFERROR(MAX(OFFSET(高値!$E$6,MATCH(TEXT(B289,"0"),TEXT(銘柄管理!$B$6:$B$305,"0"),0)-1,0,1,10)),""))</f>
        <v/>
      </c>
      <c r="Q289" s="113">
        <f t="array" ref="Q289">IF(B289="","",IFERROR(MIN(OFFSET(安値!$E$6,MATCH(TEXT(B289,"0"),TEXT(銘柄管理!$B$6:$B$305,"0"),0)-1,0,1,10)),""))</f>
        <v/>
      </c>
    </row>
    <row r="290" ht="17.25" customHeight="1" s="574">
      <c r="J290" s="113" t="n"/>
      <c r="P290" s="113">
        <f t="array" ref="P290">IF(B290="","",IFERROR(MAX(OFFSET(高値!$E$6,MATCH(TEXT(B290,"0"),TEXT(銘柄管理!$B$6:$B$305,"0"),0)-1,0,1,10)),""))</f>
        <v/>
      </c>
      <c r="Q290" s="113">
        <f t="array" ref="Q290">IF(B290="","",IFERROR(MIN(OFFSET(安値!$E$6,MATCH(TEXT(B290,"0"),TEXT(銘柄管理!$B$6:$B$305,"0"),0)-1,0,1,10)),""))</f>
        <v/>
      </c>
    </row>
    <row r="291" ht="17.25" customHeight="1" s="574">
      <c r="J291" s="113" t="n"/>
      <c r="P291" s="113">
        <f t="array" ref="P291">IF(B291="","",IFERROR(MAX(OFFSET(高値!$E$6,MATCH(TEXT(B291,"0"),TEXT(銘柄管理!$B$6:$B$305,"0"),0)-1,0,1,10)),""))</f>
        <v/>
      </c>
      <c r="Q291" s="113">
        <f t="array" ref="Q291">IF(B291="","",IFERROR(MIN(OFFSET(安値!$E$6,MATCH(TEXT(B291,"0"),TEXT(銘柄管理!$B$6:$B$305,"0"),0)-1,0,1,10)),""))</f>
        <v/>
      </c>
    </row>
    <row r="292" ht="17.25" customHeight="1" s="574">
      <c r="J292" s="113" t="n"/>
      <c r="P292" s="113">
        <f t="array" ref="P292">IF(B292="","",IFERROR(MAX(OFFSET(高値!$E$6,MATCH(TEXT(B292,"0"),TEXT(銘柄管理!$B$6:$B$305,"0"),0)-1,0,1,10)),""))</f>
        <v/>
      </c>
      <c r="Q292" s="113">
        <f t="array" ref="Q292">IF(B292="","",IFERROR(MIN(OFFSET(安値!$E$6,MATCH(TEXT(B292,"0"),TEXT(銘柄管理!$B$6:$B$305,"0"),0)-1,0,1,10)),""))</f>
        <v/>
      </c>
    </row>
    <row r="293" ht="17.25" customHeight="1" s="574">
      <c r="J293" s="113" t="n"/>
      <c r="P293" s="113">
        <f t="array" ref="P293">IF(B293="","",IFERROR(MAX(OFFSET(高値!$E$6,MATCH(TEXT(B293,"0"),TEXT(銘柄管理!$B$6:$B$305,"0"),0)-1,0,1,10)),""))</f>
        <v/>
      </c>
      <c r="Q293" s="113">
        <f t="array" ref="Q293">IF(B293="","",IFERROR(MIN(OFFSET(安値!$E$6,MATCH(TEXT(B293,"0"),TEXT(銘柄管理!$B$6:$B$305,"0"),0)-1,0,1,10)),""))</f>
        <v/>
      </c>
    </row>
    <row r="294" ht="17.25" customHeight="1" s="574">
      <c r="J294" s="113" t="n"/>
      <c r="P294" s="113">
        <f t="array" ref="P294">IF(B294="","",IFERROR(MAX(OFFSET(高値!$E$6,MATCH(TEXT(B294,"0"),TEXT(銘柄管理!$B$6:$B$305,"0"),0)-1,0,1,10)),""))</f>
        <v/>
      </c>
      <c r="Q294" s="113">
        <f t="array" ref="Q294">IF(B294="","",IFERROR(MIN(OFFSET(安値!$E$6,MATCH(TEXT(B294,"0"),TEXT(銘柄管理!$B$6:$B$305,"0"),0)-1,0,1,10)),""))</f>
        <v/>
      </c>
    </row>
    <row r="295" ht="17.25" customHeight="1" s="574">
      <c r="J295" s="113" t="n"/>
      <c r="P295" s="113">
        <f t="array" ref="P295">IF(B295="","",IFERROR(MAX(OFFSET(高値!$E$6,MATCH(TEXT(B295,"0"),TEXT(銘柄管理!$B$6:$B$305,"0"),0)-1,0,1,10)),""))</f>
        <v/>
      </c>
      <c r="Q295" s="113">
        <f t="array" ref="Q295">IF(B295="","",IFERROR(MIN(OFFSET(安値!$E$6,MATCH(TEXT(B295,"0"),TEXT(銘柄管理!$B$6:$B$305,"0"),0)-1,0,1,10)),""))</f>
        <v/>
      </c>
    </row>
    <row r="296" ht="17.25" customHeight="1" s="574">
      <c r="J296" s="113" t="n"/>
      <c r="P296" s="113">
        <f t="array" ref="P296">IF(B296="","",IFERROR(MAX(OFFSET(高値!$E$6,MATCH(TEXT(B296,"0"),TEXT(銘柄管理!$B$6:$B$305,"0"),0)-1,0,1,10)),""))</f>
        <v/>
      </c>
      <c r="Q296" s="113">
        <f t="array" ref="Q296">IF(B296="","",IFERROR(MIN(OFFSET(安値!$E$6,MATCH(TEXT(B296,"0"),TEXT(銘柄管理!$B$6:$B$305,"0"),0)-1,0,1,10)),""))</f>
        <v/>
      </c>
    </row>
    <row r="297" ht="17.25" customHeight="1" s="574">
      <c r="J297" s="113" t="n"/>
      <c r="P297" s="113">
        <f t="array" ref="P297">IF(B297="","",IFERROR(MAX(OFFSET(高値!$E$6,MATCH(TEXT(B297,"0"),TEXT(銘柄管理!$B$6:$B$305,"0"),0)-1,0,1,10)),""))</f>
        <v/>
      </c>
      <c r="Q297" s="113">
        <f t="array" ref="Q297">IF(B297="","",IFERROR(MIN(OFFSET(安値!$E$6,MATCH(TEXT(B297,"0"),TEXT(銘柄管理!$B$6:$B$305,"0"),0)-1,0,1,10)),""))</f>
        <v/>
      </c>
    </row>
    <row r="298" ht="17.25" customHeight="1" s="574">
      <c r="J298" s="113" t="n"/>
      <c r="P298" s="113">
        <f t="array" ref="P298">IF(B298="","",IFERROR(MAX(OFFSET(高値!$E$6,MATCH(TEXT(B298,"0"),TEXT(銘柄管理!$B$6:$B$305,"0"),0)-1,0,1,10)),""))</f>
        <v/>
      </c>
      <c r="Q298" s="113">
        <f t="array" ref="Q298">IF(B298="","",IFERROR(MIN(OFFSET(安値!$E$6,MATCH(TEXT(B298,"0"),TEXT(銘柄管理!$B$6:$B$305,"0"),0)-1,0,1,10)),""))</f>
        <v/>
      </c>
    </row>
    <row r="299" ht="17.25" customHeight="1" s="574">
      <c r="J299" s="113" t="n"/>
      <c r="P299" s="113">
        <f t="array" ref="P299">IF(B299="","",IFERROR(MAX(OFFSET(高値!$E$6,MATCH(TEXT(B299,"0"),TEXT(銘柄管理!$B$6:$B$305,"0"),0)-1,0,1,10)),""))</f>
        <v/>
      </c>
      <c r="Q299" s="113">
        <f t="array" ref="Q299">IF(B299="","",IFERROR(MIN(OFFSET(安値!$E$6,MATCH(TEXT(B299,"0"),TEXT(銘柄管理!$B$6:$B$305,"0"),0)-1,0,1,10)),""))</f>
        <v/>
      </c>
    </row>
    <row r="300" ht="17.25" customHeight="1" s="574">
      <c r="J300" s="113" t="n"/>
      <c r="P300" s="113">
        <f t="array" ref="P300">IF(B300="","",IFERROR(MAX(OFFSET(高値!$E$6,MATCH(TEXT(B300,"0"),TEXT(銘柄管理!$B$6:$B$305,"0"),0)-1,0,1,10)),""))</f>
        <v/>
      </c>
      <c r="Q300" s="113">
        <f t="array" ref="Q300">IF(B300="","",IFERROR(MIN(OFFSET(安値!$E$6,MATCH(TEXT(B300,"0"),TEXT(銘柄管理!$B$6:$B$305,"0"),0)-1,0,1,10)),""))</f>
        <v/>
      </c>
    </row>
    <row r="301" ht="17.25" customHeight="1" s="574">
      <c r="J301" s="113" t="n"/>
      <c r="P301" s="113">
        <f t="array" ref="P301">IF(B301="","",IFERROR(MAX(OFFSET(高値!$E$6,MATCH(TEXT(B301,"0"),TEXT(銘柄管理!$B$6:$B$305,"0"),0)-1,0,1,10)),""))</f>
        <v/>
      </c>
      <c r="Q301" s="113">
        <f t="array" ref="Q301">IF(B301="","",IFERROR(MIN(OFFSET(安値!$E$6,MATCH(TEXT(B301,"0"),TEXT(銘柄管理!$B$6:$B$305,"0"),0)-1,0,1,10)),""))</f>
        <v/>
      </c>
    </row>
    <row r="302" ht="17.25" customHeight="1" s="574">
      <c r="J302" s="113" t="n"/>
      <c r="P302" s="113">
        <f t="array" ref="P302">IF(B302="","",IFERROR(MAX(OFFSET(高値!$E$6,MATCH(TEXT(B302,"0"),TEXT(銘柄管理!$B$6:$B$305,"0"),0)-1,0,1,10)),""))</f>
        <v/>
      </c>
      <c r="Q302" s="113">
        <f t="array" ref="Q302">IF(B302="","",IFERROR(MIN(OFFSET(安値!$E$6,MATCH(TEXT(B302,"0"),TEXT(銘柄管理!$B$6:$B$305,"0"),0)-1,0,1,10)),""))</f>
        <v/>
      </c>
    </row>
    <row r="303" ht="17.25" customHeight="1" s="574">
      <c r="J303" s="113" t="n"/>
      <c r="P303" s="113">
        <f t="array" ref="P303">IF(B303="","",IFERROR(MAX(OFFSET(高値!$E$6,MATCH(TEXT(B303,"0"),TEXT(銘柄管理!$B$6:$B$305,"0"),0)-1,0,1,10)),""))</f>
        <v/>
      </c>
      <c r="Q303" s="113">
        <f t="array" ref="Q303">IF(B303="","",IFERROR(MIN(OFFSET(安値!$E$6,MATCH(TEXT(B303,"0"),TEXT(銘柄管理!$B$6:$B$305,"0"),0)-1,0,1,10)),""))</f>
        <v/>
      </c>
    </row>
    <row r="304" ht="17.25" customHeight="1" s="574">
      <c r="J304" s="113" t="n"/>
      <c r="P304" s="113">
        <f t="array" ref="P304">IF(B304="","",IFERROR(MAX(OFFSET(高値!$E$6,MATCH(TEXT(B304,"0"),TEXT(銘柄管理!$B$6:$B$305,"0"),0)-1,0,1,10)),""))</f>
        <v/>
      </c>
      <c r="Q304" s="113">
        <f t="array" ref="Q304">IF(B304="","",IFERROR(MIN(OFFSET(安値!$E$6,MATCH(TEXT(B304,"0"),TEXT(銘柄管理!$B$6:$B$305,"0"),0)-1,0,1,10)),""))</f>
        <v/>
      </c>
    </row>
    <row r="305" ht="17.25" customHeight="1" s="574">
      <c r="J305" s="113" t="n"/>
      <c r="P305" s="113">
        <f t="array" ref="P305">IF(B305="","",IFERROR(MAX(OFFSET(高値!$E$6,MATCH(TEXT(B305,"0"),TEXT(銘柄管理!$B$6:$B$305,"0"),0)-1,0,1,10)),""))</f>
        <v/>
      </c>
      <c r="Q305" s="113">
        <f t="array" ref="Q305">IF(B305="","",IFERROR(MIN(OFFSET(安値!$E$6,MATCH(TEXT(B305,"0"),TEXT(銘柄管理!$B$6:$B$305,"0"),0)-1,0,1,10)),""))</f>
        <v/>
      </c>
    </row>
    <row r="306" ht="17.25" customHeight="1" s="574">
      <c r="J306" s="113" t="n"/>
      <c r="P306" s="113">
        <f t="array" ref="P306">IF(B306="","",IFERROR(MAX(OFFSET(高値!$E$6,MATCH(TEXT(B306,"0"),TEXT(銘柄管理!$B$6:$B$305,"0"),0)-1,0,1,10)),""))</f>
        <v/>
      </c>
      <c r="Q306" s="113">
        <f t="array" ref="Q306">IF(B306="","",IFERROR(MIN(OFFSET(安値!$E$6,MATCH(TEXT(B306,"0"),TEXT(銘柄管理!$B$6:$B$305,"0"),0)-1,0,1,10)),""))</f>
        <v/>
      </c>
    </row>
    <row r="307" ht="17.25" customHeight="1" s="574">
      <c r="J307" s="113" t="n"/>
      <c r="P307" s="113">
        <f t="array" ref="P307">IF(B307="","",IFERROR(MAX(OFFSET(高値!$E$6,MATCH(TEXT(B307,"0"),TEXT(銘柄管理!$B$6:$B$305,"0"),0)-1,0,1,10)),""))</f>
        <v/>
      </c>
      <c r="Q307" s="113">
        <f t="array" ref="Q307">IF(B307="","",IFERROR(MIN(OFFSET(安値!$E$6,MATCH(TEXT(B307,"0"),TEXT(銘柄管理!$B$6:$B$305,"0"),0)-1,0,1,10)),""))</f>
        <v/>
      </c>
    </row>
    <row r="308" ht="17.25" customHeight="1" s="574">
      <c r="J308" s="113" t="n"/>
      <c r="P308" s="113">
        <f t="array" ref="P308">IF(B308="","",IFERROR(MAX(OFFSET(高値!$E$6,MATCH(TEXT(B308,"0"),TEXT(銘柄管理!$B$6:$B$305,"0"),0)-1,0,1,10)),""))</f>
        <v/>
      </c>
      <c r="Q308" s="113">
        <f t="array" ref="Q308">IF(B308="","",IFERROR(MIN(OFFSET(安値!$E$6,MATCH(TEXT(B308,"0"),TEXT(銘柄管理!$B$6:$B$305,"0"),0)-1,0,1,10)),""))</f>
        <v/>
      </c>
    </row>
    <row r="309" ht="17.25" customHeight="1" s="574">
      <c r="J309" s="113" t="n"/>
      <c r="P309" s="113">
        <f t="array" ref="P309">IF(B309="","",IFERROR(MAX(OFFSET(高値!$E$6,MATCH(TEXT(B309,"0"),TEXT(銘柄管理!$B$6:$B$305,"0"),0)-1,0,1,10)),""))</f>
        <v/>
      </c>
      <c r="Q309" s="113">
        <f t="array" ref="Q309">IF(B309="","",IFERROR(MIN(OFFSET(安値!$E$6,MATCH(TEXT(B309,"0"),TEXT(銘柄管理!$B$6:$B$305,"0"),0)-1,0,1,10)),""))</f>
        <v/>
      </c>
    </row>
    <row r="310" ht="17.25" customHeight="1" s="574">
      <c r="J310" s="113" t="n"/>
      <c r="P310" s="113">
        <f t="array" ref="P310">IF(B310="","",IFERROR(MAX(OFFSET(高値!$E$6,MATCH(TEXT(B310,"0"),TEXT(銘柄管理!$B$6:$B$305,"0"),0)-1,0,1,10)),""))</f>
        <v/>
      </c>
      <c r="Q310" s="113">
        <f t="array" ref="Q310">IF(B310="","",IFERROR(MIN(OFFSET(安値!$E$6,MATCH(TEXT(B310,"0"),TEXT(銘柄管理!$B$6:$B$305,"0"),0)-1,0,1,10)),""))</f>
        <v/>
      </c>
    </row>
    <row r="311" ht="17.25" customHeight="1" s="574">
      <c r="J311" s="113" t="n"/>
      <c r="P311" s="113">
        <f t="array" ref="P311">IF(B311="","",IFERROR(MAX(OFFSET(高値!$E$6,MATCH(TEXT(B311,"0"),TEXT(銘柄管理!$B$6:$B$305,"0"),0)-1,0,1,10)),""))</f>
        <v/>
      </c>
      <c r="Q311" s="113">
        <f>IF(B311="","",IFERROR(MIN(OFFSET(安値!$E$6,MATCH(B311,銘柄管理!$B$6:$B$305,0)-1,0,1,10)),""))</f>
        <v/>
      </c>
    </row>
    <row r="312" ht="17.25" customHeight="1" s="574">
      <c r="J312" s="113" t="n"/>
      <c r="P312" s="113">
        <f t="array" ref="P312">IF(B312="","",IFERROR(MAX(OFFSET(高値!$E$6,MATCH(TEXT(B312,"0"),TEXT(銘柄管理!$B$6:$B$305,"0"),0)-1,0,1,10)),""))</f>
        <v/>
      </c>
      <c r="Q312" s="113">
        <f>IF(B312="","",IFERROR(MIN(OFFSET(安値!$E$6,MATCH(B312,銘柄管理!$B$6:$B$305,0)-1,0,1,10)),""))</f>
        <v/>
      </c>
    </row>
    <row r="313" ht="17.25" customHeight="1" s="574">
      <c r="J313" s="113" t="n"/>
      <c r="P313" s="113">
        <f t="array" ref="P313">IF(B313="","",IFERROR(MAX(OFFSET(高値!$E$6,MATCH(TEXT(B313,"0"),TEXT(銘柄管理!$B$6:$B$305,"0"),0)-1,0,1,10)),""))</f>
        <v/>
      </c>
      <c r="Q313" s="113">
        <f>IF(B313="","",IFERROR(MIN(OFFSET(安値!$E$6,MATCH(B313,銘柄管理!$B$6:$B$305,0)-1,0,1,10)),""))</f>
        <v/>
      </c>
    </row>
    <row r="314" ht="17.25" customHeight="1" s="574">
      <c r="J314" s="113" t="n"/>
      <c r="P314" s="113">
        <f t="array" ref="P314">IF(B314="","",IFERROR(MAX(OFFSET(高値!$E$6,MATCH(TEXT(B314,"0"),TEXT(銘柄管理!$B$6:$B$305,"0"),0)-1,0,1,10)),""))</f>
        <v/>
      </c>
      <c r="Q314" s="113">
        <f>IF(B314="","",IFERROR(MIN(OFFSET(安値!$E$6,MATCH(B314,銘柄管理!$B$6:$B$305,0)-1,0,1,10)),""))</f>
        <v/>
      </c>
    </row>
    <row r="315" ht="17.25" customHeight="1" s="574">
      <c r="J315" s="113" t="n"/>
      <c r="P315" s="113">
        <f t="array" ref="P315">IF(B315="","",IFERROR(MAX(OFFSET(高値!$E$6,MATCH(TEXT(B315,"0"),TEXT(銘柄管理!$B$6:$B$305,"0"),0)-1,0,1,10)),""))</f>
        <v/>
      </c>
      <c r="Q315" s="113">
        <f>IF(B315="","",IFERROR(MIN(OFFSET(安値!$E$6,MATCH(B315,銘柄管理!$B$6:$B$305,0)-1,0,1,10)),""))</f>
        <v/>
      </c>
    </row>
    <row r="316" ht="17.25" customHeight="1" s="574">
      <c r="J316" s="113" t="n"/>
      <c r="P316" s="113">
        <f t="array" ref="P316">IF(B316="","",IFERROR(MAX(OFFSET(高値!$E$6,MATCH(TEXT(B316,"0"),TEXT(銘柄管理!$B$6:$B$305,"0"),0)-1,0,1,10)),""))</f>
        <v/>
      </c>
      <c r="Q316" s="113">
        <f>IF(B316="","",IFERROR(MIN(OFFSET(安値!$E$6,MATCH(B316,銘柄管理!$B$6:$B$305,0)-1,0,1,10)),""))</f>
        <v/>
      </c>
    </row>
    <row r="317" ht="17.25" customHeight="1" s="574">
      <c r="J317" s="113" t="n"/>
      <c r="P317" s="113">
        <f t="array" ref="P317">IF(B317="","",IFERROR(MAX(OFFSET(高値!$E$6,MATCH(TEXT(B317,"0"),TEXT(銘柄管理!$B$6:$B$305,"0"),0)-1,0,1,10)),""))</f>
        <v/>
      </c>
      <c r="Q317" s="113">
        <f>IF(B317="","",IFERROR(MIN(OFFSET(安値!$E$6,MATCH(B317,銘柄管理!$B$6:$B$305,0)-1,0,1,10)),""))</f>
        <v/>
      </c>
    </row>
    <row r="318" ht="17.25" customHeight="1" s="574">
      <c r="J318" s="113" t="n"/>
      <c r="P318" s="113">
        <f t="array" ref="P318">IF(B318="","",IFERROR(MAX(OFFSET(高値!$E$6,MATCH(TEXT(B318,"0"),TEXT(銘柄管理!$B$6:$B$305,"0"),0)-1,0,1,10)),""))</f>
        <v/>
      </c>
      <c r="Q318" s="113">
        <f>IF(B318="","",IFERROR(MIN(OFFSET(安値!$E$6,MATCH(B318,銘柄管理!$B$6:$B$305,0)-1,0,1,10)),""))</f>
        <v/>
      </c>
    </row>
    <row r="319" ht="17.25" customHeight="1" s="574">
      <c r="J319" s="113" t="n"/>
      <c r="P319" s="113">
        <f t="array" ref="P319">IF(B319="","",IFERROR(MAX(OFFSET(高値!$E$6,MATCH(TEXT(B319,"0"),TEXT(銘柄管理!$B$6:$B$305,"0"),0)-1,0,1,10)),""))</f>
        <v/>
      </c>
      <c r="Q319" s="113">
        <f>IF(B319="","",IFERROR(MIN(OFFSET(安値!$E$6,MATCH(B319,銘柄管理!$B$6:$B$305,0)-1,0,1,10)),""))</f>
        <v/>
      </c>
    </row>
    <row r="320" ht="17.25" customHeight="1" s="574">
      <c r="J320" s="113" t="n"/>
      <c r="P320" s="113">
        <f t="array" ref="P320">IF(B320="","",IFERROR(MAX(OFFSET(高値!$E$6,MATCH(TEXT(B320,"0"),TEXT(銘柄管理!$B$6:$B$305,"0"),0)-1,0,1,10)),""))</f>
        <v/>
      </c>
      <c r="Q320" s="113">
        <f>IF(B320="","",IFERROR(MIN(OFFSET(安値!$E$6,MATCH(B320,銘柄管理!$B$6:$B$305,0)-1,0,1,10)),""))</f>
        <v/>
      </c>
    </row>
    <row r="321" ht="17.25" customHeight="1" s="574">
      <c r="J321" s="113" t="n"/>
      <c r="P321" s="113">
        <f t="array" ref="P321">IF(B321="","",IFERROR(MAX(OFFSET(高値!$E$6,MATCH(TEXT(B321,"0"),TEXT(銘柄管理!$B$6:$B$305,"0"),0)-1,0,1,10)),""))</f>
        <v/>
      </c>
      <c r="Q321" s="113">
        <f>IF(B321="","",IFERROR(MIN(OFFSET(安値!$E$6,MATCH(B321,銘柄管理!$B$6:$B$305,0)-1,0,1,10)),""))</f>
        <v/>
      </c>
    </row>
    <row r="322" ht="17.25" customHeight="1" s="574">
      <c r="J322" s="113" t="n"/>
      <c r="P322" s="113">
        <f t="array" ref="P322">IF(B322="","",IFERROR(MAX(OFFSET(高値!$E$6,MATCH(TEXT(B322,"0"),TEXT(銘柄管理!$B$6:$B$305,"0"),0)-1,0,1,10)),""))</f>
        <v/>
      </c>
      <c r="Q322" s="113">
        <f>IF(B322="","",IFERROR(MIN(OFFSET(安値!$E$6,MATCH(B322,銘柄管理!$B$6:$B$305,0)-1,0,1,10)),""))</f>
        <v/>
      </c>
    </row>
    <row r="323" ht="17.25" customHeight="1" s="574">
      <c r="J323" s="113" t="n"/>
      <c r="P323" s="113">
        <f t="array" ref="P323">IF(B323="","",IFERROR(MAX(OFFSET(高値!$E$6,MATCH(TEXT(B323,"0"),TEXT(銘柄管理!$B$6:$B$305,"0"),0)-1,0,1,10)),""))</f>
        <v/>
      </c>
      <c r="Q323" s="113">
        <f>IF(B323="","",IFERROR(MIN(OFFSET(安値!$E$6,MATCH(B323,銘柄管理!$B$6:$B$305,0)-1,0,1,10)),""))</f>
        <v/>
      </c>
    </row>
    <row r="324" ht="17.25" customHeight="1" s="574">
      <c r="J324" s="113" t="n"/>
      <c r="P324" s="113">
        <f t="array" ref="P324">IF(B324="","",IFERROR(MAX(OFFSET(高値!$E$6,MATCH(TEXT(B324,"0"),TEXT(銘柄管理!$B$6:$B$305,"0"),0)-1,0,1,10)),""))</f>
        <v/>
      </c>
      <c r="Q324" s="113">
        <f>IF(B324="","",IFERROR(MIN(OFFSET(安値!$E$6,MATCH(B324,銘柄管理!$B$6:$B$305,0)-1,0,1,10)),""))</f>
        <v/>
      </c>
    </row>
    <row r="325" ht="17.25" customHeight="1" s="574">
      <c r="J325" s="113" t="n"/>
      <c r="P325" s="113">
        <f t="array" ref="P325">IF(B325="","",IFERROR(MAX(OFFSET(高値!$E$6,MATCH(TEXT(B325,"0"),TEXT(銘柄管理!$B$6:$B$305,"0"),0)-1,0,1,10)),""))</f>
        <v/>
      </c>
      <c r="Q325" s="113">
        <f>IF(B325="","",IFERROR(MIN(OFFSET(安値!$E$6,MATCH(B325,銘柄管理!$B$6:$B$305,0)-1,0,1,10)),""))</f>
        <v/>
      </c>
    </row>
    <row r="326" ht="17.25" customHeight="1" s="574">
      <c r="J326" s="113" t="n"/>
      <c r="P326" s="113">
        <f t="array" ref="P326">IF(B326="","",IFERROR(MAX(OFFSET(高値!$E$6,MATCH(TEXT(B326,"0"),TEXT(銘柄管理!$B$6:$B$305,"0"),0)-1,0,1,10)),""))</f>
        <v/>
      </c>
      <c r="Q326" s="113">
        <f>IF(B326="","",IFERROR(MIN(OFFSET(安値!$E$6,MATCH(B326,銘柄管理!$B$6:$B$305,0)-1,0,1,10)),""))</f>
        <v/>
      </c>
    </row>
    <row r="327" ht="17.25" customHeight="1" s="574">
      <c r="J327" s="113" t="n"/>
      <c r="P327" s="113">
        <f t="array" ref="P327">IF(B327="","",IFERROR(MAX(OFFSET(高値!$E$6,MATCH(TEXT(B327,"0"),TEXT(銘柄管理!$B$6:$B$305,"0"),0)-1,0,1,10)),""))</f>
        <v/>
      </c>
      <c r="Q327" s="113">
        <f>IF(B327="","",IFERROR(MIN(OFFSET(安値!$E$6,MATCH(B327,銘柄管理!$B$6:$B$305,0)-1,0,1,10)),""))</f>
        <v/>
      </c>
    </row>
    <row r="328" ht="17.25" customHeight="1" s="574">
      <c r="J328" s="113" t="n"/>
      <c r="P328" s="113">
        <f t="array" ref="P328">IF(B328="","",IFERROR(MAX(OFFSET(高値!$E$6,MATCH(TEXT(B328,"0"),TEXT(銘柄管理!$B$6:$B$305,"0"),0)-1,0,1,10)),""))</f>
        <v/>
      </c>
      <c r="Q328" s="113">
        <f>IF(B328="","",IFERROR(MIN(OFFSET(安値!$E$6,MATCH(B328,銘柄管理!$B$6:$B$305,0)-1,0,1,10)),""))</f>
        <v/>
      </c>
    </row>
    <row r="329" ht="17.25" customHeight="1" s="574">
      <c r="J329" s="113" t="n"/>
      <c r="P329" s="113">
        <f t="array" ref="P329">IF(B329="","",IFERROR(MAX(OFFSET(高値!$E$6,MATCH(TEXT(B329,"0"),TEXT(銘柄管理!$B$6:$B$305,"0"),0)-1,0,1,10)),""))</f>
        <v/>
      </c>
      <c r="Q329" s="113">
        <f>IF(B329="","",IFERROR(MIN(OFFSET(安値!$E$6,MATCH(B329,銘柄管理!$B$6:$B$305,0)-1,0,1,10)),""))</f>
        <v/>
      </c>
    </row>
    <row r="330" ht="17.25" customHeight="1" s="574">
      <c r="J330" s="113" t="n"/>
      <c r="P330" s="113">
        <f t="array" ref="P330">IF(B330="","",IFERROR(MAX(OFFSET(高値!$E$6,MATCH(TEXT(B330,"0"),TEXT(銘柄管理!$B$6:$B$305,"0"),0)-1,0,1,10)),""))</f>
        <v/>
      </c>
      <c r="Q330" s="113">
        <f>IF(B330="","",IFERROR(MIN(OFFSET(安値!$E$6,MATCH(B330,銘柄管理!$B$6:$B$305,0)-1,0,1,10)),""))</f>
        <v/>
      </c>
    </row>
    <row r="331" ht="17.25" customHeight="1" s="574">
      <c r="J331" s="113" t="n"/>
      <c r="P331" s="113">
        <f t="array" ref="P331">IF(B331="","",IFERROR(MAX(OFFSET(高値!$E$6,MATCH(TEXT(B331,"0"),TEXT(銘柄管理!$B$6:$B$305,"0"),0)-1,0,1,10)),""))</f>
        <v/>
      </c>
      <c r="Q331" s="113">
        <f>IF(B331="","",IFERROR(MIN(OFFSET(安値!$E$6,MATCH(B331,銘柄管理!$B$6:$B$305,0)-1,0,1,10)),""))</f>
        <v/>
      </c>
    </row>
    <row r="332" ht="17.25" customHeight="1" s="574">
      <c r="J332" s="113" t="n"/>
      <c r="P332" s="113">
        <f t="array" ref="P332">IF(B332="","",IFERROR(MAX(OFFSET(高値!$E$6,MATCH(TEXT(B332,"0"),TEXT(銘柄管理!$B$6:$B$305,"0"),0)-1,0,1,10)),""))</f>
        <v/>
      </c>
      <c r="Q332" s="113">
        <f>IF(B332="","",IFERROR(MIN(OFFSET(安値!$E$6,MATCH(B332,銘柄管理!$B$6:$B$305,0)-1,0,1,10)),""))</f>
        <v/>
      </c>
    </row>
    <row r="333" ht="17.25" customHeight="1" s="574">
      <c r="J333" s="113" t="n"/>
      <c r="P333" s="113">
        <f t="array" ref="P333">IF(B333="","",IFERROR(MAX(OFFSET(高値!$E$6,MATCH(TEXT(B333,"0"),TEXT(銘柄管理!$B$6:$B$305,"0"),0)-1,0,1,10)),""))</f>
        <v/>
      </c>
      <c r="Q333" s="113">
        <f>IF(B333="","",IFERROR(MIN(OFFSET(安値!$E$6,MATCH(B333,銘柄管理!$B$6:$B$305,0)-1,0,1,10)),""))</f>
        <v/>
      </c>
    </row>
    <row r="334" ht="17.25" customHeight="1" s="574">
      <c r="J334" s="113" t="n"/>
      <c r="P334" s="113">
        <f t="array" ref="P334">IF(B334="","",IFERROR(MAX(OFFSET(高値!$E$6,MATCH(TEXT(B334,"0"),TEXT(銘柄管理!$B$6:$B$305,"0"),0)-1,0,1,10)),""))</f>
        <v/>
      </c>
      <c r="Q334" s="113">
        <f>IF(B334="","",IFERROR(MIN(OFFSET(安値!$E$6,MATCH(B334,銘柄管理!$B$6:$B$305,0)-1,0,1,10)),""))</f>
        <v/>
      </c>
    </row>
    <row r="335" ht="17.25" customHeight="1" s="574">
      <c r="J335" s="113" t="n"/>
      <c r="P335" s="113">
        <f t="array" ref="P335">IF(B335="","",IFERROR(MAX(OFFSET(高値!$E$6,MATCH(TEXT(B335,"0"),TEXT(銘柄管理!$B$6:$B$305,"0"),0)-1,0,1,10)),""))</f>
        <v/>
      </c>
      <c r="Q335" s="113">
        <f>IF(B335="","",IFERROR(MIN(OFFSET(安値!$E$6,MATCH(B335,銘柄管理!$B$6:$B$305,0)-1,0,1,10)),""))</f>
        <v/>
      </c>
    </row>
    <row r="336" ht="17.25" customHeight="1" s="574">
      <c r="J336" s="113" t="n"/>
      <c r="P336" s="113">
        <f t="array" ref="P336">IF(B336="","",IFERROR(MAX(OFFSET(高値!$E$6,MATCH(TEXT(B336,"0"),TEXT(銘柄管理!$B$6:$B$305,"0"),0)-1,0,1,10)),""))</f>
        <v/>
      </c>
      <c r="Q336" s="113">
        <f>IF(B336="","",IFERROR(MIN(OFFSET(安値!$E$6,MATCH(B336,銘柄管理!$B$6:$B$305,0)-1,0,1,10)),""))</f>
        <v/>
      </c>
    </row>
    <row r="337" ht="17.25" customHeight="1" s="574">
      <c r="J337" s="113" t="n"/>
      <c r="P337" s="113">
        <f t="array" ref="P337">IF(B337="","",IFERROR(MAX(OFFSET(高値!$E$6,MATCH(TEXT(B337,"0"),TEXT(銘柄管理!$B$6:$B$305,"0"),0)-1,0,1,10)),""))</f>
        <v/>
      </c>
      <c r="Q337" s="113">
        <f>IF(B337="","",IFERROR(MIN(OFFSET(安値!$E$6,MATCH(B337,銘柄管理!$B$6:$B$305,0)-1,0,1,10)),""))</f>
        <v/>
      </c>
    </row>
    <row r="338" ht="17.25" customHeight="1" s="574">
      <c r="J338" s="113" t="n"/>
      <c r="P338" s="113">
        <f t="array" ref="P338">IF(B338="","",IFERROR(MAX(OFFSET(高値!$E$6,MATCH(TEXT(B338,"0"),TEXT(銘柄管理!$B$6:$B$305,"0"),0)-1,0,1,10)),""))</f>
        <v/>
      </c>
      <c r="Q338" s="113">
        <f>IF(B338="","",IFERROR(MIN(OFFSET(安値!$E$6,MATCH(B338,銘柄管理!$B$6:$B$305,0)-1,0,1,10)),""))</f>
        <v/>
      </c>
    </row>
    <row r="339" ht="17.25" customHeight="1" s="574">
      <c r="J339" s="113" t="n"/>
      <c r="P339" s="113">
        <f t="array" ref="P339">IF(B339="","",IFERROR(MAX(OFFSET(高値!$E$6,MATCH(TEXT(B339,"0"),TEXT(銘柄管理!$B$6:$B$305,"0"),0)-1,0,1,10)),""))</f>
        <v/>
      </c>
      <c r="Q339" s="113">
        <f>IF(B339="","",IFERROR(MIN(OFFSET(安値!$E$6,MATCH(B339,銘柄管理!$B$6:$B$305,0)-1,0,1,10)),""))</f>
        <v/>
      </c>
    </row>
    <row r="340" ht="17.25" customHeight="1" s="574">
      <c r="J340" s="113" t="n"/>
      <c r="P340" s="113">
        <f t="array" ref="P340">IF(B340="","",IFERROR(MAX(OFFSET(高値!$E$6,MATCH(TEXT(B340,"0"),TEXT(銘柄管理!$B$6:$B$305,"0"),0)-1,0,1,10)),""))</f>
        <v/>
      </c>
      <c r="Q340" s="113">
        <f>IF(B340="","",IFERROR(MIN(OFFSET(安値!$E$6,MATCH(B340,銘柄管理!$B$6:$B$305,0)-1,0,1,10)),""))</f>
        <v/>
      </c>
    </row>
    <row r="341" ht="17.25" customHeight="1" s="574">
      <c r="J341" s="113" t="n"/>
      <c r="P341" s="113">
        <f t="array" ref="P341">IF(B341="","",IFERROR(MAX(OFFSET(高値!$E$6,MATCH(TEXT(B341,"0"),TEXT(銘柄管理!$B$6:$B$305,"0"),0)-1,0,1,10)),""))</f>
        <v/>
      </c>
      <c r="Q341" s="113">
        <f>IF(B341="","",IFERROR(MIN(OFFSET(安値!$E$6,MATCH(B341,銘柄管理!$B$6:$B$305,0)-1,0,1,10)),""))</f>
        <v/>
      </c>
    </row>
    <row r="342" ht="17.25" customHeight="1" s="574">
      <c r="J342" s="113" t="n"/>
      <c r="P342" s="113">
        <f t="array" ref="P342">IF(B342="","",IFERROR(MAX(OFFSET(高値!$E$6,MATCH(TEXT(B342,"0"),TEXT(銘柄管理!$B$6:$B$305,"0"),0)-1,0,1,10)),""))</f>
        <v/>
      </c>
      <c r="Q342" s="113">
        <f>IF(B342="","",IFERROR(MIN(OFFSET(安値!$E$6,MATCH(B342,銘柄管理!$B$6:$B$305,0)-1,0,1,10)),""))</f>
        <v/>
      </c>
    </row>
    <row r="343" ht="17.25" customHeight="1" s="574">
      <c r="J343" s="113" t="n"/>
      <c r="P343" s="113">
        <f t="array" ref="P343">IF(B343="","",IFERROR(MAX(OFFSET(高値!$E$6,MATCH(TEXT(B343,"0"),TEXT(銘柄管理!$B$6:$B$305,"0"),0)-1,0,1,10)),""))</f>
        <v/>
      </c>
      <c r="Q343" s="113">
        <f>IF(B343="","",IFERROR(MIN(OFFSET(安値!$E$6,MATCH(B343,銘柄管理!$B$6:$B$305,0)-1,0,1,10)),""))</f>
        <v/>
      </c>
    </row>
    <row r="344" ht="17.25" customHeight="1" s="574">
      <c r="J344" s="113" t="n"/>
      <c r="P344" s="113">
        <f t="array" ref="P344">IF(B344="","",IFERROR(MAX(OFFSET(高値!$E$6,MATCH(TEXT(B344,"0"),TEXT(銘柄管理!$B$6:$B$305,"0"),0)-1,0,1,10)),""))</f>
        <v/>
      </c>
      <c r="Q344" s="113">
        <f>IF(B344="","",IFERROR(MIN(OFFSET(安値!$E$6,MATCH(B344,銘柄管理!$B$6:$B$305,0)-1,0,1,10)),""))</f>
        <v/>
      </c>
    </row>
    <row r="345" ht="17.25" customHeight="1" s="574">
      <c r="J345" s="113" t="n"/>
      <c r="P345" s="113">
        <f t="array" ref="P345">IF(B345="","",IFERROR(MAX(OFFSET(高値!$E$6,MATCH(TEXT(B345,"0"),TEXT(銘柄管理!$B$6:$B$305,"0"),0)-1,0,1,10)),""))</f>
        <v/>
      </c>
      <c r="Q345" s="113">
        <f>IF(B345="","",IFERROR(MIN(OFFSET(安値!$E$6,MATCH(B345,銘柄管理!$B$6:$B$305,0)-1,0,1,10)),""))</f>
        <v/>
      </c>
    </row>
    <row r="346" ht="17.25" customHeight="1" s="574">
      <c r="J346" s="113" t="n"/>
      <c r="P346" s="113">
        <f t="array" ref="P346">IF(B346="","",IFERROR(MAX(OFFSET(高値!$E$6,MATCH(TEXT(B346,"0"),TEXT(銘柄管理!$B$6:$B$305,"0"),0)-1,0,1,10)),""))</f>
        <v/>
      </c>
      <c r="Q346" s="113">
        <f>IF(B346="","",IFERROR(MIN(OFFSET(安値!$E$6,MATCH(B346,銘柄管理!$B$6:$B$305,0)-1,0,1,10)),""))</f>
        <v/>
      </c>
    </row>
    <row r="347" ht="17.25" customHeight="1" s="574">
      <c r="J347" s="113" t="n"/>
      <c r="P347" s="113">
        <f t="array" ref="P347">IF(B347="","",IFERROR(MAX(OFFSET(高値!$E$6,MATCH(TEXT(B347,"0"),TEXT(銘柄管理!$B$6:$B$305,"0"),0)-1,0,1,10)),""))</f>
        <v/>
      </c>
      <c r="Q347" s="113">
        <f>IF(B347="","",IFERROR(MIN(OFFSET(安値!$E$6,MATCH(B347,銘柄管理!$B$6:$B$305,0)-1,0,1,10)),""))</f>
        <v/>
      </c>
    </row>
    <row r="348" ht="17.25" customHeight="1" s="574">
      <c r="J348" s="113" t="n"/>
      <c r="P348" s="113">
        <f t="array" ref="P348">IF(B348="","",IFERROR(MAX(OFFSET(高値!$E$6,MATCH(TEXT(B348,"0"),TEXT(銘柄管理!$B$6:$B$305,"0"),0)-1,0,1,10)),""))</f>
        <v/>
      </c>
      <c r="Q348" s="113">
        <f>IF(B348="","",IFERROR(MIN(OFFSET(安値!$E$6,MATCH(B348,銘柄管理!$B$6:$B$305,0)-1,0,1,10)),""))</f>
        <v/>
      </c>
    </row>
    <row r="349" ht="17.25" customHeight="1" s="574">
      <c r="J349" s="113" t="n"/>
      <c r="P349" s="113">
        <f t="array" ref="P349">IF(B349="","",IFERROR(MAX(OFFSET(高値!$E$6,MATCH(TEXT(B349,"0"),TEXT(銘柄管理!$B$6:$B$305,"0"),0)-1,0,1,10)),""))</f>
        <v/>
      </c>
      <c r="Q349" s="113">
        <f>IF(B349="","",IFERROR(MIN(OFFSET(安値!$E$6,MATCH(B349,銘柄管理!$B$6:$B$305,0)-1,0,1,10)),""))</f>
        <v/>
      </c>
    </row>
    <row r="350" ht="17.25" customHeight="1" s="574">
      <c r="J350" s="113" t="n"/>
      <c r="P350" s="113">
        <f t="array" ref="P350">IF(B350="","",IFERROR(MAX(OFFSET(高値!$E$6,MATCH(TEXT(B350,"0"),TEXT(銘柄管理!$B$6:$B$305,"0"),0)-1,0,1,10)),""))</f>
        <v/>
      </c>
      <c r="Q350" s="113">
        <f>IF(B350="","",IFERROR(MIN(OFFSET(安値!$E$6,MATCH(B350,銘柄管理!$B$6:$B$305,0)-1,0,1,10)),""))</f>
        <v/>
      </c>
    </row>
    <row r="351" ht="17.25" customHeight="1" s="574">
      <c r="J351" s="113" t="n"/>
      <c r="P351" s="113">
        <f t="array" ref="P351">IF(B351="","",IFERROR(MAX(OFFSET(高値!$E$6,MATCH(TEXT(B351,"0"),TEXT(銘柄管理!$B$6:$B$305,"0"),0)-1,0,1,10)),""))</f>
        <v/>
      </c>
      <c r="Q351" s="113">
        <f>IF(B351="","",IFERROR(MIN(OFFSET(安値!$E$6,MATCH(B351,銘柄管理!$B$6:$B$305,0)-1,0,1,10)),""))</f>
        <v/>
      </c>
    </row>
    <row r="352" ht="17.25" customHeight="1" s="574">
      <c r="J352" s="113" t="n"/>
      <c r="P352" s="113">
        <f t="array" ref="P352">IF(B352="","",IFERROR(MAX(OFFSET(高値!$E$6,MATCH(TEXT(B352,"0"),TEXT(銘柄管理!$B$6:$B$305,"0"),0)-1,0,1,10)),""))</f>
        <v/>
      </c>
      <c r="Q352" s="113">
        <f>IF(B352="","",IFERROR(MIN(OFFSET(安値!$E$6,MATCH(B352,銘柄管理!$B$6:$B$305,0)-1,0,1,10)),""))</f>
        <v/>
      </c>
    </row>
    <row r="353" ht="17.25" customHeight="1" s="574">
      <c r="J353" s="113" t="n"/>
      <c r="P353" s="113">
        <f t="array" ref="P353">IF(B353="","",IFERROR(MAX(OFFSET(高値!$E$6,MATCH(TEXT(B353,"0"),TEXT(銘柄管理!$B$6:$B$305,"0"),0)-1,0,1,10)),""))</f>
        <v/>
      </c>
      <c r="Q353" s="113">
        <f>IF(B353="","",IFERROR(MIN(OFFSET(安値!$E$6,MATCH(B353,銘柄管理!$B$6:$B$305,0)-1,0,1,10)),""))</f>
        <v/>
      </c>
    </row>
    <row r="354" ht="17.25" customHeight="1" s="574">
      <c r="J354" s="113" t="n"/>
      <c r="P354" s="113">
        <f t="array" ref="P354">IF(B354="","",IFERROR(MAX(OFFSET(高値!$E$6,MATCH(TEXT(B354,"0"),TEXT(銘柄管理!$B$6:$B$305,"0"),0)-1,0,1,10)),""))</f>
        <v/>
      </c>
      <c r="Q354" s="113">
        <f>IF(B354="","",IFERROR(MIN(OFFSET(安値!$E$6,MATCH(B354,銘柄管理!$B$6:$B$305,0)-1,0,1,10)),""))</f>
        <v/>
      </c>
    </row>
    <row r="355" ht="17.25" customHeight="1" s="574">
      <c r="J355" s="113" t="n"/>
      <c r="P355" s="113">
        <f t="array" ref="P355">IF(B355="","",IFERROR(MAX(OFFSET(高値!$E$6,MATCH(TEXT(B355,"0"),TEXT(銘柄管理!$B$6:$B$305,"0"),0)-1,0,1,10)),""))</f>
        <v/>
      </c>
      <c r="Q355" s="113">
        <f>IF(B355="","",IFERROR(MIN(OFFSET(安値!$E$6,MATCH(B355,銘柄管理!$B$6:$B$305,0)-1,0,1,10)),""))</f>
        <v/>
      </c>
    </row>
    <row r="356" ht="17.25" customHeight="1" s="574">
      <c r="J356" s="113" t="n"/>
      <c r="P356" s="113">
        <f t="array" ref="P356">IF(B356="","",IFERROR(MAX(OFFSET(高値!$E$6,MATCH(TEXT(B356,"0"),TEXT(銘柄管理!$B$6:$B$305,"0"),0)-1,0,1,10)),""))</f>
        <v/>
      </c>
      <c r="Q356" s="113">
        <f>IF(B356="","",IFERROR(MIN(OFFSET(安値!$E$6,MATCH(B356,銘柄管理!$B$6:$B$305,0)-1,0,1,10)),""))</f>
        <v/>
      </c>
    </row>
    <row r="357" ht="17.25" customHeight="1" s="574">
      <c r="J357" s="113" t="n"/>
      <c r="P357" s="113">
        <f t="array" ref="P357">IF(B357="","",IFERROR(MAX(OFFSET(高値!$E$6,MATCH(TEXT(B357,"0"),TEXT(銘柄管理!$B$6:$B$305,"0"),0)-1,0,1,10)),""))</f>
        <v/>
      </c>
      <c r="Q357" s="113">
        <f>IF(B357="","",IFERROR(MIN(OFFSET(安値!$E$6,MATCH(B357,銘柄管理!$B$6:$B$305,0)-1,0,1,10)),""))</f>
        <v/>
      </c>
    </row>
    <row r="358" ht="17.25" customHeight="1" s="574">
      <c r="J358" s="113" t="n"/>
      <c r="P358" s="113">
        <f t="array" ref="P358">IF(B358="","",IFERROR(MAX(OFFSET(高値!$E$6,MATCH(TEXT(B358,"0"),TEXT(銘柄管理!$B$6:$B$305,"0"),0)-1,0,1,10)),""))</f>
        <v/>
      </c>
      <c r="Q358" s="113">
        <f>IF(B358="","",IFERROR(MIN(OFFSET(安値!$E$6,MATCH(B358,銘柄管理!$B$6:$B$305,0)-1,0,1,10)),""))</f>
        <v/>
      </c>
    </row>
    <row r="359" ht="17.25" customHeight="1" s="574">
      <c r="J359" s="113" t="n"/>
      <c r="P359" s="113">
        <f t="array" ref="P359">IF(B359="","",IFERROR(MAX(OFFSET(高値!$E$6,MATCH(TEXT(B359,"0"),TEXT(銘柄管理!$B$6:$B$305,"0"),0)-1,0,1,10)),""))</f>
        <v/>
      </c>
      <c r="Q359" s="113">
        <f>IF(B359="","",IFERROR(MIN(OFFSET(安値!$E$6,MATCH(B359,銘柄管理!$B$6:$B$305,0)-1,0,1,10)),""))</f>
        <v/>
      </c>
    </row>
    <row r="360" ht="17.25" customHeight="1" s="574">
      <c r="J360" s="113" t="n"/>
      <c r="P360" s="113">
        <f t="array" ref="P360">IF(B360="","",IFERROR(MAX(OFFSET(高値!$E$6,MATCH(TEXT(B360,"0"),TEXT(銘柄管理!$B$6:$B$305,"0"),0)-1,0,1,10)),""))</f>
        <v/>
      </c>
      <c r="Q360" s="113">
        <f>IF(B360="","",IFERROR(MIN(OFFSET(安値!$E$6,MATCH(B360,銘柄管理!$B$6:$B$305,0)-1,0,1,10)),""))</f>
        <v/>
      </c>
    </row>
    <row r="361" ht="17.25" customHeight="1" s="574">
      <c r="J361" s="113" t="n"/>
      <c r="P361" s="113">
        <f t="array" ref="P361">IF(B361="","",IFERROR(MAX(OFFSET(高値!$E$6,MATCH(TEXT(B361,"0"),TEXT(銘柄管理!$B$6:$B$305,"0"),0)-1,0,1,10)),""))</f>
        <v/>
      </c>
      <c r="Q361" s="113">
        <f>IF(B361="","",IFERROR(MIN(OFFSET(安値!$E$6,MATCH(B361,銘柄管理!$B$6:$B$305,0)-1,0,1,10)),""))</f>
        <v/>
      </c>
    </row>
    <row r="362" ht="17.25" customHeight="1" s="574">
      <c r="J362" s="113" t="n"/>
      <c r="P362" s="113">
        <f t="array" ref="P362">IF(B362="","",IFERROR(MAX(OFFSET(高値!$E$6,MATCH(TEXT(B362,"0"),TEXT(銘柄管理!$B$6:$B$305,"0"),0)-1,0,1,10)),""))</f>
        <v/>
      </c>
      <c r="Q362" s="113">
        <f>IF(B362="","",IFERROR(MIN(OFFSET(安値!$E$6,MATCH(B362,銘柄管理!$B$6:$B$305,0)-1,0,1,10)),""))</f>
        <v/>
      </c>
    </row>
    <row r="363" ht="17.25" customHeight="1" s="574">
      <c r="J363" s="113" t="n"/>
      <c r="P363" s="113">
        <f t="array" ref="P363">IF(B363="","",IFERROR(MAX(OFFSET(高値!$E$6,MATCH(TEXT(B363,"0"),TEXT(銘柄管理!$B$6:$B$305,"0"),0)-1,0,1,10)),""))</f>
        <v/>
      </c>
      <c r="Q363" s="113">
        <f>IF(B363="","",IFERROR(MIN(OFFSET(安値!$E$6,MATCH(B363,銘柄管理!$B$6:$B$305,0)-1,0,1,10)),""))</f>
        <v/>
      </c>
    </row>
    <row r="364" ht="17.25" customHeight="1" s="574">
      <c r="J364" s="113" t="n"/>
      <c r="P364" s="113">
        <f t="array" ref="P364">IF(B364="","",IFERROR(MAX(OFFSET(高値!$E$6,MATCH(TEXT(B364,"0"),TEXT(銘柄管理!$B$6:$B$305,"0"),0)-1,0,1,10)),""))</f>
        <v/>
      </c>
      <c r="Q364" s="113">
        <f>IF(B364="","",IFERROR(MIN(OFFSET(安値!$E$6,MATCH(B364,銘柄管理!$B$6:$B$305,0)-1,0,1,10)),""))</f>
        <v/>
      </c>
    </row>
    <row r="365" ht="17.25" customHeight="1" s="574">
      <c r="J365" s="113" t="n"/>
      <c r="P365" s="113">
        <f t="array" ref="P365">IF(B365="","",IFERROR(MAX(OFFSET(高値!$E$6,MATCH(TEXT(B365,"0"),TEXT(銘柄管理!$B$6:$B$305,"0"),0)-1,0,1,10)),""))</f>
        <v/>
      </c>
      <c r="Q365" s="113">
        <f>IF(B365="","",IFERROR(MIN(OFFSET(安値!$E$6,MATCH(B365,銘柄管理!$B$6:$B$305,0)-1,0,1,10)),""))</f>
        <v/>
      </c>
    </row>
    <row r="366" ht="17.25" customHeight="1" s="574">
      <c r="J366" s="113" t="n"/>
      <c r="P366" s="113">
        <f t="array" ref="P366">IF(B366="","",IFERROR(MAX(OFFSET(高値!$E$6,MATCH(TEXT(B366,"0"),TEXT(銘柄管理!$B$6:$B$305,"0"),0)-1,0,1,10)),""))</f>
        <v/>
      </c>
      <c r="Q366" s="113">
        <f>IF(B366="","",IFERROR(MIN(OFFSET(安値!$E$6,MATCH(B366,銘柄管理!$B$6:$B$305,0)-1,0,1,10)),""))</f>
        <v/>
      </c>
    </row>
    <row r="367" ht="17.25" customHeight="1" s="574">
      <c r="J367" s="113" t="n"/>
      <c r="P367" s="113">
        <f t="array" ref="P367">IF(B367="","",IFERROR(MAX(OFFSET(高値!$E$6,MATCH(TEXT(B367,"0"),TEXT(銘柄管理!$B$6:$B$305,"0"),0)-1,0,1,10)),""))</f>
        <v/>
      </c>
      <c r="Q367" s="113">
        <f>IF(B367="","",IFERROR(MIN(OFFSET(安値!$E$6,MATCH(B367,銘柄管理!$B$6:$B$305,0)-1,0,1,10)),""))</f>
        <v/>
      </c>
    </row>
    <row r="368" ht="17.25" customHeight="1" s="574">
      <c r="J368" s="113" t="n"/>
      <c r="P368" s="113">
        <f t="array" ref="P368">IF(B368="","",IFERROR(MAX(OFFSET(高値!$E$6,MATCH(TEXT(B368,"0"),TEXT(銘柄管理!$B$6:$B$305,"0"),0)-1,0,1,10)),""))</f>
        <v/>
      </c>
      <c r="Q368" s="113">
        <f>IF(B368="","",IFERROR(MIN(OFFSET(安値!$E$6,MATCH(B368,銘柄管理!$B$6:$B$305,0)-1,0,1,10)),""))</f>
        <v/>
      </c>
    </row>
    <row r="369" ht="17.25" customHeight="1" s="574">
      <c r="J369" s="113" t="n"/>
      <c r="P369" s="113">
        <f t="array" ref="P369">IF(B369="","",IFERROR(MAX(OFFSET(高値!$E$6,MATCH(TEXT(B369,"0"),TEXT(銘柄管理!$B$6:$B$305,"0"),0)-1,0,1,10)),""))</f>
        <v/>
      </c>
      <c r="Q369" s="113">
        <f>IF(B369="","",IFERROR(MIN(OFFSET(安値!$E$6,MATCH(B369,銘柄管理!$B$6:$B$305,0)-1,0,1,10)),""))</f>
        <v/>
      </c>
    </row>
    <row r="370" ht="17.25" customHeight="1" s="574">
      <c r="J370" s="113" t="n"/>
      <c r="P370" s="113">
        <f t="array" ref="P370">IF(B370="","",IFERROR(MAX(OFFSET(高値!$E$6,MATCH(TEXT(B370,"0"),TEXT(銘柄管理!$B$6:$B$305,"0"),0)-1,0,1,10)),""))</f>
        <v/>
      </c>
      <c r="Q370" s="113">
        <f>IF(B370="","",IFERROR(MIN(OFFSET(安値!$E$6,MATCH(B370,銘柄管理!$B$6:$B$305,0)-1,0,1,10)),""))</f>
        <v/>
      </c>
    </row>
    <row r="371" ht="17.25" customHeight="1" s="574">
      <c r="J371" s="113" t="n"/>
      <c r="P371" s="113">
        <f t="array" ref="P371">IF(B371="","",IFERROR(MAX(OFFSET(高値!$E$6,MATCH(TEXT(B371,"0"),TEXT(銘柄管理!$B$6:$B$305,"0"),0)-1,0,1,10)),""))</f>
        <v/>
      </c>
      <c r="Q371" s="113">
        <f>IF(B371="","",IFERROR(MIN(OFFSET(安値!$E$6,MATCH(B371,銘柄管理!$B$6:$B$305,0)-1,0,1,10)),""))</f>
        <v/>
      </c>
    </row>
    <row r="372" ht="17.25" customHeight="1" s="574">
      <c r="J372" s="113" t="n"/>
      <c r="P372" s="113">
        <f t="array" ref="P372">IF(B372="","",IFERROR(MAX(OFFSET(高値!$E$6,MATCH(TEXT(B372,"0"),TEXT(銘柄管理!$B$6:$B$305,"0"),0)-1,0,1,10)),""))</f>
        <v/>
      </c>
      <c r="Q372" s="113">
        <f>IF(B372="","",IFERROR(MIN(OFFSET(安値!$E$6,MATCH(B372,銘柄管理!$B$6:$B$305,0)-1,0,1,10)),""))</f>
        <v/>
      </c>
    </row>
    <row r="373" ht="17.25" customHeight="1" s="574">
      <c r="J373" s="113" t="n"/>
      <c r="P373" s="113">
        <f t="array" ref="P373">IF(B373="","",IFERROR(MAX(OFFSET(高値!$E$6,MATCH(TEXT(B373,"0"),TEXT(銘柄管理!$B$6:$B$305,"0"),0)-1,0,1,10)),""))</f>
        <v/>
      </c>
      <c r="Q373" s="113">
        <f>IF(B373="","",IFERROR(MIN(OFFSET(安値!$E$6,MATCH(B373,銘柄管理!$B$6:$B$305,0)-1,0,1,10)),""))</f>
        <v/>
      </c>
    </row>
    <row r="374" ht="17.25" customHeight="1" s="574">
      <c r="J374" s="113" t="n"/>
      <c r="P374" s="113">
        <f t="array" ref="P374">IF(B374="","",IFERROR(MAX(OFFSET(高値!$E$6,MATCH(TEXT(B374,"0"),TEXT(銘柄管理!$B$6:$B$305,"0"),0)-1,0,1,10)),""))</f>
        <v/>
      </c>
      <c r="Q374" s="113">
        <f>IF(B374="","",IFERROR(MIN(OFFSET(安値!$E$6,MATCH(B374,銘柄管理!$B$6:$B$305,0)-1,0,1,10)),""))</f>
        <v/>
      </c>
    </row>
    <row r="375" ht="17.25" customHeight="1" s="574">
      <c r="J375" s="113" t="n"/>
      <c r="P375" s="113">
        <f t="array" ref="P375">IF(B375="","",IFERROR(MAX(OFFSET(高値!$E$6,MATCH(TEXT(B375,"0"),TEXT(銘柄管理!$B$6:$B$305,"0"),0)-1,0,1,10)),""))</f>
        <v/>
      </c>
      <c r="Q375" s="113">
        <f>IF(B375="","",IFERROR(MIN(OFFSET(安値!$E$6,MATCH(B375,銘柄管理!$B$6:$B$305,0)-1,0,1,10)),""))</f>
        <v/>
      </c>
    </row>
    <row r="376" ht="17.25" customHeight="1" s="574">
      <c r="J376" s="113" t="n"/>
      <c r="P376" s="113">
        <f t="array" ref="P376">IF(B376="","",IFERROR(MAX(OFFSET(高値!$E$6,MATCH(TEXT(B376,"0"),TEXT(銘柄管理!$B$6:$B$305,"0"),0)-1,0,1,10)),""))</f>
        <v/>
      </c>
      <c r="Q376" s="113">
        <f>IF(B376="","",IFERROR(MIN(OFFSET(安値!$E$6,MATCH(B376,銘柄管理!$B$6:$B$305,0)-1,0,1,10)),""))</f>
        <v/>
      </c>
    </row>
    <row r="377" ht="17.25" customHeight="1" s="574">
      <c r="J377" s="113" t="n"/>
      <c r="P377" s="113">
        <f t="array" ref="P377">IF(B377="","",IFERROR(MAX(OFFSET(高値!$E$6,MATCH(TEXT(B377,"0"),TEXT(銘柄管理!$B$6:$B$305,"0"),0)-1,0,1,10)),""))</f>
        <v/>
      </c>
      <c r="Q377" s="113">
        <f>IF(B377="","",IFERROR(MIN(OFFSET(安値!$E$6,MATCH(B377,銘柄管理!$B$6:$B$305,0)-1,0,1,10)),""))</f>
        <v/>
      </c>
    </row>
    <row r="378" ht="17.25" customHeight="1" s="574">
      <c r="J378" s="113" t="n"/>
      <c r="P378" s="113">
        <f t="array" ref="P378">IF(B378="","",IFERROR(MAX(OFFSET(高値!$E$6,MATCH(TEXT(B378,"0"),TEXT(銘柄管理!$B$6:$B$305,"0"),0)-1,0,1,10)),""))</f>
        <v/>
      </c>
      <c r="Q378" s="113">
        <f>IF(B378="","",IFERROR(MIN(OFFSET(安値!$E$6,MATCH(B378,銘柄管理!$B$6:$B$305,0)-1,0,1,10)),""))</f>
        <v/>
      </c>
    </row>
    <row r="379" ht="17.25" customHeight="1" s="574">
      <c r="J379" s="113" t="n"/>
      <c r="P379" s="113">
        <f t="array" ref="P379">IF(B379="","",IFERROR(MAX(OFFSET(高値!$E$6,MATCH(TEXT(B379,"0"),TEXT(銘柄管理!$B$6:$B$305,"0"),0)-1,0,1,10)),""))</f>
        <v/>
      </c>
      <c r="Q379" s="113">
        <f>IF(B379="","",IFERROR(MIN(OFFSET(安値!$E$6,MATCH(B379,銘柄管理!$B$6:$B$305,0)-1,0,1,10)),""))</f>
        <v/>
      </c>
    </row>
    <row r="380" ht="17.25" customHeight="1" s="574">
      <c r="J380" s="113" t="n"/>
      <c r="P380" s="113">
        <f t="array" ref="P380">IF(B380="","",IFERROR(MAX(OFFSET(高値!$E$6,MATCH(TEXT(B380,"0"),TEXT(銘柄管理!$B$6:$B$305,"0"),0)-1,0,1,10)),""))</f>
        <v/>
      </c>
      <c r="Q380" s="113">
        <f>IF(B380="","",IFERROR(MIN(OFFSET(安値!$E$6,MATCH(B380,銘柄管理!$B$6:$B$305,0)-1,0,1,10)),""))</f>
        <v/>
      </c>
    </row>
    <row r="381" ht="17.25" customHeight="1" s="574">
      <c r="J381" s="113" t="n"/>
      <c r="P381" s="113">
        <f t="array" ref="P381">IF(B381="","",IFERROR(MAX(OFFSET(高値!$E$6,MATCH(TEXT(B381,"0"),TEXT(銘柄管理!$B$6:$B$305,"0"),0)-1,0,1,10)),""))</f>
        <v/>
      </c>
      <c r="Q381" s="113">
        <f>IF(B381="","",IFERROR(MIN(OFFSET(安値!$E$6,MATCH(B381,銘柄管理!$B$6:$B$305,0)-1,0,1,10)),""))</f>
        <v/>
      </c>
    </row>
    <row r="382" ht="17.25" customHeight="1" s="574">
      <c r="J382" s="113" t="n"/>
      <c r="P382" s="113">
        <f t="array" ref="P382">IF(B382="","",IFERROR(MAX(OFFSET(高値!$E$6,MATCH(TEXT(B382,"0"),TEXT(銘柄管理!$B$6:$B$305,"0"),0)-1,0,1,10)),""))</f>
        <v/>
      </c>
    </row>
    <row r="383" ht="17.25" customHeight="1" s="574">
      <c r="J383" s="113" t="n"/>
      <c r="P383" s="113">
        <f t="array" ref="P383">IF(B383="","",IFERROR(MAX(OFFSET(高値!$E$6,MATCH(TEXT(B383,"0"),TEXT(銘柄管理!$B$6:$B$305,"0"),0)-1,0,1,10)),""))</f>
        <v/>
      </c>
    </row>
    <row r="384" ht="17.25" customHeight="1" s="574">
      <c r="J384" s="113" t="n"/>
      <c r="P384" s="113">
        <f t="array" ref="P384">IF(B384="","",IFERROR(MAX(OFFSET(高値!$E$6,MATCH(TEXT(B384,"0"),TEXT(銘柄管理!$B$6:$B$305,"0"),0)-1,0,1,10)),""))</f>
        <v/>
      </c>
    </row>
    <row r="385" ht="17.25" customHeight="1" s="574">
      <c r="J385" s="113" t="n"/>
      <c r="P385" s="113">
        <f t="array" ref="P385">IF(B385="","",IFERROR(MAX(OFFSET(高値!$E$6,MATCH(TEXT(B385,"0"),TEXT(銘柄管理!$B$6:$B$305,"0"),0)-1,0,1,10)),""))</f>
        <v/>
      </c>
    </row>
    <row r="386" ht="17.25" customHeight="1" s="574">
      <c r="J386" s="113" t="n"/>
      <c r="P386" s="113">
        <f t="array" ref="P386">IF(B386="","",IFERROR(MAX(OFFSET(高値!$E$6,MATCH(TEXT(B386,"0"),TEXT(銘柄管理!$B$6:$B$305,"0"),0)-1,0,1,10)),""))</f>
        <v/>
      </c>
    </row>
    <row r="387" ht="17.25" customHeight="1" s="574">
      <c r="J387" s="113" t="n"/>
      <c r="P387" s="113">
        <f t="array" ref="P387">IF(B387="","",IFERROR(MAX(OFFSET(高値!$E$6,MATCH(TEXT(B387,"0"),TEXT(銘柄管理!$B$6:$B$305,"0"),0)-1,0,1,10)),""))</f>
        <v/>
      </c>
    </row>
    <row r="388" ht="17.25" customHeight="1" s="574">
      <c r="J388" s="113" t="n"/>
      <c r="P388" s="113">
        <f t="array" ref="P388">IF(B388="","",IFERROR(MAX(OFFSET(高値!$E$6,MATCH(TEXT(B388,"0"),TEXT(銘柄管理!$B$6:$B$305,"0"),0)-1,0,1,10)),""))</f>
        <v/>
      </c>
    </row>
    <row r="389" ht="17.25" customHeight="1" s="574">
      <c r="P389" s="113">
        <f t="array" ref="P389">IF(B389="","",IFERROR(MAX(OFFSET(高値!$E$6,MATCH(TEXT(B389,"0"),TEXT(銘柄管理!$B$6:$B$305,"0"),0)-1,0,1,10)),""))</f>
        <v/>
      </c>
    </row>
    <row r="390" ht="17.25" customHeight="1" s="574">
      <c r="P390" s="113">
        <f t="array" ref="P390">IF(B390="","",IFERROR(MAX(OFFSET(高値!$E$6,MATCH(TEXT(B390,"0"),TEXT(銘柄管理!$B$6:$B$305,"0"),0)-1,0,1,10)),""))</f>
        <v/>
      </c>
    </row>
    <row r="391" ht="17.25" customHeight="1" s="574">
      <c r="P391" s="113">
        <f t="array" ref="P391">IF(B391="","",IFERROR(MAX(OFFSET(高値!$E$6,MATCH(TEXT(B391,"0"),TEXT(銘柄管理!$B$6:$B$305,"0"),0)-1,0,1,10)),""))</f>
        <v/>
      </c>
    </row>
    <row r="392" ht="17.25" customHeight="1" s="574">
      <c r="P392" s="113">
        <f t="array" ref="P392">IF(B392="","",IFERROR(MAX(OFFSET(高値!$E$6,MATCH(TEXT(B392,"0"),TEXT(銘柄管理!$B$6:$B$305,"0"),0)-1,0,1,10)),""))</f>
        <v/>
      </c>
    </row>
    <row r="393" ht="17.25" customHeight="1" s="574">
      <c r="P393" s="113">
        <f t="array" ref="P393">IF(B393="","",IFERROR(MAX(OFFSET(高値!$E$6,MATCH(TEXT(B393,"0"),TEXT(銘柄管理!$B$6:$B$305,"0"),0)-1,0,1,10)),""))</f>
        <v/>
      </c>
    </row>
    <row r="394" ht="17.25" customHeight="1" s="574">
      <c r="P394" s="113">
        <f t="array" ref="P394">IF(B394="","",IFERROR(MAX(OFFSET(高値!$E$6,MATCH(TEXT(B394,"0"),TEXT(銘柄管理!$B$6:$B$305,"0"),0)-1,0,1,10)),""))</f>
        <v/>
      </c>
    </row>
    <row r="395" ht="17.25" customHeight="1" s="574">
      <c r="P395" s="113">
        <f t="array" ref="P395">IF(B395="","",IFERROR(MAX(OFFSET(高値!$E$6,MATCH(TEXT(B395,"0"),TEXT(銘柄管理!$B$6:$B$305,"0"),0)-1,0,1,10)),""))</f>
        <v/>
      </c>
    </row>
    <row r="396" ht="17.25" customHeight="1" s="574">
      <c r="P396" s="113">
        <f t="array" ref="P396">IF(B396="","",IFERROR(MAX(OFFSET(高値!$E$6,MATCH(TEXT(B396,"0"),TEXT(銘柄管理!$B$6:$B$305,"0"),0)-1,0,1,10)),""))</f>
        <v/>
      </c>
    </row>
    <row r="397" ht="17.25" customHeight="1" s="574">
      <c r="P397" s="113">
        <f t="array" ref="P397">IF(B397="","",IFERROR(MAX(OFFSET(高値!$E$6,MATCH(TEXT(B397,"0"),TEXT(銘柄管理!$B$6:$B$305,"0"),0)-1,0,1,10)),""))</f>
        <v/>
      </c>
    </row>
    <row r="398" ht="17.25" customHeight="1" s="574">
      <c r="P398" s="113">
        <f t="array" ref="P398">IF(B398="","",IFERROR(MAX(OFFSET(高値!$E$6,MATCH(TEXT(B398,"0"),TEXT(銘柄管理!$B$6:$B$305,"0"),0)-1,0,1,10)),""))</f>
        <v/>
      </c>
    </row>
    <row r="399" ht="17.25" customHeight="1" s="574">
      <c r="P399" s="113">
        <f t="array" ref="P399">IF(B399="","",IFERROR(MAX(OFFSET(高値!$E$6,MATCH(TEXT(B399,"0"),TEXT(銘柄管理!$B$6:$B$305,"0"),0)-1,0,1,10)),""))</f>
        <v/>
      </c>
    </row>
    <row r="400" ht="17.25" customHeight="1" s="574">
      <c r="P400" s="113">
        <f t="array" ref="P400">IF(B400="","",IFERROR(MAX(OFFSET(高値!$E$6,MATCH(TEXT(B400,"0"),TEXT(銘柄管理!$B$6:$B$305,"0"),0)-1,0,1,10)),""))</f>
        <v/>
      </c>
    </row>
    <row r="401" ht="17.25" customHeight="1" s="574">
      <c r="P401" s="113">
        <f t="array" ref="P401">IF(B401="","",IFERROR(MAX(OFFSET(高値!$E$6,MATCH(TEXT(B401,"0"),TEXT(銘柄管理!$B$6:$B$305,"0"),0)-1,0,1,10)),""))</f>
        <v/>
      </c>
    </row>
    <row r="402" ht="17.25" customHeight="1" s="574">
      <c r="P402" s="113">
        <f t="array" ref="P402">IF(B402="","",IFERROR(MAX(OFFSET(高値!$E$6,MATCH(TEXT(B402,"0"),TEXT(銘柄管理!$B$6:$B$305,"0"),0)-1,0,1,10)),""))</f>
        <v/>
      </c>
    </row>
    <row r="403" ht="17.25" customHeight="1" s="574">
      <c r="P403" s="113">
        <f t="array" ref="P403">IF(B403="","",IFERROR(MAX(OFFSET(高値!$E$6,MATCH(TEXT(B403,"0"),TEXT(銘柄管理!$B$6:$B$305,"0"),0)-1,0,1,10)),""))</f>
        <v/>
      </c>
    </row>
    <row r="404" ht="17.25" customHeight="1" s="574">
      <c r="P404" s="113">
        <f t="array" ref="P404">IF(B404="","",IFERROR(MAX(OFFSET(高値!$E$6,MATCH(TEXT(B404,"0"),TEXT(銘柄管理!$B$6:$B$305,"0"),0)-1,0,1,10)),""))</f>
        <v/>
      </c>
    </row>
    <row r="405" ht="17.25" customHeight="1" s="574">
      <c r="P405" s="113">
        <f t="array" ref="P405">IF(B405="","",IFERROR(MAX(OFFSET(高値!$E$6,MATCH(TEXT(B405,"0"),TEXT(銘柄管理!$B$6:$B$305,"0"),0)-1,0,1,10)),""))</f>
        <v/>
      </c>
    </row>
    <row r="406" ht="17.25" customHeight="1" s="574">
      <c r="P406" s="113">
        <f t="array" ref="P406">IF(B406="","",IFERROR(MAX(OFFSET(高値!$E$6,MATCH(TEXT(B406,"0"),TEXT(銘柄管理!$B$6:$B$305,"0"),0)-1,0,1,10)),""))</f>
        <v/>
      </c>
    </row>
    <row r="407" ht="17.25" customHeight="1" s="574">
      <c r="P407" s="113">
        <f t="array" ref="P407">IF(B407="","",IFERROR(MAX(OFFSET(高値!$E$6,MATCH(TEXT(B407,"0"),TEXT(銘柄管理!$B$6:$B$305,"0"),0)-1,0,1,10)),""))</f>
        <v/>
      </c>
    </row>
    <row r="408" ht="17.25" customHeight="1" s="574">
      <c r="P408" s="113">
        <f t="array" ref="P408">IF(B408="","",IFERROR(MAX(OFFSET(高値!$E$6,MATCH(TEXT(B408,"0"),TEXT(銘柄管理!$B$6:$B$305,"0"),0)-1,0,1,10)),""))</f>
        <v/>
      </c>
    </row>
    <row r="409" ht="17.25" customHeight="1" s="574">
      <c r="P409" s="113">
        <f t="array" ref="P409">IF(B409="","",IFERROR(MAX(OFFSET(高値!$E$6,MATCH(TEXT(B409,"0"),TEXT(銘柄管理!$B$6:$B$305,"0"),0)-1,0,1,10)),""))</f>
        <v/>
      </c>
    </row>
    <row r="410" ht="17.25" customHeight="1" s="574">
      <c r="P410" s="113">
        <f t="array" ref="P410">IF(B410="","",IFERROR(MAX(OFFSET(高値!$E$6,MATCH(TEXT(B410,"0"),TEXT(銘柄管理!$B$6:$B$305,"0"),0)-1,0,1,10)),""))</f>
        <v/>
      </c>
    </row>
    <row r="411" ht="17.25" customHeight="1" s="574">
      <c r="P411" s="113">
        <f t="array" ref="P411">IF(B411="","",IFERROR(MAX(OFFSET(高値!$E$6,MATCH(TEXT(B411,"0"),TEXT(銘柄管理!$B$6:$B$305,"0"),0)-1,0,1,10)),""))</f>
        <v/>
      </c>
    </row>
    <row r="412" ht="17.25" customHeight="1" s="574">
      <c r="P412" s="113">
        <f t="array" ref="P412">IF(B412="","",IFERROR(MAX(OFFSET(高値!$E$6,MATCH(TEXT(B412,"0"),TEXT(銘柄管理!$B$6:$B$305,"0"),0)-1,0,1,10)),""))</f>
        <v/>
      </c>
    </row>
    <row r="413" ht="17.25" customHeight="1" s="574">
      <c r="P413" s="113">
        <f t="array" ref="P413">IF(B413="","",IFERROR(MAX(OFFSET(高値!$E$6,MATCH(TEXT(B413,"0"),TEXT(銘柄管理!$B$6:$B$305,"0"),0)-1,0,1,10)),""))</f>
        <v/>
      </c>
    </row>
    <row r="414" ht="17.25" customHeight="1" s="574">
      <c r="P414" s="113">
        <f t="array" ref="P414">IF(B414="","",IFERROR(MAX(OFFSET(高値!$E$6,MATCH(TEXT(B414,"0"),TEXT(銘柄管理!$B$6:$B$305,"0"),0)-1,0,1,10)),""))</f>
        <v/>
      </c>
    </row>
    <row r="415" ht="17.25" customHeight="1" s="574">
      <c r="P415" s="113">
        <f t="array" ref="P415">IF(B415="","",IFERROR(MAX(OFFSET(高値!$E$6,MATCH(TEXT(B415,"0"),TEXT(銘柄管理!$B$6:$B$305,"0"),0)-1,0,1,10)),""))</f>
        <v/>
      </c>
    </row>
    <row r="416" ht="17.25" customHeight="1" s="574">
      <c r="P416" s="113">
        <f t="array" ref="P416">IF(B416="","",IFERROR(MAX(OFFSET(高値!$E$6,MATCH(TEXT(B416,"0"),TEXT(銘柄管理!$B$6:$B$305,"0"),0)-1,0,1,10)),""))</f>
        <v/>
      </c>
    </row>
    <row r="417" ht="17.25" customHeight="1" s="574">
      <c r="P417" s="113">
        <f t="array" ref="P417">IF(B417="","",IFERROR(MAX(OFFSET(高値!$E$6,MATCH(TEXT(B417,"0"),TEXT(銘柄管理!$B$6:$B$305,"0"),0)-1,0,1,10)),""))</f>
        <v/>
      </c>
    </row>
    <row r="418" ht="17.25" customHeight="1" s="574">
      <c r="P418" s="113">
        <f t="array" ref="P418">IF(B418="","",IFERROR(MAX(OFFSET(高値!$E$6,MATCH(TEXT(B418,"0"),TEXT(銘柄管理!$B$6:$B$305,"0"),0)-1,0,1,10)),""))</f>
        <v/>
      </c>
    </row>
    <row r="419" ht="17.25" customHeight="1" s="574">
      <c r="P419" s="113">
        <f t="array" ref="P419">IF(B419="","",IFERROR(MAX(OFFSET(高値!$E$6,MATCH(TEXT(B419,"0"),TEXT(銘柄管理!$B$6:$B$305,"0"),0)-1,0,1,10)),""))</f>
        <v/>
      </c>
    </row>
    <row r="420" ht="17.25" customHeight="1" s="574">
      <c r="P420" s="113">
        <f t="array" ref="P420">IF(B420="","",IFERROR(MAX(OFFSET(高値!$E$6,MATCH(TEXT(B420,"0"),TEXT(銘柄管理!$B$6:$B$305,"0"),0)-1,0,1,10)),""))</f>
        <v/>
      </c>
    </row>
    <row r="421" ht="17.25" customHeight="1" s="574">
      <c r="P421" s="113">
        <f t="array" ref="P421">IF(B421="","",IFERROR(MAX(OFFSET(高値!$E$6,MATCH(TEXT(B421,"0"),TEXT(銘柄管理!$B$6:$B$305,"0"),0)-1,0,1,10)),""))</f>
        <v/>
      </c>
    </row>
    <row r="422" ht="17.25" customHeight="1" s="574">
      <c r="P422" s="113">
        <f t="array" ref="P422">IF(B422="","",IFERROR(MAX(OFFSET(高値!$E$6,MATCH(TEXT(B422,"0"),TEXT(銘柄管理!$B$6:$B$305,"0"),0)-1,0,1,10)),""))</f>
        <v/>
      </c>
    </row>
    <row r="423" ht="17.25" customHeight="1" s="574">
      <c r="P423" s="113">
        <f t="array" ref="P423">IF(B423="","",IFERROR(MAX(OFFSET(高値!$E$6,MATCH(TEXT(B423,"0"),TEXT(銘柄管理!$B$6:$B$305,"0"),0)-1,0,1,10)),""))</f>
        <v/>
      </c>
    </row>
    <row r="424" ht="17.25" customHeight="1" s="574">
      <c r="P424" s="113">
        <f t="array" ref="P424">IF(B424="","",IFERROR(MAX(OFFSET(高値!$E$6,MATCH(TEXT(B424,"0"),TEXT(銘柄管理!$B$6:$B$305,"0"),0)-1,0,1,10)),""))</f>
        <v/>
      </c>
    </row>
    <row r="425" ht="17.25" customHeight="1" s="574">
      <c r="P425" s="113">
        <f t="array" ref="P425">IF(B425="","",IFERROR(MAX(OFFSET(高値!$E$6,MATCH(TEXT(B425,"0"),TEXT(銘柄管理!$B$6:$B$305,"0"),0)-1,0,1,10)),""))</f>
        <v/>
      </c>
    </row>
    <row r="426" ht="17.25" customHeight="1" s="574">
      <c r="P426" s="113">
        <f t="array" ref="P426">IF(B426="","",IFERROR(MAX(OFFSET(高値!$E$6,MATCH(TEXT(B426,"0"),TEXT(銘柄管理!$B$6:$B$305,"0"),0)-1,0,1,10)),""))</f>
        <v/>
      </c>
    </row>
    <row r="427" ht="17.25" customHeight="1" s="574">
      <c r="P427" s="113">
        <f t="array" ref="P427">IF(B427="","",IFERROR(MAX(OFFSET(高値!$E$6,MATCH(TEXT(B427,"0"),TEXT(銘柄管理!$B$6:$B$305,"0"),0)-1,0,1,10)),""))</f>
        <v/>
      </c>
    </row>
    <row r="428" ht="17.25" customHeight="1" s="574">
      <c r="P428" s="113">
        <f t="array" ref="P428">IF(B428="","",IFERROR(MAX(OFFSET(高値!$E$6,MATCH(TEXT(B428,"0"),TEXT(銘柄管理!$B$6:$B$305,"0"),0)-1,0,1,10)),""))</f>
        <v/>
      </c>
    </row>
    <row r="429" ht="17.25" customHeight="1" s="574">
      <c r="P429" s="113">
        <f t="array" ref="P429">IF(B429="","",IFERROR(MAX(OFFSET(高値!$E$6,MATCH(TEXT(B429,"0"),TEXT(銘柄管理!$B$6:$B$305,"0"),0)-1,0,1,10)),""))</f>
        <v/>
      </c>
    </row>
    <row r="430" ht="17.25" customHeight="1" s="574">
      <c r="P430" s="113">
        <f t="array" ref="P430">IF(B430="","",IFERROR(MAX(OFFSET(高値!$E$6,MATCH(TEXT(B430,"0"),TEXT(銘柄管理!$B$6:$B$305,"0"),0)-1,0,1,10)),""))</f>
        <v/>
      </c>
    </row>
    <row r="431" ht="17.25" customHeight="1" s="574">
      <c r="P431" s="113">
        <f t="array" ref="P431">IF(B431="","",IFERROR(MAX(OFFSET(高値!$E$6,MATCH(TEXT(B431,"0"),TEXT(銘柄管理!$B$6:$B$305,"0"),0)-1,0,1,10)),""))</f>
        <v/>
      </c>
    </row>
    <row r="432" ht="17.25" customHeight="1" s="574">
      <c r="P432" s="113">
        <f t="array" ref="P432">IF(B432="","",IFERROR(MAX(OFFSET(高値!$E$6,MATCH(TEXT(B432,"0"),TEXT(銘柄管理!$B$6:$B$305,"0"),0)-1,0,1,10)),""))</f>
        <v/>
      </c>
    </row>
    <row r="433" ht="17.25" customHeight="1" s="574">
      <c r="P433" s="113">
        <f t="array" ref="P433">IF(B433="","",IFERROR(MAX(OFFSET(高値!$E$6,MATCH(TEXT(B433,"0"),TEXT(銘柄管理!$B$6:$B$305,"0"),0)-1,0,1,10)),""))</f>
        <v/>
      </c>
    </row>
    <row r="434" ht="17.25" customHeight="1" s="574">
      <c r="P434" s="113">
        <f t="array" ref="P434">IF(B434="","",IFERROR(MAX(OFFSET(高値!$E$6,MATCH(TEXT(B434,"0"),TEXT(銘柄管理!$B$6:$B$305,"0"),0)-1,0,1,10)),""))</f>
        <v/>
      </c>
    </row>
    <row r="435" ht="17.25" customHeight="1" s="574">
      <c r="P435" s="113">
        <f t="array" ref="P435">IF(B435="","",IFERROR(MAX(OFFSET(高値!$E$6,MATCH(TEXT(B435,"0"),TEXT(銘柄管理!$B$6:$B$305,"0"),0)-1,0,1,10)),""))</f>
        <v/>
      </c>
    </row>
    <row r="436" ht="17.25" customHeight="1" s="574">
      <c r="P436" s="113">
        <f t="array" ref="P436">IF(B436="","",IFERROR(MAX(OFFSET(高値!$E$6,MATCH(TEXT(B436,"0"),TEXT(銘柄管理!$B$6:$B$305,"0"),0)-1,0,1,10)),""))</f>
        <v/>
      </c>
    </row>
    <row r="437" ht="17.25" customHeight="1" s="574">
      <c r="P437" s="113">
        <f t="array" ref="P437">IF(B437="","",IFERROR(MAX(OFFSET(高値!$E$6,MATCH(TEXT(B437,"0"),TEXT(銘柄管理!$B$6:$B$305,"0"),0)-1,0,1,10)),""))</f>
        <v/>
      </c>
    </row>
    <row r="438" ht="17.25" customHeight="1" s="574">
      <c r="P438" s="113">
        <f t="array" ref="P438">IF(B438="","",IFERROR(MAX(OFFSET(高値!$E$6,MATCH(TEXT(B438,"0"),TEXT(銘柄管理!$B$6:$B$305,"0"),0)-1,0,1,10)),""))</f>
        <v/>
      </c>
    </row>
    <row r="439" ht="17.25" customHeight="1" s="574">
      <c r="P439" s="113">
        <f t="array" ref="P439">IF(B439="","",IFERROR(MAX(OFFSET(高値!$E$6,MATCH(TEXT(B439,"0"),TEXT(銘柄管理!$B$6:$B$305,"0"),0)-1,0,1,10)),""))</f>
        <v/>
      </c>
    </row>
    <row r="440" ht="17.25" customHeight="1" s="574">
      <c r="P440" s="113">
        <f t="array" ref="P440">IF(B440="","",IFERROR(MAX(OFFSET(高値!$E$6,MATCH(TEXT(B440,"0"),TEXT(銘柄管理!$B$6:$B$305,"0"),0)-1,0,1,10)),""))</f>
        <v/>
      </c>
    </row>
    <row r="441" ht="17.25" customHeight="1" s="574">
      <c r="P441" s="113">
        <f t="array" ref="P441">IF(B441="","",IFERROR(MAX(OFFSET(高値!$E$6,MATCH(TEXT(B441,"0"),TEXT(銘柄管理!$B$6:$B$305,"0"),0)-1,0,1,10)),""))</f>
        <v/>
      </c>
    </row>
    <row r="442" ht="17.25" customHeight="1" s="574">
      <c r="P442" s="113">
        <f t="array" ref="P442">IF(B442="","",IFERROR(MAX(OFFSET(高値!$E$6,MATCH(TEXT(B442,"0"),TEXT(銘柄管理!$B$6:$B$305,"0"),0)-1,0,1,10)),""))</f>
        <v/>
      </c>
    </row>
    <row r="443" ht="17.25" customHeight="1" s="574">
      <c r="P443" s="113">
        <f t="array" ref="P443">IF(B443="","",IFERROR(MAX(OFFSET(高値!$E$6,MATCH(TEXT(B443,"0"),TEXT(銘柄管理!$B$6:$B$305,"0"),0)-1,0,1,10)),""))</f>
        <v/>
      </c>
    </row>
    <row r="444" ht="17.25" customHeight="1" s="574">
      <c r="P444" s="113">
        <f t="array" ref="P444">IF(B444="","",IFERROR(MAX(OFFSET(高値!$E$6,MATCH(TEXT(B444,"0"),TEXT(銘柄管理!$B$6:$B$305,"0"),0)-1,0,1,10)),""))</f>
        <v/>
      </c>
    </row>
    <row r="445" ht="17.25" customHeight="1" s="574">
      <c r="P445" s="113">
        <f t="array" ref="P445">IF(B445="","",IFERROR(MAX(OFFSET(高値!$E$6,MATCH(TEXT(B445,"0"),TEXT(銘柄管理!$B$6:$B$305,"0"),0)-1,0,1,10)),""))</f>
        <v/>
      </c>
    </row>
    <row r="446" ht="17.25" customHeight="1" s="574">
      <c r="P446" s="113">
        <f t="array" ref="P446">IF(B446="","",IFERROR(MAX(OFFSET(高値!$E$6,MATCH(TEXT(B446,"0"),TEXT(銘柄管理!$B$6:$B$305,"0"),0)-1,0,1,10)),""))</f>
        <v/>
      </c>
    </row>
    <row r="447" ht="17.25" customHeight="1" s="574">
      <c r="P447" s="113">
        <f t="array" ref="P447">IF(B447="","",IFERROR(MAX(OFFSET(高値!$E$6,MATCH(TEXT(B447,"0"),TEXT(銘柄管理!$B$6:$B$305,"0"),0)-1,0,1,10)),""))</f>
        <v/>
      </c>
    </row>
    <row r="448" ht="17.25" customHeight="1" s="574">
      <c r="P448" s="113">
        <f t="array" ref="P448">IF(B448="","",IFERROR(MAX(OFFSET(高値!$E$6,MATCH(TEXT(B448,"0"),TEXT(銘柄管理!$B$6:$B$305,"0"),0)-1,0,1,10)),""))</f>
        <v/>
      </c>
    </row>
    <row r="449" ht="17.25" customHeight="1" s="574">
      <c r="P449" s="113">
        <f t="array" ref="P449">IF(B449="","",IFERROR(MAX(OFFSET(高値!$E$6,MATCH(TEXT(B449,"0"),TEXT(銘柄管理!$B$6:$B$305,"0"),0)-1,0,1,10)),""))</f>
        <v/>
      </c>
    </row>
    <row r="450" ht="17.25" customHeight="1" s="574">
      <c r="P450" s="113">
        <f t="array" ref="P450">IF(B450="","",IFERROR(MAX(OFFSET(高値!$E$6,MATCH(TEXT(B450,"0"),TEXT(銘柄管理!$B$6:$B$305,"0"),0)-1,0,1,10)),""))</f>
        <v/>
      </c>
    </row>
    <row r="451" ht="17.25" customHeight="1" s="574">
      <c r="P451" s="113">
        <f t="array" ref="P451">IF(B451="","",IFERROR(MAX(OFFSET(高値!$E$6,MATCH(TEXT(B451,"0"),TEXT(銘柄管理!$B$6:$B$305,"0"),0)-1,0,1,10)),""))</f>
        <v/>
      </c>
    </row>
    <row r="452" ht="17.25" customHeight="1" s="574">
      <c r="P452" s="113">
        <f t="array" ref="P452">IF(B452="","",IFERROR(MAX(OFFSET(高値!$E$6,MATCH(TEXT(B452,"0"),TEXT(銘柄管理!$B$6:$B$305,"0"),0)-1,0,1,10)),""))</f>
        <v/>
      </c>
    </row>
    <row r="453" ht="17.25" customHeight="1" s="574">
      <c r="P453" s="113">
        <f t="array" ref="P453">IF(B453="","",IFERROR(MAX(OFFSET(高値!$E$6,MATCH(TEXT(B453,"0"),TEXT(銘柄管理!$B$6:$B$305,"0"),0)-1,0,1,10)),""))</f>
        <v/>
      </c>
    </row>
    <row r="454" ht="17.25" customHeight="1" s="574">
      <c r="P454" s="113">
        <f t="array" ref="P454">IF(B454="","",IFERROR(MAX(OFFSET(高値!$E$6,MATCH(TEXT(B454,"0"),TEXT(銘柄管理!$B$6:$B$305,"0"),0)-1,0,1,10)),""))</f>
        <v/>
      </c>
    </row>
    <row r="455" ht="17.25" customHeight="1" s="574">
      <c r="P455" s="113">
        <f t="array" ref="P455">IF(B455="","",IFERROR(MAX(OFFSET(高値!$E$6,MATCH(TEXT(B455,"0"),TEXT(銘柄管理!$B$6:$B$305,"0"),0)-1,0,1,10)),""))</f>
        <v/>
      </c>
    </row>
    <row r="456" ht="17.25" customHeight="1" s="574">
      <c r="P456" s="113">
        <f t="array" ref="P456">IF(B456="","",IFERROR(MAX(OFFSET(高値!$E$6,MATCH(TEXT(B456,"0"),TEXT(銘柄管理!$B$6:$B$305,"0"),0)-1,0,1,10)),""))</f>
        <v/>
      </c>
    </row>
    <row r="457" ht="17.25" customHeight="1" s="574">
      <c r="P457" s="113">
        <f t="array" ref="P457">IF(B457="","",IFERROR(MAX(OFFSET(高値!$E$6,MATCH(TEXT(B457,"0"),TEXT(銘柄管理!$B$6:$B$305,"0"),0)-1,0,1,10)),""))</f>
        <v/>
      </c>
    </row>
    <row r="458" ht="17.25" customHeight="1" s="574">
      <c r="P458" s="113">
        <f t="array" ref="P458">IF(B458="","",IFERROR(MAX(OFFSET(高値!$E$6,MATCH(TEXT(B458,"0"),TEXT(銘柄管理!$B$6:$B$305,"0"),0)-1,0,1,10)),""))</f>
        <v/>
      </c>
    </row>
    <row r="459" ht="17.25" customHeight="1" s="574">
      <c r="P459" s="113">
        <f t="array" ref="P459">IF(B459="","",IFERROR(MAX(OFFSET(高値!$E$6,MATCH(TEXT(B459,"0"),TEXT(銘柄管理!$B$6:$B$305,"0"),0)-1,0,1,10)),""))</f>
        <v/>
      </c>
    </row>
    <row r="460" ht="17.25" customHeight="1" s="574">
      <c r="P460" s="113">
        <f t="array" ref="P460">IF(B460="","",IFERROR(MAX(OFFSET(高値!$E$6,MATCH(TEXT(B460,"0"),TEXT(銘柄管理!$B$6:$B$305,"0"),0)-1,0,1,10)),""))</f>
        <v/>
      </c>
    </row>
    <row r="461" ht="17.25" customHeight="1" s="574">
      <c r="P461" s="113">
        <f t="array" ref="P461">IF(B461="","",IFERROR(MAX(OFFSET(高値!$E$6,MATCH(TEXT(B461,"0"),TEXT(銘柄管理!$B$6:$B$305,"0"),0)-1,0,1,10)),""))</f>
        <v/>
      </c>
    </row>
    <row r="462" ht="17.25" customHeight="1" s="574">
      <c r="P462" s="113">
        <f t="array" ref="P462">IF(B462="","",IFERROR(MAX(OFFSET(高値!$E$6,MATCH(TEXT(B462,"0"),TEXT(銘柄管理!$B$6:$B$305,"0"),0)-1,0,1,10)),""))</f>
        <v/>
      </c>
    </row>
    <row r="463" ht="17.25" customHeight="1" s="574">
      <c r="P463" s="113">
        <f t="array" ref="P463">IF(B463="","",IFERROR(MAX(OFFSET(高値!$E$6,MATCH(TEXT(B463,"0"),TEXT(銘柄管理!$B$6:$B$305,"0"),0)-1,0,1,10)),""))</f>
        <v/>
      </c>
    </row>
    <row r="464" ht="17.25" customHeight="1" s="574">
      <c r="P464" s="113">
        <f t="array" ref="P464">IF(B464="","",IFERROR(MAX(OFFSET(高値!$E$6,MATCH(TEXT(B464,"0"),TEXT(銘柄管理!$B$6:$B$305,"0"),0)-1,0,1,10)),""))</f>
        <v/>
      </c>
    </row>
    <row r="465" ht="17.25" customHeight="1" s="574">
      <c r="P465" s="113">
        <f t="array" ref="P465">IF(B465="","",IFERROR(MAX(OFFSET(高値!$E$6,MATCH(TEXT(B465,"0"),TEXT(銘柄管理!$B$6:$B$305,"0"),0)-1,0,1,10)),""))</f>
        <v/>
      </c>
    </row>
    <row r="466" ht="17.25" customHeight="1" s="574">
      <c r="P466" s="113">
        <f t="array" ref="P466">IF(B466="","",IFERROR(MAX(OFFSET(高値!$E$6,MATCH(TEXT(B466,"0"),TEXT(銘柄管理!$B$6:$B$305,"0"),0)-1,0,1,10)),""))</f>
        <v/>
      </c>
    </row>
    <row r="467" ht="17.25" customHeight="1" s="574">
      <c r="P467" s="113">
        <f t="array" ref="P467">IF(B467="","",IFERROR(MAX(OFFSET(高値!$E$6,MATCH(TEXT(B467,"0"),TEXT(銘柄管理!$B$6:$B$305,"0"),0)-1,0,1,10)),""))</f>
        <v/>
      </c>
    </row>
    <row r="468" ht="17.25" customHeight="1" s="574">
      <c r="P468" s="113">
        <f t="array" ref="P468">IF(B468="","",IFERROR(MAX(OFFSET(高値!$E$6,MATCH(TEXT(B468,"0"),TEXT(銘柄管理!$B$6:$B$305,"0"),0)-1,0,1,10)),""))</f>
        <v/>
      </c>
    </row>
    <row r="469" ht="17.25" customHeight="1" s="574">
      <c r="P469" s="113">
        <f t="array" ref="P469">IF(B469="","",IFERROR(MAX(OFFSET(高値!$E$6,MATCH(TEXT(B469,"0"),TEXT(銘柄管理!$B$6:$B$305,"0"),0)-1,0,1,10)),""))</f>
        <v/>
      </c>
    </row>
    <row r="470" ht="17.25" customHeight="1" s="574">
      <c r="P470" s="113">
        <f t="array" ref="P470">IF(B470="","",IFERROR(MAX(OFFSET(高値!$E$6,MATCH(TEXT(B470,"0"),TEXT(銘柄管理!$B$6:$B$305,"0"),0)-1,0,1,10)),""))</f>
        <v/>
      </c>
    </row>
    <row r="471" ht="17.25" customHeight="1" s="574">
      <c r="P471" s="113">
        <f t="array" ref="P471">IF(B471="","",IFERROR(MAX(OFFSET(高値!$E$6,MATCH(TEXT(B471,"0"),TEXT(銘柄管理!$B$6:$B$305,"0"),0)-1,0,1,10)),""))</f>
        <v/>
      </c>
    </row>
    <row r="472" ht="17.25" customHeight="1" s="574">
      <c r="P472" s="113">
        <f t="array" ref="P472">IF(B472="","",IFERROR(MAX(OFFSET(高値!$E$6,MATCH(TEXT(B472,"0"),TEXT(銘柄管理!$B$6:$B$305,"0"),0)-1,0,1,10)),""))</f>
        <v/>
      </c>
    </row>
    <row r="473" ht="17.25" customHeight="1" s="574">
      <c r="P473" s="113">
        <f t="array" ref="P473">IF(B473="","",IFERROR(MAX(OFFSET(高値!$E$6,MATCH(TEXT(B473,"0"),TEXT(銘柄管理!$B$6:$B$305,"0"),0)-1,0,1,10)),""))</f>
        <v/>
      </c>
    </row>
    <row r="474" ht="17.25" customHeight="1" s="574">
      <c r="P474" s="113">
        <f t="array" ref="P474">IF(B474="","",IFERROR(MAX(OFFSET(高値!$E$6,MATCH(TEXT(B474,"0"),TEXT(銘柄管理!$B$6:$B$305,"0"),0)-1,0,1,10)),""))</f>
        <v/>
      </c>
    </row>
    <row r="475" ht="17.25" customHeight="1" s="574">
      <c r="P475" s="113">
        <f t="array" ref="P475">IF(B475="","",IFERROR(MAX(OFFSET(高値!$E$6,MATCH(TEXT(B475,"0"),TEXT(銘柄管理!$B$6:$B$305,"0"),0)-1,0,1,10)),""))</f>
        <v/>
      </c>
    </row>
    <row r="476" ht="17.25" customHeight="1" s="574">
      <c r="P476" s="113">
        <f t="array" ref="P476">IF(B476="","",IFERROR(MAX(OFFSET(高値!$E$6,MATCH(TEXT(B476,"0"),TEXT(銘柄管理!$B$6:$B$305,"0"),0)-1,0,1,10)),""))</f>
        <v/>
      </c>
    </row>
    <row r="477" ht="17.25" customHeight="1" s="574">
      <c r="P477" s="113">
        <f t="array" ref="P477">IF(B477="","",IFERROR(MAX(OFFSET(高値!$E$6,MATCH(TEXT(B477,"0"),TEXT(銘柄管理!$B$6:$B$305,"0"),0)-1,0,1,10)),""))</f>
        <v/>
      </c>
    </row>
    <row r="478" ht="17.25" customHeight="1" s="574">
      <c r="P478" s="113">
        <f t="array" ref="P478">IF(B478="","",IFERROR(MAX(OFFSET(高値!$E$6,MATCH(TEXT(B478,"0"),TEXT(銘柄管理!$B$6:$B$305,"0"),0)-1,0,1,10)),""))</f>
        <v/>
      </c>
    </row>
    <row r="479" ht="17.25" customHeight="1" s="574">
      <c r="P479" s="113">
        <f t="array" ref="P479">IF(B479="","",IFERROR(MAX(OFFSET(高値!$E$6,MATCH(TEXT(B479,"0"),TEXT(銘柄管理!$B$6:$B$305,"0"),0)-1,0,1,10)),""))</f>
        <v/>
      </c>
    </row>
    <row r="480" ht="17.25" customHeight="1" s="574">
      <c r="P480" s="113">
        <f t="array" ref="P480">IF(B480="","",IFERROR(MAX(OFFSET(高値!$E$6,MATCH(TEXT(B480,"0"),TEXT(銘柄管理!$B$6:$B$305,"0"),0)-1,0,1,10)),""))</f>
        <v/>
      </c>
    </row>
    <row r="481" ht="17.25" customHeight="1" s="574">
      <c r="P481" s="113">
        <f t="array" ref="P481">IF(B481="","",IFERROR(MAX(OFFSET(高値!$E$6,MATCH(TEXT(B481,"0"),TEXT(銘柄管理!$B$6:$B$305,"0"),0)-1,0,1,10)),""))</f>
        <v/>
      </c>
    </row>
    <row r="482" ht="17.25" customHeight="1" s="574">
      <c r="P482" s="113">
        <f t="array" ref="P482">IF(B482="","",IFERROR(MAX(OFFSET(高値!$E$6,MATCH(TEXT(B482,"0"),TEXT(銘柄管理!$B$6:$B$305,"0"),0)-1,0,1,10)),""))</f>
        <v/>
      </c>
    </row>
    <row r="483" ht="17.25" customHeight="1" s="574">
      <c r="P483" s="113">
        <f t="array" ref="P483">IF(B483="","",IFERROR(MAX(OFFSET(高値!$E$6,MATCH(TEXT(B483,"0"),TEXT(銘柄管理!$B$6:$B$305,"0"),0)-1,0,1,10)),""))</f>
        <v/>
      </c>
    </row>
    <row r="484" ht="17.25" customHeight="1" s="574">
      <c r="P484" s="113">
        <f t="array" ref="P484">IF(B484="","",IFERROR(MAX(OFFSET(高値!$E$6,MATCH(TEXT(B484,"0"),TEXT(銘柄管理!$B$6:$B$305,"0"),0)-1,0,1,10)),""))</f>
        <v/>
      </c>
    </row>
    <row r="485" ht="17.25" customHeight="1" s="574">
      <c r="P485" s="113">
        <f t="array" ref="P485">IF(B485="","",IFERROR(MAX(OFFSET(高値!$E$6,MATCH(TEXT(B485,"0"),TEXT(銘柄管理!$B$6:$B$305,"0"),0)-1,0,1,10)),""))</f>
        <v/>
      </c>
    </row>
    <row r="486" ht="17.25" customHeight="1" s="574">
      <c r="P486" s="113">
        <f t="array" ref="P486">IF(B486="","",IFERROR(MAX(OFFSET(高値!$E$6,MATCH(TEXT(B486,"0"),TEXT(銘柄管理!$B$6:$B$305,"0"),0)-1,0,1,10)),""))</f>
        <v/>
      </c>
    </row>
    <row r="487" ht="17.25" customHeight="1" s="574">
      <c r="P487" s="113">
        <f t="array" ref="P487">IF(B487="","",IFERROR(MAX(OFFSET(高値!$E$6,MATCH(TEXT(B487,"0"),TEXT(銘柄管理!$B$6:$B$305,"0"),0)-1,0,1,10)),""))</f>
        <v/>
      </c>
    </row>
    <row r="488" ht="17.25" customHeight="1" s="574">
      <c r="P488" s="113">
        <f t="array" ref="P488">IF(B488="","",IFERROR(MAX(OFFSET(高値!$E$6,MATCH(TEXT(B488,"0"),TEXT(銘柄管理!$B$6:$B$305,"0"),0)-1,0,1,10)),""))</f>
        <v/>
      </c>
    </row>
    <row r="489" ht="17.25" customHeight="1" s="574">
      <c r="P489" s="113">
        <f t="array" ref="P489">IF(B489="","",IFERROR(MAX(OFFSET(高値!$E$6,MATCH(TEXT(B489,"0"),TEXT(銘柄管理!$B$6:$B$305,"0"),0)-1,0,1,10)),""))</f>
        <v/>
      </c>
    </row>
    <row r="490" ht="17.25" customHeight="1" s="574">
      <c r="P490" s="113">
        <f t="array" ref="P490">IF(B490="","",IFERROR(MAX(OFFSET(高値!$E$6,MATCH(TEXT(B490,"0"),TEXT(銘柄管理!$B$6:$B$305,"0"),0)-1,0,1,10)),""))</f>
        <v/>
      </c>
    </row>
    <row r="491" ht="17.25" customHeight="1" s="574">
      <c r="P491" s="113">
        <f t="array" ref="P491">IF(B491="","",IFERROR(MAX(OFFSET(高値!$E$6,MATCH(TEXT(B491,"0"),TEXT(銘柄管理!$B$6:$B$305,"0"),0)-1,0,1,10)),""))</f>
        <v/>
      </c>
    </row>
    <row r="492" ht="17.25" customHeight="1" s="574">
      <c r="P492" s="113">
        <f t="array" ref="P492">IF(B492="","",IFERROR(MAX(OFFSET(高値!$E$6,MATCH(TEXT(B492,"0"),TEXT(銘柄管理!$B$6:$B$305,"0"),0)-1,0,1,10)),""))</f>
        <v/>
      </c>
    </row>
    <row r="493" ht="17.25" customHeight="1" s="574">
      <c r="P493" s="113">
        <f t="array" ref="P493">IF(B493="","",IFERROR(MAX(OFFSET(高値!$E$6,MATCH(TEXT(B493,"0"),TEXT(銘柄管理!$B$6:$B$305,"0"),0)-1,0,1,10)),""))</f>
        <v/>
      </c>
    </row>
    <row r="494" ht="17.25" customHeight="1" s="574">
      <c r="P494" s="113">
        <f t="array" ref="P494">IF(B494="","",IFERROR(MAX(OFFSET(高値!$E$6,MATCH(TEXT(B494,"0"),TEXT(銘柄管理!$B$6:$B$305,"0"),0)-1,0,1,10)),""))</f>
        <v/>
      </c>
    </row>
    <row r="495" ht="17.25" customHeight="1" s="574">
      <c r="P495" s="113">
        <f t="array" ref="P495">IF(B495="","",IFERROR(MAX(OFFSET(高値!$E$6,MATCH(TEXT(B495,"0"),TEXT(銘柄管理!$B$6:$B$305,"0"),0)-1,0,1,10)),""))</f>
        <v/>
      </c>
    </row>
    <row r="496" ht="17.25" customHeight="1" s="574">
      <c r="P496" s="113">
        <f t="array" ref="P496">IF(B496="","",IFERROR(MAX(OFFSET(高値!$E$6,MATCH(TEXT(B496,"0"),TEXT(銘柄管理!$B$6:$B$305,"0"),0)-1,0,1,10)),""))</f>
        <v/>
      </c>
    </row>
    <row r="497" ht="17.25" customHeight="1" s="574">
      <c r="P497" s="113">
        <f t="array" ref="P497">IF(B497="","",IFERROR(MAX(OFFSET(高値!$E$6,MATCH(TEXT(B497,"0"),TEXT(銘柄管理!$B$6:$B$305,"0"),0)-1,0,1,10)),""))</f>
        <v/>
      </c>
    </row>
    <row r="498" ht="17.25" customHeight="1" s="574">
      <c r="P498" s="113">
        <f t="array" ref="P498">IF(B498="","",IFERROR(MAX(OFFSET(高値!$E$6,MATCH(TEXT(B498,"0"),TEXT(銘柄管理!$B$6:$B$305,"0"),0)-1,0,1,10)),""))</f>
        <v/>
      </c>
    </row>
    <row r="499" ht="17.25" customHeight="1" s="574">
      <c r="P499" s="113">
        <f t="array" ref="P499">IF(B499="","",IFERROR(MAX(OFFSET(高値!$E$6,MATCH(TEXT(B499,"0"),TEXT(銘柄管理!$B$6:$B$305,"0"),0)-1,0,1,10)),""))</f>
        <v/>
      </c>
    </row>
  </sheetData>
  <mergeCells count="1">
    <mergeCell ref="A1:X1"/>
  </mergeCells>
  <conditionalFormatting sqref="B4:O6 B7:I213 J7:J388 K7:O213 P4:P499 Q4:Q381 R4:X213">
    <cfRule type="expression" priority="17" dxfId="3" stopIfTrue="1">
      <formula>$S4="??利確推奨"</formula>
    </cfRule>
    <cfRule type="expression" priority="18" dxfId="2" stopIfTrue="1">
      <formula>$S4="??損切推奨"</formula>
    </cfRule>
    <cfRule type="expression" priority="19" dxfId="1" stopIfTrue="1">
      <formula>$S4="??STOP推奨"</formula>
    </cfRule>
    <cfRule type="expression" priority="20" dxfId="0" stopIfTrue="1">
      <formula>$S4="?売却済"</formula>
    </cfRule>
  </conditionalFormatting>
  <dataValidations count="1">
    <dataValidation sqref="C4:C77" showDropDown="0" showInputMessage="1" showErrorMessage="1" allowBlank="1" promptTitle="売買区分" prompt="買 または 売 を選択してください" type="list">
      <formula1>"買,売"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6">
    <outlinePr summaryBelow="1" summaryRight="1"/>
    <pageSetUpPr/>
  </sheetPr>
  <dimension ref="A1:BL85"/>
  <sheetViews>
    <sheetView workbookViewId="0">
      <pane ySplit="2" topLeftCell="A3" activePane="bottomLeft" state="frozen"/>
      <selection pane="bottomLeft" activeCell="T27" sqref="T27"/>
    </sheetView>
  </sheetViews>
  <sheetFormatPr baseColWidth="8" defaultRowHeight="13.5"/>
  <cols>
    <col width="61" bestFit="1" customWidth="1" style="574" min="1" max="1"/>
    <col width="15.25" customWidth="1" style="574" min="2" max="3"/>
    <col width="12.125" customWidth="1" style="574" min="9" max="9"/>
  </cols>
  <sheetData>
    <row r="1" ht="26.25" customHeight="1" s="574">
      <c r="A1" s="442" t="inlineStr">
        <is>
          <t>🌏 海外指標・先物データ（日次蓄積）</t>
        </is>
      </c>
      <c r="B1" s="450" t="n"/>
      <c r="C1" s="450" t="n"/>
      <c r="D1" s="450" t="n"/>
      <c r="E1" s="450" t="n"/>
      <c r="F1" s="450" t="n"/>
      <c r="G1" s="450" t="n"/>
      <c r="H1" s="450" t="n"/>
      <c r="I1" s="450" t="n"/>
      <c r="J1" s="450" t="n"/>
      <c r="K1" s="450" t="n"/>
      <c r="L1" s="450" t="n"/>
      <c r="M1" s="450" t="n"/>
      <c r="N1" s="450" t="n"/>
      <c r="O1" s="450" t="n"/>
      <c r="P1" s="450" t="n"/>
      <c r="Q1" s="450" t="n"/>
      <c r="R1" s="450" t="n"/>
      <c r="S1" s="450" t="n"/>
      <c r="T1" s="450" t="n"/>
      <c r="U1" s="450" t="n"/>
      <c r="V1" s="450" t="n"/>
      <c r="W1" s="450" t="n"/>
      <c r="X1" s="450" t="n"/>
      <c r="Y1" s="450" t="n"/>
      <c r="Z1" s="450" t="n"/>
      <c r="AA1" s="450" t="n"/>
      <c r="AB1" s="450" t="n"/>
      <c r="AC1" s="450" t="n"/>
      <c r="AD1" s="450" t="n"/>
      <c r="AE1" s="450" t="n"/>
      <c r="AF1" s="450" t="n"/>
      <c r="AG1" s="450" t="n"/>
      <c r="AH1" s="450" t="n"/>
      <c r="AI1" s="450" t="n"/>
      <c r="AJ1" s="450" t="n"/>
      <c r="AK1" s="450" t="n"/>
      <c r="AL1" s="450" t="n"/>
      <c r="AM1" s="450" t="n"/>
      <c r="AN1" s="450" t="n"/>
      <c r="AO1" s="450" t="n"/>
      <c r="AP1" s="450" t="n"/>
      <c r="AQ1" s="450" t="n"/>
      <c r="AR1" s="450" t="n"/>
      <c r="AS1" s="450" t="n"/>
      <c r="AT1" s="450" t="n"/>
      <c r="AU1" s="450" t="n"/>
      <c r="AV1" s="450" t="n"/>
      <c r="AW1" s="450" t="n"/>
      <c r="AX1" s="450" t="n"/>
      <c r="AY1" s="450" t="n"/>
      <c r="AZ1" s="450" t="n"/>
      <c r="BA1" s="450" t="n"/>
      <c r="BB1" s="450" t="n"/>
      <c r="BC1" s="450" t="n"/>
      <c r="BD1" s="450" t="n"/>
      <c r="BE1" s="450" t="n"/>
      <c r="BF1" s="450" t="n"/>
      <c r="BG1" s="450" t="n"/>
      <c r="BH1" s="450" t="n"/>
      <c r="BI1" s="450" t="n"/>
      <c r="BJ1" s="450" t="n"/>
      <c r="BK1" s="450" t="n"/>
      <c r="BL1" s="450" t="n"/>
    </row>
    <row r="2" ht="26.25" customHeight="1" s="574">
      <c r="A2" s="451" t="inlineStr">
        <is>
          <t>指標名</t>
        </is>
      </c>
      <c r="B2" s="451" t="inlineStr">
        <is>
          <t>最新値</t>
        </is>
      </c>
      <c r="C2" s="451" t="inlineStr">
        <is>
          <t>前日比%</t>
        </is>
      </c>
      <c r="D2" s="443" t="n"/>
    </row>
    <row r="3" ht="26.25" customHeight="1" s="574">
      <c r="A3" s="452" t="inlineStr">
        <is>
          <t>NYダウ</t>
        </is>
      </c>
      <c r="B3" s="453">
        <f t="array" ref="B3">_xll.RssIndexMarket("DJIA", "現在値")</f>
        <v/>
      </c>
      <c r="C3" s="453">
        <f t="array" ref="C3">_xll.RssIndexMarket("DJIA", "前日比率")</f>
        <v/>
      </c>
      <c r="I3">
        <f t="array" ref="I3">_xll.RssChartPast($I$4, "DJIA", "D", 20160310, 80)</f>
        <v/>
      </c>
    </row>
    <row r="4" ht="26.25" customHeight="1" s="574">
      <c r="A4" s="454" t="inlineStr">
        <is>
          <t>S&amp;P500</t>
        </is>
      </c>
      <c r="B4" s="455" t="n"/>
      <c r="C4" s="455" t="n"/>
      <c r="I4">
        <f t="array" ref="I4">_xll.RssChartPast($I$5:$J$5, "DJIA", "D", 20260310, 100)</f>
        <v/>
      </c>
    </row>
    <row r="5" ht="26.25" customHeight="1" s="574">
      <c r="A5" s="452" t="inlineStr">
        <is>
          <t>NASDAQ</t>
        </is>
      </c>
      <c r="B5" s="453" t="n"/>
      <c r="C5" s="453" t="n"/>
      <c r="I5" t="inlineStr">
        <is>
          <t>日付</t>
        </is>
      </c>
      <c r="J5" t="inlineStr">
        <is>
          <t>終値</t>
        </is>
      </c>
    </row>
    <row r="6" ht="26.25" customHeight="1" s="574">
      <c r="A6" s="454" t="inlineStr">
        <is>
          <t>VIX恐怖指数</t>
        </is>
      </c>
      <c r="B6" s="455" t="n"/>
      <c r="C6" s="455" t="n"/>
      <c r="I6" t="inlineStr">
        <is>
          <t>2026/03/10</t>
        </is>
      </c>
      <c r="J6" t="n">
        <v>47706.51</v>
      </c>
    </row>
    <row r="7" ht="26.25" customHeight="1" s="574">
      <c r="A7" s="452" t="inlineStr">
        <is>
          <t>ドル円</t>
        </is>
      </c>
      <c r="B7" s="453" t="n"/>
      <c r="C7" s="453" t="n"/>
      <c r="I7" t="inlineStr">
        <is>
          <t>2026/03/11</t>
        </is>
      </c>
      <c r="J7" t="n">
        <v>47417.27</v>
      </c>
    </row>
    <row r="8" ht="26.25" customHeight="1" s="574">
      <c r="A8" s="454" t="inlineStr">
        <is>
          <t>WTI原油</t>
        </is>
      </c>
      <c r="B8" s="455" t="n"/>
      <c r="C8" s="455" t="n"/>
      <c r="I8" t="inlineStr">
        <is>
          <t>2026/03/12</t>
        </is>
      </c>
      <c r="J8" t="n">
        <v>46677.85</v>
      </c>
    </row>
    <row r="9" ht="26.25" customHeight="1" s="574">
      <c r="A9" s="452" t="inlineStr">
        <is>
          <t>米10年金利</t>
        </is>
      </c>
      <c r="B9" s="453" t="n"/>
      <c r="C9" s="453" t="n"/>
      <c r="I9" t="inlineStr">
        <is>
          <t>2026/03/13</t>
        </is>
      </c>
      <c r="J9" t="n">
        <v>46558.47</v>
      </c>
    </row>
    <row r="10" ht="26.25" customHeight="1" s="574">
      <c r="I10" t="inlineStr">
        <is>
          <t>2026/03/16</t>
        </is>
      </c>
      <c r="J10" t="n">
        <v>46946.41</v>
      </c>
    </row>
    <row r="11" ht="26.25" customHeight="1" s="574">
      <c r="A11" s="444" t="inlineStr">
        <is>
          <t>📌 読み方</t>
        </is>
      </c>
      <c r="B11" s="456" t="n"/>
      <c r="C11" s="456" t="n"/>
      <c r="D11" s="456" t="n"/>
      <c r="I11" t="inlineStr">
        <is>
          <t>2026/03/17</t>
        </is>
      </c>
      <c r="J11" t="n">
        <v>46993.26</v>
      </c>
    </row>
    <row r="12" ht="26.25" customHeight="1" s="574">
      <c r="A12" s="445" t="inlineStr">
        <is>
          <t>※ VIXが20以上 = 相場が荒れるサイン。新規購入は慣重に。</t>
        </is>
      </c>
      <c r="I12" t="inlineStr">
        <is>
          <t>2026/03/18</t>
        </is>
      </c>
      <c r="J12" t="n">
        <v>46225.15</v>
      </c>
    </row>
    <row r="13" ht="26.25" customHeight="1" s="574">
      <c r="A13" s="446" t="inlineStr">
        <is>
          <t>※ VIXが15以下 = 安定相場。積極的に動ける。</t>
        </is>
      </c>
      <c r="I13" t="inlineStr">
        <is>
          <t>2026/03/19</t>
        </is>
      </c>
      <c r="J13" t="n">
        <v>46021.43</v>
      </c>
    </row>
    <row r="14" ht="26.25" customHeight="1" s="574">
      <c r="A14" s="447" t="inlineStr">
        <is>
          <t>※ ドル円が円安方向（数字が大きい）= 輸出我に有利。</t>
        </is>
      </c>
      <c r="I14" t="inlineStr">
        <is>
          <t>2026/03/20</t>
        </is>
      </c>
      <c r="J14" t="n">
        <v>45577.47</v>
      </c>
    </row>
    <row r="15" ht="26.25" customHeight="1" s="574">
      <c r="A15" s="448" t="inlineStr">
        <is>
          <t>※ NYダウが前日比-1%以下 = 翌朝の日本株は下がりやすい。</t>
        </is>
      </c>
      <c r="I15" t="inlineStr">
        <is>
          <t>2026/03/23</t>
        </is>
      </c>
      <c r="J15" t="n">
        <v>46208.47</v>
      </c>
    </row>
    <row r="16" ht="26.25" customHeight="1" s="574">
      <c r="I16" t="inlineStr">
        <is>
          <t>2026/03/24</t>
        </is>
      </c>
      <c r="J16" t="n">
        <v>46124.06</v>
      </c>
    </row>
    <row r="17" ht="26.25" customHeight="1" s="574">
      <c r="A17" s="449" t="inlineStr">
        <is>
          <t>🔧 使い方</t>
        </is>
      </c>
      <c r="B17" s="457" t="n"/>
      <c r="C17" s="457" t="n"/>
      <c r="D17" s="457" t="n"/>
      <c r="I17" t="inlineStr">
        <is>
          <t>2026/03/25</t>
        </is>
      </c>
      <c r="J17" t="n">
        <v>46429.49</v>
      </c>
    </row>
    <row r="18" ht="26.25" customHeight="1" s="574">
      <c r="A18" t="inlineStr">
        <is>
          <t>① 初回のみ「海外指標_過去60日取得」を実行（数十秒かかる）</t>
        </is>
      </c>
      <c r="I18" t="inlineStr">
        <is>
          <t>2026/03/26</t>
        </is>
      </c>
      <c r="J18" t="n">
        <v>45960.11</v>
      </c>
    </row>
    <row r="19" ht="26.25" customHeight="1" s="574">
      <c r="A19" t="inlineStr">
        <is>
          <t>② 毎日夜（22時以降）「海外指標_今日のデータ追加」を実行</t>
        </is>
      </c>
      <c r="I19" t="inlineStr">
        <is>
          <t>2026/03/27</t>
        </is>
      </c>
      <c r="J19" t="n">
        <v>45166.64</v>
      </c>
    </row>
    <row r="20" ht="26.25" customHeight="1" s="574">
      <c r="A20" t="inlineStr">
        <is>
          <t>③ D列に今日のデータが追加され、旧データは右列に順次移動される</t>
        </is>
      </c>
      <c r="I20" t="inlineStr">
        <is>
          <t>2026/03/30</t>
        </is>
      </c>
      <c r="J20" t="n">
        <v>45216.14</v>
      </c>
    </row>
    <row r="21" ht="26.25" customHeight="1" s="574">
      <c r="I21" t="inlineStr">
        <is>
          <t>2026/03/31</t>
        </is>
      </c>
      <c r="J21" t="n">
        <v>46341.51</v>
      </c>
    </row>
    <row r="22" ht="26.25" customHeight="1" s="574">
      <c r="I22" t="inlineStr">
        <is>
          <t>2026/04/01</t>
        </is>
      </c>
      <c r="J22" t="n">
        <v>46565.74</v>
      </c>
    </row>
    <row r="23">
      <c r="I23" t="inlineStr">
        <is>
          <t>2026/04/02</t>
        </is>
      </c>
      <c r="J23" t="n">
        <v>46504.67</v>
      </c>
    </row>
    <row r="24">
      <c r="I24" t="inlineStr">
        <is>
          <t>2026/04/06</t>
        </is>
      </c>
      <c r="J24" t="n">
        <v>46669.88</v>
      </c>
    </row>
    <row r="25">
      <c r="I25" t="inlineStr">
        <is>
          <t>2026/04/07</t>
        </is>
      </c>
      <c r="J25" t="n">
        <v>46584.46</v>
      </c>
    </row>
    <row r="26">
      <c r="I26" t="inlineStr">
        <is>
          <t>2026/04/08</t>
        </is>
      </c>
      <c r="J26" t="n">
        <v>47909.92</v>
      </c>
    </row>
    <row r="27">
      <c r="I27" t="inlineStr">
        <is>
          <t>2026/04/09</t>
        </is>
      </c>
      <c r="J27" t="n">
        <v>48185.8</v>
      </c>
    </row>
    <row r="28">
      <c r="I28" t="inlineStr">
        <is>
          <t>2026/04/10</t>
        </is>
      </c>
      <c r="J28" t="n">
        <v>47916.57</v>
      </c>
    </row>
    <row r="29">
      <c r="I29" t="inlineStr">
        <is>
          <t>2026/04/13</t>
        </is>
      </c>
      <c r="J29" t="n">
        <v>48218.25</v>
      </c>
    </row>
    <row r="30">
      <c r="I30" t="inlineStr">
        <is>
          <t>2026/04/14</t>
        </is>
      </c>
      <c r="J30" t="n">
        <v>48535.99</v>
      </c>
    </row>
    <row r="31">
      <c r="I31" t="inlineStr">
        <is>
          <t>2026/04/15</t>
        </is>
      </c>
      <c r="J31" t="n">
        <v>48463.72</v>
      </c>
    </row>
    <row r="32">
      <c r="I32" t="inlineStr">
        <is>
          <t>2026/04/16</t>
        </is>
      </c>
      <c r="J32" t="n">
        <v>48578.72</v>
      </c>
    </row>
    <row r="33">
      <c r="I33" t="inlineStr">
        <is>
          <t>2026/04/17</t>
        </is>
      </c>
      <c r="J33" t="n">
        <v>49447.43</v>
      </c>
    </row>
    <row r="34">
      <c r="I34" t="inlineStr">
        <is>
          <t>2026/04/20</t>
        </is>
      </c>
      <c r="J34" t="n">
        <v>49442.56</v>
      </c>
    </row>
    <row r="35">
      <c r="I35" t="inlineStr">
        <is>
          <t>2026/04/21</t>
        </is>
      </c>
      <c r="J35" t="n">
        <v>49149.38</v>
      </c>
    </row>
    <row r="36">
      <c r="I36" t="inlineStr">
        <is>
          <t>2026/04/22</t>
        </is>
      </c>
      <c r="J36" t="n">
        <v>49490.03</v>
      </c>
    </row>
    <row r="37">
      <c r="I37" t="inlineStr">
        <is>
          <t>2026/04/23</t>
        </is>
      </c>
      <c r="J37" t="n">
        <v>49310.32</v>
      </c>
    </row>
    <row r="38">
      <c r="I38" t="inlineStr">
        <is>
          <t>2026/04/24</t>
        </is>
      </c>
      <c r="J38" t="n">
        <v>49230.71</v>
      </c>
    </row>
    <row r="39">
      <c r="I39" t="inlineStr">
        <is>
          <t>2026/04/27</t>
        </is>
      </c>
      <c r="J39" t="n">
        <v>49167.79</v>
      </c>
    </row>
    <row r="40">
      <c r="I40" t="inlineStr">
        <is>
          <t>2026/04/28</t>
        </is>
      </c>
      <c r="J40" t="n">
        <v>49141.93</v>
      </c>
    </row>
    <row r="41">
      <c r="I41" t="inlineStr">
        <is>
          <t>2026/04/29</t>
        </is>
      </c>
      <c r="J41" t="n">
        <v>48861.81</v>
      </c>
    </row>
    <row r="42">
      <c r="I42" t="inlineStr">
        <is>
          <t>2026/04/30</t>
        </is>
      </c>
      <c r="J42" t="n">
        <v>49652.14</v>
      </c>
    </row>
    <row r="43">
      <c r="I43" t="inlineStr">
        <is>
          <t>2026/05/01</t>
        </is>
      </c>
      <c r="J43" t="n">
        <v>49499.27</v>
      </c>
    </row>
    <row r="44">
      <c r="I44" t="inlineStr">
        <is>
          <t>2026/05/04</t>
        </is>
      </c>
      <c r="J44" t="n">
        <v>48941.9</v>
      </c>
    </row>
    <row r="45">
      <c r="I45" t="inlineStr">
        <is>
          <t>2026/05/05</t>
        </is>
      </c>
      <c r="J45" t="n">
        <v>49298.25</v>
      </c>
    </row>
    <row r="46">
      <c r="I46" t="inlineStr">
        <is>
          <t>2026/05/06</t>
        </is>
      </c>
      <c r="J46" t="n">
        <v>49910.59</v>
      </c>
    </row>
    <row r="47">
      <c r="I47" t="inlineStr">
        <is>
          <t>2026/05/07</t>
        </is>
      </c>
      <c r="J47" t="n">
        <v>49596.97</v>
      </c>
    </row>
    <row r="48">
      <c r="I48" t="inlineStr">
        <is>
          <t>2026/05/08</t>
        </is>
      </c>
      <c r="J48" t="n">
        <v>49609.16</v>
      </c>
    </row>
    <row r="49">
      <c r="I49" t="inlineStr">
        <is>
          <t>2026/05/11</t>
        </is>
      </c>
      <c r="J49" t="n">
        <v>49704.47</v>
      </c>
    </row>
    <row r="50">
      <c r="I50" t="inlineStr">
        <is>
          <t>2026/05/12</t>
        </is>
      </c>
      <c r="J50" t="n">
        <v>49760.56</v>
      </c>
    </row>
    <row r="51">
      <c r="I51" t="inlineStr">
        <is>
          <t>2026/05/13</t>
        </is>
      </c>
      <c r="J51" t="n">
        <v>49693.2</v>
      </c>
    </row>
    <row r="52">
      <c r="I52" t="inlineStr">
        <is>
          <t>2026/05/14</t>
        </is>
      </c>
      <c r="J52" t="n">
        <v>50063.46</v>
      </c>
    </row>
    <row r="53">
      <c r="I53" t="inlineStr">
        <is>
          <t>2026/05/15</t>
        </is>
      </c>
      <c r="J53" t="n">
        <v>49526.17</v>
      </c>
    </row>
    <row r="54">
      <c r="I54" t="inlineStr">
        <is>
          <t>2026/05/18</t>
        </is>
      </c>
      <c r="J54" t="n">
        <v>49686.12</v>
      </c>
    </row>
    <row r="55">
      <c r="I55" t="inlineStr">
        <is>
          <t>2026/05/19</t>
        </is>
      </c>
      <c r="J55" t="n">
        <v>49363.88</v>
      </c>
    </row>
    <row r="56">
      <c r="I56" t="inlineStr">
        <is>
          <t>2026/05/20</t>
        </is>
      </c>
      <c r="J56" t="n">
        <v>50009.35</v>
      </c>
    </row>
    <row r="57">
      <c r="I57" t="inlineStr">
        <is>
          <t>2026/05/21</t>
        </is>
      </c>
      <c r="J57" t="n">
        <v>50285.66</v>
      </c>
    </row>
    <row r="58">
      <c r="I58" t="inlineStr">
        <is>
          <t>2026/05/22</t>
        </is>
      </c>
      <c r="J58" t="n">
        <v>50579.7</v>
      </c>
    </row>
    <row r="59">
      <c r="I59" t="inlineStr">
        <is>
          <t>2026/05/26</t>
        </is>
      </c>
      <c r="J59" t="n">
        <v>50461.68</v>
      </c>
    </row>
    <row r="60">
      <c r="I60" t="inlineStr">
        <is>
          <t>2026/05/27</t>
        </is>
      </c>
      <c r="J60" t="n">
        <v>50644.28</v>
      </c>
    </row>
    <row r="61">
      <c r="I61" t="inlineStr">
        <is>
          <t>2026/05/28</t>
        </is>
      </c>
      <c r="J61" t="n">
        <v>50668.97</v>
      </c>
    </row>
    <row r="62">
      <c r="I62" t="inlineStr">
        <is>
          <t>2026/05/29</t>
        </is>
      </c>
      <c r="J62" t="n">
        <v>51032.46</v>
      </c>
    </row>
    <row r="63">
      <c r="I63" t="inlineStr">
        <is>
          <t>2026/06/01</t>
        </is>
      </c>
      <c r="J63" t="n">
        <v>51078.88</v>
      </c>
    </row>
    <row r="64">
      <c r="I64" t="inlineStr">
        <is>
          <t>2026/06/02</t>
        </is>
      </c>
      <c r="J64" t="n">
        <v>51307.79</v>
      </c>
    </row>
    <row r="65">
      <c r="I65" t="inlineStr">
        <is>
          <t>2026/06/03</t>
        </is>
      </c>
      <c r="J65" t="n">
        <v>50687.07</v>
      </c>
    </row>
    <row r="66">
      <c r="I66" t="inlineStr">
        <is>
          <t>2026/06/04</t>
        </is>
      </c>
      <c r="J66" t="n">
        <v>51561.93</v>
      </c>
    </row>
    <row r="67">
      <c r="I67" t="inlineStr">
        <is>
          <t>2026/06/05</t>
        </is>
      </c>
      <c r="J67" t="n">
        <v>50866.78</v>
      </c>
    </row>
    <row r="68">
      <c r="I68" t="inlineStr">
        <is>
          <t>2026/06/08</t>
        </is>
      </c>
      <c r="J68" t="n">
        <v>50786.01</v>
      </c>
    </row>
    <row r="69">
      <c r="I69" t="inlineStr">
        <is>
          <t>2026/06/09</t>
        </is>
      </c>
      <c r="J69" t="n">
        <v>50872.11</v>
      </c>
    </row>
    <row r="70">
      <c r="I70" t="inlineStr">
        <is>
          <t>2026/06/10</t>
        </is>
      </c>
      <c r="J70" t="n">
        <v>49918.78</v>
      </c>
    </row>
    <row r="71">
      <c r="I71" t="inlineStr">
        <is>
          <t>2026/06/11</t>
        </is>
      </c>
      <c r="J71" t="n">
        <v>50848.75</v>
      </c>
    </row>
    <row r="72">
      <c r="I72" t="inlineStr">
        <is>
          <t>2026/06/12</t>
        </is>
      </c>
      <c r="J72" t="n">
        <v>51202.26</v>
      </c>
    </row>
    <row r="73">
      <c r="I73" s="458" t="inlineStr">
        <is>
          <t>2026/06/15</t>
        </is>
      </c>
      <c r="J73" s="458" t="n">
        <v>51671.03</v>
      </c>
    </row>
    <row r="74">
      <c r="I74" s="458" t="inlineStr">
        <is>
          <t>2026/06/16</t>
        </is>
      </c>
      <c r="J74" s="458" t="n">
        <v>51999.67</v>
      </c>
    </row>
    <row r="75">
      <c r="I75" s="458" t="inlineStr">
        <is>
          <t>2026/06/17</t>
        </is>
      </c>
      <c r="J75" s="458" t="n">
        <v>51492.55</v>
      </c>
    </row>
    <row r="76">
      <c r="I76" s="458" t="inlineStr">
        <is>
          <t>2026/06/18</t>
        </is>
      </c>
      <c r="J76" s="458" t="n">
        <v>51564.7</v>
      </c>
    </row>
    <row r="77">
      <c r="I77" s="458" t="inlineStr">
        <is>
          <t>--------</t>
        </is>
      </c>
      <c r="J77" s="458" t="inlineStr">
        <is>
          <t>--------</t>
        </is>
      </c>
    </row>
    <row r="85">
      <c r="I85" s="458" t="n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Sheet19">
    <tabColor theme="0" tint="-0.499984740745262"/>
    <outlinePr summaryBelow="1" summaryRight="1"/>
    <pageSetUpPr/>
  </sheetPr>
  <dimension ref="A1:A1"/>
  <sheetViews>
    <sheetView workbookViewId="0">
      <selection activeCell="Q63" sqref="Q63"/>
    </sheetView>
  </sheetViews>
  <sheetFormatPr baseColWidth="8" defaultRowHeight="13.5"/>
  <sheetData/>
  <pageMargins left="0.7" right="0.7" top="0.75" bottom="0.75" header="0.3" footer="0.3"/>
  <pageSetup orientation="portrait" paperSize="9" horizontalDpi="0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H.A</dc:creator>
  <dcterms:created xsi:type="dcterms:W3CDTF">2026-04-10T12:10:04Z</dcterms:created>
  <dcterms:modified xsi:type="dcterms:W3CDTF">2026-06-22T14:16:10Z</dcterms:modified>
  <cp:lastModifiedBy>英明 阿部</cp:lastModifiedBy>
  <cp:lastPrinted>2026-06-05T06:34:21Z</cp:lastPrinted>
</cp:coreProperties>
</file>